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ables/table11.xml" ContentType="application/vnd.openxmlformats-officedocument.spreadsheetml.table+xml"/>
  <Override PartName="/xl/tables/table12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tables/table10.xml" ContentType="application/vnd.openxmlformats-officedocument.spreadsheetml.table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17.xml" ContentType="application/vnd.openxmlformats-officedocument.spreadsheetml.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codeName="ThisWorkbook" defaultThemeVersion="124226"/>
  <bookViews>
    <workbookView xWindow="-120" yWindow="-120" windowWidth="20730" windowHeight="11160" tabRatio="934" activeTab="15"/>
  </bookViews>
  <sheets>
    <sheet name="1NoMakina" sheetId="6" r:id="rId1"/>
    <sheet name="2NoMakina" sheetId="23" r:id="rId2"/>
    <sheet name="3NoMakina" sheetId="24" r:id="rId3"/>
    <sheet name="4NoMakina" sheetId="25" r:id="rId4"/>
    <sheet name="5NoMakina" sheetId="26" r:id="rId5"/>
    <sheet name="6NoMakina" sheetId="27" r:id="rId6"/>
    <sheet name="7NoMakina" sheetId="28" r:id="rId7"/>
    <sheet name="SevkAdetleri" sheetId="17" r:id="rId8"/>
    <sheet name="TOPLAMBASKI" sheetId="18" r:id="rId9"/>
    <sheet name="H.M.KOD" sheetId="2" r:id="rId10"/>
    <sheet name="H.M.Alım" sheetId="3" r:id="rId11"/>
    <sheet name="H.M.Tüketim" sheetId="4" r:id="rId12"/>
    <sheet name="H.M.STOK" sheetId="5" r:id="rId13"/>
    <sheet name="BoyaAlım " sheetId="19" r:id="rId14"/>
    <sheet name="BoyaTüketim" sheetId="15" r:id="rId15"/>
    <sheet name="BoyaStok" sheetId="21" r:id="rId16"/>
    <sheet name="YMKODLARI" sheetId="13" r:id="rId17"/>
    <sheet name="SbKodları" sheetId="14" r:id="rId18"/>
  </sheets>
  <calcPr calcId="1257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21"/>
  <c r="E30"/>
  <c r="B3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43" i="3" l="1"/>
  <c r="B44"/>
  <c r="B45"/>
  <c r="B46"/>
  <c r="B47"/>
  <c r="B230" i="27" l="1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G107" i="13" l="1"/>
  <c r="B80" i="18"/>
  <c r="C80"/>
  <c r="D80"/>
  <c r="G80"/>
  <c r="H80"/>
  <c r="I80"/>
  <c r="J80"/>
  <c r="K80"/>
  <c r="L80"/>
  <c r="M80"/>
  <c r="N80"/>
  <c r="O80"/>
  <c r="P80"/>
  <c r="Q80"/>
  <c r="R80"/>
  <c r="B3" i="17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907"/>
  <c r="B908"/>
  <c r="B909"/>
  <c r="B910"/>
  <c r="B911"/>
  <c r="B912"/>
  <c r="B913"/>
  <c r="B914"/>
  <c r="B915"/>
  <c r="B916"/>
  <c r="B917"/>
  <c r="B918"/>
  <c r="B919"/>
  <c r="B920"/>
  <c r="B921"/>
  <c r="B922"/>
  <c r="B923"/>
  <c r="B924"/>
  <c r="B925"/>
  <c r="B926"/>
  <c r="B927"/>
  <c r="B928"/>
  <c r="B929"/>
  <c r="B930"/>
  <c r="B931"/>
  <c r="B932"/>
  <c r="B933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2"/>
  <c r="B279" i="18"/>
  <c r="B280"/>
  <c r="B281"/>
  <c r="B282"/>
  <c r="B283"/>
  <c r="B284"/>
  <c r="B285"/>
  <c r="B286"/>
  <c r="B287"/>
  <c r="B288"/>
  <c r="B289"/>
  <c r="B290"/>
  <c r="B291"/>
  <c r="C279"/>
  <c r="C280"/>
  <c r="C281"/>
  <c r="C282"/>
  <c r="C283"/>
  <c r="C284"/>
  <c r="C285"/>
  <c r="C286"/>
  <c r="C287"/>
  <c r="C288"/>
  <c r="C289"/>
  <c r="C290"/>
  <c r="C291"/>
  <c r="D289"/>
  <c r="D290"/>
  <c r="D291"/>
  <c r="G279"/>
  <c r="G280"/>
  <c r="G281"/>
  <c r="G282"/>
  <c r="G283"/>
  <c r="G284"/>
  <c r="G285"/>
  <c r="G286"/>
  <c r="G287"/>
  <c r="G288"/>
  <c r="G289"/>
  <c r="G290"/>
  <c r="G291"/>
  <c r="H279"/>
  <c r="H280"/>
  <c r="H281"/>
  <c r="H282"/>
  <c r="H283"/>
  <c r="H284"/>
  <c r="H285"/>
  <c r="H286"/>
  <c r="H287"/>
  <c r="H288"/>
  <c r="H289"/>
  <c r="H290"/>
  <c r="H291"/>
  <c r="I279"/>
  <c r="I280"/>
  <c r="I281"/>
  <c r="I282"/>
  <c r="I283"/>
  <c r="I284"/>
  <c r="I285"/>
  <c r="I286"/>
  <c r="I287"/>
  <c r="I288"/>
  <c r="I289"/>
  <c r="I290"/>
  <c r="I291"/>
  <c r="J279"/>
  <c r="J280"/>
  <c r="J281"/>
  <c r="J282"/>
  <c r="J283"/>
  <c r="J284"/>
  <c r="J285"/>
  <c r="J286"/>
  <c r="J287"/>
  <c r="J288"/>
  <c r="J289"/>
  <c r="J290"/>
  <c r="J291"/>
  <c r="K279"/>
  <c r="K280"/>
  <c r="K281"/>
  <c r="K282"/>
  <c r="K283"/>
  <c r="K284"/>
  <c r="K285"/>
  <c r="K286"/>
  <c r="K287"/>
  <c r="K288"/>
  <c r="K289"/>
  <c r="K290"/>
  <c r="K291"/>
  <c r="L279"/>
  <c r="L280"/>
  <c r="L281"/>
  <c r="L282"/>
  <c r="L283"/>
  <c r="L284"/>
  <c r="L285"/>
  <c r="L286"/>
  <c r="L287"/>
  <c r="L288"/>
  <c r="L289"/>
  <c r="L290"/>
  <c r="L291"/>
  <c r="M279"/>
  <c r="M280"/>
  <c r="M281"/>
  <c r="M282"/>
  <c r="M283"/>
  <c r="M284"/>
  <c r="M285"/>
  <c r="M286"/>
  <c r="M287"/>
  <c r="M288"/>
  <c r="M289"/>
  <c r="M290"/>
  <c r="M291"/>
  <c r="N279"/>
  <c r="N280"/>
  <c r="N281"/>
  <c r="N282"/>
  <c r="N283"/>
  <c r="N284"/>
  <c r="N285"/>
  <c r="N286"/>
  <c r="N287"/>
  <c r="N288"/>
  <c r="N289"/>
  <c r="N290"/>
  <c r="N291"/>
  <c r="O279"/>
  <c r="O280"/>
  <c r="O281"/>
  <c r="O282"/>
  <c r="O283"/>
  <c r="O284"/>
  <c r="O285"/>
  <c r="O286"/>
  <c r="O287"/>
  <c r="O288"/>
  <c r="O289"/>
  <c r="O290"/>
  <c r="O291"/>
  <c r="P279"/>
  <c r="P280"/>
  <c r="P281"/>
  <c r="P282"/>
  <c r="P283"/>
  <c r="P284"/>
  <c r="P285"/>
  <c r="P286"/>
  <c r="P287"/>
  <c r="P288"/>
  <c r="P289"/>
  <c r="P290"/>
  <c r="P291"/>
  <c r="Q279"/>
  <c r="Q280"/>
  <c r="Q281"/>
  <c r="Q282"/>
  <c r="Q283"/>
  <c r="Q284"/>
  <c r="Q285"/>
  <c r="Q286"/>
  <c r="Q287"/>
  <c r="Q288"/>
  <c r="Q289"/>
  <c r="Q290"/>
  <c r="Q291"/>
  <c r="R279"/>
  <c r="R280"/>
  <c r="R281"/>
  <c r="R282"/>
  <c r="R283"/>
  <c r="R284"/>
  <c r="R285"/>
  <c r="R286"/>
  <c r="R287"/>
  <c r="R288"/>
  <c r="R289"/>
  <c r="R290"/>
  <c r="R291"/>
  <c r="R88" i="24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Q201"/>
  <c r="Q202"/>
  <c r="Q203"/>
  <c r="Q204"/>
  <c r="Q205"/>
  <c r="Q206"/>
  <c r="Q207"/>
  <c r="Q208"/>
  <c r="Q209"/>
  <c r="Q210"/>
  <c r="Q211"/>
  <c r="Q212"/>
  <c r="Q213"/>
  <c r="Q214"/>
  <c r="Q215"/>
  <c r="Q216"/>
  <c r="Q217"/>
  <c r="Q218"/>
  <c r="Q219"/>
  <c r="Q220"/>
  <c r="Q221"/>
  <c r="Q222"/>
  <c r="Q223"/>
  <c r="Q224"/>
  <c r="Q225"/>
  <c r="Q226"/>
  <c r="Q227"/>
  <c r="Q228"/>
  <c r="Q229"/>
  <c r="Q230"/>
  <c r="Q231"/>
  <c r="Q232"/>
  <c r="Q233"/>
  <c r="Q234"/>
  <c r="Q235"/>
  <c r="Q236"/>
  <c r="Q237"/>
  <c r="Q238"/>
  <c r="Q239"/>
  <c r="Q240"/>
  <c r="Q241"/>
  <c r="Q242"/>
  <c r="Q243"/>
  <c r="Q244"/>
  <c r="Q245"/>
  <c r="Q246"/>
  <c r="Q247"/>
  <c r="Q248"/>
  <c r="Q249"/>
  <c r="Q250"/>
  <c r="Q251"/>
  <c r="Q252"/>
  <c r="Q253"/>
  <c r="Q254"/>
  <c r="Q255"/>
  <c r="Q256"/>
  <c r="Q257"/>
  <c r="Q258"/>
  <c r="Q259"/>
  <c r="Q260"/>
  <c r="Q261"/>
  <c r="Q262"/>
  <c r="Q263"/>
  <c r="Q264"/>
  <c r="Q265"/>
  <c r="Q266"/>
  <c r="Q267"/>
  <c r="Q268"/>
  <c r="Q269"/>
  <c r="Q270"/>
  <c r="Q271"/>
  <c r="Q272"/>
  <c r="Q273"/>
  <c r="Q274"/>
  <c r="Q275"/>
  <c r="Q276"/>
  <c r="Q277"/>
  <c r="Q278"/>
  <c r="Q279"/>
  <c r="Q280"/>
  <c r="Q281"/>
  <c r="Q282"/>
  <c r="Q283"/>
  <c r="Q284"/>
  <c r="Q285"/>
  <c r="Q286"/>
  <c r="Q287"/>
  <c r="Q288"/>
  <c r="Q289"/>
  <c r="Q290"/>
  <c r="Q291"/>
  <c r="Q292"/>
  <c r="Q293"/>
  <c r="Q294"/>
  <c r="Q295"/>
  <c r="Q296"/>
  <c r="Q297"/>
  <c r="Q298"/>
  <c r="Q299"/>
  <c r="Q300"/>
  <c r="Q301"/>
  <c r="Q302"/>
  <c r="Q303"/>
  <c r="Q304"/>
  <c r="Q305"/>
  <c r="Q306"/>
  <c r="Q307"/>
  <c r="Q308"/>
  <c r="Q309"/>
  <c r="Q310"/>
  <c r="Q311"/>
  <c r="Q312"/>
  <c r="Q313"/>
  <c r="Q314"/>
  <c r="Q315"/>
  <c r="Q316"/>
  <c r="Q317"/>
  <c r="Q318"/>
  <c r="Q319"/>
  <c r="Q320"/>
  <c r="Q321"/>
  <c r="Q322"/>
  <c r="Q323"/>
  <c r="Q324"/>
  <c r="Q325"/>
  <c r="Q326"/>
  <c r="Q327"/>
  <c r="Q328"/>
  <c r="Q329"/>
  <c r="Q330"/>
  <c r="Q331"/>
  <c r="Q332"/>
  <c r="Q333"/>
  <c r="Q334"/>
  <c r="Q335"/>
  <c r="Q336"/>
  <c r="Q337"/>
  <c r="Q338"/>
  <c r="Q339"/>
  <c r="Q340"/>
  <c r="Q341"/>
  <c r="Q342"/>
  <c r="Q343"/>
  <c r="Q344"/>
  <c r="Q345"/>
  <c r="Q346"/>
  <c r="Q347"/>
  <c r="Q348"/>
  <c r="Q349"/>
  <c r="Q350"/>
  <c r="Q351"/>
  <c r="Q352"/>
  <c r="Q353"/>
  <c r="Q354"/>
  <c r="Q355"/>
  <c r="Q356"/>
  <c r="Q357"/>
  <c r="Q358"/>
  <c r="Q359"/>
  <c r="Q360"/>
  <c r="Q361"/>
  <c r="Q362"/>
  <c r="Q363"/>
  <c r="Q364"/>
  <c r="Q365"/>
  <c r="Q366"/>
  <c r="Q367"/>
  <c r="Q368"/>
  <c r="Q369"/>
  <c r="Q370"/>
  <c r="Q371"/>
  <c r="Q372"/>
  <c r="Q373"/>
  <c r="Q374"/>
  <c r="Q375"/>
  <c r="Q376"/>
  <c r="Q377"/>
  <c r="Q378"/>
  <c r="Q379"/>
  <c r="Q380"/>
  <c r="Q381"/>
  <c r="Q382"/>
  <c r="Q383"/>
  <c r="Q384"/>
  <c r="Q385"/>
  <c r="Q386"/>
  <c r="Q387"/>
  <c r="Q388"/>
  <c r="Q389"/>
  <c r="Q390"/>
  <c r="Q391"/>
  <c r="Q392"/>
  <c r="Q393"/>
  <c r="Q394"/>
  <c r="Q395"/>
  <c r="Q396"/>
  <c r="Q397"/>
  <c r="Q398"/>
  <c r="Q399"/>
  <c r="Q400"/>
  <c r="Q401"/>
  <c r="Q402"/>
  <c r="Q403"/>
  <c r="Q404"/>
  <c r="Q405"/>
  <c r="Q406"/>
  <c r="Q407"/>
  <c r="Q408"/>
  <c r="Q409"/>
  <c r="Q410"/>
  <c r="Q411"/>
  <c r="Q412"/>
  <c r="Q413"/>
  <c r="Q414"/>
  <c r="Q415"/>
  <c r="Q416"/>
  <c r="Q417"/>
  <c r="Q418"/>
  <c r="Q419"/>
  <c r="Q420"/>
  <c r="Q421"/>
  <c r="Q422"/>
  <c r="Q423"/>
  <c r="Q424"/>
  <c r="Q425"/>
  <c r="Q426"/>
  <c r="Q427"/>
  <c r="Q428"/>
  <c r="Q429"/>
  <c r="Q430"/>
  <c r="Q431"/>
  <c r="Q432"/>
  <c r="Q433"/>
  <c r="Q434"/>
  <c r="Q435"/>
  <c r="Q436"/>
  <c r="Q437"/>
  <c r="Q438"/>
  <c r="Q439"/>
  <c r="Q440"/>
  <c r="Q441"/>
  <c r="Q442"/>
  <c r="Q443"/>
  <c r="Q444"/>
  <c r="Q445"/>
  <c r="Q446"/>
  <c r="Q447"/>
  <c r="Q448"/>
  <c r="Q449"/>
  <c r="Q450"/>
  <c r="Q451"/>
  <c r="Q452"/>
  <c r="Q453"/>
  <c r="Q454"/>
  <c r="Q455"/>
  <c r="Q456"/>
  <c r="Q457"/>
  <c r="Q458"/>
  <c r="Q459"/>
  <c r="Q460"/>
  <c r="Q461"/>
  <c r="Q462"/>
  <c r="Q463"/>
  <c r="Q464"/>
  <c r="Q465"/>
  <c r="Q466"/>
  <c r="Q467"/>
  <c r="Q468"/>
  <c r="Q469"/>
  <c r="Q470"/>
  <c r="Q471"/>
  <c r="Q472"/>
  <c r="Q473"/>
  <c r="Q474"/>
  <c r="Q475"/>
  <c r="Q476"/>
  <c r="Q477"/>
  <c r="Q478"/>
  <c r="Q479"/>
  <c r="Q480"/>
  <c r="Q481"/>
  <c r="Q482"/>
  <c r="Q483"/>
  <c r="Q484"/>
  <c r="Q485"/>
  <c r="Q486"/>
  <c r="Q487"/>
  <c r="Q488"/>
  <c r="Q489"/>
  <c r="Q490"/>
  <c r="Q491"/>
  <c r="Q492"/>
  <c r="Q493"/>
  <c r="Q494"/>
  <c r="Q495"/>
  <c r="Q496"/>
  <c r="Q497"/>
  <c r="Q498"/>
  <c r="Q499"/>
  <c r="Q500"/>
  <c r="Q501"/>
  <c r="Q502"/>
  <c r="Q503"/>
  <c r="Q504"/>
  <c r="Q505"/>
  <c r="Q506"/>
  <c r="Q507"/>
  <c r="Q508"/>
  <c r="Q509"/>
  <c r="Q510"/>
  <c r="Q511"/>
  <c r="Q512"/>
  <c r="Q513"/>
  <c r="Q514"/>
  <c r="Q515"/>
  <c r="Q516"/>
  <c r="Q517"/>
  <c r="Q518"/>
  <c r="Q519"/>
  <c r="Q520"/>
  <c r="Q521"/>
  <c r="Q522"/>
  <c r="Q523"/>
  <c r="Q524"/>
  <c r="Q525"/>
  <c r="Q526"/>
  <c r="Q527"/>
  <c r="Q528"/>
  <c r="Q529"/>
  <c r="Q530"/>
  <c r="Q531"/>
  <c r="Q532"/>
  <c r="Q533"/>
  <c r="Q534"/>
  <c r="Q535"/>
  <c r="Q536"/>
  <c r="Q537"/>
  <c r="Q538"/>
  <c r="Q539"/>
  <c r="Q540"/>
  <c r="Q541"/>
  <c r="Q542"/>
  <c r="Q543"/>
  <c r="Q544"/>
  <c r="Q545"/>
  <c r="Q546"/>
  <c r="Q547"/>
  <c r="Q548"/>
  <c r="Q549"/>
  <c r="Q550"/>
  <c r="Q551"/>
  <c r="Q552"/>
  <c r="Q553"/>
  <c r="Q554"/>
  <c r="Q555"/>
  <c r="Q556"/>
  <c r="Q557"/>
  <c r="Q558"/>
  <c r="Q559"/>
  <c r="Q560"/>
  <c r="Q561"/>
  <c r="Q562"/>
  <c r="Q563"/>
  <c r="Q564"/>
  <c r="Q565"/>
  <c r="Q566"/>
  <c r="Q567"/>
  <c r="Q568"/>
  <c r="Q569"/>
  <c r="Q570"/>
  <c r="Q571"/>
  <c r="Q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425"/>
  <c r="N426"/>
  <c r="N427"/>
  <c r="N428"/>
  <c r="N429"/>
  <c r="N430"/>
  <c r="N431"/>
  <c r="N432"/>
  <c r="N433"/>
  <c r="N434"/>
  <c r="N435"/>
  <c r="N43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6"/>
  <c r="N467"/>
  <c r="N468"/>
  <c r="N469"/>
  <c r="N470"/>
  <c r="N471"/>
  <c r="N472"/>
  <c r="N473"/>
  <c r="N474"/>
  <c r="N475"/>
  <c r="N476"/>
  <c r="N477"/>
  <c r="N478"/>
  <c r="N479"/>
  <c r="N480"/>
  <c r="N481"/>
  <c r="N482"/>
  <c r="N483"/>
  <c r="N484"/>
  <c r="N485"/>
  <c r="N486"/>
  <c r="N487"/>
  <c r="N488"/>
  <c r="N489"/>
  <c r="N490"/>
  <c r="N491"/>
  <c r="N492"/>
  <c r="N493"/>
  <c r="N494"/>
  <c r="N495"/>
  <c r="N496"/>
  <c r="N497"/>
  <c r="N498"/>
  <c r="N499"/>
  <c r="N500"/>
  <c r="N501"/>
  <c r="N502"/>
  <c r="N503"/>
  <c r="N504"/>
  <c r="N505"/>
  <c r="N506"/>
  <c r="N507"/>
  <c r="N508"/>
  <c r="N509"/>
  <c r="N510"/>
  <c r="N511"/>
  <c r="N512"/>
  <c r="N513"/>
  <c r="N514"/>
  <c r="N515"/>
  <c r="N516"/>
  <c r="N517"/>
  <c r="N518"/>
  <c r="N519"/>
  <c r="N520"/>
  <c r="N521"/>
  <c r="N522"/>
  <c r="N523"/>
  <c r="N524"/>
  <c r="N525"/>
  <c r="N526"/>
  <c r="N527"/>
  <c r="N528"/>
  <c r="N529"/>
  <c r="N530"/>
  <c r="N531"/>
  <c r="N532"/>
  <c r="N533"/>
  <c r="N534"/>
  <c r="N535"/>
  <c r="N536"/>
  <c r="N537"/>
  <c r="N538"/>
  <c r="N539"/>
  <c r="N540"/>
  <c r="N541"/>
  <c r="N542"/>
  <c r="N543"/>
  <c r="N544"/>
  <c r="N545"/>
  <c r="N546"/>
  <c r="N547"/>
  <c r="N548"/>
  <c r="N549"/>
  <c r="N550"/>
  <c r="N551"/>
  <c r="N552"/>
  <c r="N553"/>
  <c r="N554"/>
  <c r="N555"/>
  <c r="N556"/>
  <c r="N557"/>
  <c r="N558"/>
  <c r="N559"/>
  <c r="N560"/>
  <c r="N561"/>
  <c r="N562"/>
  <c r="N563"/>
  <c r="N564"/>
  <c r="N565"/>
  <c r="N566"/>
  <c r="N567"/>
  <c r="N568"/>
  <c r="N569"/>
  <c r="N570"/>
  <c r="N571"/>
  <c r="N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87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88"/>
  <c r="B190" i="23"/>
  <c r="G190"/>
  <c r="Z190" s="1"/>
  <c r="H190"/>
  <c r="J190"/>
  <c r="L190" s="1"/>
  <c r="N190"/>
  <c r="P190" s="1"/>
  <c r="Q190"/>
  <c r="R190"/>
  <c r="V190" s="1"/>
  <c r="W190"/>
  <c r="X190" s="1"/>
  <c r="Y190"/>
  <c r="E28" i="21"/>
  <c r="E32"/>
  <c r="B3" i="18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"/>
  <c r="G84" i="13"/>
  <c r="C62" i="18"/>
  <c r="G62"/>
  <c r="H62"/>
  <c r="I62"/>
  <c r="J62"/>
  <c r="K62"/>
  <c r="L62"/>
  <c r="M62"/>
  <c r="N62"/>
  <c r="O62"/>
  <c r="P62"/>
  <c r="Q62"/>
  <c r="R62"/>
  <c r="C61"/>
  <c r="G61"/>
  <c r="H61"/>
  <c r="I61"/>
  <c r="J61"/>
  <c r="K61"/>
  <c r="L61"/>
  <c r="M61"/>
  <c r="N61"/>
  <c r="O61"/>
  <c r="P61"/>
  <c r="Q61"/>
  <c r="R61"/>
  <c r="G81" i="13"/>
  <c r="G80"/>
  <c r="C73" i="18"/>
  <c r="G73"/>
  <c r="H73"/>
  <c r="I73"/>
  <c r="J73"/>
  <c r="K73"/>
  <c r="L73"/>
  <c r="M73"/>
  <c r="N73"/>
  <c r="O73"/>
  <c r="P73"/>
  <c r="Q73"/>
  <c r="R73"/>
  <c r="C72"/>
  <c r="G72"/>
  <c r="H72"/>
  <c r="I72"/>
  <c r="J72"/>
  <c r="K72"/>
  <c r="L72"/>
  <c r="M72"/>
  <c r="N72"/>
  <c r="O72"/>
  <c r="P72"/>
  <c r="Q72"/>
  <c r="R72"/>
  <c r="G93" i="13"/>
  <c r="G94"/>
  <c r="R3" i="28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2"/>
  <c r="Q3"/>
  <c r="Q4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Q201"/>
  <c r="Q202"/>
  <c r="Q203"/>
  <c r="Q204"/>
  <c r="Q205"/>
  <c r="Q206"/>
  <c r="Q207"/>
  <c r="Q208"/>
  <c r="Q209"/>
  <c r="Q210"/>
  <c r="Q211"/>
  <c r="Q212"/>
  <c r="Q213"/>
  <c r="Q214"/>
  <c r="Q215"/>
  <c r="Q216"/>
  <c r="Q217"/>
  <c r="Q218"/>
  <c r="Q219"/>
  <c r="Q220"/>
  <c r="Q221"/>
  <c r="Q222"/>
  <c r="Q223"/>
  <c r="Q224"/>
  <c r="Q225"/>
  <c r="Q226"/>
  <c r="Q227"/>
  <c r="Q228"/>
  <c r="Q229"/>
  <c r="Q230"/>
  <c r="Q231"/>
  <c r="Q232"/>
  <c r="Q233"/>
  <c r="Q234"/>
  <c r="Q235"/>
  <c r="Q236"/>
  <c r="Q237"/>
  <c r="Q238"/>
  <c r="Q239"/>
  <c r="Q240"/>
  <c r="Q241"/>
  <c r="Q242"/>
  <c r="Q243"/>
  <c r="Q244"/>
  <c r="Q245"/>
  <c r="Q246"/>
  <c r="Q247"/>
  <c r="Q248"/>
  <c r="Q249"/>
  <c r="Q250"/>
  <c r="Q251"/>
  <c r="Q252"/>
  <c r="Q253"/>
  <c r="Q254"/>
  <c r="Q255"/>
  <c r="Q256"/>
  <c r="Q257"/>
  <c r="Q258"/>
  <c r="Q259"/>
  <c r="Q260"/>
  <c r="Q261"/>
  <c r="Q262"/>
  <c r="Q263"/>
  <c r="Q264"/>
  <c r="Q265"/>
  <c r="Q266"/>
  <c r="Q267"/>
  <c r="Q268"/>
  <c r="Q269"/>
  <c r="Q270"/>
  <c r="Q271"/>
  <c r="Q272"/>
  <c r="Q273"/>
  <c r="Q274"/>
  <c r="Q275"/>
  <c r="Q276"/>
  <c r="Q277"/>
  <c r="Q278"/>
  <c r="Q279"/>
  <c r="Q280"/>
  <c r="Q281"/>
  <c r="Q282"/>
  <c r="Q283"/>
  <c r="Q284"/>
  <c r="Q285"/>
  <c r="Q286"/>
  <c r="Q287"/>
  <c r="Q288"/>
  <c r="Q289"/>
  <c r="Q290"/>
  <c r="Q291"/>
  <c r="Q292"/>
  <c r="Q293"/>
  <c r="Q294"/>
  <c r="Q295"/>
  <c r="Q296"/>
  <c r="Q297"/>
  <c r="Q298"/>
  <c r="Q299"/>
  <c r="Q300"/>
  <c r="Q301"/>
  <c r="Q302"/>
  <c r="Q303"/>
  <c r="Q304"/>
  <c r="Q305"/>
  <c r="Q306"/>
  <c r="Q307"/>
  <c r="Q308"/>
  <c r="Q309"/>
  <c r="Q310"/>
  <c r="Q311"/>
  <c r="Q312"/>
  <c r="Q313"/>
  <c r="Q314"/>
  <c r="Q315"/>
  <c r="Q316"/>
  <c r="Q317"/>
  <c r="Q318"/>
  <c r="Q319"/>
  <c r="Q320"/>
  <c r="Q321"/>
  <c r="Q322"/>
  <c r="Q323"/>
  <c r="Q324"/>
  <c r="Q325"/>
  <c r="Q326"/>
  <c r="Q327"/>
  <c r="Q328"/>
  <c r="Q329"/>
  <c r="Q330"/>
  <c r="Q331"/>
  <c r="Q332"/>
  <c r="Q333"/>
  <c r="Q334"/>
  <c r="Q335"/>
  <c r="Q336"/>
  <c r="Q337"/>
  <c r="Q338"/>
  <c r="Q339"/>
  <c r="Q340"/>
  <c r="Q341"/>
  <c r="Q342"/>
  <c r="Q343"/>
  <c r="Q344"/>
  <c r="Q345"/>
  <c r="Q346"/>
  <c r="Q347"/>
  <c r="Q348"/>
  <c r="Q349"/>
  <c r="Q350"/>
  <c r="Q351"/>
  <c r="Q352"/>
  <c r="Q353"/>
  <c r="Q354"/>
  <c r="Q355"/>
  <c r="Q356"/>
  <c r="Q357"/>
  <c r="Q358"/>
  <c r="Q359"/>
  <c r="Q360"/>
  <c r="Q361"/>
  <c r="Q362"/>
  <c r="Q363"/>
  <c r="Q364"/>
  <c r="Q365"/>
  <c r="Q366"/>
  <c r="Q367"/>
  <c r="Q368"/>
  <c r="Q369"/>
  <c r="Q370"/>
  <c r="Q371"/>
  <c r="Q372"/>
  <c r="Q373"/>
  <c r="Q374"/>
  <c r="Q375"/>
  <c r="Q376"/>
  <c r="Q377"/>
  <c r="Q378"/>
  <c r="Q379"/>
  <c r="Q380"/>
  <c r="Q381"/>
  <c r="Q382"/>
  <c r="Q383"/>
  <c r="Q384"/>
  <c r="Q385"/>
  <c r="Q386"/>
  <c r="Q387"/>
  <c r="Q388"/>
  <c r="Q389"/>
  <c r="Q390"/>
  <c r="Q391"/>
  <c r="Q392"/>
  <c r="Q393"/>
  <c r="Q394"/>
  <c r="Q395"/>
  <c r="Q396"/>
  <c r="Q397"/>
  <c r="Q398"/>
  <c r="Q399"/>
  <c r="Q400"/>
  <c r="Q401"/>
  <c r="Q402"/>
  <c r="Q403"/>
  <c r="Q404"/>
  <c r="Q405"/>
  <c r="Q406"/>
  <c r="Q407"/>
  <c r="Q408"/>
  <c r="Q409"/>
  <c r="Q410"/>
  <c r="Q411"/>
  <c r="Q412"/>
  <c r="Q413"/>
  <c r="Q414"/>
  <c r="Q415"/>
  <c r="Q416"/>
  <c r="Q417"/>
  <c r="Q418"/>
  <c r="Q419"/>
  <c r="Q420"/>
  <c r="Q421"/>
  <c r="Q422"/>
  <c r="Q423"/>
  <c r="Q424"/>
  <c r="Q425"/>
  <c r="Q426"/>
  <c r="Q427"/>
  <c r="Q428"/>
  <c r="Q429"/>
  <c r="Q430"/>
  <c r="Q431"/>
  <c r="Q432"/>
  <c r="Q433"/>
  <c r="Q434"/>
  <c r="Q435"/>
  <c r="Q436"/>
  <c r="Q437"/>
  <c r="Q438"/>
  <c r="Q439"/>
  <c r="Q440"/>
  <c r="Q441"/>
  <c r="Q442"/>
  <c r="Q443"/>
  <c r="Q444"/>
  <c r="Q445"/>
  <c r="Q446"/>
  <c r="Q447"/>
  <c r="Q448"/>
  <c r="Q449"/>
  <c r="Q450"/>
  <c r="Q451"/>
  <c r="Q452"/>
  <c r="Q453"/>
  <c r="Q454"/>
  <c r="Q455"/>
  <c r="Q456"/>
  <c r="Q457"/>
  <c r="Q458"/>
  <c r="Q459"/>
  <c r="Q460"/>
  <c r="Q461"/>
  <c r="Q462"/>
  <c r="Q463"/>
  <c r="Q464"/>
  <c r="Q465"/>
  <c r="Q466"/>
  <c r="Q467"/>
  <c r="Q468"/>
  <c r="Q469"/>
  <c r="Q470"/>
  <c r="Q471"/>
  <c r="Q472"/>
  <c r="Q473"/>
  <c r="Q474"/>
  <c r="Q475"/>
  <c r="Q476"/>
  <c r="Q477"/>
  <c r="Q478"/>
  <c r="Q479"/>
  <c r="Q480"/>
  <c r="Q481"/>
  <c r="Q482"/>
  <c r="Q483"/>
  <c r="Q484"/>
  <c r="Q485"/>
  <c r="Q486"/>
  <c r="Q487"/>
  <c r="Q488"/>
  <c r="Q489"/>
  <c r="Q490"/>
  <c r="Q491"/>
  <c r="Q492"/>
  <c r="Q493"/>
  <c r="Q494"/>
  <c r="Q495"/>
  <c r="Q496"/>
  <c r="Q497"/>
  <c r="Q498"/>
  <c r="Q499"/>
  <c r="Q500"/>
  <c r="Q501"/>
  <c r="Q502"/>
  <c r="Q503"/>
  <c r="Q504"/>
  <c r="Q505"/>
  <c r="Q506"/>
  <c r="Q507"/>
  <c r="Q508"/>
  <c r="Q509"/>
  <c r="Q510"/>
  <c r="Q511"/>
  <c r="Q512"/>
  <c r="Q513"/>
  <c r="Q514"/>
  <c r="Q515"/>
  <c r="Q516"/>
  <c r="Q517"/>
  <c r="Q518"/>
  <c r="Q519"/>
  <c r="Q520"/>
  <c r="Q521"/>
  <c r="Q522"/>
  <c r="Q523"/>
  <c r="Q524"/>
  <c r="Q525"/>
  <c r="Q526"/>
  <c r="Q527"/>
  <c r="Q528"/>
  <c r="Q529"/>
  <c r="Q530"/>
  <c r="Q531"/>
  <c r="Q532"/>
  <c r="Q533"/>
  <c r="Q534"/>
  <c r="Q535"/>
  <c r="Q536"/>
  <c r="Q537"/>
  <c r="Q538"/>
  <c r="Q539"/>
  <c r="Q540"/>
  <c r="Q541"/>
  <c r="Q542"/>
  <c r="Q543"/>
  <c r="Q544"/>
  <c r="Q545"/>
  <c r="Q546"/>
  <c r="Q547"/>
  <c r="Q548"/>
  <c r="Q549"/>
  <c r="Q550"/>
  <c r="Q551"/>
  <c r="Q552"/>
  <c r="Q553"/>
  <c r="Q554"/>
  <c r="Q555"/>
  <c r="Q556"/>
  <c r="Q557"/>
  <c r="Q558"/>
  <c r="Q559"/>
  <c r="Q560"/>
  <c r="Q561"/>
  <c r="Q562"/>
  <c r="Q563"/>
  <c r="Q564"/>
  <c r="Q565"/>
  <c r="Q566"/>
  <c r="Q567"/>
  <c r="Q568"/>
  <c r="Q569"/>
  <c r="Q570"/>
  <c r="Q571"/>
  <c r="Q2"/>
  <c r="N3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425"/>
  <c r="N426"/>
  <c r="N427"/>
  <c r="N428"/>
  <c r="N429"/>
  <c r="N430"/>
  <c r="N431"/>
  <c r="N432"/>
  <c r="N433"/>
  <c r="N434"/>
  <c r="N435"/>
  <c r="N43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6"/>
  <c r="N467"/>
  <c r="N468"/>
  <c r="N469"/>
  <c r="N470"/>
  <c r="N471"/>
  <c r="N472"/>
  <c r="N473"/>
  <c r="N474"/>
  <c r="N475"/>
  <c r="N476"/>
  <c r="N477"/>
  <c r="N478"/>
  <c r="N479"/>
  <c r="N480"/>
  <c r="N481"/>
  <c r="N482"/>
  <c r="N483"/>
  <c r="N484"/>
  <c r="N485"/>
  <c r="N486"/>
  <c r="N487"/>
  <c r="N488"/>
  <c r="N489"/>
  <c r="N490"/>
  <c r="N491"/>
  <c r="N492"/>
  <c r="N493"/>
  <c r="N494"/>
  <c r="N495"/>
  <c r="N496"/>
  <c r="N497"/>
  <c r="N498"/>
  <c r="N499"/>
  <c r="N500"/>
  <c r="N501"/>
  <c r="N502"/>
  <c r="N503"/>
  <c r="N504"/>
  <c r="N505"/>
  <c r="N506"/>
  <c r="N507"/>
  <c r="N508"/>
  <c r="N509"/>
  <c r="N510"/>
  <c r="N511"/>
  <c r="N512"/>
  <c r="N513"/>
  <c r="N514"/>
  <c r="N515"/>
  <c r="N516"/>
  <c r="N517"/>
  <c r="N518"/>
  <c r="N519"/>
  <c r="N520"/>
  <c r="N521"/>
  <c r="N522"/>
  <c r="N523"/>
  <c r="N524"/>
  <c r="N525"/>
  <c r="N526"/>
  <c r="N527"/>
  <c r="N528"/>
  <c r="N529"/>
  <c r="N530"/>
  <c r="N531"/>
  <c r="N532"/>
  <c r="N533"/>
  <c r="N534"/>
  <c r="N535"/>
  <c r="N536"/>
  <c r="N537"/>
  <c r="N538"/>
  <c r="N539"/>
  <c r="N540"/>
  <c r="N541"/>
  <c r="N542"/>
  <c r="N543"/>
  <c r="N544"/>
  <c r="N545"/>
  <c r="N546"/>
  <c r="N547"/>
  <c r="N548"/>
  <c r="N549"/>
  <c r="N550"/>
  <c r="N551"/>
  <c r="N552"/>
  <c r="N553"/>
  <c r="N554"/>
  <c r="N555"/>
  <c r="N556"/>
  <c r="N557"/>
  <c r="N558"/>
  <c r="N559"/>
  <c r="N560"/>
  <c r="N561"/>
  <c r="N562"/>
  <c r="N563"/>
  <c r="N564"/>
  <c r="N565"/>
  <c r="N566"/>
  <c r="N567"/>
  <c r="N568"/>
  <c r="N569"/>
  <c r="N570"/>
  <c r="N571"/>
  <c r="N2"/>
  <c r="J3"/>
  <c r="J4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2"/>
  <c r="H3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2"/>
  <c r="G3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2"/>
  <c r="B3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2"/>
  <c r="B42" i="3"/>
  <c r="G323" i="13"/>
  <c r="G322"/>
  <c r="G321"/>
  <c r="G320"/>
  <c r="C247" i="18"/>
  <c r="G247"/>
  <c r="H247"/>
  <c r="I247"/>
  <c r="J247"/>
  <c r="K247"/>
  <c r="L247"/>
  <c r="M247"/>
  <c r="N247"/>
  <c r="O247"/>
  <c r="P247"/>
  <c r="Q247"/>
  <c r="R247"/>
  <c r="C246"/>
  <c r="G246"/>
  <c r="H246"/>
  <c r="I246"/>
  <c r="J246"/>
  <c r="K246"/>
  <c r="L246"/>
  <c r="M246"/>
  <c r="N246"/>
  <c r="O246"/>
  <c r="P246"/>
  <c r="Q246"/>
  <c r="R246"/>
  <c r="C245"/>
  <c r="G245"/>
  <c r="H245"/>
  <c r="I245"/>
  <c r="J245"/>
  <c r="K245"/>
  <c r="L245"/>
  <c r="M245"/>
  <c r="N245"/>
  <c r="O245"/>
  <c r="P245"/>
  <c r="Q245"/>
  <c r="R245"/>
  <c r="C244"/>
  <c r="G244"/>
  <c r="H244"/>
  <c r="I244"/>
  <c r="J244"/>
  <c r="K244"/>
  <c r="L244"/>
  <c r="M244"/>
  <c r="N244"/>
  <c r="O244"/>
  <c r="P244"/>
  <c r="Q244"/>
  <c r="R244"/>
  <c r="C34"/>
  <c r="G34"/>
  <c r="H34"/>
  <c r="I34"/>
  <c r="J34"/>
  <c r="K34"/>
  <c r="L34"/>
  <c r="M34"/>
  <c r="N34"/>
  <c r="O34"/>
  <c r="P34"/>
  <c r="Q34"/>
  <c r="R34"/>
  <c r="C33"/>
  <c r="G33"/>
  <c r="H33"/>
  <c r="I33"/>
  <c r="J33"/>
  <c r="K33"/>
  <c r="L33"/>
  <c r="M33"/>
  <c r="N33"/>
  <c r="O33"/>
  <c r="P33"/>
  <c r="Q33"/>
  <c r="R33"/>
  <c r="G48" i="13"/>
  <c r="G47"/>
  <c r="R227" i="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Q227"/>
  <c r="Q228"/>
  <c r="Q229"/>
  <c r="Q230"/>
  <c r="Q231"/>
  <c r="Q232"/>
  <c r="Q233"/>
  <c r="Q234"/>
  <c r="Q235"/>
  <c r="Q236"/>
  <c r="Q237"/>
  <c r="Q238"/>
  <c r="Q239"/>
  <c r="Q240"/>
  <c r="Q241"/>
  <c r="Q242"/>
  <c r="Q243"/>
  <c r="Q244"/>
  <c r="Q245"/>
  <c r="Q246"/>
  <c r="Q247"/>
  <c r="Q248"/>
  <c r="Q249"/>
  <c r="Q250"/>
  <c r="Q251"/>
  <c r="Q252"/>
  <c r="Q253"/>
  <c r="Q254"/>
  <c r="Q255"/>
  <c r="Q256"/>
  <c r="Q257"/>
  <c r="Q258"/>
  <c r="Q259"/>
  <c r="Q260"/>
  <c r="Q261"/>
  <c r="Q262"/>
  <c r="Q263"/>
  <c r="Q264"/>
  <c r="Q265"/>
  <c r="Q266"/>
  <c r="Q267"/>
  <c r="Q268"/>
  <c r="Q269"/>
  <c r="Q270"/>
  <c r="Q271"/>
  <c r="Q272"/>
  <c r="Q273"/>
  <c r="Q274"/>
  <c r="Q275"/>
  <c r="Q276"/>
  <c r="Q277"/>
  <c r="Q278"/>
  <c r="Q279"/>
  <c r="Q280"/>
  <c r="Q281"/>
  <c r="Q282"/>
  <c r="Q283"/>
  <c r="Q284"/>
  <c r="Q285"/>
  <c r="Q286"/>
  <c r="Q287"/>
  <c r="Q288"/>
  <c r="Q289"/>
  <c r="Q290"/>
  <c r="Q291"/>
  <c r="Q292"/>
  <c r="Q293"/>
  <c r="Q294"/>
  <c r="Q295"/>
  <c r="Q296"/>
  <c r="Q297"/>
  <c r="Q298"/>
  <c r="Q299"/>
  <c r="Q300"/>
  <c r="Q301"/>
  <c r="Q302"/>
  <c r="Q303"/>
  <c r="Q304"/>
  <c r="Q305"/>
  <c r="Q306"/>
  <c r="Q307"/>
  <c r="Q308"/>
  <c r="Q309"/>
  <c r="Q310"/>
  <c r="Q311"/>
  <c r="Q312"/>
  <c r="Q313"/>
  <c r="Q314"/>
  <c r="Q315"/>
  <c r="Q316"/>
  <c r="Q317"/>
  <c r="Q318"/>
  <c r="Q319"/>
  <c r="Q320"/>
  <c r="Q321"/>
  <c r="Q322"/>
  <c r="Q323"/>
  <c r="Q324"/>
  <c r="Q325"/>
  <c r="Q326"/>
  <c r="Q327"/>
  <c r="Q328"/>
  <c r="Q329"/>
  <c r="Q330"/>
  <c r="Q331"/>
  <c r="Q332"/>
  <c r="Q333"/>
  <c r="Q334"/>
  <c r="Q335"/>
  <c r="Q336"/>
  <c r="Q337"/>
  <c r="Q338"/>
  <c r="Q339"/>
  <c r="Q340"/>
  <c r="Q341"/>
  <c r="Q342"/>
  <c r="Q343"/>
  <c r="Q344"/>
  <c r="Q345"/>
  <c r="Q346"/>
  <c r="Q347"/>
  <c r="Q348"/>
  <c r="Q349"/>
  <c r="Q350"/>
  <c r="Q351"/>
  <c r="Q352"/>
  <c r="Q353"/>
  <c r="Q354"/>
  <c r="Q355"/>
  <c r="Q356"/>
  <c r="Q357"/>
  <c r="Q358"/>
  <c r="Q359"/>
  <c r="Q360"/>
  <c r="Q361"/>
  <c r="Q362"/>
  <c r="Q363"/>
  <c r="Q364"/>
  <c r="Q365"/>
  <c r="Q366"/>
  <c r="Q367"/>
  <c r="Q368"/>
  <c r="Q369"/>
  <c r="Q370"/>
  <c r="Q371"/>
  <c r="Q372"/>
  <c r="Q373"/>
  <c r="Q374"/>
  <c r="Q375"/>
  <c r="Q376"/>
  <c r="Q377"/>
  <c r="Q378"/>
  <c r="Q379"/>
  <c r="Q380"/>
  <c r="Q381"/>
  <c r="Q382"/>
  <c r="Q383"/>
  <c r="Q384"/>
  <c r="Q385"/>
  <c r="Q386"/>
  <c r="Q387"/>
  <c r="Q388"/>
  <c r="Q389"/>
  <c r="Q390"/>
  <c r="Q391"/>
  <c r="Q392"/>
  <c r="Q393"/>
  <c r="Q394"/>
  <c r="Q395"/>
  <c r="Q396"/>
  <c r="Q397"/>
  <c r="Q398"/>
  <c r="Q399"/>
  <c r="Q400"/>
  <c r="Q401"/>
  <c r="Q402"/>
  <c r="Q403"/>
  <c r="Q404"/>
  <c r="Q405"/>
  <c r="Q406"/>
  <c r="Q407"/>
  <c r="Q408"/>
  <c r="Q409"/>
  <c r="Q410"/>
  <c r="Q411"/>
  <c r="Q412"/>
  <c r="Q413"/>
  <c r="Q414"/>
  <c r="Q415"/>
  <c r="Q416"/>
  <c r="Q417"/>
  <c r="Q418"/>
  <c r="Q419"/>
  <c r="Q420"/>
  <c r="Q421"/>
  <c r="Q422"/>
  <c r="Q423"/>
  <c r="Q424"/>
  <c r="Q425"/>
  <c r="Q426"/>
  <c r="Q427"/>
  <c r="Q428"/>
  <c r="Q429"/>
  <c r="Q430"/>
  <c r="Q431"/>
  <c r="Q432"/>
  <c r="Q433"/>
  <c r="Q434"/>
  <c r="Q435"/>
  <c r="Q436"/>
  <c r="Q437"/>
  <c r="Q438"/>
  <c r="Q439"/>
  <c r="Q440"/>
  <c r="Q441"/>
  <c r="Q442"/>
  <c r="Q443"/>
  <c r="Q444"/>
  <c r="Q445"/>
  <c r="Q446"/>
  <c r="Q447"/>
  <c r="Q448"/>
  <c r="Q449"/>
  <c r="Q450"/>
  <c r="Q451"/>
  <c r="Q452"/>
  <c r="Q453"/>
  <c r="Q454"/>
  <c r="Q455"/>
  <c r="Q456"/>
  <c r="Q457"/>
  <c r="Q458"/>
  <c r="Q459"/>
  <c r="Q460"/>
  <c r="Q461"/>
  <c r="Q462"/>
  <c r="Q463"/>
  <c r="Q464"/>
  <c r="Q465"/>
  <c r="Q466"/>
  <c r="Q467"/>
  <c r="Q468"/>
  <c r="Q469"/>
  <c r="Q470"/>
  <c r="Q471"/>
  <c r="Q472"/>
  <c r="Q473"/>
  <c r="Q474"/>
  <c r="Q475"/>
  <c r="Q476"/>
  <c r="Q477"/>
  <c r="Q478"/>
  <c r="Q479"/>
  <c r="Q480"/>
  <c r="Q481"/>
  <c r="Q482"/>
  <c r="Q483"/>
  <c r="Q484"/>
  <c r="Q485"/>
  <c r="Q486"/>
  <c r="Q487"/>
  <c r="Q488"/>
  <c r="Q489"/>
  <c r="Q490"/>
  <c r="Q491"/>
  <c r="Q492"/>
  <c r="Q493"/>
  <c r="Q494"/>
  <c r="Q495"/>
  <c r="Q496"/>
  <c r="Q497"/>
  <c r="Q498"/>
  <c r="Q499"/>
  <c r="Q500"/>
  <c r="Q501"/>
  <c r="Q502"/>
  <c r="Q503"/>
  <c r="Q504"/>
  <c r="Q505"/>
  <c r="Q506"/>
  <c r="Q507"/>
  <c r="Q508"/>
  <c r="Q509"/>
  <c r="Q510"/>
  <c r="Q511"/>
  <c r="Q512"/>
  <c r="Q513"/>
  <c r="Q514"/>
  <c r="Q515"/>
  <c r="Q516"/>
  <c r="Q517"/>
  <c r="Q518"/>
  <c r="Q519"/>
  <c r="Q520"/>
  <c r="Q521"/>
  <c r="Q522"/>
  <c r="Q523"/>
  <c r="Q524"/>
  <c r="Q525"/>
  <c r="Q526"/>
  <c r="Q527"/>
  <c r="Q528"/>
  <c r="Q529"/>
  <c r="Q530"/>
  <c r="Q531"/>
  <c r="Q532"/>
  <c r="Q533"/>
  <c r="Q534"/>
  <c r="Q535"/>
  <c r="Q536"/>
  <c r="Q537"/>
  <c r="Q538"/>
  <c r="Q539"/>
  <c r="Q540"/>
  <c r="Q541"/>
  <c r="Q542"/>
  <c r="Q543"/>
  <c r="Q544"/>
  <c r="Q545"/>
  <c r="Q546"/>
  <c r="Q547"/>
  <c r="Q548"/>
  <c r="Q549"/>
  <c r="Q550"/>
  <c r="Q551"/>
  <c r="Q552"/>
  <c r="Q553"/>
  <c r="Q554"/>
  <c r="Q555"/>
  <c r="Q556"/>
  <c r="Q557"/>
  <c r="Q558"/>
  <c r="Q559"/>
  <c r="Q560"/>
  <c r="Q561"/>
  <c r="Q562"/>
  <c r="Q563"/>
  <c r="Q564"/>
  <c r="Q565"/>
  <c r="Q566"/>
  <c r="Q567"/>
  <c r="Q568"/>
  <c r="Q569"/>
  <c r="Q570"/>
  <c r="Q571"/>
  <c r="R226"/>
  <c r="Q226"/>
  <c r="N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G227"/>
  <c r="S227" s="1"/>
  <c r="G228"/>
  <c r="G229"/>
  <c r="G230"/>
  <c r="S230" s="1"/>
  <c r="G231"/>
  <c r="S231" s="1"/>
  <c r="G232"/>
  <c r="G233"/>
  <c r="S233" s="1"/>
  <c r="G234"/>
  <c r="S234" s="1"/>
  <c r="G235"/>
  <c r="G236"/>
  <c r="G237"/>
  <c r="G238"/>
  <c r="G239"/>
  <c r="G240"/>
  <c r="G241"/>
  <c r="G242"/>
  <c r="G243"/>
  <c r="G244"/>
  <c r="G245"/>
  <c r="G246"/>
  <c r="G247"/>
  <c r="G248"/>
  <c r="G249"/>
  <c r="G250"/>
  <c r="S250" s="1"/>
  <c r="G251"/>
  <c r="G252"/>
  <c r="G253"/>
  <c r="G254"/>
  <c r="G255"/>
  <c r="G256"/>
  <c r="G257"/>
  <c r="G258"/>
  <c r="G259"/>
  <c r="G260"/>
  <c r="G261"/>
  <c r="G262"/>
  <c r="S262" s="1"/>
  <c r="G263"/>
  <c r="G264"/>
  <c r="G265"/>
  <c r="G266"/>
  <c r="S266" s="1"/>
  <c r="G267"/>
  <c r="G268"/>
  <c r="G269"/>
  <c r="G270"/>
  <c r="S270" s="1"/>
  <c r="G271"/>
  <c r="G272"/>
  <c r="G273"/>
  <c r="G274"/>
  <c r="S274" s="1"/>
  <c r="G275"/>
  <c r="G276"/>
  <c r="G277"/>
  <c r="G278"/>
  <c r="S278" s="1"/>
  <c r="G279"/>
  <c r="G280"/>
  <c r="G281"/>
  <c r="G282"/>
  <c r="S282" s="1"/>
  <c r="G283"/>
  <c r="G284"/>
  <c r="G285"/>
  <c r="G286"/>
  <c r="S286" s="1"/>
  <c r="G287"/>
  <c r="G288"/>
  <c r="G289"/>
  <c r="G290"/>
  <c r="S290" s="1"/>
  <c r="G291"/>
  <c r="G292"/>
  <c r="G293"/>
  <c r="G294"/>
  <c r="S294" s="1"/>
  <c r="G295"/>
  <c r="G296"/>
  <c r="G297"/>
  <c r="G298"/>
  <c r="S298" s="1"/>
  <c r="G299"/>
  <c r="G300"/>
  <c r="G301"/>
  <c r="G302"/>
  <c r="S302" s="1"/>
  <c r="G303"/>
  <c r="G304"/>
  <c r="G305"/>
  <c r="G306"/>
  <c r="S306" s="1"/>
  <c r="G307"/>
  <c r="G308"/>
  <c r="G309"/>
  <c r="G310"/>
  <c r="S310" s="1"/>
  <c r="G311"/>
  <c r="G312"/>
  <c r="G313"/>
  <c r="G314"/>
  <c r="S314" s="1"/>
  <c r="G315"/>
  <c r="G316"/>
  <c r="G317"/>
  <c r="G318"/>
  <c r="S318" s="1"/>
  <c r="G319"/>
  <c r="G320"/>
  <c r="G321"/>
  <c r="G322"/>
  <c r="S322" s="1"/>
  <c r="G323"/>
  <c r="G324"/>
  <c r="G325"/>
  <c r="G326"/>
  <c r="S326" s="1"/>
  <c r="G327"/>
  <c r="G328"/>
  <c r="G329"/>
  <c r="G330"/>
  <c r="S330" s="1"/>
  <c r="G331"/>
  <c r="G332"/>
  <c r="G333"/>
  <c r="G334"/>
  <c r="S334" s="1"/>
  <c r="G335"/>
  <c r="G336"/>
  <c r="G337"/>
  <c r="G338"/>
  <c r="S338" s="1"/>
  <c r="G339"/>
  <c r="G340"/>
  <c r="G341"/>
  <c r="G342"/>
  <c r="S342" s="1"/>
  <c r="G343"/>
  <c r="G344"/>
  <c r="G345"/>
  <c r="G346"/>
  <c r="S346" s="1"/>
  <c r="G347"/>
  <c r="G348"/>
  <c r="G349"/>
  <c r="G350"/>
  <c r="S350" s="1"/>
  <c r="G351"/>
  <c r="G352"/>
  <c r="G353"/>
  <c r="G354"/>
  <c r="S354" s="1"/>
  <c r="G355"/>
  <c r="G356"/>
  <c r="G357"/>
  <c r="G358"/>
  <c r="S358" s="1"/>
  <c r="G359"/>
  <c r="G360"/>
  <c r="G361"/>
  <c r="G362"/>
  <c r="S362" s="1"/>
  <c r="G363"/>
  <c r="G364"/>
  <c r="G365"/>
  <c r="G366"/>
  <c r="S366" s="1"/>
  <c r="G367"/>
  <c r="G368"/>
  <c r="G369"/>
  <c r="G370"/>
  <c r="S370" s="1"/>
  <c r="G371"/>
  <c r="G372"/>
  <c r="G373"/>
  <c r="G374"/>
  <c r="S374" s="1"/>
  <c r="G375"/>
  <c r="G376"/>
  <c r="G377"/>
  <c r="G378"/>
  <c r="S378" s="1"/>
  <c r="G379"/>
  <c r="G380"/>
  <c r="G381"/>
  <c r="G382"/>
  <c r="S382" s="1"/>
  <c r="G383"/>
  <c r="G384"/>
  <c r="G385"/>
  <c r="G386"/>
  <c r="S386" s="1"/>
  <c r="G387"/>
  <c r="G388"/>
  <c r="G389"/>
  <c r="G390"/>
  <c r="S390" s="1"/>
  <c r="G391"/>
  <c r="G392"/>
  <c r="G393"/>
  <c r="G394"/>
  <c r="S394" s="1"/>
  <c r="G395"/>
  <c r="G396"/>
  <c r="G397"/>
  <c r="G398"/>
  <c r="S398" s="1"/>
  <c r="G399"/>
  <c r="G400"/>
  <c r="G401"/>
  <c r="G402"/>
  <c r="S402" s="1"/>
  <c r="G403"/>
  <c r="G404"/>
  <c r="G405"/>
  <c r="G406"/>
  <c r="S406" s="1"/>
  <c r="G407"/>
  <c r="G408"/>
  <c r="G409"/>
  <c r="G410"/>
  <c r="S410" s="1"/>
  <c r="G411"/>
  <c r="G412"/>
  <c r="G413"/>
  <c r="G414"/>
  <c r="S414" s="1"/>
  <c r="G415"/>
  <c r="G416"/>
  <c r="G417"/>
  <c r="G418"/>
  <c r="S418" s="1"/>
  <c r="G419"/>
  <c r="G420"/>
  <c r="G421"/>
  <c r="G422"/>
  <c r="S422" s="1"/>
  <c r="G423"/>
  <c r="G424"/>
  <c r="G425"/>
  <c r="G426"/>
  <c r="S426" s="1"/>
  <c r="G427"/>
  <c r="G428"/>
  <c r="G429"/>
  <c r="G430"/>
  <c r="S430" s="1"/>
  <c r="G431"/>
  <c r="G432"/>
  <c r="G433"/>
  <c r="G434"/>
  <c r="S434" s="1"/>
  <c r="G435"/>
  <c r="G436"/>
  <c r="G437"/>
  <c r="G438"/>
  <c r="S438" s="1"/>
  <c r="G439"/>
  <c r="G440"/>
  <c r="G441"/>
  <c r="G442"/>
  <c r="S442" s="1"/>
  <c r="G443"/>
  <c r="G444"/>
  <c r="G445"/>
  <c r="G446"/>
  <c r="S446" s="1"/>
  <c r="G447"/>
  <c r="G448"/>
  <c r="G449"/>
  <c r="G450"/>
  <c r="S450" s="1"/>
  <c r="G451"/>
  <c r="G452"/>
  <c r="G453"/>
  <c r="G454"/>
  <c r="S454" s="1"/>
  <c r="G455"/>
  <c r="G456"/>
  <c r="G457"/>
  <c r="G458"/>
  <c r="S458" s="1"/>
  <c r="G459"/>
  <c r="G460"/>
  <c r="G461"/>
  <c r="G462"/>
  <c r="S462" s="1"/>
  <c r="G463"/>
  <c r="G464"/>
  <c r="G465"/>
  <c r="G466"/>
  <c r="S466" s="1"/>
  <c r="G467"/>
  <c r="G468"/>
  <c r="G469"/>
  <c r="G470"/>
  <c r="S470" s="1"/>
  <c r="G471"/>
  <c r="G472"/>
  <c r="G473"/>
  <c r="G474"/>
  <c r="S474" s="1"/>
  <c r="G475"/>
  <c r="G476"/>
  <c r="G477"/>
  <c r="G478"/>
  <c r="S478" s="1"/>
  <c r="G479"/>
  <c r="G480"/>
  <c r="G481"/>
  <c r="G482"/>
  <c r="S482" s="1"/>
  <c r="G483"/>
  <c r="G484"/>
  <c r="G485"/>
  <c r="G486"/>
  <c r="S486" s="1"/>
  <c r="G487"/>
  <c r="G488"/>
  <c r="G489"/>
  <c r="G490"/>
  <c r="S490" s="1"/>
  <c r="G491"/>
  <c r="G492"/>
  <c r="G493"/>
  <c r="G494"/>
  <c r="S494" s="1"/>
  <c r="G495"/>
  <c r="G496"/>
  <c r="G497"/>
  <c r="G498"/>
  <c r="S498" s="1"/>
  <c r="G499"/>
  <c r="G500"/>
  <c r="G501"/>
  <c r="G502"/>
  <c r="S502" s="1"/>
  <c r="G503"/>
  <c r="G504"/>
  <c r="G505"/>
  <c r="G506"/>
  <c r="S506" s="1"/>
  <c r="G507"/>
  <c r="G508"/>
  <c r="G509"/>
  <c r="G510"/>
  <c r="S510" s="1"/>
  <c r="G511"/>
  <c r="G512"/>
  <c r="G513"/>
  <c r="G514"/>
  <c r="S514" s="1"/>
  <c r="G515"/>
  <c r="G516"/>
  <c r="G517"/>
  <c r="G518"/>
  <c r="S518" s="1"/>
  <c r="G519"/>
  <c r="G520"/>
  <c r="G521"/>
  <c r="G522"/>
  <c r="S522" s="1"/>
  <c r="G523"/>
  <c r="G524"/>
  <c r="G525"/>
  <c r="G526"/>
  <c r="S526" s="1"/>
  <c r="G527"/>
  <c r="G528"/>
  <c r="G529"/>
  <c r="G530"/>
  <c r="S530" s="1"/>
  <c r="G531"/>
  <c r="G532"/>
  <c r="G533"/>
  <c r="G534"/>
  <c r="S534" s="1"/>
  <c r="G535"/>
  <c r="G536"/>
  <c r="G537"/>
  <c r="G538"/>
  <c r="S538" s="1"/>
  <c r="G539"/>
  <c r="G540"/>
  <c r="G541"/>
  <c r="G542"/>
  <c r="S542" s="1"/>
  <c r="G543"/>
  <c r="G544"/>
  <c r="G545"/>
  <c r="G546"/>
  <c r="S546" s="1"/>
  <c r="G547"/>
  <c r="G548"/>
  <c r="G549"/>
  <c r="G550"/>
  <c r="S550" s="1"/>
  <c r="G551"/>
  <c r="G552"/>
  <c r="G553"/>
  <c r="G554"/>
  <c r="S554" s="1"/>
  <c r="G555"/>
  <c r="G556"/>
  <c r="G557"/>
  <c r="G558"/>
  <c r="S558" s="1"/>
  <c r="G559"/>
  <c r="G560"/>
  <c r="G561"/>
  <c r="G562"/>
  <c r="S562" s="1"/>
  <c r="G563"/>
  <c r="G564"/>
  <c r="G565"/>
  <c r="G566"/>
  <c r="S566" s="1"/>
  <c r="G567"/>
  <c r="G568"/>
  <c r="G569"/>
  <c r="G570"/>
  <c r="S570" s="1"/>
  <c r="G571"/>
  <c r="B227"/>
  <c r="B228"/>
  <c r="B229"/>
  <c r="H226"/>
  <c r="G226"/>
  <c r="B226"/>
  <c r="G375" i="13"/>
  <c r="G376"/>
  <c r="G377"/>
  <c r="G378"/>
  <c r="G379"/>
  <c r="G369"/>
  <c r="G370"/>
  <c r="G371"/>
  <c r="G372"/>
  <c r="G373"/>
  <c r="G374"/>
  <c r="G362"/>
  <c r="G364"/>
  <c r="G365"/>
  <c r="G366"/>
  <c r="G367"/>
  <c r="G368"/>
  <c r="F80" i="18" l="1"/>
  <c r="F289"/>
  <c r="F290"/>
  <c r="F291"/>
  <c r="O190" i="23"/>
  <c r="K190"/>
  <c r="M190"/>
  <c r="S190"/>
  <c r="T190"/>
  <c r="S258" i="27"/>
  <c r="S254"/>
  <c r="S246"/>
  <c r="S242"/>
  <c r="S238"/>
  <c r="S568"/>
  <c r="S564"/>
  <c r="S560"/>
  <c r="S556"/>
  <c r="S552"/>
  <c r="S548"/>
  <c r="S544"/>
  <c r="S540"/>
  <c r="S536"/>
  <c r="S532"/>
  <c r="S528"/>
  <c r="S524"/>
  <c r="S520"/>
  <c r="S516"/>
  <c r="S512"/>
  <c r="S508"/>
  <c r="S504"/>
  <c r="S500"/>
  <c r="S496"/>
  <c r="S492"/>
  <c r="S488"/>
  <c r="S484"/>
  <c r="S480"/>
  <c r="S476"/>
  <c r="S472"/>
  <c r="S468"/>
  <c r="S464"/>
  <c r="S460"/>
  <c r="S456"/>
  <c r="S452"/>
  <c r="S448"/>
  <c r="S444"/>
  <c r="S440"/>
  <c r="S436"/>
  <c r="S432"/>
  <c r="S428"/>
  <c r="S424"/>
  <c r="S420"/>
  <c r="S416"/>
  <c r="S412"/>
  <c r="S408"/>
  <c r="S404"/>
  <c r="S400"/>
  <c r="S396"/>
  <c r="S392"/>
  <c r="S388"/>
  <c r="S384"/>
  <c r="S380"/>
  <c r="S376"/>
  <c r="S372"/>
  <c r="S368"/>
  <c r="S364"/>
  <c r="S360"/>
  <c r="S356"/>
  <c r="S352"/>
  <c r="S348"/>
  <c r="S344"/>
  <c r="S340"/>
  <c r="S336"/>
  <c r="S332"/>
  <c r="S328"/>
  <c r="S324"/>
  <c r="S320"/>
  <c r="S316"/>
  <c r="S312"/>
  <c r="S308"/>
  <c r="S304"/>
  <c r="S300"/>
  <c r="S296"/>
  <c r="S292"/>
  <c r="S288"/>
  <c r="S284"/>
  <c r="S280"/>
  <c r="S276"/>
  <c r="S272"/>
  <c r="S268"/>
  <c r="S264"/>
  <c r="S260"/>
  <c r="S256"/>
  <c r="S252"/>
  <c r="S248"/>
  <c r="S244"/>
  <c r="S240"/>
  <c r="S236"/>
  <c r="S569"/>
  <c r="S565"/>
  <c r="S561"/>
  <c r="S557"/>
  <c r="S553"/>
  <c r="S549"/>
  <c r="S545"/>
  <c r="S541"/>
  <c r="S537"/>
  <c r="S533"/>
  <c r="S529"/>
  <c r="S525"/>
  <c r="S521"/>
  <c r="S517"/>
  <c r="S513"/>
  <c r="S509"/>
  <c r="S505"/>
  <c r="S501"/>
  <c r="S497"/>
  <c r="S493"/>
  <c r="S489"/>
  <c r="S485"/>
  <c r="S481"/>
  <c r="S477"/>
  <c r="S473"/>
  <c r="S469"/>
  <c r="S465"/>
  <c r="S461"/>
  <c r="S457"/>
  <c r="S453"/>
  <c r="S449"/>
  <c r="S445"/>
  <c r="S441"/>
  <c r="S437"/>
  <c r="S433"/>
  <c r="S429"/>
  <c r="S425"/>
  <c r="S421"/>
  <c r="S417"/>
  <c r="S413"/>
  <c r="S409"/>
  <c r="S405"/>
  <c r="S401"/>
  <c r="S397"/>
  <c r="S393"/>
  <c r="S389"/>
  <c r="S385"/>
  <c r="S381"/>
  <c r="S377"/>
  <c r="S373"/>
  <c r="S369"/>
  <c r="S365"/>
  <c r="S361"/>
  <c r="S357"/>
  <c r="S353"/>
  <c r="S349"/>
  <c r="S345"/>
  <c r="S341"/>
  <c r="S337"/>
  <c r="S333"/>
  <c r="S329"/>
  <c r="S325"/>
  <c r="S321"/>
  <c r="S317"/>
  <c r="S313"/>
  <c r="S309"/>
  <c r="S305"/>
  <c r="S301"/>
  <c r="S297"/>
  <c r="S293"/>
  <c r="S289"/>
  <c r="S285"/>
  <c r="S281"/>
  <c r="S277"/>
  <c r="S273"/>
  <c r="S269"/>
  <c r="S265"/>
  <c r="S261"/>
  <c r="S257"/>
  <c r="S253"/>
  <c r="S249"/>
  <c r="S245"/>
  <c r="S241"/>
  <c r="S237"/>
  <c r="S571"/>
  <c r="S567"/>
  <c r="S563"/>
  <c r="S559"/>
  <c r="S555"/>
  <c r="S551"/>
  <c r="S547"/>
  <c r="S543"/>
  <c r="S539"/>
  <c r="S535"/>
  <c r="S531"/>
  <c r="S527"/>
  <c r="S523"/>
  <c r="S519"/>
  <c r="S515"/>
  <c r="S511"/>
  <c r="S507"/>
  <c r="S503"/>
  <c r="S499"/>
  <c r="S495"/>
  <c r="S491"/>
  <c r="S487"/>
  <c r="S483"/>
  <c r="S479"/>
  <c r="S475"/>
  <c r="S471"/>
  <c r="S467"/>
  <c r="S463"/>
  <c r="S459"/>
  <c r="S455"/>
  <c r="S451"/>
  <c r="S447"/>
  <c r="S443"/>
  <c r="S439"/>
  <c r="S435"/>
  <c r="S431"/>
  <c r="S427"/>
  <c r="S423"/>
  <c r="S419"/>
  <c r="S415"/>
  <c r="S411"/>
  <c r="S407"/>
  <c r="S403"/>
  <c r="S399"/>
  <c r="S395"/>
  <c r="S391"/>
  <c r="S387"/>
  <c r="S383"/>
  <c r="S379"/>
  <c r="S375"/>
  <c r="S371"/>
  <c r="S367"/>
  <c r="S363"/>
  <c r="S359"/>
  <c r="S355"/>
  <c r="S351"/>
  <c r="S347"/>
  <c r="S343"/>
  <c r="S339"/>
  <c r="S335"/>
  <c r="S331"/>
  <c r="S327"/>
  <c r="S323"/>
  <c r="S319"/>
  <c r="S315"/>
  <c r="S311"/>
  <c r="S307"/>
  <c r="S303"/>
  <c r="S299"/>
  <c r="S295"/>
  <c r="S291"/>
  <c r="S287"/>
  <c r="S283"/>
  <c r="S279"/>
  <c r="S275"/>
  <c r="S271"/>
  <c r="S267"/>
  <c r="S263"/>
  <c r="S259"/>
  <c r="S255"/>
  <c r="S251"/>
  <c r="S247"/>
  <c r="S243"/>
  <c r="S239"/>
  <c r="S235"/>
  <c r="S232"/>
  <c r="S229"/>
  <c r="S228"/>
  <c r="G98" i="13"/>
  <c r="G100"/>
  <c r="G101"/>
  <c r="G96"/>
  <c r="C42" i="3"/>
  <c r="C43"/>
  <c r="C44"/>
  <c r="C45"/>
  <c r="C47"/>
  <c r="D42"/>
  <c r="D43"/>
  <c r="D44"/>
  <c r="D45"/>
  <c r="D47"/>
  <c r="B300" i="26"/>
  <c r="G300"/>
  <c r="Z300" s="1"/>
  <c r="H300"/>
  <c r="Y300" s="1"/>
  <c r="J300"/>
  <c r="K300" s="1"/>
  <c r="N300"/>
  <c r="O300" s="1"/>
  <c r="Q300"/>
  <c r="R300"/>
  <c r="V300" s="1"/>
  <c r="W300"/>
  <c r="X300" s="1"/>
  <c r="B285"/>
  <c r="G285"/>
  <c r="Z285" s="1"/>
  <c r="H285"/>
  <c r="Y285" s="1"/>
  <c r="J285"/>
  <c r="K285" s="1"/>
  <c r="N285"/>
  <c r="O285" s="1"/>
  <c r="Q285"/>
  <c r="R285"/>
  <c r="V285" s="1"/>
  <c r="W285"/>
  <c r="X285" s="1"/>
  <c r="C31" i="21"/>
  <c r="C32"/>
  <c r="D31"/>
  <c r="D32"/>
  <c r="D2"/>
  <c r="B37" i="19"/>
  <c r="C37"/>
  <c r="D41" i="3"/>
  <c r="B39"/>
  <c r="B40"/>
  <c r="B41"/>
  <c r="C191" i="18"/>
  <c r="G191"/>
  <c r="H191"/>
  <c r="I191"/>
  <c r="J191"/>
  <c r="K191"/>
  <c r="L191"/>
  <c r="M191"/>
  <c r="N191"/>
  <c r="O191"/>
  <c r="P191"/>
  <c r="Q191"/>
  <c r="R191"/>
  <c r="G258" i="26"/>
  <c r="G262" i="13"/>
  <c r="G261"/>
  <c r="G260"/>
  <c r="G259"/>
  <c r="L300" i="26" l="1"/>
  <c r="M300" s="1"/>
  <c r="T300"/>
  <c r="P300"/>
  <c r="S300"/>
  <c r="T285"/>
  <c r="L285"/>
  <c r="M285" s="1"/>
  <c r="P285"/>
  <c r="S285"/>
  <c r="F32" i="21"/>
  <c r="G32" s="1"/>
  <c r="B36" i="19"/>
  <c r="C32"/>
  <c r="C33"/>
  <c r="C34"/>
  <c r="C35"/>
  <c r="C36"/>
  <c r="B34" i="3" l="1"/>
  <c r="C34"/>
  <c r="D34"/>
  <c r="G361" i="13"/>
  <c r="G205" i="26"/>
  <c r="C268" i="18" l="1"/>
  <c r="C269"/>
  <c r="C270"/>
  <c r="C271"/>
  <c r="C272"/>
  <c r="G268"/>
  <c r="G269"/>
  <c r="G270"/>
  <c r="G271"/>
  <c r="G272"/>
  <c r="H268"/>
  <c r="H269"/>
  <c r="H270"/>
  <c r="H271"/>
  <c r="H272"/>
  <c r="I268"/>
  <c r="I269"/>
  <c r="I270"/>
  <c r="I271"/>
  <c r="I272"/>
  <c r="J268"/>
  <c r="J269"/>
  <c r="J270"/>
  <c r="J271"/>
  <c r="J272"/>
  <c r="K268"/>
  <c r="K269"/>
  <c r="K270"/>
  <c r="K271"/>
  <c r="K272"/>
  <c r="L268"/>
  <c r="L269"/>
  <c r="L270"/>
  <c r="L271"/>
  <c r="L272"/>
  <c r="M268"/>
  <c r="M269"/>
  <c r="M270"/>
  <c r="M271"/>
  <c r="M272"/>
  <c r="N268"/>
  <c r="N269"/>
  <c r="N270"/>
  <c r="N271"/>
  <c r="N272"/>
  <c r="O268"/>
  <c r="O269"/>
  <c r="O270"/>
  <c r="O271"/>
  <c r="O272"/>
  <c r="P268"/>
  <c r="P269"/>
  <c r="P270"/>
  <c r="P271"/>
  <c r="P272"/>
  <c r="Q268"/>
  <c r="Q269"/>
  <c r="Q270"/>
  <c r="Q271"/>
  <c r="Q272"/>
  <c r="R268"/>
  <c r="R269"/>
  <c r="R270"/>
  <c r="R271"/>
  <c r="R272"/>
  <c r="C277"/>
  <c r="G277"/>
  <c r="H277"/>
  <c r="I277"/>
  <c r="J277"/>
  <c r="K277"/>
  <c r="L277"/>
  <c r="M277"/>
  <c r="N277"/>
  <c r="O277"/>
  <c r="P277"/>
  <c r="Q277"/>
  <c r="R277"/>
  <c r="C276"/>
  <c r="D276"/>
  <c r="G276"/>
  <c r="H276"/>
  <c r="I276"/>
  <c r="J276"/>
  <c r="K276"/>
  <c r="L276"/>
  <c r="M276"/>
  <c r="N276"/>
  <c r="O276"/>
  <c r="P276"/>
  <c r="Q276"/>
  <c r="R276"/>
  <c r="G358" i="13"/>
  <c r="G357"/>
  <c r="G356"/>
  <c r="G347"/>
  <c r="G346"/>
  <c r="G345"/>
  <c r="C275" i="18"/>
  <c r="G275"/>
  <c r="H275"/>
  <c r="I275"/>
  <c r="J275"/>
  <c r="K275"/>
  <c r="L275"/>
  <c r="M275"/>
  <c r="N275"/>
  <c r="O275"/>
  <c r="P275"/>
  <c r="Q275"/>
  <c r="R275"/>
  <c r="C274"/>
  <c r="G274"/>
  <c r="H274"/>
  <c r="I274"/>
  <c r="J274"/>
  <c r="K274"/>
  <c r="L274"/>
  <c r="M274"/>
  <c r="N274"/>
  <c r="O274"/>
  <c r="P274"/>
  <c r="Q274"/>
  <c r="R274"/>
  <c r="C273"/>
  <c r="G273"/>
  <c r="H273"/>
  <c r="I273"/>
  <c r="J273"/>
  <c r="K273"/>
  <c r="L273"/>
  <c r="M273"/>
  <c r="N273"/>
  <c r="O273"/>
  <c r="P273"/>
  <c r="Q273"/>
  <c r="R273"/>
  <c r="C264"/>
  <c r="G264"/>
  <c r="H264"/>
  <c r="I264"/>
  <c r="J264"/>
  <c r="K264"/>
  <c r="L264"/>
  <c r="M264"/>
  <c r="N264"/>
  <c r="O264"/>
  <c r="P264"/>
  <c r="Q264"/>
  <c r="R264"/>
  <c r="C263"/>
  <c r="G263"/>
  <c r="H263"/>
  <c r="I263"/>
  <c r="J263"/>
  <c r="K263"/>
  <c r="L263"/>
  <c r="M263"/>
  <c r="N263"/>
  <c r="O263"/>
  <c r="P263"/>
  <c r="Q263"/>
  <c r="R263"/>
  <c r="C262"/>
  <c r="G262"/>
  <c r="H262"/>
  <c r="I262"/>
  <c r="J262"/>
  <c r="K262"/>
  <c r="L262"/>
  <c r="M262"/>
  <c r="N262"/>
  <c r="O262"/>
  <c r="P262"/>
  <c r="Q262"/>
  <c r="R262"/>
  <c r="C261"/>
  <c r="G261"/>
  <c r="H261"/>
  <c r="I261"/>
  <c r="J261"/>
  <c r="K261"/>
  <c r="L261"/>
  <c r="M261"/>
  <c r="N261"/>
  <c r="O261"/>
  <c r="P261"/>
  <c r="Q261"/>
  <c r="R261"/>
  <c r="C260"/>
  <c r="G260"/>
  <c r="H260"/>
  <c r="I260"/>
  <c r="J260"/>
  <c r="K260"/>
  <c r="L260"/>
  <c r="M260"/>
  <c r="N260"/>
  <c r="O260"/>
  <c r="P260"/>
  <c r="Q260"/>
  <c r="R260"/>
  <c r="G355" i="13"/>
  <c r="G344"/>
  <c r="F276" i="18" l="1"/>
  <c r="G137" i="23"/>
  <c r="G354" i="13"/>
  <c r="G352"/>
  <c r="G353"/>
  <c r="G343"/>
  <c r="G342"/>
  <c r="G341"/>
  <c r="C39" i="3"/>
  <c r="C40"/>
  <c r="C41"/>
  <c r="D39"/>
  <c r="D40"/>
  <c r="B38"/>
  <c r="C38"/>
  <c r="D38"/>
  <c r="C256" i="18" l="1"/>
  <c r="G256"/>
  <c r="H256"/>
  <c r="I256"/>
  <c r="J256"/>
  <c r="K256"/>
  <c r="L256"/>
  <c r="M256"/>
  <c r="N256"/>
  <c r="O256"/>
  <c r="P256"/>
  <c r="Q256"/>
  <c r="R256"/>
  <c r="C250"/>
  <c r="C251"/>
  <c r="C252"/>
  <c r="G250"/>
  <c r="G251"/>
  <c r="G252"/>
  <c r="H250"/>
  <c r="H251"/>
  <c r="H252"/>
  <c r="I250"/>
  <c r="I251"/>
  <c r="I252"/>
  <c r="J250"/>
  <c r="J251"/>
  <c r="J252"/>
  <c r="K250"/>
  <c r="K251"/>
  <c r="K252"/>
  <c r="L250"/>
  <c r="L251"/>
  <c r="L252"/>
  <c r="M250"/>
  <c r="M251"/>
  <c r="M252"/>
  <c r="N250"/>
  <c r="N251"/>
  <c r="N252"/>
  <c r="O250"/>
  <c r="O251"/>
  <c r="O252"/>
  <c r="P250"/>
  <c r="P251"/>
  <c r="P252"/>
  <c r="Q250"/>
  <c r="Q251"/>
  <c r="Q252"/>
  <c r="R250"/>
  <c r="R251"/>
  <c r="R252"/>
  <c r="C255"/>
  <c r="G255"/>
  <c r="H255"/>
  <c r="I255"/>
  <c r="J255"/>
  <c r="K255"/>
  <c r="L255"/>
  <c r="M255"/>
  <c r="N255"/>
  <c r="O255"/>
  <c r="P255"/>
  <c r="Q255"/>
  <c r="R255"/>
  <c r="C254"/>
  <c r="G254"/>
  <c r="H254"/>
  <c r="I254"/>
  <c r="J254"/>
  <c r="K254"/>
  <c r="L254"/>
  <c r="M254"/>
  <c r="N254"/>
  <c r="O254"/>
  <c r="P254"/>
  <c r="Q254"/>
  <c r="R254"/>
  <c r="C253"/>
  <c r="G253"/>
  <c r="H253"/>
  <c r="I253"/>
  <c r="J253"/>
  <c r="K253"/>
  <c r="L253"/>
  <c r="M253"/>
  <c r="N253"/>
  <c r="O253"/>
  <c r="P253"/>
  <c r="Q253"/>
  <c r="R253"/>
  <c r="C249"/>
  <c r="C257"/>
  <c r="C258"/>
  <c r="C259"/>
  <c r="C265"/>
  <c r="C266"/>
  <c r="C267"/>
  <c r="C278"/>
  <c r="G106" i="25"/>
  <c r="G336" i="13"/>
  <c r="G335"/>
  <c r="G334"/>
  <c r="G333"/>
  <c r="G332"/>
  <c r="G328"/>
  <c r="G329"/>
  <c r="G330"/>
  <c r="G331"/>
  <c r="G360" l="1"/>
  <c r="G351"/>
  <c r="C242" i="18"/>
  <c r="G242"/>
  <c r="H242"/>
  <c r="I242"/>
  <c r="J242"/>
  <c r="K242"/>
  <c r="L242"/>
  <c r="M242"/>
  <c r="N242"/>
  <c r="O242"/>
  <c r="P242"/>
  <c r="Q242"/>
  <c r="R242"/>
  <c r="C241"/>
  <c r="G241"/>
  <c r="H241"/>
  <c r="I241"/>
  <c r="J241"/>
  <c r="K241"/>
  <c r="L241"/>
  <c r="M241"/>
  <c r="N241"/>
  <c r="O241"/>
  <c r="P241"/>
  <c r="Q241"/>
  <c r="R241"/>
  <c r="C240"/>
  <c r="G240"/>
  <c r="H240"/>
  <c r="I240"/>
  <c r="J240"/>
  <c r="K240"/>
  <c r="L240"/>
  <c r="M240"/>
  <c r="N240"/>
  <c r="O240"/>
  <c r="P240"/>
  <c r="Q240"/>
  <c r="R240"/>
  <c r="C243"/>
  <c r="G243"/>
  <c r="H243"/>
  <c r="I243"/>
  <c r="J243"/>
  <c r="K243"/>
  <c r="L243"/>
  <c r="M243"/>
  <c r="N243"/>
  <c r="O243"/>
  <c r="P243"/>
  <c r="Q243"/>
  <c r="R243"/>
  <c r="G338" i="13"/>
  <c r="G339"/>
  <c r="G340"/>
  <c r="G349"/>
  <c r="G350"/>
  <c r="G319"/>
  <c r="G318"/>
  <c r="G317"/>
  <c r="G316"/>
  <c r="G313"/>
  <c r="B36" i="3" l="1"/>
  <c r="B37"/>
  <c r="C36"/>
  <c r="C37"/>
  <c r="D36"/>
  <c r="D37"/>
  <c r="G186" i="26"/>
  <c r="C79" i="18"/>
  <c r="G79"/>
  <c r="H79"/>
  <c r="I79"/>
  <c r="J79"/>
  <c r="K79"/>
  <c r="L79"/>
  <c r="M79"/>
  <c r="N79"/>
  <c r="O79"/>
  <c r="P79"/>
  <c r="Q79"/>
  <c r="R79"/>
  <c r="G105" i="13"/>
  <c r="C28" i="21"/>
  <c r="C29"/>
  <c r="C30"/>
  <c r="D28"/>
  <c r="D29"/>
  <c r="D30"/>
  <c r="J130" i="23"/>
  <c r="B573" i="6" l="1"/>
  <c r="G573"/>
  <c r="Z573" s="1"/>
  <c r="H573"/>
  <c r="Y573" s="1"/>
  <c r="J573"/>
  <c r="L573" s="1"/>
  <c r="N573"/>
  <c r="P573" s="1"/>
  <c r="Q573"/>
  <c r="R573"/>
  <c r="V573" s="1"/>
  <c r="W573"/>
  <c r="X573" s="1"/>
  <c r="L3" i="18"/>
  <c r="L4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3"/>
  <c r="L64"/>
  <c r="L65"/>
  <c r="L66"/>
  <c r="L67"/>
  <c r="L68"/>
  <c r="L69"/>
  <c r="L70"/>
  <c r="L71"/>
  <c r="L74"/>
  <c r="L75"/>
  <c r="L76"/>
  <c r="L77"/>
  <c r="L78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8"/>
  <c r="L249"/>
  <c r="L257"/>
  <c r="L258"/>
  <c r="L259"/>
  <c r="L265"/>
  <c r="L266"/>
  <c r="L267"/>
  <c r="L278"/>
  <c r="L2"/>
  <c r="C175"/>
  <c r="G175"/>
  <c r="H175"/>
  <c r="I175"/>
  <c r="J175"/>
  <c r="K175"/>
  <c r="M175"/>
  <c r="N175"/>
  <c r="O175"/>
  <c r="P175"/>
  <c r="Q175"/>
  <c r="R175"/>
  <c r="C135"/>
  <c r="G135"/>
  <c r="H135"/>
  <c r="I135"/>
  <c r="J135"/>
  <c r="K135"/>
  <c r="M135"/>
  <c r="N135"/>
  <c r="O135"/>
  <c r="P135"/>
  <c r="Q135"/>
  <c r="R135"/>
  <c r="G178" i="13"/>
  <c r="G138"/>
  <c r="J17" i="18"/>
  <c r="B5" i="19"/>
  <c r="K573" i="6" l="1"/>
  <c r="M573"/>
  <c r="O573"/>
  <c r="T573"/>
  <c r="S573"/>
  <c r="B149" i="26"/>
  <c r="C64" i="18"/>
  <c r="G64"/>
  <c r="H64"/>
  <c r="I64"/>
  <c r="J64"/>
  <c r="K64"/>
  <c r="M64"/>
  <c r="N64"/>
  <c r="O64"/>
  <c r="P64"/>
  <c r="Q64"/>
  <c r="R64"/>
  <c r="G83" i="13"/>
  <c r="N62" i="25"/>
  <c r="N63"/>
  <c r="C57" i="18"/>
  <c r="G267" l="1"/>
  <c r="H267"/>
  <c r="I267"/>
  <c r="J267"/>
  <c r="K267"/>
  <c r="M267"/>
  <c r="N267"/>
  <c r="O267"/>
  <c r="P267"/>
  <c r="Q267"/>
  <c r="R267"/>
  <c r="G266"/>
  <c r="H266"/>
  <c r="I266"/>
  <c r="J266"/>
  <c r="K266"/>
  <c r="M266"/>
  <c r="N266"/>
  <c r="O266"/>
  <c r="P266"/>
  <c r="Q266"/>
  <c r="R266"/>
  <c r="G265"/>
  <c r="H265"/>
  <c r="I265"/>
  <c r="J265"/>
  <c r="K265"/>
  <c r="M265"/>
  <c r="N265"/>
  <c r="O265"/>
  <c r="P265"/>
  <c r="Q265"/>
  <c r="R265"/>
  <c r="G259"/>
  <c r="H259"/>
  <c r="I259"/>
  <c r="J259"/>
  <c r="K259"/>
  <c r="M259"/>
  <c r="N259"/>
  <c r="O259"/>
  <c r="P259"/>
  <c r="Q259"/>
  <c r="R259"/>
  <c r="G258"/>
  <c r="H258"/>
  <c r="I258"/>
  <c r="J258"/>
  <c r="K258"/>
  <c r="M258"/>
  <c r="N258"/>
  <c r="O258"/>
  <c r="P258"/>
  <c r="Q258"/>
  <c r="R258"/>
  <c r="C110"/>
  <c r="G110"/>
  <c r="H110"/>
  <c r="I110"/>
  <c r="J110"/>
  <c r="K110"/>
  <c r="M110"/>
  <c r="N110"/>
  <c r="O110"/>
  <c r="P110"/>
  <c r="Q110"/>
  <c r="R110"/>
  <c r="G143" i="13"/>
  <c r="C30" i="3" l="1"/>
  <c r="C106" i="18"/>
  <c r="G106"/>
  <c r="H106"/>
  <c r="I106"/>
  <c r="J106"/>
  <c r="K106"/>
  <c r="M106"/>
  <c r="N106"/>
  <c r="O106"/>
  <c r="P106"/>
  <c r="Q106"/>
  <c r="R106"/>
  <c r="C105"/>
  <c r="G105"/>
  <c r="H105"/>
  <c r="I105"/>
  <c r="J105"/>
  <c r="K105"/>
  <c r="M105"/>
  <c r="N105"/>
  <c r="O105"/>
  <c r="P105"/>
  <c r="Q105"/>
  <c r="R105"/>
  <c r="G136" i="13"/>
  <c r="G135"/>
  <c r="C53" i="18"/>
  <c r="G53"/>
  <c r="H53"/>
  <c r="I53"/>
  <c r="J53"/>
  <c r="K53"/>
  <c r="M53"/>
  <c r="N53"/>
  <c r="O53"/>
  <c r="P53"/>
  <c r="Q53"/>
  <c r="R53"/>
  <c r="C52"/>
  <c r="G52"/>
  <c r="H52"/>
  <c r="I52"/>
  <c r="J52"/>
  <c r="K52"/>
  <c r="M52"/>
  <c r="N52"/>
  <c r="O52"/>
  <c r="P52"/>
  <c r="Q52"/>
  <c r="R52"/>
  <c r="G71" i="13"/>
  <c r="G70"/>
  <c r="B16" i="23" l="1"/>
  <c r="J10"/>
  <c r="G79" i="27" l="1"/>
  <c r="J90" i="6"/>
  <c r="B17" i="3"/>
  <c r="B18"/>
  <c r="C18"/>
  <c r="D18"/>
  <c r="C17"/>
  <c r="D17"/>
  <c r="H109" i="26" l="1"/>
  <c r="C29" i="3" l="1"/>
  <c r="J66" i="27"/>
  <c r="C101" i="18"/>
  <c r="G101"/>
  <c r="H101"/>
  <c r="I101"/>
  <c r="J101"/>
  <c r="K101"/>
  <c r="M101"/>
  <c r="N101"/>
  <c r="O101"/>
  <c r="P101"/>
  <c r="Q101"/>
  <c r="R101"/>
  <c r="C86"/>
  <c r="G86"/>
  <c r="H86"/>
  <c r="I86"/>
  <c r="J86"/>
  <c r="K86"/>
  <c r="M86"/>
  <c r="N86"/>
  <c r="O86"/>
  <c r="P86"/>
  <c r="Q86"/>
  <c r="R86"/>
  <c r="C85"/>
  <c r="G85"/>
  <c r="H85"/>
  <c r="I85"/>
  <c r="J85"/>
  <c r="K85"/>
  <c r="M85"/>
  <c r="N85"/>
  <c r="O85"/>
  <c r="P85"/>
  <c r="Q85"/>
  <c r="R85"/>
  <c r="C87"/>
  <c r="G87"/>
  <c r="H87"/>
  <c r="I87"/>
  <c r="J87"/>
  <c r="K87"/>
  <c r="M87"/>
  <c r="N87"/>
  <c r="O87"/>
  <c r="P87"/>
  <c r="Q87"/>
  <c r="R87"/>
  <c r="G130" i="13"/>
  <c r="G113"/>
  <c r="G112"/>
  <c r="G111"/>
  <c r="B64" i="27"/>
  <c r="G64"/>
  <c r="Z64" s="1"/>
  <c r="H64"/>
  <c r="Y64" s="1"/>
  <c r="J64"/>
  <c r="K64" s="1"/>
  <c r="N64"/>
  <c r="P64" s="1"/>
  <c r="Q64"/>
  <c r="R64"/>
  <c r="V64" s="1"/>
  <c r="W64"/>
  <c r="X64" s="1"/>
  <c r="G92" i="26"/>
  <c r="L64" i="27" l="1"/>
  <c r="M64" s="1"/>
  <c r="S64"/>
  <c r="O64"/>
  <c r="T64"/>
  <c r="C83" i="18"/>
  <c r="G83"/>
  <c r="H83"/>
  <c r="I83"/>
  <c r="J83"/>
  <c r="K83"/>
  <c r="M83"/>
  <c r="N83"/>
  <c r="O83"/>
  <c r="P83"/>
  <c r="Q83"/>
  <c r="R83"/>
  <c r="G109" i="13"/>
  <c r="C49" i="18"/>
  <c r="G49"/>
  <c r="H49"/>
  <c r="I49"/>
  <c r="J49"/>
  <c r="K49"/>
  <c r="M49"/>
  <c r="N49"/>
  <c r="O49"/>
  <c r="P49"/>
  <c r="Q49"/>
  <c r="R49"/>
  <c r="G62" i="6"/>
  <c r="B17" i="4"/>
  <c r="C17"/>
  <c r="D17"/>
  <c r="B17" i="5"/>
  <c r="C17"/>
  <c r="D17"/>
  <c r="B27" i="19"/>
  <c r="B28"/>
  <c r="C28"/>
  <c r="D27" i="21"/>
  <c r="G302" i="13"/>
  <c r="B41" i="27"/>
  <c r="B42"/>
  <c r="C90" i="18"/>
  <c r="G90"/>
  <c r="H90"/>
  <c r="I90"/>
  <c r="J90"/>
  <c r="K90"/>
  <c r="M90"/>
  <c r="N90"/>
  <c r="O90"/>
  <c r="P90"/>
  <c r="Q90"/>
  <c r="R90"/>
  <c r="C89"/>
  <c r="G89"/>
  <c r="H89"/>
  <c r="I89"/>
  <c r="J89"/>
  <c r="K89"/>
  <c r="M89"/>
  <c r="N89"/>
  <c r="O89"/>
  <c r="P89"/>
  <c r="Q89"/>
  <c r="R89"/>
  <c r="G117" i="13"/>
  <c r="G116"/>
  <c r="D22" i="3"/>
  <c r="H51" i="24"/>
  <c r="H52"/>
  <c r="H53"/>
  <c r="H54"/>
  <c r="H55"/>
  <c r="H56"/>
  <c r="H57"/>
  <c r="H58"/>
  <c r="H59"/>
  <c r="H60"/>
  <c r="H61"/>
  <c r="H62"/>
  <c r="G2" i="18"/>
  <c r="G8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5"/>
  <c r="R36"/>
  <c r="R37"/>
  <c r="R38"/>
  <c r="R39"/>
  <c r="R40"/>
  <c r="R41"/>
  <c r="R42"/>
  <c r="R43"/>
  <c r="R44"/>
  <c r="R45"/>
  <c r="R46"/>
  <c r="R47"/>
  <c r="R48"/>
  <c r="R50"/>
  <c r="R51"/>
  <c r="R54"/>
  <c r="R55"/>
  <c r="R56"/>
  <c r="R57"/>
  <c r="R58"/>
  <c r="R59"/>
  <c r="R60"/>
  <c r="R63"/>
  <c r="R65"/>
  <c r="R66"/>
  <c r="R67"/>
  <c r="R68"/>
  <c r="R69"/>
  <c r="R70"/>
  <c r="R71"/>
  <c r="R74"/>
  <c r="R75"/>
  <c r="R76"/>
  <c r="R77"/>
  <c r="R78"/>
  <c r="R81"/>
  <c r="R82"/>
  <c r="R84"/>
  <c r="R88"/>
  <c r="R91"/>
  <c r="R92"/>
  <c r="R93"/>
  <c r="R94"/>
  <c r="R95"/>
  <c r="R96"/>
  <c r="R97"/>
  <c r="R98"/>
  <c r="R99"/>
  <c r="R100"/>
  <c r="R102"/>
  <c r="R103"/>
  <c r="R104"/>
  <c r="R107"/>
  <c r="R108"/>
  <c r="R109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6"/>
  <c r="R177"/>
  <c r="R178"/>
  <c r="R179"/>
  <c r="R180"/>
  <c r="R181"/>
  <c r="R182"/>
  <c r="R183"/>
  <c r="R184"/>
  <c r="R185"/>
  <c r="R186"/>
  <c r="R187"/>
  <c r="R188"/>
  <c r="R189"/>
  <c r="R190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8"/>
  <c r="R249"/>
  <c r="R257"/>
  <c r="R278"/>
  <c r="R2"/>
  <c r="Q3"/>
  <c r="Q4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5"/>
  <c r="Q36"/>
  <c r="Q37"/>
  <c r="Q38"/>
  <c r="Q39"/>
  <c r="Q40"/>
  <c r="Q41"/>
  <c r="Q42"/>
  <c r="Q43"/>
  <c r="Q44"/>
  <c r="Q45"/>
  <c r="Q46"/>
  <c r="Q47"/>
  <c r="Q48"/>
  <c r="Q50"/>
  <c r="Q51"/>
  <c r="Q54"/>
  <c r="Q55"/>
  <c r="Q56"/>
  <c r="Q57"/>
  <c r="Q58"/>
  <c r="Q59"/>
  <c r="Q60"/>
  <c r="Q63"/>
  <c r="Q65"/>
  <c r="Q66"/>
  <c r="Q67"/>
  <c r="Q68"/>
  <c r="Q69"/>
  <c r="Q70"/>
  <c r="Q71"/>
  <c r="Q74"/>
  <c r="Q75"/>
  <c r="Q76"/>
  <c r="Q77"/>
  <c r="Q78"/>
  <c r="Q81"/>
  <c r="Q82"/>
  <c r="Q84"/>
  <c r="Q88"/>
  <c r="Q91"/>
  <c r="Q92"/>
  <c r="Q93"/>
  <c r="Q94"/>
  <c r="Q95"/>
  <c r="Q96"/>
  <c r="Q97"/>
  <c r="Q98"/>
  <c r="Q99"/>
  <c r="Q100"/>
  <c r="Q102"/>
  <c r="Q103"/>
  <c r="Q104"/>
  <c r="Q107"/>
  <c r="Q108"/>
  <c r="Q109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6"/>
  <c r="Q177"/>
  <c r="Q178"/>
  <c r="Q179"/>
  <c r="Q180"/>
  <c r="Q181"/>
  <c r="Q182"/>
  <c r="Q183"/>
  <c r="Q184"/>
  <c r="Q185"/>
  <c r="Q186"/>
  <c r="Q187"/>
  <c r="Q188"/>
  <c r="Q189"/>
  <c r="Q190"/>
  <c r="Q192"/>
  <c r="Q193"/>
  <c r="Q194"/>
  <c r="Q195"/>
  <c r="Q196"/>
  <c r="Q197"/>
  <c r="Q198"/>
  <c r="Q199"/>
  <c r="Q200"/>
  <c r="Q201"/>
  <c r="Q202"/>
  <c r="Q203"/>
  <c r="Q204"/>
  <c r="Q205"/>
  <c r="Q206"/>
  <c r="Q207"/>
  <c r="Q208"/>
  <c r="Q209"/>
  <c r="Q210"/>
  <c r="Q211"/>
  <c r="Q212"/>
  <c r="Q213"/>
  <c r="Q214"/>
  <c r="Q215"/>
  <c r="Q216"/>
  <c r="Q217"/>
  <c r="Q218"/>
  <c r="Q219"/>
  <c r="Q220"/>
  <c r="Q221"/>
  <c r="Q222"/>
  <c r="Q223"/>
  <c r="Q224"/>
  <c r="Q225"/>
  <c r="Q226"/>
  <c r="Q227"/>
  <c r="Q228"/>
  <c r="Q229"/>
  <c r="Q230"/>
  <c r="Q231"/>
  <c r="Q232"/>
  <c r="Q233"/>
  <c r="Q234"/>
  <c r="Q235"/>
  <c r="Q236"/>
  <c r="Q237"/>
  <c r="Q238"/>
  <c r="Q239"/>
  <c r="Q248"/>
  <c r="Q249"/>
  <c r="Q257"/>
  <c r="Q278"/>
  <c r="Q2"/>
  <c r="P3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5"/>
  <c r="P36"/>
  <c r="P37"/>
  <c r="P38"/>
  <c r="P39"/>
  <c r="P40"/>
  <c r="P41"/>
  <c r="P42"/>
  <c r="P43"/>
  <c r="P44"/>
  <c r="P45"/>
  <c r="P46"/>
  <c r="P47"/>
  <c r="P48"/>
  <c r="P50"/>
  <c r="P51"/>
  <c r="P54"/>
  <c r="P55"/>
  <c r="P56"/>
  <c r="P57"/>
  <c r="P58"/>
  <c r="P59"/>
  <c r="P60"/>
  <c r="P63"/>
  <c r="P65"/>
  <c r="P66"/>
  <c r="P67"/>
  <c r="P68"/>
  <c r="P69"/>
  <c r="P70"/>
  <c r="P71"/>
  <c r="P74"/>
  <c r="P75"/>
  <c r="P76"/>
  <c r="P77"/>
  <c r="P78"/>
  <c r="P81"/>
  <c r="P82"/>
  <c r="P84"/>
  <c r="P88"/>
  <c r="P91"/>
  <c r="P92"/>
  <c r="P93"/>
  <c r="P94"/>
  <c r="P95"/>
  <c r="P96"/>
  <c r="P97"/>
  <c r="P98"/>
  <c r="P99"/>
  <c r="P100"/>
  <c r="P102"/>
  <c r="P103"/>
  <c r="P104"/>
  <c r="P107"/>
  <c r="P108"/>
  <c r="P109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6"/>
  <c r="P177"/>
  <c r="P178"/>
  <c r="P179"/>
  <c r="P180"/>
  <c r="P181"/>
  <c r="P182"/>
  <c r="P183"/>
  <c r="P184"/>
  <c r="P185"/>
  <c r="P186"/>
  <c r="P187"/>
  <c r="P188"/>
  <c r="P189"/>
  <c r="P190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8"/>
  <c r="P249"/>
  <c r="P257"/>
  <c r="P278"/>
  <c r="P2"/>
  <c r="O3"/>
  <c r="O4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5"/>
  <c r="O36"/>
  <c r="O37"/>
  <c r="O38"/>
  <c r="O39"/>
  <c r="O40"/>
  <c r="O41"/>
  <c r="O42"/>
  <c r="O43"/>
  <c r="O44"/>
  <c r="O45"/>
  <c r="O46"/>
  <c r="O47"/>
  <c r="O48"/>
  <c r="O50"/>
  <c r="O51"/>
  <c r="O54"/>
  <c r="O55"/>
  <c r="O56"/>
  <c r="O57"/>
  <c r="O58"/>
  <c r="O59"/>
  <c r="O60"/>
  <c r="O63"/>
  <c r="O65"/>
  <c r="O66"/>
  <c r="O67"/>
  <c r="O68"/>
  <c r="O69"/>
  <c r="O70"/>
  <c r="O71"/>
  <c r="O74"/>
  <c r="O75"/>
  <c r="O76"/>
  <c r="O77"/>
  <c r="O78"/>
  <c r="O81"/>
  <c r="O82"/>
  <c r="O84"/>
  <c r="O88"/>
  <c r="O91"/>
  <c r="O92"/>
  <c r="O93"/>
  <c r="O94"/>
  <c r="O95"/>
  <c r="O96"/>
  <c r="O97"/>
  <c r="O98"/>
  <c r="O99"/>
  <c r="O100"/>
  <c r="O102"/>
  <c r="O103"/>
  <c r="O104"/>
  <c r="O107"/>
  <c r="O108"/>
  <c r="O109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6"/>
  <c r="O177"/>
  <c r="O178"/>
  <c r="O179"/>
  <c r="O180"/>
  <c r="O181"/>
  <c r="O182"/>
  <c r="O183"/>
  <c r="O184"/>
  <c r="O185"/>
  <c r="O186"/>
  <c r="O187"/>
  <c r="O188"/>
  <c r="O189"/>
  <c r="O190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8"/>
  <c r="O249"/>
  <c r="O257"/>
  <c r="O278"/>
  <c r="O2"/>
  <c r="N3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5"/>
  <c r="N36"/>
  <c r="N37"/>
  <c r="N38"/>
  <c r="N39"/>
  <c r="N40"/>
  <c r="N41"/>
  <c r="N42"/>
  <c r="N43"/>
  <c r="N44"/>
  <c r="N45"/>
  <c r="N46"/>
  <c r="N47"/>
  <c r="N48"/>
  <c r="N50"/>
  <c r="N51"/>
  <c r="N54"/>
  <c r="N55"/>
  <c r="N56"/>
  <c r="N57"/>
  <c r="N58"/>
  <c r="N59"/>
  <c r="N60"/>
  <c r="N63"/>
  <c r="N65"/>
  <c r="N66"/>
  <c r="N67"/>
  <c r="N68"/>
  <c r="N69"/>
  <c r="N70"/>
  <c r="N71"/>
  <c r="N74"/>
  <c r="N75"/>
  <c r="N76"/>
  <c r="N77"/>
  <c r="N78"/>
  <c r="N81"/>
  <c r="N82"/>
  <c r="N84"/>
  <c r="N88"/>
  <c r="N91"/>
  <c r="N92"/>
  <c r="N93"/>
  <c r="N94"/>
  <c r="N95"/>
  <c r="N96"/>
  <c r="N97"/>
  <c r="N98"/>
  <c r="N99"/>
  <c r="N100"/>
  <c r="N102"/>
  <c r="N103"/>
  <c r="N104"/>
  <c r="N107"/>
  <c r="N108"/>
  <c r="N109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6"/>
  <c r="N177"/>
  <c r="N178"/>
  <c r="N179"/>
  <c r="N180"/>
  <c r="N181"/>
  <c r="N182"/>
  <c r="N183"/>
  <c r="N184"/>
  <c r="N185"/>
  <c r="N186"/>
  <c r="N187"/>
  <c r="N188"/>
  <c r="N189"/>
  <c r="N190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8"/>
  <c r="N249"/>
  <c r="N257"/>
  <c r="N278"/>
  <c r="N2"/>
  <c r="M3"/>
  <c r="M4"/>
  <c r="M5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5"/>
  <c r="M36"/>
  <c r="M37"/>
  <c r="M38"/>
  <c r="M39"/>
  <c r="M40"/>
  <c r="M41"/>
  <c r="M42"/>
  <c r="M43"/>
  <c r="M44"/>
  <c r="M45"/>
  <c r="M46"/>
  <c r="M47"/>
  <c r="M48"/>
  <c r="M50"/>
  <c r="M51"/>
  <c r="M54"/>
  <c r="M55"/>
  <c r="M56"/>
  <c r="M57"/>
  <c r="M58"/>
  <c r="M59"/>
  <c r="M60"/>
  <c r="M63"/>
  <c r="M65"/>
  <c r="M66"/>
  <c r="M67"/>
  <c r="M68"/>
  <c r="M69"/>
  <c r="M70"/>
  <c r="M71"/>
  <c r="M74"/>
  <c r="M75"/>
  <c r="M76"/>
  <c r="M77"/>
  <c r="M78"/>
  <c r="M81"/>
  <c r="M82"/>
  <c r="M84"/>
  <c r="M88"/>
  <c r="M91"/>
  <c r="M92"/>
  <c r="M93"/>
  <c r="M94"/>
  <c r="M95"/>
  <c r="M96"/>
  <c r="M97"/>
  <c r="M98"/>
  <c r="M99"/>
  <c r="M100"/>
  <c r="M102"/>
  <c r="M103"/>
  <c r="M104"/>
  <c r="M107"/>
  <c r="M108"/>
  <c r="M109"/>
  <c r="M111"/>
  <c r="M112"/>
  <c r="M113"/>
  <c r="M114"/>
  <c r="M115"/>
  <c r="M116"/>
  <c r="M117"/>
  <c r="M118"/>
  <c r="M119"/>
  <c r="M120"/>
  <c r="M121"/>
  <c r="M122"/>
  <c r="M123"/>
  <c r="M124"/>
  <c r="M125"/>
  <c r="M126"/>
  <c r="M127"/>
  <c r="M128"/>
  <c r="M129"/>
  <c r="M130"/>
  <c r="M131"/>
  <c r="M132"/>
  <c r="M133"/>
  <c r="M134"/>
  <c r="M136"/>
  <c r="M137"/>
  <c r="M138"/>
  <c r="M139"/>
  <c r="M140"/>
  <c r="M141"/>
  <c r="M142"/>
  <c r="M143"/>
  <c r="M144"/>
  <c r="M145"/>
  <c r="M146"/>
  <c r="M147"/>
  <c r="M148"/>
  <c r="M149"/>
  <c r="M150"/>
  <c r="M151"/>
  <c r="M152"/>
  <c r="M153"/>
  <c r="M154"/>
  <c r="M155"/>
  <c r="M156"/>
  <c r="M157"/>
  <c r="M158"/>
  <c r="M159"/>
  <c r="M160"/>
  <c r="M161"/>
  <c r="M162"/>
  <c r="M163"/>
  <c r="M164"/>
  <c r="M165"/>
  <c r="M166"/>
  <c r="M167"/>
  <c r="M168"/>
  <c r="M169"/>
  <c r="M170"/>
  <c r="M171"/>
  <c r="M172"/>
  <c r="M173"/>
  <c r="M174"/>
  <c r="M176"/>
  <c r="M177"/>
  <c r="M178"/>
  <c r="M179"/>
  <c r="M180"/>
  <c r="M181"/>
  <c r="M182"/>
  <c r="M183"/>
  <c r="M184"/>
  <c r="M185"/>
  <c r="M186"/>
  <c r="M187"/>
  <c r="M188"/>
  <c r="M189"/>
  <c r="M190"/>
  <c r="M192"/>
  <c r="M193"/>
  <c r="M194"/>
  <c r="M195"/>
  <c r="M196"/>
  <c r="M197"/>
  <c r="M198"/>
  <c r="M199"/>
  <c r="M200"/>
  <c r="M201"/>
  <c r="M202"/>
  <c r="M203"/>
  <c r="M204"/>
  <c r="M205"/>
  <c r="M206"/>
  <c r="M207"/>
  <c r="M208"/>
  <c r="M209"/>
  <c r="M210"/>
  <c r="M211"/>
  <c r="M212"/>
  <c r="M213"/>
  <c r="M214"/>
  <c r="M215"/>
  <c r="M216"/>
  <c r="M217"/>
  <c r="M218"/>
  <c r="M219"/>
  <c r="M220"/>
  <c r="M221"/>
  <c r="M222"/>
  <c r="M223"/>
  <c r="M224"/>
  <c r="M225"/>
  <c r="M226"/>
  <c r="M227"/>
  <c r="M228"/>
  <c r="M229"/>
  <c r="M230"/>
  <c r="M231"/>
  <c r="M232"/>
  <c r="M233"/>
  <c r="M234"/>
  <c r="M235"/>
  <c r="M236"/>
  <c r="M237"/>
  <c r="M238"/>
  <c r="M239"/>
  <c r="M248"/>
  <c r="M249"/>
  <c r="M257"/>
  <c r="M278"/>
  <c r="M2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5"/>
  <c r="K36"/>
  <c r="K37"/>
  <c r="K38"/>
  <c r="K39"/>
  <c r="K40"/>
  <c r="K41"/>
  <c r="K42"/>
  <c r="K43"/>
  <c r="K44"/>
  <c r="K45"/>
  <c r="K46"/>
  <c r="K47"/>
  <c r="K48"/>
  <c r="K50"/>
  <c r="K51"/>
  <c r="K54"/>
  <c r="K55"/>
  <c r="K56"/>
  <c r="K57"/>
  <c r="K58"/>
  <c r="K59"/>
  <c r="K60"/>
  <c r="K63"/>
  <c r="K65"/>
  <c r="K66"/>
  <c r="K67"/>
  <c r="K68"/>
  <c r="K69"/>
  <c r="K70"/>
  <c r="K71"/>
  <c r="K74"/>
  <c r="K75"/>
  <c r="K76"/>
  <c r="K77"/>
  <c r="K78"/>
  <c r="K81"/>
  <c r="K82"/>
  <c r="K84"/>
  <c r="K88"/>
  <c r="K91"/>
  <c r="K92"/>
  <c r="K93"/>
  <c r="K94"/>
  <c r="K95"/>
  <c r="K96"/>
  <c r="K97"/>
  <c r="K98"/>
  <c r="K99"/>
  <c r="K100"/>
  <c r="K102"/>
  <c r="K103"/>
  <c r="K104"/>
  <c r="K107"/>
  <c r="K108"/>
  <c r="K109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6"/>
  <c r="K177"/>
  <c r="K178"/>
  <c r="K179"/>
  <c r="K180"/>
  <c r="K181"/>
  <c r="K182"/>
  <c r="K183"/>
  <c r="K184"/>
  <c r="K185"/>
  <c r="K186"/>
  <c r="K187"/>
  <c r="K188"/>
  <c r="K189"/>
  <c r="K190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8"/>
  <c r="K249"/>
  <c r="K257"/>
  <c r="K278"/>
  <c r="K2"/>
  <c r="J3"/>
  <c r="J4"/>
  <c r="J5"/>
  <c r="J6"/>
  <c r="J7"/>
  <c r="J8"/>
  <c r="J9"/>
  <c r="J10"/>
  <c r="J11"/>
  <c r="J12"/>
  <c r="J13"/>
  <c r="J14"/>
  <c r="J15"/>
  <c r="J16"/>
  <c r="J18"/>
  <c r="J19"/>
  <c r="J20"/>
  <c r="J21"/>
  <c r="J22"/>
  <c r="J23"/>
  <c r="J24"/>
  <c r="J25"/>
  <c r="J26"/>
  <c r="J27"/>
  <c r="J28"/>
  <c r="J29"/>
  <c r="J30"/>
  <c r="J31"/>
  <c r="J32"/>
  <c r="J35"/>
  <c r="J36"/>
  <c r="J37"/>
  <c r="J38"/>
  <c r="J39"/>
  <c r="J40"/>
  <c r="J41"/>
  <c r="J42"/>
  <c r="J43"/>
  <c r="J44"/>
  <c r="J45"/>
  <c r="J46"/>
  <c r="J47"/>
  <c r="J48"/>
  <c r="J50"/>
  <c r="J51"/>
  <c r="J54"/>
  <c r="J55"/>
  <c r="J56"/>
  <c r="J57"/>
  <c r="J58"/>
  <c r="J59"/>
  <c r="J60"/>
  <c r="J63"/>
  <c r="J65"/>
  <c r="J66"/>
  <c r="J67"/>
  <c r="J68"/>
  <c r="J69"/>
  <c r="J70"/>
  <c r="J71"/>
  <c r="J74"/>
  <c r="J75"/>
  <c r="J76"/>
  <c r="J77"/>
  <c r="J78"/>
  <c r="J81"/>
  <c r="J82"/>
  <c r="J84"/>
  <c r="J88"/>
  <c r="J91"/>
  <c r="J92"/>
  <c r="J93"/>
  <c r="J94"/>
  <c r="J95"/>
  <c r="J96"/>
  <c r="J97"/>
  <c r="J98"/>
  <c r="J99"/>
  <c r="J100"/>
  <c r="J102"/>
  <c r="J103"/>
  <c r="J104"/>
  <c r="J107"/>
  <c r="J108"/>
  <c r="J109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6"/>
  <c r="J177"/>
  <c r="J178"/>
  <c r="J179"/>
  <c r="J180"/>
  <c r="J181"/>
  <c r="J182"/>
  <c r="J183"/>
  <c r="J184"/>
  <c r="J185"/>
  <c r="J186"/>
  <c r="J187"/>
  <c r="J188"/>
  <c r="J189"/>
  <c r="J190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8"/>
  <c r="J249"/>
  <c r="J257"/>
  <c r="J278"/>
  <c r="J2"/>
  <c r="I3"/>
  <c r="I4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5"/>
  <c r="I36"/>
  <c r="I37"/>
  <c r="I38"/>
  <c r="I39"/>
  <c r="I40"/>
  <c r="I41"/>
  <c r="I42"/>
  <c r="I43"/>
  <c r="I44"/>
  <c r="I45"/>
  <c r="I46"/>
  <c r="I47"/>
  <c r="I48"/>
  <c r="I50"/>
  <c r="I51"/>
  <c r="I54"/>
  <c r="I55"/>
  <c r="I56"/>
  <c r="I57"/>
  <c r="I58"/>
  <c r="I59"/>
  <c r="I60"/>
  <c r="I63"/>
  <c r="I65"/>
  <c r="I66"/>
  <c r="I67"/>
  <c r="I68"/>
  <c r="I69"/>
  <c r="I70"/>
  <c r="I71"/>
  <c r="I74"/>
  <c r="I75"/>
  <c r="I76"/>
  <c r="I77"/>
  <c r="I78"/>
  <c r="I81"/>
  <c r="I82"/>
  <c r="I84"/>
  <c r="I88"/>
  <c r="I91"/>
  <c r="I92"/>
  <c r="I93"/>
  <c r="I94"/>
  <c r="I95"/>
  <c r="I96"/>
  <c r="I97"/>
  <c r="I98"/>
  <c r="I99"/>
  <c r="I100"/>
  <c r="I102"/>
  <c r="I103"/>
  <c r="I104"/>
  <c r="I107"/>
  <c r="I108"/>
  <c r="I109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6"/>
  <c r="I177"/>
  <c r="I178"/>
  <c r="I179"/>
  <c r="I180"/>
  <c r="I181"/>
  <c r="I182"/>
  <c r="I183"/>
  <c r="I184"/>
  <c r="I185"/>
  <c r="I186"/>
  <c r="I187"/>
  <c r="I188"/>
  <c r="I189"/>
  <c r="I190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8"/>
  <c r="I249"/>
  <c r="I257"/>
  <c r="I278"/>
  <c r="I2"/>
  <c r="H3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5"/>
  <c r="H36"/>
  <c r="H37"/>
  <c r="H38"/>
  <c r="H39"/>
  <c r="H40"/>
  <c r="H41"/>
  <c r="H42"/>
  <c r="H43"/>
  <c r="H44"/>
  <c r="H45"/>
  <c r="H46"/>
  <c r="H47"/>
  <c r="H48"/>
  <c r="H50"/>
  <c r="H51"/>
  <c r="H54"/>
  <c r="H55"/>
  <c r="H56"/>
  <c r="H57"/>
  <c r="H58"/>
  <c r="H59"/>
  <c r="H60"/>
  <c r="H63"/>
  <c r="H65"/>
  <c r="H66"/>
  <c r="H67"/>
  <c r="H68"/>
  <c r="H69"/>
  <c r="H70"/>
  <c r="H71"/>
  <c r="H74"/>
  <c r="H75"/>
  <c r="H76"/>
  <c r="H77"/>
  <c r="H78"/>
  <c r="H81"/>
  <c r="H82"/>
  <c r="H84"/>
  <c r="H88"/>
  <c r="H91"/>
  <c r="H92"/>
  <c r="H93"/>
  <c r="H94"/>
  <c r="H95"/>
  <c r="H96"/>
  <c r="H97"/>
  <c r="H98"/>
  <c r="H99"/>
  <c r="H100"/>
  <c r="H102"/>
  <c r="H103"/>
  <c r="H104"/>
  <c r="H107"/>
  <c r="H108"/>
  <c r="H109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6"/>
  <c r="H177"/>
  <c r="H178"/>
  <c r="H179"/>
  <c r="H180"/>
  <c r="H181"/>
  <c r="H182"/>
  <c r="H183"/>
  <c r="H184"/>
  <c r="H185"/>
  <c r="H186"/>
  <c r="H187"/>
  <c r="H188"/>
  <c r="H189"/>
  <c r="H190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8"/>
  <c r="H249"/>
  <c r="H257"/>
  <c r="H278"/>
  <c r="H2"/>
  <c r="G3"/>
  <c r="G4"/>
  <c r="G5"/>
  <c r="G6"/>
  <c r="G7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5"/>
  <c r="G36"/>
  <c r="G37"/>
  <c r="G38"/>
  <c r="G39"/>
  <c r="G40"/>
  <c r="G41"/>
  <c r="G42"/>
  <c r="G43"/>
  <c r="G44"/>
  <c r="G45"/>
  <c r="G46"/>
  <c r="G47"/>
  <c r="G48"/>
  <c r="G50"/>
  <c r="G51"/>
  <c r="G54"/>
  <c r="G55"/>
  <c r="G56"/>
  <c r="G57"/>
  <c r="G58"/>
  <c r="G59"/>
  <c r="G60"/>
  <c r="G63"/>
  <c r="G65"/>
  <c r="G66"/>
  <c r="G67"/>
  <c r="G68"/>
  <c r="G69"/>
  <c r="G70"/>
  <c r="G71"/>
  <c r="G74"/>
  <c r="G75"/>
  <c r="G76"/>
  <c r="G77"/>
  <c r="G78"/>
  <c r="G81"/>
  <c r="G82"/>
  <c r="G84"/>
  <c r="G88"/>
  <c r="G91"/>
  <c r="G92"/>
  <c r="G93"/>
  <c r="G94"/>
  <c r="G95"/>
  <c r="G96"/>
  <c r="G97"/>
  <c r="G98"/>
  <c r="G99"/>
  <c r="G100"/>
  <c r="G102"/>
  <c r="G103"/>
  <c r="G104"/>
  <c r="G107"/>
  <c r="G108"/>
  <c r="G109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6"/>
  <c r="G177"/>
  <c r="G178"/>
  <c r="G179"/>
  <c r="G180"/>
  <c r="G181"/>
  <c r="G182"/>
  <c r="G183"/>
  <c r="G184"/>
  <c r="G185"/>
  <c r="G186"/>
  <c r="G187"/>
  <c r="G188"/>
  <c r="G189"/>
  <c r="G190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8"/>
  <c r="G249"/>
  <c r="G257"/>
  <c r="G278"/>
  <c r="C2"/>
  <c r="B11" i="19"/>
  <c r="C11"/>
  <c r="B35" i="3"/>
  <c r="B56" i="26"/>
  <c r="B57"/>
  <c r="G56"/>
  <c r="Z56" s="1"/>
  <c r="G57"/>
  <c r="Z57" s="1"/>
  <c r="H56"/>
  <c r="Y56" s="1"/>
  <c r="H57"/>
  <c r="Y57" s="1"/>
  <c r="J56"/>
  <c r="K56" s="1"/>
  <c r="J57"/>
  <c r="K57" s="1"/>
  <c r="N56"/>
  <c r="P56" s="1"/>
  <c r="N57"/>
  <c r="O57" s="1"/>
  <c r="Q56"/>
  <c r="Q57"/>
  <c r="R56"/>
  <c r="V56" s="1"/>
  <c r="R57"/>
  <c r="W56"/>
  <c r="X56" s="1"/>
  <c r="W57"/>
  <c r="X57" s="1"/>
  <c r="B59"/>
  <c r="G59"/>
  <c r="Z59" s="1"/>
  <c r="H59"/>
  <c r="Y59" s="1"/>
  <c r="J59"/>
  <c r="K59" s="1"/>
  <c r="N59"/>
  <c r="P59" s="1"/>
  <c r="Q59"/>
  <c r="R59"/>
  <c r="V59" s="1"/>
  <c r="W59"/>
  <c r="X59" s="1"/>
  <c r="B58"/>
  <c r="G58"/>
  <c r="Z58" s="1"/>
  <c r="H58"/>
  <c r="Y58" s="1"/>
  <c r="J58"/>
  <c r="K58" s="1"/>
  <c r="N58"/>
  <c r="P58" s="1"/>
  <c r="Q58"/>
  <c r="R58"/>
  <c r="V58" s="1"/>
  <c r="W58"/>
  <c r="X58" s="1"/>
  <c r="C63" i="18"/>
  <c r="C100"/>
  <c r="G129" i="13"/>
  <c r="G121"/>
  <c r="C95" i="18"/>
  <c r="C93"/>
  <c r="C92"/>
  <c r="G122" i="13"/>
  <c r="G120"/>
  <c r="C99" i="18"/>
  <c r="C98"/>
  <c r="C97"/>
  <c r="C96"/>
  <c r="G128" i="13"/>
  <c r="G127"/>
  <c r="G126"/>
  <c r="G125"/>
  <c r="C51" i="18"/>
  <c r="C50"/>
  <c r="C47"/>
  <c r="C46"/>
  <c r="C48"/>
  <c r="G64" i="13"/>
  <c r="G65"/>
  <c r="G66"/>
  <c r="G67"/>
  <c r="G68"/>
  <c r="G69"/>
  <c r="C164" i="18"/>
  <c r="C163"/>
  <c r="G218" i="13"/>
  <c r="G217"/>
  <c r="J10" i="25"/>
  <c r="C84" i="18"/>
  <c r="G110" i="13"/>
  <c r="H8" i="25"/>
  <c r="H9"/>
  <c r="L56" i="26" l="1"/>
  <c r="M56" s="1"/>
  <c r="S56"/>
  <c r="T56"/>
  <c r="L59"/>
  <c r="M59" s="1"/>
  <c r="S57"/>
  <c r="P57"/>
  <c r="L57"/>
  <c r="M57" s="1"/>
  <c r="L58"/>
  <c r="M58" s="1"/>
  <c r="T57"/>
  <c r="O56"/>
  <c r="S59"/>
  <c r="O59"/>
  <c r="V57"/>
  <c r="T59"/>
  <c r="S58"/>
  <c r="O58"/>
  <c r="T58"/>
  <c r="C3" i="18" l="1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5"/>
  <c r="C36"/>
  <c r="C37"/>
  <c r="C38"/>
  <c r="C39"/>
  <c r="C40"/>
  <c r="C41"/>
  <c r="C42"/>
  <c r="C43"/>
  <c r="C44"/>
  <c r="C45"/>
  <c r="C54"/>
  <c r="C55"/>
  <c r="C56"/>
  <c r="C58"/>
  <c r="C59"/>
  <c r="C60"/>
  <c r="C65"/>
  <c r="C66"/>
  <c r="C67"/>
  <c r="C68"/>
  <c r="C69"/>
  <c r="C70"/>
  <c r="C71"/>
  <c r="C74"/>
  <c r="C75"/>
  <c r="C76"/>
  <c r="C77"/>
  <c r="C78"/>
  <c r="C81"/>
  <c r="C82"/>
  <c r="C88"/>
  <c r="C91"/>
  <c r="C94"/>
  <c r="C102"/>
  <c r="C103"/>
  <c r="C104"/>
  <c r="C107"/>
  <c r="C108"/>
  <c r="C109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5"/>
  <c r="C166"/>
  <c r="C167"/>
  <c r="C168"/>
  <c r="C169"/>
  <c r="C170"/>
  <c r="C171"/>
  <c r="C172"/>
  <c r="C173"/>
  <c r="C174"/>
  <c r="C176"/>
  <c r="C177"/>
  <c r="C178"/>
  <c r="C179"/>
  <c r="C180"/>
  <c r="C181"/>
  <c r="C182"/>
  <c r="C183"/>
  <c r="C184"/>
  <c r="C185"/>
  <c r="C186"/>
  <c r="C187"/>
  <c r="C188"/>
  <c r="C189"/>
  <c r="C190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8"/>
  <c r="J15" i="24" l="1"/>
  <c r="J16"/>
  <c r="K16" s="1"/>
  <c r="J17"/>
  <c r="L17" s="1"/>
  <c r="J18"/>
  <c r="J19"/>
  <c r="J20"/>
  <c r="K20" s="1"/>
  <c r="J21"/>
  <c r="L21" s="1"/>
  <c r="J22"/>
  <c r="J23"/>
  <c r="J24"/>
  <c r="K24" s="1"/>
  <c r="J25"/>
  <c r="L25" s="1"/>
  <c r="J26"/>
  <c r="J27"/>
  <c r="J28"/>
  <c r="K28" s="1"/>
  <c r="J29"/>
  <c r="L29" s="1"/>
  <c r="J30"/>
  <c r="J31"/>
  <c r="J32"/>
  <c r="K32" s="1"/>
  <c r="J33"/>
  <c r="L33" s="1"/>
  <c r="J34"/>
  <c r="J35"/>
  <c r="J36"/>
  <c r="K36" s="1"/>
  <c r="J37"/>
  <c r="L37" s="1"/>
  <c r="J38"/>
  <c r="J39"/>
  <c r="J40"/>
  <c r="K40" s="1"/>
  <c r="J41"/>
  <c r="L41" s="1"/>
  <c r="J42"/>
  <c r="J43"/>
  <c r="J44"/>
  <c r="K44" s="1"/>
  <c r="J45"/>
  <c r="L45" s="1"/>
  <c r="J46"/>
  <c r="J47"/>
  <c r="J48"/>
  <c r="K48" s="1"/>
  <c r="J49"/>
  <c r="L49" s="1"/>
  <c r="J50"/>
  <c r="J51"/>
  <c r="J52"/>
  <c r="K52" s="1"/>
  <c r="J53"/>
  <c r="L53" s="1"/>
  <c r="J54"/>
  <c r="J55"/>
  <c r="J56"/>
  <c r="K56" s="1"/>
  <c r="J57"/>
  <c r="L57" s="1"/>
  <c r="J58"/>
  <c r="J59"/>
  <c r="J60"/>
  <c r="K60" s="1"/>
  <c r="J61"/>
  <c r="L61" s="1"/>
  <c r="J62"/>
  <c r="J63"/>
  <c r="J64"/>
  <c r="K64" s="1"/>
  <c r="J65"/>
  <c r="L65" s="1"/>
  <c r="J66"/>
  <c r="J67"/>
  <c r="J68"/>
  <c r="K68" s="1"/>
  <c r="J69"/>
  <c r="L69" s="1"/>
  <c r="J70"/>
  <c r="J71"/>
  <c r="J72"/>
  <c r="K72" s="1"/>
  <c r="J73"/>
  <c r="L73" s="1"/>
  <c r="J74"/>
  <c r="J75"/>
  <c r="J76"/>
  <c r="K76" s="1"/>
  <c r="J77"/>
  <c r="L77" s="1"/>
  <c r="J78"/>
  <c r="J79"/>
  <c r="J80"/>
  <c r="K80" s="1"/>
  <c r="J81"/>
  <c r="L81" s="1"/>
  <c r="J82"/>
  <c r="J83"/>
  <c r="J84"/>
  <c r="K84" s="1"/>
  <c r="J85"/>
  <c r="L85" s="1"/>
  <c r="J86"/>
  <c r="K88"/>
  <c r="L89"/>
  <c r="K92"/>
  <c r="L93"/>
  <c r="K96"/>
  <c r="L97"/>
  <c r="K100"/>
  <c r="L101"/>
  <c r="K104"/>
  <c r="L105"/>
  <c r="K108"/>
  <c r="L109"/>
  <c r="K112"/>
  <c r="L113"/>
  <c r="K116"/>
  <c r="L117"/>
  <c r="K120"/>
  <c r="L121"/>
  <c r="K124"/>
  <c r="L125"/>
  <c r="K128"/>
  <c r="L129"/>
  <c r="K132"/>
  <c r="L133"/>
  <c r="K136"/>
  <c r="L137"/>
  <c r="K140"/>
  <c r="L141"/>
  <c r="K144"/>
  <c r="L145"/>
  <c r="K148"/>
  <c r="L149"/>
  <c r="K152"/>
  <c r="L153"/>
  <c r="K156"/>
  <c r="L157"/>
  <c r="K160"/>
  <c r="L161"/>
  <c r="K164"/>
  <c r="L165"/>
  <c r="K168"/>
  <c r="L169"/>
  <c r="K172"/>
  <c r="L173"/>
  <c r="K176"/>
  <c r="L177"/>
  <c r="K180"/>
  <c r="L181"/>
  <c r="K184"/>
  <c r="L185"/>
  <c r="K188"/>
  <c r="L189"/>
  <c r="K192"/>
  <c r="L193"/>
  <c r="K196"/>
  <c r="L197"/>
  <c r="K200"/>
  <c r="L201"/>
  <c r="K204"/>
  <c r="L205"/>
  <c r="K208"/>
  <c r="L209"/>
  <c r="K212"/>
  <c r="L213"/>
  <c r="K216"/>
  <c r="L217"/>
  <c r="K220"/>
  <c r="L221"/>
  <c r="K224"/>
  <c r="L225"/>
  <c r="K228"/>
  <c r="L229"/>
  <c r="K232"/>
  <c r="L233"/>
  <c r="K236"/>
  <c r="L237"/>
  <c r="K240"/>
  <c r="L241"/>
  <c r="K244"/>
  <c r="L245"/>
  <c r="K248"/>
  <c r="L249"/>
  <c r="K252"/>
  <c r="L253"/>
  <c r="K256"/>
  <c r="L257"/>
  <c r="K260"/>
  <c r="L261"/>
  <c r="L262"/>
  <c r="L263"/>
  <c r="L264"/>
  <c r="L265"/>
  <c r="L266"/>
  <c r="L267"/>
  <c r="K268"/>
  <c r="L269"/>
  <c r="L270"/>
  <c r="L271"/>
  <c r="K272"/>
  <c r="L273"/>
  <c r="L274"/>
  <c r="L275"/>
  <c r="K276"/>
  <c r="L277"/>
  <c r="L278"/>
  <c r="L279"/>
  <c r="L280"/>
  <c r="L281"/>
  <c r="L282"/>
  <c r="L283"/>
  <c r="K284"/>
  <c r="L285"/>
  <c r="L286"/>
  <c r="L287"/>
  <c r="K288"/>
  <c r="L289"/>
  <c r="L290"/>
  <c r="L291"/>
  <c r="K292"/>
  <c r="L293"/>
  <c r="L294"/>
  <c r="L295"/>
  <c r="L296"/>
  <c r="L297"/>
  <c r="L298"/>
  <c r="L299"/>
  <c r="K300"/>
  <c r="L301"/>
  <c r="L302"/>
  <c r="L303"/>
  <c r="K304"/>
  <c r="L305"/>
  <c r="L306"/>
  <c r="L307"/>
  <c r="K308"/>
  <c r="L309"/>
  <c r="L310"/>
  <c r="L311"/>
  <c r="L312"/>
  <c r="L313"/>
  <c r="L314"/>
  <c r="L315"/>
  <c r="K316"/>
  <c r="L317"/>
  <c r="L318"/>
  <c r="L319"/>
  <c r="K320"/>
  <c r="L321"/>
  <c r="L322"/>
  <c r="L323"/>
  <c r="K324"/>
  <c r="L325"/>
  <c r="L326"/>
  <c r="L327"/>
  <c r="L328"/>
  <c r="L329"/>
  <c r="L330"/>
  <c r="L331"/>
  <c r="K332"/>
  <c r="L333"/>
  <c r="L334"/>
  <c r="L335"/>
  <c r="K336"/>
  <c r="L337"/>
  <c r="L338"/>
  <c r="L339"/>
  <c r="K340"/>
  <c r="L341"/>
  <c r="L342"/>
  <c r="L343"/>
  <c r="L344"/>
  <c r="L345"/>
  <c r="L346"/>
  <c r="L347"/>
  <c r="K348"/>
  <c r="L349"/>
  <c r="L350"/>
  <c r="L351"/>
  <c r="K352"/>
  <c r="L353"/>
  <c r="L354"/>
  <c r="L355"/>
  <c r="K356"/>
  <c r="L357"/>
  <c r="L358"/>
  <c r="L359"/>
  <c r="L360"/>
  <c r="L361"/>
  <c r="L362"/>
  <c r="L363"/>
  <c r="K364"/>
  <c r="L365"/>
  <c r="L366"/>
  <c r="L367"/>
  <c r="K368"/>
  <c r="L369"/>
  <c r="L370"/>
  <c r="L371"/>
  <c r="K372"/>
  <c r="L373"/>
  <c r="L374"/>
  <c r="L375"/>
  <c r="L376"/>
  <c r="L377"/>
  <c r="L378"/>
  <c r="L379"/>
  <c r="K380"/>
  <c r="L381"/>
  <c r="L382"/>
  <c r="L383"/>
  <c r="K384"/>
  <c r="L385"/>
  <c r="L386"/>
  <c r="L387"/>
  <c r="K388"/>
  <c r="L389"/>
  <c r="L390"/>
  <c r="L391"/>
  <c r="L392"/>
  <c r="L393"/>
  <c r="L394"/>
  <c r="L395"/>
  <c r="K396"/>
  <c r="L397"/>
  <c r="L398"/>
  <c r="L399"/>
  <c r="K400"/>
  <c r="L401"/>
  <c r="L402"/>
  <c r="L403"/>
  <c r="K404"/>
  <c r="L405"/>
  <c r="L406"/>
  <c r="L407"/>
  <c r="L408"/>
  <c r="L409"/>
  <c r="L410"/>
  <c r="L411"/>
  <c r="K412"/>
  <c r="L413"/>
  <c r="L414"/>
  <c r="L415"/>
  <c r="K416"/>
  <c r="L417"/>
  <c r="L418"/>
  <c r="L419"/>
  <c r="K420"/>
  <c r="L421"/>
  <c r="L422"/>
  <c r="L423"/>
  <c r="L424"/>
  <c r="L425"/>
  <c r="L426"/>
  <c r="L427"/>
  <c r="K428"/>
  <c r="L429"/>
  <c r="L430"/>
  <c r="L431"/>
  <c r="K432"/>
  <c r="L433"/>
  <c r="L434"/>
  <c r="L435"/>
  <c r="K436"/>
  <c r="L437"/>
  <c r="L438"/>
  <c r="L439"/>
  <c r="L440"/>
  <c r="L441"/>
  <c r="L442"/>
  <c r="L443"/>
  <c r="K444"/>
  <c r="L445"/>
  <c r="L446"/>
  <c r="L447"/>
  <c r="K448"/>
  <c r="L449"/>
  <c r="L450"/>
  <c r="L451"/>
  <c r="K452"/>
  <c r="L453"/>
  <c r="L454"/>
  <c r="L455"/>
  <c r="L456"/>
  <c r="L457"/>
  <c r="L458"/>
  <c r="L459"/>
  <c r="K460"/>
  <c r="L461"/>
  <c r="L462"/>
  <c r="L463"/>
  <c r="K464"/>
  <c r="L465"/>
  <c r="L466"/>
  <c r="L467"/>
  <c r="K468"/>
  <c r="L469"/>
  <c r="L470"/>
  <c r="L471"/>
  <c r="L472"/>
  <c r="L473"/>
  <c r="L474"/>
  <c r="L475"/>
  <c r="K476"/>
  <c r="L477"/>
  <c r="L478"/>
  <c r="L479"/>
  <c r="K480"/>
  <c r="L481"/>
  <c r="L482"/>
  <c r="L483"/>
  <c r="K484"/>
  <c r="L485"/>
  <c r="L486"/>
  <c r="L487"/>
  <c r="L488"/>
  <c r="L489"/>
  <c r="L490"/>
  <c r="L491"/>
  <c r="K492"/>
  <c r="L493"/>
  <c r="L494"/>
  <c r="L495"/>
  <c r="K496"/>
  <c r="L497"/>
  <c r="L498"/>
  <c r="L499"/>
  <c r="K500"/>
  <c r="L501"/>
  <c r="L502"/>
  <c r="L503"/>
  <c r="L504"/>
  <c r="L505"/>
  <c r="L506"/>
  <c r="L507"/>
  <c r="K508"/>
  <c r="L509"/>
  <c r="L510"/>
  <c r="L511"/>
  <c r="K512"/>
  <c r="L513"/>
  <c r="L514"/>
  <c r="L515"/>
  <c r="K516"/>
  <c r="L517"/>
  <c r="L518"/>
  <c r="L519"/>
  <c r="L520"/>
  <c r="L521"/>
  <c r="L522"/>
  <c r="L523"/>
  <c r="K524"/>
  <c r="L525"/>
  <c r="L526"/>
  <c r="L527"/>
  <c r="K528"/>
  <c r="L529"/>
  <c r="L530"/>
  <c r="L531"/>
  <c r="K532"/>
  <c r="L533"/>
  <c r="L534"/>
  <c r="L535"/>
  <c r="L536"/>
  <c r="L537"/>
  <c r="L538"/>
  <c r="L539"/>
  <c r="K540"/>
  <c r="L541"/>
  <c r="L542"/>
  <c r="L543"/>
  <c r="K544"/>
  <c r="L545"/>
  <c r="L546"/>
  <c r="L547"/>
  <c r="K548"/>
  <c r="L549"/>
  <c r="L550"/>
  <c r="L551"/>
  <c r="L552"/>
  <c r="L553"/>
  <c r="L554"/>
  <c r="L555"/>
  <c r="K556"/>
  <c r="L557"/>
  <c r="L558"/>
  <c r="L559"/>
  <c r="K560"/>
  <c r="L561"/>
  <c r="L562"/>
  <c r="L563"/>
  <c r="K564"/>
  <c r="L565"/>
  <c r="L566"/>
  <c r="L567"/>
  <c r="L568"/>
  <c r="L569"/>
  <c r="L570"/>
  <c r="L571"/>
  <c r="J5"/>
  <c r="L5" s="1"/>
  <c r="J6"/>
  <c r="J7"/>
  <c r="J8"/>
  <c r="K8" s="1"/>
  <c r="J9"/>
  <c r="L9" s="1"/>
  <c r="J10"/>
  <c r="J11"/>
  <c r="J12"/>
  <c r="K12" s="1"/>
  <c r="J13"/>
  <c r="L13" s="1"/>
  <c r="J14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5"/>
  <c r="H6"/>
  <c r="H7"/>
  <c r="H8"/>
  <c r="H9"/>
  <c r="H10"/>
  <c r="H11"/>
  <c r="H12"/>
  <c r="H13"/>
  <c r="H14"/>
  <c r="H15"/>
  <c r="H16"/>
  <c r="H17"/>
  <c r="H18"/>
  <c r="H19"/>
  <c r="H3"/>
  <c r="H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5"/>
  <c r="G6"/>
  <c r="G7"/>
  <c r="G8"/>
  <c r="G9"/>
  <c r="G10"/>
  <c r="G11"/>
  <c r="G12"/>
  <c r="G13"/>
  <c r="G14"/>
  <c r="G3"/>
  <c r="G4"/>
  <c r="D8" i="18"/>
  <c r="F8" s="1"/>
  <c r="D9"/>
  <c r="F9" s="1"/>
  <c r="D10"/>
  <c r="F10" s="1"/>
  <c r="D11"/>
  <c r="F11" s="1"/>
  <c r="D12"/>
  <c r="F12" s="1"/>
  <c r="D13"/>
  <c r="F13" s="1"/>
  <c r="D14"/>
  <c r="F14" s="1"/>
  <c r="D15"/>
  <c r="F15" s="1"/>
  <c r="D16"/>
  <c r="F16" s="1"/>
  <c r="D27"/>
  <c r="F27" s="1"/>
  <c r="D28"/>
  <c r="F28" s="1"/>
  <c r="D29"/>
  <c r="F29" s="1"/>
  <c r="D44"/>
  <c r="F44" s="1"/>
  <c r="D55"/>
  <c r="F55" s="1"/>
  <c r="D56"/>
  <c r="F56" s="1"/>
  <c r="D57"/>
  <c r="F57" s="1"/>
  <c r="D58"/>
  <c r="F58" s="1"/>
  <c r="D59"/>
  <c r="F59" s="1"/>
  <c r="D65"/>
  <c r="F65" s="1"/>
  <c r="D66"/>
  <c r="F66" s="1"/>
  <c r="D67"/>
  <c r="F67" s="1"/>
  <c r="D68"/>
  <c r="F68" s="1"/>
  <c r="D69"/>
  <c r="F69" s="1"/>
  <c r="D70"/>
  <c r="F70" s="1"/>
  <c r="D74"/>
  <c r="F74" s="1"/>
  <c r="D115"/>
  <c r="F115" s="1"/>
  <c r="D116"/>
  <c r="F116" s="1"/>
  <c r="D117"/>
  <c r="F117" s="1"/>
  <c r="D118"/>
  <c r="F118" s="1"/>
  <c r="D119"/>
  <c r="F119" s="1"/>
  <c r="D120"/>
  <c r="F120" s="1"/>
  <c r="D121"/>
  <c r="F121" s="1"/>
  <c r="D122"/>
  <c r="F122" s="1"/>
  <c r="D123"/>
  <c r="F123" s="1"/>
  <c r="D124"/>
  <c r="F124" s="1"/>
  <c r="D125"/>
  <c r="F125" s="1"/>
  <c r="D126"/>
  <c r="F126" s="1"/>
  <c r="D138"/>
  <c r="F138" s="1"/>
  <c r="D141"/>
  <c r="F141" s="1"/>
  <c r="D143"/>
  <c r="F143" s="1"/>
  <c r="D150"/>
  <c r="F150" s="1"/>
  <c r="D151"/>
  <c r="F151" s="1"/>
  <c r="D152"/>
  <c r="F152" s="1"/>
  <c r="D160"/>
  <c r="F160" s="1"/>
  <c r="D161"/>
  <c r="F161" s="1"/>
  <c r="D169"/>
  <c r="F169" s="1"/>
  <c r="D170"/>
  <c r="F170" s="1"/>
  <c r="D171"/>
  <c r="F171" s="1"/>
  <c r="D203"/>
  <c r="F203" s="1"/>
  <c r="D207"/>
  <c r="F207" s="1"/>
  <c r="D208"/>
  <c r="F208" s="1"/>
  <c r="D209"/>
  <c r="F209" s="1"/>
  <c r="D210"/>
  <c r="F210" s="1"/>
  <c r="D211"/>
  <c r="F211" s="1"/>
  <c r="D212"/>
  <c r="F212" s="1"/>
  <c r="D213"/>
  <c r="F213" s="1"/>
  <c r="D214"/>
  <c r="F214" s="1"/>
  <c r="D215"/>
  <c r="F215" s="1"/>
  <c r="D216"/>
  <c r="F216" s="1"/>
  <c r="D217"/>
  <c r="F217" s="1"/>
  <c r="D220"/>
  <c r="F220" s="1"/>
  <c r="D233"/>
  <c r="F233" s="1"/>
  <c r="D234"/>
  <c r="F234" s="1"/>
  <c r="D235"/>
  <c r="F235" s="1"/>
  <c r="D238"/>
  <c r="F238" s="1"/>
  <c r="D248"/>
  <c r="F248" s="1"/>
  <c r="W571" i="28"/>
  <c r="X571" s="1"/>
  <c r="O571"/>
  <c r="K571"/>
  <c r="Y571"/>
  <c r="Z571"/>
  <c r="W570"/>
  <c r="X570" s="1"/>
  <c r="V570"/>
  <c r="O570"/>
  <c r="K570"/>
  <c r="Y570"/>
  <c r="W569"/>
  <c r="X569" s="1"/>
  <c r="V569"/>
  <c r="O569"/>
  <c r="K569"/>
  <c r="Y569"/>
  <c r="Z569"/>
  <c r="W568"/>
  <c r="X568" s="1"/>
  <c r="P568"/>
  <c r="L568"/>
  <c r="Y568"/>
  <c r="Z568"/>
  <c r="W567"/>
  <c r="X567" s="1"/>
  <c r="O567"/>
  <c r="K567"/>
  <c r="Y567"/>
  <c r="Z567"/>
  <c r="W566"/>
  <c r="X566" s="1"/>
  <c r="V566"/>
  <c r="P566"/>
  <c r="L566"/>
  <c r="Y566"/>
  <c r="W565"/>
  <c r="X565" s="1"/>
  <c r="V565"/>
  <c r="O565"/>
  <c r="K565"/>
  <c r="Y565"/>
  <c r="Z565"/>
  <c r="W564"/>
  <c r="X564" s="1"/>
  <c r="P564"/>
  <c r="L564"/>
  <c r="Y564"/>
  <c r="Z564"/>
  <c r="W563"/>
  <c r="X563" s="1"/>
  <c r="O563"/>
  <c r="K563"/>
  <c r="Y563"/>
  <c r="Z563"/>
  <c r="W562"/>
  <c r="X562" s="1"/>
  <c r="P562"/>
  <c r="L562"/>
  <c r="Y562"/>
  <c r="Z562"/>
  <c r="W561"/>
  <c r="X561" s="1"/>
  <c r="V561"/>
  <c r="O561"/>
  <c r="K561"/>
  <c r="Y561"/>
  <c r="Z561"/>
  <c r="W560"/>
  <c r="X560" s="1"/>
  <c r="P560"/>
  <c r="L560"/>
  <c r="Y560"/>
  <c r="Z560"/>
  <c r="W559"/>
  <c r="X559" s="1"/>
  <c r="O559"/>
  <c r="K559"/>
  <c r="Y559"/>
  <c r="Z559"/>
  <c r="W558"/>
  <c r="X558" s="1"/>
  <c r="O558"/>
  <c r="K558"/>
  <c r="Y558"/>
  <c r="Z558"/>
  <c r="W557"/>
  <c r="X557" s="1"/>
  <c r="V557"/>
  <c r="O557"/>
  <c r="K557"/>
  <c r="Y557"/>
  <c r="Z557"/>
  <c r="W556"/>
  <c r="X556" s="1"/>
  <c r="P556"/>
  <c r="L556"/>
  <c r="Y556"/>
  <c r="Z556"/>
  <c r="W555"/>
  <c r="X555" s="1"/>
  <c r="O555"/>
  <c r="K555"/>
  <c r="Y555"/>
  <c r="Z555"/>
  <c r="W554"/>
  <c r="X554" s="1"/>
  <c r="O554"/>
  <c r="K554"/>
  <c r="Y554"/>
  <c r="Z554"/>
  <c r="W553"/>
  <c r="X553" s="1"/>
  <c r="V553"/>
  <c r="O553"/>
  <c r="K553"/>
  <c r="Y553"/>
  <c r="Z553"/>
  <c r="W552"/>
  <c r="X552" s="1"/>
  <c r="P552"/>
  <c r="L552"/>
  <c r="Y552"/>
  <c r="Z552"/>
  <c r="W551"/>
  <c r="X551" s="1"/>
  <c r="O551"/>
  <c r="K551"/>
  <c r="Y551"/>
  <c r="Z551"/>
  <c r="W550"/>
  <c r="X550" s="1"/>
  <c r="O550"/>
  <c r="K550"/>
  <c r="Y550"/>
  <c r="Z550"/>
  <c r="W549"/>
  <c r="X549" s="1"/>
  <c r="V549"/>
  <c r="O549"/>
  <c r="K549"/>
  <c r="Y549"/>
  <c r="Z549"/>
  <c r="W548"/>
  <c r="X548" s="1"/>
  <c r="P548"/>
  <c r="L548"/>
  <c r="Y548"/>
  <c r="Z548"/>
  <c r="W547"/>
  <c r="X547" s="1"/>
  <c r="O547"/>
  <c r="K547"/>
  <c r="Y547"/>
  <c r="Z547"/>
  <c r="W546"/>
  <c r="X546" s="1"/>
  <c r="O546"/>
  <c r="K546"/>
  <c r="Y546"/>
  <c r="Z546"/>
  <c r="W545"/>
  <c r="X545" s="1"/>
  <c r="V545"/>
  <c r="O545"/>
  <c r="K545"/>
  <c r="Y545"/>
  <c r="Z545"/>
  <c r="W544"/>
  <c r="X544" s="1"/>
  <c r="P544"/>
  <c r="L544"/>
  <c r="Y544"/>
  <c r="Z544"/>
  <c r="W543"/>
  <c r="X543" s="1"/>
  <c r="O543"/>
  <c r="K543"/>
  <c r="Y543"/>
  <c r="Z543"/>
  <c r="W542"/>
  <c r="X542" s="1"/>
  <c r="O542"/>
  <c r="K542"/>
  <c r="Y542"/>
  <c r="Z542"/>
  <c r="W541"/>
  <c r="X541" s="1"/>
  <c r="V541"/>
  <c r="O541"/>
  <c r="K541"/>
  <c r="Y541"/>
  <c r="Z541"/>
  <c r="W540"/>
  <c r="X540" s="1"/>
  <c r="V540"/>
  <c r="P540"/>
  <c r="L540"/>
  <c r="Y540"/>
  <c r="Z540"/>
  <c r="W539"/>
  <c r="X539" s="1"/>
  <c r="O539"/>
  <c r="K539"/>
  <c r="Y539"/>
  <c r="Z539"/>
  <c r="W538"/>
  <c r="X538" s="1"/>
  <c r="O538"/>
  <c r="K538"/>
  <c r="Y538"/>
  <c r="Z538"/>
  <c r="W537"/>
  <c r="X537" s="1"/>
  <c r="V537"/>
  <c r="O537"/>
  <c r="K537"/>
  <c r="Y537"/>
  <c r="Z537"/>
  <c r="W536"/>
  <c r="X536" s="1"/>
  <c r="V536"/>
  <c r="P536"/>
  <c r="L536"/>
  <c r="Y536"/>
  <c r="Z536"/>
  <c r="W535"/>
  <c r="X535" s="1"/>
  <c r="O535"/>
  <c r="K535"/>
  <c r="Y535"/>
  <c r="Z535"/>
  <c r="W534"/>
  <c r="X534" s="1"/>
  <c r="O534"/>
  <c r="K534"/>
  <c r="Y534"/>
  <c r="Z534"/>
  <c r="W533"/>
  <c r="X533" s="1"/>
  <c r="V533"/>
  <c r="O533"/>
  <c r="K533"/>
  <c r="Y533"/>
  <c r="Z533"/>
  <c r="W532"/>
  <c r="X532" s="1"/>
  <c r="V532"/>
  <c r="P532"/>
  <c r="L532"/>
  <c r="Y532"/>
  <c r="Z532"/>
  <c r="W531"/>
  <c r="X531" s="1"/>
  <c r="O531"/>
  <c r="K531"/>
  <c r="Y531"/>
  <c r="Z531"/>
  <c r="W530"/>
  <c r="X530" s="1"/>
  <c r="O530"/>
  <c r="K530"/>
  <c r="Y530"/>
  <c r="Z530"/>
  <c r="W529"/>
  <c r="X529" s="1"/>
  <c r="V529"/>
  <c r="O529"/>
  <c r="K529"/>
  <c r="Y529"/>
  <c r="Z529"/>
  <c r="W528"/>
  <c r="X528" s="1"/>
  <c r="V528"/>
  <c r="P528"/>
  <c r="L528"/>
  <c r="Y528"/>
  <c r="Z528"/>
  <c r="W527"/>
  <c r="X527" s="1"/>
  <c r="O527"/>
  <c r="K527"/>
  <c r="Y527"/>
  <c r="Z527"/>
  <c r="W526"/>
  <c r="X526" s="1"/>
  <c r="O526"/>
  <c r="K526"/>
  <c r="Y526"/>
  <c r="Z526"/>
  <c r="W525"/>
  <c r="X525" s="1"/>
  <c r="V525"/>
  <c r="O525"/>
  <c r="K525"/>
  <c r="Y525"/>
  <c r="Z525"/>
  <c r="W524"/>
  <c r="X524" s="1"/>
  <c r="V524"/>
  <c r="P524"/>
  <c r="L524"/>
  <c r="Y524"/>
  <c r="Z524"/>
  <c r="W523"/>
  <c r="X523" s="1"/>
  <c r="O523"/>
  <c r="K523"/>
  <c r="Y523"/>
  <c r="Z523"/>
  <c r="W522"/>
  <c r="X522" s="1"/>
  <c r="O522"/>
  <c r="K522"/>
  <c r="Y522"/>
  <c r="Z522"/>
  <c r="W521"/>
  <c r="X521" s="1"/>
  <c r="V521"/>
  <c r="O521"/>
  <c r="K521"/>
  <c r="Y521"/>
  <c r="Z521"/>
  <c r="W520"/>
  <c r="X520" s="1"/>
  <c r="V520"/>
  <c r="P520"/>
  <c r="L520"/>
  <c r="Y520"/>
  <c r="Z520"/>
  <c r="W519"/>
  <c r="X519" s="1"/>
  <c r="O519"/>
  <c r="K519"/>
  <c r="Y519"/>
  <c r="Z519"/>
  <c r="W518"/>
  <c r="X518" s="1"/>
  <c r="O518"/>
  <c r="K518"/>
  <c r="Y518"/>
  <c r="Z518"/>
  <c r="W517"/>
  <c r="X517" s="1"/>
  <c r="V517"/>
  <c r="O517"/>
  <c r="K517"/>
  <c r="Y517"/>
  <c r="Z517"/>
  <c r="W516"/>
  <c r="X516" s="1"/>
  <c r="V516"/>
  <c r="P516"/>
  <c r="L516"/>
  <c r="Y516"/>
  <c r="Z516"/>
  <c r="W515"/>
  <c r="X515" s="1"/>
  <c r="O515"/>
  <c r="K515"/>
  <c r="Y515"/>
  <c r="Z515"/>
  <c r="W514"/>
  <c r="X514" s="1"/>
  <c r="O514"/>
  <c r="K514"/>
  <c r="Y514"/>
  <c r="Z514"/>
  <c r="W513"/>
  <c r="X513" s="1"/>
  <c r="V513"/>
  <c r="O513"/>
  <c r="K513"/>
  <c r="Y513"/>
  <c r="Z513"/>
  <c r="W512"/>
  <c r="X512" s="1"/>
  <c r="V512"/>
  <c r="P512"/>
  <c r="L512"/>
  <c r="Y512"/>
  <c r="Z512"/>
  <c r="W511"/>
  <c r="X511" s="1"/>
  <c r="O511"/>
  <c r="K511"/>
  <c r="Y511"/>
  <c r="Z511"/>
  <c r="W510"/>
  <c r="X510" s="1"/>
  <c r="O510"/>
  <c r="K510"/>
  <c r="Y510"/>
  <c r="Z510"/>
  <c r="W509"/>
  <c r="X509" s="1"/>
  <c r="V509"/>
  <c r="O509"/>
  <c r="K509"/>
  <c r="Y509"/>
  <c r="Z509"/>
  <c r="W508"/>
  <c r="X508" s="1"/>
  <c r="V508"/>
  <c r="P508"/>
  <c r="L508"/>
  <c r="Y508"/>
  <c r="Z508"/>
  <c r="W507"/>
  <c r="X507" s="1"/>
  <c r="Y507"/>
  <c r="Z507"/>
  <c r="W506"/>
  <c r="X506" s="1"/>
  <c r="O506"/>
  <c r="K506"/>
  <c r="Y506"/>
  <c r="Z506"/>
  <c r="W505"/>
  <c r="X505" s="1"/>
  <c r="V505"/>
  <c r="O505"/>
  <c r="K505"/>
  <c r="Y505"/>
  <c r="Z505"/>
  <c r="W504"/>
  <c r="X504" s="1"/>
  <c r="V504"/>
  <c r="P504"/>
  <c r="L504"/>
  <c r="Y504"/>
  <c r="Z504"/>
  <c r="W503"/>
  <c r="X503" s="1"/>
  <c r="Y503"/>
  <c r="Z503"/>
  <c r="W502"/>
  <c r="X502" s="1"/>
  <c r="O502"/>
  <c r="K502"/>
  <c r="Y502"/>
  <c r="Z502"/>
  <c r="W501"/>
  <c r="X501" s="1"/>
  <c r="V501"/>
  <c r="O501"/>
  <c r="K501"/>
  <c r="Y501"/>
  <c r="Z501"/>
  <c r="W500"/>
  <c r="X500" s="1"/>
  <c r="V500"/>
  <c r="P500"/>
  <c r="L500"/>
  <c r="Y500"/>
  <c r="Z500"/>
  <c r="W499"/>
  <c r="X499" s="1"/>
  <c r="Y499"/>
  <c r="Z499"/>
  <c r="W498"/>
  <c r="X498" s="1"/>
  <c r="O498"/>
  <c r="K498"/>
  <c r="Y498"/>
  <c r="Z498"/>
  <c r="W497"/>
  <c r="X497" s="1"/>
  <c r="O497"/>
  <c r="K497"/>
  <c r="Y497"/>
  <c r="Z497"/>
  <c r="W496"/>
  <c r="X496" s="1"/>
  <c r="V496"/>
  <c r="P496"/>
  <c r="L496"/>
  <c r="Y496"/>
  <c r="Z496"/>
  <c r="W495"/>
  <c r="X495" s="1"/>
  <c r="O495"/>
  <c r="K495"/>
  <c r="Y495"/>
  <c r="Z495"/>
  <c r="W494"/>
  <c r="X494" s="1"/>
  <c r="O494"/>
  <c r="K494"/>
  <c r="Y494"/>
  <c r="Z494"/>
  <c r="W493"/>
  <c r="X493" s="1"/>
  <c r="O493"/>
  <c r="K493"/>
  <c r="Y493"/>
  <c r="Z493"/>
  <c r="W492"/>
  <c r="X492" s="1"/>
  <c r="V492"/>
  <c r="P492"/>
  <c r="L492"/>
  <c r="Y492"/>
  <c r="Z492"/>
  <c r="W491"/>
  <c r="X491" s="1"/>
  <c r="V491"/>
  <c r="O491"/>
  <c r="K491"/>
  <c r="Y491"/>
  <c r="Z491"/>
  <c r="W490"/>
  <c r="X490" s="1"/>
  <c r="V490"/>
  <c r="P490"/>
  <c r="K490"/>
  <c r="Y490"/>
  <c r="Z490"/>
  <c r="W489"/>
  <c r="X489" s="1"/>
  <c r="V489"/>
  <c r="O489"/>
  <c r="K489"/>
  <c r="Y489"/>
  <c r="Z489"/>
  <c r="W488"/>
  <c r="X488" s="1"/>
  <c r="P488"/>
  <c r="L488"/>
  <c r="Y488"/>
  <c r="Z488"/>
  <c r="W487"/>
  <c r="X487" s="1"/>
  <c r="V487"/>
  <c r="O487"/>
  <c r="K487"/>
  <c r="Y487"/>
  <c r="Z487"/>
  <c r="X486"/>
  <c r="W486"/>
  <c r="V486"/>
  <c r="O486"/>
  <c r="K486"/>
  <c r="Y486"/>
  <c r="W485"/>
  <c r="X485" s="1"/>
  <c r="V485"/>
  <c r="P485"/>
  <c r="K485"/>
  <c r="Y485"/>
  <c r="Z485"/>
  <c r="W484"/>
  <c r="X484" s="1"/>
  <c r="V484"/>
  <c r="P484"/>
  <c r="L484"/>
  <c r="Y484"/>
  <c r="Z484"/>
  <c r="W483"/>
  <c r="X483" s="1"/>
  <c r="O483"/>
  <c r="K483"/>
  <c r="Y483"/>
  <c r="Z483"/>
  <c r="W482"/>
  <c r="X482" s="1"/>
  <c r="V482"/>
  <c r="O482"/>
  <c r="K482"/>
  <c r="Y482"/>
  <c r="Z482"/>
  <c r="W481"/>
  <c r="X481" s="1"/>
  <c r="V481"/>
  <c r="O481"/>
  <c r="L481"/>
  <c r="Y481"/>
  <c r="Z481"/>
  <c r="W480"/>
  <c r="X480" s="1"/>
  <c r="P480"/>
  <c r="L480"/>
  <c r="Y480"/>
  <c r="Z480"/>
  <c r="W479"/>
  <c r="X479" s="1"/>
  <c r="O479"/>
  <c r="K479"/>
  <c r="Y479"/>
  <c r="Z479"/>
  <c r="W478"/>
  <c r="X478" s="1"/>
  <c r="V478"/>
  <c r="O478"/>
  <c r="K478"/>
  <c r="Y478"/>
  <c r="Z478"/>
  <c r="W477"/>
  <c r="X477" s="1"/>
  <c r="V477"/>
  <c r="O477"/>
  <c r="K477"/>
  <c r="Y477"/>
  <c r="Z477"/>
  <c r="W476"/>
  <c r="X476" s="1"/>
  <c r="P476"/>
  <c r="L476"/>
  <c r="Y476"/>
  <c r="Z476"/>
  <c r="W475"/>
  <c r="X475" s="1"/>
  <c r="O475"/>
  <c r="K475"/>
  <c r="Y475"/>
  <c r="Z475"/>
  <c r="W474"/>
  <c r="X474" s="1"/>
  <c r="V474"/>
  <c r="P474"/>
  <c r="K474"/>
  <c r="Y474"/>
  <c r="Z474"/>
  <c r="W473"/>
  <c r="X473" s="1"/>
  <c r="V473"/>
  <c r="O473"/>
  <c r="K473"/>
  <c r="Y473"/>
  <c r="Z473"/>
  <c r="W472"/>
  <c r="X472" s="1"/>
  <c r="P472"/>
  <c r="L472"/>
  <c r="Y472"/>
  <c r="Z472"/>
  <c r="W471"/>
  <c r="X471" s="1"/>
  <c r="O471"/>
  <c r="K471"/>
  <c r="Y471"/>
  <c r="Z471"/>
  <c r="W470"/>
  <c r="X470" s="1"/>
  <c r="V470"/>
  <c r="P470"/>
  <c r="K470"/>
  <c r="Y470"/>
  <c r="Z470"/>
  <c r="W469"/>
  <c r="X469" s="1"/>
  <c r="V469"/>
  <c r="O469"/>
  <c r="K469"/>
  <c r="Y469"/>
  <c r="Z469"/>
  <c r="W468"/>
  <c r="X468" s="1"/>
  <c r="P468"/>
  <c r="L468"/>
  <c r="Y468"/>
  <c r="Z468"/>
  <c r="W467"/>
  <c r="X467" s="1"/>
  <c r="O467"/>
  <c r="K467"/>
  <c r="Y467"/>
  <c r="Z467"/>
  <c r="W466"/>
  <c r="X466" s="1"/>
  <c r="V466"/>
  <c r="O466"/>
  <c r="L466"/>
  <c r="Y466"/>
  <c r="Z466"/>
  <c r="W465"/>
  <c r="X465" s="1"/>
  <c r="V465"/>
  <c r="O465"/>
  <c r="K465"/>
  <c r="Y465"/>
  <c r="Z465"/>
  <c r="W464"/>
  <c r="X464" s="1"/>
  <c r="P464"/>
  <c r="L464"/>
  <c r="Y464"/>
  <c r="Z464"/>
  <c r="W463"/>
  <c r="X463" s="1"/>
  <c r="O463"/>
  <c r="K463"/>
  <c r="Y463"/>
  <c r="Z463"/>
  <c r="W462"/>
  <c r="X462" s="1"/>
  <c r="V462"/>
  <c r="O462"/>
  <c r="K462"/>
  <c r="Y462"/>
  <c r="Z462"/>
  <c r="W461"/>
  <c r="X461" s="1"/>
  <c r="V461"/>
  <c r="O461"/>
  <c r="K461"/>
  <c r="Y461"/>
  <c r="Z461"/>
  <c r="W460"/>
  <c r="X460" s="1"/>
  <c r="P460"/>
  <c r="L460"/>
  <c r="Y460"/>
  <c r="Z460"/>
  <c r="W459"/>
  <c r="X459" s="1"/>
  <c r="O459"/>
  <c r="K459"/>
  <c r="Y459"/>
  <c r="Z459"/>
  <c r="W458"/>
  <c r="X458" s="1"/>
  <c r="V458"/>
  <c r="O458"/>
  <c r="K458"/>
  <c r="Y458"/>
  <c r="Z458"/>
  <c r="W457"/>
  <c r="X457" s="1"/>
  <c r="V457"/>
  <c r="O457"/>
  <c r="K457"/>
  <c r="Y457"/>
  <c r="Z457"/>
  <c r="W456"/>
  <c r="X456" s="1"/>
  <c r="P456"/>
  <c r="L456"/>
  <c r="Y456"/>
  <c r="Z456"/>
  <c r="W455"/>
  <c r="X455" s="1"/>
  <c r="O455"/>
  <c r="K455"/>
  <c r="Y455"/>
  <c r="Z455"/>
  <c r="W454"/>
  <c r="X454" s="1"/>
  <c r="V454"/>
  <c r="O454"/>
  <c r="L454"/>
  <c r="Y454"/>
  <c r="Z454"/>
  <c r="W453"/>
  <c r="X453" s="1"/>
  <c r="V453"/>
  <c r="O453"/>
  <c r="K453"/>
  <c r="Y453"/>
  <c r="Z453"/>
  <c r="W452"/>
  <c r="X452" s="1"/>
  <c r="P452"/>
  <c r="L452"/>
  <c r="Y452"/>
  <c r="Z452"/>
  <c r="W451"/>
  <c r="X451" s="1"/>
  <c r="O451"/>
  <c r="K451"/>
  <c r="Y451"/>
  <c r="Z451"/>
  <c r="W450"/>
  <c r="X450" s="1"/>
  <c r="V450"/>
  <c r="O450"/>
  <c r="K450"/>
  <c r="Y450"/>
  <c r="Z450"/>
  <c r="W449"/>
  <c r="X449" s="1"/>
  <c r="V449"/>
  <c r="O449"/>
  <c r="K449"/>
  <c r="Y449"/>
  <c r="Z449"/>
  <c r="W448"/>
  <c r="X448" s="1"/>
  <c r="P448"/>
  <c r="L448"/>
  <c r="Y448"/>
  <c r="Z448"/>
  <c r="W447"/>
  <c r="X447" s="1"/>
  <c r="O447"/>
  <c r="K447"/>
  <c r="Y447"/>
  <c r="Z447"/>
  <c r="W446"/>
  <c r="X446" s="1"/>
  <c r="V446"/>
  <c r="O446"/>
  <c r="K446"/>
  <c r="Y446"/>
  <c r="Z446"/>
  <c r="W445"/>
  <c r="X445" s="1"/>
  <c r="V445"/>
  <c r="O445"/>
  <c r="K445"/>
  <c r="Y445"/>
  <c r="Z445"/>
  <c r="W444"/>
  <c r="X444" s="1"/>
  <c r="P444"/>
  <c r="L444"/>
  <c r="Y444"/>
  <c r="Z444"/>
  <c r="W443"/>
  <c r="X443" s="1"/>
  <c r="O443"/>
  <c r="K443"/>
  <c r="Y443"/>
  <c r="Z443"/>
  <c r="W442"/>
  <c r="X442" s="1"/>
  <c r="V442"/>
  <c r="O442"/>
  <c r="K442"/>
  <c r="Y442"/>
  <c r="Z442"/>
  <c r="W441"/>
  <c r="X441" s="1"/>
  <c r="V441"/>
  <c r="O441"/>
  <c r="K441"/>
  <c r="Y441"/>
  <c r="Z441"/>
  <c r="W440"/>
  <c r="X440" s="1"/>
  <c r="P440"/>
  <c r="L440"/>
  <c r="Y440"/>
  <c r="Z440"/>
  <c r="W439"/>
  <c r="X439" s="1"/>
  <c r="O439"/>
  <c r="K439"/>
  <c r="Y439"/>
  <c r="Z439"/>
  <c r="W438"/>
  <c r="X438" s="1"/>
  <c r="V438"/>
  <c r="O438"/>
  <c r="K438"/>
  <c r="Y438"/>
  <c r="Z438"/>
  <c r="W437"/>
  <c r="X437" s="1"/>
  <c r="V437"/>
  <c r="O437"/>
  <c r="K437"/>
  <c r="Y437"/>
  <c r="Z437"/>
  <c r="W436"/>
  <c r="X436" s="1"/>
  <c r="P436"/>
  <c r="L436"/>
  <c r="Y436"/>
  <c r="Z436"/>
  <c r="W435"/>
  <c r="X435" s="1"/>
  <c r="Y435"/>
  <c r="Z435"/>
  <c r="W434"/>
  <c r="X434" s="1"/>
  <c r="V434"/>
  <c r="O434"/>
  <c r="K434"/>
  <c r="Y434"/>
  <c r="Z434"/>
  <c r="W433"/>
  <c r="X433" s="1"/>
  <c r="V433"/>
  <c r="O433"/>
  <c r="K433"/>
  <c r="Y433"/>
  <c r="Z433"/>
  <c r="W432"/>
  <c r="X432" s="1"/>
  <c r="P432"/>
  <c r="L432"/>
  <c r="Y432"/>
  <c r="Z432"/>
  <c r="W431"/>
  <c r="X431" s="1"/>
  <c r="Y431"/>
  <c r="Z431"/>
  <c r="W430"/>
  <c r="X430" s="1"/>
  <c r="V430"/>
  <c r="O430"/>
  <c r="K430"/>
  <c r="Y430"/>
  <c r="Z430"/>
  <c r="W429"/>
  <c r="X429" s="1"/>
  <c r="V429"/>
  <c r="O429"/>
  <c r="K429"/>
  <c r="Y429"/>
  <c r="Z429"/>
  <c r="W428"/>
  <c r="X428" s="1"/>
  <c r="P428"/>
  <c r="L428"/>
  <c r="Y428"/>
  <c r="Z428"/>
  <c r="W427"/>
  <c r="X427" s="1"/>
  <c r="Y427"/>
  <c r="Z427"/>
  <c r="W426"/>
  <c r="X426" s="1"/>
  <c r="V426"/>
  <c r="O426"/>
  <c r="K426"/>
  <c r="Y426"/>
  <c r="Z426"/>
  <c r="W425"/>
  <c r="X425" s="1"/>
  <c r="V425"/>
  <c r="O425"/>
  <c r="K425"/>
  <c r="Y425"/>
  <c r="Z425"/>
  <c r="W424"/>
  <c r="X424" s="1"/>
  <c r="P424"/>
  <c r="L424"/>
  <c r="Y424"/>
  <c r="Z424"/>
  <c r="W423"/>
  <c r="X423" s="1"/>
  <c r="Y423"/>
  <c r="Z423"/>
  <c r="W422"/>
  <c r="X422" s="1"/>
  <c r="V422"/>
  <c r="O422"/>
  <c r="K422"/>
  <c r="Y422"/>
  <c r="Z422"/>
  <c r="W421"/>
  <c r="X421" s="1"/>
  <c r="O421"/>
  <c r="K421"/>
  <c r="Y421"/>
  <c r="Z421"/>
  <c r="W420"/>
  <c r="X420" s="1"/>
  <c r="V420"/>
  <c r="P420"/>
  <c r="L420"/>
  <c r="Y420"/>
  <c r="Z420"/>
  <c r="W419"/>
  <c r="X419" s="1"/>
  <c r="O419"/>
  <c r="K419"/>
  <c r="Y419"/>
  <c r="Z419"/>
  <c r="W418"/>
  <c r="X418" s="1"/>
  <c r="V418"/>
  <c r="O418"/>
  <c r="K418"/>
  <c r="Y418"/>
  <c r="Z418"/>
  <c r="W417"/>
  <c r="X417" s="1"/>
  <c r="O417"/>
  <c r="K417"/>
  <c r="Y417"/>
  <c r="Z417"/>
  <c r="W416"/>
  <c r="X416" s="1"/>
  <c r="V416"/>
  <c r="P416"/>
  <c r="L416"/>
  <c r="Y416"/>
  <c r="Z416"/>
  <c r="W415"/>
  <c r="X415" s="1"/>
  <c r="O415"/>
  <c r="K415"/>
  <c r="Y415"/>
  <c r="Z415"/>
  <c r="W414"/>
  <c r="X414" s="1"/>
  <c r="V414"/>
  <c r="O414"/>
  <c r="K414"/>
  <c r="Y414"/>
  <c r="Z414"/>
  <c r="W413"/>
  <c r="X413" s="1"/>
  <c r="O413"/>
  <c r="K413"/>
  <c r="Y413"/>
  <c r="Z413"/>
  <c r="W412"/>
  <c r="X412" s="1"/>
  <c r="V412"/>
  <c r="P412"/>
  <c r="L412"/>
  <c r="Y412"/>
  <c r="Z412"/>
  <c r="W411"/>
  <c r="X411" s="1"/>
  <c r="O411"/>
  <c r="K411"/>
  <c r="Y411"/>
  <c r="Z411"/>
  <c r="W410"/>
  <c r="X410" s="1"/>
  <c r="V410"/>
  <c r="O410"/>
  <c r="L410"/>
  <c r="Y410"/>
  <c r="Z410"/>
  <c r="W409"/>
  <c r="X409" s="1"/>
  <c r="V409"/>
  <c r="O409"/>
  <c r="L409"/>
  <c r="Y409"/>
  <c r="Z409"/>
  <c r="W408"/>
  <c r="X408" s="1"/>
  <c r="P408"/>
  <c r="L408"/>
  <c r="Y408"/>
  <c r="Z408"/>
  <c r="W407"/>
  <c r="X407" s="1"/>
  <c r="O407"/>
  <c r="K407"/>
  <c r="Y407"/>
  <c r="Z407"/>
  <c r="W406"/>
  <c r="X406" s="1"/>
  <c r="V406"/>
  <c r="O406"/>
  <c r="K406"/>
  <c r="Y406"/>
  <c r="Z406"/>
  <c r="W405"/>
  <c r="X405" s="1"/>
  <c r="V405"/>
  <c r="P405"/>
  <c r="K405"/>
  <c r="Y405"/>
  <c r="Z405"/>
  <c r="W404"/>
  <c r="X404" s="1"/>
  <c r="P404"/>
  <c r="L404"/>
  <c r="Y404"/>
  <c r="Z404"/>
  <c r="W403"/>
  <c r="X403" s="1"/>
  <c r="V403"/>
  <c r="O403"/>
  <c r="K403"/>
  <c r="Y403"/>
  <c r="Z403"/>
  <c r="W402"/>
  <c r="X402" s="1"/>
  <c r="O402"/>
  <c r="K402"/>
  <c r="Y402"/>
  <c r="Z402"/>
  <c r="W401"/>
  <c r="X401" s="1"/>
  <c r="V401"/>
  <c r="O401"/>
  <c r="K401"/>
  <c r="Y401"/>
  <c r="Z401"/>
  <c r="W400"/>
  <c r="X400" s="1"/>
  <c r="P400"/>
  <c r="L400"/>
  <c r="Y400"/>
  <c r="Z400"/>
  <c r="W399"/>
  <c r="X399" s="1"/>
  <c r="V399"/>
  <c r="O399"/>
  <c r="K399"/>
  <c r="Y399"/>
  <c r="Z399"/>
  <c r="W398"/>
  <c r="X398" s="1"/>
  <c r="V398"/>
  <c r="K398"/>
  <c r="Y398"/>
  <c r="W397"/>
  <c r="X397" s="1"/>
  <c r="V397"/>
  <c r="P397"/>
  <c r="K397"/>
  <c r="Y397"/>
  <c r="Z397"/>
  <c r="W396"/>
  <c r="X396" s="1"/>
  <c r="V396"/>
  <c r="P396"/>
  <c r="L396"/>
  <c r="Y396"/>
  <c r="Z396"/>
  <c r="W395"/>
  <c r="X395" s="1"/>
  <c r="V395"/>
  <c r="L395"/>
  <c r="Y395"/>
  <c r="Z395"/>
  <c r="W394"/>
  <c r="X394" s="1"/>
  <c r="O394"/>
  <c r="K394"/>
  <c r="Y394"/>
  <c r="Z394"/>
  <c r="W393"/>
  <c r="X393" s="1"/>
  <c r="Y393"/>
  <c r="Z393"/>
  <c r="W392"/>
  <c r="X392" s="1"/>
  <c r="V392"/>
  <c r="O392"/>
  <c r="Y392"/>
  <c r="Z392"/>
  <c r="W391"/>
  <c r="X391" s="1"/>
  <c r="V391"/>
  <c r="L391"/>
  <c r="Y391"/>
  <c r="Z391"/>
  <c r="W390"/>
  <c r="X390" s="1"/>
  <c r="O390"/>
  <c r="K390"/>
  <c r="Y390"/>
  <c r="Z390"/>
  <c r="W389"/>
  <c r="X389" s="1"/>
  <c r="V389"/>
  <c r="O389"/>
  <c r="K389"/>
  <c r="Y389"/>
  <c r="Z389"/>
  <c r="W388"/>
  <c r="X388" s="1"/>
  <c r="V388"/>
  <c r="O388"/>
  <c r="Y388"/>
  <c r="Z388"/>
  <c r="W387"/>
  <c r="X387" s="1"/>
  <c r="V387"/>
  <c r="L387"/>
  <c r="Y387"/>
  <c r="Z387"/>
  <c r="W386"/>
  <c r="X386" s="1"/>
  <c r="O386"/>
  <c r="K386"/>
  <c r="Y386"/>
  <c r="Z386"/>
  <c r="W385"/>
  <c r="X385" s="1"/>
  <c r="V385"/>
  <c r="O385"/>
  <c r="K385"/>
  <c r="Y385"/>
  <c r="Z385"/>
  <c r="W384"/>
  <c r="X384" s="1"/>
  <c r="V384"/>
  <c r="O384"/>
  <c r="Y384"/>
  <c r="Z384"/>
  <c r="W383"/>
  <c r="X383" s="1"/>
  <c r="V383"/>
  <c r="L383"/>
  <c r="Y383"/>
  <c r="W382"/>
  <c r="X382" s="1"/>
  <c r="O382"/>
  <c r="K382"/>
  <c r="Y382"/>
  <c r="Z382"/>
  <c r="W381"/>
  <c r="X381" s="1"/>
  <c r="V381"/>
  <c r="O381"/>
  <c r="K381"/>
  <c r="Y381"/>
  <c r="Z381"/>
  <c r="W380"/>
  <c r="X380" s="1"/>
  <c r="V380"/>
  <c r="O380"/>
  <c r="Y380"/>
  <c r="Z380"/>
  <c r="X379"/>
  <c r="W379"/>
  <c r="V379"/>
  <c r="L379"/>
  <c r="Y379"/>
  <c r="Z379"/>
  <c r="W378"/>
  <c r="X378" s="1"/>
  <c r="O378"/>
  <c r="K378"/>
  <c r="Y378"/>
  <c r="Z378"/>
  <c r="W377"/>
  <c r="X377" s="1"/>
  <c r="V377"/>
  <c r="K377"/>
  <c r="Y377"/>
  <c r="Z377"/>
  <c r="W376"/>
  <c r="X376" s="1"/>
  <c r="V376"/>
  <c r="O376"/>
  <c r="Y376"/>
  <c r="Z376"/>
  <c r="W375"/>
  <c r="X375" s="1"/>
  <c r="V375"/>
  <c r="L375"/>
  <c r="Y375"/>
  <c r="Z375"/>
  <c r="W374"/>
  <c r="X374" s="1"/>
  <c r="O374"/>
  <c r="K374"/>
  <c r="Y374"/>
  <c r="Z374"/>
  <c r="W373"/>
  <c r="X373" s="1"/>
  <c r="V373"/>
  <c r="O373"/>
  <c r="K373"/>
  <c r="Y373"/>
  <c r="Z373"/>
  <c r="W372"/>
  <c r="X372" s="1"/>
  <c r="V372"/>
  <c r="O372"/>
  <c r="K372"/>
  <c r="Y372"/>
  <c r="Z372"/>
  <c r="W371"/>
  <c r="X371" s="1"/>
  <c r="V371"/>
  <c r="P371"/>
  <c r="L371"/>
  <c r="Y371"/>
  <c r="Z371"/>
  <c r="W370"/>
  <c r="X370" s="1"/>
  <c r="O370"/>
  <c r="K370"/>
  <c r="Y370"/>
  <c r="Z370"/>
  <c r="W369"/>
  <c r="X369" s="1"/>
  <c r="V369"/>
  <c r="O369"/>
  <c r="L369"/>
  <c r="Y369"/>
  <c r="Z369"/>
  <c r="W368"/>
  <c r="X368" s="1"/>
  <c r="V368"/>
  <c r="O368"/>
  <c r="K368"/>
  <c r="Y368"/>
  <c r="Z368"/>
  <c r="W367"/>
  <c r="X367" s="1"/>
  <c r="V367"/>
  <c r="P367"/>
  <c r="L367"/>
  <c r="Y367"/>
  <c r="Z367"/>
  <c r="W366"/>
  <c r="X366" s="1"/>
  <c r="O366"/>
  <c r="K366"/>
  <c r="Y366"/>
  <c r="Z366"/>
  <c r="W365"/>
  <c r="X365" s="1"/>
  <c r="V365"/>
  <c r="P365"/>
  <c r="K365"/>
  <c r="Y365"/>
  <c r="Z365"/>
  <c r="W364"/>
  <c r="X364" s="1"/>
  <c r="O364"/>
  <c r="Y364"/>
  <c r="Z364"/>
  <c r="W363"/>
  <c r="X363" s="1"/>
  <c r="V363"/>
  <c r="P363"/>
  <c r="L363"/>
  <c r="Y363"/>
  <c r="Z363"/>
  <c r="W362"/>
  <c r="X362" s="1"/>
  <c r="O362"/>
  <c r="K362"/>
  <c r="Y362"/>
  <c r="Z362"/>
  <c r="W361"/>
  <c r="X361" s="1"/>
  <c r="V361"/>
  <c r="O361"/>
  <c r="K361"/>
  <c r="Y361"/>
  <c r="Z361"/>
  <c r="W360"/>
  <c r="X360" s="1"/>
  <c r="V360"/>
  <c r="O360"/>
  <c r="K360"/>
  <c r="Y360"/>
  <c r="Z360"/>
  <c r="W359"/>
  <c r="X359" s="1"/>
  <c r="V359"/>
  <c r="P359"/>
  <c r="L359"/>
  <c r="Y359"/>
  <c r="Z359"/>
  <c r="W358"/>
  <c r="X358" s="1"/>
  <c r="O358"/>
  <c r="K358"/>
  <c r="Y358"/>
  <c r="Z358"/>
  <c r="W357"/>
  <c r="X357" s="1"/>
  <c r="V357"/>
  <c r="K357"/>
  <c r="Y357"/>
  <c r="Z357"/>
  <c r="W356"/>
  <c r="X356" s="1"/>
  <c r="V356"/>
  <c r="O356"/>
  <c r="K356"/>
  <c r="Y356"/>
  <c r="Z356"/>
  <c r="W355"/>
  <c r="X355" s="1"/>
  <c r="V355"/>
  <c r="L355"/>
  <c r="Y355"/>
  <c r="Z355"/>
  <c r="W354"/>
  <c r="X354" s="1"/>
  <c r="O354"/>
  <c r="K354"/>
  <c r="Y354"/>
  <c r="Z354"/>
  <c r="W353"/>
  <c r="X353" s="1"/>
  <c r="V353"/>
  <c r="P353"/>
  <c r="Y353"/>
  <c r="Z353"/>
  <c r="W352"/>
  <c r="X352" s="1"/>
  <c r="V352"/>
  <c r="O352"/>
  <c r="K352"/>
  <c r="Y352"/>
  <c r="Z352"/>
  <c r="W351"/>
  <c r="X351" s="1"/>
  <c r="V351"/>
  <c r="P351"/>
  <c r="L351"/>
  <c r="Y351"/>
  <c r="Z351"/>
  <c r="W350"/>
  <c r="X350" s="1"/>
  <c r="O350"/>
  <c r="K350"/>
  <c r="Y350"/>
  <c r="Z350"/>
  <c r="W349"/>
  <c r="X349" s="1"/>
  <c r="V349"/>
  <c r="O349"/>
  <c r="K349"/>
  <c r="Y349"/>
  <c r="Z349"/>
  <c r="W348"/>
  <c r="X348" s="1"/>
  <c r="V348"/>
  <c r="O348"/>
  <c r="K348"/>
  <c r="Y348"/>
  <c r="Z348"/>
  <c r="W347"/>
  <c r="X347" s="1"/>
  <c r="V347"/>
  <c r="P347"/>
  <c r="L347"/>
  <c r="Y347"/>
  <c r="Z347"/>
  <c r="W346"/>
  <c r="X346" s="1"/>
  <c r="O346"/>
  <c r="K346"/>
  <c r="Y346"/>
  <c r="Z346"/>
  <c r="W345"/>
  <c r="X345" s="1"/>
  <c r="O345"/>
  <c r="Y345"/>
  <c r="Z345"/>
  <c r="W344"/>
  <c r="X344" s="1"/>
  <c r="V344"/>
  <c r="O344"/>
  <c r="K344"/>
  <c r="Y344"/>
  <c r="Z344"/>
  <c r="W343"/>
  <c r="X343" s="1"/>
  <c r="V343"/>
  <c r="P343"/>
  <c r="L343"/>
  <c r="Y343"/>
  <c r="Z343"/>
  <c r="W342"/>
  <c r="X342" s="1"/>
  <c r="O342"/>
  <c r="K342"/>
  <c r="Y342"/>
  <c r="Z342"/>
  <c r="W341"/>
  <c r="X341" s="1"/>
  <c r="O341"/>
  <c r="K341"/>
  <c r="Y341"/>
  <c r="Z341"/>
  <c r="W340"/>
  <c r="X340" s="1"/>
  <c r="O340"/>
  <c r="K340"/>
  <c r="Y340"/>
  <c r="Z340"/>
  <c r="W339"/>
  <c r="X339" s="1"/>
  <c r="V339"/>
  <c r="P339"/>
  <c r="L339"/>
  <c r="Y339"/>
  <c r="Z339"/>
  <c r="W338"/>
  <c r="X338" s="1"/>
  <c r="O338"/>
  <c r="K338"/>
  <c r="Y338"/>
  <c r="Z338"/>
  <c r="W337"/>
  <c r="X337" s="1"/>
  <c r="V337"/>
  <c r="K337"/>
  <c r="Y337"/>
  <c r="Z337"/>
  <c r="W336"/>
  <c r="X336" s="1"/>
  <c r="V336"/>
  <c r="O336"/>
  <c r="K336"/>
  <c r="Y336"/>
  <c r="Z336"/>
  <c r="W335"/>
  <c r="X335" s="1"/>
  <c r="V335"/>
  <c r="P335"/>
  <c r="L335"/>
  <c r="Y335"/>
  <c r="Z335"/>
  <c r="W334"/>
  <c r="X334" s="1"/>
  <c r="O334"/>
  <c r="K334"/>
  <c r="Y334"/>
  <c r="Z334"/>
  <c r="W333"/>
  <c r="X333" s="1"/>
  <c r="V333"/>
  <c r="O333"/>
  <c r="K333"/>
  <c r="Y333"/>
  <c r="Z333"/>
  <c r="W332"/>
  <c r="X332" s="1"/>
  <c r="V332"/>
  <c r="O332"/>
  <c r="K332"/>
  <c r="Y332"/>
  <c r="Z332"/>
  <c r="W331"/>
  <c r="X331" s="1"/>
  <c r="V331"/>
  <c r="P331"/>
  <c r="L331"/>
  <c r="Y331"/>
  <c r="Z331"/>
  <c r="W330"/>
  <c r="X330" s="1"/>
  <c r="O330"/>
  <c r="K330"/>
  <c r="Y330"/>
  <c r="Z330"/>
  <c r="W329"/>
  <c r="X329" s="1"/>
  <c r="O329"/>
  <c r="Y329"/>
  <c r="Z329"/>
  <c r="W328"/>
  <c r="X328" s="1"/>
  <c r="V328"/>
  <c r="O328"/>
  <c r="K328"/>
  <c r="Y328"/>
  <c r="Z328"/>
  <c r="W327"/>
  <c r="X327" s="1"/>
  <c r="V327"/>
  <c r="P327"/>
  <c r="L327"/>
  <c r="Y327"/>
  <c r="Z327"/>
  <c r="W326"/>
  <c r="X326" s="1"/>
  <c r="O326"/>
  <c r="K326"/>
  <c r="Y326"/>
  <c r="Z326"/>
  <c r="W325"/>
  <c r="X325" s="1"/>
  <c r="O325"/>
  <c r="K325"/>
  <c r="Y325"/>
  <c r="Z325"/>
  <c r="W324"/>
  <c r="X324" s="1"/>
  <c r="O324"/>
  <c r="K324"/>
  <c r="Y324"/>
  <c r="Z324"/>
  <c r="W323"/>
  <c r="X323" s="1"/>
  <c r="V323"/>
  <c r="P323"/>
  <c r="L323"/>
  <c r="Y323"/>
  <c r="Z323"/>
  <c r="W322"/>
  <c r="X322" s="1"/>
  <c r="Y322"/>
  <c r="Z322"/>
  <c r="W321"/>
  <c r="X321" s="1"/>
  <c r="V321"/>
  <c r="K321"/>
  <c r="Y321"/>
  <c r="Z321"/>
  <c r="W320"/>
  <c r="X320" s="1"/>
  <c r="V320"/>
  <c r="O320"/>
  <c r="K320"/>
  <c r="Y320"/>
  <c r="Z320"/>
  <c r="W319"/>
  <c r="X319" s="1"/>
  <c r="V319"/>
  <c r="P319"/>
  <c r="L319"/>
  <c r="Y319"/>
  <c r="Z319"/>
  <c r="W318"/>
  <c r="X318" s="1"/>
  <c r="Y318"/>
  <c r="Z318"/>
  <c r="W317"/>
  <c r="X317" s="1"/>
  <c r="V317"/>
  <c r="O317"/>
  <c r="K317"/>
  <c r="Y317"/>
  <c r="Z317"/>
  <c r="W316"/>
  <c r="X316" s="1"/>
  <c r="V316"/>
  <c r="O316"/>
  <c r="K316"/>
  <c r="Y316"/>
  <c r="Z316"/>
  <c r="W315"/>
  <c r="X315" s="1"/>
  <c r="V315"/>
  <c r="P315"/>
  <c r="L315"/>
  <c r="Y315"/>
  <c r="Z315"/>
  <c r="W314"/>
  <c r="X314" s="1"/>
  <c r="Y314"/>
  <c r="Z314"/>
  <c r="W313"/>
  <c r="X313" s="1"/>
  <c r="O313"/>
  <c r="Y313"/>
  <c r="Z313"/>
  <c r="W312"/>
  <c r="X312" s="1"/>
  <c r="V312"/>
  <c r="O312"/>
  <c r="K312"/>
  <c r="Y312"/>
  <c r="Z312"/>
  <c r="W311"/>
  <c r="X311" s="1"/>
  <c r="V311"/>
  <c r="P311"/>
  <c r="L311"/>
  <c r="Y311"/>
  <c r="Z311"/>
  <c r="W310"/>
  <c r="X310" s="1"/>
  <c r="Y310"/>
  <c r="Z310"/>
  <c r="W309"/>
  <c r="X309" s="1"/>
  <c r="O309"/>
  <c r="K309"/>
  <c r="Y309"/>
  <c r="Z309"/>
  <c r="W308"/>
  <c r="X308" s="1"/>
  <c r="O308"/>
  <c r="K308"/>
  <c r="Y308"/>
  <c r="Z308"/>
  <c r="W307"/>
  <c r="X307" s="1"/>
  <c r="V307"/>
  <c r="P307"/>
  <c r="L307"/>
  <c r="Y307"/>
  <c r="Z307"/>
  <c r="W306"/>
  <c r="X306" s="1"/>
  <c r="Y306"/>
  <c r="Z306"/>
  <c r="W305"/>
  <c r="X305" s="1"/>
  <c r="V305"/>
  <c r="K305"/>
  <c r="Y305"/>
  <c r="Z305"/>
  <c r="W304"/>
  <c r="X304" s="1"/>
  <c r="V304"/>
  <c r="O304"/>
  <c r="K304"/>
  <c r="Y304"/>
  <c r="Z304"/>
  <c r="W303"/>
  <c r="X303" s="1"/>
  <c r="V303"/>
  <c r="P303"/>
  <c r="L303"/>
  <c r="Y303"/>
  <c r="Z303"/>
  <c r="W302"/>
  <c r="X302" s="1"/>
  <c r="Y302"/>
  <c r="Z302"/>
  <c r="W301"/>
  <c r="X301" s="1"/>
  <c r="V301"/>
  <c r="O301"/>
  <c r="K301"/>
  <c r="Y301"/>
  <c r="Z301"/>
  <c r="W300"/>
  <c r="X300" s="1"/>
  <c r="O300"/>
  <c r="K300"/>
  <c r="Y300"/>
  <c r="Z300"/>
  <c r="W299"/>
  <c r="X299" s="1"/>
  <c r="V299"/>
  <c r="P299"/>
  <c r="L299"/>
  <c r="Y299"/>
  <c r="Z299"/>
  <c r="W298"/>
  <c r="X298" s="1"/>
  <c r="O298"/>
  <c r="Y298"/>
  <c r="Z298"/>
  <c r="W297"/>
  <c r="X297" s="1"/>
  <c r="O297"/>
  <c r="Y297"/>
  <c r="Z297"/>
  <c r="W296"/>
  <c r="X296" s="1"/>
  <c r="O296"/>
  <c r="K296"/>
  <c r="Y296"/>
  <c r="Z296"/>
  <c r="W295"/>
  <c r="X295" s="1"/>
  <c r="V295"/>
  <c r="P295"/>
  <c r="L295"/>
  <c r="Y295"/>
  <c r="Z295"/>
  <c r="W294"/>
  <c r="X294" s="1"/>
  <c r="K294"/>
  <c r="Y294"/>
  <c r="Z294"/>
  <c r="W293"/>
  <c r="X293" s="1"/>
  <c r="V293"/>
  <c r="K293"/>
  <c r="Y293"/>
  <c r="Z293"/>
  <c r="W292"/>
  <c r="X292" s="1"/>
  <c r="P292"/>
  <c r="K292"/>
  <c r="Y292"/>
  <c r="Z292"/>
  <c r="W291"/>
  <c r="X291" s="1"/>
  <c r="V291"/>
  <c r="P291"/>
  <c r="L291"/>
  <c r="Y291"/>
  <c r="Z291"/>
  <c r="W290"/>
  <c r="X290" s="1"/>
  <c r="K290"/>
  <c r="Y290"/>
  <c r="Z290"/>
  <c r="W289"/>
  <c r="X289" s="1"/>
  <c r="V289"/>
  <c r="L289"/>
  <c r="Y289"/>
  <c r="Z289"/>
  <c r="W288"/>
  <c r="X288" s="1"/>
  <c r="V288"/>
  <c r="O288"/>
  <c r="L288"/>
  <c r="Y288"/>
  <c r="Z288"/>
  <c r="W287"/>
  <c r="X287" s="1"/>
  <c r="P287"/>
  <c r="L287"/>
  <c r="Y287"/>
  <c r="Z287"/>
  <c r="W286"/>
  <c r="X286" s="1"/>
  <c r="O286"/>
  <c r="K286"/>
  <c r="Y286"/>
  <c r="Z286"/>
  <c r="W285"/>
  <c r="X285" s="1"/>
  <c r="O285"/>
  <c r="L285"/>
  <c r="Y285"/>
  <c r="Z285"/>
  <c r="W284"/>
  <c r="X284" s="1"/>
  <c r="V284"/>
  <c r="K284"/>
  <c r="Y284"/>
  <c r="Z284"/>
  <c r="W283"/>
  <c r="X283" s="1"/>
  <c r="P283"/>
  <c r="L283"/>
  <c r="Y283"/>
  <c r="Z283"/>
  <c r="W282"/>
  <c r="X282" s="1"/>
  <c r="V282"/>
  <c r="O282"/>
  <c r="K282"/>
  <c r="Y282"/>
  <c r="Z282"/>
  <c r="W281"/>
  <c r="X281" s="1"/>
  <c r="O281"/>
  <c r="K281"/>
  <c r="Y281"/>
  <c r="Z281"/>
  <c r="W280"/>
  <c r="X280" s="1"/>
  <c r="V280"/>
  <c r="O280"/>
  <c r="K280"/>
  <c r="Y280"/>
  <c r="Z280"/>
  <c r="W279"/>
  <c r="X279" s="1"/>
  <c r="P279"/>
  <c r="L279"/>
  <c r="Y279"/>
  <c r="Z279"/>
  <c r="W278"/>
  <c r="X278" s="1"/>
  <c r="V278"/>
  <c r="O278"/>
  <c r="K278"/>
  <c r="Y278"/>
  <c r="Z278"/>
  <c r="W277"/>
  <c r="X277" s="1"/>
  <c r="O277"/>
  <c r="L277"/>
  <c r="Y277"/>
  <c r="W276"/>
  <c r="X276" s="1"/>
  <c r="V276"/>
  <c r="P276"/>
  <c r="K276"/>
  <c r="Y276"/>
  <c r="Z276"/>
  <c r="W275"/>
  <c r="X275" s="1"/>
  <c r="V275"/>
  <c r="P275"/>
  <c r="L275"/>
  <c r="Y275"/>
  <c r="Z275"/>
  <c r="W274"/>
  <c r="X274" s="1"/>
  <c r="O274"/>
  <c r="K274"/>
  <c r="Y274"/>
  <c r="Z274"/>
  <c r="W273"/>
  <c r="X273" s="1"/>
  <c r="O273"/>
  <c r="K273"/>
  <c r="Y273"/>
  <c r="Z273"/>
  <c r="W272"/>
  <c r="X272" s="1"/>
  <c r="V272"/>
  <c r="L272"/>
  <c r="Y272"/>
  <c r="Z272"/>
  <c r="W271"/>
  <c r="X271" s="1"/>
  <c r="V271"/>
  <c r="P271"/>
  <c r="L271"/>
  <c r="Y271"/>
  <c r="Z271"/>
  <c r="W270"/>
  <c r="X270" s="1"/>
  <c r="O270"/>
  <c r="K270"/>
  <c r="Y270"/>
  <c r="Z270"/>
  <c r="W269"/>
  <c r="X269" s="1"/>
  <c r="P269"/>
  <c r="K269"/>
  <c r="Y269"/>
  <c r="Z269"/>
  <c r="W268"/>
  <c r="X268" s="1"/>
  <c r="V268"/>
  <c r="P268"/>
  <c r="L268"/>
  <c r="Y268"/>
  <c r="Z268"/>
  <c r="W267"/>
  <c r="X267" s="1"/>
  <c r="O267"/>
  <c r="K267"/>
  <c r="Y267"/>
  <c r="Z267"/>
  <c r="W266"/>
  <c r="X266" s="1"/>
  <c r="O266"/>
  <c r="K266"/>
  <c r="Y266"/>
  <c r="Z266"/>
  <c r="W265"/>
  <c r="X265" s="1"/>
  <c r="V265"/>
  <c r="O265"/>
  <c r="K265"/>
  <c r="Y265"/>
  <c r="Z265"/>
  <c r="W264"/>
  <c r="X264" s="1"/>
  <c r="V264"/>
  <c r="P264"/>
  <c r="L264"/>
  <c r="Y264"/>
  <c r="Z264"/>
  <c r="W263"/>
  <c r="X263" s="1"/>
  <c r="O263"/>
  <c r="K263"/>
  <c r="Y263"/>
  <c r="Z263"/>
  <c r="W262"/>
  <c r="X262" s="1"/>
  <c r="O262"/>
  <c r="K262"/>
  <c r="Y262"/>
  <c r="Z262"/>
  <c r="W261"/>
  <c r="X261" s="1"/>
  <c r="V261"/>
  <c r="O261"/>
  <c r="K261"/>
  <c r="Y261"/>
  <c r="Z261"/>
  <c r="W260"/>
  <c r="X260" s="1"/>
  <c r="V260"/>
  <c r="P260"/>
  <c r="L260"/>
  <c r="Y260"/>
  <c r="Z260"/>
  <c r="W259"/>
  <c r="X259" s="1"/>
  <c r="O259"/>
  <c r="K259"/>
  <c r="Y259"/>
  <c r="Z259"/>
  <c r="W258"/>
  <c r="X258" s="1"/>
  <c r="O258"/>
  <c r="K258"/>
  <c r="Y258"/>
  <c r="Z258"/>
  <c r="W257"/>
  <c r="X257" s="1"/>
  <c r="V257"/>
  <c r="O257"/>
  <c r="K257"/>
  <c r="Y257"/>
  <c r="Z257"/>
  <c r="W256"/>
  <c r="X256" s="1"/>
  <c r="V256"/>
  <c r="P256"/>
  <c r="L256"/>
  <c r="Y256"/>
  <c r="Z256"/>
  <c r="W255"/>
  <c r="X255" s="1"/>
  <c r="O255"/>
  <c r="K255"/>
  <c r="Y255"/>
  <c r="Z255"/>
  <c r="W254"/>
  <c r="X254" s="1"/>
  <c r="O254"/>
  <c r="K254"/>
  <c r="Y254"/>
  <c r="Z254"/>
  <c r="W253"/>
  <c r="X253" s="1"/>
  <c r="V253"/>
  <c r="O253"/>
  <c r="K253"/>
  <c r="Y253"/>
  <c r="Z253"/>
  <c r="W252"/>
  <c r="X252" s="1"/>
  <c r="V252"/>
  <c r="P252"/>
  <c r="L252"/>
  <c r="Y252"/>
  <c r="Z252"/>
  <c r="W251"/>
  <c r="X251" s="1"/>
  <c r="O251"/>
  <c r="K251"/>
  <c r="Y251"/>
  <c r="Z251"/>
  <c r="W250"/>
  <c r="X250" s="1"/>
  <c r="O250"/>
  <c r="K250"/>
  <c r="Y250"/>
  <c r="Z250"/>
  <c r="W249"/>
  <c r="X249" s="1"/>
  <c r="V249"/>
  <c r="O249"/>
  <c r="K249"/>
  <c r="Y249"/>
  <c r="Z249"/>
  <c r="W248"/>
  <c r="X248" s="1"/>
  <c r="V248"/>
  <c r="P248"/>
  <c r="L248"/>
  <c r="Y248"/>
  <c r="Z248"/>
  <c r="W247"/>
  <c r="X247" s="1"/>
  <c r="O247"/>
  <c r="K247"/>
  <c r="Y247"/>
  <c r="Z247"/>
  <c r="W246"/>
  <c r="X246" s="1"/>
  <c r="O246"/>
  <c r="K246"/>
  <c r="Y246"/>
  <c r="Z246"/>
  <c r="W245"/>
  <c r="X245" s="1"/>
  <c r="V245"/>
  <c r="O245"/>
  <c r="K245"/>
  <c r="Y245"/>
  <c r="Z245"/>
  <c r="W244"/>
  <c r="X244" s="1"/>
  <c r="V244"/>
  <c r="P244"/>
  <c r="L244"/>
  <c r="Y244"/>
  <c r="Z244"/>
  <c r="W243"/>
  <c r="X243" s="1"/>
  <c r="O243"/>
  <c r="K243"/>
  <c r="Y243"/>
  <c r="Z243"/>
  <c r="W242"/>
  <c r="X242" s="1"/>
  <c r="O242"/>
  <c r="K242"/>
  <c r="Y242"/>
  <c r="Z242"/>
  <c r="W241"/>
  <c r="X241" s="1"/>
  <c r="V241"/>
  <c r="O241"/>
  <c r="K241"/>
  <c r="Y241"/>
  <c r="Z241"/>
  <c r="W240"/>
  <c r="X240" s="1"/>
  <c r="V240"/>
  <c r="P240"/>
  <c r="L240"/>
  <c r="Y240"/>
  <c r="Z240"/>
  <c r="W239"/>
  <c r="X239" s="1"/>
  <c r="O239"/>
  <c r="K239"/>
  <c r="Y239"/>
  <c r="Z239"/>
  <c r="W238"/>
  <c r="X238" s="1"/>
  <c r="O238"/>
  <c r="K238"/>
  <c r="Y238"/>
  <c r="Z238"/>
  <c r="W237"/>
  <c r="X237" s="1"/>
  <c r="V237"/>
  <c r="O237"/>
  <c r="K237"/>
  <c r="Y237"/>
  <c r="Z237"/>
  <c r="W236"/>
  <c r="X236" s="1"/>
  <c r="V236"/>
  <c r="P236"/>
  <c r="L236"/>
  <c r="Y236"/>
  <c r="Z236"/>
  <c r="W235"/>
  <c r="X235" s="1"/>
  <c r="O235"/>
  <c r="K235"/>
  <c r="Y235"/>
  <c r="Z235"/>
  <c r="W234"/>
  <c r="X234" s="1"/>
  <c r="O234"/>
  <c r="K234"/>
  <c r="Y234"/>
  <c r="Z234"/>
  <c r="W233"/>
  <c r="X233" s="1"/>
  <c r="V233"/>
  <c r="O233"/>
  <c r="K233"/>
  <c r="Y233"/>
  <c r="Z233"/>
  <c r="W232"/>
  <c r="X232" s="1"/>
  <c r="V232"/>
  <c r="P232"/>
  <c r="L232"/>
  <c r="Y232"/>
  <c r="Z232"/>
  <c r="W231"/>
  <c r="X231" s="1"/>
  <c r="O231"/>
  <c r="K231"/>
  <c r="Y231"/>
  <c r="Z231"/>
  <c r="W230"/>
  <c r="X230" s="1"/>
  <c r="O230"/>
  <c r="K230"/>
  <c r="Y230"/>
  <c r="Z230"/>
  <c r="W229"/>
  <c r="X229" s="1"/>
  <c r="V229"/>
  <c r="O229"/>
  <c r="K229"/>
  <c r="Y229"/>
  <c r="Z229"/>
  <c r="X228"/>
  <c r="W228"/>
  <c r="V228"/>
  <c r="P228"/>
  <c r="L228"/>
  <c r="Y228"/>
  <c r="Z228"/>
  <c r="W227"/>
  <c r="X227" s="1"/>
  <c r="O227"/>
  <c r="K227"/>
  <c r="Y227"/>
  <c r="Z227"/>
  <c r="W226"/>
  <c r="X226" s="1"/>
  <c r="O226"/>
  <c r="K226"/>
  <c r="Y226"/>
  <c r="Z226"/>
  <c r="W225"/>
  <c r="X225" s="1"/>
  <c r="V225"/>
  <c r="O225"/>
  <c r="K225"/>
  <c r="Y225"/>
  <c r="Z225"/>
  <c r="W224"/>
  <c r="X224" s="1"/>
  <c r="V224"/>
  <c r="P224"/>
  <c r="L224"/>
  <c r="Y224"/>
  <c r="Z224"/>
  <c r="W223"/>
  <c r="X223" s="1"/>
  <c r="O223"/>
  <c r="K223"/>
  <c r="Y223"/>
  <c r="Z223"/>
  <c r="W222"/>
  <c r="X222" s="1"/>
  <c r="O222"/>
  <c r="K222"/>
  <c r="Y222"/>
  <c r="Z222"/>
  <c r="W221"/>
  <c r="X221" s="1"/>
  <c r="V221"/>
  <c r="O221"/>
  <c r="K221"/>
  <c r="Y221"/>
  <c r="Z221"/>
  <c r="W220"/>
  <c r="X220" s="1"/>
  <c r="V220"/>
  <c r="P220"/>
  <c r="L220"/>
  <c r="Y220"/>
  <c r="Z220"/>
  <c r="W219"/>
  <c r="X219" s="1"/>
  <c r="O219"/>
  <c r="Y219"/>
  <c r="Z219"/>
  <c r="W218"/>
  <c r="X218" s="1"/>
  <c r="Y218"/>
  <c r="Z218"/>
  <c r="W217"/>
  <c r="X217" s="1"/>
  <c r="V217"/>
  <c r="O217"/>
  <c r="Y217"/>
  <c r="Z217"/>
  <c r="W216"/>
  <c r="X216" s="1"/>
  <c r="V216"/>
  <c r="L216"/>
  <c r="Y216"/>
  <c r="Z216"/>
  <c r="W215"/>
  <c r="X215" s="1"/>
  <c r="Y215"/>
  <c r="Z215"/>
  <c r="W214"/>
  <c r="X214" s="1"/>
  <c r="Y214"/>
  <c r="Z214"/>
  <c r="W213"/>
  <c r="X213" s="1"/>
  <c r="V213"/>
  <c r="O213"/>
  <c r="Y213"/>
  <c r="Z213"/>
  <c r="W212"/>
  <c r="X212" s="1"/>
  <c r="V212"/>
  <c r="L212"/>
  <c r="Y212"/>
  <c r="Z212"/>
  <c r="W211"/>
  <c r="X211" s="1"/>
  <c r="Y211"/>
  <c r="Z211"/>
  <c r="W210"/>
  <c r="X210" s="1"/>
  <c r="Y210"/>
  <c r="Z210"/>
  <c r="W209"/>
  <c r="X209" s="1"/>
  <c r="V209"/>
  <c r="O209"/>
  <c r="Y209"/>
  <c r="Z209"/>
  <c r="W208"/>
  <c r="X208" s="1"/>
  <c r="V208"/>
  <c r="L208"/>
  <c r="Y208"/>
  <c r="Z208"/>
  <c r="W207"/>
  <c r="X207" s="1"/>
  <c r="Y207"/>
  <c r="Z207"/>
  <c r="W206"/>
  <c r="X206" s="1"/>
  <c r="Y206"/>
  <c r="Z206"/>
  <c r="W205"/>
  <c r="X205" s="1"/>
  <c r="V205"/>
  <c r="O205"/>
  <c r="Y205"/>
  <c r="Z205"/>
  <c r="W204"/>
  <c r="X204" s="1"/>
  <c r="V204"/>
  <c r="L204"/>
  <c r="Y204"/>
  <c r="Z204"/>
  <c r="W203"/>
  <c r="X203" s="1"/>
  <c r="Y203"/>
  <c r="Z203"/>
  <c r="W202"/>
  <c r="X202" s="1"/>
  <c r="Y202"/>
  <c r="Z202"/>
  <c r="W201"/>
  <c r="X201" s="1"/>
  <c r="V201"/>
  <c r="O201"/>
  <c r="Y201"/>
  <c r="Z201"/>
  <c r="W200"/>
  <c r="X200" s="1"/>
  <c r="V200"/>
  <c r="L200"/>
  <c r="Y200"/>
  <c r="Z200"/>
  <c r="W199"/>
  <c r="X199" s="1"/>
  <c r="Y199"/>
  <c r="Z199"/>
  <c r="W198"/>
  <c r="X198" s="1"/>
  <c r="K198"/>
  <c r="Y198"/>
  <c r="Z198"/>
  <c r="W197"/>
  <c r="X197" s="1"/>
  <c r="V197"/>
  <c r="Y197"/>
  <c r="Z197"/>
  <c r="W196"/>
  <c r="X196" s="1"/>
  <c r="V196"/>
  <c r="Y196"/>
  <c r="W195"/>
  <c r="X195" s="1"/>
  <c r="Y195"/>
  <c r="Z195"/>
  <c r="W194"/>
  <c r="X194" s="1"/>
  <c r="O194"/>
  <c r="Y194"/>
  <c r="Z194"/>
  <c r="W193"/>
  <c r="X193" s="1"/>
  <c r="V193"/>
  <c r="Y193"/>
  <c r="Z193"/>
  <c r="W192"/>
  <c r="X192" s="1"/>
  <c r="V192"/>
  <c r="Y192"/>
  <c r="Z192"/>
  <c r="W191"/>
  <c r="X191" s="1"/>
  <c r="Y191"/>
  <c r="Z191"/>
  <c r="W190"/>
  <c r="X190" s="1"/>
  <c r="K190"/>
  <c r="Y190"/>
  <c r="Z190"/>
  <c r="W189"/>
  <c r="X189" s="1"/>
  <c r="V189"/>
  <c r="Y189"/>
  <c r="Z189"/>
  <c r="W188"/>
  <c r="X188" s="1"/>
  <c r="V188"/>
  <c r="Y188"/>
  <c r="W187"/>
  <c r="X187" s="1"/>
  <c r="Y187"/>
  <c r="Z187"/>
  <c r="W186"/>
  <c r="X186" s="1"/>
  <c r="O186"/>
  <c r="Y186"/>
  <c r="Z186"/>
  <c r="W185"/>
  <c r="X185" s="1"/>
  <c r="V185"/>
  <c r="Y185"/>
  <c r="Z185"/>
  <c r="W184"/>
  <c r="X184" s="1"/>
  <c r="V184"/>
  <c r="Y184"/>
  <c r="Z184"/>
  <c r="W183"/>
  <c r="X183" s="1"/>
  <c r="O183"/>
  <c r="K183"/>
  <c r="Y183"/>
  <c r="Z183"/>
  <c r="W182"/>
  <c r="X182" s="1"/>
  <c r="V182"/>
  <c r="P182"/>
  <c r="Y182"/>
  <c r="Z182"/>
  <c r="W181"/>
  <c r="X181" s="1"/>
  <c r="V181"/>
  <c r="O181"/>
  <c r="K181"/>
  <c r="Y181"/>
  <c r="Z181"/>
  <c r="W180"/>
  <c r="X180" s="1"/>
  <c r="V180"/>
  <c r="O180"/>
  <c r="L180"/>
  <c r="Y180"/>
  <c r="W179"/>
  <c r="X179" s="1"/>
  <c r="P179"/>
  <c r="K179"/>
  <c r="Y179"/>
  <c r="Z179"/>
  <c r="W178"/>
  <c r="X178" s="1"/>
  <c r="V178"/>
  <c r="P178"/>
  <c r="L178"/>
  <c r="Y178"/>
  <c r="W177"/>
  <c r="X177" s="1"/>
  <c r="K177"/>
  <c r="Y177"/>
  <c r="Z177"/>
  <c r="W176"/>
  <c r="X176" s="1"/>
  <c r="O176"/>
  <c r="K176"/>
  <c r="Y176"/>
  <c r="Z176"/>
  <c r="W175"/>
  <c r="X175" s="1"/>
  <c r="V175"/>
  <c r="O175"/>
  <c r="Y175"/>
  <c r="Z175"/>
  <c r="W174"/>
  <c r="X174" s="1"/>
  <c r="L174"/>
  <c r="Y174"/>
  <c r="Z174"/>
  <c r="W173"/>
  <c r="X173" s="1"/>
  <c r="O173"/>
  <c r="Y173"/>
  <c r="Z173"/>
  <c r="W172"/>
  <c r="X172" s="1"/>
  <c r="V172"/>
  <c r="P172"/>
  <c r="Y172"/>
  <c r="Z172"/>
  <c r="W171"/>
  <c r="X171" s="1"/>
  <c r="O171"/>
  <c r="K171"/>
  <c r="Y171"/>
  <c r="Z171"/>
  <c r="W170"/>
  <c r="X170" s="1"/>
  <c r="V170"/>
  <c r="O170"/>
  <c r="K170"/>
  <c r="Y170"/>
  <c r="Z170"/>
  <c r="W169"/>
  <c r="X169" s="1"/>
  <c r="V169"/>
  <c r="Y169"/>
  <c r="Z169"/>
  <c r="W168"/>
  <c r="X168" s="1"/>
  <c r="V168"/>
  <c r="Y168"/>
  <c r="Z168"/>
  <c r="W167"/>
  <c r="X167" s="1"/>
  <c r="O167"/>
  <c r="K167"/>
  <c r="Y167"/>
  <c r="Z167"/>
  <c r="W166"/>
  <c r="X166" s="1"/>
  <c r="O166"/>
  <c r="K166"/>
  <c r="Y166"/>
  <c r="Z166"/>
  <c r="W165"/>
  <c r="X165" s="1"/>
  <c r="Y165"/>
  <c r="Z165"/>
  <c r="W164"/>
  <c r="X164" s="1"/>
  <c r="Y164"/>
  <c r="Z164"/>
  <c r="W163"/>
  <c r="X163" s="1"/>
  <c r="O163"/>
  <c r="K163"/>
  <c r="Y163"/>
  <c r="Z163"/>
  <c r="W162"/>
  <c r="X162" s="1"/>
  <c r="V162"/>
  <c r="O162"/>
  <c r="K162"/>
  <c r="Y162"/>
  <c r="Z162"/>
  <c r="W161"/>
  <c r="X161" s="1"/>
  <c r="V161"/>
  <c r="Y161"/>
  <c r="Z161"/>
  <c r="W160"/>
  <c r="X160" s="1"/>
  <c r="V160"/>
  <c r="Y160"/>
  <c r="Z160"/>
  <c r="W159"/>
  <c r="X159" s="1"/>
  <c r="O159"/>
  <c r="K159"/>
  <c r="Y159"/>
  <c r="Z159"/>
  <c r="W158"/>
  <c r="X158" s="1"/>
  <c r="O158"/>
  <c r="K158"/>
  <c r="Y158"/>
  <c r="Z158"/>
  <c r="W157"/>
  <c r="X157" s="1"/>
  <c r="V157"/>
  <c r="Y157"/>
  <c r="Z157"/>
  <c r="W156"/>
  <c r="X156" s="1"/>
  <c r="V156"/>
  <c r="Y156"/>
  <c r="Z156"/>
  <c r="W155"/>
  <c r="X155" s="1"/>
  <c r="O155"/>
  <c r="K155"/>
  <c r="Y155"/>
  <c r="Z155"/>
  <c r="W154"/>
  <c r="X154" s="1"/>
  <c r="V154"/>
  <c r="O154"/>
  <c r="K154"/>
  <c r="Y154"/>
  <c r="Z154"/>
  <c r="W153"/>
  <c r="X153" s="1"/>
  <c r="V153"/>
  <c r="Y153"/>
  <c r="Z153"/>
  <c r="W152"/>
  <c r="X152" s="1"/>
  <c r="V152"/>
  <c r="Y152"/>
  <c r="Z152"/>
  <c r="W151"/>
  <c r="X151" s="1"/>
  <c r="O151"/>
  <c r="K151"/>
  <c r="Y151"/>
  <c r="Z151"/>
  <c r="W150"/>
  <c r="X150" s="1"/>
  <c r="V150"/>
  <c r="O150"/>
  <c r="K150"/>
  <c r="Y150"/>
  <c r="W149"/>
  <c r="X149" s="1"/>
  <c r="V149"/>
  <c r="O149"/>
  <c r="L149"/>
  <c r="Y149"/>
  <c r="Z149"/>
  <c r="W148"/>
  <c r="X148" s="1"/>
  <c r="P148"/>
  <c r="Y148"/>
  <c r="Z148"/>
  <c r="W147"/>
  <c r="X147" s="1"/>
  <c r="O147"/>
  <c r="K147"/>
  <c r="Y147"/>
  <c r="Z147"/>
  <c r="W146"/>
  <c r="X146" s="1"/>
  <c r="V146"/>
  <c r="P146"/>
  <c r="L146"/>
  <c r="Y146"/>
  <c r="Z146"/>
  <c r="W145"/>
  <c r="X145" s="1"/>
  <c r="V145"/>
  <c r="K145"/>
  <c r="Y145"/>
  <c r="Z145"/>
  <c r="W144"/>
  <c r="X144" s="1"/>
  <c r="L144"/>
  <c r="Y144"/>
  <c r="Z144"/>
  <c r="W143"/>
  <c r="X143" s="1"/>
  <c r="O143"/>
  <c r="K143"/>
  <c r="Y143"/>
  <c r="Z143"/>
  <c r="W142"/>
  <c r="X142" s="1"/>
  <c r="V142"/>
  <c r="P142"/>
  <c r="L142"/>
  <c r="Y142"/>
  <c r="Z142"/>
  <c r="W141"/>
  <c r="X141" s="1"/>
  <c r="P141"/>
  <c r="L141"/>
  <c r="Y141"/>
  <c r="Z141"/>
  <c r="W140"/>
  <c r="X140" s="1"/>
  <c r="Y140"/>
  <c r="Z140"/>
  <c r="W139"/>
  <c r="X139" s="1"/>
  <c r="O139"/>
  <c r="K139"/>
  <c r="Y139"/>
  <c r="Z139"/>
  <c r="W138"/>
  <c r="X138" s="1"/>
  <c r="V138"/>
  <c r="O138"/>
  <c r="K138"/>
  <c r="Y138"/>
  <c r="W137"/>
  <c r="X137" s="1"/>
  <c r="V137"/>
  <c r="P137"/>
  <c r="L137"/>
  <c r="Y137"/>
  <c r="Z137"/>
  <c r="W136"/>
  <c r="X136" s="1"/>
  <c r="V136"/>
  <c r="P136"/>
  <c r="L136"/>
  <c r="Y136"/>
  <c r="W135"/>
  <c r="X135" s="1"/>
  <c r="O135"/>
  <c r="K135"/>
  <c r="Y135"/>
  <c r="Z135"/>
  <c r="W134"/>
  <c r="X134" s="1"/>
  <c r="V134"/>
  <c r="O134"/>
  <c r="Y134"/>
  <c r="Z134"/>
  <c r="W133"/>
  <c r="X133" s="1"/>
  <c r="V133"/>
  <c r="O133"/>
  <c r="Y133"/>
  <c r="Z133"/>
  <c r="W132"/>
  <c r="X132" s="1"/>
  <c r="V132"/>
  <c r="P132"/>
  <c r="Y132"/>
  <c r="Z132"/>
  <c r="W131"/>
  <c r="X131" s="1"/>
  <c r="O131"/>
  <c r="K131"/>
  <c r="Y131"/>
  <c r="Z131"/>
  <c r="W130"/>
  <c r="X130" s="1"/>
  <c r="V130"/>
  <c r="O130"/>
  <c r="K130"/>
  <c r="Y130"/>
  <c r="Z130"/>
  <c r="W129"/>
  <c r="X129" s="1"/>
  <c r="V129"/>
  <c r="O129"/>
  <c r="Y129"/>
  <c r="Z129"/>
  <c r="W128"/>
  <c r="X128" s="1"/>
  <c r="V128"/>
  <c r="P128"/>
  <c r="L128"/>
  <c r="Y128"/>
  <c r="Z128"/>
  <c r="W127"/>
  <c r="X127" s="1"/>
  <c r="O127"/>
  <c r="K127"/>
  <c r="Y127"/>
  <c r="Z127"/>
  <c r="W126"/>
  <c r="X126" s="1"/>
  <c r="V126"/>
  <c r="P126"/>
  <c r="L126"/>
  <c r="Y126"/>
  <c r="Z126"/>
  <c r="W125"/>
  <c r="X125" s="1"/>
  <c r="V125"/>
  <c r="P125"/>
  <c r="K125"/>
  <c r="Y125"/>
  <c r="Z125"/>
  <c r="W124"/>
  <c r="X124" s="1"/>
  <c r="V124"/>
  <c r="L124"/>
  <c r="Y124"/>
  <c r="Z124"/>
  <c r="W123"/>
  <c r="X123" s="1"/>
  <c r="O123"/>
  <c r="K123"/>
  <c r="Y123"/>
  <c r="Z123"/>
  <c r="W122"/>
  <c r="X122" s="1"/>
  <c r="V122"/>
  <c r="O122"/>
  <c r="K122"/>
  <c r="Y122"/>
  <c r="W121"/>
  <c r="X121" s="1"/>
  <c r="V121"/>
  <c r="O121"/>
  <c r="Y121"/>
  <c r="Z121"/>
  <c r="W120"/>
  <c r="X120" s="1"/>
  <c r="V120"/>
  <c r="P120"/>
  <c r="L120"/>
  <c r="Y120"/>
  <c r="W119"/>
  <c r="X119" s="1"/>
  <c r="O119"/>
  <c r="K119"/>
  <c r="Y119"/>
  <c r="Z119"/>
  <c r="W118"/>
  <c r="X118" s="1"/>
  <c r="V118"/>
  <c r="P118"/>
  <c r="K118"/>
  <c r="Y118"/>
  <c r="W117"/>
  <c r="X117" s="1"/>
  <c r="V117"/>
  <c r="O117"/>
  <c r="Y117"/>
  <c r="Z117"/>
  <c r="W116"/>
  <c r="X116" s="1"/>
  <c r="V116"/>
  <c r="P116"/>
  <c r="Y116"/>
  <c r="Z116"/>
  <c r="W115"/>
  <c r="X115" s="1"/>
  <c r="O115"/>
  <c r="K115"/>
  <c r="Y115"/>
  <c r="Z115"/>
  <c r="W114"/>
  <c r="X114" s="1"/>
  <c r="V114"/>
  <c r="O114"/>
  <c r="K114"/>
  <c r="Y114"/>
  <c r="Z114"/>
  <c r="W113"/>
  <c r="X113" s="1"/>
  <c r="V113"/>
  <c r="O113"/>
  <c r="L113"/>
  <c r="Y113"/>
  <c r="Z113"/>
  <c r="W112"/>
  <c r="X112" s="1"/>
  <c r="V112"/>
  <c r="P112"/>
  <c r="L112"/>
  <c r="Y112"/>
  <c r="Z112"/>
  <c r="W111"/>
  <c r="X111" s="1"/>
  <c r="O111"/>
  <c r="K111"/>
  <c r="Y111"/>
  <c r="Z111"/>
  <c r="W110"/>
  <c r="X110" s="1"/>
  <c r="V110"/>
  <c r="P110"/>
  <c r="Y110"/>
  <c r="Z110"/>
  <c r="W109"/>
  <c r="X109" s="1"/>
  <c r="V109"/>
  <c r="P109"/>
  <c r="K109"/>
  <c r="Y109"/>
  <c r="Z109"/>
  <c r="W108"/>
  <c r="X108" s="1"/>
  <c r="V108"/>
  <c r="P108"/>
  <c r="L108"/>
  <c r="Y108"/>
  <c r="Z108"/>
  <c r="W107"/>
  <c r="X107" s="1"/>
  <c r="O107"/>
  <c r="K107"/>
  <c r="Y107"/>
  <c r="Z107"/>
  <c r="W106"/>
  <c r="X106" s="1"/>
  <c r="V106"/>
  <c r="K106"/>
  <c r="Y106"/>
  <c r="W105"/>
  <c r="X105" s="1"/>
  <c r="V105"/>
  <c r="O105"/>
  <c r="L105"/>
  <c r="Y105"/>
  <c r="Z105"/>
  <c r="W104"/>
  <c r="X104" s="1"/>
  <c r="V104"/>
  <c r="P104"/>
  <c r="L104"/>
  <c r="Y104"/>
  <c r="W103"/>
  <c r="X103" s="1"/>
  <c r="O103"/>
  <c r="K103"/>
  <c r="Y103"/>
  <c r="Z103"/>
  <c r="X102"/>
  <c r="W102"/>
  <c r="V102"/>
  <c r="P102"/>
  <c r="Y102"/>
  <c r="W101"/>
  <c r="X101" s="1"/>
  <c r="V101"/>
  <c r="O101"/>
  <c r="Y101"/>
  <c r="Z101"/>
  <c r="W100"/>
  <c r="X100" s="1"/>
  <c r="V100"/>
  <c r="P100"/>
  <c r="Y100"/>
  <c r="Z100"/>
  <c r="W99"/>
  <c r="X99" s="1"/>
  <c r="O99"/>
  <c r="K99"/>
  <c r="Y99"/>
  <c r="Z99"/>
  <c r="W98"/>
  <c r="X98" s="1"/>
  <c r="V98"/>
  <c r="O98"/>
  <c r="K98"/>
  <c r="Y98"/>
  <c r="Z98"/>
  <c r="W97"/>
  <c r="X97" s="1"/>
  <c r="V97"/>
  <c r="O97"/>
  <c r="K97"/>
  <c r="Y97"/>
  <c r="Z97"/>
  <c r="W96"/>
  <c r="X96" s="1"/>
  <c r="V96"/>
  <c r="P96"/>
  <c r="L96"/>
  <c r="Y96"/>
  <c r="Z96"/>
  <c r="W95"/>
  <c r="X95" s="1"/>
  <c r="O95"/>
  <c r="K95"/>
  <c r="Y95"/>
  <c r="Z95"/>
  <c r="W94"/>
  <c r="X94" s="1"/>
  <c r="V94"/>
  <c r="P94"/>
  <c r="L94"/>
  <c r="Y94"/>
  <c r="Z94"/>
  <c r="W93"/>
  <c r="X93" s="1"/>
  <c r="V93"/>
  <c r="K93"/>
  <c r="Y93"/>
  <c r="Z93"/>
  <c r="W92"/>
  <c r="X92" s="1"/>
  <c r="V92"/>
  <c r="P92"/>
  <c r="Y92"/>
  <c r="Z92"/>
  <c r="W91"/>
  <c r="X91" s="1"/>
  <c r="O91"/>
  <c r="K91"/>
  <c r="Y91"/>
  <c r="Z91"/>
  <c r="W90"/>
  <c r="X90" s="1"/>
  <c r="V90"/>
  <c r="K90"/>
  <c r="Y90"/>
  <c r="W89"/>
  <c r="X89" s="1"/>
  <c r="V89"/>
  <c r="Y89"/>
  <c r="Z89"/>
  <c r="W88"/>
  <c r="X88" s="1"/>
  <c r="V88"/>
  <c r="P88"/>
  <c r="L88"/>
  <c r="Y88"/>
  <c r="W87"/>
  <c r="X87" s="1"/>
  <c r="O87"/>
  <c r="K87"/>
  <c r="Y87"/>
  <c r="Z87"/>
  <c r="W86"/>
  <c r="X86" s="1"/>
  <c r="V86"/>
  <c r="K86"/>
  <c r="Y86"/>
  <c r="W85"/>
  <c r="X85" s="1"/>
  <c r="V85"/>
  <c r="O85"/>
  <c r="K85"/>
  <c r="Y85"/>
  <c r="Z85"/>
  <c r="W84"/>
  <c r="X84" s="1"/>
  <c r="V84"/>
  <c r="L84"/>
  <c r="Y84"/>
  <c r="Z84"/>
  <c r="W83"/>
  <c r="X83" s="1"/>
  <c r="O83"/>
  <c r="K83"/>
  <c r="Y83"/>
  <c r="Z83"/>
  <c r="W82"/>
  <c r="X82" s="1"/>
  <c r="V82"/>
  <c r="O82"/>
  <c r="K82"/>
  <c r="Y82"/>
  <c r="Z82"/>
  <c r="W81"/>
  <c r="X81" s="1"/>
  <c r="V81"/>
  <c r="O81"/>
  <c r="L81"/>
  <c r="Y81"/>
  <c r="Z81"/>
  <c r="W80"/>
  <c r="X80" s="1"/>
  <c r="V80"/>
  <c r="P80"/>
  <c r="L80"/>
  <c r="Y80"/>
  <c r="Z80"/>
  <c r="W79"/>
  <c r="X79" s="1"/>
  <c r="O79"/>
  <c r="K79"/>
  <c r="Y79"/>
  <c r="Z79"/>
  <c r="W78"/>
  <c r="X78" s="1"/>
  <c r="V78"/>
  <c r="L78"/>
  <c r="Y78"/>
  <c r="Z78"/>
  <c r="W77"/>
  <c r="X77" s="1"/>
  <c r="V77"/>
  <c r="K77"/>
  <c r="Y77"/>
  <c r="Z77"/>
  <c r="W76"/>
  <c r="X76" s="1"/>
  <c r="V76"/>
  <c r="P76"/>
  <c r="Y76"/>
  <c r="Z76"/>
  <c r="W75"/>
  <c r="X75" s="1"/>
  <c r="O75"/>
  <c r="K75"/>
  <c r="Y75"/>
  <c r="Z75"/>
  <c r="W74"/>
  <c r="X74" s="1"/>
  <c r="V74"/>
  <c r="O74"/>
  <c r="Y74"/>
  <c r="W73"/>
  <c r="X73" s="1"/>
  <c r="V73"/>
  <c r="O73"/>
  <c r="L73"/>
  <c r="Y73"/>
  <c r="Z73"/>
  <c r="W72"/>
  <c r="X72" s="1"/>
  <c r="V72"/>
  <c r="P72"/>
  <c r="L72"/>
  <c r="Y72"/>
  <c r="W71"/>
  <c r="X71" s="1"/>
  <c r="O71"/>
  <c r="K71"/>
  <c r="Y71"/>
  <c r="Z71"/>
  <c r="W70"/>
  <c r="X70" s="1"/>
  <c r="V70"/>
  <c r="O70"/>
  <c r="K70"/>
  <c r="Y70"/>
  <c r="W69"/>
  <c r="X69" s="1"/>
  <c r="V69"/>
  <c r="K69"/>
  <c r="Y69"/>
  <c r="Z69"/>
  <c r="W68"/>
  <c r="X68" s="1"/>
  <c r="V68"/>
  <c r="P68"/>
  <c r="L68"/>
  <c r="Y68"/>
  <c r="Z68"/>
  <c r="W67"/>
  <c r="X67" s="1"/>
  <c r="O67"/>
  <c r="K67"/>
  <c r="Y67"/>
  <c r="Z67"/>
  <c r="W66"/>
  <c r="X66" s="1"/>
  <c r="V66"/>
  <c r="O66"/>
  <c r="K66"/>
  <c r="Y66"/>
  <c r="Z66"/>
  <c r="W65"/>
  <c r="X65" s="1"/>
  <c r="V65"/>
  <c r="O65"/>
  <c r="L65"/>
  <c r="Y65"/>
  <c r="Z65"/>
  <c r="W64"/>
  <c r="X64" s="1"/>
  <c r="V64"/>
  <c r="P64"/>
  <c r="L64"/>
  <c r="Y64"/>
  <c r="Z64"/>
  <c r="W63"/>
  <c r="X63" s="1"/>
  <c r="O63"/>
  <c r="K63"/>
  <c r="Y63"/>
  <c r="Z63"/>
  <c r="W62"/>
  <c r="X62" s="1"/>
  <c r="V62"/>
  <c r="P62"/>
  <c r="L62"/>
  <c r="Y62"/>
  <c r="Z62"/>
  <c r="W61"/>
  <c r="X61" s="1"/>
  <c r="V61"/>
  <c r="P61"/>
  <c r="K61"/>
  <c r="Y61"/>
  <c r="Z61"/>
  <c r="W60"/>
  <c r="X60" s="1"/>
  <c r="V60"/>
  <c r="L60"/>
  <c r="Y60"/>
  <c r="Z60"/>
  <c r="W59"/>
  <c r="X59" s="1"/>
  <c r="O59"/>
  <c r="K59"/>
  <c r="Y59"/>
  <c r="Z59"/>
  <c r="W58"/>
  <c r="X58" s="1"/>
  <c r="V58"/>
  <c r="O58"/>
  <c r="K58"/>
  <c r="Y58"/>
  <c r="W57"/>
  <c r="X57" s="1"/>
  <c r="V57"/>
  <c r="L57"/>
  <c r="Y57"/>
  <c r="Z57"/>
  <c r="W56"/>
  <c r="X56" s="1"/>
  <c r="V56"/>
  <c r="P56"/>
  <c r="L56"/>
  <c r="Y56"/>
  <c r="W55"/>
  <c r="X55" s="1"/>
  <c r="O55"/>
  <c r="K55"/>
  <c r="Y55"/>
  <c r="Z55"/>
  <c r="W54"/>
  <c r="X54" s="1"/>
  <c r="V54"/>
  <c r="O54"/>
  <c r="L54"/>
  <c r="Y54"/>
  <c r="W53"/>
  <c r="X53" s="1"/>
  <c r="V53"/>
  <c r="P53"/>
  <c r="K53"/>
  <c r="Y53"/>
  <c r="Z53"/>
  <c r="W52"/>
  <c r="X52" s="1"/>
  <c r="V52"/>
  <c r="P52"/>
  <c r="L52"/>
  <c r="Y52"/>
  <c r="Z52"/>
  <c r="W51"/>
  <c r="X51" s="1"/>
  <c r="O51"/>
  <c r="K51"/>
  <c r="Y51"/>
  <c r="Z51"/>
  <c r="W50"/>
  <c r="X50" s="1"/>
  <c r="V50"/>
  <c r="O50"/>
  <c r="K50"/>
  <c r="Y50"/>
  <c r="Z50"/>
  <c r="W49"/>
  <c r="X49" s="1"/>
  <c r="V49"/>
  <c r="O49"/>
  <c r="K49"/>
  <c r="Y49"/>
  <c r="Z49"/>
  <c r="W48"/>
  <c r="X48" s="1"/>
  <c r="V48"/>
  <c r="P48"/>
  <c r="L48"/>
  <c r="Y48"/>
  <c r="Z48"/>
  <c r="W47"/>
  <c r="X47" s="1"/>
  <c r="O47"/>
  <c r="K47"/>
  <c r="Y47"/>
  <c r="Z47"/>
  <c r="W46"/>
  <c r="X46" s="1"/>
  <c r="V46"/>
  <c r="P46"/>
  <c r="L46"/>
  <c r="Y46"/>
  <c r="Z46"/>
  <c r="W45"/>
  <c r="X45" s="1"/>
  <c r="V45"/>
  <c r="K45"/>
  <c r="Y45"/>
  <c r="Z45"/>
  <c r="W44"/>
  <c r="X44" s="1"/>
  <c r="V44"/>
  <c r="P44"/>
  <c r="L44"/>
  <c r="Y44"/>
  <c r="Z44"/>
  <c r="W43"/>
  <c r="X43" s="1"/>
  <c r="O43"/>
  <c r="K43"/>
  <c r="Y43"/>
  <c r="Z43"/>
  <c r="W42"/>
  <c r="X42" s="1"/>
  <c r="V42"/>
  <c r="K42"/>
  <c r="Y42"/>
  <c r="W41"/>
  <c r="X41" s="1"/>
  <c r="V41"/>
  <c r="O41"/>
  <c r="L41"/>
  <c r="Y41"/>
  <c r="Z41"/>
  <c r="W40"/>
  <c r="X40" s="1"/>
  <c r="V40"/>
  <c r="P40"/>
  <c r="L40"/>
  <c r="Y40"/>
  <c r="W39"/>
  <c r="X39" s="1"/>
  <c r="O39"/>
  <c r="K39"/>
  <c r="Y39"/>
  <c r="Z39"/>
  <c r="W38"/>
  <c r="X38" s="1"/>
  <c r="V38"/>
  <c r="O38"/>
  <c r="K38"/>
  <c r="Y38"/>
  <c r="W37"/>
  <c r="X37" s="1"/>
  <c r="V37"/>
  <c r="O37"/>
  <c r="K37"/>
  <c r="Y37"/>
  <c r="Z37"/>
  <c r="W36"/>
  <c r="X36" s="1"/>
  <c r="V36"/>
  <c r="P36"/>
  <c r="L36"/>
  <c r="Y36"/>
  <c r="Z36"/>
  <c r="W35"/>
  <c r="X35" s="1"/>
  <c r="O35"/>
  <c r="K35"/>
  <c r="Y35"/>
  <c r="Z35"/>
  <c r="W34"/>
  <c r="X34" s="1"/>
  <c r="V34"/>
  <c r="O34"/>
  <c r="K34"/>
  <c r="Y34"/>
  <c r="Z34"/>
  <c r="W33"/>
  <c r="X33" s="1"/>
  <c r="V33"/>
  <c r="O33"/>
  <c r="K33"/>
  <c r="Y33"/>
  <c r="Z33"/>
  <c r="W32"/>
  <c r="X32" s="1"/>
  <c r="V32"/>
  <c r="P32"/>
  <c r="L32"/>
  <c r="Y32"/>
  <c r="Z32"/>
  <c r="W31"/>
  <c r="X31" s="1"/>
  <c r="O31"/>
  <c r="K31"/>
  <c r="Y31"/>
  <c r="Z31"/>
  <c r="W30"/>
  <c r="X30" s="1"/>
  <c r="V30"/>
  <c r="P30"/>
  <c r="L30"/>
  <c r="Y30"/>
  <c r="Z30"/>
  <c r="W29"/>
  <c r="X29" s="1"/>
  <c r="V29"/>
  <c r="P29"/>
  <c r="K29"/>
  <c r="Y29"/>
  <c r="Z29"/>
  <c r="W28"/>
  <c r="X28" s="1"/>
  <c r="V28"/>
  <c r="P28"/>
  <c r="L28"/>
  <c r="Y28"/>
  <c r="Z28"/>
  <c r="W27"/>
  <c r="X27" s="1"/>
  <c r="O27"/>
  <c r="K27"/>
  <c r="Y27"/>
  <c r="Z27"/>
  <c r="W26"/>
  <c r="X26" s="1"/>
  <c r="V26"/>
  <c r="O26"/>
  <c r="L26"/>
  <c r="Y26"/>
  <c r="Z26"/>
  <c r="W25"/>
  <c r="X25" s="1"/>
  <c r="V25"/>
  <c r="P25"/>
  <c r="K25"/>
  <c r="Y25"/>
  <c r="Z25"/>
  <c r="W24"/>
  <c r="X24" s="1"/>
  <c r="V24"/>
  <c r="P24"/>
  <c r="L24"/>
  <c r="Y24"/>
  <c r="Z24"/>
  <c r="W23"/>
  <c r="X23" s="1"/>
  <c r="O23"/>
  <c r="K23"/>
  <c r="Y23"/>
  <c r="Z23"/>
  <c r="W22"/>
  <c r="X22" s="1"/>
  <c r="V22"/>
  <c r="O22"/>
  <c r="L22"/>
  <c r="Y22"/>
  <c r="Z22"/>
  <c r="W21"/>
  <c r="X21" s="1"/>
  <c r="V21"/>
  <c r="P21"/>
  <c r="K21"/>
  <c r="Y21"/>
  <c r="Z21"/>
  <c r="W20"/>
  <c r="X20" s="1"/>
  <c r="V20"/>
  <c r="P20"/>
  <c r="L20"/>
  <c r="Y20"/>
  <c r="Z20"/>
  <c r="W19"/>
  <c r="X19" s="1"/>
  <c r="O19"/>
  <c r="K19"/>
  <c r="Y19"/>
  <c r="Z19"/>
  <c r="W18"/>
  <c r="X18" s="1"/>
  <c r="V18"/>
  <c r="L18"/>
  <c r="Y18"/>
  <c r="Z18"/>
  <c r="W17"/>
  <c r="X17" s="1"/>
  <c r="V17"/>
  <c r="P17"/>
  <c r="K17"/>
  <c r="Y17"/>
  <c r="Z17"/>
  <c r="W16"/>
  <c r="X16" s="1"/>
  <c r="V16"/>
  <c r="P16"/>
  <c r="L16"/>
  <c r="Y16"/>
  <c r="Z16"/>
  <c r="W15"/>
  <c r="X15" s="1"/>
  <c r="O15"/>
  <c r="K15"/>
  <c r="Y15"/>
  <c r="Z15"/>
  <c r="W14"/>
  <c r="X14" s="1"/>
  <c r="V14"/>
  <c r="O14"/>
  <c r="L14"/>
  <c r="Y14"/>
  <c r="Z14"/>
  <c r="W13"/>
  <c r="X13" s="1"/>
  <c r="V13"/>
  <c r="P13"/>
  <c r="K13"/>
  <c r="Y13"/>
  <c r="Z13"/>
  <c r="W12"/>
  <c r="X12" s="1"/>
  <c r="V12"/>
  <c r="P12"/>
  <c r="L12"/>
  <c r="Y12"/>
  <c r="Z12"/>
  <c r="D283" i="18" s="1"/>
  <c r="F283" s="1"/>
  <c r="W11" i="28"/>
  <c r="X11" s="1"/>
  <c r="O11"/>
  <c r="K11"/>
  <c r="Y11"/>
  <c r="Z11"/>
  <c r="D282" i="18" s="1"/>
  <c r="F282" s="1"/>
  <c r="W10" i="28"/>
  <c r="X10" s="1"/>
  <c r="V10"/>
  <c r="O10"/>
  <c r="L10"/>
  <c r="Y10"/>
  <c r="Z10"/>
  <c r="W9"/>
  <c r="X9" s="1"/>
  <c r="V9"/>
  <c r="P9"/>
  <c r="K9"/>
  <c r="Y9"/>
  <c r="Z9"/>
  <c r="W8"/>
  <c r="X8" s="1"/>
  <c r="V8"/>
  <c r="P8"/>
  <c r="L8"/>
  <c r="Y8"/>
  <c r="Z8"/>
  <c r="W7"/>
  <c r="X7" s="1"/>
  <c r="O7"/>
  <c r="K7"/>
  <c r="Y7"/>
  <c r="Z7"/>
  <c r="W6"/>
  <c r="X6" s="1"/>
  <c r="V6"/>
  <c r="O6"/>
  <c r="L6"/>
  <c r="Y6"/>
  <c r="Z6"/>
  <c r="W5"/>
  <c r="X5" s="1"/>
  <c r="V5"/>
  <c r="P5"/>
  <c r="K5"/>
  <c r="Y5"/>
  <c r="Z5"/>
  <c r="W4"/>
  <c r="X4" s="1"/>
  <c r="V4"/>
  <c r="P4"/>
  <c r="L4"/>
  <c r="Y4"/>
  <c r="Z4"/>
  <c r="W3"/>
  <c r="X3" s="1"/>
  <c r="O3"/>
  <c r="K3"/>
  <c r="Y3"/>
  <c r="Z3"/>
  <c r="W2"/>
  <c r="X2" s="1"/>
  <c r="V2"/>
  <c r="O2"/>
  <c r="L2"/>
  <c r="Y2"/>
  <c r="Z2"/>
  <c r="W571" i="27"/>
  <c r="X571" s="1"/>
  <c r="N571"/>
  <c r="O571" s="1"/>
  <c r="K571"/>
  <c r="Y571"/>
  <c r="Z571"/>
  <c r="W570"/>
  <c r="X570" s="1"/>
  <c r="V570"/>
  <c r="N570"/>
  <c r="O570" s="1"/>
  <c r="K570"/>
  <c r="Y570"/>
  <c r="W569"/>
  <c r="X569" s="1"/>
  <c r="V569"/>
  <c r="N569"/>
  <c r="O569" s="1"/>
  <c r="K569"/>
  <c r="Y569"/>
  <c r="Z569"/>
  <c r="W568"/>
  <c r="X568" s="1"/>
  <c r="N568"/>
  <c r="P568" s="1"/>
  <c r="L568"/>
  <c r="Y568"/>
  <c r="Z568"/>
  <c r="W567"/>
  <c r="X567" s="1"/>
  <c r="N567"/>
  <c r="O567" s="1"/>
  <c r="K567"/>
  <c r="Y567"/>
  <c r="Z567"/>
  <c r="W566"/>
  <c r="X566" s="1"/>
  <c r="V566"/>
  <c r="N566"/>
  <c r="P566" s="1"/>
  <c r="K566"/>
  <c r="Y566"/>
  <c r="W565"/>
  <c r="X565" s="1"/>
  <c r="V565"/>
  <c r="N565"/>
  <c r="O565" s="1"/>
  <c r="Y565"/>
  <c r="Z565"/>
  <c r="W564"/>
  <c r="X564" s="1"/>
  <c r="N564"/>
  <c r="P564" s="1"/>
  <c r="L564"/>
  <c r="Y564"/>
  <c r="Z564"/>
  <c r="W563"/>
  <c r="X563" s="1"/>
  <c r="N563"/>
  <c r="O563" s="1"/>
  <c r="K563"/>
  <c r="Y563"/>
  <c r="Z563"/>
  <c r="W562"/>
  <c r="X562" s="1"/>
  <c r="V562"/>
  <c r="N562"/>
  <c r="P562" s="1"/>
  <c r="L562"/>
  <c r="Y562"/>
  <c r="Z562"/>
  <c r="W561"/>
  <c r="X561" s="1"/>
  <c r="V561"/>
  <c r="N561"/>
  <c r="O561" s="1"/>
  <c r="K561"/>
  <c r="Y561"/>
  <c r="Z561"/>
  <c r="W560"/>
  <c r="X560" s="1"/>
  <c r="V560"/>
  <c r="N560"/>
  <c r="P560" s="1"/>
  <c r="L560"/>
  <c r="Y560"/>
  <c r="Z560"/>
  <c r="W559"/>
  <c r="X559" s="1"/>
  <c r="N559"/>
  <c r="O559" s="1"/>
  <c r="K559"/>
  <c r="Y559"/>
  <c r="Z559"/>
  <c r="W558"/>
  <c r="X558" s="1"/>
  <c r="V558"/>
  <c r="N558"/>
  <c r="P558" s="1"/>
  <c r="L558"/>
  <c r="Y558"/>
  <c r="Z558"/>
  <c r="W557"/>
  <c r="X557" s="1"/>
  <c r="V557"/>
  <c r="N557"/>
  <c r="O557" s="1"/>
  <c r="K557"/>
  <c r="Y557"/>
  <c r="Z557"/>
  <c r="W556"/>
  <c r="X556" s="1"/>
  <c r="N556"/>
  <c r="L556"/>
  <c r="Y556"/>
  <c r="Z556"/>
  <c r="W555"/>
  <c r="X555" s="1"/>
  <c r="N555"/>
  <c r="O555" s="1"/>
  <c r="K555"/>
  <c r="Y555"/>
  <c r="Z555"/>
  <c r="W554"/>
  <c r="X554" s="1"/>
  <c r="V554"/>
  <c r="N554"/>
  <c r="P554" s="1"/>
  <c r="L554"/>
  <c r="Y554"/>
  <c r="Z554"/>
  <c r="W553"/>
  <c r="X553" s="1"/>
  <c r="V553"/>
  <c r="N553"/>
  <c r="O553" s="1"/>
  <c r="K553"/>
  <c r="Y553"/>
  <c r="Z553"/>
  <c r="W552"/>
  <c r="X552" s="1"/>
  <c r="V552"/>
  <c r="N552"/>
  <c r="P552" s="1"/>
  <c r="L552"/>
  <c r="Y552"/>
  <c r="Z552"/>
  <c r="W551"/>
  <c r="X551" s="1"/>
  <c r="N551"/>
  <c r="O551" s="1"/>
  <c r="K551"/>
  <c r="Y551"/>
  <c r="Z551"/>
  <c r="W550"/>
  <c r="X550" s="1"/>
  <c r="N550"/>
  <c r="P550" s="1"/>
  <c r="L550"/>
  <c r="Y550"/>
  <c r="Z550"/>
  <c r="W549"/>
  <c r="X549" s="1"/>
  <c r="V549"/>
  <c r="N549"/>
  <c r="O549" s="1"/>
  <c r="K549"/>
  <c r="Y549"/>
  <c r="Z549"/>
  <c r="W548"/>
  <c r="X548" s="1"/>
  <c r="V548"/>
  <c r="N548"/>
  <c r="P548" s="1"/>
  <c r="L548"/>
  <c r="Y548"/>
  <c r="Z548"/>
  <c r="W547"/>
  <c r="X547" s="1"/>
  <c r="N547"/>
  <c r="O547" s="1"/>
  <c r="K547"/>
  <c r="Y547"/>
  <c r="Z547"/>
  <c r="W546"/>
  <c r="X546" s="1"/>
  <c r="N546"/>
  <c r="O546" s="1"/>
  <c r="K546"/>
  <c r="Y546"/>
  <c r="Z546"/>
  <c r="W545"/>
  <c r="X545" s="1"/>
  <c r="V545"/>
  <c r="N545"/>
  <c r="O545" s="1"/>
  <c r="Y545"/>
  <c r="Z545"/>
  <c r="W544"/>
  <c r="X544" s="1"/>
  <c r="N544"/>
  <c r="P544" s="1"/>
  <c r="L544"/>
  <c r="Y544"/>
  <c r="Z544"/>
  <c r="W543"/>
  <c r="X543" s="1"/>
  <c r="N543"/>
  <c r="O543" s="1"/>
  <c r="K543"/>
  <c r="Y543"/>
  <c r="Z543"/>
  <c r="W542"/>
  <c r="X542" s="1"/>
  <c r="V542"/>
  <c r="N542"/>
  <c r="P542" s="1"/>
  <c r="K542"/>
  <c r="Y542"/>
  <c r="Z542"/>
  <c r="W541"/>
  <c r="X541" s="1"/>
  <c r="V541"/>
  <c r="N541"/>
  <c r="O541" s="1"/>
  <c r="K541"/>
  <c r="Y541"/>
  <c r="Z541"/>
  <c r="W540"/>
  <c r="X540" s="1"/>
  <c r="V540"/>
  <c r="N540"/>
  <c r="P540" s="1"/>
  <c r="L540"/>
  <c r="Y540"/>
  <c r="Z540"/>
  <c r="W539"/>
  <c r="X539" s="1"/>
  <c r="N539"/>
  <c r="O539" s="1"/>
  <c r="K539"/>
  <c r="Y539"/>
  <c r="Z539"/>
  <c r="W538"/>
  <c r="X538" s="1"/>
  <c r="V538"/>
  <c r="N538"/>
  <c r="P538" s="1"/>
  <c r="K538"/>
  <c r="Y538"/>
  <c r="Z538"/>
  <c r="W537"/>
  <c r="X537" s="1"/>
  <c r="V537"/>
  <c r="N537"/>
  <c r="O537" s="1"/>
  <c r="Y537"/>
  <c r="Z537"/>
  <c r="W536"/>
  <c r="X536" s="1"/>
  <c r="N536"/>
  <c r="P536" s="1"/>
  <c r="L536"/>
  <c r="Y536"/>
  <c r="Z536"/>
  <c r="W535"/>
  <c r="X535" s="1"/>
  <c r="N535"/>
  <c r="O535" s="1"/>
  <c r="K535"/>
  <c r="Y535"/>
  <c r="Z535"/>
  <c r="W534"/>
  <c r="X534" s="1"/>
  <c r="V534"/>
  <c r="N534"/>
  <c r="O534" s="1"/>
  <c r="L534"/>
  <c r="Y534"/>
  <c r="Z534"/>
  <c r="W533"/>
  <c r="X533" s="1"/>
  <c r="V533"/>
  <c r="N533"/>
  <c r="O533" s="1"/>
  <c r="K533"/>
  <c r="Y533"/>
  <c r="Z533"/>
  <c r="W532"/>
  <c r="X532" s="1"/>
  <c r="V532"/>
  <c r="N532"/>
  <c r="L532"/>
  <c r="Y532"/>
  <c r="Z532"/>
  <c r="W531"/>
  <c r="X531" s="1"/>
  <c r="N531"/>
  <c r="O531" s="1"/>
  <c r="K531"/>
  <c r="Y531"/>
  <c r="Z531"/>
  <c r="W530"/>
  <c r="X530" s="1"/>
  <c r="V530"/>
  <c r="N530"/>
  <c r="O530" s="1"/>
  <c r="L530"/>
  <c r="Y530"/>
  <c r="Z530"/>
  <c r="W529"/>
  <c r="X529" s="1"/>
  <c r="V529"/>
  <c r="N529"/>
  <c r="O529" s="1"/>
  <c r="K529"/>
  <c r="Y529"/>
  <c r="Z529"/>
  <c r="W528"/>
  <c r="X528" s="1"/>
  <c r="V528"/>
  <c r="N528"/>
  <c r="P528" s="1"/>
  <c r="L528"/>
  <c r="Y528"/>
  <c r="Z528"/>
  <c r="W527"/>
  <c r="X527" s="1"/>
  <c r="N527"/>
  <c r="O527" s="1"/>
  <c r="K527"/>
  <c r="Y527"/>
  <c r="Z527"/>
  <c r="W526"/>
  <c r="X526" s="1"/>
  <c r="V526"/>
  <c r="N526"/>
  <c r="O526" s="1"/>
  <c r="Y526"/>
  <c r="Z526"/>
  <c r="W525"/>
  <c r="X525" s="1"/>
  <c r="V525"/>
  <c r="N525"/>
  <c r="O525" s="1"/>
  <c r="K525"/>
  <c r="Y525"/>
  <c r="Z525"/>
  <c r="W524"/>
  <c r="X524" s="1"/>
  <c r="V524"/>
  <c r="N524"/>
  <c r="P524" s="1"/>
  <c r="L524"/>
  <c r="Y524"/>
  <c r="Z524"/>
  <c r="W523"/>
  <c r="X523" s="1"/>
  <c r="N523"/>
  <c r="O523" s="1"/>
  <c r="K523"/>
  <c r="Y523"/>
  <c r="Z523"/>
  <c r="W522"/>
  <c r="X522" s="1"/>
  <c r="V522"/>
  <c r="N522"/>
  <c r="P522" s="1"/>
  <c r="K522"/>
  <c r="Y522"/>
  <c r="Z522"/>
  <c r="W521"/>
  <c r="X521" s="1"/>
  <c r="V521"/>
  <c r="N521"/>
  <c r="O521" s="1"/>
  <c r="K521"/>
  <c r="Y521"/>
  <c r="Z521"/>
  <c r="W520"/>
  <c r="X520" s="1"/>
  <c r="V520"/>
  <c r="N520"/>
  <c r="P520" s="1"/>
  <c r="L520"/>
  <c r="Y520"/>
  <c r="Z520"/>
  <c r="W519"/>
  <c r="X519" s="1"/>
  <c r="N519"/>
  <c r="O519" s="1"/>
  <c r="K519"/>
  <c r="Y519"/>
  <c r="Z519"/>
  <c r="W518"/>
  <c r="X518" s="1"/>
  <c r="V518"/>
  <c r="N518"/>
  <c r="O518" s="1"/>
  <c r="K518"/>
  <c r="Y518"/>
  <c r="Z518"/>
  <c r="W517"/>
  <c r="X517" s="1"/>
  <c r="V517"/>
  <c r="N517"/>
  <c r="O517" s="1"/>
  <c r="K517"/>
  <c r="Y517"/>
  <c r="Z517"/>
  <c r="W516"/>
  <c r="X516" s="1"/>
  <c r="V516"/>
  <c r="N516"/>
  <c r="P516" s="1"/>
  <c r="L516"/>
  <c r="Y516"/>
  <c r="Z516"/>
  <c r="W515"/>
  <c r="X515" s="1"/>
  <c r="N515"/>
  <c r="O515" s="1"/>
  <c r="K515"/>
  <c r="Y515"/>
  <c r="Z515"/>
  <c r="W514"/>
  <c r="X514" s="1"/>
  <c r="N514"/>
  <c r="O514" s="1"/>
  <c r="K514"/>
  <c r="Y514"/>
  <c r="Z514"/>
  <c r="W513"/>
  <c r="X513" s="1"/>
  <c r="V513"/>
  <c r="N513"/>
  <c r="O513" s="1"/>
  <c r="K513"/>
  <c r="Y513"/>
  <c r="Z513"/>
  <c r="W512"/>
  <c r="X512" s="1"/>
  <c r="V512"/>
  <c r="N512"/>
  <c r="P512" s="1"/>
  <c r="L512"/>
  <c r="Y512"/>
  <c r="Z512"/>
  <c r="W511"/>
  <c r="X511" s="1"/>
  <c r="N511"/>
  <c r="O511" s="1"/>
  <c r="K511"/>
  <c r="Y511"/>
  <c r="Z511"/>
  <c r="W510"/>
  <c r="X510" s="1"/>
  <c r="V510"/>
  <c r="N510"/>
  <c r="O510" s="1"/>
  <c r="K510"/>
  <c r="Y510"/>
  <c r="Z510"/>
  <c r="W509"/>
  <c r="X509" s="1"/>
  <c r="V509"/>
  <c r="N509"/>
  <c r="O509" s="1"/>
  <c r="K509"/>
  <c r="Y509"/>
  <c r="Z509"/>
  <c r="W508"/>
  <c r="X508" s="1"/>
  <c r="V508"/>
  <c r="N508"/>
  <c r="P508" s="1"/>
  <c r="L508"/>
  <c r="Y508"/>
  <c r="Z508"/>
  <c r="W507"/>
  <c r="X507" s="1"/>
  <c r="N507"/>
  <c r="Y507"/>
  <c r="Z507"/>
  <c r="W506"/>
  <c r="X506" s="1"/>
  <c r="N506"/>
  <c r="O506" s="1"/>
  <c r="Y506"/>
  <c r="Z506"/>
  <c r="W505"/>
  <c r="X505" s="1"/>
  <c r="V505"/>
  <c r="N505"/>
  <c r="O505" s="1"/>
  <c r="K505"/>
  <c r="Y505"/>
  <c r="Z505"/>
  <c r="W504"/>
  <c r="X504" s="1"/>
  <c r="V504"/>
  <c r="N504"/>
  <c r="P504" s="1"/>
  <c r="L504"/>
  <c r="Y504"/>
  <c r="Z504"/>
  <c r="W503"/>
  <c r="X503" s="1"/>
  <c r="N503"/>
  <c r="Y503"/>
  <c r="Z503"/>
  <c r="W502"/>
  <c r="X502" s="1"/>
  <c r="V502"/>
  <c r="N502"/>
  <c r="O502" s="1"/>
  <c r="K502"/>
  <c r="Y502"/>
  <c r="Z502"/>
  <c r="W501"/>
  <c r="X501" s="1"/>
  <c r="V501"/>
  <c r="N501"/>
  <c r="O501" s="1"/>
  <c r="K501"/>
  <c r="Y501"/>
  <c r="Z501"/>
  <c r="W500"/>
  <c r="X500" s="1"/>
  <c r="V500"/>
  <c r="N500"/>
  <c r="P500" s="1"/>
  <c r="L500"/>
  <c r="Y500"/>
  <c r="Z500"/>
  <c r="W499"/>
  <c r="X499" s="1"/>
  <c r="N499"/>
  <c r="Y499"/>
  <c r="Z499"/>
  <c r="W498"/>
  <c r="X498" s="1"/>
  <c r="N498"/>
  <c r="K498"/>
  <c r="Y498"/>
  <c r="Z498"/>
  <c r="W497"/>
  <c r="X497" s="1"/>
  <c r="V497"/>
  <c r="N497"/>
  <c r="O497" s="1"/>
  <c r="K497"/>
  <c r="Y497"/>
  <c r="Z497"/>
  <c r="W496"/>
  <c r="X496" s="1"/>
  <c r="V496"/>
  <c r="N496"/>
  <c r="P496" s="1"/>
  <c r="L496"/>
  <c r="Y496"/>
  <c r="Z496"/>
  <c r="W495"/>
  <c r="X495" s="1"/>
  <c r="N495"/>
  <c r="O495" s="1"/>
  <c r="K495"/>
  <c r="Y495"/>
  <c r="Z495"/>
  <c r="W494"/>
  <c r="X494" s="1"/>
  <c r="V494"/>
  <c r="N494"/>
  <c r="O494" s="1"/>
  <c r="K494"/>
  <c r="Y494"/>
  <c r="Z494"/>
  <c r="W493"/>
  <c r="X493" s="1"/>
  <c r="N493"/>
  <c r="O493" s="1"/>
  <c r="K493"/>
  <c r="Y493"/>
  <c r="Z493"/>
  <c r="W492"/>
  <c r="X492" s="1"/>
  <c r="V492"/>
  <c r="N492"/>
  <c r="P492" s="1"/>
  <c r="L492"/>
  <c r="Y492"/>
  <c r="Z492"/>
  <c r="W491"/>
  <c r="X491" s="1"/>
  <c r="N491"/>
  <c r="O491" s="1"/>
  <c r="K491"/>
  <c r="Y491"/>
  <c r="Z491"/>
  <c r="W490"/>
  <c r="X490" s="1"/>
  <c r="V490"/>
  <c r="N490"/>
  <c r="O490" s="1"/>
  <c r="K490"/>
  <c r="Y490"/>
  <c r="Z490"/>
  <c r="W489"/>
  <c r="X489" s="1"/>
  <c r="V489"/>
  <c r="N489"/>
  <c r="O489" s="1"/>
  <c r="K489"/>
  <c r="Y489"/>
  <c r="Z489"/>
  <c r="W488"/>
  <c r="X488" s="1"/>
  <c r="V488"/>
  <c r="N488"/>
  <c r="P488" s="1"/>
  <c r="L488"/>
  <c r="Y488"/>
  <c r="Z488"/>
  <c r="W487"/>
  <c r="X487" s="1"/>
  <c r="V487"/>
  <c r="N487"/>
  <c r="O487" s="1"/>
  <c r="K487"/>
  <c r="Y487"/>
  <c r="Z487"/>
  <c r="W486"/>
  <c r="X486" s="1"/>
  <c r="V486"/>
  <c r="N486"/>
  <c r="O486" s="1"/>
  <c r="K486"/>
  <c r="Y486"/>
  <c r="Z486"/>
  <c r="W485"/>
  <c r="X485" s="1"/>
  <c r="V485"/>
  <c r="N485"/>
  <c r="O485" s="1"/>
  <c r="K485"/>
  <c r="Y485"/>
  <c r="Z485"/>
  <c r="W484"/>
  <c r="X484" s="1"/>
  <c r="N484"/>
  <c r="P484" s="1"/>
  <c r="L484"/>
  <c r="Y484"/>
  <c r="Z484"/>
  <c r="W483"/>
  <c r="X483" s="1"/>
  <c r="V483"/>
  <c r="N483"/>
  <c r="O483" s="1"/>
  <c r="K483"/>
  <c r="Y483"/>
  <c r="Z483"/>
  <c r="W482"/>
  <c r="X482" s="1"/>
  <c r="V482"/>
  <c r="N482"/>
  <c r="P482" s="1"/>
  <c r="L482"/>
  <c r="Y482"/>
  <c r="Z482"/>
  <c r="W481"/>
  <c r="X481" s="1"/>
  <c r="V481"/>
  <c r="N481"/>
  <c r="P481" s="1"/>
  <c r="K481"/>
  <c r="Y481"/>
  <c r="Z481"/>
  <c r="W480"/>
  <c r="X480" s="1"/>
  <c r="V480"/>
  <c r="N480"/>
  <c r="P480" s="1"/>
  <c r="L480"/>
  <c r="Y480"/>
  <c r="Z480"/>
  <c r="W479"/>
  <c r="X479" s="1"/>
  <c r="N479"/>
  <c r="O479" s="1"/>
  <c r="Y479"/>
  <c r="Z479"/>
  <c r="W478"/>
  <c r="X478" s="1"/>
  <c r="V478"/>
  <c r="N478"/>
  <c r="O478" s="1"/>
  <c r="L478"/>
  <c r="Y478"/>
  <c r="W477"/>
  <c r="X477" s="1"/>
  <c r="V477"/>
  <c r="N477"/>
  <c r="P477" s="1"/>
  <c r="L477"/>
  <c r="Y477"/>
  <c r="Z477"/>
  <c r="W476"/>
  <c r="X476" s="1"/>
  <c r="V476"/>
  <c r="N476"/>
  <c r="O476" s="1"/>
  <c r="K476"/>
  <c r="Y476"/>
  <c r="Z476"/>
  <c r="W475"/>
  <c r="X475" s="1"/>
  <c r="V475"/>
  <c r="N475"/>
  <c r="K475"/>
  <c r="Y475"/>
  <c r="W474"/>
  <c r="X474" s="1"/>
  <c r="V474"/>
  <c r="N474"/>
  <c r="O474" s="1"/>
  <c r="K474"/>
  <c r="Y474"/>
  <c r="W473"/>
  <c r="X473" s="1"/>
  <c r="V473"/>
  <c r="N473"/>
  <c r="P473" s="1"/>
  <c r="L473"/>
  <c r="Y473"/>
  <c r="Z473"/>
  <c r="W472"/>
  <c r="X472" s="1"/>
  <c r="V472"/>
  <c r="N472"/>
  <c r="O472" s="1"/>
  <c r="K472"/>
  <c r="Y472"/>
  <c r="Z472"/>
  <c r="W471"/>
  <c r="X471" s="1"/>
  <c r="V471"/>
  <c r="N471"/>
  <c r="O471" s="1"/>
  <c r="K471"/>
  <c r="Y471"/>
  <c r="Z471"/>
  <c r="W470"/>
  <c r="X470" s="1"/>
  <c r="V470"/>
  <c r="N470"/>
  <c r="O470" s="1"/>
  <c r="L470"/>
  <c r="Y470"/>
  <c r="W469"/>
  <c r="X469" s="1"/>
  <c r="V469"/>
  <c r="N469"/>
  <c r="P469" s="1"/>
  <c r="L469"/>
  <c r="Y469"/>
  <c r="Z469"/>
  <c r="W468"/>
  <c r="X468" s="1"/>
  <c r="V468"/>
  <c r="N468"/>
  <c r="O468" s="1"/>
  <c r="K468"/>
  <c r="Y468"/>
  <c r="Z468"/>
  <c r="W467"/>
  <c r="X467" s="1"/>
  <c r="V467"/>
  <c r="N467"/>
  <c r="P467" s="1"/>
  <c r="L467"/>
  <c r="Y467"/>
  <c r="Z467"/>
  <c r="W466"/>
  <c r="X466" s="1"/>
  <c r="V466"/>
  <c r="N466"/>
  <c r="P466" s="1"/>
  <c r="K466"/>
  <c r="Y466"/>
  <c r="W465"/>
  <c r="X465" s="1"/>
  <c r="V465"/>
  <c r="N465"/>
  <c r="P465" s="1"/>
  <c r="Y465"/>
  <c r="Z465"/>
  <c r="W464"/>
  <c r="X464" s="1"/>
  <c r="V464"/>
  <c r="N464"/>
  <c r="O464" s="1"/>
  <c r="K464"/>
  <c r="Y464"/>
  <c r="Z464"/>
  <c r="W463"/>
  <c r="X463" s="1"/>
  <c r="V463"/>
  <c r="N463"/>
  <c r="O463" s="1"/>
  <c r="K463"/>
  <c r="Y463"/>
  <c r="W462"/>
  <c r="X462" s="1"/>
  <c r="V462"/>
  <c r="N462"/>
  <c r="O462" s="1"/>
  <c r="Y462"/>
  <c r="W461"/>
  <c r="X461" s="1"/>
  <c r="V461"/>
  <c r="N461"/>
  <c r="P461" s="1"/>
  <c r="L461"/>
  <c r="Y461"/>
  <c r="Z461"/>
  <c r="W460"/>
  <c r="X460" s="1"/>
  <c r="V460"/>
  <c r="N460"/>
  <c r="O460" s="1"/>
  <c r="K460"/>
  <c r="Y460"/>
  <c r="Z460"/>
  <c r="W459"/>
  <c r="X459" s="1"/>
  <c r="V459"/>
  <c r="N459"/>
  <c r="O459" s="1"/>
  <c r="Y459"/>
  <c r="W458"/>
  <c r="X458" s="1"/>
  <c r="V458"/>
  <c r="N458"/>
  <c r="P458" s="1"/>
  <c r="Y458"/>
  <c r="W457"/>
  <c r="X457" s="1"/>
  <c r="V457"/>
  <c r="N457"/>
  <c r="P457" s="1"/>
  <c r="Y457"/>
  <c r="Z457"/>
  <c r="W456"/>
  <c r="X456" s="1"/>
  <c r="V456"/>
  <c r="N456"/>
  <c r="O456" s="1"/>
  <c r="K456"/>
  <c r="Y456"/>
  <c r="Z456"/>
  <c r="W455"/>
  <c r="X455" s="1"/>
  <c r="V455"/>
  <c r="N455"/>
  <c r="O455" s="1"/>
  <c r="K455"/>
  <c r="Y455"/>
  <c r="Z455"/>
  <c r="W454"/>
  <c r="X454" s="1"/>
  <c r="V454"/>
  <c r="N454"/>
  <c r="O454" s="1"/>
  <c r="K454"/>
  <c r="Y454"/>
  <c r="W453"/>
  <c r="X453" s="1"/>
  <c r="V453"/>
  <c r="N453"/>
  <c r="P453" s="1"/>
  <c r="L453"/>
  <c r="Y453"/>
  <c r="Z453"/>
  <c r="W452"/>
  <c r="X452" s="1"/>
  <c r="V452"/>
  <c r="N452"/>
  <c r="O452" s="1"/>
  <c r="K452"/>
  <c r="Y452"/>
  <c r="Z452"/>
  <c r="W451"/>
  <c r="X451" s="1"/>
  <c r="V451"/>
  <c r="N451"/>
  <c r="P451" s="1"/>
  <c r="L451"/>
  <c r="Y451"/>
  <c r="Z451"/>
  <c r="W450"/>
  <c r="X450" s="1"/>
  <c r="V450"/>
  <c r="N450"/>
  <c r="K450"/>
  <c r="Y450"/>
  <c r="W449"/>
  <c r="X449" s="1"/>
  <c r="V449"/>
  <c r="N449"/>
  <c r="P449" s="1"/>
  <c r="L449"/>
  <c r="Y449"/>
  <c r="Z449"/>
  <c r="W448"/>
  <c r="X448" s="1"/>
  <c r="V448"/>
  <c r="N448"/>
  <c r="O448" s="1"/>
  <c r="K448"/>
  <c r="Y448"/>
  <c r="Z448"/>
  <c r="W447"/>
  <c r="X447" s="1"/>
  <c r="V447"/>
  <c r="N447"/>
  <c r="O447" s="1"/>
  <c r="K447"/>
  <c r="Y447"/>
  <c r="W446"/>
  <c r="X446" s="1"/>
  <c r="V446"/>
  <c r="N446"/>
  <c r="O446" s="1"/>
  <c r="L446"/>
  <c r="Y446"/>
  <c r="W445"/>
  <c r="X445" s="1"/>
  <c r="V445"/>
  <c r="N445"/>
  <c r="P445" s="1"/>
  <c r="L445"/>
  <c r="Y445"/>
  <c r="Z445"/>
  <c r="W444"/>
  <c r="X444" s="1"/>
  <c r="V444"/>
  <c r="N444"/>
  <c r="O444" s="1"/>
  <c r="K444"/>
  <c r="Y444"/>
  <c r="Z444"/>
  <c r="W443"/>
  <c r="X443" s="1"/>
  <c r="V443"/>
  <c r="N443"/>
  <c r="O443" s="1"/>
  <c r="K443"/>
  <c r="Y443"/>
  <c r="W442"/>
  <c r="X442" s="1"/>
  <c r="V442"/>
  <c r="N442"/>
  <c r="K442"/>
  <c r="Y442"/>
  <c r="W441"/>
  <c r="X441" s="1"/>
  <c r="V441"/>
  <c r="N441"/>
  <c r="P441" s="1"/>
  <c r="L441"/>
  <c r="Y441"/>
  <c r="Z441"/>
  <c r="W440"/>
  <c r="X440" s="1"/>
  <c r="V440"/>
  <c r="N440"/>
  <c r="O440" s="1"/>
  <c r="K440"/>
  <c r="Y440"/>
  <c r="Z440"/>
  <c r="W439"/>
  <c r="X439" s="1"/>
  <c r="V439"/>
  <c r="N439"/>
  <c r="O439" s="1"/>
  <c r="K439"/>
  <c r="Y439"/>
  <c r="Z439"/>
  <c r="W438"/>
  <c r="X438" s="1"/>
  <c r="V438"/>
  <c r="N438"/>
  <c r="O438" s="1"/>
  <c r="L438"/>
  <c r="Y438"/>
  <c r="W437"/>
  <c r="X437" s="1"/>
  <c r="V437"/>
  <c r="N437"/>
  <c r="P437" s="1"/>
  <c r="L437"/>
  <c r="Y437"/>
  <c r="Z437"/>
  <c r="W436"/>
  <c r="X436" s="1"/>
  <c r="V436"/>
  <c r="N436"/>
  <c r="O436" s="1"/>
  <c r="K436"/>
  <c r="Y436"/>
  <c r="Z436"/>
  <c r="W435"/>
  <c r="X435" s="1"/>
  <c r="V435"/>
  <c r="N435"/>
  <c r="P435" s="1"/>
  <c r="L435"/>
  <c r="Y435"/>
  <c r="Z435"/>
  <c r="W434"/>
  <c r="X434" s="1"/>
  <c r="V434"/>
  <c r="N434"/>
  <c r="P434" s="1"/>
  <c r="K434"/>
  <c r="Y434"/>
  <c r="W433"/>
  <c r="X433" s="1"/>
  <c r="V433"/>
  <c r="N433"/>
  <c r="P433" s="1"/>
  <c r="Y433"/>
  <c r="Z433"/>
  <c r="W432"/>
  <c r="X432" s="1"/>
  <c r="N432"/>
  <c r="Y432"/>
  <c r="Z432"/>
  <c r="W431"/>
  <c r="X431" s="1"/>
  <c r="V431"/>
  <c r="N431"/>
  <c r="O431" s="1"/>
  <c r="K431"/>
  <c r="Y431"/>
  <c r="W430"/>
  <c r="X430" s="1"/>
  <c r="V430"/>
  <c r="N430"/>
  <c r="O430" s="1"/>
  <c r="Y430"/>
  <c r="W429"/>
  <c r="X429" s="1"/>
  <c r="V429"/>
  <c r="N429"/>
  <c r="P429" s="1"/>
  <c r="L429"/>
  <c r="Y429"/>
  <c r="Z429"/>
  <c r="W428"/>
  <c r="X428" s="1"/>
  <c r="N428"/>
  <c r="Y428"/>
  <c r="Z428"/>
  <c r="W427"/>
  <c r="X427" s="1"/>
  <c r="V427"/>
  <c r="N427"/>
  <c r="O427" s="1"/>
  <c r="K427"/>
  <c r="Y427"/>
  <c r="W426"/>
  <c r="X426" s="1"/>
  <c r="V426"/>
  <c r="N426"/>
  <c r="P426" s="1"/>
  <c r="K426"/>
  <c r="Y426"/>
  <c r="W425"/>
  <c r="X425" s="1"/>
  <c r="V425"/>
  <c r="N425"/>
  <c r="P425" s="1"/>
  <c r="Y425"/>
  <c r="Z425"/>
  <c r="W424"/>
  <c r="X424" s="1"/>
  <c r="N424"/>
  <c r="Y424"/>
  <c r="Z424"/>
  <c r="W423"/>
  <c r="X423" s="1"/>
  <c r="N423"/>
  <c r="O423" s="1"/>
  <c r="L423"/>
  <c r="Y423"/>
  <c r="W422"/>
  <c r="X422" s="1"/>
  <c r="V422"/>
  <c r="N422"/>
  <c r="K422"/>
  <c r="Y422"/>
  <c r="Z422"/>
  <c r="W421"/>
  <c r="X421" s="1"/>
  <c r="N421"/>
  <c r="P421" s="1"/>
  <c r="Y421"/>
  <c r="Z421"/>
  <c r="W420"/>
  <c r="X420" s="1"/>
  <c r="N420"/>
  <c r="Y420"/>
  <c r="Z420"/>
  <c r="W419"/>
  <c r="X419" s="1"/>
  <c r="V419"/>
  <c r="N419"/>
  <c r="O419" s="1"/>
  <c r="K419"/>
  <c r="Y419"/>
  <c r="W418"/>
  <c r="X418" s="1"/>
  <c r="V418"/>
  <c r="N418"/>
  <c r="O418" s="1"/>
  <c r="K418"/>
  <c r="Y418"/>
  <c r="Z418"/>
  <c r="W417"/>
  <c r="X417" s="1"/>
  <c r="V417"/>
  <c r="N417"/>
  <c r="P417" s="1"/>
  <c r="L417"/>
  <c r="Y417"/>
  <c r="Z417"/>
  <c r="W416"/>
  <c r="X416" s="1"/>
  <c r="N416"/>
  <c r="Y416"/>
  <c r="Z416"/>
  <c r="W415"/>
  <c r="X415" s="1"/>
  <c r="V415"/>
  <c r="N415"/>
  <c r="O415" s="1"/>
  <c r="L415"/>
  <c r="Y415"/>
  <c r="W414"/>
  <c r="X414" s="1"/>
  <c r="V414"/>
  <c r="N414"/>
  <c r="O414" s="1"/>
  <c r="K414"/>
  <c r="Y414"/>
  <c r="Z414"/>
  <c r="W413"/>
  <c r="X413" s="1"/>
  <c r="V413"/>
  <c r="N413"/>
  <c r="P413" s="1"/>
  <c r="L413"/>
  <c r="Y413"/>
  <c r="Z413"/>
  <c r="W412"/>
  <c r="X412" s="1"/>
  <c r="N412"/>
  <c r="O412" s="1"/>
  <c r="K412"/>
  <c r="Y412"/>
  <c r="Z412"/>
  <c r="W411"/>
  <c r="X411" s="1"/>
  <c r="V411"/>
  <c r="N411"/>
  <c r="P411" s="1"/>
  <c r="K411"/>
  <c r="Y411"/>
  <c r="W410"/>
  <c r="X410" s="1"/>
  <c r="V410"/>
  <c r="N410"/>
  <c r="O410" s="1"/>
  <c r="L410"/>
  <c r="Y410"/>
  <c r="Z410"/>
  <c r="W409"/>
  <c r="X409" s="1"/>
  <c r="N409"/>
  <c r="P409" s="1"/>
  <c r="L409"/>
  <c r="Y409"/>
  <c r="Z409"/>
  <c r="W408"/>
  <c r="X408" s="1"/>
  <c r="V408"/>
  <c r="N408"/>
  <c r="O408" s="1"/>
  <c r="K408"/>
  <c r="Y408"/>
  <c r="Z408"/>
  <c r="W407"/>
  <c r="X407" s="1"/>
  <c r="V407"/>
  <c r="N407"/>
  <c r="O407" s="1"/>
  <c r="K407"/>
  <c r="Y407"/>
  <c r="W406"/>
  <c r="X406" s="1"/>
  <c r="V406"/>
  <c r="N406"/>
  <c r="P406" s="1"/>
  <c r="K406"/>
  <c r="Y406"/>
  <c r="Z406"/>
  <c r="W405"/>
  <c r="X405" s="1"/>
  <c r="V405"/>
  <c r="N405"/>
  <c r="P405" s="1"/>
  <c r="L405"/>
  <c r="Y405"/>
  <c r="Z405"/>
  <c r="W404"/>
  <c r="X404" s="1"/>
  <c r="V404"/>
  <c r="N404"/>
  <c r="O404" s="1"/>
  <c r="K404"/>
  <c r="Y404"/>
  <c r="Z404"/>
  <c r="W403"/>
  <c r="X403" s="1"/>
  <c r="V403"/>
  <c r="N403"/>
  <c r="P403" s="1"/>
  <c r="L403"/>
  <c r="Y403"/>
  <c r="Z403"/>
  <c r="W402"/>
  <c r="X402" s="1"/>
  <c r="V402"/>
  <c r="N402"/>
  <c r="O402" s="1"/>
  <c r="L402"/>
  <c r="Y402"/>
  <c r="Z402"/>
  <c r="W401"/>
  <c r="X401" s="1"/>
  <c r="N401"/>
  <c r="P401" s="1"/>
  <c r="L401"/>
  <c r="Y401"/>
  <c r="Z401"/>
  <c r="W400"/>
  <c r="X400" s="1"/>
  <c r="N400"/>
  <c r="O400" s="1"/>
  <c r="K400"/>
  <c r="Y400"/>
  <c r="Z400"/>
  <c r="W399"/>
  <c r="X399" s="1"/>
  <c r="V399"/>
  <c r="N399"/>
  <c r="P399" s="1"/>
  <c r="K399"/>
  <c r="Y399"/>
  <c r="Z399"/>
  <c r="W398"/>
  <c r="X398" s="1"/>
  <c r="V398"/>
  <c r="N398"/>
  <c r="O398" s="1"/>
  <c r="K398"/>
  <c r="Y398"/>
  <c r="Z398"/>
  <c r="W397"/>
  <c r="X397" s="1"/>
  <c r="V397"/>
  <c r="N397"/>
  <c r="P397" s="1"/>
  <c r="L397"/>
  <c r="Y397"/>
  <c r="Z397"/>
  <c r="W396"/>
  <c r="X396" s="1"/>
  <c r="N396"/>
  <c r="O396" s="1"/>
  <c r="K396"/>
  <c r="Y396"/>
  <c r="Z396"/>
  <c r="W395"/>
  <c r="X395" s="1"/>
  <c r="V395"/>
  <c r="N395"/>
  <c r="O395" s="1"/>
  <c r="K395"/>
  <c r="Y395"/>
  <c r="Z395"/>
  <c r="W394"/>
  <c r="X394" s="1"/>
  <c r="V394"/>
  <c r="N394"/>
  <c r="O394" s="1"/>
  <c r="K394"/>
  <c r="Y394"/>
  <c r="Z394"/>
  <c r="W393"/>
  <c r="X393" s="1"/>
  <c r="V393"/>
  <c r="N393"/>
  <c r="P393" s="1"/>
  <c r="L393"/>
  <c r="Y393"/>
  <c r="Z393"/>
  <c r="W392"/>
  <c r="X392" s="1"/>
  <c r="N392"/>
  <c r="O392" s="1"/>
  <c r="K392"/>
  <c r="Y392"/>
  <c r="Z392"/>
  <c r="W391"/>
  <c r="X391" s="1"/>
  <c r="V391"/>
  <c r="N391"/>
  <c r="O391" s="1"/>
  <c r="K391"/>
  <c r="Y391"/>
  <c r="Z391"/>
  <c r="W390"/>
  <c r="X390" s="1"/>
  <c r="V390"/>
  <c r="N390"/>
  <c r="O390" s="1"/>
  <c r="K390"/>
  <c r="Y390"/>
  <c r="Z390"/>
  <c r="W389"/>
  <c r="X389" s="1"/>
  <c r="V389"/>
  <c r="N389"/>
  <c r="P389" s="1"/>
  <c r="L389"/>
  <c r="Y389"/>
  <c r="Z389"/>
  <c r="W388"/>
  <c r="X388" s="1"/>
  <c r="N388"/>
  <c r="O388" s="1"/>
  <c r="K388"/>
  <c r="Y388"/>
  <c r="Z388"/>
  <c r="W387"/>
  <c r="X387" s="1"/>
  <c r="V387"/>
  <c r="N387"/>
  <c r="K387"/>
  <c r="Y387"/>
  <c r="Z387"/>
  <c r="W386"/>
  <c r="X386" s="1"/>
  <c r="V386"/>
  <c r="N386"/>
  <c r="O386" s="1"/>
  <c r="K386"/>
  <c r="Y386"/>
  <c r="Z386"/>
  <c r="W385"/>
  <c r="X385" s="1"/>
  <c r="V385"/>
  <c r="N385"/>
  <c r="P385" s="1"/>
  <c r="L385"/>
  <c r="Y385"/>
  <c r="Z385"/>
  <c r="W384"/>
  <c r="X384" s="1"/>
  <c r="N384"/>
  <c r="O384" s="1"/>
  <c r="K384"/>
  <c r="Y384"/>
  <c r="Z384"/>
  <c r="W383"/>
  <c r="X383" s="1"/>
  <c r="V383"/>
  <c r="N383"/>
  <c r="O383" s="1"/>
  <c r="K383"/>
  <c r="Y383"/>
  <c r="Z383"/>
  <c r="W382"/>
  <c r="X382" s="1"/>
  <c r="V382"/>
  <c r="N382"/>
  <c r="O382" s="1"/>
  <c r="K382"/>
  <c r="Y382"/>
  <c r="Z382"/>
  <c r="W381"/>
  <c r="X381" s="1"/>
  <c r="V381"/>
  <c r="N381"/>
  <c r="P381" s="1"/>
  <c r="L381"/>
  <c r="Y381"/>
  <c r="Z381"/>
  <c r="W380"/>
  <c r="X380" s="1"/>
  <c r="N380"/>
  <c r="O380" s="1"/>
  <c r="K380"/>
  <c r="Y380"/>
  <c r="Z380"/>
  <c r="W379"/>
  <c r="X379" s="1"/>
  <c r="V379"/>
  <c r="N379"/>
  <c r="O379" s="1"/>
  <c r="K379"/>
  <c r="Y379"/>
  <c r="Z379"/>
  <c r="W378"/>
  <c r="X378" s="1"/>
  <c r="V378"/>
  <c r="N378"/>
  <c r="O378" s="1"/>
  <c r="K378"/>
  <c r="Y378"/>
  <c r="Z378"/>
  <c r="W377"/>
  <c r="X377" s="1"/>
  <c r="V377"/>
  <c r="N377"/>
  <c r="P377" s="1"/>
  <c r="L377"/>
  <c r="Y377"/>
  <c r="Z377"/>
  <c r="W376"/>
  <c r="X376" s="1"/>
  <c r="N376"/>
  <c r="O376" s="1"/>
  <c r="K376"/>
  <c r="Y376"/>
  <c r="Z376"/>
  <c r="W375"/>
  <c r="X375" s="1"/>
  <c r="V375"/>
  <c r="N375"/>
  <c r="O375" s="1"/>
  <c r="K375"/>
  <c r="Y375"/>
  <c r="Z375"/>
  <c r="W374"/>
  <c r="X374" s="1"/>
  <c r="V374"/>
  <c r="N374"/>
  <c r="O374" s="1"/>
  <c r="K374"/>
  <c r="Y374"/>
  <c r="Z374"/>
  <c r="W373"/>
  <c r="X373" s="1"/>
  <c r="V373"/>
  <c r="N373"/>
  <c r="P373" s="1"/>
  <c r="L373"/>
  <c r="Y373"/>
  <c r="Z373"/>
  <c r="W372"/>
  <c r="X372" s="1"/>
  <c r="N372"/>
  <c r="O372" s="1"/>
  <c r="K372"/>
  <c r="Y372"/>
  <c r="Z372"/>
  <c r="W371"/>
  <c r="X371" s="1"/>
  <c r="V371"/>
  <c r="N371"/>
  <c r="O371" s="1"/>
  <c r="K371"/>
  <c r="Y371"/>
  <c r="Z371"/>
  <c r="W370"/>
  <c r="X370" s="1"/>
  <c r="V370"/>
  <c r="N370"/>
  <c r="O370" s="1"/>
  <c r="K370"/>
  <c r="Y370"/>
  <c r="Z370"/>
  <c r="W369"/>
  <c r="X369" s="1"/>
  <c r="V369"/>
  <c r="N369"/>
  <c r="P369" s="1"/>
  <c r="L369"/>
  <c r="Y369"/>
  <c r="Z369"/>
  <c r="W368"/>
  <c r="X368" s="1"/>
  <c r="N368"/>
  <c r="O368" s="1"/>
  <c r="K368"/>
  <c r="Y368"/>
  <c r="Z368"/>
  <c r="W367"/>
  <c r="X367" s="1"/>
  <c r="V367"/>
  <c r="N367"/>
  <c r="O367" s="1"/>
  <c r="K367"/>
  <c r="Y367"/>
  <c r="Z367"/>
  <c r="W366"/>
  <c r="X366" s="1"/>
  <c r="V366"/>
  <c r="N366"/>
  <c r="O366" s="1"/>
  <c r="K366"/>
  <c r="Y366"/>
  <c r="Z366"/>
  <c r="W365"/>
  <c r="X365" s="1"/>
  <c r="V365"/>
  <c r="N365"/>
  <c r="P365" s="1"/>
  <c r="L365"/>
  <c r="Y365"/>
  <c r="Z365"/>
  <c r="W364"/>
  <c r="X364" s="1"/>
  <c r="N364"/>
  <c r="O364" s="1"/>
  <c r="K364"/>
  <c r="Y364"/>
  <c r="Z364"/>
  <c r="W363"/>
  <c r="X363" s="1"/>
  <c r="V363"/>
  <c r="N363"/>
  <c r="O363" s="1"/>
  <c r="K363"/>
  <c r="Y363"/>
  <c r="Z363"/>
  <c r="W362"/>
  <c r="X362" s="1"/>
  <c r="V362"/>
  <c r="N362"/>
  <c r="O362" s="1"/>
  <c r="K362"/>
  <c r="Y362"/>
  <c r="Z362"/>
  <c r="W361"/>
  <c r="X361" s="1"/>
  <c r="V361"/>
  <c r="N361"/>
  <c r="P361" s="1"/>
  <c r="L361"/>
  <c r="Y361"/>
  <c r="Z361"/>
  <c r="W360"/>
  <c r="X360" s="1"/>
  <c r="N360"/>
  <c r="O360" s="1"/>
  <c r="K360"/>
  <c r="Y360"/>
  <c r="Z360"/>
  <c r="W359"/>
  <c r="X359" s="1"/>
  <c r="V359"/>
  <c r="N359"/>
  <c r="O359" s="1"/>
  <c r="K359"/>
  <c r="Y359"/>
  <c r="Z359"/>
  <c r="W358"/>
  <c r="X358" s="1"/>
  <c r="V358"/>
  <c r="N358"/>
  <c r="O358" s="1"/>
  <c r="K358"/>
  <c r="Y358"/>
  <c r="Z358"/>
  <c r="W357"/>
  <c r="X357" s="1"/>
  <c r="V357"/>
  <c r="N357"/>
  <c r="P357" s="1"/>
  <c r="L357"/>
  <c r="Y357"/>
  <c r="Z357"/>
  <c r="W356"/>
  <c r="X356" s="1"/>
  <c r="N356"/>
  <c r="O356" s="1"/>
  <c r="K356"/>
  <c r="Y356"/>
  <c r="Z356"/>
  <c r="W355"/>
  <c r="X355" s="1"/>
  <c r="V355"/>
  <c r="N355"/>
  <c r="O355" s="1"/>
  <c r="K355"/>
  <c r="Y355"/>
  <c r="Z355"/>
  <c r="W354"/>
  <c r="X354" s="1"/>
  <c r="V354"/>
  <c r="N354"/>
  <c r="O354" s="1"/>
  <c r="K354"/>
  <c r="Y354"/>
  <c r="Z354"/>
  <c r="W353"/>
  <c r="X353" s="1"/>
  <c r="V353"/>
  <c r="N353"/>
  <c r="P353" s="1"/>
  <c r="L353"/>
  <c r="Y353"/>
  <c r="Z353"/>
  <c r="W352"/>
  <c r="X352" s="1"/>
  <c r="N352"/>
  <c r="O352" s="1"/>
  <c r="K352"/>
  <c r="Y352"/>
  <c r="Z352"/>
  <c r="W351"/>
  <c r="X351" s="1"/>
  <c r="V351"/>
  <c r="N351"/>
  <c r="O351" s="1"/>
  <c r="K351"/>
  <c r="Y351"/>
  <c r="Z351"/>
  <c r="W350"/>
  <c r="X350" s="1"/>
  <c r="V350"/>
  <c r="N350"/>
  <c r="O350" s="1"/>
  <c r="K350"/>
  <c r="Y350"/>
  <c r="Z350"/>
  <c r="W349"/>
  <c r="X349" s="1"/>
  <c r="V349"/>
  <c r="N349"/>
  <c r="P349" s="1"/>
  <c r="L349"/>
  <c r="Y349"/>
  <c r="Z349"/>
  <c r="W348"/>
  <c r="X348" s="1"/>
  <c r="N348"/>
  <c r="O348" s="1"/>
  <c r="K348"/>
  <c r="Y348"/>
  <c r="Z348"/>
  <c r="W347"/>
  <c r="X347" s="1"/>
  <c r="V347"/>
  <c r="N347"/>
  <c r="O347" s="1"/>
  <c r="K347"/>
  <c r="Y347"/>
  <c r="Z347"/>
  <c r="W346"/>
  <c r="X346" s="1"/>
  <c r="V346"/>
  <c r="N346"/>
  <c r="O346" s="1"/>
  <c r="Y346"/>
  <c r="Z346"/>
  <c r="W345"/>
  <c r="X345" s="1"/>
  <c r="V345"/>
  <c r="N345"/>
  <c r="P345" s="1"/>
  <c r="L345"/>
  <c r="Y345"/>
  <c r="Z345"/>
  <c r="W344"/>
  <c r="X344" s="1"/>
  <c r="N344"/>
  <c r="O344" s="1"/>
  <c r="K344"/>
  <c r="Y344"/>
  <c r="Z344"/>
  <c r="W343"/>
  <c r="X343" s="1"/>
  <c r="V343"/>
  <c r="N343"/>
  <c r="O343" s="1"/>
  <c r="K343"/>
  <c r="Y343"/>
  <c r="Z343"/>
  <c r="W342"/>
  <c r="X342" s="1"/>
  <c r="N342"/>
  <c r="Y342"/>
  <c r="Z342"/>
  <c r="W341"/>
  <c r="X341" s="1"/>
  <c r="V341"/>
  <c r="N341"/>
  <c r="P341" s="1"/>
  <c r="L341"/>
  <c r="Y341"/>
  <c r="Z341"/>
  <c r="W340"/>
  <c r="X340" s="1"/>
  <c r="V340"/>
  <c r="N340"/>
  <c r="O340" s="1"/>
  <c r="K340"/>
  <c r="Y340"/>
  <c r="Z340"/>
  <c r="W339"/>
  <c r="X339" s="1"/>
  <c r="V339"/>
  <c r="N339"/>
  <c r="O339" s="1"/>
  <c r="K339"/>
  <c r="Y339"/>
  <c r="Z339"/>
  <c r="W338"/>
  <c r="X338" s="1"/>
  <c r="N338"/>
  <c r="Y338"/>
  <c r="Z338"/>
  <c r="W337"/>
  <c r="X337" s="1"/>
  <c r="V337"/>
  <c r="N337"/>
  <c r="P337" s="1"/>
  <c r="L337"/>
  <c r="Y337"/>
  <c r="Z337"/>
  <c r="W336"/>
  <c r="X336" s="1"/>
  <c r="N336"/>
  <c r="O336" s="1"/>
  <c r="K336"/>
  <c r="Y336"/>
  <c r="Z336"/>
  <c r="W335"/>
  <c r="X335" s="1"/>
  <c r="V335"/>
  <c r="N335"/>
  <c r="P335" s="1"/>
  <c r="K335"/>
  <c r="Y335"/>
  <c r="Z335"/>
  <c r="W334"/>
  <c r="X334" s="1"/>
  <c r="N334"/>
  <c r="Y334"/>
  <c r="Z334"/>
  <c r="W333"/>
  <c r="X333" s="1"/>
  <c r="V333"/>
  <c r="N333"/>
  <c r="Y333"/>
  <c r="Z333"/>
  <c r="W332"/>
  <c r="X332" s="1"/>
  <c r="V332"/>
  <c r="N332"/>
  <c r="O332" s="1"/>
  <c r="K332"/>
  <c r="Y332"/>
  <c r="Z332"/>
  <c r="W331"/>
  <c r="X331" s="1"/>
  <c r="V331"/>
  <c r="N331"/>
  <c r="O331" s="1"/>
  <c r="L331"/>
  <c r="Y331"/>
  <c r="Z331"/>
  <c r="W330"/>
  <c r="X330" s="1"/>
  <c r="N330"/>
  <c r="P330" s="1"/>
  <c r="L330"/>
  <c r="Y330"/>
  <c r="Z330"/>
  <c r="W329"/>
  <c r="X329" s="1"/>
  <c r="N329"/>
  <c r="Y329"/>
  <c r="Z329"/>
  <c r="W328"/>
  <c r="X328" s="1"/>
  <c r="V328"/>
  <c r="N328"/>
  <c r="O328" s="1"/>
  <c r="K328"/>
  <c r="Y328"/>
  <c r="Z328"/>
  <c r="W327"/>
  <c r="X327" s="1"/>
  <c r="N327"/>
  <c r="K327"/>
  <c r="Y327"/>
  <c r="Z327"/>
  <c r="W326"/>
  <c r="X326" s="1"/>
  <c r="N326"/>
  <c r="P326" s="1"/>
  <c r="L326"/>
  <c r="Y326"/>
  <c r="Z326"/>
  <c r="W325"/>
  <c r="X325" s="1"/>
  <c r="N325"/>
  <c r="Y325"/>
  <c r="Z325"/>
  <c r="W324"/>
  <c r="X324" s="1"/>
  <c r="V324"/>
  <c r="N324"/>
  <c r="O324" s="1"/>
  <c r="K324"/>
  <c r="Y324"/>
  <c r="Z324"/>
  <c r="W323"/>
  <c r="X323" s="1"/>
  <c r="V323"/>
  <c r="N323"/>
  <c r="O323" s="1"/>
  <c r="K323"/>
  <c r="Y323"/>
  <c r="Z323"/>
  <c r="W322"/>
  <c r="X322" s="1"/>
  <c r="N322"/>
  <c r="P322" s="1"/>
  <c r="L322"/>
  <c r="Y322"/>
  <c r="W321"/>
  <c r="X321" s="1"/>
  <c r="N321"/>
  <c r="Y321"/>
  <c r="Z321"/>
  <c r="W320"/>
  <c r="X320" s="1"/>
  <c r="V320"/>
  <c r="N320"/>
  <c r="O320" s="1"/>
  <c r="K320"/>
  <c r="Y320"/>
  <c r="Z320"/>
  <c r="W319"/>
  <c r="X319" s="1"/>
  <c r="N319"/>
  <c r="K319"/>
  <c r="Y319"/>
  <c r="Z319"/>
  <c r="W318"/>
  <c r="X318" s="1"/>
  <c r="N318"/>
  <c r="P318" s="1"/>
  <c r="L318"/>
  <c r="Y318"/>
  <c r="Z318"/>
  <c r="W317"/>
  <c r="X317" s="1"/>
  <c r="N317"/>
  <c r="P317" s="1"/>
  <c r="Y317"/>
  <c r="Z317"/>
  <c r="W316"/>
  <c r="X316" s="1"/>
  <c r="V316"/>
  <c r="N316"/>
  <c r="O316" s="1"/>
  <c r="L316"/>
  <c r="Y316"/>
  <c r="W315"/>
  <c r="X315" s="1"/>
  <c r="V315"/>
  <c r="N315"/>
  <c r="O315" s="1"/>
  <c r="L315"/>
  <c r="Y315"/>
  <c r="W314"/>
  <c r="X314" s="1"/>
  <c r="V314"/>
  <c r="N314"/>
  <c r="L314"/>
  <c r="Y314"/>
  <c r="Z314"/>
  <c r="W313"/>
  <c r="X313" s="1"/>
  <c r="V313"/>
  <c r="N313"/>
  <c r="P313" s="1"/>
  <c r="L313"/>
  <c r="Y313"/>
  <c r="Z313"/>
  <c r="W312"/>
  <c r="X312" s="1"/>
  <c r="V312"/>
  <c r="N312"/>
  <c r="O312" s="1"/>
  <c r="K312"/>
  <c r="Y312"/>
  <c r="W311"/>
  <c r="X311" s="1"/>
  <c r="V311"/>
  <c r="N311"/>
  <c r="O311" s="1"/>
  <c r="K311"/>
  <c r="Y311"/>
  <c r="W310"/>
  <c r="X310" s="1"/>
  <c r="V310"/>
  <c r="N310"/>
  <c r="P310" s="1"/>
  <c r="L310"/>
  <c r="Y310"/>
  <c r="W309"/>
  <c r="X309" s="1"/>
  <c r="V309"/>
  <c r="N309"/>
  <c r="P309" s="1"/>
  <c r="L309"/>
  <c r="Y309"/>
  <c r="Z309"/>
  <c r="W308"/>
  <c r="X308" s="1"/>
  <c r="V308"/>
  <c r="N308"/>
  <c r="Y308"/>
  <c r="Z308"/>
  <c r="W307"/>
  <c r="X307" s="1"/>
  <c r="V307"/>
  <c r="N307"/>
  <c r="K307"/>
  <c r="Y307"/>
  <c r="W306"/>
  <c r="X306" s="1"/>
  <c r="V306"/>
  <c r="N306"/>
  <c r="P306" s="1"/>
  <c r="Y306"/>
  <c r="Z306"/>
  <c r="W305"/>
  <c r="X305" s="1"/>
  <c r="V305"/>
  <c r="N305"/>
  <c r="P305" s="1"/>
  <c r="L305"/>
  <c r="Y305"/>
  <c r="Z305"/>
  <c r="W304"/>
  <c r="X304" s="1"/>
  <c r="V304"/>
  <c r="N304"/>
  <c r="P304" s="1"/>
  <c r="L304"/>
  <c r="Y304"/>
  <c r="Z304"/>
  <c r="W303"/>
  <c r="X303" s="1"/>
  <c r="V303"/>
  <c r="N303"/>
  <c r="P303" s="1"/>
  <c r="Y303"/>
  <c r="W302"/>
  <c r="X302" s="1"/>
  <c r="N302"/>
  <c r="P302" s="1"/>
  <c r="L302"/>
  <c r="Y302"/>
  <c r="Z302"/>
  <c r="W301"/>
  <c r="X301" s="1"/>
  <c r="V301"/>
  <c r="N301"/>
  <c r="P301" s="1"/>
  <c r="L301"/>
  <c r="Y301"/>
  <c r="Z301"/>
  <c r="W300"/>
  <c r="X300" s="1"/>
  <c r="V300"/>
  <c r="N300"/>
  <c r="P300" s="1"/>
  <c r="K300"/>
  <c r="Y300"/>
  <c r="W299"/>
  <c r="X299" s="1"/>
  <c r="V299"/>
  <c r="N299"/>
  <c r="P299" s="1"/>
  <c r="L299"/>
  <c r="Y299"/>
  <c r="W298"/>
  <c r="X298" s="1"/>
  <c r="V298"/>
  <c r="N298"/>
  <c r="L298"/>
  <c r="Y298"/>
  <c r="Z298"/>
  <c r="W297"/>
  <c r="X297" s="1"/>
  <c r="V297"/>
  <c r="N297"/>
  <c r="P297" s="1"/>
  <c r="L297"/>
  <c r="Y297"/>
  <c r="Z297"/>
  <c r="W296"/>
  <c r="X296" s="1"/>
  <c r="V296"/>
  <c r="N296"/>
  <c r="O296" s="1"/>
  <c r="K296"/>
  <c r="Y296"/>
  <c r="W295"/>
  <c r="X295" s="1"/>
  <c r="V295"/>
  <c r="N295"/>
  <c r="O295" s="1"/>
  <c r="K295"/>
  <c r="Y295"/>
  <c r="W294"/>
  <c r="X294" s="1"/>
  <c r="V294"/>
  <c r="N294"/>
  <c r="P294" s="1"/>
  <c r="L294"/>
  <c r="Y294"/>
  <c r="Z294"/>
  <c r="W293"/>
  <c r="X293" s="1"/>
  <c r="V293"/>
  <c r="N293"/>
  <c r="P293" s="1"/>
  <c r="L293"/>
  <c r="Y293"/>
  <c r="Z293"/>
  <c r="W292"/>
  <c r="X292" s="1"/>
  <c r="V292"/>
  <c r="N292"/>
  <c r="Y292"/>
  <c r="Z292"/>
  <c r="W291"/>
  <c r="X291" s="1"/>
  <c r="V291"/>
  <c r="N291"/>
  <c r="K291"/>
  <c r="Y291"/>
  <c r="W290"/>
  <c r="X290" s="1"/>
  <c r="V290"/>
  <c r="N290"/>
  <c r="P290" s="1"/>
  <c r="Y290"/>
  <c r="Z290"/>
  <c r="W289"/>
  <c r="X289" s="1"/>
  <c r="V289"/>
  <c r="N289"/>
  <c r="P289" s="1"/>
  <c r="L289"/>
  <c r="Y289"/>
  <c r="Z289"/>
  <c r="W288"/>
  <c r="X288" s="1"/>
  <c r="V288"/>
  <c r="N288"/>
  <c r="O288" s="1"/>
  <c r="K288"/>
  <c r="Y288"/>
  <c r="Z288"/>
  <c r="W287"/>
  <c r="X287" s="1"/>
  <c r="V287"/>
  <c r="N287"/>
  <c r="O287" s="1"/>
  <c r="L287"/>
  <c r="Y287"/>
  <c r="W286"/>
  <c r="X286" s="1"/>
  <c r="V286"/>
  <c r="N286"/>
  <c r="L286"/>
  <c r="Y286"/>
  <c r="Z286"/>
  <c r="W285"/>
  <c r="X285" s="1"/>
  <c r="V285"/>
  <c r="N285"/>
  <c r="P285" s="1"/>
  <c r="L285"/>
  <c r="Y285"/>
  <c r="Z285"/>
  <c r="W284"/>
  <c r="X284" s="1"/>
  <c r="V284"/>
  <c r="N284"/>
  <c r="O284" s="1"/>
  <c r="K284"/>
  <c r="Y284"/>
  <c r="W283"/>
  <c r="X283" s="1"/>
  <c r="V283"/>
  <c r="N283"/>
  <c r="O283" s="1"/>
  <c r="L283"/>
  <c r="Y283"/>
  <c r="W282"/>
  <c r="X282" s="1"/>
  <c r="V282"/>
  <c r="N282"/>
  <c r="P282" s="1"/>
  <c r="L282"/>
  <c r="Y282"/>
  <c r="Z282"/>
  <c r="W281"/>
  <c r="X281" s="1"/>
  <c r="V281"/>
  <c r="N281"/>
  <c r="P281" s="1"/>
  <c r="L281"/>
  <c r="Y281"/>
  <c r="Z281"/>
  <c r="W280"/>
  <c r="X280" s="1"/>
  <c r="V280"/>
  <c r="N280"/>
  <c r="P280" s="1"/>
  <c r="K280"/>
  <c r="Y280"/>
  <c r="W279"/>
  <c r="X279" s="1"/>
  <c r="V279"/>
  <c r="N279"/>
  <c r="O279" s="1"/>
  <c r="L279"/>
  <c r="Y279"/>
  <c r="W278"/>
  <c r="X278" s="1"/>
  <c r="V278"/>
  <c r="N278"/>
  <c r="O278" s="1"/>
  <c r="K278"/>
  <c r="Y278"/>
  <c r="Z278"/>
  <c r="W277"/>
  <c r="X277" s="1"/>
  <c r="V277"/>
  <c r="N277"/>
  <c r="P277" s="1"/>
  <c r="L277"/>
  <c r="Y277"/>
  <c r="Z277"/>
  <c r="W276"/>
  <c r="X276" s="1"/>
  <c r="N276"/>
  <c r="O276" s="1"/>
  <c r="L276"/>
  <c r="Y276"/>
  <c r="W275"/>
  <c r="X275" s="1"/>
  <c r="V275"/>
  <c r="N275"/>
  <c r="O275" s="1"/>
  <c r="L275"/>
  <c r="Y275"/>
  <c r="Z275"/>
  <c r="W274"/>
  <c r="X274" s="1"/>
  <c r="V274"/>
  <c r="N274"/>
  <c r="O274" s="1"/>
  <c r="K274"/>
  <c r="Y274"/>
  <c r="Z274"/>
  <c r="W273"/>
  <c r="X273" s="1"/>
  <c r="V273"/>
  <c r="N273"/>
  <c r="P273" s="1"/>
  <c r="L273"/>
  <c r="Y273"/>
  <c r="Z273"/>
  <c r="W272"/>
  <c r="X272" s="1"/>
  <c r="V272"/>
  <c r="N272"/>
  <c r="P272" s="1"/>
  <c r="L272"/>
  <c r="Y272"/>
  <c r="W271"/>
  <c r="X271" s="1"/>
  <c r="V271"/>
  <c r="N271"/>
  <c r="O271" s="1"/>
  <c r="L271"/>
  <c r="Y271"/>
  <c r="Z271"/>
  <c r="W270"/>
  <c r="X270" s="1"/>
  <c r="V270"/>
  <c r="N270"/>
  <c r="O270" s="1"/>
  <c r="K270"/>
  <c r="Y270"/>
  <c r="Z270"/>
  <c r="W269"/>
  <c r="X269" s="1"/>
  <c r="V269"/>
  <c r="N269"/>
  <c r="P269" s="1"/>
  <c r="L269"/>
  <c r="Y269"/>
  <c r="Z269"/>
  <c r="W268"/>
  <c r="X268" s="1"/>
  <c r="V268"/>
  <c r="N268"/>
  <c r="P268" s="1"/>
  <c r="L268"/>
  <c r="Y268"/>
  <c r="W267"/>
  <c r="X267" s="1"/>
  <c r="V267"/>
  <c r="N267"/>
  <c r="P267" s="1"/>
  <c r="L267"/>
  <c r="Y267"/>
  <c r="Z267"/>
  <c r="W266"/>
  <c r="X266" s="1"/>
  <c r="V266"/>
  <c r="N266"/>
  <c r="O266" s="1"/>
  <c r="K266"/>
  <c r="Y266"/>
  <c r="Z266"/>
  <c r="W265"/>
  <c r="X265" s="1"/>
  <c r="N265"/>
  <c r="P265" s="1"/>
  <c r="L265"/>
  <c r="Y265"/>
  <c r="Z265"/>
  <c r="W264"/>
  <c r="X264" s="1"/>
  <c r="V264"/>
  <c r="N264"/>
  <c r="P264" s="1"/>
  <c r="K264"/>
  <c r="Y264"/>
  <c r="W263"/>
  <c r="X263" s="1"/>
  <c r="V263"/>
  <c r="N263"/>
  <c r="P263" s="1"/>
  <c r="K263"/>
  <c r="Y263"/>
  <c r="Z263"/>
  <c r="W262"/>
  <c r="X262" s="1"/>
  <c r="V262"/>
  <c r="N262"/>
  <c r="O262" s="1"/>
  <c r="K262"/>
  <c r="Y262"/>
  <c r="Z262"/>
  <c r="W261"/>
  <c r="X261" s="1"/>
  <c r="N261"/>
  <c r="P261" s="1"/>
  <c r="L261"/>
  <c r="Y261"/>
  <c r="Z261"/>
  <c r="W260"/>
  <c r="X260" s="1"/>
  <c r="V260"/>
  <c r="N260"/>
  <c r="O260" s="1"/>
  <c r="L260"/>
  <c r="Y260"/>
  <c r="W259"/>
  <c r="X259" s="1"/>
  <c r="V259"/>
  <c r="N259"/>
  <c r="O259" s="1"/>
  <c r="L259"/>
  <c r="Y259"/>
  <c r="Z259"/>
  <c r="W258"/>
  <c r="X258" s="1"/>
  <c r="V258"/>
  <c r="N258"/>
  <c r="O258" s="1"/>
  <c r="K258"/>
  <c r="Y258"/>
  <c r="Z258"/>
  <c r="W257"/>
  <c r="X257" s="1"/>
  <c r="V257"/>
  <c r="N257"/>
  <c r="P257" s="1"/>
  <c r="L257"/>
  <c r="Y257"/>
  <c r="Z257"/>
  <c r="W256"/>
  <c r="X256" s="1"/>
  <c r="N256"/>
  <c r="O256" s="1"/>
  <c r="K256"/>
  <c r="Y256"/>
  <c r="W255"/>
  <c r="X255" s="1"/>
  <c r="V255"/>
  <c r="N255"/>
  <c r="P255" s="1"/>
  <c r="L255"/>
  <c r="Y255"/>
  <c r="Z255"/>
  <c r="W254"/>
  <c r="X254" s="1"/>
  <c r="V254"/>
  <c r="N254"/>
  <c r="O254" s="1"/>
  <c r="K254"/>
  <c r="Y254"/>
  <c r="Z254"/>
  <c r="W253"/>
  <c r="X253" s="1"/>
  <c r="V253"/>
  <c r="N253"/>
  <c r="P253" s="1"/>
  <c r="L253"/>
  <c r="Y253"/>
  <c r="Z253"/>
  <c r="W252"/>
  <c r="X252" s="1"/>
  <c r="N252"/>
  <c r="O252" s="1"/>
  <c r="K252"/>
  <c r="Y252"/>
  <c r="Z252"/>
  <c r="W251"/>
  <c r="X251" s="1"/>
  <c r="V251"/>
  <c r="N251"/>
  <c r="P251" s="1"/>
  <c r="L251"/>
  <c r="Y251"/>
  <c r="Z251"/>
  <c r="W250"/>
  <c r="X250" s="1"/>
  <c r="V250"/>
  <c r="N250"/>
  <c r="O250" s="1"/>
  <c r="K250"/>
  <c r="Y250"/>
  <c r="Z250"/>
  <c r="W249"/>
  <c r="X249" s="1"/>
  <c r="V249"/>
  <c r="N249"/>
  <c r="P249" s="1"/>
  <c r="L249"/>
  <c r="Y249"/>
  <c r="Z249"/>
  <c r="W248"/>
  <c r="X248" s="1"/>
  <c r="N248"/>
  <c r="O248" s="1"/>
  <c r="K248"/>
  <c r="Y248"/>
  <c r="Z248"/>
  <c r="W247"/>
  <c r="X247" s="1"/>
  <c r="V247"/>
  <c r="N247"/>
  <c r="P247" s="1"/>
  <c r="L247"/>
  <c r="Y247"/>
  <c r="Z247"/>
  <c r="W246"/>
  <c r="X246" s="1"/>
  <c r="V246"/>
  <c r="N246"/>
  <c r="O246" s="1"/>
  <c r="K246"/>
  <c r="Y246"/>
  <c r="Z246"/>
  <c r="W245"/>
  <c r="X245" s="1"/>
  <c r="V245"/>
  <c r="N245"/>
  <c r="P245" s="1"/>
  <c r="L245"/>
  <c r="Y245"/>
  <c r="Z245"/>
  <c r="W244"/>
  <c r="X244" s="1"/>
  <c r="N244"/>
  <c r="O244" s="1"/>
  <c r="K244"/>
  <c r="Y244"/>
  <c r="Z244"/>
  <c r="W243"/>
  <c r="X243" s="1"/>
  <c r="V243"/>
  <c r="N243"/>
  <c r="P243" s="1"/>
  <c r="L243"/>
  <c r="Y243"/>
  <c r="Z243"/>
  <c r="D38" i="18" s="1"/>
  <c r="F38" s="1"/>
  <c r="W242" i="27"/>
  <c r="X242" s="1"/>
  <c r="V242"/>
  <c r="N242"/>
  <c r="O242" s="1"/>
  <c r="K242"/>
  <c r="Y242"/>
  <c r="Z242"/>
  <c r="W241"/>
  <c r="X241" s="1"/>
  <c r="V241"/>
  <c r="N241"/>
  <c r="P241" s="1"/>
  <c r="L241"/>
  <c r="Y241"/>
  <c r="Z241"/>
  <c r="W240"/>
  <c r="X240" s="1"/>
  <c r="N240"/>
  <c r="O240" s="1"/>
  <c r="K240"/>
  <c r="Y240"/>
  <c r="Z240"/>
  <c r="W239"/>
  <c r="X239" s="1"/>
  <c r="V239"/>
  <c r="N239"/>
  <c r="P239" s="1"/>
  <c r="L239"/>
  <c r="Y239"/>
  <c r="Z239"/>
  <c r="W238"/>
  <c r="X238" s="1"/>
  <c r="V238"/>
  <c r="N238"/>
  <c r="O238" s="1"/>
  <c r="K238"/>
  <c r="Y238"/>
  <c r="Z238"/>
  <c r="W237"/>
  <c r="X237" s="1"/>
  <c r="V237"/>
  <c r="N237"/>
  <c r="P237" s="1"/>
  <c r="L237"/>
  <c r="Y237"/>
  <c r="Z237"/>
  <c r="W236"/>
  <c r="X236" s="1"/>
  <c r="N236"/>
  <c r="O236" s="1"/>
  <c r="K236"/>
  <c r="Y236"/>
  <c r="Z236"/>
  <c r="W235"/>
  <c r="X235" s="1"/>
  <c r="V235"/>
  <c r="N235"/>
  <c r="P235" s="1"/>
  <c r="L235"/>
  <c r="Y235"/>
  <c r="Z235"/>
  <c r="W234"/>
  <c r="X234" s="1"/>
  <c r="V234"/>
  <c r="N234"/>
  <c r="O234" s="1"/>
  <c r="K234"/>
  <c r="Y234"/>
  <c r="Z234"/>
  <c r="W233"/>
  <c r="X233" s="1"/>
  <c r="V233"/>
  <c r="N233"/>
  <c r="P233" s="1"/>
  <c r="L233"/>
  <c r="Y233"/>
  <c r="Z233"/>
  <c r="W232"/>
  <c r="X232" s="1"/>
  <c r="N232"/>
  <c r="O232" s="1"/>
  <c r="K232"/>
  <c r="Y232"/>
  <c r="Z232"/>
  <c r="W231"/>
  <c r="X231" s="1"/>
  <c r="V231"/>
  <c r="N231"/>
  <c r="P231" s="1"/>
  <c r="L231"/>
  <c r="Y231"/>
  <c r="Z231"/>
  <c r="W230"/>
  <c r="X230" s="1"/>
  <c r="V230"/>
  <c r="N230"/>
  <c r="O230" s="1"/>
  <c r="K230"/>
  <c r="Y230"/>
  <c r="Z230"/>
  <c r="W229"/>
  <c r="X229" s="1"/>
  <c r="V229"/>
  <c r="N229"/>
  <c r="P229" s="1"/>
  <c r="L229"/>
  <c r="Y229"/>
  <c r="Z229"/>
  <c r="W228"/>
  <c r="X228" s="1"/>
  <c r="N228"/>
  <c r="O228" s="1"/>
  <c r="K228"/>
  <c r="Y228"/>
  <c r="Z228"/>
  <c r="W227"/>
  <c r="X227" s="1"/>
  <c r="V227"/>
  <c r="N227"/>
  <c r="P227" s="1"/>
  <c r="L227"/>
  <c r="Y227"/>
  <c r="Z227"/>
  <c r="W226"/>
  <c r="X226" s="1"/>
  <c r="V226"/>
  <c r="O226"/>
  <c r="K226"/>
  <c r="Y226"/>
  <c r="Z226"/>
  <c r="W225"/>
  <c r="X225" s="1"/>
  <c r="R225"/>
  <c r="V225" s="1"/>
  <c r="Q225"/>
  <c r="N225"/>
  <c r="P225" s="1"/>
  <c r="J225"/>
  <c r="L225" s="1"/>
  <c r="H225"/>
  <c r="Y225" s="1"/>
  <c r="G225"/>
  <c r="Z225" s="1"/>
  <c r="B225"/>
  <c r="W224"/>
  <c r="X224" s="1"/>
  <c r="R224"/>
  <c r="Q224"/>
  <c r="N224"/>
  <c r="O224" s="1"/>
  <c r="J224"/>
  <c r="K224" s="1"/>
  <c r="H224"/>
  <c r="Y224" s="1"/>
  <c r="G224"/>
  <c r="Z224" s="1"/>
  <c r="B224"/>
  <c r="W223"/>
  <c r="X223" s="1"/>
  <c r="R223"/>
  <c r="V223" s="1"/>
  <c r="Q223"/>
  <c r="N223"/>
  <c r="P223" s="1"/>
  <c r="J223"/>
  <c r="L223" s="1"/>
  <c r="H223"/>
  <c r="Y223" s="1"/>
  <c r="G223"/>
  <c r="Z223" s="1"/>
  <c r="B223"/>
  <c r="W222"/>
  <c r="X222" s="1"/>
  <c r="R222"/>
  <c r="V222" s="1"/>
  <c r="Q222"/>
  <c r="N222"/>
  <c r="O222" s="1"/>
  <c r="J222"/>
  <c r="K222" s="1"/>
  <c r="H222"/>
  <c r="Y222" s="1"/>
  <c r="G222"/>
  <c r="Z222" s="1"/>
  <c r="B222"/>
  <c r="W221"/>
  <c r="X221" s="1"/>
  <c r="R221"/>
  <c r="V221" s="1"/>
  <c r="Q221"/>
  <c r="N221"/>
  <c r="P221" s="1"/>
  <c r="J221"/>
  <c r="L221" s="1"/>
  <c r="H221"/>
  <c r="Y221" s="1"/>
  <c r="G221"/>
  <c r="Z221" s="1"/>
  <c r="B221"/>
  <c r="W220"/>
  <c r="X220" s="1"/>
  <c r="R220"/>
  <c r="Q220"/>
  <c r="N220"/>
  <c r="O220" s="1"/>
  <c r="J220"/>
  <c r="K220" s="1"/>
  <c r="H220"/>
  <c r="Y220" s="1"/>
  <c r="G220"/>
  <c r="Z220" s="1"/>
  <c r="D247" i="18" s="1"/>
  <c r="F247" s="1"/>
  <c r="B220" i="27"/>
  <c r="W219"/>
  <c r="X219" s="1"/>
  <c r="R219"/>
  <c r="V219" s="1"/>
  <c r="Q219"/>
  <c r="N219"/>
  <c r="P219" s="1"/>
  <c r="J219"/>
  <c r="L219" s="1"/>
  <c r="H219"/>
  <c r="Y219" s="1"/>
  <c r="G219"/>
  <c r="Z219" s="1"/>
  <c r="D246" i="18" s="1"/>
  <c r="F246" s="1"/>
  <c r="B219" i="27"/>
  <c r="W218"/>
  <c r="X218" s="1"/>
  <c r="R218"/>
  <c r="V218" s="1"/>
  <c r="Q218"/>
  <c r="N218"/>
  <c r="O218" s="1"/>
  <c r="J218"/>
  <c r="K218" s="1"/>
  <c r="H218"/>
  <c r="Y218" s="1"/>
  <c r="G218"/>
  <c r="Z218" s="1"/>
  <c r="B218"/>
  <c r="W217"/>
  <c r="X217" s="1"/>
  <c r="R217"/>
  <c r="V217" s="1"/>
  <c r="Q217"/>
  <c r="N217"/>
  <c r="P217" s="1"/>
  <c r="J217"/>
  <c r="L217" s="1"/>
  <c r="H217"/>
  <c r="Y217" s="1"/>
  <c r="G217"/>
  <c r="Z217" s="1"/>
  <c r="D245" i="18" s="1"/>
  <c r="F245" s="1"/>
  <c r="B217" i="27"/>
  <c r="W216"/>
  <c r="X216" s="1"/>
  <c r="R216"/>
  <c r="Q216"/>
  <c r="N216"/>
  <c r="O216" s="1"/>
  <c r="J216"/>
  <c r="K216" s="1"/>
  <c r="H216"/>
  <c r="Y216" s="1"/>
  <c r="G216"/>
  <c r="Z216" s="1"/>
  <c r="B216"/>
  <c r="W215"/>
  <c r="X215" s="1"/>
  <c r="R215"/>
  <c r="V215" s="1"/>
  <c r="Q215"/>
  <c r="N215"/>
  <c r="P215" s="1"/>
  <c r="J215"/>
  <c r="L215" s="1"/>
  <c r="H215"/>
  <c r="Y215" s="1"/>
  <c r="G215"/>
  <c r="Z215" s="1"/>
  <c r="D244" i="18" s="1"/>
  <c r="F244" s="1"/>
  <c r="B215" i="27"/>
  <c r="W214"/>
  <c r="X214" s="1"/>
  <c r="R214"/>
  <c r="V214" s="1"/>
  <c r="Q214"/>
  <c r="N214"/>
  <c r="O214" s="1"/>
  <c r="J214"/>
  <c r="K214" s="1"/>
  <c r="H214"/>
  <c r="Y214" s="1"/>
  <c r="G214"/>
  <c r="Z214" s="1"/>
  <c r="B214"/>
  <c r="W213"/>
  <c r="X213" s="1"/>
  <c r="R213"/>
  <c r="V213" s="1"/>
  <c r="Q213"/>
  <c r="N213"/>
  <c r="P213" s="1"/>
  <c r="J213"/>
  <c r="L213" s="1"/>
  <c r="H213"/>
  <c r="Y213" s="1"/>
  <c r="G213"/>
  <c r="Z213" s="1"/>
  <c r="B213"/>
  <c r="W212"/>
  <c r="X212" s="1"/>
  <c r="R212"/>
  <c r="Q212"/>
  <c r="N212"/>
  <c r="O212" s="1"/>
  <c r="J212"/>
  <c r="K212" s="1"/>
  <c r="H212"/>
  <c r="Y212" s="1"/>
  <c r="G212"/>
  <c r="Z212" s="1"/>
  <c r="B212"/>
  <c r="W211"/>
  <c r="X211" s="1"/>
  <c r="R211"/>
  <c r="V211" s="1"/>
  <c r="Q211"/>
  <c r="N211"/>
  <c r="P211" s="1"/>
  <c r="J211"/>
  <c r="L211" s="1"/>
  <c r="H211"/>
  <c r="Y211" s="1"/>
  <c r="G211"/>
  <c r="Z211" s="1"/>
  <c r="B211"/>
  <c r="W210"/>
  <c r="X210" s="1"/>
  <c r="R210"/>
  <c r="V210" s="1"/>
  <c r="Q210"/>
  <c r="N210"/>
  <c r="O210" s="1"/>
  <c r="J210"/>
  <c r="K210" s="1"/>
  <c r="H210"/>
  <c r="Y210" s="1"/>
  <c r="G210"/>
  <c r="Z210" s="1"/>
  <c r="B210"/>
  <c r="W209"/>
  <c r="X209" s="1"/>
  <c r="R209"/>
  <c r="V209" s="1"/>
  <c r="Q209"/>
  <c r="N209"/>
  <c r="P209" s="1"/>
  <c r="J209"/>
  <c r="L209" s="1"/>
  <c r="H209"/>
  <c r="Y209" s="1"/>
  <c r="G209"/>
  <c r="Z209" s="1"/>
  <c r="B209"/>
  <c r="W208"/>
  <c r="X208" s="1"/>
  <c r="R208"/>
  <c r="Q208"/>
  <c r="N208"/>
  <c r="J208"/>
  <c r="H208"/>
  <c r="Y208" s="1"/>
  <c r="G208"/>
  <c r="Z208" s="1"/>
  <c r="B208"/>
  <c r="W207"/>
  <c r="X207" s="1"/>
  <c r="R207"/>
  <c r="V207" s="1"/>
  <c r="Q207"/>
  <c r="N207"/>
  <c r="P207" s="1"/>
  <c r="J207"/>
  <c r="L207" s="1"/>
  <c r="H207"/>
  <c r="Y207" s="1"/>
  <c r="G207"/>
  <c r="Z207" s="1"/>
  <c r="B207"/>
  <c r="W206"/>
  <c r="X206" s="1"/>
  <c r="R206"/>
  <c r="V206" s="1"/>
  <c r="Q206"/>
  <c r="N206"/>
  <c r="O206" s="1"/>
  <c r="J206"/>
  <c r="K206" s="1"/>
  <c r="H206"/>
  <c r="Y206" s="1"/>
  <c r="G206"/>
  <c r="Z206" s="1"/>
  <c r="B206"/>
  <c r="W205"/>
  <c r="X205" s="1"/>
  <c r="R205"/>
  <c r="V205" s="1"/>
  <c r="Q205"/>
  <c r="N205"/>
  <c r="P205" s="1"/>
  <c r="J205"/>
  <c r="L205" s="1"/>
  <c r="H205"/>
  <c r="Y205" s="1"/>
  <c r="G205"/>
  <c r="Z205" s="1"/>
  <c r="B205"/>
  <c r="W204"/>
  <c r="X204" s="1"/>
  <c r="R204"/>
  <c r="Q204"/>
  <c r="N204"/>
  <c r="J204"/>
  <c r="H204"/>
  <c r="Y204" s="1"/>
  <c r="G204"/>
  <c r="Z204" s="1"/>
  <c r="B204"/>
  <c r="W203"/>
  <c r="X203" s="1"/>
  <c r="R203"/>
  <c r="V203" s="1"/>
  <c r="Q203"/>
  <c r="N203"/>
  <c r="P203" s="1"/>
  <c r="J203"/>
  <c r="L203" s="1"/>
  <c r="H203"/>
  <c r="Y203" s="1"/>
  <c r="G203"/>
  <c r="Z203" s="1"/>
  <c r="B203"/>
  <c r="W202"/>
  <c r="X202" s="1"/>
  <c r="R202"/>
  <c r="V202" s="1"/>
  <c r="Q202"/>
  <c r="N202"/>
  <c r="O202" s="1"/>
  <c r="J202"/>
  <c r="K202" s="1"/>
  <c r="H202"/>
  <c r="Y202" s="1"/>
  <c r="G202"/>
  <c r="Z202" s="1"/>
  <c r="B202"/>
  <c r="W201"/>
  <c r="X201" s="1"/>
  <c r="R201"/>
  <c r="V201" s="1"/>
  <c r="Q201"/>
  <c r="N201"/>
  <c r="P201" s="1"/>
  <c r="J201"/>
  <c r="L201" s="1"/>
  <c r="H201"/>
  <c r="Y201" s="1"/>
  <c r="G201"/>
  <c r="Z201" s="1"/>
  <c r="B201"/>
  <c r="W200"/>
  <c r="X200" s="1"/>
  <c r="R200"/>
  <c r="Q200"/>
  <c r="N200"/>
  <c r="J200"/>
  <c r="H200"/>
  <c r="Y200" s="1"/>
  <c r="G200"/>
  <c r="Z200" s="1"/>
  <c r="B200"/>
  <c r="W199"/>
  <c r="X199" s="1"/>
  <c r="R199"/>
  <c r="V199" s="1"/>
  <c r="Q199"/>
  <c r="N199"/>
  <c r="P199" s="1"/>
  <c r="J199"/>
  <c r="L199" s="1"/>
  <c r="H199"/>
  <c r="Y199" s="1"/>
  <c r="G199"/>
  <c r="Z199" s="1"/>
  <c r="B199"/>
  <c r="W198"/>
  <c r="X198" s="1"/>
  <c r="R198"/>
  <c r="V198" s="1"/>
  <c r="Q198"/>
  <c r="N198"/>
  <c r="P198" s="1"/>
  <c r="J198"/>
  <c r="L198" s="1"/>
  <c r="H198"/>
  <c r="Y198" s="1"/>
  <c r="G198"/>
  <c r="Z198" s="1"/>
  <c r="B198"/>
  <c r="W197"/>
  <c r="X197" s="1"/>
  <c r="R197"/>
  <c r="Q197"/>
  <c r="N197"/>
  <c r="J197"/>
  <c r="H197"/>
  <c r="Y197" s="1"/>
  <c r="G197"/>
  <c r="Z197" s="1"/>
  <c r="B197"/>
  <c r="W196"/>
  <c r="X196" s="1"/>
  <c r="R196"/>
  <c r="V196" s="1"/>
  <c r="Q196"/>
  <c r="N196"/>
  <c r="P196" s="1"/>
  <c r="J196"/>
  <c r="L196" s="1"/>
  <c r="H196"/>
  <c r="Y196" s="1"/>
  <c r="G196"/>
  <c r="Z196" s="1"/>
  <c r="B196"/>
  <c r="W195"/>
  <c r="X195" s="1"/>
  <c r="R195"/>
  <c r="V195" s="1"/>
  <c r="Q195"/>
  <c r="N195"/>
  <c r="O195" s="1"/>
  <c r="J195"/>
  <c r="K195" s="1"/>
  <c r="H195"/>
  <c r="Y195" s="1"/>
  <c r="G195"/>
  <c r="Z195" s="1"/>
  <c r="B195"/>
  <c r="W194"/>
  <c r="X194" s="1"/>
  <c r="R194"/>
  <c r="V194" s="1"/>
  <c r="Q194"/>
  <c r="N194"/>
  <c r="P194" s="1"/>
  <c r="J194"/>
  <c r="L194" s="1"/>
  <c r="H194"/>
  <c r="Y194" s="1"/>
  <c r="G194"/>
  <c r="Z194" s="1"/>
  <c r="B194"/>
  <c r="W193"/>
  <c r="X193" s="1"/>
  <c r="R193"/>
  <c r="Q193"/>
  <c r="N193"/>
  <c r="J193"/>
  <c r="H193"/>
  <c r="Y193" s="1"/>
  <c r="G193"/>
  <c r="Z193" s="1"/>
  <c r="B193"/>
  <c r="W192"/>
  <c r="X192" s="1"/>
  <c r="R192"/>
  <c r="V192" s="1"/>
  <c r="Q192"/>
  <c r="N192"/>
  <c r="P192" s="1"/>
  <c r="J192"/>
  <c r="L192" s="1"/>
  <c r="H192"/>
  <c r="Y192" s="1"/>
  <c r="G192"/>
  <c r="Z192" s="1"/>
  <c r="B192"/>
  <c r="W191"/>
  <c r="X191" s="1"/>
  <c r="R191"/>
  <c r="V191" s="1"/>
  <c r="Q191"/>
  <c r="N191"/>
  <c r="O191" s="1"/>
  <c r="J191"/>
  <c r="K191" s="1"/>
  <c r="H191"/>
  <c r="Y191" s="1"/>
  <c r="G191"/>
  <c r="Z191" s="1"/>
  <c r="B191"/>
  <c r="W190"/>
  <c r="X190" s="1"/>
  <c r="R190"/>
  <c r="V190" s="1"/>
  <c r="Q190"/>
  <c r="N190"/>
  <c r="P190" s="1"/>
  <c r="J190"/>
  <c r="L190" s="1"/>
  <c r="H190"/>
  <c r="Y190" s="1"/>
  <c r="G190"/>
  <c r="Z190" s="1"/>
  <c r="B190"/>
  <c r="W189"/>
  <c r="X189" s="1"/>
  <c r="R189"/>
  <c r="Q189"/>
  <c r="N189"/>
  <c r="J189"/>
  <c r="H189"/>
  <c r="Y189" s="1"/>
  <c r="G189"/>
  <c r="Z189" s="1"/>
  <c r="B189"/>
  <c r="W188"/>
  <c r="X188" s="1"/>
  <c r="R188"/>
  <c r="V188" s="1"/>
  <c r="Q188"/>
  <c r="N188"/>
  <c r="P188" s="1"/>
  <c r="J188"/>
  <c r="L188" s="1"/>
  <c r="H188"/>
  <c r="Y188" s="1"/>
  <c r="G188"/>
  <c r="Z188" s="1"/>
  <c r="B188"/>
  <c r="W187"/>
  <c r="X187" s="1"/>
  <c r="R187"/>
  <c r="V187" s="1"/>
  <c r="Q187"/>
  <c r="N187"/>
  <c r="O187" s="1"/>
  <c r="J187"/>
  <c r="K187" s="1"/>
  <c r="H187"/>
  <c r="Y187" s="1"/>
  <c r="G187"/>
  <c r="Z187" s="1"/>
  <c r="B187"/>
  <c r="W186"/>
  <c r="X186" s="1"/>
  <c r="R186"/>
  <c r="V186" s="1"/>
  <c r="Q186"/>
  <c r="N186"/>
  <c r="P186" s="1"/>
  <c r="J186"/>
  <c r="L186" s="1"/>
  <c r="H186"/>
  <c r="Y186" s="1"/>
  <c r="G186"/>
  <c r="Z186" s="1"/>
  <c r="B186"/>
  <c r="W185"/>
  <c r="X185" s="1"/>
  <c r="R185"/>
  <c r="Q185"/>
  <c r="N185"/>
  <c r="J185"/>
  <c r="H185"/>
  <c r="Y185" s="1"/>
  <c r="G185"/>
  <c r="Z185" s="1"/>
  <c r="B185"/>
  <c r="W184"/>
  <c r="X184" s="1"/>
  <c r="R184"/>
  <c r="V184" s="1"/>
  <c r="Q184"/>
  <c r="N184"/>
  <c r="P184" s="1"/>
  <c r="J184"/>
  <c r="L184" s="1"/>
  <c r="H184"/>
  <c r="Y184" s="1"/>
  <c r="G184"/>
  <c r="Z184" s="1"/>
  <c r="B184"/>
  <c r="W183"/>
  <c r="X183" s="1"/>
  <c r="R183"/>
  <c r="V183" s="1"/>
  <c r="Q183"/>
  <c r="N183"/>
  <c r="O183" s="1"/>
  <c r="J183"/>
  <c r="K183" s="1"/>
  <c r="H183"/>
  <c r="Y183" s="1"/>
  <c r="G183"/>
  <c r="Z183" s="1"/>
  <c r="B183"/>
  <c r="W182"/>
  <c r="X182" s="1"/>
  <c r="R182"/>
  <c r="V182" s="1"/>
  <c r="Q182"/>
  <c r="N182"/>
  <c r="P182" s="1"/>
  <c r="J182"/>
  <c r="L182" s="1"/>
  <c r="H182"/>
  <c r="Y182" s="1"/>
  <c r="G182"/>
  <c r="Z182" s="1"/>
  <c r="B182"/>
  <c r="W181"/>
  <c r="X181" s="1"/>
  <c r="R181"/>
  <c r="Q181"/>
  <c r="N181"/>
  <c r="J181"/>
  <c r="H181"/>
  <c r="Y181" s="1"/>
  <c r="G181"/>
  <c r="Z181" s="1"/>
  <c r="B181"/>
  <c r="W180"/>
  <c r="X180" s="1"/>
  <c r="R180"/>
  <c r="V180" s="1"/>
  <c r="Q180"/>
  <c r="N180"/>
  <c r="P180" s="1"/>
  <c r="J180"/>
  <c r="L180" s="1"/>
  <c r="H180"/>
  <c r="Y180" s="1"/>
  <c r="G180"/>
  <c r="Z180" s="1"/>
  <c r="B180"/>
  <c r="W179"/>
  <c r="X179" s="1"/>
  <c r="R179"/>
  <c r="V179" s="1"/>
  <c r="Q179"/>
  <c r="N179"/>
  <c r="O179" s="1"/>
  <c r="J179"/>
  <c r="K179" s="1"/>
  <c r="H179"/>
  <c r="Y179" s="1"/>
  <c r="G179"/>
  <c r="Z179" s="1"/>
  <c r="B179"/>
  <c r="W178"/>
  <c r="X178" s="1"/>
  <c r="R178"/>
  <c r="V178" s="1"/>
  <c r="Q178"/>
  <c r="N178"/>
  <c r="P178" s="1"/>
  <c r="J178"/>
  <c r="L178" s="1"/>
  <c r="H178"/>
  <c r="Y178" s="1"/>
  <c r="G178"/>
  <c r="Z178" s="1"/>
  <c r="B178"/>
  <c r="W177"/>
  <c r="X177" s="1"/>
  <c r="R177"/>
  <c r="Q177"/>
  <c r="N177"/>
  <c r="J177"/>
  <c r="H177"/>
  <c r="Y177" s="1"/>
  <c r="G177"/>
  <c r="Z177" s="1"/>
  <c r="B177"/>
  <c r="W176"/>
  <c r="X176" s="1"/>
  <c r="R176"/>
  <c r="V176" s="1"/>
  <c r="Q176"/>
  <c r="N176"/>
  <c r="P176" s="1"/>
  <c r="J176"/>
  <c r="L176" s="1"/>
  <c r="H176"/>
  <c r="Y176" s="1"/>
  <c r="G176"/>
  <c r="Z176" s="1"/>
  <c r="B176"/>
  <c r="W175"/>
  <c r="X175" s="1"/>
  <c r="R175"/>
  <c r="V175" s="1"/>
  <c r="Q175"/>
  <c r="N175"/>
  <c r="O175" s="1"/>
  <c r="J175"/>
  <c r="K175" s="1"/>
  <c r="H175"/>
  <c r="Y175" s="1"/>
  <c r="G175"/>
  <c r="Z175" s="1"/>
  <c r="B175"/>
  <c r="W174"/>
  <c r="X174" s="1"/>
  <c r="R174"/>
  <c r="V174" s="1"/>
  <c r="Q174"/>
  <c r="N174"/>
  <c r="P174" s="1"/>
  <c r="J174"/>
  <c r="L174" s="1"/>
  <c r="H174"/>
  <c r="Y174" s="1"/>
  <c r="G174"/>
  <c r="Z174" s="1"/>
  <c r="B174"/>
  <c r="W173"/>
  <c r="X173" s="1"/>
  <c r="R173"/>
  <c r="Q173"/>
  <c r="N173"/>
  <c r="J173"/>
  <c r="H173"/>
  <c r="Y173" s="1"/>
  <c r="G173"/>
  <c r="Z173" s="1"/>
  <c r="B173"/>
  <c r="W172"/>
  <c r="X172" s="1"/>
  <c r="R172"/>
  <c r="V172" s="1"/>
  <c r="Q172"/>
  <c r="N172"/>
  <c r="P172" s="1"/>
  <c r="J172"/>
  <c r="L172" s="1"/>
  <c r="H172"/>
  <c r="Y172" s="1"/>
  <c r="G172"/>
  <c r="Z172" s="1"/>
  <c r="B172"/>
  <c r="W171"/>
  <c r="X171" s="1"/>
  <c r="R171"/>
  <c r="V171" s="1"/>
  <c r="Q171"/>
  <c r="N171"/>
  <c r="O171" s="1"/>
  <c r="J171"/>
  <c r="K171" s="1"/>
  <c r="H171"/>
  <c r="Y171" s="1"/>
  <c r="G171"/>
  <c r="Z171" s="1"/>
  <c r="B171"/>
  <c r="W170"/>
  <c r="X170" s="1"/>
  <c r="R170"/>
  <c r="V170" s="1"/>
  <c r="Q170"/>
  <c r="N170"/>
  <c r="J170"/>
  <c r="L170" s="1"/>
  <c r="H170"/>
  <c r="Y170" s="1"/>
  <c r="G170"/>
  <c r="B170"/>
  <c r="W169"/>
  <c r="X169" s="1"/>
  <c r="R169"/>
  <c r="Q169"/>
  <c r="N169"/>
  <c r="J169"/>
  <c r="H169"/>
  <c r="Y169" s="1"/>
  <c r="G169"/>
  <c r="Z169" s="1"/>
  <c r="B169"/>
  <c r="W168"/>
  <c r="X168" s="1"/>
  <c r="R168"/>
  <c r="Q168"/>
  <c r="N168"/>
  <c r="J168"/>
  <c r="H168"/>
  <c r="Y168" s="1"/>
  <c r="G168"/>
  <c r="Z168" s="1"/>
  <c r="B168"/>
  <c r="W167"/>
  <c r="X167" s="1"/>
  <c r="R167"/>
  <c r="V167" s="1"/>
  <c r="Q167"/>
  <c r="N167"/>
  <c r="O167" s="1"/>
  <c r="J167"/>
  <c r="H167"/>
  <c r="Y167" s="1"/>
  <c r="G167"/>
  <c r="Z167" s="1"/>
  <c r="B167"/>
  <c r="W166"/>
  <c r="X166" s="1"/>
  <c r="R166"/>
  <c r="V166" s="1"/>
  <c r="Q166"/>
  <c r="N166"/>
  <c r="J166"/>
  <c r="L166" s="1"/>
  <c r="H166"/>
  <c r="Y166" s="1"/>
  <c r="G166"/>
  <c r="Z166" s="1"/>
  <c r="B166"/>
  <c r="W165"/>
  <c r="X165" s="1"/>
  <c r="R165"/>
  <c r="Q165"/>
  <c r="N165"/>
  <c r="J165"/>
  <c r="H165"/>
  <c r="Y165" s="1"/>
  <c r="G165"/>
  <c r="Z165" s="1"/>
  <c r="B165"/>
  <c r="W164"/>
  <c r="X164" s="1"/>
  <c r="R164"/>
  <c r="Q164"/>
  <c r="N164"/>
  <c r="P164" s="1"/>
  <c r="J164"/>
  <c r="L164" s="1"/>
  <c r="H164"/>
  <c r="Y164" s="1"/>
  <c r="G164"/>
  <c r="Z164" s="1"/>
  <c r="B164"/>
  <c r="W163"/>
  <c r="X163" s="1"/>
  <c r="R163"/>
  <c r="V163" s="1"/>
  <c r="Q163"/>
  <c r="N163"/>
  <c r="O163" s="1"/>
  <c r="J163"/>
  <c r="K163" s="1"/>
  <c r="H163"/>
  <c r="Y163" s="1"/>
  <c r="G163"/>
  <c r="Z163" s="1"/>
  <c r="B163"/>
  <c r="W162"/>
  <c r="X162" s="1"/>
  <c r="R162"/>
  <c r="V162" s="1"/>
  <c r="Q162"/>
  <c r="N162"/>
  <c r="O162" s="1"/>
  <c r="J162"/>
  <c r="L162" s="1"/>
  <c r="H162"/>
  <c r="Y162" s="1"/>
  <c r="G162"/>
  <c r="B162"/>
  <c r="W161"/>
  <c r="X161" s="1"/>
  <c r="R161"/>
  <c r="Q161"/>
  <c r="N161"/>
  <c r="J161"/>
  <c r="H161"/>
  <c r="Y161" s="1"/>
  <c r="G161"/>
  <c r="Z161" s="1"/>
  <c r="B161"/>
  <c r="W160"/>
  <c r="X160" s="1"/>
  <c r="R160"/>
  <c r="Q160"/>
  <c r="N160"/>
  <c r="P160" s="1"/>
  <c r="J160"/>
  <c r="L160" s="1"/>
  <c r="H160"/>
  <c r="Y160" s="1"/>
  <c r="G160"/>
  <c r="Z160" s="1"/>
  <c r="B160"/>
  <c r="W159"/>
  <c r="X159" s="1"/>
  <c r="R159"/>
  <c r="V159" s="1"/>
  <c r="Q159"/>
  <c r="N159"/>
  <c r="O159" s="1"/>
  <c r="J159"/>
  <c r="K159" s="1"/>
  <c r="H159"/>
  <c r="Y159" s="1"/>
  <c r="G159"/>
  <c r="Z159" s="1"/>
  <c r="B159"/>
  <c r="W158"/>
  <c r="X158" s="1"/>
  <c r="R158"/>
  <c r="V158" s="1"/>
  <c r="Q158"/>
  <c r="N158"/>
  <c r="O158" s="1"/>
  <c r="J158"/>
  <c r="L158" s="1"/>
  <c r="H158"/>
  <c r="Y158" s="1"/>
  <c r="G158"/>
  <c r="B158"/>
  <c r="W157"/>
  <c r="X157" s="1"/>
  <c r="R157"/>
  <c r="Q157"/>
  <c r="N157"/>
  <c r="J157"/>
  <c r="H157"/>
  <c r="Y157" s="1"/>
  <c r="G157"/>
  <c r="Z157" s="1"/>
  <c r="B157"/>
  <c r="W156"/>
  <c r="X156" s="1"/>
  <c r="R156"/>
  <c r="Q156"/>
  <c r="N156"/>
  <c r="P156" s="1"/>
  <c r="J156"/>
  <c r="L156" s="1"/>
  <c r="H156"/>
  <c r="Y156" s="1"/>
  <c r="G156"/>
  <c r="Z156" s="1"/>
  <c r="B156"/>
  <c r="W155"/>
  <c r="X155" s="1"/>
  <c r="R155"/>
  <c r="V155" s="1"/>
  <c r="Q155"/>
  <c r="N155"/>
  <c r="J155"/>
  <c r="K155" s="1"/>
  <c r="H155"/>
  <c r="Y155" s="1"/>
  <c r="G155"/>
  <c r="Z155" s="1"/>
  <c r="B155"/>
  <c r="W154"/>
  <c r="X154" s="1"/>
  <c r="R154"/>
  <c r="V154" s="1"/>
  <c r="Q154"/>
  <c r="N154"/>
  <c r="O154" s="1"/>
  <c r="J154"/>
  <c r="L154" s="1"/>
  <c r="H154"/>
  <c r="Y154" s="1"/>
  <c r="G154"/>
  <c r="Z154" s="1"/>
  <c r="B154"/>
  <c r="W153"/>
  <c r="X153" s="1"/>
  <c r="R153"/>
  <c r="Q153"/>
  <c r="N153"/>
  <c r="J153"/>
  <c r="H153"/>
  <c r="Y153" s="1"/>
  <c r="G153"/>
  <c r="Z153" s="1"/>
  <c r="B153"/>
  <c r="W152"/>
  <c r="X152" s="1"/>
  <c r="R152"/>
  <c r="V152" s="1"/>
  <c r="Q152"/>
  <c r="N152"/>
  <c r="J152"/>
  <c r="L152" s="1"/>
  <c r="H152"/>
  <c r="Y152" s="1"/>
  <c r="G152"/>
  <c r="Z152" s="1"/>
  <c r="B152"/>
  <c r="W151"/>
  <c r="X151" s="1"/>
  <c r="R151"/>
  <c r="V151" s="1"/>
  <c r="Q151"/>
  <c r="N151"/>
  <c r="J151"/>
  <c r="K151" s="1"/>
  <c r="H151"/>
  <c r="Y151" s="1"/>
  <c r="G151"/>
  <c r="Z151" s="1"/>
  <c r="B151"/>
  <c r="W150"/>
  <c r="X150" s="1"/>
  <c r="R150"/>
  <c r="V150" s="1"/>
  <c r="Q150"/>
  <c r="N150"/>
  <c r="P150" s="1"/>
  <c r="J150"/>
  <c r="K150" s="1"/>
  <c r="H150"/>
  <c r="Y150" s="1"/>
  <c r="G150"/>
  <c r="B150"/>
  <c r="W149"/>
  <c r="X149" s="1"/>
  <c r="R149"/>
  <c r="Q149"/>
  <c r="N149"/>
  <c r="J149"/>
  <c r="H149"/>
  <c r="Y149" s="1"/>
  <c r="G149"/>
  <c r="Z149" s="1"/>
  <c r="B149"/>
  <c r="W148"/>
  <c r="X148" s="1"/>
  <c r="R148"/>
  <c r="V148" s="1"/>
  <c r="Q148"/>
  <c r="N148"/>
  <c r="J148"/>
  <c r="L148" s="1"/>
  <c r="H148"/>
  <c r="Y148" s="1"/>
  <c r="G148"/>
  <c r="Z148" s="1"/>
  <c r="B148"/>
  <c r="W147"/>
  <c r="X147" s="1"/>
  <c r="R147"/>
  <c r="V147" s="1"/>
  <c r="Q147"/>
  <c r="N147"/>
  <c r="J147"/>
  <c r="K147" s="1"/>
  <c r="H147"/>
  <c r="Y147" s="1"/>
  <c r="G147"/>
  <c r="Z147" s="1"/>
  <c r="B147"/>
  <c r="W146"/>
  <c r="X146" s="1"/>
  <c r="R146"/>
  <c r="V146" s="1"/>
  <c r="Q146"/>
  <c r="N146"/>
  <c r="O146" s="1"/>
  <c r="J146"/>
  <c r="L146" s="1"/>
  <c r="H146"/>
  <c r="Y146" s="1"/>
  <c r="G146"/>
  <c r="Z146" s="1"/>
  <c r="B146"/>
  <c r="W145"/>
  <c r="X145" s="1"/>
  <c r="R145"/>
  <c r="Q145"/>
  <c r="N145"/>
  <c r="J145"/>
  <c r="H145"/>
  <c r="Y145" s="1"/>
  <c r="G145"/>
  <c r="Z145" s="1"/>
  <c r="D156" i="18" s="1"/>
  <c r="F156" s="1"/>
  <c r="B145" i="27"/>
  <c r="W144"/>
  <c r="X144" s="1"/>
  <c r="R144"/>
  <c r="V144" s="1"/>
  <c r="Q144"/>
  <c r="N144"/>
  <c r="J144"/>
  <c r="L144" s="1"/>
  <c r="H144"/>
  <c r="Y144" s="1"/>
  <c r="G144"/>
  <c r="Z144" s="1"/>
  <c r="B144"/>
  <c r="W143"/>
  <c r="X143" s="1"/>
  <c r="R143"/>
  <c r="V143" s="1"/>
  <c r="Q143"/>
  <c r="N143"/>
  <c r="J143"/>
  <c r="K143" s="1"/>
  <c r="H143"/>
  <c r="Y143" s="1"/>
  <c r="G143"/>
  <c r="Z143" s="1"/>
  <c r="B143"/>
  <c r="W142"/>
  <c r="X142" s="1"/>
  <c r="R142"/>
  <c r="V142" s="1"/>
  <c r="Q142"/>
  <c r="N142"/>
  <c r="P142" s="1"/>
  <c r="J142"/>
  <c r="K142" s="1"/>
  <c r="H142"/>
  <c r="Y142" s="1"/>
  <c r="G142"/>
  <c r="Z142" s="1"/>
  <c r="B142"/>
  <c r="W141"/>
  <c r="X141" s="1"/>
  <c r="R141"/>
  <c r="Q141"/>
  <c r="N141"/>
  <c r="J141"/>
  <c r="H141"/>
  <c r="Y141" s="1"/>
  <c r="G141"/>
  <c r="Z141" s="1"/>
  <c r="B141"/>
  <c r="W140"/>
  <c r="X140" s="1"/>
  <c r="R140"/>
  <c r="V140" s="1"/>
  <c r="Q140"/>
  <c r="N140"/>
  <c r="J140"/>
  <c r="L140" s="1"/>
  <c r="H140"/>
  <c r="Y140" s="1"/>
  <c r="G140"/>
  <c r="Z140" s="1"/>
  <c r="B140"/>
  <c r="W139"/>
  <c r="X139" s="1"/>
  <c r="R139"/>
  <c r="V139" s="1"/>
  <c r="Q139"/>
  <c r="N139"/>
  <c r="O139" s="1"/>
  <c r="J139"/>
  <c r="K139" s="1"/>
  <c r="H139"/>
  <c r="Y139" s="1"/>
  <c r="G139"/>
  <c r="Z139" s="1"/>
  <c r="B139"/>
  <c r="W138"/>
  <c r="X138" s="1"/>
  <c r="R138"/>
  <c r="V138" s="1"/>
  <c r="Q138"/>
  <c r="N138"/>
  <c r="O138" s="1"/>
  <c r="J138"/>
  <c r="K138" s="1"/>
  <c r="H138"/>
  <c r="Y138" s="1"/>
  <c r="G138"/>
  <c r="Z138" s="1"/>
  <c r="D239" i="18" s="1"/>
  <c r="F239" s="1"/>
  <c r="B138" i="27"/>
  <c r="W137"/>
  <c r="X137" s="1"/>
  <c r="R137"/>
  <c r="Q137"/>
  <c r="N137"/>
  <c r="J137"/>
  <c r="H137"/>
  <c r="Y137" s="1"/>
  <c r="G137"/>
  <c r="Z137" s="1"/>
  <c r="B137"/>
  <c r="W136"/>
  <c r="X136" s="1"/>
  <c r="R136"/>
  <c r="V136" s="1"/>
  <c r="Q136"/>
  <c r="N136"/>
  <c r="P136" s="1"/>
  <c r="J136"/>
  <c r="L136" s="1"/>
  <c r="H136"/>
  <c r="Y136" s="1"/>
  <c r="G136"/>
  <c r="Z136" s="1"/>
  <c r="B136"/>
  <c r="W135"/>
  <c r="X135" s="1"/>
  <c r="R135"/>
  <c r="V135" s="1"/>
  <c r="Q135"/>
  <c r="N135"/>
  <c r="O135" s="1"/>
  <c r="J135"/>
  <c r="K135" s="1"/>
  <c r="H135"/>
  <c r="Y135" s="1"/>
  <c r="G135"/>
  <c r="Z135" s="1"/>
  <c r="D240" i="18" s="1"/>
  <c r="F240" s="1"/>
  <c r="B135" i="27"/>
  <c r="W134"/>
  <c r="X134" s="1"/>
  <c r="R134"/>
  <c r="V134" s="1"/>
  <c r="Q134"/>
  <c r="N134"/>
  <c r="O134" s="1"/>
  <c r="J134"/>
  <c r="K134" s="1"/>
  <c r="H134"/>
  <c r="Y134" s="1"/>
  <c r="G134"/>
  <c r="Z134" s="1"/>
  <c r="D241" i="18" s="1"/>
  <c r="F241" s="1"/>
  <c r="B134" i="27"/>
  <c r="W133"/>
  <c r="X133" s="1"/>
  <c r="R133"/>
  <c r="Q133"/>
  <c r="N133"/>
  <c r="J133"/>
  <c r="H133"/>
  <c r="Y133" s="1"/>
  <c r="G133"/>
  <c r="Z133" s="1"/>
  <c r="B133"/>
  <c r="W132"/>
  <c r="X132" s="1"/>
  <c r="R132"/>
  <c r="V132" s="1"/>
  <c r="Q132"/>
  <c r="N132"/>
  <c r="P132" s="1"/>
  <c r="J132"/>
  <c r="L132" s="1"/>
  <c r="H132"/>
  <c r="Y132" s="1"/>
  <c r="G132"/>
  <c r="Z132" s="1"/>
  <c r="D242" i="18" s="1"/>
  <c r="F242" s="1"/>
  <c r="B132" i="27"/>
  <c r="W131"/>
  <c r="X131" s="1"/>
  <c r="R131"/>
  <c r="V131" s="1"/>
  <c r="Q131"/>
  <c r="N131"/>
  <c r="O131" s="1"/>
  <c r="J131"/>
  <c r="K131" s="1"/>
  <c r="H131"/>
  <c r="Y131" s="1"/>
  <c r="G131"/>
  <c r="Z131" s="1"/>
  <c r="B131"/>
  <c r="W130"/>
  <c r="X130" s="1"/>
  <c r="R130"/>
  <c r="Q130"/>
  <c r="N130"/>
  <c r="O130" s="1"/>
  <c r="J130"/>
  <c r="K130" s="1"/>
  <c r="H130"/>
  <c r="Y130" s="1"/>
  <c r="G130"/>
  <c r="Z130" s="1"/>
  <c r="B130"/>
  <c r="W129"/>
  <c r="X129" s="1"/>
  <c r="R129"/>
  <c r="Q129"/>
  <c r="N129"/>
  <c r="J129"/>
  <c r="H129"/>
  <c r="Y129" s="1"/>
  <c r="G129"/>
  <c r="Z129" s="1"/>
  <c r="B129"/>
  <c r="W128"/>
  <c r="X128" s="1"/>
  <c r="R128"/>
  <c r="Q128"/>
  <c r="N128"/>
  <c r="P128" s="1"/>
  <c r="J128"/>
  <c r="L128" s="1"/>
  <c r="H128"/>
  <c r="Y128" s="1"/>
  <c r="G128"/>
  <c r="Z128" s="1"/>
  <c r="B128"/>
  <c r="W127"/>
  <c r="X127" s="1"/>
  <c r="R127"/>
  <c r="V127" s="1"/>
  <c r="Q127"/>
  <c r="N127"/>
  <c r="O127" s="1"/>
  <c r="J127"/>
  <c r="K127" s="1"/>
  <c r="H127"/>
  <c r="Y127" s="1"/>
  <c r="G127"/>
  <c r="Z127" s="1"/>
  <c r="B127"/>
  <c r="W126"/>
  <c r="X126" s="1"/>
  <c r="R126"/>
  <c r="V126" s="1"/>
  <c r="Q126"/>
  <c r="N126"/>
  <c r="O126" s="1"/>
  <c r="J126"/>
  <c r="K126" s="1"/>
  <c r="H126"/>
  <c r="Y126" s="1"/>
  <c r="G126"/>
  <c r="Z126" s="1"/>
  <c r="B126"/>
  <c r="W125"/>
  <c r="X125" s="1"/>
  <c r="R125"/>
  <c r="Q125"/>
  <c r="N125"/>
  <c r="J125"/>
  <c r="H125"/>
  <c r="Y125" s="1"/>
  <c r="G125"/>
  <c r="Z125" s="1"/>
  <c r="B125"/>
  <c r="W124"/>
  <c r="X124" s="1"/>
  <c r="R124"/>
  <c r="V124" s="1"/>
  <c r="Q124"/>
  <c r="N124"/>
  <c r="P124" s="1"/>
  <c r="J124"/>
  <c r="H124"/>
  <c r="Y124" s="1"/>
  <c r="G124"/>
  <c r="Z124" s="1"/>
  <c r="B124"/>
  <c r="W123"/>
  <c r="X123" s="1"/>
  <c r="R123"/>
  <c r="V123" s="1"/>
  <c r="Q123"/>
  <c r="N123"/>
  <c r="O123" s="1"/>
  <c r="J123"/>
  <c r="H123"/>
  <c r="Y123" s="1"/>
  <c r="G123"/>
  <c r="Z123" s="1"/>
  <c r="B123"/>
  <c r="W122"/>
  <c r="X122" s="1"/>
  <c r="R122"/>
  <c r="V122" s="1"/>
  <c r="Q122"/>
  <c r="N122"/>
  <c r="P122" s="1"/>
  <c r="J122"/>
  <c r="L122" s="1"/>
  <c r="H122"/>
  <c r="Y122" s="1"/>
  <c r="G122"/>
  <c r="Z122" s="1"/>
  <c r="B122"/>
  <c r="W121"/>
  <c r="X121" s="1"/>
  <c r="R121"/>
  <c r="Q121"/>
  <c r="N121"/>
  <c r="J121"/>
  <c r="H121"/>
  <c r="Y121" s="1"/>
  <c r="G121"/>
  <c r="Z121" s="1"/>
  <c r="B121"/>
  <c r="W120"/>
  <c r="X120" s="1"/>
  <c r="R120"/>
  <c r="V120" s="1"/>
  <c r="Q120"/>
  <c r="N120"/>
  <c r="P120" s="1"/>
  <c r="J120"/>
  <c r="H120"/>
  <c r="Y120" s="1"/>
  <c r="G120"/>
  <c r="Z120" s="1"/>
  <c r="B120"/>
  <c r="W119"/>
  <c r="X119" s="1"/>
  <c r="R119"/>
  <c r="V119" s="1"/>
  <c r="Q119"/>
  <c r="N119"/>
  <c r="O119" s="1"/>
  <c r="J119"/>
  <c r="H119"/>
  <c r="Y119" s="1"/>
  <c r="G119"/>
  <c r="Z119" s="1"/>
  <c r="B119"/>
  <c r="W118"/>
  <c r="X118" s="1"/>
  <c r="R118"/>
  <c r="V118" s="1"/>
  <c r="Q118"/>
  <c r="N118"/>
  <c r="P118" s="1"/>
  <c r="J118"/>
  <c r="L118" s="1"/>
  <c r="H118"/>
  <c r="Y118" s="1"/>
  <c r="G118"/>
  <c r="Z118" s="1"/>
  <c r="B118"/>
  <c r="W117"/>
  <c r="X117" s="1"/>
  <c r="R117"/>
  <c r="Q117"/>
  <c r="N117"/>
  <c r="J117"/>
  <c r="H117"/>
  <c r="Y117" s="1"/>
  <c r="G117"/>
  <c r="Z117" s="1"/>
  <c r="B117"/>
  <c r="W116"/>
  <c r="X116" s="1"/>
  <c r="R116"/>
  <c r="V116" s="1"/>
  <c r="Q116"/>
  <c r="N116"/>
  <c r="P116" s="1"/>
  <c r="J116"/>
  <c r="H116"/>
  <c r="Y116" s="1"/>
  <c r="G116"/>
  <c r="Z116" s="1"/>
  <c r="B116"/>
  <c r="W115"/>
  <c r="X115" s="1"/>
  <c r="R115"/>
  <c r="V115" s="1"/>
  <c r="Q115"/>
  <c r="N115"/>
  <c r="O115" s="1"/>
  <c r="J115"/>
  <c r="H115"/>
  <c r="Y115" s="1"/>
  <c r="G115"/>
  <c r="Z115" s="1"/>
  <c r="B115"/>
  <c r="W114"/>
  <c r="X114" s="1"/>
  <c r="R114"/>
  <c r="V114" s="1"/>
  <c r="Q114"/>
  <c r="N114"/>
  <c r="P114" s="1"/>
  <c r="J114"/>
  <c r="K114" s="1"/>
  <c r="H114"/>
  <c r="Y114" s="1"/>
  <c r="G114"/>
  <c r="Z114" s="1"/>
  <c r="B114"/>
  <c r="W113"/>
  <c r="X113" s="1"/>
  <c r="R113"/>
  <c r="Q113"/>
  <c r="N113"/>
  <c r="O113" s="1"/>
  <c r="J113"/>
  <c r="K113" s="1"/>
  <c r="H113"/>
  <c r="Y113" s="1"/>
  <c r="G113"/>
  <c r="Z113" s="1"/>
  <c r="B113"/>
  <c r="W112"/>
  <c r="X112" s="1"/>
  <c r="R112"/>
  <c r="V112" s="1"/>
  <c r="Q112"/>
  <c r="N112"/>
  <c r="P112" s="1"/>
  <c r="J112"/>
  <c r="L112" s="1"/>
  <c r="H112"/>
  <c r="Y112" s="1"/>
  <c r="G112"/>
  <c r="Z112" s="1"/>
  <c r="B112"/>
  <c r="W111"/>
  <c r="X111" s="1"/>
  <c r="R111"/>
  <c r="Q111"/>
  <c r="N111"/>
  <c r="O111" s="1"/>
  <c r="J111"/>
  <c r="K111" s="1"/>
  <c r="H111"/>
  <c r="Y111" s="1"/>
  <c r="G111"/>
  <c r="Z111" s="1"/>
  <c r="B111"/>
  <c r="W110"/>
  <c r="X110" s="1"/>
  <c r="R110"/>
  <c r="V110" s="1"/>
  <c r="Q110"/>
  <c r="N110"/>
  <c r="O110" s="1"/>
  <c r="J110"/>
  <c r="L110" s="1"/>
  <c r="H110"/>
  <c r="Y110" s="1"/>
  <c r="G110"/>
  <c r="Z110" s="1"/>
  <c r="D162" i="18" s="1"/>
  <c r="F162" s="1"/>
  <c r="B110" i="27"/>
  <c r="W109"/>
  <c r="X109" s="1"/>
  <c r="R109"/>
  <c r="Q109"/>
  <c r="N109"/>
  <c r="O109" s="1"/>
  <c r="J109"/>
  <c r="K109" s="1"/>
  <c r="H109"/>
  <c r="Y109" s="1"/>
  <c r="G109"/>
  <c r="Z109" s="1"/>
  <c r="B109"/>
  <c r="W108"/>
  <c r="X108" s="1"/>
  <c r="R108"/>
  <c r="V108" s="1"/>
  <c r="Q108"/>
  <c r="N108"/>
  <c r="P108" s="1"/>
  <c r="J108"/>
  <c r="L108" s="1"/>
  <c r="H108"/>
  <c r="Y108" s="1"/>
  <c r="G108"/>
  <c r="Z108" s="1"/>
  <c r="D237" i="18" s="1"/>
  <c r="F237" s="1"/>
  <c r="B108" i="27"/>
  <c r="W107"/>
  <c r="X107" s="1"/>
  <c r="R107"/>
  <c r="Q107"/>
  <c r="N107"/>
  <c r="O107" s="1"/>
  <c r="J107"/>
  <c r="K107" s="1"/>
  <c r="H107"/>
  <c r="Y107" s="1"/>
  <c r="G107"/>
  <c r="Z107" s="1"/>
  <c r="B107"/>
  <c r="W106"/>
  <c r="X106" s="1"/>
  <c r="R106"/>
  <c r="V106" s="1"/>
  <c r="Q106"/>
  <c r="N106"/>
  <c r="P106" s="1"/>
  <c r="J106"/>
  <c r="K106" s="1"/>
  <c r="H106"/>
  <c r="Y106" s="1"/>
  <c r="G106"/>
  <c r="Z106" s="1"/>
  <c r="B106"/>
  <c r="W105"/>
  <c r="X105" s="1"/>
  <c r="R105"/>
  <c r="Q105"/>
  <c r="N105"/>
  <c r="O105" s="1"/>
  <c r="J105"/>
  <c r="K105" s="1"/>
  <c r="H105"/>
  <c r="Y105" s="1"/>
  <c r="G105"/>
  <c r="Z105" s="1"/>
  <c r="B105"/>
  <c r="W104"/>
  <c r="X104" s="1"/>
  <c r="R104"/>
  <c r="V104" s="1"/>
  <c r="Q104"/>
  <c r="N104"/>
  <c r="P104" s="1"/>
  <c r="J104"/>
  <c r="L104" s="1"/>
  <c r="H104"/>
  <c r="Y104" s="1"/>
  <c r="G104"/>
  <c r="Z104" s="1"/>
  <c r="D135" i="18" s="1"/>
  <c r="F135" s="1"/>
  <c r="B104" i="27"/>
  <c r="W103"/>
  <c r="X103" s="1"/>
  <c r="R103"/>
  <c r="Q103"/>
  <c r="N103"/>
  <c r="O103" s="1"/>
  <c r="J103"/>
  <c r="K103" s="1"/>
  <c r="H103"/>
  <c r="Y103" s="1"/>
  <c r="G103"/>
  <c r="Z103" s="1"/>
  <c r="B103"/>
  <c r="W102"/>
  <c r="X102" s="1"/>
  <c r="R102"/>
  <c r="V102" s="1"/>
  <c r="Q102"/>
  <c r="N102"/>
  <c r="P102" s="1"/>
  <c r="J102"/>
  <c r="L102" s="1"/>
  <c r="H102"/>
  <c r="Y102" s="1"/>
  <c r="G102"/>
  <c r="Z102" s="1"/>
  <c r="B102"/>
  <c r="W101"/>
  <c r="X101" s="1"/>
  <c r="R101"/>
  <c r="Q101"/>
  <c r="N101"/>
  <c r="O101" s="1"/>
  <c r="J101"/>
  <c r="K101" s="1"/>
  <c r="H101"/>
  <c r="Y101" s="1"/>
  <c r="G101"/>
  <c r="Z101" s="1"/>
  <c r="B101"/>
  <c r="W100"/>
  <c r="X100" s="1"/>
  <c r="R100"/>
  <c r="Q100"/>
  <c r="N100"/>
  <c r="P100" s="1"/>
  <c r="J100"/>
  <c r="L100" s="1"/>
  <c r="H100"/>
  <c r="Y100" s="1"/>
  <c r="G100"/>
  <c r="Z100" s="1"/>
  <c r="B100"/>
  <c r="W99"/>
  <c r="X99" s="1"/>
  <c r="R99"/>
  <c r="V99" s="1"/>
  <c r="Q99"/>
  <c r="N99"/>
  <c r="O99" s="1"/>
  <c r="J99"/>
  <c r="K99" s="1"/>
  <c r="H99"/>
  <c r="Y99" s="1"/>
  <c r="G99"/>
  <c r="Z99" s="1"/>
  <c r="B99"/>
  <c r="W98"/>
  <c r="X98" s="1"/>
  <c r="R98"/>
  <c r="V98" s="1"/>
  <c r="Q98"/>
  <c r="N98"/>
  <c r="O98" s="1"/>
  <c r="J98"/>
  <c r="K98" s="1"/>
  <c r="H98"/>
  <c r="Y98" s="1"/>
  <c r="G98"/>
  <c r="Z98" s="1"/>
  <c r="B98"/>
  <c r="W97"/>
  <c r="X97" s="1"/>
  <c r="R97"/>
  <c r="V97" s="1"/>
  <c r="Q97"/>
  <c r="N97"/>
  <c r="O97" s="1"/>
  <c r="J97"/>
  <c r="K97" s="1"/>
  <c r="H97"/>
  <c r="Y97" s="1"/>
  <c r="G97"/>
  <c r="Z97" s="1"/>
  <c r="B97"/>
  <c r="W96"/>
  <c r="X96" s="1"/>
  <c r="R96"/>
  <c r="Q96"/>
  <c r="N96"/>
  <c r="P96" s="1"/>
  <c r="J96"/>
  <c r="L96" s="1"/>
  <c r="H96"/>
  <c r="Y96" s="1"/>
  <c r="G96"/>
  <c r="Z96" s="1"/>
  <c r="B96"/>
  <c r="W95"/>
  <c r="X95" s="1"/>
  <c r="R95"/>
  <c r="Q95"/>
  <c r="N95"/>
  <c r="O95" s="1"/>
  <c r="J95"/>
  <c r="K95" s="1"/>
  <c r="H95"/>
  <c r="Y95" s="1"/>
  <c r="G95"/>
  <c r="Z95" s="1"/>
  <c r="B95"/>
  <c r="W94"/>
  <c r="X94" s="1"/>
  <c r="R94"/>
  <c r="V94" s="1"/>
  <c r="Q94"/>
  <c r="N94"/>
  <c r="O94" s="1"/>
  <c r="J94"/>
  <c r="L94" s="1"/>
  <c r="H94"/>
  <c r="Y94" s="1"/>
  <c r="G94"/>
  <c r="Z94" s="1"/>
  <c r="B94"/>
  <c r="W93"/>
  <c r="X93" s="1"/>
  <c r="R93"/>
  <c r="V93" s="1"/>
  <c r="Q93"/>
  <c r="N93"/>
  <c r="O93" s="1"/>
  <c r="J93"/>
  <c r="H93"/>
  <c r="Y93" s="1"/>
  <c r="G93"/>
  <c r="Z93" s="1"/>
  <c r="B93"/>
  <c r="W92"/>
  <c r="X92" s="1"/>
  <c r="R92"/>
  <c r="Q92"/>
  <c r="N92"/>
  <c r="P92" s="1"/>
  <c r="J92"/>
  <c r="L92" s="1"/>
  <c r="H92"/>
  <c r="Y92" s="1"/>
  <c r="G92"/>
  <c r="Z92" s="1"/>
  <c r="B92"/>
  <c r="W91"/>
  <c r="X91" s="1"/>
  <c r="R91"/>
  <c r="V91" s="1"/>
  <c r="Q91"/>
  <c r="N91"/>
  <c r="O91" s="1"/>
  <c r="J91"/>
  <c r="K91" s="1"/>
  <c r="H91"/>
  <c r="Y91" s="1"/>
  <c r="G91"/>
  <c r="Z91" s="1"/>
  <c r="B91"/>
  <c r="W90"/>
  <c r="X90" s="1"/>
  <c r="R90"/>
  <c r="V90" s="1"/>
  <c r="Q90"/>
  <c r="N90"/>
  <c r="P90" s="1"/>
  <c r="J90"/>
  <c r="K90" s="1"/>
  <c r="H90"/>
  <c r="Y90" s="1"/>
  <c r="G90"/>
  <c r="Z90" s="1"/>
  <c r="B90"/>
  <c r="W89"/>
  <c r="X89" s="1"/>
  <c r="R89"/>
  <c r="V89" s="1"/>
  <c r="Q89"/>
  <c r="N89"/>
  <c r="O89" s="1"/>
  <c r="J89"/>
  <c r="K89" s="1"/>
  <c r="H89"/>
  <c r="Y89" s="1"/>
  <c r="G89"/>
  <c r="Z89" s="1"/>
  <c r="B89"/>
  <c r="W88"/>
  <c r="X88" s="1"/>
  <c r="R88"/>
  <c r="Q88"/>
  <c r="N88"/>
  <c r="P88" s="1"/>
  <c r="J88"/>
  <c r="L88" s="1"/>
  <c r="H88"/>
  <c r="Y88" s="1"/>
  <c r="G88"/>
  <c r="Z88" s="1"/>
  <c r="B88"/>
  <c r="W87"/>
  <c r="X87" s="1"/>
  <c r="R87"/>
  <c r="V87" s="1"/>
  <c r="Q87"/>
  <c r="N87"/>
  <c r="O87" s="1"/>
  <c r="J87"/>
  <c r="K87" s="1"/>
  <c r="H87"/>
  <c r="Y87" s="1"/>
  <c r="G87"/>
  <c r="Z87" s="1"/>
  <c r="B87"/>
  <c r="W86"/>
  <c r="X86" s="1"/>
  <c r="R86"/>
  <c r="V86" s="1"/>
  <c r="Q86"/>
  <c r="N86"/>
  <c r="O86" s="1"/>
  <c r="J86"/>
  <c r="L86" s="1"/>
  <c r="H86"/>
  <c r="Y86" s="1"/>
  <c r="G86"/>
  <c r="B86"/>
  <c r="W85"/>
  <c r="X85" s="1"/>
  <c r="R85"/>
  <c r="V85" s="1"/>
  <c r="Q85"/>
  <c r="N85"/>
  <c r="O85" s="1"/>
  <c r="J85"/>
  <c r="K85" s="1"/>
  <c r="H85"/>
  <c r="Y85" s="1"/>
  <c r="G85"/>
  <c r="Z85" s="1"/>
  <c r="B85"/>
  <c r="W84"/>
  <c r="X84" s="1"/>
  <c r="R84"/>
  <c r="V84" s="1"/>
  <c r="Q84"/>
  <c r="N84"/>
  <c r="O84" s="1"/>
  <c r="J84"/>
  <c r="K84" s="1"/>
  <c r="H84"/>
  <c r="Y84" s="1"/>
  <c r="G84"/>
  <c r="Z84" s="1"/>
  <c r="B84"/>
  <c r="W83"/>
  <c r="X83" s="1"/>
  <c r="R83"/>
  <c r="Q83"/>
  <c r="N83"/>
  <c r="O83" s="1"/>
  <c r="J83"/>
  <c r="K83" s="1"/>
  <c r="H83"/>
  <c r="Y83" s="1"/>
  <c r="G83"/>
  <c r="Z83" s="1"/>
  <c r="B83"/>
  <c r="W82"/>
  <c r="X82" s="1"/>
  <c r="R82"/>
  <c r="V82" s="1"/>
  <c r="Q82"/>
  <c r="N82"/>
  <c r="P82" s="1"/>
  <c r="J82"/>
  <c r="K82" s="1"/>
  <c r="H82"/>
  <c r="Y82" s="1"/>
  <c r="G82"/>
  <c r="Z82" s="1"/>
  <c r="B82"/>
  <c r="W81"/>
  <c r="X81" s="1"/>
  <c r="R81"/>
  <c r="Q81"/>
  <c r="N81"/>
  <c r="O81" s="1"/>
  <c r="J81"/>
  <c r="K81" s="1"/>
  <c r="H81"/>
  <c r="Y81" s="1"/>
  <c r="G81"/>
  <c r="Z81" s="1"/>
  <c r="B81"/>
  <c r="W80"/>
  <c r="X80" s="1"/>
  <c r="R80"/>
  <c r="Q80"/>
  <c r="N80"/>
  <c r="O80" s="1"/>
  <c r="J80"/>
  <c r="K80" s="1"/>
  <c r="H80"/>
  <c r="Y80" s="1"/>
  <c r="G80"/>
  <c r="Z80" s="1"/>
  <c r="B80"/>
  <c r="W79"/>
  <c r="X79" s="1"/>
  <c r="R79"/>
  <c r="V79" s="1"/>
  <c r="Q79"/>
  <c r="N79"/>
  <c r="O79" s="1"/>
  <c r="J79"/>
  <c r="K79" s="1"/>
  <c r="H79"/>
  <c r="Y79" s="1"/>
  <c r="Z79"/>
  <c r="B79"/>
  <c r="W78"/>
  <c r="X78" s="1"/>
  <c r="R78"/>
  <c r="V78" s="1"/>
  <c r="Q78"/>
  <c r="N78"/>
  <c r="P78" s="1"/>
  <c r="J78"/>
  <c r="L78" s="1"/>
  <c r="H78"/>
  <c r="Y78" s="1"/>
  <c r="G78"/>
  <c r="Z78" s="1"/>
  <c r="B78"/>
  <c r="W77"/>
  <c r="X77" s="1"/>
  <c r="R77"/>
  <c r="Q77"/>
  <c r="N77"/>
  <c r="O77" s="1"/>
  <c r="J77"/>
  <c r="K77" s="1"/>
  <c r="H77"/>
  <c r="Y77" s="1"/>
  <c r="G77"/>
  <c r="Z77" s="1"/>
  <c r="B77"/>
  <c r="W76"/>
  <c r="X76" s="1"/>
  <c r="R76"/>
  <c r="Q76"/>
  <c r="N76"/>
  <c r="O76" s="1"/>
  <c r="J76"/>
  <c r="K76" s="1"/>
  <c r="H76"/>
  <c r="Y76" s="1"/>
  <c r="G76"/>
  <c r="Z76" s="1"/>
  <c r="B76"/>
  <c r="W75"/>
  <c r="X75" s="1"/>
  <c r="R75"/>
  <c r="Q75"/>
  <c r="N75"/>
  <c r="O75" s="1"/>
  <c r="J75"/>
  <c r="K75" s="1"/>
  <c r="H75"/>
  <c r="Y75" s="1"/>
  <c r="G75"/>
  <c r="Z75" s="1"/>
  <c r="B75"/>
  <c r="W74"/>
  <c r="X74" s="1"/>
  <c r="R74"/>
  <c r="V74" s="1"/>
  <c r="Q74"/>
  <c r="N74"/>
  <c r="O74" s="1"/>
  <c r="J74"/>
  <c r="L74" s="1"/>
  <c r="H74"/>
  <c r="Y74" s="1"/>
  <c r="G74"/>
  <c r="Z74" s="1"/>
  <c r="B74"/>
  <c r="W73"/>
  <c r="X73" s="1"/>
  <c r="R73"/>
  <c r="Q73"/>
  <c r="N73"/>
  <c r="O73" s="1"/>
  <c r="J73"/>
  <c r="K73" s="1"/>
  <c r="H73"/>
  <c r="Y73" s="1"/>
  <c r="G73"/>
  <c r="Z73" s="1"/>
  <c r="B73"/>
  <c r="W72"/>
  <c r="X72" s="1"/>
  <c r="R72"/>
  <c r="V72" s="1"/>
  <c r="Q72"/>
  <c r="N72"/>
  <c r="O72" s="1"/>
  <c r="J72"/>
  <c r="K72" s="1"/>
  <c r="H72"/>
  <c r="Y72" s="1"/>
  <c r="G72"/>
  <c r="Z72" s="1"/>
  <c r="B72"/>
  <c r="W71"/>
  <c r="X71" s="1"/>
  <c r="R71"/>
  <c r="Q71"/>
  <c r="N71"/>
  <c r="O71" s="1"/>
  <c r="J71"/>
  <c r="K71" s="1"/>
  <c r="H71"/>
  <c r="Y71" s="1"/>
  <c r="G71"/>
  <c r="Z71" s="1"/>
  <c r="B71"/>
  <c r="W70"/>
  <c r="X70" s="1"/>
  <c r="R70"/>
  <c r="V70" s="1"/>
  <c r="Q70"/>
  <c r="N70"/>
  <c r="O70" s="1"/>
  <c r="J70"/>
  <c r="K70" s="1"/>
  <c r="H70"/>
  <c r="Y70" s="1"/>
  <c r="G70"/>
  <c r="Z70" s="1"/>
  <c r="B70"/>
  <c r="W69"/>
  <c r="X69" s="1"/>
  <c r="R69"/>
  <c r="Q69"/>
  <c r="N69"/>
  <c r="O69" s="1"/>
  <c r="J69"/>
  <c r="K69" s="1"/>
  <c r="H69"/>
  <c r="Y69" s="1"/>
  <c r="G69"/>
  <c r="Z69" s="1"/>
  <c r="B69"/>
  <c r="W68"/>
  <c r="X68" s="1"/>
  <c r="R68"/>
  <c r="V68" s="1"/>
  <c r="Q68"/>
  <c r="N68"/>
  <c r="O68" s="1"/>
  <c r="J68"/>
  <c r="K68" s="1"/>
  <c r="H68"/>
  <c r="Y68" s="1"/>
  <c r="G68"/>
  <c r="Z68" s="1"/>
  <c r="B68"/>
  <c r="W67"/>
  <c r="X67" s="1"/>
  <c r="R67"/>
  <c r="V67" s="1"/>
  <c r="Q67"/>
  <c r="N67"/>
  <c r="O67" s="1"/>
  <c r="J67"/>
  <c r="K67" s="1"/>
  <c r="H67"/>
  <c r="Y67" s="1"/>
  <c r="G67"/>
  <c r="Z67" s="1"/>
  <c r="B67"/>
  <c r="W66"/>
  <c r="X66" s="1"/>
  <c r="R66"/>
  <c r="V66" s="1"/>
  <c r="Q66"/>
  <c r="N66"/>
  <c r="P66" s="1"/>
  <c r="K66"/>
  <c r="H66"/>
  <c r="Y66" s="1"/>
  <c r="G66"/>
  <c r="Z66" s="1"/>
  <c r="B66"/>
  <c r="W65"/>
  <c r="X65" s="1"/>
  <c r="R65"/>
  <c r="Q65"/>
  <c r="N65"/>
  <c r="O65" s="1"/>
  <c r="J65"/>
  <c r="K65" s="1"/>
  <c r="H65"/>
  <c r="Y65" s="1"/>
  <c r="G65"/>
  <c r="Z65" s="1"/>
  <c r="B65"/>
  <c r="W63"/>
  <c r="X63" s="1"/>
  <c r="R63"/>
  <c r="Q63"/>
  <c r="N63"/>
  <c r="O63" s="1"/>
  <c r="J63"/>
  <c r="K63" s="1"/>
  <c r="H63"/>
  <c r="Y63" s="1"/>
  <c r="G63"/>
  <c r="Z63" s="1"/>
  <c r="B63"/>
  <c r="W62"/>
  <c r="X62" s="1"/>
  <c r="R62"/>
  <c r="V62" s="1"/>
  <c r="Q62"/>
  <c r="N62"/>
  <c r="J62"/>
  <c r="K62" s="1"/>
  <c r="H62"/>
  <c r="Y62" s="1"/>
  <c r="G62"/>
  <c r="Z62" s="1"/>
  <c r="B62"/>
  <c r="W61"/>
  <c r="X61" s="1"/>
  <c r="R61"/>
  <c r="V61" s="1"/>
  <c r="Q61"/>
  <c r="N61"/>
  <c r="P61" s="1"/>
  <c r="J61"/>
  <c r="L61" s="1"/>
  <c r="H61"/>
  <c r="Y61" s="1"/>
  <c r="G61"/>
  <c r="Z61" s="1"/>
  <c r="D99" i="18" s="1"/>
  <c r="F99" s="1"/>
  <c r="B61" i="27"/>
  <c r="W60"/>
  <c r="X60" s="1"/>
  <c r="R60"/>
  <c r="Q60"/>
  <c r="N60"/>
  <c r="O60" s="1"/>
  <c r="J60"/>
  <c r="K60" s="1"/>
  <c r="H60"/>
  <c r="Y60" s="1"/>
  <c r="G60"/>
  <c r="Z60" s="1"/>
  <c r="B60"/>
  <c r="W59"/>
  <c r="X59" s="1"/>
  <c r="R59"/>
  <c r="Q59"/>
  <c r="N59"/>
  <c r="O59" s="1"/>
  <c r="J59"/>
  <c r="K59" s="1"/>
  <c r="H59"/>
  <c r="Y59" s="1"/>
  <c r="G59"/>
  <c r="Z59" s="1"/>
  <c r="B59"/>
  <c r="W58"/>
  <c r="X58" s="1"/>
  <c r="R58"/>
  <c r="Q58"/>
  <c r="N58"/>
  <c r="J58"/>
  <c r="K58" s="1"/>
  <c r="H58"/>
  <c r="Y58" s="1"/>
  <c r="G58"/>
  <c r="Z58" s="1"/>
  <c r="B58"/>
  <c r="W57"/>
  <c r="X57" s="1"/>
  <c r="R57"/>
  <c r="Q57"/>
  <c r="N57"/>
  <c r="O57" s="1"/>
  <c r="J57"/>
  <c r="L57" s="1"/>
  <c r="H57"/>
  <c r="Y57" s="1"/>
  <c r="G57"/>
  <c r="Z57" s="1"/>
  <c r="B57"/>
  <c r="W56"/>
  <c r="X56" s="1"/>
  <c r="R56"/>
  <c r="Q56"/>
  <c r="N56"/>
  <c r="O56" s="1"/>
  <c r="J56"/>
  <c r="K56" s="1"/>
  <c r="H56"/>
  <c r="Y56" s="1"/>
  <c r="G56"/>
  <c r="Z56" s="1"/>
  <c r="B56"/>
  <c r="W55"/>
  <c r="X55" s="1"/>
  <c r="R55"/>
  <c r="V55" s="1"/>
  <c r="Q55"/>
  <c r="N55"/>
  <c r="O55" s="1"/>
  <c r="J55"/>
  <c r="K55" s="1"/>
  <c r="H55"/>
  <c r="Y55" s="1"/>
  <c r="G55"/>
  <c r="Z55" s="1"/>
  <c r="B55"/>
  <c r="W54"/>
  <c r="X54" s="1"/>
  <c r="R54"/>
  <c r="Q54"/>
  <c r="N54"/>
  <c r="O54" s="1"/>
  <c r="J54"/>
  <c r="H54"/>
  <c r="Y54" s="1"/>
  <c r="G54"/>
  <c r="Z54" s="1"/>
  <c r="B54"/>
  <c r="W53"/>
  <c r="X53" s="1"/>
  <c r="R53"/>
  <c r="V53" s="1"/>
  <c r="Q53"/>
  <c r="N53"/>
  <c r="O53" s="1"/>
  <c r="J53"/>
  <c r="H53"/>
  <c r="Y53" s="1"/>
  <c r="G53"/>
  <c r="Z53" s="1"/>
  <c r="B53"/>
  <c r="W52"/>
  <c r="X52" s="1"/>
  <c r="R52"/>
  <c r="Q52"/>
  <c r="N52"/>
  <c r="O52" s="1"/>
  <c r="J52"/>
  <c r="K52" s="1"/>
  <c r="H52"/>
  <c r="Y52" s="1"/>
  <c r="G52"/>
  <c r="Z52" s="1"/>
  <c r="B52"/>
  <c r="W51"/>
  <c r="X51" s="1"/>
  <c r="R51"/>
  <c r="V51" s="1"/>
  <c r="Q51"/>
  <c r="N51"/>
  <c r="O51" s="1"/>
  <c r="J51"/>
  <c r="K51" s="1"/>
  <c r="H51"/>
  <c r="Y51" s="1"/>
  <c r="G51"/>
  <c r="Z51" s="1"/>
  <c r="B51"/>
  <c r="W50"/>
  <c r="X50" s="1"/>
  <c r="R50"/>
  <c r="V50" s="1"/>
  <c r="Q50"/>
  <c r="N50"/>
  <c r="O50" s="1"/>
  <c r="J50"/>
  <c r="H50"/>
  <c r="Y50" s="1"/>
  <c r="G50"/>
  <c r="Z50" s="1"/>
  <c r="B50"/>
  <c r="W49"/>
  <c r="X49" s="1"/>
  <c r="R49"/>
  <c r="V49" s="1"/>
  <c r="Q49"/>
  <c r="N49"/>
  <c r="P49" s="1"/>
  <c r="J49"/>
  <c r="K49" s="1"/>
  <c r="H49"/>
  <c r="Y49" s="1"/>
  <c r="G49"/>
  <c r="Z49" s="1"/>
  <c r="B49"/>
  <c r="W48"/>
  <c r="X48" s="1"/>
  <c r="R48"/>
  <c r="Q48"/>
  <c r="N48"/>
  <c r="O48" s="1"/>
  <c r="J48"/>
  <c r="K48" s="1"/>
  <c r="H48"/>
  <c r="Y48" s="1"/>
  <c r="G48"/>
  <c r="Z48" s="1"/>
  <c r="B48"/>
  <c r="W47"/>
  <c r="X47" s="1"/>
  <c r="R47"/>
  <c r="Q47"/>
  <c r="N47"/>
  <c r="O47" s="1"/>
  <c r="J47"/>
  <c r="K47" s="1"/>
  <c r="H47"/>
  <c r="Y47" s="1"/>
  <c r="Z47"/>
  <c r="B47"/>
  <c r="W46"/>
  <c r="X46" s="1"/>
  <c r="R46"/>
  <c r="V46" s="1"/>
  <c r="Q46"/>
  <c r="N46"/>
  <c r="O46" s="1"/>
  <c r="J46"/>
  <c r="K46" s="1"/>
  <c r="H46"/>
  <c r="Y46" s="1"/>
  <c r="Z46"/>
  <c r="B46"/>
  <c r="W45"/>
  <c r="X45" s="1"/>
  <c r="R45"/>
  <c r="V45" s="1"/>
  <c r="Q45"/>
  <c r="N45"/>
  <c r="P45" s="1"/>
  <c r="J45"/>
  <c r="L45" s="1"/>
  <c r="H45"/>
  <c r="Y45" s="1"/>
  <c r="G45"/>
  <c r="Z45" s="1"/>
  <c r="B45"/>
  <c r="W44"/>
  <c r="X44" s="1"/>
  <c r="R44"/>
  <c r="Q44"/>
  <c r="N44"/>
  <c r="O44" s="1"/>
  <c r="J44"/>
  <c r="K44" s="1"/>
  <c r="H44"/>
  <c r="Y44" s="1"/>
  <c r="G44"/>
  <c r="Z44" s="1"/>
  <c r="B44"/>
  <c r="W43"/>
  <c r="X43" s="1"/>
  <c r="R43"/>
  <c r="Q43"/>
  <c r="N43"/>
  <c r="O43" s="1"/>
  <c r="J43"/>
  <c r="K43" s="1"/>
  <c r="H43"/>
  <c r="Y43" s="1"/>
  <c r="G43"/>
  <c r="Z43" s="1"/>
  <c r="B43"/>
  <c r="W42"/>
  <c r="X42" s="1"/>
  <c r="R42"/>
  <c r="Q42"/>
  <c r="N42"/>
  <c r="J42"/>
  <c r="K42" s="1"/>
  <c r="H42"/>
  <c r="Y42" s="1"/>
  <c r="G42"/>
  <c r="Z42" s="1"/>
  <c r="W41"/>
  <c r="X41" s="1"/>
  <c r="R41"/>
  <c r="Q41"/>
  <c r="N41"/>
  <c r="O41" s="1"/>
  <c r="J41"/>
  <c r="H41"/>
  <c r="Y41" s="1"/>
  <c r="G41"/>
  <c r="Z41" s="1"/>
  <c r="W40"/>
  <c r="X40" s="1"/>
  <c r="R40"/>
  <c r="Q40"/>
  <c r="N40"/>
  <c r="O40" s="1"/>
  <c r="J40"/>
  <c r="K40" s="1"/>
  <c r="H40"/>
  <c r="Y40" s="1"/>
  <c r="G40"/>
  <c r="Z40" s="1"/>
  <c r="B40"/>
  <c r="W39"/>
  <c r="X39" s="1"/>
  <c r="R39"/>
  <c r="Q39"/>
  <c r="N39"/>
  <c r="O39" s="1"/>
  <c r="J39"/>
  <c r="K39" s="1"/>
  <c r="H39"/>
  <c r="Y39" s="1"/>
  <c r="G39"/>
  <c r="Z39" s="1"/>
  <c r="B39"/>
  <c r="W38"/>
  <c r="X38" s="1"/>
  <c r="R38"/>
  <c r="Q38"/>
  <c r="N38"/>
  <c r="O38" s="1"/>
  <c r="J38"/>
  <c r="K38" s="1"/>
  <c r="H38"/>
  <c r="Y38" s="1"/>
  <c r="G38"/>
  <c r="Z38" s="1"/>
  <c r="B38"/>
  <c r="W37"/>
  <c r="X37" s="1"/>
  <c r="R37"/>
  <c r="Q37"/>
  <c r="N37"/>
  <c r="O37" s="1"/>
  <c r="J37"/>
  <c r="H37"/>
  <c r="Y37" s="1"/>
  <c r="G37"/>
  <c r="Z37" s="1"/>
  <c r="B37"/>
  <c r="W36"/>
  <c r="X36" s="1"/>
  <c r="R36"/>
  <c r="Q36"/>
  <c r="N36"/>
  <c r="O36" s="1"/>
  <c r="J36"/>
  <c r="K36" s="1"/>
  <c r="H36"/>
  <c r="Y36" s="1"/>
  <c r="G36"/>
  <c r="Z36" s="1"/>
  <c r="B36"/>
  <c r="W35"/>
  <c r="X35" s="1"/>
  <c r="R35"/>
  <c r="V35" s="1"/>
  <c r="Q35"/>
  <c r="N35"/>
  <c r="O35" s="1"/>
  <c r="J35"/>
  <c r="K35" s="1"/>
  <c r="H35"/>
  <c r="Y35" s="1"/>
  <c r="G35"/>
  <c r="Z35" s="1"/>
  <c r="B35"/>
  <c r="W34"/>
  <c r="X34" s="1"/>
  <c r="R34"/>
  <c r="V34" s="1"/>
  <c r="Q34"/>
  <c r="N34"/>
  <c r="O34" s="1"/>
  <c r="J34"/>
  <c r="K34" s="1"/>
  <c r="H34"/>
  <c r="Y34" s="1"/>
  <c r="G34"/>
  <c r="Z34" s="1"/>
  <c r="B34"/>
  <c r="W33"/>
  <c r="X33" s="1"/>
  <c r="R33"/>
  <c r="V33" s="1"/>
  <c r="Q33"/>
  <c r="N33"/>
  <c r="P33" s="1"/>
  <c r="J33"/>
  <c r="K33" s="1"/>
  <c r="H33"/>
  <c r="Y33" s="1"/>
  <c r="G33"/>
  <c r="Z33" s="1"/>
  <c r="B33"/>
  <c r="W32"/>
  <c r="X32" s="1"/>
  <c r="R32"/>
  <c r="Q32"/>
  <c r="N32"/>
  <c r="J32"/>
  <c r="H32"/>
  <c r="Y32" s="1"/>
  <c r="G32"/>
  <c r="Z32" s="1"/>
  <c r="B32"/>
  <c r="W31"/>
  <c r="X31" s="1"/>
  <c r="R31"/>
  <c r="Q31"/>
  <c r="N31"/>
  <c r="O31" s="1"/>
  <c r="J31"/>
  <c r="K31" s="1"/>
  <c r="H31"/>
  <c r="Y31" s="1"/>
  <c r="G31"/>
  <c r="Z31" s="1"/>
  <c r="B31"/>
  <c r="W30"/>
  <c r="X30" s="1"/>
  <c r="R30"/>
  <c r="V30" s="1"/>
  <c r="Q30"/>
  <c r="N30"/>
  <c r="O30" s="1"/>
  <c r="J30"/>
  <c r="K30" s="1"/>
  <c r="H30"/>
  <c r="Y30" s="1"/>
  <c r="G30"/>
  <c r="Z30" s="1"/>
  <c r="B30"/>
  <c r="W29"/>
  <c r="X29" s="1"/>
  <c r="R29"/>
  <c r="V29" s="1"/>
  <c r="Q29"/>
  <c r="N29"/>
  <c r="P29" s="1"/>
  <c r="J29"/>
  <c r="L29" s="1"/>
  <c r="H29"/>
  <c r="Y29" s="1"/>
  <c r="G29"/>
  <c r="B29"/>
  <c r="W28"/>
  <c r="X28" s="1"/>
  <c r="R28"/>
  <c r="Q28"/>
  <c r="N28"/>
  <c r="J28"/>
  <c r="H28"/>
  <c r="Y28" s="1"/>
  <c r="G28"/>
  <c r="Z28" s="1"/>
  <c r="B28"/>
  <c r="W27"/>
  <c r="X27" s="1"/>
  <c r="R27"/>
  <c r="Q27"/>
  <c r="N27"/>
  <c r="O27" s="1"/>
  <c r="J27"/>
  <c r="K27" s="1"/>
  <c r="H27"/>
  <c r="Y27" s="1"/>
  <c r="G27"/>
  <c r="Z27" s="1"/>
  <c r="B27"/>
  <c r="W26"/>
  <c r="X26" s="1"/>
  <c r="R26"/>
  <c r="V26" s="1"/>
  <c r="Q26"/>
  <c r="N26"/>
  <c r="O26" s="1"/>
  <c r="J26"/>
  <c r="K26" s="1"/>
  <c r="H26"/>
  <c r="Y26" s="1"/>
  <c r="G26"/>
  <c r="Z26" s="1"/>
  <c r="B26"/>
  <c r="W25"/>
  <c r="X25" s="1"/>
  <c r="R25"/>
  <c r="Q25"/>
  <c r="N25"/>
  <c r="J25"/>
  <c r="L25" s="1"/>
  <c r="H25"/>
  <c r="Y25" s="1"/>
  <c r="G25"/>
  <c r="Z25" s="1"/>
  <c r="B25"/>
  <c r="W24"/>
  <c r="X24" s="1"/>
  <c r="R24"/>
  <c r="Q24"/>
  <c r="N24"/>
  <c r="J24"/>
  <c r="H24"/>
  <c r="Y24" s="1"/>
  <c r="G24"/>
  <c r="Z24" s="1"/>
  <c r="B24"/>
  <c r="W23"/>
  <c r="X23" s="1"/>
  <c r="R23"/>
  <c r="V23" s="1"/>
  <c r="Q23"/>
  <c r="N23"/>
  <c r="O23" s="1"/>
  <c r="J23"/>
  <c r="K23" s="1"/>
  <c r="H23"/>
  <c r="Y23" s="1"/>
  <c r="G23"/>
  <c r="Z23" s="1"/>
  <c r="B23"/>
  <c r="W22"/>
  <c r="X22" s="1"/>
  <c r="R22"/>
  <c r="V22" s="1"/>
  <c r="Q22"/>
  <c r="N22"/>
  <c r="O22" s="1"/>
  <c r="J22"/>
  <c r="K22" s="1"/>
  <c r="H22"/>
  <c r="Y22" s="1"/>
  <c r="G22"/>
  <c r="Z22" s="1"/>
  <c r="B22"/>
  <c r="W21"/>
  <c r="X21" s="1"/>
  <c r="R21"/>
  <c r="V21" s="1"/>
  <c r="Q21"/>
  <c r="N21"/>
  <c r="J21"/>
  <c r="K21" s="1"/>
  <c r="H21"/>
  <c r="Y21" s="1"/>
  <c r="G21"/>
  <c r="Z21" s="1"/>
  <c r="B21"/>
  <c r="W20"/>
  <c r="X20" s="1"/>
  <c r="R20"/>
  <c r="Q20"/>
  <c r="N20"/>
  <c r="J20"/>
  <c r="H20"/>
  <c r="Y20" s="1"/>
  <c r="G20"/>
  <c r="Z20" s="1"/>
  <c r="B20"/>
  <c r="W19"/>
  <c r="X19" s="1"/>
  <c r="R19"/>
  <c r="V19" s="1"/>
  <c r="Q19"/>
  <c r="N19"/>
  <c r="O19" s="1"/>
  <c r="J19"/>
  <c r="K19" s="1"/>
  <c r="H19"/>
  <c r="Y19" s="1"/>
  <c r="G19"/>
  <c r="Z19" s="1"/>
  <c r="B19"/>
  <c r="W18"/>
  <c r="X18" s="1"/>
  <c r="R18"/>
  <c r="V18" s="1"/>
  <c r="Q18"/>
  <c r="N18"/>
  <c r="O18" s="1"/>
  <c r="J18"/>
  <c r="K18" s="1"/>
  <c r="H18"/>
  <c r="Y18" s="1"/>
  <c r="G18"/>
  <c r="Z18" s="1"/>
  <c r="B18"/>
  <c r="W17"/>
  <c r="X17" s="1"/>
  <c r="R17"/>
  <c r="V17" s="1"/>
  <c r="Q17"/>
  <c r="N17"/>
  <c r="P17" s="1"/>
  <c r="J17"/>
  <c r="H17"/>
  <c r="Y17" s="1"/>
  <c r="G17"/>
  <c r="Z17" s="1"/>
  <c r="B17"/>
  <c r="W16"/>
  <c r="X16" s="1"/>
  <c r="R16"/>
  <c r="Q16"/>
  <c r="N16"/>
  <c r="P16" s="1"/>
  <c r="J16"/>
  <c r="L16" s="1"/>
  <c r="H16"/>
  <c r="Y16" s="1"/>
  <c r="G16"/>
  <c r="Z16" s="1"/>
  <c r="B16"/>
  <c r="W15"/>
  <c r="X15" s="1"/>
  <c r="R15"/>
  <c r="Q15"/>
  <c r="N15"/>
  <c r="J15"/>
  <c r="H15"/>
  <c r="Y15" s="1"/>
  <c r="G15"/>
  <c r="Z15" s="1"/>
  <c r="B15"/>
  <c r="W14"/>
  <c r="X14" s="1"/>
  <c r="R14"/>
  <c r="V14" s="1"/>
  <c r="Q14"/>
  <c r="N14"/>
  <c r="O14" s="1"/>
  <c r="J14"/>
  <c r="K14" s="1"/>
  <c r="H14"/>
  <c r="Y14" s="1"/>
  <c r="G14"/>
  <c r="Z14" s="1"/>
  <c r="B14"/>
  <c r="W13"/>
  <c r="X13" s="1"/>
  <c r="R13"/>
  <c r="V13" s="1"/>
  <c r="Q13"/>
  <c r="N13"/>
  <c r="P13" s="1"/>
  <c r="J13"/>
  <c r="K13" s="1"/>
  <c r="H13"/>
  <c r="Y13" s="1"/>
  <c r="G13"/>
  <c r="Z13" s="1"/>
  <c r="B13"/>
  <c r="W12"/>
  <c r="X12" s="1"/>
  <c r="R12"/>
  <c r="Q12"/>
  <c r="N12"/>
  <c r="P12" s="1"/>
  <c r="J12"/>
  <c r="L12" s="1"/>
  <c r="H12"/>
  <c r="Y12" s="1"/>
  <c r="G12"/>
  <c r="Z12" s="1"/>
  <c r="B12"/>
  <c r="W11"/>
  <c r="X11" s="1"/>
  <c r="R11"/>
  <c r="Q11"/>
  <c r="N11"/>
  <c r="J11"/>
  <c r="H11"/>
  <c r="Y11" s="1"/>
  <c r="G11"/>
  <c r="Z11" s="1"/>
  <c r="B11"/>
  <c r="W10"/>
  <c r="X10" s="1"/>
  <c r="R10"/>
  <c r="V10" s="1"/>
  <c r="Q10"/>
  <c r="N10"/>
  <c r="O10" s="1"/>
  <c r="J10"/>
  <c r="K10" s="1"/>
  <c r="H10"/>
  <c r="Y10" s="1"/>
  <c r="G10"/>
  <c r="Z10" s="1"/>
  <c r="B10"/>
  <c r="W9"/>
  <c r="X9" s="1"/>
  <c r="R9"/>
  <c r="V9" s="1"/>
  <c r="Q9"/>
  <c r="N9"/>
  <c r="O9" s="1"/>
  <c r="J9"/>
  <c r="L9" s="1"/>
  <c r="H9"/>
  <c r="Y9" s="1"/>
  <c r="G9"/>
  <c r="Z9" s="1"/>
  <c r="B9"/>
  <c r="W8"/>
  <c r="X8" s="1"/>
  <c r="R8"/>
  <c r="Q8"/>
  <c r="N8"/>
  <c r="P8" s="1"/>
  <c r="J8"/>
  <c r="L8" s="1"/>
  <c r="H8"/>
  <c r="Y8" s="1"/>
  <c r="G8"/>
  <c r="Z8" s="1"/>
  <c r="B8"/>
  <c r="W7"/>
  <c r="X7" s="1"/>
  <c r="R7"/>
  <c r="Q7"/>
  <c r="N7"/>
  <c r="J7"/>
  <c r="L7" s="1"/>
  <c r="H7"/>
  <c r="Y7" s="1"/>
  <c r="G7"/>
  <c r="Z7" s="1"/>
  <c r="B7"/>
  <c r="W6"/>
  <c r="X6" s="1"/>
  <c r="R6"/>
  <c r="Q6"/>
  <c r="N6"/>
  <c r="O6" s="1"/>
  <c r="J6"/>
  <c r="K6" s="1"/>
  <c r="H6"/>
  <c r="Y6" s="1"/>
  <c r="G6"/>
  <c r="Z6" s="1"/>
  <c r="B6"/>
  <c r="W5"/>
  <c r="X5" s="1"/>
  <c r="R5"/>
  <c r="V5" s="1"/>
  <c r="Q5"/>
  <c r="N5"/>
  <c r="P5" s="1"/>
  <c r="J5"/>
  <c r="L5" s="1"/>
  <c r="H5"/>
  <c r="Y5" s="1"/>
  <c r="G5"/>
  <c r="Z5" s="1"/>
  <c r="B5"/>
  <c r="W4"/>
  <c r="X4" s="1"/>
  <c r="R4"/>
  <c r="V4" s="1"/>
  <c r="Q4"/>
  <c r="N4"/>
  <c r="P4" s="1"/>
  <c r="J4"/>
  <c r="K4" s="1"/>
  <c r="H4"/>
  <c r="Y4" s="1"/>
  <c r="G4"/>
  <c r="Z4" s="1"/>
  <c r="B4"/>
  <c r="W3"/>
  <c r="X3" s="1"/>
  <c r="R3"/>
  <c r="V3" s="1"/>
  <c r="Q3"/>
  <c r="N3"/>
  <c r="P3" s="1"/>
  <c r="J3"/>
  <c r="L3" s="1"/>
  <c r="H3"/>
  <c r="Y3" s="1"/>
  <c r="G3"/>
  <c r="Z3" s="1"/>
  <c r="B3"/>
  <c r="W2"/>
  <c r="X2" s="1"/>
  <c r="R2"/>
  <c r="V2" s="1"/>
  <c r="Q2"/>
  <c r="N2"/>
  <c r="P2" s="1"/>
  <c r="J2"/>
  <c r="L2" s="1"/>
  <c r="H2"/>
  <c r="Y2" s="1"/>
  <c r="G2"/>
  <c r="Z2" s="1"/>
  <c r="B2"/>
  <c r="W576" i="26"/>
  <c r="X576" s="1"/>
  <c r="R576"/>
  <c r="Q576"/>
  <c r="N576"/>
  <c r="O576" s="1"/>
  <c r="J576"/>
  <c r="K576" s="1"/>
  <c r="H576"/>
  <c r="Y576" s="1"/>
  <c r="G576"/>
  <c r="Z576" s="1"/>
  <c r="B576"/>
  <c r="W575"/>
  <c r="X575" s="1"/>
  <c r="R575"/>
  <c r="V575" s="1"/>
  <c r="Q575"/>
  <c r="N575"/>
  <c r="O575" s="1"/>
  <c r="J575"/>
  <c r="K575" s="1"/>
  <c r="H575"/>
  <c r="Y575" s="1"/>
  <c r="G575"/>
  <c r="Z575" s="1"/>
  <c r="B575"/>
  <c r="W574"/>
  <c r="X574" s="1"/>
  <c r="R574"/>
  <c r="V574" s="1"/>
  <c r="Q574"/>
  <c r="N574"/>
  <c r="J574"/>
  <c r="K574" s="1"/>
  <c r="H574"/>
  <c r="Y574" s="1"/>
  <c r="G574"/>
  <c r="Z574" s="1"/>
  <c r="B574"/>
  <c r="W573"/>
  <c r="X573" s="1"/>
  <c r="R573"/>
  <c r="V573" s="1"/>
  <c r="Q573"/>
  <c r="N573"/>
  <c r="P573" s="1"/>
  <c r="J573"/>
  <c r="L573" s="1"/>
  <c r="H573"/>
  <c r="Y573" s="1"/>
  <c r="G573"/>
  <c r="Z573" s="1"/>
  <c r="B573"/>
  <c r="W572"/>
  <c r="X572" s="1"/>
  <c r="R572"/>
  <c r="Q572"/>
  <c r="N572"/>
  <c r="O572" s="1"/>
  <c r="J572"/>
  <c r="K572" s="1"/>
  <c r="H572"/>
  <c r="Y572" s="1"/>
  <c r="G572"/>
  <c r="Z572" s="1"/>
  <c r="B572"/>
  <c r="W571"/>
  <c r="X571" s="1"/>
  <c r="R571"/>
  <c r="V571" s="1"/>
  <c r="Q571"/>
  <c r="N571"/>
  <c r="O571" s="1"/>
  <c r="J571"/>
  <c r="K571" s="1"/>
  <c r="H571"/>
  <c r="Y571" s="1"/>
  <c r="G571"/>
  <c r="Z571" s="1"/>
  <c r="B571"/>
  <c r="W570"/>
  <c r="X570" s="1"/>
  <c r="R570"/>
  <c r="V570" s="1"/>
  <c r="Q570"/>
  <c r="N570"/>
  <c r="O570" s="1"/>
  <c r="J570"/>
  <c r="K570" s="1"/>
  <c r="H570"/>
  <c r="Y570" s="1"/>
  <c r="G570"/>
  <c r="Z570" s="1"/>
  <c r="B570"/>
  <c r="W569"/>
  <c r="X569" s="1"/>
  <c r="R569"/>
  <c r="V569" s="1"/>
  <c r="Q569"/>
  <c r="N569"/>
  <c r="J569"/>
  <c r="L569" s="1"/>
  <c r="H569"/>
  <c r="Y569" s="1"/>
  <c r="G569"/>
  <c r="Z569" s="1"/>
  <c r="B569"/>
  <c r="W568"/>
  <c r="X568" s="1"/>
  <c r="R568"/>
  <c r="Q568"/>
  <c r="N568"/>
  <c r="O568" s="1"/>
  <c r="J568"/>
  <c r="K568" s="1"/>
  <c r="H568"/>
  <c r="Y568" s="1"/>
  <c r="G568"/>
  <c r="Z568" s="1"/>
  <c r="B568"/>
  <c r="W567"/>
  <c r="X567" s="1"/>
  <c r="R567"/>
  <c r="Q567"/>
  <c r="N567"/>
  <c r="O567" s="1"/>
  <c r="J567"/>
  <c r="K567" s="1"/>
  <c r="H567"/>
  <c r="Y567" s="1"/>
  <c r="G567"/>
  <c r="Z567" s="1"/>
  <c r="B567"/>
  <c r="W566"/>
  <c r="X566" s="1"/>
  <c r="R566"/>
  <c r="Q566"/>
  <c r="N566"/>
  <c r="O566" s="1"/>
  <c r="J566"/>
  <c r="H566"/>
  <c r="Y566" s="1"/>
  <c r="G566"/>
  <c r="Z566" s="1"/>
  <c r="B566"/>
  <c r="W565"/>
  <c r="X565" s="1"/>
  <c r="R565"/>
  <c r="V565" s="1"/>
  <c r="Q565"/>
  <c r="N565"/>
  <c r="J565"/>
  <c r="K565" s="1"/>
  <c r="H565"/>
  <c r="Y565" s="1"/>
  <c r="G565"/>
  <c r="Z565" s="1"/>
  <c r="B565"/>
  <c r="W564"/>
  <c r="X564" s="1"/>
  <c r="R564"/>
  <c r="Q564"/>
  <c r="N564"/>
  <c r="O564" s="1"/>
  <c r="J564"/>
  <c r="K564" s="1"/>
  <c r="H564"/>
  <c r="Y564" s="1"/>
  <c r="G564"/>
  <c r="Z564" s="1"/>
  <c r="B564"/>
  <c r="W563"/>
  <c r="X563" s="1"/>
  <c r="R563"/>
  <c r="V563" s="1"/>
  <c r="Q563"/>
  <c r="N563"/>
  <c r="O563" s="1"/>
  <c r="J563"/>
  <c r="K563" s="1"/>
  <c r="H563"/>
  <c r="Y563" s="1"/>
  <c r="G563"/>
  <c r="Z563" s="1"/>
  <c r="B563"/>
  <c r="W562"/>
  <c r="X562" s="1"/>
  <c r="R562"/>
  <c r="V562" s="1"/>
  <c r="Q562"/>
  <c r="N562"/>
  <c r="O562" s="1"/>
  <c r="J562"/>
  <c r="L562" s="1"/>
  <c r="H562"/>
  <c r="Y562" s="1"/>
  <c r="G562"/>
  <c r="Z562" s="1"/>
  <c r="B562"/>
  <c r="W561"/>
  <c r="X561" s="1"/>
  <c r="R561"/>
  <c r="V561" s="1"/>
  <c r="Q561"/>
  <c r="N561"/>
  <c r="O561" s="1"/>
  <c r="J561"/>
  <c r="K561" s="1"/>
  <c r="H561"/>
  <c r="Y561" s="1"/>
  <c r="G561"/>
  <c r="Z561" s="1"/>
  <c r="B561"/>
  <c r="W560"/>
  <c r="X560" s="1"/>
  <c r="R560"/>
  <c r="Q560"/>
  <c r="N560"/>
  <c r="O560" s="1"/>
  <c r="J560"/>
  <c r="K560" s="1"/>
  <c r="H560"/>
  <c r="Y560" s="1"/>
  <c r="G560"/>
  <c r="Z560" s="1"/>
  <c r="B560"/>
  <c r="W559"/>
  <c r="X559" s="1"/>
  <c r="R559"/>
  <c r="V559" s="1"/>
  <c r="Q559"/>
  <c r="N559"/>
  <c r="O559" s="1"/>
  <c r="J559"/>
  <c r="K559" s="1"/>
  <c r="H559"/>
  <c r="Y559" s="1"/>
  <c r="G559"/>
  <c r="Z559" s="1"/>
  <c r="B559"/>
  <c r="W558"/>
  <c r="X558" s="1"/>
  <c r="R558"/>
  <c r="V558" s="1"/>
  <c r="Q558"/>
  <c r="N558"/>
  <c r="J558"/>
  <c r="L558" s="1"/>
  <c r="H558"/>
  <c r="Y558" s="1"/>
  <c r="G558"/>
  <c r="Z558" s="1"/>
  <c r="B558"/>
  <c r="W557"/>
  <c r="X557" s="1"/>
  <c r="R557"/>
  <c r="V557" s="1"/>
  <c r="Q557"/>
  <c r="N557"/>
  <c r="O557" s="1"/>
  <c r="J557"/>
  <c r="K557" s="1"/>
  <c r="H557"/>
  <c r="Y557" s="1"/>
  <c r="G557"/>
  <c r="Z557" s="1"/>
  <c r="B557"/>
  <c r="W556"/>
  <c r="X556" s="1"/>
  <c r="R556"/>
  <c r="Q556"/>
  <c r="N556"/>
  <c r="O556" s="1"/>
  <c r="J556"/>
  <c r="K556" s="1"/>
  <c r="H556"/>
  <c r="Y556" s="1"/>
  <c r="G556"/>
  <c r="Z556" s="1"/>
  <c r="B556"/>
  <c r="W555"/>
  <c r="X555" s="1"/>
  <c r="R555"/>
  <c r="V555" s="1"/>
  <c r="Q555"/>
  <c r="N555"/>
  <c r="O555" s="1"/>
  <c r="J555"/>
  <c r="K555" s="1"/>
  <c r="H555"/>
  <c r="Y555" s="1"/>
  <c r="G555"/>
  <c r="Z555" s="1"/>
  <c r="B555"/>
  <c r="W554"/>
  <c r="X554" s="1"/>
  <c r="R554"/>
  <c r="V554" s="1"/>
  <c r="Q554"/>
  <c r="N554"/>
  <c r="O554" s="1"/>
  <c r="J554"/>
  <c r="K554" s="1"/>
  <c r="H554"/>
  <c r="Y554" s="1"/>
  <c r="G554"/>
  <c r="Z554" s="1"/>
  <c r="B554"/>
  <c r="W553"/>
  <c r="X553" s="1"/>
  <c r="R553"/>
  <c r="V553" s="1"/>
  <c r="Q553"/>
  <c r="N553"/>
  <c r="P553" s="1"/>
  <c r="J553"/>
  <c r="K553" s="1"/>
  <c r="H553"/>
  <c r="Y553" s="1"/>
  <c r="G553"/>
  <c r="Z553" s="1"/>
  <c r="B553"/>
  <c r="W552"/>
  <c r="X552" s="1"/>
  <c r="R552"/>
  <c r="Q552"/>
  <c r="N552"/>
  <c r="O552" s="1"/>
  <c r="J552"/>
  <c r="K552" s="1"/>
  <c r="H552"/>
  <c r="Y552" s="1"/>
  <c r="G552"/>
  <c r="Z552" s="1"/>
  <c r="B552"/>
  <c r="W551"/>
  <c r="X551" s="1"/>
  <c r="R551"/>
  <c r="Q551"/>
  <c r="N551"/>
  <c r="O551" s="1"/>
  <c r="J551"/>
  <c r="K551" s="1"/>
  <c r="H551"/>
  <c r="Y551" s="1"/>
  <c r="G551"/>
  <c r="Z551" s="1"/>
  <c r="B551"/>
  <c r="W550"/>
  <c r="X550" s="1"/>
  <c r="R550"/>
  <c r="Q550"/>
  <c r="N550"/>
  <c r="O550" s="1"/>
  <c r="J550"/>
  <c r="K550" s="1"/>
  <c r="H550"/>
  <c r="Y550" s="1"/>
  <c r="G550"/>
  <c r="Z550" s="1"/>
  <c r="B550"/>
  <c r="W549"/>
  <c r="X549" s="1"/>
  <c r="R549"/>
  <c r="V549" s="1"/>
  <c r="Q549"/>
  <c r="N549"/>
  <c r="O549" s="1"/>
  <c r="J549"/>
  <c r="K549" s="1"/>
  <c r="H549"/>
  <c r="Y549" s="1"/>
  <c r="G549"/>
  <c r="Z549" s="1"/>
  <c r="B549"/>
  <c r="W548"/>
  <c r="X548" s="1"/>
  <c r="R548"/>
  <c r="Q548"/>
  <c r="N548"/>
  <c r="O548" s="1"/>
  <c r="J548"/>
  <c r="K548" s="1"/>
  <c r="H548"/>
  <c r="Y548" s="1"/>
  <c r="G548"/>
  <c r="Z548" s="1"/>
  <c r="B548"/>
  <c r="W547"/>
  <c r="X547" s="1"/>
  <c r="R547"/>
  <c r="V547" s="1"/>
  <c r="Q547"/>
  <c r="N547"/>
  <c r="O547" s="1"/>
  <c r="J547"/>
  <c r="K547" s="1"/>
  <c r="H547"/>
  <c r="Y547" s="1"/>
  <c r="G547"/>
  <c r="Z547" s="1"/>
  <c r="B547"/>
  <c r="W546"/>
  <c r="X546" s="1"/>
  <c r="R546"/>
  <c r="V546" s="1"/>
  <c r="Q546"/>
  <c r="N546"/>
  <c r="O546" s="1"/>
  <c r="J546"/>
  <c r="H546"/>
  <c r="Y546" s="1"/>
  <c r="G546"/>
  <c r="Z546" s="1"/>
  <c r="B546"/>
  <c r="W545"/>
  <c r="X545" s="1"/>
  <c r="R545"/>
  <c r="V545" s="1"/>
  <c r="Q545"/>
  <c r="N545"/>
  <c r="O545" s="1"/>
  <c r="J545"/>
  <c r="H545"/>
  <c r="Y545" s="1"/>
  <c r="G545"/>
  <c r="Z545" s="1"/>
  <c r="B545"/>
  <c r="W544"/>
  <c r="X544" s="1"/>
  <c r="R544"/>
  <c r="Q544"/>
  <c r="N544"/>
  <c r="O544" s="1"/>
  <c r="J544"/>
  <c r="K544" s="1"/>
  <c r="H544"/>
  <c r="Y544" s="1"/>
  <c r="G544"/>
  <c r="Z544" s="1"/>
  <c r="B544"/>
  <c r="W543"/>
  <c r="X543" s="1"/>
  <c r="R543"/>
  <c r="V543" s="1"/>
  <c r="Q543"/>
  <c r="N543"/>
  <c r="O543" s="1"/>
  <c r="J543"/>
  <c r="K543" s="1"/>
  <c r="H543"/>
  <c r="Y543" s="1"/>
  <c r="G543"/>
  <c r="Z543" s="1"/>
  <c r="B543"/>
  <c r="W542"/>
  <c r="X542" s="1"/>
  <c r="R542"/>
  <c r="V542" s="1"/>
  <c r="Q542"/>
  <c r="N542"/>
  <c r="J542"/>
  <c r="K542" s="1"/>
  <c r="H542"/>
  <c r="Y542" s="1"/>
  <c r="G542"/>
  <c r="Z542" s="1"/>
  <c r="B542"/>
  <c r="W541"/>
  <c r="X541" s="1"/>
  <c r="R541"/>
  <c r="V541" s="1"/>
  <c r="Q541"/>
  <c r="N541"/>
  <c r="J541"/>
  <c r="H541"/>
  <c r="Y541" s="1"/>
  <c r="G541"/>
  <c r="Z541" s="1"/>
  <c r="B541"/>
  <c r="W540"/>
  <c r="X540" s="1"/>
  <c r="R540"/>
  <c r="Q540"/>
  <c r="N540"/>
  <c r="O540" s="1"/>
  <c r="J540"/>
  <c r="K540" s="1"/>
  <c r="H540"/>
  <c r="Y540" s="1"/>
  <c r="G540"/>
  <c r="Z540" s="1"/>
  <c r="B540"/>
  <c r="W539"/>
  <c r="X539" s="1"/>
  <c r="R539"/>
  <c r="V539" s="1"/>
  <c r="Q539"/>
  <c r="N539"/>
  <c r="O539" s="1"/>
  <c r="J539"/>
  <c r="K539" s="1"/>
  <c r="H539"/>
  <c r="Y539" s="1"/>
  <c r="G539"/>
  <c r="Z539" s="1"/>
  <c r="B539"/>
  <c r="W538"/>
  <c r="X538" s="1"/>
  <c r="R538"/>
  <c r="V538" s="1"/>
  <c r="Q538"/>
  <c r="N538"/>
  <c r="P538" s="1"/>
  <c r="J538"/>
  <c r="K538" s="1"/>
  <c r="H538"/>
  <c r="Y538" s="1"/>
  <c r="G538"/>
  <c r="Z538" s="1"/>
  <c r="B538"/>
  <c r="W537"/>
  <c r="X537" s="1"/>
  <c r="R537"/>
  <c r="V537" s="1"/>
  <c r="Q537"/>
  <c r="N537"/>
  <c r="J537"/>
  <c r="K537" s="1"/>
  <c r="H537"/>
  <c r="Y537" s="1"/>
  <c r="G537"/>
  <c r="Z537" s="1"/>
  <c r="B537"/>
  <c r="W536"/>
  <c r="X536" s="1"/>
  <c r="R536"/>
  <c r="Q536"/>
  <c r="N536"/>
  <c r="O536" s="1"/>
  <c r="J536"/>
  <c r="K536" s="1"/>
  <c r="H536"/>
  <c r="Y536" s="1"/>
  <c r="G536"/>
  <c r="Z536" s="1"/>
  <c r="B536"/>
  <c r="W535"/>
  <c r="X535" s="1"/>
  <c r="R535"/>
  <c r="Q535"/>
  <c r="N535"/>
  <c r="O535" s="1"/>
  <c r="J535"/>
  <c r="K535" s="1"/>
  <c r="H535"/>
  <c r="Y535" s="1"/>
  <c r="G535"/>
  <c r="Z535" s="1"/>
  <c r="B535"/>
  <c r="W534"/>
  <c r="X534" s="1"/>
  <c r="R534"/>
  <c r="Q534"/>
  <c r="N534"/>
  <c r="O534" s="1"/>
  <c r="J534"/>
  <c r="K534" s="1"/>
  <c r="H534"/>
  <c r="Y534" s="1"/>
  <c r="G534"/>
  <c r="Z534" s="1"/>
  <c r="B534"/>
  <c r="W533"/>
  <c r="X533" s="1"/>
  <c r="R533"/>
  <c r="V533" s="1"/>
  <c r="Q533"/>
  <c r="N533"/>
  <c r="O533" s="1"/>
  <c r="J533"/>
  <c r="K533" s="1"/>
  <c r="H533"/>
  <c r="Y533" s="1"/>
  <c r="G533"/>
  <c r="Z533" s="1"/>
  <c r="B533"/>
  <c r="W532"/>
  <c r="X532" s="1"/>
  <c r="R532"/>
  <c r="Q532"/>
  <c r="N532"/>
  <c r="O532" s="1"/>
  <c r="J532"/>
  <c r="K532" s="1"/>
  <c r="H532"/>
  <c r="Y532" s="1"/>
  <c r="G532"/>
  <c r="Z532" s="1"/>
  <c r="B532"/>
  <c r="W531"/>
  <c r="X531" s="1"/>
  <c r="R531"/>
  <c r="V531" s="1"/>
  <c r="Q531"/>
  <c r="N531"/>
  <c r="O531" s="1"/>
  <c r="J531"/>
  <c r="K531" s="1"/>
  <c r="H531"/>
  <c r="Y531" s="1"/>
  <c r="G531"/>
  <c r="Z531" s="1"/>
  <c r="B531"/>
  <c r="W530"/>
  <c r="X530" s="1"/>
  <c r="R530"/>
  <c r="V530" s="1"/>
  <c r="Q530"/>
  <c r="N530"/>
  <c r="O530" s="1"/>
  <c r="J530"/>
  <c r="H530"/>
  <c r="Y530" s="1"/>
  <c r="G530"/>
  <c r="Z530" s="1"/>
  <c r="B530"/>
  <c r="W529"/>
  <c r="X529" s="1"/>
  <c r="R529"/>
  <c r="V529" s="1"/>
  <c r="Q529"/>
  <c r="N529"/>
  <c r="O529" s="1"/>
  <c r="J529"/>
  <c r="H529"/>
  <c r="Y529" s="1"/>
  <c r="G529"/>
  <c r="Z529" s="1"/>
  <c r="B529"/>
  <c r="W528"/>
  <c r="X528" s="1"/>
  <c r="R528"/>
  <c r="Q528"/>
  <c r="N528"/>
  <c r="O528" s="1"/>
  <c r="J528"/>
  <c r="K528" s="1"/>
  <c r="H528"/>
  <c r="Y528" s="1"/>
  <c r="G528"/>
  <c r="Z528" s="1"/>
  <c r="B528"/>
  <c r="W527"/>
  <c r="X527" s="1"/>
  <c r="R527"/>
  <c r="V527" s="1"/>
  <c r="Q527"/>
  <c r="N527"/>
  <c r="O527" s="1"/>
  <c r="J527"/>
  <c r="K527" s="1"/>
  <c r="H527"/>
  <c r="Y527" s="1"/>
  <c r="G527"/>
  <c r="Z527" s="1"/>
  <c r="B527"/>
  <c r="W526"/>
  <c r="X526" s="1"/>
  <c r="R526"/>
  <c r="V526" s="1"/>
  <c r="Q526"/>
  <c r="N526"/>
  <c r="O526" s="1"/>
  <c r="J526"/>
  <c r="K526" s="1"/>
  <c r="H526"/>
  <c r="Y526" s="1"/>
  <c r="G526"/>
  <c r="Z526" s="1"/>
  <c r="B526"/>
  <c r="W525"/>
  <c r="X525" s="1"/>
  <c r="R525"/>
  <c r="V525" s="1"/>
  <c r="Q525"/>
  <c r="N525"/>
  <c r="J525"/>
  <c r="L525" s="1"/>
  <c r="H525"/>
  <c r="Y525" s="1"/>
  <c r="G525"/>
  <c r="Z525" s="1"/>
  <c r="B525"/>
  <c r="W524"/>
  <c r="X524" s="1"/>
  <c r="R524"/>
  <c r="Q524"/>
  <c r="N524"/>
  <c r="O524" s="1"/>
  <c r="J524"/>
  <c r="K524" s="1"/>
  <c r="H524"/>
  <c r="Y524" s="1"/>
  <c r="G524"/>
  <c r="Z524" s="1"/>
  <c r="B524"/>
  <c r="W523"/>
  <c r="X523" s="1"/>
  <c r="R523"/>
  <c r="V523" s="1"/>
  <c r="Q523"/>
  <c r="N523"/>
  <c r="O523" s="1"/>
  <c r="J523"/>
  <c r="K523" s="1"/>
  <c r="H523"/>
  <c r="Y523" s="1"/>
  <c r="G523"/>
  <c r="Z523" s="1"/>
  <c r="B523"/>
  <c r="W522"/>
  <c r="X522" s="1"/>
  <c r="R522"/>
  <c r="V522" s="1"/>
  <c r="Q522"/>
  <c r="N522"/>
  <c r="J522"/>
  <c r="K522" s="1"/>
  <c r="H522"/>
  <c r="Y522" s="1"/>
  <c r="G522"/>
  <c r="Z522" s="1"/>
  <c r="B522"/>
  <c r="W521"/>
  <c r="X521" s="1"/>
  <c r="R521"/>
  <c r="V521" s="1"/>
  <c r="Q521"/>
  <c r="N521"/>
  <c r="O521" s="1"/>
  <c r="J521"/>
  <c r="K521" s="1"/>
  <c r="H521"/>
  <c r="Y521" s="1"/>
  <c r="G521"/>
  <c r="Z521" s="1"/>
  <c r="B521"/>
  <c r="W520"/>
  <c r="X520" s="1"/>
  <c r="R520"/>
  <c r="Q520"/>
  <c r="N520"/>
  <c r="O520" s="1"/>
  <c r="J520"/>
  <c r="K520" s="1"/>
  <c r="H520"/>
  <c r="Y520" s="1"/>
  <c r="G520"/>
  <c r="Z520" s="1"/>
  <c r="B520"/>
  <c r="W519"/>
  <c r="X519" s="1"/>
  <c r="R519"/>
  <c r="Q519"/>
  <c r="N519"/>
  <c r="O519" s="1"/>
  <c r="J519"/>
  <c r="K519" s="1"/>
  <c r="H519"/>
  <c r="Y519" s="1"/>
  <c r="G519"/>
  <c r="Z519" s="1"/>
  <c r="B519"/>
  <c r="W518"/>
  <c r="X518" s="1"/>
  <c r="R518"/>
  <c r="Q518"/>
  <c r="N518"/>
  <c r="O518" s="1"/>
  <c r="J518"/>
  <c r="K518" s="1"/>
  <c r="H518"/>
  <c r="Y518" s="1"/>
  <c r="G518"/>
  <c r="Z518" s="1"/>
  <c r="B518"/>
  <c r="W517"/>
  <c r="X517" s="1"/>
  <c r="R517"/>
  <c r="V517" s="1"/>
  <c r="Q517"/>
  <c r="N517"/>
  <c r="O517" s="1"/>
  <c r="J517"/>
  <c r="K517" s="1"/>
  <c r="H517"/>
  <c r="Y517" s="1"/>
  <c r="G517"/>
  <c r="Z517" s="1"/>
  <c r="B517"/>
  <c r="W516"/>
  <c r="X516" s="1"/>
  <c r="R516"/>
  <c r="Q516"/>
  <c r="N516"/>
  <c r="O516" s="1"/>
  <c r="J516"/>
  <c r="K516" s="1"/>
  <c r="H516"/>
  <c r="Y516" s="1"/>
  <c r="G516"/>
  <c r="Z516" s="1"/>
  <c r="B516"/>
  <c r="W515"/>
  <c r="X515" s="1"/>
  <c r="R515"/>
  <c r="V515" s="1"/>
  <c r="Q515"/>
  <c r="N515"/>
  <c r="O515" s="1"/>
  <c r="J515"/>
  <c r="K515" s="1"/>
  <c r="H515"/>
  <c r="Y515" s="1"/>
  <c r="G515"/>
  <c r="Z515" s="1"/>
  <c r="B515"/>
  <c r="W514"/>
  <c r="X514" s="1"/>
  <c r="R514"/>
  <c r="V514" s="1"/>
  <c r="Q514"/>
  <c r="N514"/>
  <c r="O514" s="1"/>
  <c r="J514"/>
  <c r="H514"/>
  <c r="Y514" s="1"/>
  <c r="G514"/>
  <c r="Z514" s="1"/>
  <c r="B514"/>
  <c r="W513"/>
  <c r="X513" s="1"/>
  <c r="R513"/>
  <c r="V513" s="1"/>
  <c r="Q513"/>
  <c r="N513"/>
  <c r="O513" s="1"/>
  <c r="J513"/>
  <c r="H513"/>
  <c r="Y513" s="1"/>
  <c r="G513"/>
  <c r="Z513" s="1"/>
  <c r="B513"/>
  <c r="W512"/>
  <c r="X512" s="1"/>
  <c r="R512"/>
  <c r="Q512"/>
  <c r="N512"/>
  <c r="J512"/>
  <c r="H512"/>
  <c r="Y512" s="1"/>
  <c r="G512"/>
  <c r="Z512" s="1"/>
  <c r="B512"/>
  <c r="W511"/>
  <c r="X511" s="1"/>
  <c r="R511"/>
  <c r="V511" s="1"/>
  <c r="Q511"/>
  <c r="N511"/>
  <c r="O511" s="1"/>
  <c r="J511"/>
  <c r="K511" s="1"/>
  <c r="H511"/>
  <c r="Y511" s="1"/>
  <c r="G511"/>
  <c r="Z511" s="1"/>
  <c r="B511"/>
  <c r="W510"/>
  <c r="X510" s="1"/>
  <c r="R510"/>
  <c r="V510" s="1"/>
  <c r="Q510"/>
  <c r="N510"/>
  <c r="O510" s="1"/>
  <c r="J510"/>
  <c r="K510" s="1"/>
  <c r="H510"/>
  <c r="Y510" s="1"/>
  <c r="G510"/>
  <c r="B510"/>
  <c r="W509"/>
  <c r="X509" s="1"/>
  <c r="R509"/>
  <c r="V509" s="1"/>
  <c r="Q509"/>
  <c r="N509"/>
  <c r="J509"/>
  <c r="K509" s="1"/>
  <c r="H509"/>
  <c r="Y509" s="1"/>
  <c r="G509"/>
  <c r="Z509" s="1"/>
  <c r="B509"/>
  <c r="W508"/>
  <c r="X508" s="1"/>
  <c r="R508"/>
  <c r="Q508"/>
  <c r="N508"/>
  <c r="J508"/>
  <c r="H508"/>
  <c r="Y508" s="1"/>
  <c r="G508"/>
  <c r="Z508" s="1"/>
  <c r="B508"/>
  <c r="W507"/>
  <c r="X507" s="1"/>
  <c r="R507"/>
  <c r="V507" s="1"/>
  <c r="Q507"/>
  <c r="N507"/>
  <c r="O507" s="1"/>
  <c r="J507"/>
  <c r="K507" s="1"/>
  <c r="H507"/>
  <c r="Y507" s="1"/>
  <c r="G507"/>
  <c r="Z507" s="1"/>
  <c r="B507"/>
  <c r="W506"/>
  <c r="X506" s="1"/>
  <c r="R506"/>
  <c r="V506" s="1"/>
  <c r="Q506"/>
  <c r="N506"/>
  <c r="P506" s="1"/>
  <c r="J506"/>
  <c r="K506" s="1"/>
  <c r="H506"/>
  <c r="Y506" s="1"/>
  <c r="G506"/>
  <c r="B506"/>
  <c r="W505"/>
  <c r="X505" s="1"/>
  <c r="R505"/>
  <c r="V505" s="1"/>
  <c r="Q505"/>
  <c r="N505"/>
  <c r="O505" s="1"/>
  <c r="J505"/>
  <c r="K505" s="1"/>
  <c r="H505"/>
  <c r="Y505" s="1"/>
  <c r="G505"/>
  <c r="Z505" s="1"/>
  <c r="B505"/>
  <c r="W504"/>
  <c r="X504" s="1"/>
  <c r="R504"/>
  <c r="Q504"/>
  <c r="N504"/>
  <c r="J504"/>
  <c r="H504"/>
  <c r="Y504" s="1"/>
  <c r="G504"/>
  <c r="Z504" s="1"/>
  <c r="B504"/>
  <c r="W503"/>
  <c r="X503" s="1"/>
  <c r="R503"/>
  <c r="Q503"/>
  <c r="N503"/>
  <c r="O503" s="1"/>
  <c r="J503"/>
  <c r="K503" s="1"/>
  <c r="H503"/>
  <c r="Y503" s="1"/>
  <c r="G503"/>
  <c r="Z503" s="1"/>
  <c r="B503"/>
  <c r="W502"/>
  <c r="X502" s="1"/>
  <c r="R502"/>
  <c r="Q502"/>
  <c r="N502"/>
  <c r="O502" s="1"/>
  <c r="J502"/>
  <c r="K502" s="1"/>
  <c r="H502"/>
  <c r="Y502" s="1"/>
  <c r="G502"/>
  <c r="B502"/>
  <c r="W501"/>
  <c r="X501" s="1"/>
  <c r="R501"/>
  <c r="V501" s="1"/>
  <c r="Q501"/>
  <c r="N501"/>
  <c r="O501" s="1"/>
  <c r="J501"/>
  <c r="K501" s="1"/>
  <c r="H501"/>
  <c r="Y501" s="1"/>
  <c r="G501"/>
  <c r="Z501" s="1"/>
  <c r="B501"/>
  <c r="W500"/>
  <c r="X500" s="1"/>
  <c r="R500"/>
  <c r="Q500"/>
  <c r="N500"/>
  <c r="J500"/>
  <c r="H500"/>
  <c r="Y500" s="1"/>
  <c r="G500"/>
  <c r="Z500" s="1"/>
  <c r="B500"/>
  <c r="W499"/>
  <c r="X499" s="1"/>
  <c r="R499"/>
  <c r="Q499"/>
  <c r="N499"/>
  <c r="J499"/>
  <c r="H499"/>
  <c r="Y499" s="1"/>
  <c r="G499"/>
  <c r="Z499" s="1"/>
  <c r="B499"/>
  <c r="W498"/>
  <c r="X498" s="1"/>
  <c r="R498"/>
  <c r="V498" s="1"/>
  <c r="Q498"/>
  <c r="N498"/>
  <c r="O498" s="1"/>
  <c r="J498"/>
  <c r="K498" s="1"/>
  <c r="H498"/>
  <c r="Y498" s="1"/>
  <c r="G498"/>
  <c r="B498"/>
  <c r="W497"/>
  <c r="X497" s="1"/>
  <c r="R497"/>
  <c r="V497" s="1"/>
  <c r="Q497"/>
  <c r="N497"/>
  <c r="P497" s="1"/>
  <c r="J497"/>
  <c r="K497" s="1"/>
  <c r="H497"/>
  <c r="Y497" s="1"/>
  <c r="G497"/>
  <c r="Z497" s="1"/>
  <c r="B497"/>
  <c r="W496"/>
  <c r="X496" s="1"/>
  <c r="R496"/>
  <c r="V496" s="1"/>
  <c r="Q496"/>
  <c r="N496"/>
  <c r="P496" s="1"/>
  <c r="J496"/>
  <c r="L496" s="1"/>
  <c r="H496"/>
  <c r="Y496" s="1"/>
  <c r="G496"/>
  <c r="Z496" s="1"/>
  <c r="B496"/>
  <c r="W495"/>
  <c r="X495" s="1"/>
  <c r="R495"/>
  <c r="V495" s="1"/>
  <c r="Q495"/>
  <c r="N495"/>
  <c r="O495" s="1"/>
  <c r="J495"/>
  <c r="K495" s="1"/>
  <c r="H495"/>
  <c r="Y495" s="1"/>
  <c r="G495"/>
  <c r="Z495" s="1"/>
  <c r="B495"/>
  <c r="W494"/>
  <c r="X494" s="1"/>
  <c r="R494"/>
  <c r="V494" s="1"/>
  <c r="Q494"/>
  <c r="N494"/>
  <c r="J494"/>
  <c r="H494"/>
  <c r="Y494" s="1"/>
  <c r="G494"/>
  <c r="Z494" s="1"/>
  <c r="B494"/>
  <c r="W493"/>
  <c r="X493" s="1"/>
  <c r="R493"/>
  <c r="V493" s="1"/>
  <c r="Q493"/>
  <c r="N493"/>
  <c r="P493" s="1"/>
  <c r="J493"/>
  <c r="H493"/>
  <c r="Y493" s="1"/>
  <c r="G493"/>
  <c r="Z493" s="1"/>
  <c r="B493"/>
  <c r="W492"/>
  <c r="X492" s="1"/>
  <c r="R492"/>
  <c r="V492" s="1"/>
  <c r="Q492"/>
  <c r="N492"/>
  <c r="P492" s="1"/>
  <c r="J492"/>
  <c r="L492" s="1"/>
  <c r="H492"/>
  <c r="Y492" s="1"/>
  <c r="G492"/>
  <c r="Z492" s="1"/>
  <c r="B492"/>
  <c r="W491"/>
  <c r="X491" s="1"/>
  <c r="R491"/>
  <c r="V491" s="1"/>
  <c r="Q491"/>
  <c r="N491"/>
  <c r="O491" s="1"/>
  <c r="J491"/>
  <c r="K491" s="1"/>
  <c r="H491"/>
  <c r="Y491" s="1"/>
  <c r="G491"/>
  <c r="Z491" s="1"/>
  <c r="B491"/>
  <c r="W490"/>
  <c r="X490" s="1"/>
  <c r="R490"/>
  <c r="V490" s="1"/>
  <c r="Q490"/>
  <c r="N490"/>
  <c r="O490" s="1"/>
  <c r="J490"/>
  <c r="K490" s="1"/>
  <c r="H490"/>
  <c r="Y490" s="1"/>
  <c r="G490"/>
  <c r="Z490" s="1"/>
  <c r="B490"/>
  <c r="W489"/>
  <c r="X489" s="1"/>
  <c r="R489"/>
  <c r="V489" s="1"/>
  <c r="Q489"/>
  <c r="N489"/>
  <c r="P489" s="1"/>
  <c r="J489"/>
  <c r="K489" s="1"/>
  <c r="H489"/>
  <c r="Y489" s="1"/>
  <c r="G489"/>
  <c r="Z489" s="1"/>
  <c r="B489"/>
  <c r="W488"/>
  <c r="X488" s="1"/>
  <c r="R488"/>
  <c r="V488" s="1"/>
  <c r="Q488"/>
  <c r="N488"/>
  <c r="P488" s="1"/>
  <c r="J488"/>
  <c r="L488" s="1"/>
  <c r="H488"/>
  <c r="Y488" s="1"/>
  <c r="G488"/>
  <c r="Z488" s="1"/>
  <c r="B488"/>
  <c r="W487"/>
  <c r="X487" s="1"/>
  <c r="R487"/>
  <c r="V487" s="1"/>
  <c r="Q487"/>
  <c r="N487"/>
  <c r="O487" s="1"/>
  <c r="J487"/>
  <c r="K487" s="1"/>
  <c r="H487"/>
  <c r="Y487" s="1"/>
  <c r="G487"/>
  <c r="Z487" s="1"/>
  <c r="B487"/>
  <c r="W486"/>
  <c r="X486" s="1"/>
  <c r="R486"/>
  <c r="Q486"/>
  <c r="N486"/>
  <c r="O486" s="1"/>
  <c r="J486"/>
  <c r="K486" s="1"/>
  <c r="H486"/>
  <c r="Y486" s="1"/>
  <c r="G486"/>
  <c r="Z486" s="1"/>
  <c r="B486"/>
  <c r="W485"/>
  <c r="X485" s="1"/>
  <c r="R485"/>
  <c r="V485" s="1"/>
  <c r="Q485"/>
  <c r="N485"/>
  <c r="O485" s="1"/>
  <c r="J485"/>
  <c r="L485" s="1"/>
  <c r="H485"/>
  <c r="Y485" s="1"/>
  <c r="G485"/>
  <c r="Z485" s="1"/>
  <c r="B485"/>
  <c r="W484"/>
  <c r="X484" s="1"/>
  <c r="R484"/>
  <c r="Q484"/>
  <c r="N484"/>
  <c r="P484" s="1"/>
  <c r="J484"/>
  <c r="L484" s="1"/>
  <c r="H484"/>
  <c r="Y484" s="1"/>
  <c r="G484"/>
  <c r="Z484" s="1"/>
  <c r="B484"/>
  <c r="W483"/>
  <c r="X483" s="1"/>
  <c r="R483"/>
  <c r="V483" s="1"/>
  <c r="Q483"/>
  <c r="N483"/>
  <c r="O483" s="1"/>
  <c r="J483"/>
  <c r="K483" s="1"/>
  <c r="H483"/>
  <c r="Y483" s="1"/>
  <c r="G483"/>
  <c r="Z483" s="1"/>
  <c r="B483"/>
  <c r="W482"/>
  <c r="X482" s="1"/>
  <c r="R482"/>
  <c r="V482" s="1"/>
  <c r="Q482"/>
  <c r="N482"/>
  <c r="O482" s="1"/>
  <c r="J482"/>
  <c r="K482" s="1"/>
  <c r="H482"/>
  <c r="Y482" s="1"/>
  <c r="G482"/>
  <c r="Z482" s="1"/>
  <c r="B482"/>
  <c r="W481"/>
  <c r="X481" s="1"/>
  <c r="R481"/>
  <c r="Q481"/>
  <c r="N481"/>
  <c r="O481" s="1"/>
  <c r="J481"/>
  <c r="K481" s="1"/>
  <c r="H481"/>
  <c r="Y481" s="1"/>
  <c r="G481"/>
  <c r="Z481" s="1"/>
  <c r="B481"/>
  <c r="W480"/>
  <c r="X480" s="1"/>
  <c r="R480"/>
  <c r="Q480"/>
  <c r="N480"/>
  <c r="P480" s="1"/>
  <c r="J480"/>
  <c r="L480" s="1"/>
  <c r="H480"/>
  <c r="Y480" s="1"/>
  <c r="G480"/>
  <c r="Z480" s="1"/>
  <c r="B480"/>
  <c r="W479"/>
  <c r="X479" s="1"/>
  <c r="R479"/>
  <c r="V479" s="1"/>
  <c r="Q479"/>
  <c r="N479"/>
  <c r="O479" s="1"/>
  <c r="J479"/>
  <c r="K479" s="1"/>
  <c r="H479"/>
  <c r="Y479" s="1"/>
  <c r="G479"/>
  <c r="Z479" s="1"/>
  <c r="B479"/>
  <c r="W478"/>
  <c r="X478" s="1"/>
  <c r="R478"/>
  <c r="V478" s="1"/>
  <c r="Q478"/>
  <c r="N478"/>
  <c r="O478" s="1"/>
  <c r="J478"/>
  <c r="L478" s="1"/>
  <c r="H478"/>
  <c r="Y478" s="1"/>
  <c r="G478"/>
  <c r="Z478" s="1"/>
  <c r="B478"/>
  <c r="W477"/>
  <c r="X477" s="1"/>
  <c r="R477"/>
  <c r="Q477"/>
  <c r="N477"/>
  <c r="O477" s="1"/>
  <c r="J477"/>
  <c r="K477" s="1"/>
  <c r="H477"/>
  <c r="Y477" s="1"/>
  <c r="G477"/>
  <c r="Z477" s="1"/>
  <c r="B477"/>
  <c r="W476"/>
  <c r="X476" s="1"/>
  <c r="R476"/>
  <c r="Q476"/>
  <c r="N476"/>
  <c r="P476" s="1"/>
  <c r="J476"/>
  <c r="L476" s="1"/>
  <c r="H476"/>
  <c r="Y476" s="1"/>
  <c r="G476"/>
  <c r="Z476" s="1"/>
  <c r="B476"/>
  <c r="W475"/>
  <c r="X475" s="1"/>
  <c r="R475"/>
  <c r="V475" s="1"/>
  <c r="Q475"/>
  <c r="N475"/>
  <c r="O475" s="1"/>
  <c r="J475"/>
  <c r="K475" s="1"/>
  <c r="H475"/>
  <c r="Y475" s="1"/>
  <c r="G475"/>
  <c r="Z475" s="1"/>
  <c r="B475"/>
  <c r="W474"/>
  <c r="X474" s="1"/>
  <c r="R474"/>
  <c r="Q474"/>
  <c r="N474"/>
  <c r="O474" s="1"/>
  <c r="J474"/>
  <c r="K474" s="1"/>
  <c r="H474"/>
  <c r="Y474" s="1"/>
  <c r="G474"/>
  <c r="Z474" s="1"/>
  <c r="B474"/>
  <c r="W473"/>
  <c r="X473" s="1"/>
  <c r="R473"/>
  <c r="Q473"/>
  <c r="N473"/>
  <c r="O473" s="1"/>
  <c r="J473"/>
  <c r="K473" s="1"/>
  <c r="H473"/>
  <c r="Y473" s="1"/>
  <c r="G473"/>
  <c r="Z473" s="1"/>
  <c r="B473"/>
  <c r="W472"/>
  <c r="X472" s="1"/>
  <c r="R472"/>
  <c r="Q472"/>
  <c r="N472"/>
  <c r="P472" s="1"/>
  <c r="J472"/>
  <c r="L472" s="1"/>
  <c r="H472"/>
  <c r="Y472" s="1"/>
  <c r="G472"/>
  <c r="Z472" s="1"/>
  <c r="B472"/>
  <c r="W471"/>
  <c r="X471" s="1"/>
  <c r="R471"/>
  <c r="V471" s="1"/>
  <c r="Q471"/>
  <c r="N471"/>
  <c r="O471" s="1"/>
  <c r="J471"/>
  <c r="K471" s="1"/>
  <c r="H471"/>
  <c r="Y471" s="1"/>
  <c r="G471"/>
  <c r="Z471" s="1"/>
  <c r="B471"/>
  <c r="W470"/>
  <c r="X470" s="1"/>
  <c r="R470"/>
  <c r="Q470"/>
  <c r="N470"/>
  <c r="O470" s="1"/>
  <c r="J470"/>
  <c r="L470" s="1"/>
  <c r="H470"/>
  <c r="Y470" s="1"/>
  <c r="G470"/>
  <c r="Z470" s="1"/>
  <c r="B470"/>
  <c r="W469"/>
  <c r="X469" s="1"/>
  <c r="R469"/>
  <c r="Q469"/>
  <c r="N469"/>
  <c r="O469" s="1"/>
  <c r="J469"/>
  <c r="K469" s="1"/>
  <c r="H469"/>
  <c r="Y469" s="1"/>
  <c r="G469"/>
  <c r="Z469" s="1"/>
  <c r="B469"/>
  <c r="W468"/>
  <c r="X468" s="1"/>
  <c r="R468"/>
  <c r="Q468"/>
  <c r="N468"/>
  <c r="P468" s="1"/>
  <c r="J468"/>
  <c r="L468" s="1"/>
  <c r="H468"/>
  <c r="Y468" s="1"/>
  <c r="G468"/>
  <c r="Z468" s="1"/>
  <c r="B468"/>
  <c r="W467"/>
  <c r="X467" s="1"/>
  <c r="R467"/>
  <c r="V467" s="1"/>
  <c r="Q467"/>
  <c r="N467"/>
  <c r="O467" s="1"/>
  <c r="J467"/>
  <c r="K467" s="1"/>
  <c r="H467"/>
  <c r="Y467" s="1"/>
  <c r="G467"/>
  <c r="Z467" s="1"/>
  <c r="B467"/>
  <c r="W466"/>
  <c r="X466" s="1"/>
  <c r="R466"/>
  <c r="Q466"/>
  <c r="N466"/>
  <c r="O466" s="1"/>
  <c r="J466"/>
  <c r="H466"/>
  <c r="Y466" s="1"/>
  <c r="G466"/>
  <c r="Z466" s="1"/>
  <c r="B466"/>
  <c r="W465"/>
  <c r="X465" s="1"/>
  <c r="R465"/>
  <c r="Q465"/>
  <c r="N465"/>
  <c r="O465" s="1"/>
  <c r="J465"/>
  <c r="K465" s="1"/>
  <c r="H465"/>
  <c r="Y465" s="1"/>
  <c r="G465"/>
  <c r="Z465" s="1"/>
  <c r="B465"/>
  <c r="W464"/>
  <c r="X464" s="1"/>
  <c r="R464"/>
  <c r="Q464"/>
  <c r="N464"/>
  <c r="P464" s="1"/>
  <c r="J464"/>
  <c r="L464" s="1"/>
  <c r="H464"/>
  <c r="Y464" s="1"/>
  <c r="G464"/>
  <c r="Z464" s="1"/>
  <c r="B464"/>
  <c r="W463"/>
  <c r="X463" s="1"/>
  <c r="R463"/>
  <c r="V463" s="1"/>
  <c r="Q463"/>
  <c r="N463"/>
  <c r="O463" s="1"/>
  <c r="J463"/>
  <c r="K463" s="1"/>
  <c r="H463"/>
  <c r="Y463" s="1"/>
  <c r="G463"/>
  <c r="Z463" s="1"/>
  <c r="B463"/>
  <c r="W462"/>
  <c r="X462" s="1"/>
  <c r="R462"/>
  <c r="V462" s="1"/>
  <c r="Q462"/>
  <c r="N462"/>
  <c r="O462" s="1"/>
  <c r="J462"/>
  <c r="H462"/>
  <c r="Y462" s="1"/>
  <c r="G462"/>
  <c r="Z462" s="1"/>
  <c r="B462"/>
  <c r="W461"/>
  <c r="X461" s="1"/>
  <c r="R461"/>
  <c r="Q461"/>
  <c r="N461"/>
  <c r="O461" s="1"/>
  <c r="J461"/>
  <c r="K461" s="1"/>
  <c r="H461"/>
  <c r="Y461" s="1"/>
  <c r="G461"/>
  <c r="Z461" s="1"/>
  <c r="B461"/>
  <c r="W460"/>
  <c r="X460" s="1"/>
  <c r="R460"/>
  <c r="Q460"/>
  <c r="N460"/>
  <c r="P460" s="1"/>
  <c r="J460"/>
  <c r="L460" s="1"/>
  <c r="H460"/>
  <c r="Y460" s="1"/>
  <c r="G460"/>
  <c r="Z460" s="1"/>
  <c r="B460"/>
  <c r="W459"/>
  <c r="X459" s="1"/>
  <c r="R459"/>
  <c r="V459" s="1"/>
  <c r="Q459"/>
  <c r="N459"/>
  <c r="O459" s="1"/>
  <c r="J459"/>
  <c r="K459" s="1"/>
  <c r="H459"/>
  <c r="Y459" s="1"/>
  <c r="G459"/>
  <c r="Z459" s="1"/>
  <c r="B459"/>
  <c r="W458"/>
  <c r="X458" s="1"/>
  <c r="R458"/>
  <c r="Q458"/>
  <c r="N458"/>
  <c r="O458" s="1"/>
  <c r="J458"/>
  <c r="L458" s="1"/>
  <c r="H458"/>
  <c r="Y458" s="1"/>
  <c r="G458"/>
  <c r="Z458" s="1"/>
  <c r="B458"/>
  <c r="W457"/>
  <c r="X457" s="1"/>
  <c r="R457"/>
  <c r="Q457"/>
  <c r="N457"/>
  <c r="O457" s="1"/>
  <c r="J457"/>
  <c r="K457" s="1"/>
  <c r="H457"/>
  <c r="Y457" s="1"/>
  <c r="G457"/>
  <c r="Z457" s="1"/>
  <c r="B457"/>
  <c r="W456"/>
  <c r="X456" s="1"/>
  <c r="R456"/>
  <c r="Q456"/>
  <c r="N456"/>
  <c r="P456" s="1"/>
  <c r="J456"/>
  <c r="L456" s="1"/>
  <c r="H456"/>
  <c r="Y456" s="1"/>
  <c r="G456"/>
  <c r="Z456" s="1"/>
  <c r="B456"/>
  <c r="W455"/>
  <c r="X455" s="1"/>
  <c r="R455"/>
  <c r="V455" s="1"/>
  <c r="Q455"/>
  <c r="N455"/>
  <c r="O455" s="1"/>
  <c r="J455"/>
  <c r="K455" s="1"/>
  <c r="H455"/>
  <c r="Y455" s="1"/>
  <c r="G455"/>
  <c r="Z455" s="1"/>
  <c r="B455"/>
  <c r="W454"/>
  <c r="X454" s="1"/>
  <c r="R454"/>
  <c r="Q454"/>
  <c r="N454"/>
  <c r="O454" s="1"/>
  <c r="J454"/>
  <c r="L454" s="1"/>
  <c r="H454"/>
  <c r="Y454" s="1"/>
  <c r="G454"/>
  <c r="Z454" s="1"/>
  <c r="B454"/>
  <c r="W453"/>
  <c r="X453" s="1"/>
  <c r="R453"/>
  <c r="Q453"/>
  <c r="N453"/>
  <c r="O453" s="1"/>
  <c r="J453"/>
  <c r="K453" s="1"/>
  <c r="H453"/>
  <c r="Y453" s="1"/>
  <c r="G453"/>
  <c r="Z453" s="1"/>
  <c r="B453"/>
  <c r="W452"/>
  <c r="X452" s="1"/>
  <c r="R452"/>
  <c r="Q452"/>
  <c r="N452"/>
  <c r="P452" s="1"/>
  <c r="J452"/>
  <c r="L452" s="1"/>
  <c r="H452"/>
  <c r="Y452" s="1"/>
  <c r="G452"/>
  <c r="Z452" s="1"/>
  <c r="B452"/>
  <c r="W451"/>
  <c r="X451" s="1"/>
  <c r="R451"/>
  <c r="V451" s="1"/>
  <c r="Q451"/>
  <c r="N451"/>
  <c r="O451" s="1"/>
  <c r="J451"/>
  <c r="K451" s="1"/>
  <c r="H451"/>
  <c r="Y451" s="1"/>
  <c r="G451"/>
  <c r="Z451" s="1"/>
  <c r="B451"/>
  <c r="W450"/>
  <c r="X450" s="1"/>
  <c r="R450"/>
  <c r="V450" s="1"/>
  <c r="Q450"/>
  <c r="N450"/>
  <c r="O450" s="1"/>
  <c r="J450"/>
  <c r="K450" s="1"/>
  <c r="H450"/>
  <c r="Y450" s="1"/>
  <c r="G450"/>
  <c r="Z450" s="1"/>
  <c r="B450"/>
  <c r="W449"/>
  <c r="X449" s="1"/>
  <c r="R449"/>
  <c r="Q449"/>
  <c r="N449"/>
  <c r="O449" s="1"/>
  <c r="J449"/>
  <c r="K449" s="1"/>
  <c r="H449"/>
  <c r="Y449" s="1"/>
  <c r="G449"/>
  <c r="Z449" s="1"/>
  <c r="B449"/>
  <c r="W448"/>
  <c r="X448" s="1"/>
  <c r="R448"/>
  <c r="Q448"/>
  <c r="N448"/>
  <c r="P448" s="1"/>
  <c r="J448"/>
  <c r="L448" s="1"/>
  <c r="H448"/>
  <c r="Y448" s="1"/>
  <c r="G448"/>
  <c r="Z448" s="1"/>
  <c r="B448"/>
  <c r="W447"/>
  <c r="X447" s="1"/>
  <c r="R447"/>
  <c r="V447" s="1"/>
  <c r="Q447"/>
  <c r="N447"/>
  <c r="O447" s="1"/>
  <c r="J447"/>
  <c r="K447" s="1"/>
  <c r="H447"/>
  <c r="Y447" s="1"/>
  <c r="G447"/>
  <c r="Z447" s="1"/>
  <c r="B447"/>
  <c r="W446"/>
  <c r="X446" s="1"/>
  <c r="R446"/>
  <c r="Q446"/>
  <c r="N446"/>
  <c r="O446" s="1"/>
  <c r="J446"/>
  <c r="L446" s="1"/>
  <c r="H446"/>
  <c r="Y446" s="1"/>
  <c r="G446"/>
  <c r="Z446" s="1"/>
  <c r="B446"/>
  <c r="W445"/>
  <c r="X445" s="1"/>
  <c r="R445"/>
  <c r="Q445"/>
  <c r="N445"/>
  <c r="O445" s="1"/>
  <c r="J445"/>
  <c r="K445" s="1"/>
  <c r="H445"/>
  <c r="Y445" s="1"/>
  <c r="G445"/>
  <c r="Z445" s="1"/>
  <c r="B445"/>
  <c r="W444"/>
  <c r="X444" s="1"/>
  <c r="R444"/>
  <c r="Q444"/>
  <c r="N444"/>
  <c r="P444" s="1"/>
  <c r="J444"/>
  <c r="L444" s="1"/>
  <c r="H444"/>
  <c r="Y444" s="1"/>
  <c r="G444"/>
  <c r="Z444" s="1"/>
  <c r="B444"/>
  <c r="W443"/>
  <c r="X443" s="1"/>
  <c r="R443"/>
  <c r="V443" s="1"/>
  <c r="Q443"/>
  <c r="N443"/>
  <c r="O443" s="1"/>
  <c r="J443"/>
  <c r="K443" s="1"/>
  <c r="H443"/>
  <c r="Y443" s="1"/>
  <c r="G443"/>
  <c r="Z443" s="1"/>
  <c r="B443"/>
  <c r="W442"/>
  <c r="X442" s="1"/>
  <c r="R442"/>
  <c r="Q442"/>
  <c r="N442"/>
  <c r="J442"/>
  <c r="L442" s="1"/>
  <c r="H442"/>
  <c r="Y442" s="1"/>
  <c r="G442"/>
  <c r="Z442" s="1"/>
  <c r="B442"/>
  <c r="W441"/>
  <c r="X441" s="1"/>
  <c r="R441"/>
  <c r="Q441"/>
  <c r="N441"/>
  <c r="O441" s="1"/>
  <c r="J441"/>
  <c r="K441" s="1"/>
  <c r="H441"/>
  <c r="Y441" s="1"/>
  <c r="G441"/>
  <c r="Z441" s="1"/>
  <c r="B441"/>
  <c r="W440"/>
  <c r="X440" s="1"/>
  <c r="R440"/>
  <c r="Q440"/>
  <c r="N440"/>
  <c r="P440" s="1"/>
  <c r="J440"/>
  <c r="L440" s="1"/>
  <c r="H440"/>
  <c r="Y440" s="1"/>
  <c r="G440"/>
  <c r="Z440" s="1"/>
  <c r="B440"/>
  <c r="W439"/>
  <c r="X439" s="1"/>
  <c r="R439"/>
  <c r="V439" s="1"/>
  <c r="Q439"/>
  <c r="N439"/>
  <c r="O439" s="1"/>
  <c r="J439"/>
  <c r="K439" s="1"/>
  <c r="H439"/>
  <c r="Y439" s="1"/>
  <c r="G439"/>
  <c r="Z439" s="1"/>
  <c r="B439"/>
  <c r="W438"/>
  <c r="X438" s="1"/>
  <c r="R438"/>
  <c r="Q438"/>
  <c r="N438"/>
  <c r="O438" s="1"/>
  <c r="J438"/>
  <c r="L438" s="1"/>
  <c r="H438"/>
  <c r="Y438" s="1"/>
  <c r="G438"/>
  <c r="Z438" s="1"/>
  <c r="B438"/>
  <c r="W437"/>
  <c r="X437" s="1"/>
  <c r="R437"/>
  <c r="Q437"/>
  <c r="N437"/>
  <c r="O437" s="1"/>
  <c r="J437"/>
  <c r="K437" s="1"/>
  <c r="H437"/>
  <c r="Y437" s="1"/>
  <c r="G437"/>
  <c r="Z437" s="1"/>
  <c r="B437"/>
  <c r="W436"/>
  <c r="X436" s="1"/>
  <c r="R436"/>
  <c r="Q436"/>
  <c r="N436"/>
  <c r="P436" s="1"/>
  <c r="J436"/>
  <c r="L436" s="1"/>
  <c r="H436"/>
  <c r="Y436" s="1"/>
  <c r="G436"/>
  <c r="Z436" s="1"/>
  <c r="B436"/>
  <c r="W435"/>
  <c r="X435" s="1"/>
  <c r="R435"/>
  <c r="V435" s="1"/>
  <c r="Q435"/>
  <c r="N435"/>
  <c r="O435" s="1"/>
  <c r="J435"/>
  <c r="K435" s="1"/>
  <c r="H435"/>
  <c r="Y435" s="1"/>
  <c r="G435"/>
  <c r="Z435" s="1"/>
  <c r="B435"/>
  <c r="W434"/>
  <c r="X434" s="1"/>
  <c r="R434"/>
  <c r="V434" s="1"/>
  <c r="Q434"/>
  <c r="N434"/>
  <c r="O434" s="1"/>
  <c r="J434"/>
  <c r="L434" s="1"/>
  <c r="H434"/>
  <c r="Y434" s="1"/>
  <c r="G434"/>
  <c r="Z434" s="1"/>
  <c r="B434"/>
  <c r="W433"/>
  <c r="X433" s="1"/>
  <c r="R433"/>
  <c r="Q433"/>
  <c r="N433"/>
  <c r="O433" s="1"/>
  <c r="J433"/>
  <c r="K433" s="1"/>
  <c r="H433"/>
  <c r="Y433" s="1"/>
  <c r="G433"/>
  <c r="Z433" s="1"/>
  <c r="B433"/>
  <c r="W432"/>
  <c r="X432" s="1"/>
  <c r="R432"/>
  <c r="Q432"/>
  <c r="N432"/>
  <c r="P432" s="1"/>
  <c r="J432"/>
  <c r="L432" s="1"/>
  <c r="H432"/>
  <c r="Y432" s="1"/>
  <c r="G432"/>
  <c r="Z432" s="1"/>
  <c r="B432"/>
  <c r="W431"/>
  <c r="X431" s="1"/>
  <c r="R431"/>
  <c r="V431" s="1"/>
  <c r="Q431"/>
  <c r="N431"/>
  <c r="O431" s="1"/>
  <c r="J431"/>
  <c r="K431" s="1"/>
  <c r="H431"/>
  <c r="Y431" s="1"/>
  <c r="G431"/>
  <c r="Z431" s="1"/>
  <c r="B431"/>
  <c r="W430"/>
  <c r="X430" s="1"/>
  <c r="R430"/>
  <c r="Q430"/>
  <c r="N430"/>
  <c r="O430" s="1"/>
  <c r="J430"/>
  <c r="L430" s="1"/>
  <c r="H430"/>
  <c r="Y430" s="1"/>
  <c r="G430"/>
  <c r="Z430" s="1"/>
  <c r="B430"/>
  <c r="W429"/>
  <c r="X429" s="1"/>
  <c r="R429"/>
  <c r="Q429"/>
  <c r="N429"/>
  <c r="J429"/>
  <c r="H429"/>
  <c r="Y429" s="1"/>
  <c r="G429"/>
  <c r="Z429" s="1"/>
  <c r="B429"/>
  <c r="W428"/>
  <c r="X428" s="1"/>
  <c r="R428"/>
  <c r="Q428"/>
  <c r="N428"/>
  <c r="P428" s="1"/>
  <c r="J428"/>
  <c r="L428" s="1"/>
  <c r="H428"/>
  <c r="Y428" s="1"/>
  <c r="G428"/>
  <c r="Z428" s="1"/>
  <c r="B428"/>
  <c r="W427"/>
  <c r="X427" s="1"/>
  <c r="R427"/>
  <c r="V427" s="1"/>
  <c r="Q427"/>
  <c r="N427"/>
  <c r="O427" s="1"/>
  <c r="J427"/>
  <c r="H427"/>
  <c r="Y427" s="1"/>
  <c r="G427"/>
  <c r="Z427" s="1"/>
  <c r="B427"/>
  <c r="W426"/>
  <c r="X426" s="1"/>
  <c r="R426"/>
  <c r="V426" s="1"/>
  <c r="Q426"/>
  <c r="N426"/>
  <c r="J426"/>
  <c r="H426"/>
  <c r="Y426" s="1"/>
  <c r="G426"/>
  <c r="Z426" s="1"/>
  <c r="B426"/>
  <c r="W425"/>
  <c r="X425" s="1"/>
  <c r="R425"/>
  <c r="Q425"/>
  <c r="N425"/>
  <c r="J425"/>
  <c r="H425"/>
  <c r="Y425" s="1"/>
  <c r="G425"/>
  <c r="Z425" s="1"/>
  <c r="B425"/>
  <c r="W424"/>
  <c r="X424" s="1"/>
  <c r="R424"/>
  <c r="Q424"/>
  <c r="N424"/>
  <c r="P424" s="1"/>
  <c r="J424"/>
  <c r="H424"/>
  <c r="Y424" s="1"/>
  <c r="G424"/>
  <c r="Z424" s="1"/>
  <c r="B424"/>
  <c r="W423"/>
  <c r="X423" s="1"/>
  <c r="R423"/>
  <c r="Q423"/>
  <c r="N423"/>
  <c r="O423" s="1"/>
  <c r="J423"/>
  <c r="K423" s="1"/>
  <c r="H423"/>
  <c r="Y423" s="1"/>
  <c r="G423"/>
  <c r="Z423" s="1"/>
  <c r="B423"/>
  <c r="W422"/>
  <c r="X422" s="1"/>
  <c r="R422"/>
  <c r="Q422"/>
  <c r="N422"/>
  <c r="O422" s="1"/>
  <c r="J422"/>
  <c r="K422" s="1"/>
  <c r="H422"/>
  <c r="Y422" s="1"/>
  <c r="G422"/>
  <c r="Z422" s="1"/>
  <c r="B422"/>
  <c r="W421"/>
  <c r="X421" s="1"/>
  <c r="R421"/>
  <c r="Q421"/>
  <c r="N421"/>
  <c r="O421" s="1"/>
  <c r="J421"/>
  <c r="K421" s="1"/>
  <c r="H421"/>
  <c r="Y421" s="1"/>
  <c r="G421"/>
  <c r="Z421" s="1"/>
  <c r="B421"/>
  <c r="W420"/>
  <c r="X420" s="1"/>
  <c r="R420"/>
  <c r="Q420"/>
  <c r="N420"/>
  <c r="P420" s="1"/>
  <c r="J420"/>
  <c r="L420" s="1"/>
  <c r="H420"/>
  <c r="Y420" s="1"/>
  <c r="G420"/>
  <c r="Z420" s="1"/>
  <c r="B420"/>
  <c r="W419"/>
  <c r="X419" s="1"/>
  <c r="R419"/>
  <c r="Q419"/>
  <c r="N419"/>
  <c r="O419" s="1"/>
  <c r="J419"/>
  <c r="K419" s="1"/>
  <c r="H419"/>
  <c r="Y419" s="1"/>
  <c r="G419"/>
  <c r="Z419" s="1"/>
  <c r="B419"/>
  <c r="W418"/>
  <c r="X418" s="1"/>
  <c r="R418"/>
  <c r="Q418"/>
  <c r="N418"/>
  <c r="O418" s="1"/>
  <c r="J418"/>
  <c r="K418" s="1"/>
  <c r="H418"/>
  <c r="Y418" s="1"/>
  <c r="G418"/>
  <c r="Z418" s="1"/>
  <c r="B418"/>
  <c r="W417"/>
  <c r="X417" s="1"/>
  <c r="R417"/>
  <c r="Q417"/>
  <c r="N417"/>
  <c r="O417" s="1"/>
  <c r="J417"/>
  <c r="H417"/>
  <c r="Y417" s="1"/>
  <c r="G417"/>
  <c r="Z417" s="1"/>
  <c r="B417"/>
  <c r="W416"/>
  <c r="X416" s="1"/>
  <c r="R416"/>
  <c r="V416" s="1"/>
  <c r="Q416"/>
  <c r="N416"/>
  <c r="P416" s="1"/>
  <c r="J416"/>
  <c r="L416" s="1"/>
  <c r="H416"/>
  <c r="Y416" s="1"/>
  <c r="G416"/>
  <c r="Z416" s="1"/>
  <c r="B416"/>
  <c r="W415"/>
  <c r="X415" s="1"/>
  <c r="R415"/>
  <c r="V415" s="1"/>
  <c r="Q415"/>
  <c r="N415"/>
  <c r="O415" s="1"/>
  <c r="J415"/>
  <c r="K415" s="1"/>
  <c r="H415"/>
  <c r="Y415" s="1"/>
  <c r="G415"/>
  <c r="Z415" s="1"/>
  <c r="B415"/>
  <c r="W414"/>
  <c r="X414" s="1"/>
  <c r="R414"/>
  <c r="V414" s="1"/>
  <c r="Q414"/>
  <c r="N414"/>
  <c r="J414"/>
  <c r="K414" s="1"/>
  <c r="H414"/>
  <c r="Y414" s="1"/>
  <c r="G414"/>
  <c r="B414"/>
  <c r="W413"/>
  <c r="X413" s="1"/>
  <c r="R413"/>
  <c r="V413" s="1"/>
  <c r="Q413"/>
  <c r="N413"/>
  <c r="O413" s="1"/>
  <c r="J413"/>
  <c r="K413" s="1"/>
  <c r="H413"/>
  <c r="Y413" s="1"/>
  <c r="G413"/>
  <c r="Z413" s="1"/>
  <c r="B413"/>
  <c r="W412"/>
  <c r="X412" s="1"/>
  <c r="R412"/>
  <c r="V412" s="1"/>
  <c r="Q412"/>
  <c r="N412"/>
  <c r="P412" s="1"/>
  <c r="J412"/>
  <c r="L412" s="1"/>
  <c r="H412"/>
  <c r="Y412" s="1"/>
  <c r="G412"/>
  <c r="Z412" s="1"/>
  <c r="B412"/>
  <c r="W411"/>
  <c r="X411" s="1"/>
  <c r="R411"/>
  <c r="V411" s="1"/>
  <c r="Q411"/>
  <c r="N411"/>
  <c r="O411" s="1"/>
  <c r="J411"/>
  <c r="K411" s="1"/>
  <c r="H411"/>
  <c r="Y411" s="1"/>
  <c r="G411"/>
  <c r="Z411" s="1"/>
  <c r="B411"/>
  <c r="W410"/>
  <c r="X410" s="1"/>
  <c r="R410"/>
  <c r="V410" s="1"/>
  <c r="Q410"/>
  <c r="N410"/>
  <c r="O410" s="1"/>
  <c r="J410"/>
  <c r="K410" s="1"/>
  <c r="H410"/>
  <c r="Y410" s="1"/>
  <c r="G410"/>
  <c r="B410"/>
  <c r="W409"/>
  <c r="X409" s="1"/>
  <c r="R409"/>
  <c r="V409" s="1"/>
  <c r="Q409"/>
  <c r="N409"/>
  <c r="O409" s="1"/>
  <c r="J409"/>
  <c r="K409" s="1"/>
  <c r="H409"/>
  <c r="Y409" s="1"/>
  <c r="G409"/>
  <c r="Z409" s="1"/>
  <c r="B409"/>
  <c r="W408"/>
  <c r="X408" s="1"/>
  <c r="R408"/>
  <c r="Q408"/>
  <c r="N408"/>
  <c r="P408" s="1"/>
  <c r="J408"/>
  <c r="L408" s="1"/>
  <c r="H408"/>
  <c r="Y408" s="1"/>
  <c r="G408"/>
  <c r="Z408" s="1"/>
  <c r="B408"/>
  <c r="W407"/>
  <c r="X407" s="1"/>
  <c r="R407"/>
  <c r="V407" s="1"/>
  <c r="Q407"/>
  <c r="N407"/>
  <c r="O407" s="1"/>
  <c r="J407"/>
  <c r="K407" s="1"/>
  <c r="H407"/>
  <c r="Y407" s="1"/>
  <c r="G407"/>
  <c r="Z407" s="1"/>
  <c r="B407"/>
  <c r="W406"/>
  <c r="X406" s="1"/>
  <c r="R406"/>
  <c r="Q406"/>
  <c r="N406"/>
  <c r="O406" s="1"/>
  <c r="J406"/>
  <c r="K406" s="1"/>
  <c r="H406"/>
  <c r="Y406" s="1"/>
  <c r="G406"/>
  <c r="Z406" s="1"/>
  <c r="B406"/>
  <c r="W405"/>
  <c r="X405" s="1"/>
  <c r="R405"/>
  <c r="V405" s="1"/>
  <c r="Q405"/>
  <c r="N405"/>
  <c r="P405" s="1"/>
  <c r="J405"/>
  <c r="K405" s="1"/>
  <c r="H405"/>
  <c r="Y405" s="1"/>
  <c r="G405"/>
  <c r="Z405" s="1"/>
  <c r="B405"/>
  <c r="W404"/>
  <c r="X404" s="1"/>
  <c r="R404"/>
  <c r="V404" s="1"/>
  <c r="Q404"/>
  <c r="N404"/>
  <c r="P404" s="1"/>
  <c r="J404"/>
  <c r="L404" s="1"/>
  <c r="H404"/>
  <c r="Y404" s="1"/>
  <c r="G404"/>
  <c r="Z404" s="1"/>
  <c r="B404"/>
  <c r="W403"/>
  <c r="X403" s="1"/>
  <c r="R403"/>
  <c r="Q403"/>
  <c r="N403"/>
  <c r="O403" s="1"/>
  <c r="J403"/>
  <c r="K403" s="1"/>
  <c r="H403"/>
  <c r="Y403" s="1"/>
  <c r="G403"/>
  <c r="Z403" s="1"/>
  <c r="B403"/>
  <c r="W402"/>
  <c r="X402" s="1"/>
  <c r="R402"/>
  <c r="V402" s="1"/>
  <c r="Q402"/>
  <c r="N402"/>
  <c r="O402" s="1"/>
  <c r="J402"/>
  <c r="K402" s="1"/>
  <c r="H402"/>
  <c r="Y402" s="1"/>
  <c r="G402"/>
  <c r="B402"/>
  <c r="W401"/>
  <c r="X401" s="1"/>
  <c r="R401"/>
  <c r="Q401"/>
  <c r="N401"/>
  <c r="P401" s="1"/>
  <c r="J401"/>
  <c r="L401" s="1"/>
  <c r="H401"/>
  <c r="Y401" s="1"/>
  <c r="G401"/>
  <c r="Z401" s="1"/>
  <c r="B401"/>
  <c r="W400"/>
  <c r="X400" s="1"/>
  <c r="R400"/>
  <c r="V400" s="1"/>
  <c r="Q400"/>
  <c r="N400"/>
  <c r="O400" s="1"/>
  <c r="J400"/>
  <c r="K400" s="1"/>
  <c r="H400"/>
  <c r="Y400" s="1"/>
  <c r="G400"/>
  <c r="Z400" s="1"/>
  <c r="B400"/>
  <c r="W399"/>
  <c r="X399" s="1"/>
  <c r="R399"/>
  <c r="V399" s="1"/>
  <c r="Q399"/>
  <c r="N399"/>
  <c r="O399" s="1"/>
  <c r="J399"/>
  <c r="K399" s="1"/>
  <c r="H399"/>
  <c r="Y399" s="1"/>
  <c r="G399"/>
  <c r="Z399" s="1"/>
  <c r="B399"/>
  <c r="W398"/>
  <c r="X398" s="1"/>
  <c r="R398"/>
  <c r="Q398"/>
  <c r="N398"/>
  <c r="J398"/>
  <c r="K398" s="1"/>
  <c r="H398"/>
  <c r="Y398" s="1"/>
  <c r="G398"/>
  <c r="B398"/>
  <c r="W397"/>
  <c r="X397" s="1"/>
  <c r="R397"/>
  <c r="Q397"/>
  <c r="N397"/>
  <c r="P397" s="1"/>
  <c r="J397"/>
  <c r="H397"/>
  <c r="Y397" s="1"/>
  <c r="G397"/>
  <c r="Z397" s="1"/>
  <c r="B397"/>
  <c r="W396"/>
  <c r="X396" s="1"/>
  <c r="R396"/>
  <c r="V396" s="1"/>
  <c r="Q396"/>
  <c r="N396"/>
  <c r="O396" s="1"/>
  <c r="J396"/>
  <c r="K396" s="1"/>
  <c r="H396"/>
  <c r="Y396" s="1"/>
  <c r="G396"/>
  <c r="Z396" s="1"/>
  <c r="B396"/>
  <c r="W395"/>
  <c r="X395" s="1"/>
  <c r="R395"/>
  <c r="Q395"/>
  <c r="N395"/>
  <c r="O395" s="1"/>
  <c r="J395"/>
  <c r="K395" s="1"/>
  <c r="H395"/>
  <c r="Y395" s="1"/>
  <c r="G395"/>
  <c r="Z395" s="1"/>
  <c r="B395"/>
  <c r="W394"/>
  <c r="X394" s="1"/>
  <c r="R394"/>
  <c r="V394" s="1"/>
  <c r="Q394"/>
  <c r="N394"/>
  <c r="O394" s="1"/>
  <c r="J394"/>
  <c r="K394" s="1"/>
  <c r="H394"/>
  <c r="Y394" s="1"/>
  <c r="G394"/>
  <c r="B394"/>
  <c r="W393"/>
  <c r="X393" s="1"/>
  <c r="R393"/>
  <c r="Q393"/>
  <c r="N393"/>
  <c r="P393" s="1"/>
  <c r="J393"/>
  <c r="L393" s="1"/>
  <c r="H393"/>
  <c r="Y393" s="1"/>
  <c r="G393"/>
  <c r="Z393" s="1"/>
  <c r="B393"/>
  <c r="W392"/>
  <c r="X392" s="1"/>
  <c r="R392"/>
  <c r="V392" s="1"/>
  <c r="Q392"/>
  <c r="N392"/>
  <c r="O392" s="1"/>
  <c r="J392"/>
  <c r="K392" s="1"/>
  <c r="H392"/>
  <c r="Y392" s="1"/>
  <c r="G392"/>
  <c r="Z392" s="1"/>
  <c r="B392"/>
  <c r="W391"/>
  <c r="X391" s="1"/>
  <c r="R391"/>
  <c r="V391" s="1"/>
  <c r="Q391"/>
  <c r="N391"/>
  <c r="O391" s="1"/>
  <c r="J391"/>
  <c r="K391" s="1"/>
  <c r="H391"/>
  <c r="Y391" s="1"/>
  <c r="G391"/>
  <c r="Z391" s="1"/>
  <c r="B391"/>
  <c r="W390"/>
  <c r="X390" s="1"/>
  <c r="R390"/>
  <c r="V390" s="1"/>
  <c r="Q390"/>
  <c r="N390"/>
  <c r="O390" s="1"/>
  <c r="J390"/>
  <c r="K390" s="1"/>
  <c r="H390"/>
  <c r="Y390" s="1"/>
  <c r="G390"/>
  <c r="B390"/>
  <c r="W389"/>
  <c r="X389" s="1"/>
  <c r="R389"/>
  <c r="Q389"/>
  <c r="N389"/>
  <c r="J389"/>
  <c r="L389" s="1"/>
  <c r="H389"/>
  <c r="Y389" s="1"/>
  <c r="G389"/>
  <c r="Z389" s="1"/>
  <c r="B389"/>
  <c r="W388"/>
  <c r="X388" s="1"/>
  <c r="R388"/>
  <c r="V388" s="1"/>
  <c r="Q388"/>
  <c r="N388"/>
  <c r="O388" s="1"/>
  <c r="J388"/>
  <c r="K388" s="1"/>
  <c r="H388"/>
  <c r="Y388" s="1"/>
  <c r="G388"/>
  <c r="Z388" s="1"/>
  <c r="B388"/>
  <c r="W387"/>
  <c r="X387" s="1"/>
  <c r="R387"/>
  <c r="V387" s="1"/>
  <c r="Q387"/>
  <c r="N387"/>
  <c r="O387" s="1"/>
  <c r="J387"/>
  <c r="K387" s="1"/>
  <c r="H387"/>
  <c r="Y387" s="1"/>
  <c r="G387"/>
  <c r="Z387" s="1"/>
  <c r="B387"/>
  <c r="W386"/>
  <c r="X386" s="1"/>
  <c r="R386"/>
  <c r="V386" s="1"/>
  <c r="Q386"/>
  <c r="N386"/>
  <c r="O386" s="1"/>
  <c r="J386"/>
  <c r="L386" s="1"/>
  <c r="H386"/>
  <c r="Y386" s="1"/>
  <c r="G386"/>
  <c r="B386"/>
  <c r="W385"/>
  <c r="X385" s="1"/>
  <c r="R385"/>
  <c r="Q385"/>
  <c r="N385"/>
  <c r="J385"/>
  <c r="L385" s="1"/>
  <c r="H385"/>
  <c r="Y385" s="1"/>
  <c r="G385"/>
  <c r="Z385" s="1"/>
  <c r="B385"/>
  <c r="W384"/>
  <c r="X384" s="1"/>
  <c r="R384"/>
  <c r="V384" s="1"/>
  <c r="Q384"/>
  <c r="N384"/>
  <c r="O384" s="1"/>
  <c r="J384"/>
  <c r="K384" s="1"/>
  <c r="H384"/>
  <c r="Y384" s="1"/>
  <c r="G384"/>
  <c r="Z384" s="1"/>
  <c r="B384"/>
  <c r="W383"/>
  <c r="X383" s="1"/>
  <c r="R383"/>
  <c r="V383" s="1"/>
  <c r="Q383"/>
  <c r="N383"/>
  <c r="J383"/>
  <c r="H383"/>
  <c r="Y383" s="1"/>
  <c r="G383"/>
  <c r="Z383" s="1"/>
  <c r="B383"/>
  <c r="W382"/>
  <c r="X382" s="1"/>
  <c r="R382"/>
  <c r="V382" s="1"/>
  <c r="Q382"/>
  <c r="N382"/>
  <c r="P382" s="1"/>
  <c r="J382"/>
  <c r="H382"/>
  <c r="Y382" s="1"/>
  <c r="G382"/>
  <c r="B382"/>
  <c r="W381"/>
  <c r="X381" s="1"/>
  <c r="R381"/>
  <c r="Q381"/>
  <c r="N381"/>
  <c r="P381" s="1"/>
  <c r="J381"/>
  <c r="L381" s="1"/>
  <c r="H381"/>
  <c r="Y381" s="1"/>
  <c r="G381"/>
  <c r="Z381" s="1"/>
  <c r="B381"/>
  <c r="W380"/>
  <c r="X380" s="1"/>
  <c r="R380"/>
  <c r="V380" s="1"/>
  <c r="Q380"/>
  <c r="N380"/>
  <c r="O380" s="1"/>
  <c r="J380"/>
  <c r="K380" s="1"/>
  <c r="H380"/>
  <c r="Y380" s="1"/>
  <c r="G380"/>
  <c r="Z380" s="1"/>
  <c r="B380"/>
  <c r="W379"/>
  <c r="X379" s="1"/>
  <c r="R379"/>
  <c r="Q379"/>
  <c r="N379"/>
  <c r="J379"/>
  <c r="K379" s="1"/>
  <c r="H379"/>
  <c r="Y379" s="1"/>
  <c r="G379"/>
  <c r="Z379" s="1"/>
  <c r="B379"/>
  <c r="W378"/>
  <c r="X378" s="1"/>
  <c r="R378"/>
  <c r="V378" s="1"/>
  <c r="Q378"/>
  <c r="N378"/>
  <c r="J378"/>
  <c r="K378" s="1"/>
  <c r="H378"/>
  <c r="Y378" s="1"/>
  <c r="G378"/>
  <c r="B378"/>
  <c r="W377"/>
  <c r="X377" s="1"/>
  <c r="R377"/>
  <c r="Q377"/>
  <c r="N377"/>
  <c r="P377" s="1"/>
  <c r="J377"/>
  <c r="H377"/>
  <c r="Y377" s="1"/>
  <c r="G377"/>
  <c r="Z377" s="1"/>
  <c r="B377"/>
  <c r="W376"/>
  <c r="X376" s="1"/>
  <c r="R376"/>
  <c r="V376" s="1"/>
  <c r="Q376"/>
  <c r="N376"/>
  <c r="O376" s="1"/>
  <c r="J376"/>
  <c r="K376" s="1"/>
  <c r="H376"/>
  <c r="Y376" s="1"/>
  <c r="G376"/>
  <c r="Z376" s="1"/>
  <c r="B376"/>
  <c r="W375"/>
  <c r="X375" s="1"/>
  <c r="R375"/>
  <c r="Q375"/>
  <c r="N375"/>
  <c r="O375" s="1"/>
  <c r="J375"/>
  <c r="K375" s="1"/>
  <c r="H375"/>
  <c r="Y375" s="1"/>
  <c r="G375"/>
  <c r="Z375" s="1"/>
  <c r="B375"/>
  <c r="W374"/>
  <c r="X374" s="1"/>
  <c r="R374"/>
  <c r="V374" s="1"/>
  <c r="Q374"/>
  <c r="N374"/>
  <c r="O374" s="1"/>
  <c r="J374"/>
  <c r="K374" s="1"/>
  <c r="H374"/>
  <c r="Y374" s="1"/>
  <c r="G374"/>
  <c r="B374"/>
  <c r="W373"/>
  <c r="X373" s="1"/>
  <c r="R373"/>
  <c r="Q373"/>
  <c r="N373"/>
  <c r="P373" s="1"/>
  <c r="J373"/>
  <c r="H373"/>
  <c r="Y373" s="1"/>
  <c r="G373"/>
  <c r="Z373" s="1"/>
  <c r="B373"/>
  <c r="W372"/>
  <c r="X372" s="1"/>
  <c r="R372"/>
  <c r="V372" s="1"/>
  <c r="Q372"/>
  <c r="N372"/>
  <c r="O372" s="1"/>
  <c r="J372"/>
  <c r="K372" s="1"/>
  <c r="H372"/>
  <c r="Y372" s="1"/>
  <c r="G372"/>
  <c r="Z372" s="1"/>
  <c r="B372"/>
  <c r="W371"/>
  <c r="X371" s="1"/>
  <c r="R371"/>
  <c r="Q371"/>
  <c r="N371"/>
  <c r="O371" s="1"/>
  <c r="J371"/>
  <c r="K371" s="1"/>
  <c r="H371"/>
  <c r="Y371" s="1"/>
  <c r="G371"/>
  <c r="Z371" s="1"/>
  <c r="B371"/>
  <c r="W370"/>
  <c r="X370" s="1"/>
  <c r="R370"/>
  <c r="V370" s="1"/>
  <c r="Q370"/>
  <c r="N370"/>
  <c r="O370" s="1"/>
  <c r="J370"/>
  <c r="L370" s="1"/>
  <c r="H370"/>
  <c r="Y370" s="1"/>
  <c r="G370"/>
  <c r="B370"/>
  <c r="W369"/>
  <c r="X369" s="1"/>
  <c r="R369"/>
  <c r="Q369"/>
  <c r="N369"/>
  <c r="P369" s="1"/>
  <c r="J369"/>
  <c r="L369" s="1"/>
  <c r="H369"/>
  <c r="Y369" s="1"/>
  <c r="G369"/>
  <c r="Z369" s="1"/>
  <c r="B369"/>
  <c r="W368"/>
  <c r="X368" s="1"/>
  <c r="R368"/>
  <c r="V368" s="1"/>
  <c r="Q368"/>
  <c r="N368"/>
  <c r="J368"/>
  <c r="H368"/>
  <c r="Y368" s="1"/>
  <c r="G368"/>
  <c r="Z368" s="1"/>
  <c r="B368"/>
  <c r="W367"/>
  <c r="X367" s="1"/>
  <c r="R367"/>
  <c r="V367" s="1"/>
  <c r="Q367"/>
  <c r="N367"/>
  <c r="O367" s="1"/>
  <c r="J367"/>
  <c r="H367"/>
  <c r="Y367" s="1"/>
  <c r="G367"/>
  <c r="Z367" s="1"/>
  <c r="B367"/>
  <c r="W366"/>
  <c r="X366" s="1"/>
  <c r="R366"/>
  <c r="V366" s="1"/>
  <c r="Q366"/>
  <c r="N366"/>
  <c r="P366" s="1"/>
  <c r="J366"/>
  <c r="K366" s="1"/>
  <c r="H366"/>
  <c r="Y366" s="1"/>
  <c r="G366"/>
  <c r="B366"/>
  <c r="W365"/>
  <c r="X365" s="1"/>
  <c r="R365"/>
  <c r="Q365"/>
  <c r="N365"/>
  <c r="P365" s="1"/>
  <c r="J365"/>
  <c r="H365"/>
  <c r="Y365" s="1"/>
  <c r="G365"/>
  <c r="Z365" s="1"/>
  <c r="B365"/>
  <c r="W364"/>
  <c r="X364" s="1"/>
  <c r="R364"/>
  <c r="Q364"/>
  <c r="N364"/>
  <c r="J364"/>
  <c r="H364"/>
  <c r="Y364" s="1"/>
  <c r="G364"/>
  <c r="Z364" s="1"/>
  <c r="B364"/>
  <c r="W363"/>
  <c r="X363" s="1"/>
  <c r="R363"/>
  <c r="V363" s="1"/>
  <c r="Q363"/>
  <c r="N363"/>
  <c r="O363" s="1"/>
  <c r="J363"/>
  <c r="K363" s="1"/>
  <c r="H363"/>
  <c r="Y363" s="1"/>
  <c r="G363"/>
  <c r="Z363" s="1"/>
  <c r="B363"/>
  <c r="W362"/>
  <c r="X362" s="1"/>
  <c r="R362"/>
  <c r="V362" s="1"/>
  <c r="Q362"/>
  <c r="N362"/>
  <c r="O362" s="1"/>
  <c r="J362"/>
  <c r="L362" s="1"/>
  <c r="H362"/>
  <c r="Y362" s="1"/>
  <c r="G362"/>
  <c r="B362"/>
  <c r="W361"/>
  <c r="X361" s="1"/>
  <c r="R361"/>
  <c r="Q361"/>
  <c r="N361"/>
  <c r="P361" s="1"/>
  <c r="J361"/>
  <c r="L361" s="1"/>
  <c r="H361"/>
  <c r="Y361" s="1"/>
  <c r="G361"/>
  <c r="Z361" s="1"/>
  <c r="B361"/>
  <c r="W360"/>
  <c r="X360" s="1"/>
  <c r="R360"/>
  <c r="Q360"/>
  <c r="N360"/>
  <c r="J360"/>
  <c r="H360"/>
  <c r="Y360" s="1"/>
  <c r="G360"/>
  <c r="Z360" s="1"/>
  <c r="B360"/>
  <c r="W359"/>
  <c r="X359" s="1"/>
  <c r="R359"/>
  <c r="Q359"/>
  <c r="N359"/>
  <c r="O359" s="1"/>
  <c r="J359"/>
  <c r="K359" s="1"/>
  <c r="H359"/>
  <c r="Y359" s="1"/>
  <c r="G359"/>
  <c r="Z359" s="1"/>
  <c r="B359"/>
  <c r="W358"/>
  <c r="X358" s="1"/>
  <c r="R358"/>
  <c r="V358" s="1"/>
  <c r="Q358"/>
  <c r="N358"/>
  <c r="P358" s="1"/>
  <c r="J358"/>
  <c r="K358" s="1"/>
  <c r="H358"/>
  <c r="Y358" s="1"/>
  <c r="G358"/>
  <c r="B358"/>
  <c r="W357"/>
  <c r="X357" s="1"/>
  <c r="R357"/>
  <c r="Q357"/>
  <c r="N357"/>
  <c r="P357" s="1"/>
  <c r="J357"/>
  <c r="L357" s="1"/>
  <c r="H357"/>
  <c r="Y357" s="1"/>
  <c r="G357"/>
  <c r="Z357" s="1"/>
  <c r="B357"/>
  <c r="W356"/>
  <c r="X356" s="1"/>
  <c r="R356"/>
  <c r="Q356"/>
  <c r="N356"/>
  <c r="J356"/>
  <c r="H356"/>
  <c r="Y356" s="1"/>
  <c r="G356"/>
  <c r="Z356" s="1"/>
  <c r="D232" i="18" s="1"/>
  <c r="F232" s="1"/>
  <c r="B356" i="26"/>
  <c r="W355"/>
  <c r="X355" s="1"/>
  <c r="R355"/>
  <c r="V355" s="1"/>
  <c r="Q355"/>
  <c r="N355"/>
  <c r="O355" s="1"/>
  <c r="J355"/>
  <c r="K355" s="1"/>
  <c r="H355"/>
  <c r="Y355" s="1"/>
  <c r="G355"/>
  <c r="Z355" s="1"/>
  <c r="B355"/>
  <c r="W354"/>
  <c r="X354" s="1"/>
  <c r="R354"/>
  <c r="V354" s="1"/>
  <c r="Q354"/>
  <c r="N354"/>
  <c r="O354" s="1"/>
  <c r="J354"/>
  <c r="K354" s="1"/>
  <c r="H354"/>
  <c r="Y354" s="1"/>
  <c r="G354"/>
  <c r="B354"/>
  <c r="W353"/>
  <c r="X353" s="1"/>
  <c r="R353"/>
  <c r="Q353"/>
  <c r="N353"/>
  <c r="J353"/>
  <c r="L353" s="1"/>
  <c r="H353"/>
  <c r="Y353" s="1"/>
  <c r="G353"/>
  <c r="Z353" s="1"/>
  <c r="B353"/>
  <c r="W352"/>
  <c r="X352" s="1"/>
  <c r="R352"/>
  <c r="Q352"/>
  <c r="N352"/>
  <c r="J352"/>
  <c r="H352"/>
  <c r="Y352" s="1"/>
  <c r="G352"/>
  <c r="Z352" s="1"/>
  <c r="D230" i="18" s="1"/>
  <c r="F230" s="1"/>
  <c r="B352" i="26"/>
  <c r="W351"/>
  <c r="X351" s="1"/>
  <c r="R351"/>
  <c r="Q351"/>
  <c r="N351"/>
  <c r="O351" s="1"/>
  <c r="J351"/>
  <c r="K351" s="1"/>
  <c r="H351"/>
  <c r="Y351" s="1"/>
  <c r="G351"/>
  <c r="Z351" s="1"/>
  <c r="B351"/>
  <c r="W350"/>
  <c r="X350" s="1"/>
  <c r="R350"/>
  <c r="V350" s="1"/>
  <c r="Q350"/>
  <c r="N350"/>
  <c r="P350" s="1"/>
  <c r="J350"/>
  <c r="L350" s="1"/>
  <c r="H350"/>
  <c r="Y350" s="1"/>
  <c r="G350"/>
  <c r="B350"/>
  <c r="W349"/>
  <c r="X349" s="1"/>
  <c r="R349"/>
  <c r="Q349"/>
  <c r="N349"/>
  <c r="P349" s="1"/>
  <c r="J349"/>
  <c r="L349" s="1"/>
  <c r="H349"/>
  <c r="Y349" s="1"/>
  <c r="G349"/>
  <c r="Z349" s="1"/>
  <c r="B349"/>
  <c r="W348"/>
  <c r="X348" s="1"/>
  <c r="R348"/>
  <c r="Q348"/>
  <c r="N348"/>
  <c r="J348"/>
  <c r="H348"/>
  <c r="Y348" s="1"/>
  <c r="G348"/>
  <c r="Z348" s="1"/>
  <c r="B348"/>
  <c r="W347"/>
  <c r="X347" s="1"/>
  <c r="R347"/>
  <c r="V347" s="1"/>
  <c r="Q347"/>
  <c r="N347"/>
  <c r="O347" s="1"/>
  <c r="J347"/>
  <c r="K347" s="1"/>
  <c r="H347"/>
  <c r="Y347" s="1"/>
  <c r="G347"/>
  <c r="Z347" s="1"/>
  <c r="B347"/>
  <c r="W346"/>
  <c r="X346" s="1"/>
  <c r="R346"/>
  <c r="V346" s="1"/>
  <c r="Q346"/>
  <c r="N346"/>
  <c r="O346" s="1"/>
  <c r="J346"/>
  <c r="K346" s="1"/>
  <c r="H346"/>
  <c r="Y346" s="1"/>
  <c r="G346"/>
  <c r="B346"/>
  <c r="W345"/>
  <c r="X345" s="1"/>
  <c r="R345"/>
  <c r="Q345"/>
  <c r="N345"/>
  <c r="P345" s="1"/>
  <c r="J345"/>
  <c r="L345" s="1"/>
  <c r="H345"/>
  <c r="Y345" s="1"/>
  <c r="G345"/>
  <c r="Z345" s="1"/>
  <c r="B345"/>
  <c r="W344"/>
  <c r="X344" s="1"/>
  <c r="R344"/>
  <c r="Q344"/>
  <c r="N344"/>
  <c r="J344"/>
  <c r="H344"/>
  <c r="Y344" s="1"/>
  <c r="G344"/>
  <c r="Z344" s="1"/>
  <c r="B344"/>
  <c r="W343"/>
  <c r="X343" s="1"/>
  <c r="R343"/>
  <c r="Q343"/>
  <c r="N343"/>
  <c r="O343" s="1"/>
  <c r="J343"/>
  <c r="K343" s="1"/>
  <c r="H343"/>
  <c r="Y343" s="1"/>
  <c r="G343"/>
  <c r="Z343" s="1"/>
  <c r="B343"/>
  <c r="W342"/>
  <c r="X342" s="1"/>
  <c r="R342"/>
  <c r="V342" s="1"/>
  <c r="Q342"/>
  <c r="N342"/>
  <c r="P342" s="1"/>
  <c r="J342"/>
  <c r="L342" s="1"/>
  <c r="H342"/>
  <c r="Y342" s="1"/>
  <c r="G342"/>
  <c r="B342"/>
  <c r="W341"/>
  <c r="X341" s="1"/>
  <c r="R341"/>
  <c r="Q341"/>
  <c r="N341"/>
  <c r="P341" s="1"/>
  <c r="J341"/>
  <c r="L341" s="1"/>
  <c r="H341"/>
  <c r="Y341" s="1"/>
  <c r="G341"/>
  <c r="Z341" s="1"/>
  <c r="B341"/>
  <c r="W340"/>
  <c r="X340" s="1"/>
  <c r="R340"/>
  <c r="Q340"/>
  <c r="N340"/>
  <c r="J340"/>
  <c r="H340"/>
  <c r="Y340" s="1"/>
  <c r="G340"/>
  <c r="Z340" s="1"/>
  <c r="B340"/>
  <c r="W339"/>
  <c r="X339" s="1"/>
  <c r="R339"/>
  <c r="V339" s="1"/>
  <c r="Q339"/>
  <c r="N339"/>
  <c r="O339" s="1"/>
  <c r="J339"/>
  <c r="K339" s="1"/>
  <c r="H339"/>
  <c r="Y339" s="1"/>
  <c r="G339"/>
  <c r="Z339" s="1"/>
  <c r="B339"/>
  <c r="W338"/>
  <c r="X338" s="1"/>
  <c r="R338"/>
  <c r="V338" s="1"/>
  <c r="Q338"/>
  <c r="N338"/>
  <c r="P338" s="1"/>
  <c r="J338"/>
  <c r="K338" s="1"/>
  <c r="H338"/>
  <c r="Y338" s="1"/>
  <c r="G338"/>
  <c r="B338"/>
  <c r="W337"/>
  <c r="X337" s="1"/>
  <c r="R337"/>
  <c r="Q337"/>
  <c r="N337"/>
  <c r="P337" s="1"/>
  <c r="J337"/>
  <c r="L337" s="1"/>
  <c r="H337"/>
  <c r="Y337" s="1"/>
  <c r="G337"/>
  <c r="Z337" s="1"/>
  <c r="B337"/>
  <c r="W336"/>
  <c r="X336" s="1"/>
  <c r="R336"/>
  <c r="Q336"/>
  <c r="N336"/>
  <c r="J336"/>
  <c r="H336"/>
  <c r="Y336" s="1"/>
  <c r="G336"/>
  <c r="Z336" s="1"/>
  <c r="B336"/>
  <c r="W335"/>
  <c r="X335" s="1"/>
  <c r="R335"/>
  <c r="V335" s="1"/>
  <c r="Q335"/>
  <c r="N335"/>
  <c r="O335" s="1"/>
  <c r="J335"/>
  <c r="K335" s="1"/>
  <c r="H335"/>
  <c r="Y335" s="1"/>
  <c r="G335"/>
  <c r="Z335" s="1"/>
  <c r="B335"/>
  <c r="W334"/>
  <c r="X334" s="1"/>
  <c r="R334"/>
  <c r="V334" s="1"/>
  <c r="Q334"/>
  <c r="N334"/>
  <c r="O334" s="1"/>
  <c r="J334"/>
  <c r="K334" s="1"/>
  <c r="H334"/>
  <c r="Y334" s="1"/>
  <c r="G334"/>
  <c r="B334"/>
  <c r="W333"/>
  <c r="X333" s="1"/>
  <c r="R333"/>
  <c r="Q333"/>
  <c r="N333"/>
  <c r="P333" s="1"/>
  <c r="J333"/>
  <c r="L333" s="1"/>
  <c r="H333"/>
  <c r="Y333" s="1"/>
  <c r="G333"/>
  <c r="Z333" s="1"/>
  <c r="B333"/>
  <c r="W332"/>
  <c r="X332" s="1"/>
  <c r="R332"/>
  <c r="Q332"/>
  <c r="N332"/>
  <c r="J332"/>
  <c r="H332"/>
  <c r="Y332" s="1"/>
  <c r="G332"/>
  <c r="Z332" s="1"/>
  <c r="B332"/>
  <c r="W331"/>
  <c r="X331" s="1"/>
  <c r="R331"/>
  <c r="Q331"/>
  <c r="N331"/>
  <c r="O331" s="1"/>
  <c r="J331"/>
  <c r="K331" s="1"/>
  <c r="H331"/>
  <c r="Y331" s="1"/>
  <c r="G331"/>
  <c r="Z331" s="1"/>
  <c r="B331"/>
  <c r="W330"/>
  <c r="X330" s="1"/>
  <c r="R330"/>
  <c r="V330" s="1"/>
  <c r="Q330"/>
  <c r="N330"/>
  <c r="P330" s="1"/>
  <c r="J330"/>
  <c r="K330" s="1"/>
  <c r="H330"/>
  <c r="Y330" s="1"/>
  <c r="G330"/>
  <c r="B330"/>
  <c r="W329"/>
  <c r="X329" s="1"/>
  <c r="R329"/>
  <c r="Q329"/>
  <c r="N329"/>
  <c r="P329" s="1"/>
  <c r="J329"/>
  <c r="L329" s="1"/>
  <c r="H329"/>
  <c r="Y329" s="1"/>
  <c r="G329"/>
  <c r="Z329" s="1"/>
  <c r="B329"/>
  <c r="W328"/>
  <c r="X328" s="1"/>
  <c r="R328"/>
  <c r="Q328"/>
  <c r="N328"/>
  <c r="J328"/>
  <c r="H328"/>
  <c r="Y328" s="1"/>
  <c r="G328"/>
  <c r="Z328" s="1"/>
  <c r="B328"/>
  <c r="W327"/>
  <c r="X327" s="1"/>
  <c r="R327"/>
  <c r="V327" s="1"/>
  <c r="Q327"/>
  <c r="N327"/>
  <c r="O327" s="1"/>
  <c r="J327"/>
  <c r="K327" s="1"/>
  <c r="H327"/>
  <c r="Y327" s="1"/>
  <c r="G327"/>
  <c r="Z327" s="1"/>
  <c r="B327"/>
  <c r="W326"/>
  <c r="X326" s="1"/>
  <c r="R326"/>
  <c r="V326" s="1"/>
  <c r="Q326"/>
  <c r="N326"/>
  <c r="O326" s="1"/>
  <c r="J326"/>
  <c r="L326" s="1"/>
  <c r="H326"/>
  <c r="Y326" s="1"/>
  <c r="G326"/>
  <c r="B326"/>
  <c r="W325"/>
  <c r="X325" s="1"/>
  <c r="R325"/>
  <c r="Q325"/>
  <c r="N325"/>
  <c r="P325" s="1"/>
  <c r="J325"/>
  <c r="L325" s="1"/>
  <c r="H325"/>
  <c r="Y325" s="1"/>
  <c r="G325"/>
  <c r="Z325" s="1"/>
  <c r="D61" i="18" s="1"/>
  <c r="F61" s="1"/>
  <c r="B325" i="26"/>
  <c r="W324"/>
  <c r="X324" s="1"/>
  <c r="R324"/>
  <c r="Q324"/>
  <c r="N324"/>
  <c r="J324"/>
  <c r="H324"/>
  <c r="Y324" s="1"/>
  <c r="G324"/>
  <c r="Z324" s="1"/>
  <c r="B324"/>
  <c r="W323"/>
  <c r="X323" s="1"/>
  <c r="R323"/>
  <c r="V323" s="1"/>
  <c r="Q323"/>
  <c r="N323"/>
  <c r="O323" s="1"/>
  <c r="J323"/>
  <c r="K323" s="1"/>
  <c r="H323"/>
  <c r="Y323" s="1"/>
  <c r="G323"/>
  <c r="B323"/>
  <c r="W322"/>
  <c r="X322" s="1"/>
  <c r="R322"/>
  <c r="V322" s="1"/>
  <c r="Q322"/>
  <c r="N322"/>
  <c r="O322" s="1"/>
  <c r="J322"/>
  <c r="K322" s="1"/>
  <c r="H322"/>
  <c r="Y322" s="1"/>
  <c r="G322"/>
  <c r="B322"/>
  <c r="W321"/>
  <c r="X321" s="1"/>
  <c r="R321"/>
  <c r="V321" s="1"/>
  <c r="Q321"/>
  <c r="N321"/>
  <c r="P321" s="1"/>
  <c r="J321"/>
  <c r="L321" s="1"/>
  <c r="H321"/>
  <c r="Y321" s="1"/>
  <c r="G321"/>
  <c r="Z321" s="1"/>
  <c r="B321"/>
  <c r="W320"/>
  <c r="X320" s="1"/>
  <c r="R320"/>
  <c r="Q320"/>
  <c r="N320"/>
  <c r="J320"/>
  <c r="H320"/>
  <c r="Y320" s="1"/>
  <c r="G320"/>
  <c r="Z320" s="1"/>
  <c r="B320"/>
  <c r="W319"/>
  <c r="X319" s="1"/>
  <c r="R319"/>
  <c r="V319" s="1"/>
  <c r="Q319"/>
  <c r="N319"/>
  <c r="O319" s="1"/>
  <c r="J319"/>
  <c r="K319" s="1"/>
  <c r="H319"/>
  <c r="Y319" s="1"/>
  <c r="G319"/>
  <c r="Z319" s="1"/>
  <c r="B319"/>
  <c r="W318"/>
  <c r="X318" s="1"/>
  <c r="R318"/>
  <c r="V318" s="1"/>
  <c r="Q318"/>
  <c r="N318"/>
  <c r="O318" s="1"/>
  <c r="J318"/>
  <c r="K318" s="1"/>
  <c r="H318"/>
  <c r="Y318" s="1"/>
  <c r="G318"/>
  <c r="B318"/>
  <c r="W317"/>
  <c r="X317" s="1"/>
  <c r="R317"/>
  <c r="V317" s="1"/>
  <c r="Q317"/>
  <c r="N317"/>
  <c r="P317" s="1"/>
  <c r="J317"/>
  <c r="L317" s="1"/>
  <c r="H317"/>
  <c r="Y317" s="1"/>
  <c r="G317"/>
  <c r="Z317" s="1"/>
  <c r="B317"/>
  <c r="W316"/>
  <c r="X316" s="1"/>
  <c r="R316"/>
  <c r="Q316"/>
  <c r="N316"/>
  <c r="J316"/>
  <c r="H316"/>
  <c r="Y316" s="1"/>
  <c r="G316"/>
  <c r="Z316" s="1"/>
  <c r="B316"/>
  <c r="W315"/>
  <c r="X315" s="1"/>
  <c r="R315"/>
  <c r="V315" s="1"/>
  <c r="Q315"/>
  <c r="N315"/>
  <c r="J315"/>
  <c r="L315" s="1"/>
  <c r="H315"/>
  <c r="Y315" s="1"/>
  <c r="G315"/>
  <c r="Z315" s="1"/>
  <c r="B315"/>
  <c r="W314"/>
  <c r="X314" s="1"/>
  <c r="R314"/>
  <c r="V314" s="1"/>
  <c r="Q314"/>
  <c r="N314"/>
  <c r="P314" s="1"/>
  <c r="J314"/>
  <c r="K314" s="1"/>
  <c r="H314"/>
  <c r="Y314" s="1"/>
  <c r="G314"/>
  <c r="B314"/>
  <c r="W313"/>
  <c r="X313" s="1"/>
  <c r="R313"/>
  <c r="V313" s="1"/>
  <c r="Q313"/>
  <c r="N313"/>
  <c r="P313" s="1"/>
  <c r="J313"/>
  <c r="L313" s="1"/>
  <c r="H313"/>
  <c r="Y313" s="1"/>
  <c r="G313"/>
  <c r="Z313" s="1"/>
  <c r="B313"/>
  <c r="W312"/>
  <c r="X312" s="1"/>
  <c r="R312"/>
  <c r="Q312"/>
  <c r="N312"/>
  <c r="J312"/>
  <c r="H312"/>
  <c r="Y312" s="1"/>
  <c r="G312"/>
  <c r="Z312" s="1"/>
  <c r="B312"/>
  <c r="W311"/>
  <c r="X311" s="1"/>
  <c r="R311"/>
  <c r="V311" s="1"/>
  <c r="Q311"/>
  <c r="N311"/>
  <c r="O311" s="1"/>
  <c r="J311"/>
  <c r="K311" s="1"/>
  <c r="H311"/>
  <c r="Y311" s="1"/>
  <c r="G311"/>
  <c r="B311"/>
  <c r="W310"/>
  <c r="X310" s="1"/>
  <c r="R310"/>
  <c r="V310" s="1"/>
  <c r="Q310"/>
  <c r="N310"/>
  <c r="P310" s="1"/>
  <c r="J310"/>
  <c r="L310" s="1"/>
  <c r="H310"/>
  <c r="Y310" s="1"/>
  <c r="G310"/>
  <c r="B310"/>
  <c r="W309"/>
  <c r="X309" s="1"/>
  <c r="R309"/>
  <c r="V309" s="1"/>
  <c r="Q309"/>
  <c r="N309"/>
  <c r="P309" s="1"/>
  <c r="J309"/>
  <c r="L309" s="1"/>
  <c r="H309"/>
  <c r="Y309" s="1"/>
  <c r="G309"/>
  <c r="Z309" s="1"/>
  <c r="B309"/>
  <c r="W308"/>
  <c r="X308" s="1"/>
  <c r="R308"/>
  <c r="Q308"/>
  <c r="N308"/>
  <c r="J308"/>
  <c r="H308"/>
  <c r="Y308" s="1"/>
  <c r="G308"/>
  <c r="Z308" s="1"/>
  <c r="B308"/>
  <c r="W307"/>
  <c r="X307" s="1"/>
  <c r="R307"/>
  <c r="V307" s="1"/>
  <c r="Q307"/>
  <c r="N307"/>
  <c r="O307" s="1"/>
  <c r="J307"/>
  <c r="K307" s="1"/>
  <c r="H307"/>
  <c r="Y307" s="1"/>
  <c r="G307"/>
  <c r="B307"/>
  <c r="W306"/>
  <c r="X306" s="1"/>
  <c r="R306"/>
  <c r="V306" s="1"/>
  <c r="Q306"/>
  <c r="N306"/>
  <c r="J306"/>
  <c r="L306" s="1"/>
  <c r="H306"/>
  <c r="Y306" s="1"/>
  <c r="G306"/>
  <c r="B306"/>
  <c r="W305"/>
  <c r="X305" s="1"/>
  <c r="R305"/>
  <c r="V305" s="1"/>
  <c r="Q305"/>
  <c r="N305"/>
  <c r="P305" s="1"/>
  <c r="J305"/>
  <c r="L305" s="1"/>
  <c r="H305"/>
  <c r="Y305" s="1"/>
  <c r="G305"/>
  <c r="Z305" s="1"/>
  <c r="B305"/>
  <c r="W304"/>
  <c r="X304" s="1"/>
  <c r="R304"/>
  <c r="Q304"/>
  <c r="N304"/>
  <c r="J304"/>
  <c r="H304"/>
  <c r="Y304" s="1"/>
  <c r="G304"/>
  <c r="Z304" s="1"/>
  <c r="B304"/>
  <c r="W303"/>
  <c r="X303" s="1"/>
  <c r="R303"/>
  <c r="V303" s="1"/>
  <c r="Q303"/>
  <c r="N303"/>
  <c r="O303" s="1"/>
  <c r="J303"/>
  <c r="K303" s="1"/>
  <c r="H303"/>
  <c r="Y303" s="1"/>
  <c r="G303"/>
  <c r="Z303" s="1"/>
  <c r="B303"/>
  <c r="W302"/>
  <c r="X302" s="1"/>
  <c r="R302"/>
  <c r="V302" s="1"/>
  <c r="Q302"/>
  <c r="N302"/>
  <c r="O302" s="1"/>
  <c r="J302"/>
  <c r="K302" s="1"/>
  <c r="H302"/>
  <c r="Y302" s="1"/>
  <c r="G302"/>
  <c r="B302"/>
  <c r="W301"/>
  <c r="X301" s="1"/>
  <c r="R301"/>
  <c r="V301" s="1"/>
  <c r="Q301"/>
  <c r="N301"/>
  <c r="P301" s="1"/>
  <c r="J301"/>
  <c r="L301" s="1"/>
  <c r="H301"/>
  <c r="Y301" s="1"/>
  <c r="G301"/>
  <c r="Z301" s="1"/>
  <c r="B301"/>
  <c r="W299"/>
  <c r="X299" s="1"/>
  <c r="R299"/>
  <c r="Q299"/>
  <c r="N299"/>
  <c r="J299"/>
  <c r="H299"/>
  <c r="Y299" s="1"/>
  <c r="G299"/>
  <c r="Z299" s="1"/>
  <c r="B299"/>
  <c r="W298"/>
  <c r="X298" s="1"/>
  <c r="R298"/>
  <c r="V298" s="1"/>
  <c r="Q298"/>
  <c r="N298"/>
  <c r="P298" s="1"/>
  <c r="J298"/>
  <c r="L298" s="1"/>
  <c r="H298"/>
  <c r="Y298" s="1"/>
  <c r="G298"/>
  <c r="Z298" s="1"/>
  <c r="B298"/>
  <c r="W297"/>
  <c r="X297" s="1"/>
  <c r="R297"/>
  <c r="V297" s="1"/>
  <c r="Q297"/>
  <c r="N297"/>
  <c r="P297" s="1"/>
  <c r="J297"/>
  <c r="K297" s="1"/>
  <c r="H297"/>
  <c r="Y297" s="1"/>
  <c r="G297"/>
  <c r="B297"/>
  <c r="W296"/>
  <c r="X296" s="1"/>
  <c r="R296"/>
  <c r="V296" s="1"/>
  <c r="Q296"/>
  <c r="N296"/>
  <c r="P296" s="1"/>
  <c r="J296"/>
  <c r="L296" s="1"/>
  <c r="H296"/>
  <c r="Y296" s="1"/>
  <c r="G296"/>
  <c r="Z296" s="1"/>
  <c r="B296"/>
  <c r="W295"/>
  <c r="X295" s="1"/>
  <c r="R295"/>
  <c r="Q295"/>
  <c r="N295"/>
  <c r="J295"/>
  <c r="H295"/>
  <c r="Y295" s="1"/>
  <c r="G295"/>
  <c r="Z295" s="1"/>
  <c r="D140" i="18" s="1"/>
  <c r="F140" s="1"/>
  <c r="B295" i="26"/>
  <c r="W294"/>
  <c r="X294" s="1"/>
  <c r="R294"/>
  <c r="V294" s="1"/>
  <c r="Q294"/>
  <c r="N294"/>
  <c r="O294" s="1"/>
  <c r="J294"/>
  <c r="L294" s="1"/>
  <c r="H294"/>
  <c r="Y294" s="1"/>
  <c r="G294"/>
  <c r="B294"/>
  <c r="W293"/>
  <c r="X293" s="1"/>
  <c r="R293"/>
  <c r="V293" s="1"/>
  <c r="Q293"/>
  <c r="N293"/>
  <c r="O293" s="1"/>
  <c r="J293"/>
  <c r="H293"/>
  <c r="Y293" s="1"/>
  <c r="G293"/>
  <c r="B293"/>
  <c r="W292"/>
  <c r="X292" s="1"/>
  <c r="R292"/>
  <c r="V292" s="1"/>
  <c r="Q292"/>
  <c r="N292"/>
  <c r="P292" s="1"/>
  <c r="J292"/>
  <c r="L292" s="1"/>
  <c r="H292"/>
  <c r="Y292" s="1"/>
  <c r="G292"/>
  <c r="Z292" s="1"/>
  <c r="B292"/>
  <c r="W291"/>
  <c r="X291" s="1"/>
  <c r="R291"/>
  <c r="Q291"/>
  <c r="N291"/>
  <c r="J291"/>
  <c r="H291"/>
  <c r="Y291" s="1"/>
  <c r="G291"/>
  <c r="Z291" s="1"/>
  <c r="B291"/>
  <c r="W290"/>
  <c r="X290" s="1"/>
  <c r="R290"/>
  <c r="V290" s="1"/>
  <c r="Q290"/>
  <c r="N290"/>
  <c r="O290" s="1"/>
  <c r="J290"/>
  <c r="K290" s="1"/>
  <c r="H290"/>
  <c r="Y290" s="1"/>
  <c r="G290"/>
  <c r="B290"/>
  <c r="W289"/>
  <c r="X289" s="1"/>
  <c r="R289"/>
  <c r="V289" s="1"/>
  <c r="Q289"/>
  <c r="N289"/>
  <c r="O289" s="1"/>
  <c r="J289"/>
  <c r="H289"/>
  <c r="Y289" s="1"/>
  <c r="G289"/>
  <c r="B289"/>
  <c r="W288"/>
  <c r="X288" s="1"/>
  <c r="R288"/>
  <c r="V288" s="1"/>
  <c r="Q288"/>
  <c r="N288"/>
  <c r="P288" s="1"/>
  <c r="J288"/>
  <c r="L288" s="1"/>
  <c r="H288"/>
  <c r="Y288" s="1"/>
  <c r="G288"/>
  <c r="Z288" s="1"/>
  <c r="B288"/>
  <c r="W287"/>
  <c r="X287" s="1"/>
  <c r="R287"/>
  <c r="Q287"/>
  <c r="N287"/>
  <c r="J287"/>
  <c r="H287"/>
  <c r="Y287" s="1"/>
  <c r="G287"/>
  <c r="Z287" s="1"/>
  <c r="B287"/>
  <c r="W286"/>
  <c r="X286" s="1"/>
  <c r="R286"/>
  <c r="V286" s="1"/>
  <c r="Q286"/>
  <c r="N286"/>
  <c r="O286" s="1"/>
  <c r="J286"/>
  <c r="K286" s="1"/>
  <c r="H286"/>
  <c r="Y286" s="1"/>
  <c r="G286"/>
  <c r="Z286" s="1"/>
  <c r="B286"/>
  <c r="W284"/>
  <c r="X284" s="1"/>
  <c r="R284"/>
  <c r="V284" s="1"/>
  <c r="Q284"/>
  <c r="N284"/>
  <c r="O284" s="1"/>
  <c r="J284"/>
  <c r="H284"/>
  <c r="Y284" s="1"/>
  <c r="G284"/>
  <c r="B284"/>
  <c r="W283"/>
  <c r="X283" s="1"/>
  <c r="R283"/>
  <c r="V283" s="1"/>
  <c r="Q283"/>
  <c r="N283"/>
  <c r="P283" s="1"/>
  <c r="J283"/>
  <c r="L283" s="1"/>
  <c r="H283"/>
  <c r="Y283" s="1"/>
  <c r="G283"/>
  <c r="Z283" s="1"/>
  <c r="B283"/>
  <c r="W282"/>
  <c r="X282" s="1"/>
  <c r="R282"/>
  <c r="Q282"/>
  <c r="N282"/>
  <c r="J282"/>
  <c r="H282"/>
  <c r="Y282" s="1"/>
  <c r="G282"/>
  <c r="Z282" s="1"/>
  <c r="B282"/>
  <c r="W281"/>
  <c r="X281" s="1"/>
  <c r="R281"/>
  <c r="V281" s="1"/>
  <c r="Q281"/>
  <c r="N281"/>
  <c r="P281" s="1"/>
  <c r="J281"/>
  <c r="L281" s="1"/>
  <c r="H281"/>
  <c r="Y281" s="1"/>
  <c r="G281"/>
  <c r="Z281" s="1"/>
  <c r="B281"/>
  <c r="W280"/>
  <c r="X280" s="1"/>
  <c r="R280"/>
  <c r="V280" s="1"/>
  <c r="Q280"/>
  <c r="N280"/>
  <c r="P280" s="1"/>
  <c r="J280"/>
  <c r="K280" s="1"/>
  <c r="H280"/>
  <c r="Y280" s="1"/>
  <c r="G280"/>
  <c r="B280"/>
  <c r="W279"/>
  <c r="X279" s="1"/>
  <c r="R279"/>
  <c r="V279" s="1"/>
  <c r="Q279"/>
  <c r="N279"/>
  <c r="P279" s="1"/>
  <c r="J279"/>
  <c r="L279" s="1"/>
  <c r="H279"/>
  <c r="Y279" s="1"/>
  <c r="G279"/>
  <c r="Z279" s="1"/>
  <c r="B279"/>
  <c r="W278"/>
  <c r="X278" s="1"/>
  <c r="R278"/>
  <c r="Q278"/>
  <c r="N278"/>
  <c r="J278"/>
  <c r="H278"/>
  <c r="Y278" s="1"/>
  <c r="G278"/>
  <c r="Z278" s="1"/>
  <c r="D223" i="18" s="1"/>
  <c r="F223" s="1"/>
  <c r="B278" i="26"/>
  <c r="W277"/>
  <c r="X277" s="1"/>
  <c r="R277"/>
  <c r="V277" s="1"/>
  <c r="Q277"/>
  <c r="N277"/>
  <c r="O277" s="1"/>
  <c r="J277"/>
  <c r="H277"/>
  <c r="Y277" s="1"/>
  <c r="G277"/>
  <c r="B277"/>
  <c r="W276"/>
  <c r="X276" s="1"/>
  <c r="R276"/>
  <c r="V276" s="1"/>
  <c r="Q276"/>
  <c r="N276"/>
  <c r="O276" s="1"/>
  <c r="J276"/>
  <c r="L276" s="1"/>
  <c r="H276"/>
  <c r="Y276" s="1"/>
  <c r="G276"/>
  <c r="B276"/>
  <c r="W275"/>
  <c r="X275" s="1"/>
  <c r="R275"/>
  <c r="V275" s="1"/>
  <c r="Q275"/>
  <c r="N275"/>
  <c r="P275" s="1"/>
  <c r="J275"/>
  <c r="L275" s="1"/>
  <c r="H275"/>
  <c r="Y275" s="1"/>
  <c r="G275"/>
  <c r="Z275" s="1"/>
  <c r="D222" i="18" s="1"/>
  <c r="F222" s="1"/>
  <c r="B275" i="26"/>
  <c r="W274"/>
  <c r="X274" s="1"/>
  <c r="R274"/>
  <c r="Q274"/>
  <c r="N274"/>
  <c r="J274"/>
  <c r="H274"/>
  <c r="Y274" s="1"/>
  <c r="G274"/>
  <c r="Z274" s="1"/>
  <c r="B274"/>
  <c r="W273"/>
  <c r="X273" s="1"/>
  <c r="R273"/>
  <c r="V273" s="1"/>
  <c r="Q273"/>
  <c r="N273"/>
  <c r="O273" s="1"/>
  <c r="J273"/>
  <c r="H273"/>
  <c r="Y273" s="1"/>
  <c r="G273"/>
  <c r="B273"/>
  <c r="W272"/>
  <c r="X272" s="1"/>
  <c r="R272"/>
  <c r="V272" s="1"/>
  <c r="Q272"/>
  <c r="N272"/>
  <c r="J272"/>
  <c r="L272" s="1"/>
  <c r="H272"/>
  <c r="Y272" s="1"/>
  <c r="G272"/>
  <c r="B272"/>
  <c r="W271"/>
  <c r="X271" s="1"/>
  <c r="R271"/>
  <c r="V271" s="1"/>
  <c r="Q271"/>
  <c r="N271"/>
  <c r="P271" s="1"/>
  <c r="J271"/>
  <c r="L271" s="1"/>
  <c r="H271"/>
  <c r="Y271" s="1"/>
  <c r="G271"/>
  <c r="Z271" s="1"/>
  <c r="B271"/>
  <c r="W270"/>
  <c r="X270" s="1"/>
  <c r="R270"/>
  <c r="Q270"/>
  <c r="N270"/>
  <c r="J270"/>
  <c r="H270"/>
  <c r="Y270" s="1"/>
  <c r="G270"/>
  <c r="Z270" s="1"/>
  <c r="D221" i="18" s="1"/>
  <c r="F221" s="1"/>
  <c r="B270" i="26"/>
  <c r="W269"/>
  <c r="X269" s="1"/>
  <c r="R269"/>
  <c r="V269" s="1"/>
  <c r="Q269"/>
  <c r="N269"/>
  <c r="O269" s="1"/>
  <c r="J269"/>
  <c r="K269" s="1"/>
  <c r="H269"/>
  <c r="Y269" s="1"/>
  <c r="G269"/>
  <c r="Z269" s="1"/>
  <c r="B269"/>
  <c r="W268"/>
  <c r="X268" s="1"/>
  <c r="R268"/>
  <c r="V268" s="1"/>
  <c r="Q268"/>
  <c r="N268"/>
  <c r="O268" s="1"/>
  <c r="J268"/>
  <c r="K268" s="1"/>
  <c r="H268"/>
  <c r="Y268" s="1"/>
  <c r="G268"/>
  <c r="B268"/>
  <c r="W267"/>
  <c r="X267" s="1"/>
  <c r="R267"/>
  <c r="V267" s="1"/>
  <c r="Q267"/>
  <c r="N267"/>
  <c r="J267"/>
  <c r="L267" s="1"/>
  <c r="H267"/>
  <c r="Y267" s="1"/>
  <c r="G267"/>
  <c r="Z267" s="1"/>
  <c r="B267"/>
  <c r="W266"/>
  <c r="X266" s="1"/>
  <c r="R266"/>
  <c r="Q266"/>
  <c r="N266"/>
  <c r="J266"/>
  <c r="H266"/>
  <c r="Y266" s="1"/>
  <c r="G266"/>
  <c r="Z266" s="1"/>
  <c r="B266"/>
  <c r="W265"/>
  <c r="X265" s="1"/>
  <c r="R265"/>
  <c r="V265" s="1"/>
  <c r="Q265"/>
  <c r="N265"/>
  <c r="P265" s="1"/>
  <c r="J265"/>
  <c r="L265" s="1"/>
  <c r="H265"/>
  <c r="Y265" s="1"/>
  <c r="G265"/>
  <c r="Z265" s="1"/>
  <c r="B265"/>
  <c r="W264"/>
  <c r="X264" s="1"/>
  <c r="R264"/>
  <c r="V264" s="1"/>
  <c r="Q264"/>
  <c r="N264"/>
  <c r="P264" s="1"/>
  <c r="J264"/>
  <c r="K264" s="1"/>
  <c r="H264"/>
  <c r="Y264" s="1"/>
  <c r="G264"/>
  <c r="B264"/>
  <c r="W263"/>
  <c r="X263" s="1"/>
  <c r="R263"/>
  <c r="V263" s="1"/>
  <c r="Q263"/>
  <c r="N263"/>
  <c r="P263" s="1"/>
  <c r="J263"/>
  <c r="L263" s="1"/>
  <c r="H263"/>
  <c r="Y263" s="1"/>
  <c r="G263"/>
  <c r="Z263" s="1"/>
  <c r="B263"/>
  <c r="W262"/>
  <c r="X262" s="1"/>
  <c r="R262"/>
  <c r="Q262"/>
  <c r="N262"/>
  <c r="J262"/>
  <c r="H262"/>
  <c r="Y262" s="1"/>
  <c r="G262"/>
  <c r="Z262" s="1"/>
  <c r="B262"/>
  <c r="W261"/>
  <c r="X261" s="1"/>
  <c r="R261"/>
  <c r="V261" s="1"/>
  <c r="Q261"/>
  <c r="N261"/>
  <c r="O261" s="1"/>
  <c r="J261"/>
  <c r="K261" s="1"/>
  <c r="Y261"/>
  <c r="G261"/>
  <c r="B261"/>
  <c r="W260"/>
  <c r="X260" s="1"/>
  <c r="R260"/>
  <c r="V260" s="1"/>
  <c r="Q260"/>
  <c r="N260"/>
  <c r="O260" s="1"/>
  <c r="J260"/>
  <c r="K260" s="1"/>
  <c r="Y260"/>
  <c r="G260"/>
  <c r="Z260" s="1"/>
  <c r="B260"/>
  <c r="W259"/>
  <c r="X259" s="1"/>
  <c r="R259"/>
  <c r="V259" s="1"/>
  <c r="Q259"/>
  <c r="N259"/>
  <c r="P259" s="1"/>
  <c r="J259"/>
  <c r="L259" s="1"/>
  <c r="Y259"/>
  <c r="G259"/>
  <c r="Z259" s="1"/>
  <c r="B259"/>
  <c r="W258"/>
  <c r="X258" s="1"/>
  <c r="R258"/>
  <c r="V258" s="1"/>
  <c r="Q258"/>
  <c r="N258"/>
  <c r="J258"/>
  <c r="Y258"/>
  <c r="Z258"/>
  <c r="B258"/>
  <c r="W257"/>
  <c r="X257" s="1"/>
  <c r="R257"/>
  <c r="V257" s="1"/>
  <c r="Q257"/>
  <c r="N257"/>
  <c r="J257"/>
  <c r="L257" s="1"/>
  <c r="H257"/>
  <c r="Y257" s="1"/>
  <c r="G257"/>
  <c r="B257"/>
  <c r="W256"/>
  <c r="X256" s="1"/>
  <c r="R256"/>
  <c r="V256" s="1"/>
  <c r="Q256"/>
  <c r="N256"/>
  <c r="O256" s="1"/>
  <c r="J256"/>
  <c r="H256"/>
  <c r="Y256" s="1"/>
  <c r="G256"/>
  <c r="Z256" s="1"/>
  <c r="B256"/>
  <c r="W255"/>
  <c r="X255" s="1"/>
  <c r="R255"/>
  <c r="V255" s="1"/>
  <c r="Q255"/>
  <c r="N255"/>
  <c r="P255" s="1"/>
  <c r="J255"/>
  <c r="L255" s="1"/>
  <c r="H255"/>
  <c r="Y255" s="1"/>
  <c r="G255"/>
  <c r="Z255" s="1"/>
  <c r="B255"/>
  <c r="W254"/>
  <c r="X254" s="1"/>
  <c r="R254"/>
  <c r="Q254"/>
  <c r="N254"/>
  <c r="J254"/>
  <c r="H254"/>
  <c r="Y254" s="1"/>
  <c r="G254"/>
  <c r="Z254" s="1"/>
  <c r="B254"/>
  <c r="W253"/>
  <c r="X253" s="1"/>
  <c r="R253"/>
  <c r="V253" s="1"/>
  <c r="Q253"/>
  <c r="N253"/>
  <c r="P253" s="1"/>
  <c r="J253"/>
  <c r="L253" s="1"/>
  <c r="H253"/>
  <c r="Y253" s="1"/>
  <c r="G253"/>
  <c r="B253"/>
  <c r="W252"/>
  <c r="X252" s="1"/>
  <c r="R252"/>
  <c r="V252" s="1"/>
  <c r="Q252"/>
  <c r="N252"/>
  <c r="P252" s="1"/>
  <c r="J252"/>
  <c r="K252" s="1"/>
  <c r="H252"/>
  <c r="Y252" s="1"/>
  <c r="G252"/>
  <c r="Z252" s="1"/>
  <c r="D190" i="18" s="1"/>
  <c r="F190" s="1"/>
  <c r="B252" i="26"/>
  <c r="W251"/>
  <c r="X251" s="1"/>
  <c r="R251"/>
  <c r="V251" s="1"/>
  <c r="Q251"/>
  <c r="N251"/>
  <c r="P251" s="1"/>
  <c r="J251"/>
  <c r="L251" s="1"/>
  <c r="H251"/>
  <c r="Y251" s="1"/>
  <c r="G251"/>
  <c r="Z251" s="1"/>
  <c r="B251"/>
  <c r="W250"/>
  <c r="X250" s="1"/>
  <c r="R250"/>
  <c r="Q250"/>
  <c r="N250"/>
  <c r="J250"/>
  <c r="H250"/>
  <c r="Y250" s="1"/>
  <c r="G250"/>
  <c r="Z250" s="1"/>
  <c r="B250"/>
  <c r="W249"/>
  <c r="X249" s="1"/>
  <c r="R249"/>
  <c r="V249" s="1"/>
  <c r="Q249"/>
  <c r="N249"/>
  <c r="O249" s="1"/>
  <c r="J249"/>
  <c r="K249" s="1"/>
  <c r="H249"/>
  <c r="Y249" s="1"/>
  <c r="G249"/>
  <c r="B249"/>
  <c r="W248"/>
  <c r="X248" s="1"/>
  <c r="R248"/>
  <c r="V248" s="1"/>
  <c r="Q248"/>
  <c r="N248"/>
  <c r="O248" s="1"/>
  <c r="J248"/>
  <c r="K248" s="1"/>
  <c r="H248"/>
  <c r="Y248" s="1"/>
  <c r="G248"/>
  <c r="Z248" s="1"/>
  <c r="B248"/>
  <c r="W247"/>
  <c r="X247" s="1"/>
  <c r="R247"/>
  <c r="V247" s="1"/>
  <c r="Q247"/>
  <c r="N247"/>
  <c r="P247" s="1"/>
  <c r="J247"/>
  <c r="H247"/>
  <c r="Y247" s="1"/>
  <c r="G247"/>
  <c r="Z247" s="1"/>
  <c r="B247"/>
  <c r="W246"/>
  <c r="X246" s="1"/>
  <c r="R246"/>
  <c r="Q246"/>
  <c r="N246"/>
  <c r="J246"/>
  <c r="H246"/>
  <c r="Y246" s="1"/>
  <c r="G246"/>
  <c r="Z246" s="1"/>
  <c r="B246"/>
  <c r="W245"/>
  <c r="X245" s="1"/>
  <c r="R245"/>
  <c r="V245" s="1"/>
  <c r="Q245"/>
  <c r="N245"/>
  <c r="O245" s="1"/>
  <c r="J245"/>
  <c r="K245" s="1"/>
  <c r="H245"/>
  <c r="Y245" s="1"/>
  <c r="G245"/>
  <c r="B245"/>
  <c r="W244"/>
  <c r="X244" s="1"/>
  <c r="R244"/>
  <c r="V244" s="1"/>
  <c r="Q244"/>
  <c r="N244"/>
  <c r="P244" s="1"/>
  <c r="J244"/>
  <c r="K244" s="1"/>
  <c r="H244"/>
  <c r="Y244" s="1"/>
  <c r="G244"/>
  <c r="Z244" s="1"/>
  <c r="B244"/>
  <c r="W243"/>
  <c r="X243" s="1"/>
  <c r="R243"/>
  <c r="V243" s="1"/>
  <c r="Q243"/>
  <c r="N243"/>
  <c r="P243" s="1"/>
  <c r="J243"/>
  <c r="L243" s="1"/>
  <c r="H243"/>
  <c r="Y243" s="1"/>
  <c r="G243"/>
  <c r="Z243" s="1"/>
  <c r="B243"/>
  <c r="W242"/>
  <c r="X242" s="1"/>
  <c r="R242"/>
  <c r="V242" s="1"/>
  <c r="Q242"/>
  <c r="N242"/>
  <c r="O242" s="1"/>
  <c r="J242"/>
  <c r="K242" s="1"/>
  <c r="H242"/>
  <c r="Y242" s="1"/>
  <c r="G242"/>
  <c r="Z242" s="1"/>
  <c r="B242"/>
  <c r="W241"/>
  <c r="X241" s="1"/>
  <c r="R241"/>
  <c r="V241" s="1"/>
  <c r="Q241"/>
  <c r="N241"/>
  <c r="P241" s="1"/>
  <c r="J241"/>
  <c r="L241" s="1"/>
  <c r="H241"/>
  <c r="Y241" s="1"/>
  <c r="G241"/>
  <c r="Z241" s="1"/>
  <c r="B241"/>
  <c r="W240"/>
  <c r="X240" s="1"/>
  <c r="R240"/>
  <c r="V240" s="1"/>
  <c r="Q240"/>
  <c r="N240"/>
  <c r="O240" s="1"/>
  <c r="J240"/>
  <c r="H240"/>
  <c r="Y240" s="1"/>
  <c r="G240"/>
  <c r="Z240" s="1"/>
  <c r="B240"/>
  <c r="W239"/>
  <c r="X239" s="1"/>
  <c r="R239"/>
  <c r="Q239"/>
  <c r="N239"/>
  <c r="P239" s="1"/>
  <c r="J239"/>
  <c r="L239" s="1"/>
  <c r="H239"/>
  <c r="Y239" s="1"/>
  <c r="G239"/>
  <c r="Z239" s="1"/>
  <c r="B239"/>
  <c r="W238"/>
  <c r="X238" s="1"/>
  <c r="R238"/>
  <c r="V238" s="1"/>
  <c r="Q238"/>
  <c r="N238"/>
  <c r="O238" s="1"/>
  <c r="J238"/>
  <c r="K238" s="1"/>
  <c r="H238"/>
  <c r="Y238" s="1"/>
  <c r="G238"/>
  <c r="Z238" s="1"/>
  <c r="B238"/>
  <c r="W237"/>
  <c r="X237" s="1"/>
  <c r="R237"/>
  <c r="V237" s="1"/>
  <c r="Q237"/>
  <c r="N237"/>
  <c r="O237" s="1"/>
  <c r="J237"/>
  <c r="K237" s="1"/>
  <c r="H237"/>
  <c r="Y237" s="1"/>
  <c r="G237"/>
  <c r="Z237" s="1"/>
  <c r="B237"/>
  <c r="W236"/>
  <c r="X236" s="1"/>
  <c r="R236"/>
  <c r="V236" s="1"/>
  <c r="Q236"/>
  <c r="N236"/>
  <c r="O236" s="1"/>
  <c r="J236"/>
  <c r="K236" s="1"/>
  <c r="H236"/>
  <c r="Y236" s="1"/>
  <c r="G236"/>
  <c r="Z236" s="1"/>
  <c r="B236"/>
  <c r="W235"/>
  <c r="X235" s="1"/>
  <c r="R235"/>
  <c r="Q235"/>
  <c r="N235"/>
  <c r="P235" s="1"/>
  <c r="J235"/>
  <c r="L235" s="1"/>
  <c r="H235"/>
  <c r="Y235" s="1"/>
  <c r="G235"/>
  <c r="Z235" s="1"/>
  <c r="B235"/>
  <c r="W234"/>
  <c r="X234" s="1"/>
  <c r="R234"/>
  <c r="V234" s="1"/>
  <c r="Q234"/>
  <c r="N234"/>
  <c r="O234" s="1"/>
  <c r="J234"/>
  <c r="K234" s="1"/>
  <c r="H234"/>
  <c r="Y234" s="1"/>
  <c r="G234"/>
  <c r="Z234" s="1"/>
  <c r="B234"/>
  <c r="W233"/>
  <c r="X233" s="1"/>
  <c r="R233"/>
  <c r="V233" s="1"/>
  <c r="Q233"/>
  <c r="N233"/>
  <c r="O233" s="1"/>
  <c r="J233"/>
  <c r="K233" s="1"/>
  <c r="H233"/>
  <c r="Y233" s="1"/>
  <c r="G233"/>
  <c r="Z233" s="1"/>
  <c r="B233"/>
  <c r="W232"/>
  <c r="X232" s="1"/>
  <c r="R232"/>
  <c r="V232" s="1"/>
  <c r="Q232"/>
  <c r="N232"/>
  <c r="O232" s="1"/>
  <c r="J232"/>
  <c r="H232"/>
  <c r="Y232" s="1"/>
  <c r="G232"/>
  <c r="Z232" s="1"/>
  <c r="B232"/>
  <c r="W231"/>
  <c r="X231" s="1"/>
  <c r="R231"/>
  <c r="Q231"/>
  <c r="N231"/>
  <c r="P231" s="1"/>
  <c r="J231"/>
  <c r="L231" s="1"/>
  <c r="H231"/>
  <c r="Y231" s="1"/>
  <c r="G231"/>
  <c r="Z231" s="1"/>
  <c r="B231"/>
  <c r="W230"/>
  <c r="X230" s="1"/>
  <c r="R230"/>
  <c r="V230" s="1"/>
  <c r="Q230"/>
  <c r="N230"/>
  <c r="O230" s="1"/>
  <c r="J230"/>
  <c r="K230" s="1"/>
  <c r="H230"/>
  <c r="Y230" s="1"/>
  <c r="G230"/>
  <c r="Z230" s="1"/>
  <c r="B230"/>
  <c r="W229"/>
  <c r="X229" s="1"/>
  <c r="R229"/>
  <c r="V229" s="1"/>
  <c r="Q229"/>
  <c r="N229"/>
  <c r="P229" s="1"/>
  <c r="J229"/>
  <c r="K229" s="1"/>
  <c r="H229"/>
  <c r="Y229" s="1"/>
  <c r="G229"/>
  <c r="B229"/>
  <c r="W228"/>
  <c r="X228" s="1"/>
  <c r="R228"/>
  <c r="V228" s="1"/>
  <c r="Q228"/>
  <c r="N228"/>
  <c r="O228" s="1"/>
  <c r="J228"/>
  <c r="K228" s="1"/>
  <c r="H228"/>
  <c r="Y228" s="1"/>
  <c r="G228"/>
  <c r="Z228" s="1"/>
  <c r="B228"/>
  <c r="W227"/>
  <c r="X227" s="1"/>
  <c r="R227"/>
  <c r="V227" s="1"/>
  <c r="Q227"/>
  <c r="N227"/>
  <c r="P227" s="1"/>
  <c r="J227"/>
  <c r="L227" s="1"/>
  <c r="H227"/>
  <c r="Y227" s="1"/>
  <c r="G227"/>
  <c r="Z227" s="1"/>
  <c r="B227"/>
  <c r="W226"/>
  <c r="X226" s="1"/>
  <c r="R226"/>
  <c r="V226" s="1"/>
  <c r="Q226"/>
  <c r="N226"/>
  <c r="O226" s="1"/>
  <c r="J226"/>
  <c r="K226" s="1"/>
  <c r="H226"/>
  <c r="Y226" s="1"/>
  <c r="G226"/>
  <c r="Z226" s="1"/>
  <c r="B226"/>
  <c r="W225"/>
  <c r="X225" s="1"/>
  <c r="R225"/>
  <c r="V225" s="1"/>
  <c r="Q225"/>
  <c r="N225"/>
  <c r="P225" s="1"/>
  <c r="J225"/>
  <c r="L225" s="1"/>
  <c r="H225"/>
  <c r="Y225" s="1"/>
  <c r="G225"/>
  <c r="Z225" s="1"/>
  <c r="B225"/>
  <c r="W224"/>
  <c r="X224" s="1"/>
  <c r="R224"/>
  <c r="V224" s="1"/>
  <c r="Q224"/>
  <c r="N224"/>
  <c r="O224" s="1"/>
  <c r="J224"/>
  <c r="L224" s="1"/>
  <c r="H224"/>
  <c r="Y224" s="1"/>
  <c r="G224"/>
  <c r="Z224" s="1"/>
  <c r="B224"/>
  <c r="W223"/>
  <c r="X223" s="1"/>
  <c r="R223"/>
  <c r="Q223"/>
  <c r="N223"/>
  <c r="P223" s="1"/>
  <c r="J223"/>
  <c r="L223" s="1"/>
  <c r="H223"/>
  <c r="Y223" s="1"/>
  <c r="G223"/>
  <c r="Z223" s="1"/>
  <c r="B223"/>
  <c r="W222"/>
  <c r="X222" s="1"/>
  <c r="R222"/>
  <c r="V222" s="1"/>
  <c r="Q222"/>
  <c r="N222"/>
  <c r="O222" s="1"/>
  <c r="J222"/>
  <c r="K222" s="1"/>
  <c r="H222"/>
  <c r="Y222" s="1"/>
  <c r="G222"/>
  <c r="Z222" s="1"/>
  <c r="B222"/>
  <c r="W221"/>
  <c r="X221" s="1"/>
  <c r="R221"/>
  <c r="V221" s="1"/>
  <c r="Q221"/>
  <c r="N221"/>
  <c r="J221"/>
  <c r="K221" s="1"/>
  <c r="H221"/>
  <c r="Y221" s="1"/>
  <c r="G221"/>
  <c r="Z221" s="1"/>
  <c r="B221"/>
  <c r="W220"/>
  <c r="X220" s="1"/>
  <c r="R220"/>
  <c r="V220" s="1"/>
  <c r="Q220"/>
  <c r="N220"/>
  <c r="P220" s="1"/>
  <c r="J220"/>
  <c r="K220" s="1"/>
  <c r="H220"/>
  <c r="Y220" s="1"/>
  <c r="G220"/>
  <c r="Z220" s="1"/>
  <c r="B220"/>
  <c r="W219"/>
  <c r="X219" s="1"/>
  <c r="R219"/>
  <c r="V219" s="1"/>
  <c r="Q219"/>
  <c r="N219"/>
  <c r="P219" s="1"/>
  <c r="J219"/>
  <c r="L219" s="1"/>
  <c r="H219"/>
  <c r="Y219" s="1"/>
  <c r="G219"/>
  <c r="Z219" s="1"/>
  <c r="B219"/>
  <c r="W218"/>
  <c r="X218" s="1"/>
  <c r="R218"/>
  <c r="V218" s="1"/>
  <c r="Q218"/>
  <c r="N218"/>
  <c r="O218" s="1"/>
  <c r="J218"/>
  <c r="K218" s="1"/>
  <c r="H218"/>
  <c r="Y218" s="1"/>
  <c r="G218"/>
  <c r="Z218" s="1"/>
  <c r="B218"/>
  <c r="W217"/>
  <c r="X217" s="1"/>
  <c r="R217"/>
  <c r="V217" s="1"/>
  <c r="Q217"/>
  <c r="N217"/>
  <c r="J217"/>
  <c r="K217" s="1"/>
  <c r="H217"/>
  <c r="Y217" s="1"/>
  <c r="G217"/>
  <c r="Z217" s="1"/>
  <c r="B217"/>
  <c r="W216"/>
  <c r="X216" s="1"/>
  <c r="R216"/>
  <c r="V216" s="1"/>
  <c r="Q216"/>
  <c r="N216"/>
  <c r="O216" s="1"/>
  <c r="J216"/>
  <c r="L216" s="1"/>
  <c r="H216"/>
  <c r="Y216" s="1"/>
  <c r="G216"/>
  <c r="Z216" s="1"/>
  <c r="D186" i="18" s="1"/>
  <c r="F186" s="1"/>
  <c r="B216" i="26"/>
  <c r="W215"/>
  <c r="X215" s="1"/>
  <c r="R215"/>
  <c r="Q215"/>
  <c r="N215"/>
  <c r="P215" s="1"/>
  <c r="J215"/>
  <c r="L215" s="1"/>
  <c r="H215"/>
  <c r="Y215" s="1"/>
  <c r="G215"/>
  <c r="Z215" s="1"/>
  <c r="B215"/>
  <c r="W214"/>
  <c r="X214" s="1"/>
  <c r="R214"/>
  <c r="V214" s="1"/>
  <c r="Q214"/>
  <c r="N214"/>
  <c r="O214" s="1"/>
  <c r="J214"/>
  <c r="K214" s="1"/>
  <c r="H214"/>
  <c r="Y214" s="1"/>
  <c r="G214"/>
  <c r="Z214" s="1"/>
  <c r="B214"/>
  <c r="W213"/>
  <c r="X213" s="1"/>
  <c r="R213"/>
  <c r="V213" s="1"/>
  <c r="Q213"/>
  <c r="N213"/>
  <c r="O213" s="1"/>
  <c r="J213"/>
  <c r="K213" s="1"/>
  <c r="H213"/>
  <c r="Y213" s="1"/>
  <c r="G213"/>
  <c r="Z213" s="1"/>
  <c r="B213"/>
  <c r="W212"/>
  <c r="X212" s="1"/>
  <c r="R212"/>
  <c r="Q212"/>
  <c r="N212"/>
  <c r="P212" s="1"/>
  <c r="J212"/>
  <c r="L212" s="1"/>
  <c r="H212"/>
  <c r="Y212" s="1"/>
  <c r="G212"/>
  <c r="Z212" s="1"/>
  <c r="B212"/>
  <c r="W211"/>
  <c r="X211" s="1"/>
  <c r="R211"/>
  <c r="Q211"/>
  <c r="N211"/>
  <c r="O211" s="1"/>
  <c r="J211"/>
  <c r="L211" s="1"/>
  <c r="H211"/>
  <c r="Y211" s="1"/>
  <c r="G211"/>
  <c r="Z211" s="1"/>
  <c r="B211"/>
  <c r="W210"/>
  <c r="X210" s="1"/>
  <c r="R210"/>
  <c r="V210" s="1"/>
  <c r="Q210"/>
  <c r="N210"/>
  <c r="O210" s="1"/>
  <c r="J210"/>
  <c r="K210" s="1"/>
  <c r="H210"/>
  <c r="Y210" s="1"/>
  <c r="G210"/>
  <c r="Z210" s="1"/>
  <c r="B210"/>
  <c r="W209"/>
  <c r="X209" s="1"/>
  <c r="R209"/>
  <c r="V209" s="1"/>
  <c r="Q209"/>
  <c r="N209"/>
  <c r="O209" s="1"/>
  <c r="J209"/>
  <c r="K209" s="1"/>
  <c r="H209"/>
  <c r="Y209" s="1"/>
  <c r="G209"/>
  <c r="Z209" s="1"/>
  <c r="B209"/>
  <c r="W208"/>
  <c r="X208" s="1"/>
  <c r="R208"/>
  <c r="Q208"/>
  <c r="N208"/>
  <c r="O208" s="1"/>
  <c r="J208"/>
  <c r="K208" s="1"/>
  <c r="H208"/>
  <c r="Y208" s="1"/>
  <c r="G208"/>
  <c r="Z208" s="1"/>
  <c r="B208"/>
  <c r="W207"/>
  <c r="X207" s="1"/>
  <c r="R207"/>
  <c r="Q207"/>
  <c r="N207"/>
  <c r="P207" s="1"/>
  <c r="J207"/>
  <c r="L207" s="1"/>
  <c r="H207"/>
  <c r="Y207" s="1"/>
  <c r="G207"/>
  <c r="Z207" s="1"/>
  <c r="B207"/>
  <c r="W206"/>
  <c r="X206" s="1"/>
  <c r="R206"/>
  <c r="V206" s="1"/>
  <c r="Q206"/>
  <c r="N206"/>
  <c r="O206" s="1"/>
  <c r="J206"/>
  <c r="K206" s="1"/>
  <c r="H206"/>
  <c r="Y206" s="1"/>
  <c r="G206"/>
  <c r="Z206" s="1"/>
  <c r="B206"/>
  <c r="W205"/>
  <c r="X205" s="1"/>
  <c r="R205"/>
  <c r="V205" s="1"/>
  <c r="Q205"/>
  <c r="N205"/>
  <c r="O205" s="1"/>
  <c r="J205"/>
  <c r="K205" s="1"/>
  <c r="H205"/>
  <c r="Y205" s="1"/>
  <c r="Z205"/>
  <c r="B205"/>
  <c r="W204"/>
  <c r="X204" s="1"/>
  <c r="R204"/>
  <c r="Q204"/>
  <c r="N204"/>
  <c r="O204" s="1"/>
  <c r="J204"/>
  <c r="K204" s="1"/>
  <c r="H204"/>
  <c r="Y204" s="1"/>
  <c r="G204"/>
  <c r="Z204" s="1"/>
  <c r="B204"/>
  <c r="W203"/>
  <c r="X203" s="1"/>
  <c r="R203"/>
  <c r="Q203"/>
  <c r="N203"/>
  <c r="P203" s="1"/>
  <c r="J203"/>
  <c r="L203" s="1"/>
  <c r="H203"/>
  <c r="Y203" s="1"/>
  <c r="G203"/>
  <c r="Z203" s="1"/>
  <c r="B203"/>
  <c r="W202"/>
  <c r="X202" s="1"/>
  <c r="R202"/>
  <c r="V202" s="1"/>
  <c r="Q202"/>
  <c r="N202"/>
  <c r="O202" s="1"/>
  <c r="J202"/>
  <c r="K202" s="1"/>
  <c r="H202"/>
  <c r="Y202" s="1"/>
  <c r="G202"/>
  <c r="Z202" s="1"/>
  <c r="B202"/>
  <c r="W201"/>
  <c r="X201" s="1"/>
  <c r="R201"/>
  <c r="V201" s="1"/>
  <c r="Q201"/>
  <c r="N201"/>
  <c r="O201" s="1"/>
  <c r="J201"/>
  <c r="K201" s="1"/>
  <c r="H201"/>
  <c r="Y201" s="1"/>
  <c r="G201"/>
  <c r="Z201" s="1"/>
  <c r="B201"/>
  <c r="W200"/>
  <c r="X200" s="1"/>
  <c r="R200"/>
  <c r="Q200"/>
  <c r="N200"/>
  <c r="O200" s="1"/>
  <c r="J200"/>
  <c r="K200" s="1"/>
  <c r="H200"/>
  <c r="Y200" s="1"/>
  <c r="G200"/>
  <c r="Z200" s="1"/>
  <c r="B200"/>
  <c r="W199"/>
  <c r="X199" s="1"/>
  <c r="R199"/>
  <c r="V199" s="1"/>
  <c r="Q199"/>
  <c r="N199"/>
  <c r="P199" s="1"/>
  <c r="J199"/>
  <c r="L199" s="1"/>
  <c r="H199"/>
  <c r="Y199" s="1"/>
  <c r="G199"/>
  <c r="Z199" s="1"/>
  <c r="B199"/>
  <c r="W198"/>
  <c r="X198" s="1"/>
  <c r="R198"/>
  <c r="V198" s="1"/>
  <c r="Q198"/>
  <c r="N198"/>
  <c r="O198" s="1"/>
  <c r="J198"/>
  <c r="K198" s="1"/>
  <c r="H198"/>
  <c r="Y198" s="1"/>
  <c r="G198"/>
  <c r="Z198" s="1"/>
  <c r="B198"/>
  <c r="W197"/>
  <c r="X197" s="1"/>
  <c r="R197"/>
  <c r="V197" s="1"/>
  <c r="Q197"/>
  <c r="N197"/>
  <c r="O197" s="1"/>
  <c r="J197"/>
  <c r="K197" s="1"/>
  <c r="H197"/>
  <c r="Y197" s="1"/>
  <c r="G197"/>
  <c r="Z197" s="1"/>
  <c r="B197"/>
  <c r="W196"/>
  <c r="X196" s="1"/>
  <c r="R196"/>
  <c r="Q196"/>
  <c r="N196"/>
  <c r="O196" s="1"/>
  <c r="J196"/>
  <c r="K196" s="1"/>
  <c r="H196"/>
  <c r="Y196" s="1"/>
  <c r="G196"/>
  <c r="Z196" s="1"/>
  <c r="B196"/>
  <c r="W195"/>
  <c r="X195" s="1"/>
  <c r="R195"/>
  <c r="V195" s="1"/>
  <c r="Q195"/>
  <c r="N195"/>
  <c r="P195" s="1"/>
  <c r="J195"/>
  <c r="L195" s="1"/>
  <c r="H195"/>
  <c r="Y195" s="1"/>
  <c r="G195"/>
  <c r="Z195" s="1"/>
  <c r="B195"/>
  <c r="W194"/>
  <c r="X194" s="1"/>
  <c r="R194"/>
  <c r="V194" s="1"/>
  <c r="Q194"/>
  <c r="N194"/>
  <c r="O194" s="1"/>
  <c r="J194"/>
  <c r="K194" s="1"/>
  <c r="H194"/>
  <c r="Y194" s="1"/>
  <c r="G194"/>
  <c r="Z194" s="1"/>
  <c r="B194"/>
  <c r="W193"/>
  <c r="X193" s="1"/>
  <c r="R193"/>
  <c r="V193" s="1"/>
  <c r="Q193"/>
  <c r="N193"/>
  <c r="P193" s="1"/>
  <c r="J193"/>
  <c r="K193" s="1"/>
  <c r="H193"/>
  <c r="Y193" s="1"/>
  <c r="G193"/>
  <c r="Z193" s="1"/>
  <c r="B193"/>
  <c r="W192"/>
  <c r="X192" s="1"/>
  <c r="R192"/>
  <c r="Q192"/>
  <c r="N192"/>
  <c r="O192" s="1"/>
  <c r="J192"/>
  <c r="K192" s="1"/>
  <c r="H192"/>
  <c r="Y192" s="1"/>
  <c r="G192"/>
  <c r="Z192" s="1"/>
  <c r="B192"/>
  <c r="W191"/>
  <c r="X191" s="1"/>
  <c r="R191"/>
  <c r="V191" s="1"/>
  <c r="Q191"/>
  <c r="N191"/>
  <c r="P191" s="1"/>
  <c r="J191"/>
  <c r="L191" s="1"/>
  <c r="H191"/>
  <c r="Y191" s="1"/>
  <c r="G191"/>
  <c r="Z191" s="1"/>
  <c r="B191"/>
  <c r="W190"/>
  <c r="X190" s="1"/>
  <c r="R190"/>
  <c r="V190" s="1"/>
  <c r="Q190"/>
  <c r="N190"/>
  <c r="O190" s="1"/>
  <c r="J190"/>
  <c r="K190" s="1"/>
  <c r="H190"/>
  <c r="Y190" s="1"/>
  <c r="G190"/>
  <c r="Z190" s="1"/>
  <c r="B190"/>
  <c r="W189"/>
  <c r="X189" s="1"/>
  <c r="R189"/>
  <c r="V189" s="1"/>
  <c r="Q189"/>
  <c r="N189"/>
  <c r="P189" s="1"/>
  <c r="J189"/>
  <c r="L189" s="1"/>
  <c r="H189"/>
  <c r="Y189" s="1"/>
  <c r="G189"/>
  <c r="B189"/>
  <c r="W188"/>
  <c r="X188" s="1"/>
  <c r="R188"/>
  <c r="Q188"/>
  <c r="N188"/>
  <c r="J188"/>
  <c r="K188" s="1"/>
  <c r="H188"/>
  <c r="Y188" s="1"/>
  <c r="G188"/>
  <c r="Z188" s="1"/>
  <c r="B188"/>
  <c r="W187"/>
  <c r="X187" s="1"/>
  <c r="R187"/>
  <c r="V187" s="1"/>
  <c r="Q187"/>
  <c r="N187"/>
  <c r="J187"/>
  <c r="H187"/>
  <c r="Y187" s="1"/>
  <c r="G187"/>
  <c r="Z187" s="1"/>
  <c r="B187"/>
  <c r="W186"/>
  <c r="X186" s="1"/>
  <c r="R186"/>
  <c r="V186" s="1"/>
  <c r="Q186"/>
  <c r="N186"/>
  <c r="O186" s="1"/>
  <c r="J186"/>
  <c r="K186" s="1"/>
  <c r="H186"/>
  <c r="Y186" s="1"/>
  <c r="Z186"/>
  <c r="B186"/>
  <c r="W185"/>
  <c r="X185" s="1"/>
  <c r="R185"/>
  <c r="V185" s="1"/>
  <c r="Q185"/>
  <c r="N185"/>
  <c r="O185" s="1"/>
  <c r="J185"/>
  <c r="L185" s="1"/>
  <c r="H185"/>
  <c r="Y185" s="1"/>
  <c r="G185"/>
  <c r="B185"/>
  <c r="W184"/>
  <c r="X184" s="1"/>
  <c r="R184"/>
  <c r="Q184"/>
  <c r="N184"/>
  <c r="J184"/>
  <c r="K184" s="1"/>
  <c r="H184"/>
  <c r="Y184" s="1"/>
  <c r="G184"/>
  <c r="Z184" s="1"/>
  <c r="D43" i="18" s="1"/>
  <c r="F43" s="1"/>
  <c r="B184" i="26"/>
  <c r="W183"/>
  <c r="X183" s="1"/>
  <c r="R183"/>
  <c r="V183" s="1"/>
  <c r="Q183"/>
  <c r="N183"/>
  <c r="P183" s="1"/>
  <c r="J183"/>
  <c r="H183"/>
  <c r="Y183" s="1"/>
  <c r="G183"/>
  <c r="Z183" s="1"/>
  <c r="B183"/>
  <c r="W182"/>
  <c r="X182" s="1"/>
  <c r="R182"/>
  <c r="V182" s="1"/>
  <c r="Q182"/>
  <c r="N182"/>
  <c r="O182" s="1"/>
  <c r="J182"/>
  <c r="K182" s="1"/>
  <c r="H182"/>
  <c r="Y182" s="1"/>
  <c r="G182"/>
  <c r="Z182" s="1"/>
  <c r="B182"/>
  <c r="W181"/>
  <c r="X181" s="1"/>
  <c r="R181"/>
  <c r="V181" s="1"/>
  <c r="Q181"/>
  <c r="N181"/>
  <c r="O181" s="1"/>
  <c r="J181"/>
  <c r="K181" s="1"/>
  <c r="H181"/>
  <c r="Y181" s="1"/>
  <c r="G181"/>
  <c r="B181"/>
  <c r="W180"/>
  <c r="X180" s="1"/>
  <c r="R180"/>
  <c r="Q180"/>
  <c r="N180"/>
  <c r="J180"/>
  <c r="K180" s="1"/>
  <c r="H180"/>
  <c r="Y180" s="1"/>
  <c r="G180"/>
  <c r="Z180" s="1"/>
  <c r="B180"/>
  <c r="W179"/>
  <c r="X179" s="1"/>
  <c r="R179"/>
  <c r="V179" s="1"/>
  <c r="Q179"/>
  <c r="N179"/>
  <c r="P179" s="1"/>
  <c r="J179"/>
  <c r="H179"/>
  <c r="Y179" s="1"/>
  <c r="G179"/>
  <c r="Z179" s="1"/>
  <c r="B179"/>
  <c r="W178"/>
  <c r="X178" s="1"/>
  <c r="R178"/>
  <c r="V178" s="1"/>
  <c r="Q178"/>
  <c r="N178"/>
  <c r="O178" s="1"/>
  <c r="J178"/>
  <c r="K178" s="1"/>
  <c r="H178"/>
  <c r="Y178" s="1"/>
  <c r="G178"/>
  <c r="Z178" s="1"/>
  <c r="B178"/>
  <c r="W177"/>
  <c r="X177" s="1"/>
  <c r="R177"/>
  <c r="V177" s="1"/>
  <c r="Q177"/>
  <c r="N177"/>
  <c r="P177" s="1"/>
  <c r="J177"/>
  <c r="K177" s="1"/>
  <c r="H177"/>
  <c r="Y177" s="1"/>
  <c r="G177"/>
  <c r="Z177" s="1"/>
  <c r="B177"/>
  <c r="W176"/>
  <c r="X176" s="1"/>
  <c r="R176"/>
  <c r="Q176"/>
  <c r="N176"/>
  <c r="J176"/>
  <c r="K176" s="1"/>
  <c r="H176"/>
  <c r="Y176" s="1"/>
  <c r="G176"/>
  <c r="Z176" s="1"/>
  <c r="B176"/>
  <c r="W175"/>
  <c r="X175" s="1"/>
  <c r="R175"/>
  <c r="V175" s="1"/>
  <c r="Q175"/>
  <c r="N175"/>
  <c r="P175" s="1"/>
  <c r="J175"/>
  <c r="H175"/>
  <c r="Y175" s="1"/>
  <c r="G175"/>
  <c r="Z175" s="1"/>
  <c r="B175"/>
  <c r="W174"/>
  <c r="X174" s="1"/>
  <c r="R174"/>
  <c r="V174" s="1"/>
  <c r="Q174"/>
  <c r="N174"/>
  <c r="O174" s="1"/>
  <c r="J174"/>
  <c r="K174" s="1"/>
  <c r="H174"/>
  <c r="Y174" s="1"/>
  <c r="G174"/>
  <c r="Z174" s="1"/>
  <c r="B174"/>
  <c r="W173"/>
  <c r="X173" s="1"/>
  <c r="R173"/>
  <c r="V173" s="1"/>
  <c r="Q173"/>
  <c r="N173"/>
  <c r="O173" s="1"/>
  <c r="J173"/>
  <c r="L173" s="1"/>
  <c r="H173"/>
  <c r="Y173" s="1"/>
  <c r="G173"/>
  <c r="Z173" s="1"/>
  <c r="B173"/>
  <c r="W172"/>
  <c r="X172" s="1"/>
  <c r="R172"/>
  <c r="Q172"/>
  <c r="N172"/>
  <c r="J172"/>
  <c r="K172" s="1"/>
  <c r="H172"/>
  <c r="Y172" s="1"/>
  <c r="G172"/>
  <c r="Z172" s="1"/>
  <c r="B172"/>
  <c r="W171"/>
  <c r="X171" s="1"/>
  <c r="R171"/>
  <c r="V171" s="1"/>
  <c r="Q171"/>
  <c r="N171"/>
  <c r="P171" s="1"/>
  <c r="J171"/>
  <c r="H171"/>
  <c r="Y171" s="1"/>
  <c r="G171"/>
  <c r="Z171" s="1"/>
  <c r="B171"/>
  <c r="W170"/>
  <c r="X170" s="1"/>
  <c r="R170"/>
  <c r="V170" s="1"/>
  <c r="Q170"/>
  <c r="N170"/>
  <c r="O170" s="1"/>
  <c r="J170"/>
  <c r="K170" s="1"/>
  <c r="H170"/>
  <c r="Y170" s="1"/>
  <c r="G170"/>
  <c r="Z170" s="1"/>
  <c r="B170"/>
  <c r="W169"/>
  <c r="X169" s="1"/>
  <c r="R169"/>
  <c r="V169" s="1"/>
  <c r="Q169"/>
  <c r="N169"/>
  <c r="P169" s="1"/>
  <c r="J169"/>
  <c r="K169" s="1"/>
  <c r="H169"/>
  <c r="Y169" s="1"/>
  <c r="G169"/>
  <c r="B169"/>
  <c r="W168"/>
  <c r="X168" s="1"/>
  <c r="R168"/>
  <c r="Q168"/>
  <c r="N168"/>
  <c r="J168"/>
  <c r="K168" s="1"/>
  <c r="H168"/>
  <c r="Y168" s="1"/>
  <c r="G168"/>
  <c r="Z168" s="1"/>
  <c r="B168"/>
  <c r="W167"/>
  <c r="X167" s="1"/>
  <c r="R167"/>
  <c r="V167" s="1"/>
  <c r="Q167"/>
  <c r="N167"/>
  <c r="P167" s="1"/>
  <c r="J167"/>
  <c r="H167"/>
  <c r="Y167" s="1"/>
  <c r="G167"/>
  <c r="Z167" s="1"/>
  <c r="B167"/>
  <c r="W166"/>
  <c r="X166" s="1"/>
  <c r="R166"/>
  <c r="V166" s="1"/>
  <c r="Q166"/>
  <c r="N166"/>
  <c r="O166" s="1"/>
  <c r="J166"/>
  <c r="K166" s="1"/>
  <c r="H166"/>
  <c r="Y166" s="1"/>
  <c r="G166"/>
  <c r="Z166" s="1"/>
  <c r="B166"/>
  <c r="W165"/>
  <c r="X165" s="1"/>
  <c r="R165"/>
  <c r="V165" s="1"/>
  <c r="Q165"/>
  <c r="N165"/>
  <c r="O165" s="1"/>
  <c r="J165"/>
  <c r="L165" s="1"/>
  <c r="H165"/>
  <c r="Y165" s="1"/>
  <c r="G165"/>
  <c r="Z165" s="1"/>
  <c r="B165"/>
  <c r="W164"/>
  <c r="X164" s="1"/>
  <c r="R164"/>
  <c r="Q164"/>
  <c r="N164"/>
  <c r="J164"/>
  <c r="K164" s="1"/>
  <c r="H164"/>
  <c r="Y164" s="1"/>
  <c r="G164"/>
  <c r="Z164" s="1"/>
  <c r="B164"/>
  <c r="W163"/>
  <c r="X163" s="1"/>
  <c r="R163"/>
  <c r="V163" s="1"/>
  <c r="Q163"/>
  <c r="N163"/>
  <c r="P163" s="1"/>
  <c r="J163"/>
  <c r="K163" s="1"/>
  <c r="H163"/>
  <c r="Y163" s="1"/>
  <c r="G163"/>
  <c r="Z163" s="1"/>
  <c r="B163"/>
  <c r="W162"/>
  <c r="X162" s="1"/>
  <c r="R162"/>
  <c r="V162" s="1"/>
  <c r="Q162"/>
  <c r="N162"/>
  <c r="O162" s="1"/>
  <c r="J162"/>
  <c r="K162" s="1"/>
  <c r="H162"/>
  <c r="Y162" s="1"/>
  <c r="G162"/>
  <c r="Z162" s="1"/>
  <c r="B162"/>
  <c r="W161"/>
  <c r="X161" s="1"/>
  <c r="R161"/>
  <c r="V161" s="1"/>
  <c r="Q161"/>
  <c r="N161"/>
  <c r="O161" s="1"/>
  <c r="J161"/>
  <c r="K161" s="1"/>
  <c r="H161"/>
  <c r="Y161" s="1"/>
  <c r="G161"/>
  <c r="Z161" s="1"/>
  <c r="B161"/>
  <c r="W160"/>
  <c r="X160" s="1"/>
  <c r="R160"/>
  <c r="Q160"/>
  <c r="N160"/>
  <c r="J160"/>
  <c r="K160" s="1"/>
  <c r="H160"/>
  <c r="Y160" s="1"/>
  <c r="G160"/>
  <c r="Z160" s="1"/>
  <c r="B160"/>
  <c r="W159"/>
  <c r="X159" s="1"/>
  <c r="R159"/>
  <c r="V159" s="1"/>
  <c r="Q159"/>
  <c r="N159"/>
  <c r="P159" s="1"/>
  <c r="J159"/>
  <c r="H159"/>
  <c r="Y159" s="1"/>
  <c r="G159"/>
  <c r="Z159" s="1"/>
  <c r="B159"/>
  <c r="W158"/>
  <c r="X158" s="1"/>
  <c r="R158"/>
  <c r="V158" s="1"/>
  <c r="Q158"/>
  <c r="N158"/>
  <c r="O158" s="1"/>
  <c r="J158"/>
  <c r="K158" s="1"/>
  <c r="H158"/>
  <c r="Y158" s="1"/>
  <c r="G158"/>
  <c r="Z158" s="1"/>
  <c r="B158"/>
  <c r="W157"/>
  <c r="X157" s="1"/>
  <c r="R157"/>
  <c r="Q157"/>
  <c r="N157"/>
  <c r="J157"/>
  <c r="L157" s="1"/>
  <c r="H157"/>
  <c r="Y157" s="1"/>
  <c r="G157"/>
  <c r="Z157" s="1"/>
  <c r="B157"/>
  <c r="W156"/>
  <c r="X156" s="1"/>
  <c r="R156"/>
  <c r="Q156"/>
  <c r="N156"/>
  <c r="J156"/>
  <c r="K156" s="1"/>
  <c r="H156"/>
  <c r="Y156" s="1"/>
  <c r="G156"/>
  <c r="Z156" s="1"/>
  <c r="B156"/>
  <c r="W155"/>
  <c r="X155" s="1"/>
  <c r="R155"/>
  <c r="V155" s="1"/>
  <c r="Q155"/>
  <c r="H155"/>
  <c r="Y155" s="1"/>
  <c r="G155"/>
  <c r="Z155" s="1"/>
  <c r="B155"/>
  <c r="W154"/>
  <c r="X154" s="1"/>
  <c r="R154"/>
  <c r="V154" s="1"/>
  <c r="Q154"/>
  <c r="O154"/>
  <c r="K154"/>
  <c r="H154"/>
  <c r="Y154" s="1"/>
  <c r="G154"/>
  <c r="Z154" s="1"/>
  <c r="B154"/>
  <c r="W153"/>
  <c r="X153" s="1"/>
  <c r="R153"/>
  <c r="Q153"/>
  <c r="O153"/>
  <c r="K153"/>
  <c r="H153"/>
  <c r="Y153" s="1"/>
  <c r="G153"/>
  <c r="Z153" s="1"/>
  <c r="B153"/>
  <c r="W152"/>
  <c r="X152" s="1"/>
  <c r="R152"/>
  <c r="Q152"/>
  <c r="K152"/>
  <c r="H152"/>
  <c r="Y152" s="1"/>
  <c r="G152"/>
  <c r="Z152" s="1"/>
  <c r="B152"/>
  <c r="W151"/>
  <c r="X151" s="1"/>
  <c r="R151"/>
  <c r="V151" s="1"/>
  <c r="Q151"/>
  <c r="N151"/>
  <c r="P151" s="1"/>
  <c r="J151"/>
  <c r="H151"/>
  <c r="Y151" s="1"/>
  <c r="G151"/>
  <c r="Z151" s="1"/>
  <c r="B151"/>
  <c r="W150"/>
  <c r="X150" s="1"/>
  <c r="R150"/>
  <c r="V150" s="1"/>
  <c r="Q150"/>
  <c r="N150"/>
  <c r="O150" s="1"/>
  <c r="J150"/>
  <c r="K150" s="1"/>
  <c r="H150"/>
  <c r="Y150" s="1"/>
  <c r="G150"/>
  <c r="Z150" s="1"/>
  <c r="B150"/>
  <c r="W149"/>
  <c r="X149" s="1"/>
  <c r="R149"/>
  <c r="V149" s="1"/>
  <c r="Q149"/>
  <c r="N149"/>
  <c r="P149" s="1"/>
  <c r="J149"/>
  <c r="K149" s="1"/>
  <c r="H149"/>
  <c r="Y149" s="1"/>
  <c r="G149"/>
  <c r="Z149" s="1"/>
  <c r="W148"/>
  <c r="X148" s="1"/>
  <c r="R148"/>
  <c r="Q148"/>
  <c r="N148"/>
  <c r="J148"/>
  <c r="K148" s="1"/>
  <c r="H148"/>
  <c r="Y148" s="1"/>
  <c r="G148"/>
  <c r="Z148" s="1"/>
  <c r="B148"/>
  <c r="W147"/>
  <c r="X147" s="1"/>
  <c r="R147"/>
  <c r="V147" s="1"/>
  <c r="Q147"/>
  <c r="N147"/>
  <c r="P147" s="1"/>
  <c r="J147"/>
  <c r="H147"/>
  <c r="Y147" s="1"/>
  <c r="G147"/>
  <c r="Z147" s="1"/>
  <c r="B147"/>
  <c r="W146"/>
  <c r="X146" s="1"/>
  <c r="R146"/>
  <c r="V146" s="1"/>
  <c r="Q146"/>
  <c r="N146"/>
  <c r="O146" s="1"/>
  <c r="J146"/>
  <c r="H146"/>
  <c r="Y146" s="1"/>
  <c r="G146"/>
  <c r="Z146" s="1"/>
  <c r="B146"/>
  <c r="W145"/>
  <c r="X145" s="1"/>
  <c r="R145"/>
  <c r="Q145"/>
  <c r="N145"/>
  <c r="O145" s="1"/>
  <c r="J145"/>
  <c r="L145" s="1"/>
  <c r="H145"/>
  <c r="Y145" s="1"/>
  <c r="G145"/>
  <c r="Z145" s="1"/>
  <c r="B145"/>
  <c r="W144"/>
  <c r="X144" s="1"/>
  <c r="R144"/>
  <c r="Q144"/>
  <c r="N144"/>
  <c r="J144"/>
  <c r="K144" s="1"/>
  <c r="H144"/>
  <c r="Y144" s="1"/>
  <c r="G144"/>
  <c r="Z144" s="1"/>
  <c r="B144"/>
  <c r="W143"/>
  <c r="X143" s="1"/>
  <c r="R143"/>
  <c r="V143" s="1"/>
  <c r="Q143"/>
  <c r="N143"/>
  <c r="P143" s="1"/>
  <c r="J143"/>
  <c r="H143"/>
  <c r="Y143" s="1"/>
  <c r="G143"/>
  <c r="Z143" s="1"/>
  <c r="D64" i="18" s="1"/>
  <c r="F64" s="1"/>
  <c r="B143" i="26"/>
  <c r="W142"/>
  <c r="X142" s="1"/>
  <c r="R142"/>
  <c r="Q142"/>
  <c r="N142"/>
  <c r="J142"/>
  <c r="H142"/>
  <c r="Y142" s="1"/>
  <c r="G142"/>
  <c r="Z142" s="1"/>
  <c r="B142"/>
  <c r="W141"/>
  <c r="X141" s="1"/>
  <c r="R141"/>
  <c r="V141" s="1"/>
  <c r="Q141"/>
  <c r="N141"/>
  <c r="P141" s="1"/>
  <c r="J141"/>
  <c r="K141" s="1"/>
  <c r="H141"/>
  <c r="Y141" s="1"/>
  <c r="G141"/>
  <c r="Z141" s="1"/>
  <c r="B141"/>
  <c r="W140"/>
  <c r="X140" s="1"/>
  <c r="R140"/>
  <c r="Q140"/>
  <c r="N140"/>
  <c r="J140"/>
  <c r="K140" s="1"/>
  <c r="H140"/>
  <c r="Y140" s="1"/>
  <c r="G140"/>
  <c r="Z140" s="1"/>
  <c r="B140"/>
  <c r="W139"/>
  <c r="X139" s="1"/>
  <c r="R139"/>
  <c r="V139" s="1"/>
  <c r="Q139"/>
  <c r="N139"/>
  <c r="J139"/>
  <c r="H139"/>
  <c r="Y139" s="1"/>
  <c r="G139"/>
  <c r="Z139" s="1"/>
  <c r="B139"/>
  <c r="W138"/>
  <c r="X138" s="1"/>
  <c r="R138"/>
  <c r="Q138"/>
  <c r="N138"/>
  <c r="J138"/>
  <c r="H138"/>
  <c r="Y138" s="1"/>
  <c r="G138"/>
  <c r="Z138" s="1"/>
  <c r="B138"/>
  <c r="W137"/>
  <c r="X137" s="1"/>
  <c r="R137"/>
  <c r="Q137"/>
  <c r="N137"/>
  <c r="O137" s="1"/>
  <c r="J137"/>
  <c r="L137" s="1"/>
  <c r="H137"/>
  <c r="Y137" s="1"/>
  <c r="G137"/>
  <c r="Z137" s="1"/>
  <c r="B137"/>
  <c r="W136"/>
  <c r="X136" s="1"/>
  <c r="R136"/>
  <c r="Q136"/>
  <c r="N136"/>
  <c r="J136"/>
  <c r="K136" s="1"/>
  <c r="H136"/>
  <c r="Y136" s="1"/>
  <c r="G136"/>
  <c r="Z136" s="1"/>
  <c r="B136"/>
  <c r="W135"/>
  <c r="X135" s="1"/>
  <c r="R135"/>
  <c r="V135" s="1"/>
  <c r="Q135"/>
  <c r="N135"/>
  <c r="P135" s="1"/>
  <c r="J135"/>
  <c r="H135"/>
  <c r="Y135" s="1"/>
  <c r="G135"/>
  <c r="Z135" s="1"/>
  <c r="B135"/>
  <c r="W134"/>
  <c r="X134" s="1"/>
  <c r="R134"/>
  <c r="Q134"/>
  <c r="N134"/>
  <c r="O134" s="1"/>
  <c r="J134"/>
  <c r="K134" s="1"/>
  <c r="H134"/>
  <c r="Y134" s="1"/>
  <c r="G134"/>
  <c r="Z134" s="1"/>
  <c r="B134"/>
  <c r="W133"/>
  <c r="X133" s="1"/>
  <c r="R133"/>
  <c r="V133" s="1"/>
  <c r="Q133"/>
  <c r="N133"/>
  <c r="O133" s="1"/>
  <c r="J133"/>
  <c r="K133" s="1"/>
  <c r="H133"/>
  <c r="Y133" s="1"/>
  <c r="G133"/>
  <c r="Z133" s="1"/>
  <c r="B133"/>
  <c r="W132"/>
  <c r="X132" s="1"/>
  <c r="R132"/>
  <c r="Q132"/>
  <c r="N132"/>
  <c r="O132" s="1"/>
  <c r="J132"/>
  <c r="K132" s="1"/>
  <c r="H132"/>
  <c r="Y132" s="1"/>
  <c r="G132"/>
  <c r="Z132" s="1"/>
  <c r="B132"/>
  <c r="W131"/>
  <c r="X131" s="1"/>
  <c r="R131"/>
  <c r="V131" s="1"/>
  <c r="Q131"/>
  <c r="N131"/>
  <c r="P131" s="1"/>
  <c r="J131"/>
  <c r="H131"/>
  <c r="Y131" s="1"/>
  <c r="G131"/>
  <c r="Z131" s="1"/>
  <c r="B131"/>
  <c r="W130"/>
  <c r="X130" s="1"/>
  <c r="R130"/>
  <c r="Q130"/>
  <c r="N130"/>
  <c r="O130" s="1"/>
  <c r="J130"/>
  <c r="K130" s="1"/>
  <c r="H130"/>
  <c r="Y130" s="1"/>
  <c r="G130"/>
  <c r="Z130" s="1"/>
  <c r="B130"/>
  <c r="W129"/>
  <c r="X129" s="1"/>
  <c r="R129"/>
  <c r="V129" s="1"/>
  <c r="Q129"/>
  <c r="N129"/>
  <c r="O129" s="1"/>
  <c r="J129"/>
  <c r="K129" s="1"/>
  <c r="H129"/>
  <c r="Y129" s="1"/>
  <c r="G129"/>
  <c r="Z129" s="1"/>
  <c r="B129"/>
  <c r="W128"/>
  <c r="X128" s="1"/>
  <c r="R128"/>
  <c r="Q128"/>
  <c r="N128"/>
  <c r="O128" s="1"/>
  <c r="J128"/>
  <c r="K128" s="1"/>
  <c r="H128"/>
  <c r="Y128" s="1"/>
  <c r="G128"/>
  <c r="Z128" s="1"/>
  <c r="B128"/>
  <c r="W127"/>
  <c r="X127" s="1"/>
  <c r="R127"/>
  <c r="V127" s="1"/>
  <c r="Q127"/>
  <c r="N127"/>
  <c r="P127" s="1"/>
  <c r="J127"/>
  <c r="H127"/>
  <c r="Y127" s="1"/>
  <c r="G127"/>
  <c r="Z127" s="1"/>
  <c r="B127"/>
  <c r="W126"/>
  <c r="X126" s="1"/>
  <c r="R126"/>
  <c r="Q126"/>
  <c r="N126"/>
  <c r="O126" s="1"/>
  <c r="J126"/>
  <c r="K126" s="1"/>
  <c r="H126"/>
  <c r="Y126" s="1"/>
  <c r="G126"/>
  <c r="Z126" s="1"/>
  <c r="B126"/>
  <c r="W125"/>
  <c r="X125" s="1"/>
  <c r="R125"/>
  <c r="Q125"/>
  <c r="N125"/>
  <c r="O125" s="1"/>
  <c r="J125"/>
  <c r="K125" s="1"/>
  <c r="H125"/>
  <c r="Y125" s="1"/>
  <c r="G125"/>
  <c r="Z125" s="1"/>
  <c r="B125"/>
  <c r="W124"/>
  <c r="X124" s="1"/>
  <c r="R124"/>
  <c r="V124" s="1"/>
  <c r="Q124"/>
  <c r="N124"/>
  <c r="O124" s="1"/>
  <c r="J124"/>
  <c r="H124"/>
  <c r="Y124" s="1"/>
  <c r="G124"/>
  <c r="Z124" s="1"/>
  <c r="B124"/>
  <c r="W123"/>
  <c r="X123" s="1"/>
  <c r="R123"/>
  <c r="V123" s="1"/>
  <c r="Q123"/>
  <c r="N123"/>
  <c r="P123" s="1"/>
  <c r="J123"/>
  <c r="L123" s="1"/>
  <c r="H123"/>
  <c r="Y123" s="1"/>
  <c r="G123"/>
  <c r="Z123" s="1"/>
  <c r="B123"/>
  <c r="W122"/>
  <c r="X122" s="1"/>
  <c r="R122"/>
  <c r="V122" s="1"/>
  <c r="Q122"/>
  <c r="N122"/>
  <c r="O122" s="1"/>
  <c r="J122"/>
  <c r="K122" s="1"/>
  <c r="H122"/>
  <c r="Y122" s="1"/>
  <c r="G122"/>
  <c r="Z122" s="1"/>
  <c r="B122"/>
  <c r="W121"/>
  <c r="X121" s="1"/>
  <c r="R121"/>
  <c r="V121" s="1"/>
  <c r="Q121"/>
  <c r="N121"/>
  <c r="P121" s="1"/>
  <c r="J121"/>
  <c r="K121" s="1"/>
  <c r="H121"/>
  <c r="Y121" s="1"/>
  <c r="G121"/>
  <c r="B121"/>
  <c r="W120"/>
  <c r="X120" s="1"/>
  <c r="R120"/>
  <c r="V120" s="1"/>
  <c r="Q120"/>
  <c r="N120"/>
  <c r="O120" s="1"/>
  <c r="J120"/>
  <c r="K120" s="1"/>
  <c r="H120"/>
  <c r="Y120" s="1"/>
  <c r="G120"/>
  <c r="Z120" s="1"/>
  <c r="B120"/>
  <c r="W119"/>
  <c r="X119" s="1"/>
  <c r="R119"/>
  <c r="V119" s="1"/>
  <c r="Q119"/>
  <c r="N119"/>
  <c r="P119" s="1"/>
  <c r="J119"/>
  <c r="L119" s="1"/>
  <c r="H119"/>
  <c r="Y119" s="1"/>
  <c r="G119"/>
  <c r="Z119" s="1"/>
  <c r="B119"/>
  <c r="W118"/>
  <c r="X118" s="1"/>
  <c r="R118"/>
  <c r="Q118"/>
  <c r="N118"/>
  <c r="O118" s="1"/>
  <c r="J118"/>
  <c r="K118" s="1"/>
  <c r="H118"/>
  <c r="Y118" s="1"/>
  <c r="G118"/>
  <c r="Z118" s="1"/>
  <c r="B118"/>
  <c r="W117"/>
  <c r="X117" s="1"/>
  <c r="R117"/>
  <c r="V117" s="1"/>
  <c r="Q117"/>
  <c r="N117"/>
  <c r="P117" s="1"/>
  <c r="J117"/>
  <c r="L117" s="1"/>
  <c r="H117"/>
  <c r="Y117" s="1"/>
  <c r="G117"/>
  <c r="Z117" s="1"/>
  <c r="B117"/>
  <c r="W116"/>
  <c r="X116" s="1"/>
  <c r="R116"/>
  <c r="V116" s="1"/>
  <c r="Q116"/>
  <c r="N116"/>
  <c r="P116" s="1"/>
  <c r="J116"/>
  <c r="L116" s="1"/>
  <c r="H116"/>
  <c r="Y116" s="1"/>
  <c r="G116"/>
  <c r="Z116" s="1"/>
  <c r="B116"/>
  <c r="W115"/>
  <c r="X115" s="1"/>
  <c r="R115"/>
  <c r="V115" s="1"/>
  <c r="Q115"/>
  <c r="N115"/>
  <c r="P115" s="1"/>
  <c r="J115"/>
  <c r="L115" s="1"/>
  <c r="H115"/>
  <c r="Y115" s="1"/>
  <c r="G115"/>
  <c r="Z115" s="1"/>
  <c r="B115"/>
  <c r="W114"/>
  <c r="X114" s="1"/>
  <c r="R114"/>
  <c r="V114" s="1"/>
  <c r="Q114"/>
  <c r="N114"/>
  <c r="O114" s="1"/>
  <c r="J114"/>
  <c r="K114" s="1"/>
  <c r="H114"/>
  <c r="Y114" s="1"/>
  <c r="G114"/>
  <c r="Z114" s="1"/>
  <c r="B114"/>
  <c r="W113"/>
  <c r="X113" s="1"/>
  <c r="R113"/>
  <c r="V113" s="1"/>
  <c r="Q113"/>
  <c r="N113"/>
  <c r="P113" s="1"/>
  <c r="J113"/>
  <c r="K113" s="1"/>
  <c r="H113"/>
  <c r="Y113" s="1"/>
  <c r="G113"/>
  <c r="Z113" s="1"/>
  <c r="B113"/>
  <c r="W112"/>
  <c r="X112" s="1"/>
  <c r="R112"/>
  <c r="V112" s="1"/>
  <c r="Q112"/>
  <c r="N112"/>
  <c r="P112" s="1"/>
  <c r="J112"/>
  <c r="L112" s="1"/>
  <c r="H112"/>
  <c r="Y112" s="1"/>
  <c r="G112"/>
  <c r="Z112" s="1"/>
  <c r="D52" i="18" s="1"/>
  <c r="F52" s="1"/>
  <c r="B112" i="26"/>
  <c r="W111"/>
  <c r="X111" s="1"/>
  <c r="R111"/>
  <c r="V111" s="1"/>
  <c r="Q111"/>
  <c r="N111"/>
  <c r="P111" s="1"/>
  <c r="J111"/>
  <c r="L111" s="1"/>
  <c r="H111"/>
  <c r="Y111" s="1"/>
  <c r="G111"/>
  <c r="Z111" s="1"/>
  <c r="B111"/>
  <c r="W110"/>
  <c r="X110" s="1"/>
  <c r="R110"/>
  <c r="Q110"/>
  <c r="N110"/>
  <c r="O110" s="1"/>
  <c r="J110"/>
  <c r="K110" s="1"/>
  <c r="H110"/>
  <c r="Y110" s="1"/>
  <c r="G110"/>
  <c r="Z110" s="1"/>
  <c r="B110"/>
  <c r="W109"/>
  <c r="X109" s="1"/>
  <c r="R109"/>
  <c r="V109" s="1"/>
  <c r="Q109"/>
  <c r="N109"/>
  <c r="P109" s="1"/>
  <c r="J109"/>
  <c r="L109" s="1"/>
  <c r="Y109"/>
  <c r="G109"/>
  <c r="Z109" s="1"/>
  <c r="B109"/>
  <c r="W108"/>
  <c r="X108" s="1"/>
  <c r="R108"/>
  <c r="V108" s="1"/>
  <c r="Q108"/>
  <c r="N108"/>
  <c r="O108" s="1"/>
  <c r="J108"/>
  <c r="L108" s="1"/>
  <c r="H108"/>
  <c r="Y108" s="1"/>
  <c r="G108"/>
  <c r="Z108" s="1"/>
  <c r="B108"/>
  <c r="W107"/>
  <c r="X107" s="1"/>
  <c r="R107"/>
  <c r="V107" s="1"/>
  <c r="Q107"/>
  <c r="N107"/>
  <c r="P107" s="1"/>
  <c r="J107"/>
  <c r="L107" s="1"/>
  <c r="H107"/>
  <c r="Y107" s="1"/>
  <c r="G107"/>
  <c r="Z107" s="1"/>
  <c r="B107"/>
  <c r="W106"/>
  <c r="X106" s="1"/>
  <c r="R106"/>
  <c r="V106" s="1"/>
  <c r="Q106"/>
  <c r="N106"/>
  <c r="O106" s="1"/>
  <c r="J106"/>
  <c r="K106" s="1"/>
  <c r="H106"/>
  <c r="Y106" s="1"/>
  <c r="G106"/>
  <c r="Z106" s="1"/>
  <c r="B106"/>
  <c r="W105"/>
  <c r="X105" s="1"/>
  <c r="R105"/>
  <c r="Q105"/>
  <c r="N105"/>
  <c r="O105" s="1"/>
  <c r="J105"/>
  <c r="K105" s="1"/>
  <c r="H105"/>
  <c r="Y105" s="1"/>
  <c r="G105"/>
  <c r="Z105" s="1"/>
  <c r="B105"/>
  <c r="W104"/>
  <c r="X104" s="1"/>
  <c r="R104"/>
  <c r="V104" s="1"/>
  <c r="Q104"/>
  <c r="N104"/>
  <c r="P104" s="1"/>
  <c r="J104"/>
  <c r="L104" s="1"/>
  <c r="H104"/>
  <c r="Y104" s="1"/>
  <c r="G104"/>
  <c r="Z104" s="1"/>
  <c r="B104"/>
  <c r="W103"/>
  <c r="X103" s="1"/>
  <c r="R103"/>
  <c r="Q103"/>
  <c r="N103"/>
  <c r="P103" s="1"/>
  <c r="J103"/>
  <c r="L103" s="1"/>
  <c r="H103"/>
  <c r="Y103" s="1"/>
  <c r="G103"/>
  <c r="Z103" s="1"/>
  <c r="B103"/>
  <c r="W102"/>
  <c r="X102" s="1"/>
  <c r="R102"/>
  <c r="V102" s="1"/>
  <c r="Q102"/>
  <c r="N102"/>
  <c r="P102" s="1"/>
  <c r="J102"/>
  <c r="L102" s="1"/>
  <c r="H102"/>
  <c r="Y102" s="1"/>
  <c r="G102"/>
  <c r="Z102" s="1"/>
  <c r="B102"/>
  <c r="W101"/>
  <c r="X101" s="1"/>
  <c r="R101"/>
  <c r="Q101"/>
  <c r="N101"/>
  <c r="O101" s="1"/>
  <c r="J101"/>
  <c r="K101" s="1"/>
  <c r="H101"/>
  <c r="Y101" s="1"/>
  <c r="G101"/>
  <c r="Z101" s="1"/>
  <c r="B101"/>
  <c r="W100"/>
  <c r="X100" s="1"/>
  <c r="R100"/>
  <c r="V100" s="1"/>
  <c r="Q100"/>
  <c r="N100"/>
  <c r="P100" s="1"/>
  <c r="J100"/>
  <c r="L100" s="1"/>
  <c r="H100"/>
  <c r="Y100" s="1"/>
  <c r="G100"/>
  <c r="Z100" s="1"/>
  <c r="B100"/>
  <c r="W99"/>
  <c r="X99" s="1"/>
  <c r="R99"/>
  <c r="Q99"/>
  <c r="N99"/>
  <c r="P99" s="1"/>
  <c r="J99"/>
  <c r="L99" s="1"/>
  <c r="H99"/>
  <c r="Y99" s="1"/>
  <c r="G99"/>
  <c r="Z99" s="1"/>
  <c r="B99"/>
  <c r="W98"/>
  <c r="X98" s="1"/>
  <c r="R98"/>
  <c r="V98" s="1"/>
  <c r="Q98"/>
  <c r="N98"/>
  <c r="P98" s="1"/>
  <c r="J98"/>
  <c r="L98" s="1"/>
  <c r="H98"/>
  <c r="Y98" s="1"/>
  <c r="G98"/>
  <c r="Z98" s="1"/>
  <c r="B98"/>
  <c r="W97"/>
  <c r="X97" s="1"/>
  <c r="R97"/>
  <c r="Q97"/>
  <c r="N97"/>
  <c r="O97" s="1"/>
  <c r="J97"/>
  <c r="K97" s="1"/>
  <c r="H97"/>
  <c r="Y97" s="1"/>
  <c r="G97"/>
  <c r="Z97" s="1"/>
  <c r="B97"/>
  <c r="W96"/>
  <c r="X96" s="1"/>
  <c r="R96"/>
  <c r="Q96"/>
  <c r="N96"/>
  <c r="P96" s="1"/>
  <c r="J96"/>
  <c r="L96" s="1"/>
  <c r="H96"/>
  <c r="Y96" s="1"/>
  <c r="G96"/>
  <c r="Z96" s="1"/>
  <c r="B96"/>
  <c r="W95"/>
  <c r="X95" s="1"/>
  <c r="R95"/>
  <c r="Q95"/>
  <c r="N95"/>
  <c r="P95" s="1"/>
  <c r="J95"/>
  <c r="L95" s="1"/>
  <c r="H95"/>
  <c r="Y95" s="1"/>
  <c r="G95"/>
  <c r="Z95" s="1"/>
  <c r="B95"/>
  <c r="W94"/>
  <c r="X94" s="1"/>
  <c r="R94"/>
  <c r="V94" s="1"/>
  <c r="Q94"/>
  <c r="N94"/>
  <c r="P94" s="1"/>
  <c r="J94"/>
  <c r="L94" s="1"/>
  <c r="H94"/>
  <c r="Y94" s="1"/>
  <c r="G94"/>
  <c r="B94"/>
  <c r="W93"/>
  <c r="X93" s="1"/>
  <c r="R93"/>
  <c r="Q93"/>
  <c r="N93"/>
  <c r="O93" s="1"/>
  <c r="J93"/>
  <c r="K93" s="1"/>
  <c r="H93"/>
  <c r="Y93" s="1"/>
  <c r="G93"/>
  <c r="Z93" s="1"/>
  <c r="B93"/>
  <c r="W92"/>
  <c r="X92" s="1"/>
  <c r="R92"/>
  <c r="V92" s="1"/>
  <c r="Q92"/>
  <c r="N92"/>
  <c r="P92" s="1"/>
  <c r="J92"/>
  <c r="L92" s="1"/>
  <c r="H92"/>
  <c r="Y92" s="1"/>
  <c r="Z92"/>
  <c r="B92"/>
  <c r="W91"/>
  <c r="X91" s="1"/>
  <c r="R91"/>
  <c r="Q91"/>
  <c r="N91"/>
  <c r="P91" s="1"/>
  <c r="J91"/>
  <c r="L91" s="1"/>
  <c r="H91"/>
  <c r="Y91" s="1"/>
  <c r="G91"/>
  <c r="Z91" s="1"/>
  <c r="B91"/>
  <c r="W90"/>
  <c r="X90" s="1"/>
  <c r="R90"/>
  <c r="V90" s="1"/>
  <c r="Q90"/>
  <c r="N90"/>
  <c r="P90" s="1"/>
  <c r="J90"/>
  <c r="L90" s="1"/>
  <c r="H90"/>
  <c r="Y90" s="1"/>
  <c r="G90"/>
  <c r="Z90" s="1"/>
  <c r="B90"/>
  <c r="W89"/>
  <c r="X89" s="1"/>
  <c r="R89"/>
  <c r="Q89"/>
  <c r="N89"/>
  <c r="O89" s="1"/>
  <c r="J89"/>
  <c r="K89" s="1"/>
  <c r="H89"/>
  <c r="Y89" s="1"/>
  <c r="G89"/>
  <c r="Z89" s="1"/>
  <c r="B89"/>
  <c r="W88"/>
  <c r="X88" s="1"/>
  <c r="R88"/>
  <c r="V88" s="1"/>
  <c r="Q88"/>
  <c r="N88"/>
  <c r="P88" s="1"/>
  <c r="J88"/>
  <c r="L88" s="1"/>
  <c r="H88"/>
  <c r="Y88" s="1"/>
  <c r="G88"/>
  <c r="Z88" s="1"/>
  <c r="B88"/>
  <c r="W87"/>
  <c r="X87" s="1"/>
  <c r="R87"/>
  <c r="Q87"/>
  <c r="N87"/>
  <c r="P87" s="1"/>
  <c r="J87"/>
  <c r="L87" s="1"/>
  <c r="H87"/>
  <c r="Y87" s="1"/>
  <c r="G87"/>
  <c r="Z87" s="1"/>
  <c r="B87"/>
  <c r="W86"/>
  <c r="X86" s="1"/>
  <c r="R86"/>
  <c r="V86" s="1"/>
  <c r="Q86"/>
  <c r="N86"/>
  <c r="P86" s="1"/>
  <c r="J86"/>
  <c r="L86" s="1"/>
  <c r="H86"/>
  <c r="Y86" s="1"/>
  <c r="G86"/>
  <c r="Z86" s="1"/>
  <c r="B86"/>
  <c r="W85"/>
  <c r="X85" s="1"/>
  <c r="R85"/>
  <c r="Q85"/>
  <c r="N85"/>
  <c r="O85" s="1"/>
  <c r="J85"/>
  <c r="K85" s="1"/>
  <c r="H85"/>
  <c r="Y85" s="1"/>
  <c r="G85"/>
  <c r="Z85" s="1"/>
  <c r="B85"/>
  <c r="W84"/>
  <c r="X84" s="1"/>
  <c r="R84"/>
  <c r="V84" s="1"/>
  <c r="Q84"/>
  <c r="N84"/>
  <c r="P84" s="1"/>
  <c r="J84"/>
  <c r="L84" s="1"/>
  <c r="H84"/>
  <c r="Y84" s="1"/>
  <c r="G84"/>
  <c r="Z84" s="1"/>
  <c r="B84"/>
  <c r="W83"/>
  <c r="X83" s="1"/>
  <c r="R83"/>
  <c r="Q83"/>
  <c r="N83"/>
  <c r="P83" s="1"/>
  <c r="J83"/>
  <c r="L83" s="1"/>
  <c r="H83"/>
  <c r="Y83" s="1"/>
  <c r="G83"/>
  <c r="Z83" s="1"/>
  <c r="B83"/>
  <c r="W82"/>
  <c r="X82" s="1"/>
  <c r="R82"/>
  <c r="V82" s="1"/>
  <c r="Q82"/>
  <c r="N82"/>
  <c r="P82" s="1"/>
  <c r="J82"/>
  <c r="L82" s="1"/>
  <c r="H82"/>
  <c r="Y82" s="1"/>
  <c r="G82"/>
  <c r="Z82" s="1"/>
  <c r="B82"/>
  <c r="W81"/>
  <c r="X81" s="1"/>
  <c r="R81"/>
  <c r="Q81"/>
  <c r="N81"/>
  <c r="O81" s="1"/>
  <c r="J81"/>
  <c r="K81" s="1"/>
  <c r="H81"/>
  <c r="Y81" s="1"/>
  <c r="G81"/>
  <c r="Z81" s="1"/>
  <c r="B81"/>
  <c r="W80"/>
  <c r="X80" s="1"/>
  <c r="R80"/>
  <c r="V80" s="1"/>
  <c r="Q80"/>
  <c r="N80"/>
  <c r="P80" s="1"/>
  <c r="J80"/>
  <c r="L80" s="1"/>
  <c r="H80"/>
  <c r="Y80" s="1"/>
  <c r="G80"/>
  <c r="Z80" s="1"/>
  <c r="B80"/>
  <c r="W79"/>
  <c r="X79" s="1"/>
  <c r="R79"/>
  <c r="Q79"/>
  <c r="N79"/>
  <c r="P79" s="1"/>
  <c r="J79"/>
  <c r="L79" s="1"/>
  <c r="H79"/>
  <c r="Y79" s="1"/>
  <c r="G79"/>
  <c r="Z79" s="1"/>
  <c r="B79"/>
  <c r="W78"/>
  <c r="X78" s="1"/>
  <c r="R78"/>
  <c r="V78" s="1"/>
  <c r="Q78"/>
  <c r="N78"/>
  <c r="P78" s="1"/>
  <c r="J78"/>
  <c r="L78" s="1"/>
  <c r="H78"/>
  <c r="Y78" s="1"/>
  <c r="G78"/>
  <c r="Z78" s="1"/>
  <c r="B78"/>
  <c r="W77"/>
  <c r="X77" s="1"/>
  <c r="R77"/>
  <c r="Q77"/>
  <c r="N77"/>
  <c r="O77" s="1"/>
  <c r="J77"/>
  <c r="K77" s="1"/>
  <c r="H77"/>
  <c r="Y77" s="1"/>
  <c r="G77"/>
  <c r="Z77" s="1"/>
  <c r="B77"/>
  <c r="W76"/>
  <c r="X76" s="1"/>
  <c r="R76"/>
  <c r="V76" s="1"/>
  <c r="Q76"/>
  <c r="N76"/>
  <c r="P76" s="1"/>
  <c r="J76"/>
  <c r="L76" s="1"/>
  <c r="H76"/>
  <c r="Y76" s="1"/>
  <c r="G76"/>
  <c r="Z76" s="1"/>
  <c r="B76"/>
  <c r="W75"/>
  <c r="X75" s="1"/>
  <c r="R75"/>
  <c r="Q75"/>
  <c r="N75"/>
  <c r="P75" s="1"/>
  <c r="J75"/>
  <c r="L75" s="1"/>
  <c r="H75"/>
  <c r="Y75" s="1"/>
  <c r="G75"/>
  <c r="Z75" s="1"/>
  <c r="D133" i="18" s="1"/>
  <c r="F133" s="1"/>
  <c r="B75" i="26"/>
  <c r="W74"/>
  <c r="X74" s="1"/>
  <c r="R74"/>
  <c r="V74" s="1"/>
  <c r="Q74"/>
  <c r="N74"/>
  <c r="P74" s="1"/>
  <c r="J74"/>
  <c r="L74" s="1"/>
  <c r="H74"/>
  <c r="Y74" s="1"/>
  <c r="G74"/>
  <c r="Z74" s="1"/>
  <c r="B74"/>
  <c r="W73"/>
  <c r="X73" s="1"/>
  <c r="R73"/>
  <c r="Q73"/>
  <c r="N73"/>
  <c r="O73" s="1"/>
  <c r="J73"/>
  <c r="K73" s="1"/>
  <c r="H73"/>
  <c r="Y73" s="1"/>
  <c r="G73"/>
  <c r="Z73" s="1"/>
  <c r="B73"/>
  <c r="W72"/>
  <c r="X72" s="1"/>
  <c r="R72"/>
  <c r="V72" s="1"/>
  <c r="Q72"/>
  <c r="N72"/>
  <c r="P72" s="1"/>
  <c r="J72"/>
  <c r="L72" s="1"/>
  <c r="H72"/>
  <c r="Y72" s="1"/>
  <c r="G72"/>
  <c r="Z72" s="1"/>
  <c r="B72"/>
  <c r="W71"/>
  <c r="X71" s="1"/>
  <c r="R71"/>
  <c r="Q71"/>
  <c r="N71"/>
  <c r="P71" s="1"/>
  <c r="J71"/>
  <c r="L71" s="1"/>
  <c r="H71"/>
  <c r="Y71" s="1"/>
  <c r="G71"/>
  <c r="Z71" s="1"/>
  <c r="B71"/>
  <c r="W70"/>
  <c r="X70" s="1"/>
  <c r="R70"/>
  <c r="V70" s="1"/>
  <c r="Q70"/>
  <c r="N70"/>
  <c r="P70" s="1"/>
  <c r="J70"/>
  <c r="L70" s="1"/>
  <c r="H70"/>
  <c r="Y70" s="1"/>
  <c r="G70"/>
  <c r="Z70" s="1"/>
  <c r="B70"/>
  <c r="W69"/>
  <c r="X69" s="1"/>
  <c r="R69"/>
  <c r="Q69"/>
  <c r="N69"/>
  <c r="O69" s="1"/>
  <c r="J69"/>
  <c r="K69" s="1"/>
  <c r="H69"/>
  <c r="Y69" s="1"/>
  <c r="G69"/>
  <c r="Z69" s="1"/>
  <c r="B69"/>
  <c r="W68"/>
  <c r="X68" s="1"/>
  <c r="R68"/>
  <c r="V68" s="1"/>
  <c r="Q68"/>
  <c r="N68"/>
  <c r="P68" s="1"/>
  <c r="J68"/>
  <c r="L68" s="1"/>
  <c r="H68"/>
  <c r="Y68" s="1"/>
  <c r="G68"/>
  <c r="Z68" s="1"/>
  <c r="B68"/>
  <c r="W67"/>
  <c r="X67" s="1"/>
  <c r="R67"/>
  <c r="Q67"/>
  <c r="N67"/>
  <c r="P67" s="1"/>
  <c r="J67"/>
  <c r="L67" s="1"/>
  <c r="H67"/>
  <c r="Y67" s="1"/>
  <c r="G67"/>
  <c r="Z67" s="1"/>
  <c r="B67"/>
  <c r="W66"/>
  <c r="X66" s="1"/>
  <c r="R66"/>
  <c r="V66" s="1"/>
  <c r="Q66"/>
  <c r="N66"/>
  <c r="P66" s="1"/>
  <c r="J66"/>
  <c r="L66" s="1"/>
  <c r="H66"/>
  <c r="Y66" s="1"/>
  <c r="G66"/>
  <c r="Z66" s="1"/>
  <c r="B66"/>
  <c r="W65"/>
  <c r="X65" s="1"/>
  <c r="R65"/>
  <c r="Q65"/>
  <c r="N65"/>
  <c r="O65" s="1"/>
  <c r="J65"/>
  <c r="K65" s="1"/>
  <c r="H65"/>
  <c r="Y65" s="1"/>
  <c r="G65"/>
  <c r="Z65" s="1"/>
  <c r="B65"/>
  <c r="W64"/>
  <c r="X64" s="1"/>
  <c r="R64"/>
  <c r="V64" s="1"/>
  <c r="Q64"/>
  <c r="N64"/>
  <c r="P64" s="1"/>
  <c r="J64"/>
  <c r="L64" s="1"/>
  <c r="H64"/>
  <c r="Y64" s="1"/>
  <c r="G64"/>
  <c r="Z64" s="1"/>
  <c r="B64"/>
  <c r="W63"/>
  <c r="X63" s="1"/>
  <c r="R63"/>
  <c r="Q63"/>
  <c r="N63"/>
  <c r="P63" s="1"/>
  <c r="J63"/>
  <c r="L63" s="1"/>
  <c r="H63"/>
  <c r="Y63" s="1"/>
  <c r="G63"/>
  <c r="Z63" s="1"/>
  <c r="B63"/>
  <c r="W62"/>
  <c r="X62" s="1"/>
  <c r="R62"/>
  <c r="V62" s="1"/>
  <c r="Q62"/>
  <c r="N62"/>
  <c r="P62" s="1"/>
  <c r="J62"/>
  <c r="L62" s="1"/>
  <c r="H62"/>
  <c r="Y62" s="1"/>
  <c r="G62"/>
  <c r="Z62" s="1"/>
  <c r="B62"/>
  <c r="W61"/>
  <c r="X61" s="1"/>
  <c r="R61"/>
  <c r="Q61"/>
  <c r="N61"/>
  <c r="O61" s="1"/>
  <c r="J61"/>
  <c r="K61" s="1"/>
  <c r="H61"/>
  <c r="Y61" s="1"/>
  <c r="G61"/>
  <c r="Z61" s="1"/>
  <c r="B61"/>
  <c r="W60"/>
  <c r="X60" s="1"/>
  <c r="R60"/>
  <c r="V60" s="1"/>
  <c r="Q60"/>
  <c r="N60"/>
  <c r="P60" s="1"/>
  <c r="J60"/>
  <c r="L60" s="1"/>
  <c r="H60"/>
  <c r="Y60" s="1"/>
  <c r="G60"/>
  <c r="Z60" s="1"/>
  <c r="B60"/>
  <c r="W55"/>
  <c r="X55" s="1"/>
  <c r="R55"/>
  <c r="Q55"/>
  <c r="P55"/>
  <c r="J55"/>
  <c r="L55" s="1"/>
  <c r="H55"/>
  <c r="Y55" s="1"/>
  <c r="G55"/>
  <c r="Z55" s="1"/>
  <c r="B55"/>
  <c r="W54"/>
  <c r="X54" s="1"/>
  <c r="R54"/>
  <c r="V54" s="1"/>
  <c r="Q54"/>
  <c r="P54"/>
  <c r="J54"/>
  <c r="L54" s="1"/>
  <c r="H54"/>
  <c r="Y54" s="1"/>
  <c r="G54"/>
  <c r="Z54" s="1"/>
  <c r="D198" i="18" s="1"/>
  <c r="F198" s="1"/>
  <c r="B54" i="26"/>
  <c r="W53"/>
  <c r="X53" s="1"/>
  <c r="R53"/>
  <c r="Q53"/>
  <c r="O53"/>
  <c r="J53"/>
  <c r="K53" s="1"/>
  <c r="H53"/>
  <c r="Y53" s="1"/>
  <c r="G53"/>
  <c r="Z53" s="1"/>
  <c r="D197" i="18" s="1"/>
  <c r="F197" s="1"/>
  <c r="B53" i="26"/>
  <c r="W52"/>
  <c r="X52" s="1"/>
  <c r="R52"/>
  <c r="V52" s="1"/>
  <c r="Q52"/>
  <c r="P52"/>
  <c r="J52"/>
  <c r="L52" s="1"/>
  <c r="H52"/>
  <c r="Y52" s="1"/>
  <c r="G52"/>
  <c r="Z52" s="1"/>
  <c r="B52"/>
  <c r="W51"/>
  <c r="X51" s="1"/>
  <c r="R51"/>
  <c r="Q51"/>
  <c r="P51"/>
  <c r="J51"/>
  <c r="L51" s="1"/>
  <c r="H51"/>
  <c r="Y51" s="1"/>
  <c r="G51"/>
  <c r="Z51" s="1"/>
  <c r="B51"/>
  <c r="W50"/>
  <c r="X50" s="1"/>
  <c r="R50"/>
  <c r="V50" s="1"/>
  <c r="Q50"/>
  <c r="P50"/>
  <c r="J50"/>
  <c r="L50" s="1"/>
  <c r="H50"/>
  <c r="Y50" s="1"/>
  <c r="G50"/>
  <c r="B50"/>
  <c r="W49"/>
  <c r="X49" s="1"/>
  <c r="R49"/>
  <c r="Q49"/>
  <c r="O49"/>
  <c r="J49"/>
  <c r="K49" s="1"/>
  <c r="H49"/>
  <c r="Y49" s="1"/>
  <c r="G49"/>
  <c r="Z49" s="1"/>
  <c r="B49"/>
  <c r="W48"/>
  <c r="X48" s="1"/>
  <c r="R48"/>
  <c r="V48" s="1"/>
  <c r="Q48"/>
  <c r="P48"/>
  <c r="J48"/>
  <c r="L48" s="1"/>
  <c r="H48"/>
  <c r="Y48" s="1"/>
  <c r="G48"/>
  <c r="Z48" s="1"/>
  <c r="B48"/>
  <c r="W47"/>
  <c r="X47" s="1"/>
  <c r="R47"/>
  <c r="Q47"/>
  <c r="P47"/>
  <c r="J47"/>
  <c r="L47" s="1"/>
  <c r="H47"/>
  <c r="Y47" s="1"/>
  <c r="G47"/>
  <c r="Z47" s="1"/>
  <c r="B47"/>
  <c r="W46"/>
  <c r="X46" s="1"/>
  <c r="R46"/>
  <c r="V46" s="1"/>
  <c r="Q46"/>
  <c r="P46"/>
  <c r="J46"/>
  <c r="L46" s="1"/>
  <c r="H46"/>
  <c r="Y46" s="1"/>
  <c r="G46"/>
  <c r="Z46" s="1"/>
  <c r="B46"/>
  <c r="W45"/>
  <c r="X45" s="1"/>
  <c r="R45"/>
  <c r="Q45"/>
  <c r="O45"/>
  <c r="J45"/>
  <c r="K45" s="1"/>
  <c r="H45"/>
  <c r="Y45" s="1"/>
  <c r="G45"/>
  <c r="Z45" s="1"/>
  <c r="B45"/>
  <c r="W44"/>
  <c r="X44" s="1"/>
  <c r="R44"/>
  <c r="V44" s="1"/>
  <c r="Q44"/>
  <c r="P44"/>
  <c r="J44"/>
  <c r="L44" s="1"/>
  <c r="H44"/>
  <c r="Y44" s="1"/>
  <c r="G44"/>
  <c r="Z44" s="1"/>
  <c r="B44"/>
  <c r="W43"/>
  <c r="X43" s="1"/>
  <c r="R43"/>
  <c r="Q43"/>
  <c r="P43"/>
  <c r="J43"/>
  <c r="L43" s="1"/>
  <c r="H43"/>
  <c r="Y43" s="1"/>
  <c r="G43"/>
  <c r="Z43" s="1"/>
  <c r="B43"/>
  <c r="W42"/>
  <c r="X42" s="1"/>
  <c r="R42"/>
  <c r="V42" s="1"/>
  <c r="Q42"/>
  <c r="P42"/>
  <c r="J42"/>
  <c r="L42" s="1"/>
  <c r="H42"/>
  <c r="Y42" s="1"/>
  <c r="G42"/>
  <c r="B42"/>
  <c r="W41"/>
  <c r="X41" s="1"/>
  <c r="R41"/>
  <c r="Q41"/>
  <c r="O41"/>
  <c r="J41"/>
  <c r="K41" s="1"/>
  <c r="H41"/>
  <c r="Y41" s="1"/>
  <c r="G41"/>
  <c r="Z41" s="1"/>
  <c r="B41"/>
  <c r="W40"/>
  <c r="X40" s="1"/>
  <c r="R40"/>
  <c r="V40" s="1"/>
  <c r="Q40"/>
  <c r="P40"/>
  <c r="J40"/>
  <c r="L40" s="1"/>
  <c r="H40"/>
  <c r="Y40" s="1"/>
  <c r="G40"/>
  <c r="Z40" s="1"/>
  <c r="B40"/>
  <c r="W39"/>
  <c r="X39" s="1"/>
  <c r="R39"/>
  <c r="Q39"/>
  <c r="P39"/>
  <c r="J39"/>
  <c r="L39" s="1"/>
  <c r="H39"/>
  <c r="Y39" s="1"/>
  <c r="G39"/>
  <c r="Z39" s="1"/>
  <c r="B39"/>
  <c r="W38"/>
  <c r="X38" s="1"/>
  <c r="R38"/>
  <c r="V38" s="1"/>
  <c r="Q38"/>
  <c r="P38"/>
  <c r="J38"/>
  <c r="L38" s="1"/>
  <c r="H38"/>
  <c r="Y38" s="1"/>
  <c r="G38"/>
  <c r="Z38" s="1"/>
  <c r="B38"/>
  <c r="W37"/>
  <c r="X37" s="1"/>
  <c r="R37"/>
  <c r="Q37"/>
  <c r="O37"/>
  <c r="J37"/>
  <c r="K37" s="1"/>
  <c r="H37"/>
  <c r="Y37" s="1"/>
  <c r="G37"/>
  <c r="Z37" s="1"/>
  <c r="B37"/>
  <c r="W36"/>
  <c r="X36" s="1"/>
  <c r="R36"/>
  <c r="V36" s="1"/>
  <c r="Q36"/>
  <c r="P36"/>
  <c r="J36"/>
  <c r="L36" s="1"/>
  <c r="H36"/>
  <c r="Y36" s="1"/>
  <c r="G36"/>
  <c r="Z36" s="1"/>
  <c r="B36"/>
  <c r="W35"/>
  <c r="X35" s="1"/>
  <c r="R35"/>
  <c r="Q35"/>
  <c r="J35"/>
  <c r="H35"/>
  <c r="Y35" s="1"/>
  <c r="G35"/>
  <c r="Z35" s="1"/>
  <c r="B35"/>
  <c r="W34"/>
  <c r="X34" s="1"/>
  <c r="R34"/>
  <c r="V34" s="1"/>
  <c r="Q34"/>
  <c r="P34"/>
  <c r="J34"/>
  <c r="L34" s="1"/>
  <c r="H34"/>
  <c r="Y34" s="1"/>
  <c r="G34"/>
  <c r="B34"/>
  <c r="W33"/>
  <c r="X33" s="1"/>
  <c r="R33"/>
  <c r="Q33"/>
  <c r="O33"/>
  <c r="J33"/>
  <c r="K33" s="1"/>
  <c r="H33"/>
  <c r="Y33" s="1"/>
  <c r="G33"/>
  <c r="Z33" s="1"/>
  <c r="B33"/>
  <c r="W32"/>
  <c r="X32" s="1"/>
  <c r="R32"/>
  <c r="V32" s="1"/>
  <c r="Q32"/>
  <c r="P32"/>
  <c r="J32"/>
  <c r="L32" s="1"/>
  <c r="H32"/>
  <c r="Y32" s="1"/>
  <c r="G32"/>
  <c r="Z32" s="1"/>
  <c r="B32"/>
  <c r="W31"/>
  <c r="X31" s="1"/>
  <c r="R31"/>
  <c r="Q31"/>
  <c r="N31"/>
  <c r="J31"/>
  <c r="H31"/>
  <c r="Y31" s="1"/>
  <c r="G31"/>
  <c r="Z31" s="1"/>
  <c r="B31"/>
  <c r="W30"/>
  <c r="X30" s="1"/>
  <c r="R30"/>
  <c r="V30" s="1"/>
  <c r="Q30"/>
  <c r="N30"/>
  <c r="P30" s="1"/>
  <c r="J30"/>
  <c r="L30" s="1"/>
  <c r="H30"/>
  <c r="Y30" s="1"/>
  <c r="G30"/>
  <c r="Z30" s="1"/>
  <c r="B30"/>
  <c r="W29"/>
  <c r="X29" s="1"/>
  <c r="R29"/>
  <c r="Q29"/>
  <c r="N29"/>
  <c r="O29" s="1"/>
  <c r="J29"/>
  <c r="K29" s="1"/>
  <c r="H29"/>
  <c r="Y29" s="1"/>
  <c r="G29"/>
  <c r="Z29" s="1"/>
  <c r="B29"/>
  <c r="W28"/>
  <c r="X28" s="1"/>
  <c r="R28"/>
  <c r="V28" s="1"/>
  <c r="Q28"/>
  <c r="N28"/>
  <c r="P28" s="1"/>
  <c r="J28"/>
  <c r="L28" s="1"/>
  <c r="H28"/>
  <c r="Y28" s="1"/>
  <c r="G28"/>
  <c r="Z28" s="1"/>
  <c r="B28"/>
  <c r="W27"/>
  <c r="X27" s="1"/>
  <c r="R27"/>
  <c r="Q27"/>
  <c r="N27"/>
  <c r="J27"/>
  <c r="H27"/>
  <c r="Y27" s="1"/>
  <c r="G27"/>
  <c r="Z27" s="1"/>
  <c r="B27"/>
  <c r="W26"/>
  <c r="X26" s="1"/>
  <c r="R26"/>
  <c r="V26" s="1"/>
  <c r="Q26"/>
  <c r="N26"/>
  <c r="P26" s="1"/>
  <c r="J26"/>
  <c r="L26" s="1"/>
  <c r="H26"/>
  <c r="Y26" s="1"/>
  <c r="G26"/>
  <c r="B26"/>
  <c r="W25"/>
  <c r="X25" s="1"/>
  <c r="R25"/>
  <c r="Q25"/>
  <c r="N25"/>
  <c r="O25" s="1"/>
  <c r="J25"/>
  <c r="K25" s="1"/>
  <c r="H25"/>
  <c r="Y25" s="1"/>
  <c r="G25"/>
  <c r="Z25" s="1"/>
  <c r="B25"/>
  <c r="W24"/>
  <c r="X24" s="1"/>
  <c r="R24"/>
  <c r="V24" s="1"/>
  <c r="Q24"/>
  <c r="N24"/>
  <c r="P24" s="1"/>
  <c r="J24"/>
  <c r="L24" s="1"/>
  <c r="H24"/>
  <c r="Y24" s="1"/>
  <c r="G24"/>
  <c r="Z24" s="1"/>
  <c r="B24"/>
  <c r="W23"/>
  <c r="X23" s="1"/>
  <c r="R23"/>
  <c r="Q23"/>
  <c r="N23"/>
  <c r="J23"/>
  <c r="H23"/>
  <c r="Y23" s="1"/>
  <c r="G23"/>
  <c r="Z23" s="1"/>
  <c r="B23"/>
  <c r="W22"/>
  <c r="X22" s="1"/>
  <c r="R22"/>
  <c r="V22" s="1"/>
  <c r="Q22"/>
  <c r="N22"/>
  <c r="P22" s="1"/>
  <c r="J22"/>
  <c r="K22" s="1"/>
  <c r="H22"/>
  <c r="Y22" s="1"/>
  <c r="G22"/>
  <c r="Z22" s="1"/>
  <c r="B22"/>
  <c r="W21"/>
  <c r="X21" s="1"/>
  <c r="R21"/>
  <c r="Q21"/>
  <c r="N21"/>
  <c r="O21" s="1"/>
  <c r="J21"/>
  <c r="K21" s="1"/>
  <c r="H21"/>
  <c r="Y21" s="1"/>
  <c r="G21"/>
  <c r="Z21" s="1"/>
  <c r="B21"/>
  <c r="W20"/>
  <c r="X20" s="1"/>
  <c r="R20"/>
  <c r="V20" s="1"/>
  <c r="Q20"/>
  <c r="N20"/>
  <c r="P20" s="1"/>
  <c r="J20"/>
  <c r="L20" s="1"/>
  <c r="H20"/>
  <c r="Y20" s="1"/>
  <c r="G20"/>
  <c r="Z20" s="1"/>
  <c r="B20"/>
  <c r="W19"/>
  <c r="X19" s="1"/>
  <c r="R19"/>
  <c r="Q19"/>
  <c r="N19"/>
  <c r="J19"/>
  <c r="H19"/>
  <c r="Y19" s="1"/>
  <c r="G19"/>
  <c r="Z19" s="1"/>
  <c r="B19"/>
  <c r="W18"/>
  <c r="X18" s="1"/>
  <c r="R18"/>
  <c r="Q18"/>
  <c r="N18"/>
  <c r="O18" s="1"/>
  <c r="J18"/>
  <c r="K18" s="1"/>
  <c r="H18"/>
  <c r="Y18" s="1"/>
  <c r="G18"/>
  <c r="Z18" s="1"/>
  <c r="B18"/>
  <c r="W17"/>
  <c r="X17" s="1"/>
  <c r="R17"/>
  <c r="Q17"/>
  <c r="N17"/>
  <c r="O17" s="1"/>
  <c r="J17"/>
  <c r="K17" s="1"/>
  <c r="H17"/>
  <c r="Y17" s="1"/>
  <c r="G17"/>
  <c r="Z17" s="1"/>
  <c r="B17"/>
  <c r="W16"/>
  <c r="X16" s="1"/>
  <c r="R16"/>
  <c r="V16" s="1"/>
  <c r="Q16"/>
  <c r="N16"/>
  <c r="P16" s="1"/>
  <c r="J16"/>
  <c r="L16" s="1"/>
  <c r="H16"/>
  <c r="Y16" s="1"/>
  <c r="G16"/>
  <c r="Z16" s="1"/>
  <c r="B16"/>
  <c r="W15"/>
  <c r="X15" s="1"/>
  <c r="R15"/>
  <c r="Q15"/>
  <c r="N15"/>
  <c r="J15"/>
  <c r="H15"/>
  <c r="Y15" s="1"/>
  <c r="G15"/>
  <c r="Z15" s="1"/>
  <c r="B15"/>
  <c r="W14"/>
  <c r="X14" s="1"/>
  <c r="R14"/>
  <c r="Q14"/>
  <c r="N14"/>
  <c r="O14" s="1"/>
  <c r="J14"/>
  <c r="K14" s="1"/>
  <c r="H14"/>
  <c r="Y14" s="1"/>
  <c r="G14"/>
  <c r="Z14" s="1"/>
  <c r="B14"/>
  <c r="W13"/>
  <c r="X13" s="1"/>
  <c r="R13"/>
  <c r="Q13"/>
  <c r="N13"/>
  <c r="O13" s="1"/>
  <c r="J13"/>
  <c r="K13" s="1"/>
  <c r="H13"/>
  <c r="Y13" s="1"/>
  <c r="G13"/>
  <c r="Z13" s="1"/>
  <c r="B13"/>
  <c r="W12"/>
  <c r="X12" s="1"/>
  <c r="R12"/>
  <c r="V12" s="1"/>
  <c r="Q12"/>
  <c r="N12"/>
  <c r="P12" s="1"/>
  <c r="J12"/>
  <c r="H12"/>
  <c r="Y12" s="1"/>
  <c r="G12"/>
  <c r="Z12" s="1"/>
  <c r="B12"/>
  <c r="W11"/>
  <c r="X11" s="1"/>
  <c r="R11"/>
  <c r="Q11"/>
  <c r="N11"/>
  <c r="O11" s="1"/>
  <c r="J11"/>
  <c r="K11" s="1"/>
  <c r="H11"/>
  <c r="Y11" s="1"/>
  <c r="G11"/>
  <c r="Z11" s="1"/>
  <c r="B11"/>
  <c r="W10"/>
  <c r="X10" s="1"/>
  <c r="R10"/>
  <c r="Q10"/>
  <c r="N10"/>
  <c r="O10" s="1"/>
  <c r="J10"/>
  <c r="K10" s="1"/>
  <c r="H10"/>
  <c r="Y10" s="1"/>
  <c r="G10"/>
  <c r="Z10" s="1"/>
  <c r="B10"/>
  <c r="W9"/>
  <c r="X9" s="1"/>
  <c r="R9"/>
  <c r="Q9"/>
  <c r="N9"/>
  <c r="O9" s="1"/>
  <c r="J9"/>
  <c r="K9" s="1"/>
  <c r="H9"/>
  <c r="Y9" s="1"/>
  <c r="G9"/>
  <c r="Z9" s="1"/>
  <c r="B9"/>
  <c r="W8"/>
  <c r="X8" s="1"/>
  <c r="R8"/>
  <c r="V8" s="1"/>
  <c r="Q8"/>
  <c r="N8"/>
  <c r="P8" s="1"/>
  <c r="J8"/>
  <c r="H8"/>
  <c r="Y8" s="1"/>
  <c r="G8"/>
  <c r="Z8" s="1"/>
  <c r="B8"/>
  <c r="W7"/>
  <c r="X7" s="1"/>
  <c r="R7"/>
  <c r="Q7"/>
  <c r="N7"/>
  <c r="O7" s="1"/>
  <c r="J7"/>
  <c r="K7" s="1"/>
  <c r="H7"/>
  <c r="Y7" s="1"/>
  <c r="G7"/>
  <c r="Z7" s="1"/>
  <c r="B7"/>
  <c r="W6"/>
  <c r="X6" s="1"/>
  <c r="R6"/>
  <c r="V6" s="1"/>
  <c r="Q6"/>
  <c r="N6"/>
  <c r="P6" s="1"/>
  <c r="J6"/>
  <c r="H6"/>
  <c r="Y6" s="1"/>
  <c r="G6"/>
  <c r="Z6" s="1"/>
  <c r="B6"/>
  <c r="W5"/>
  <c r="X5" s="1"/>
  <c r="R5"/>
  <c r="Q5"/>
  <c r="N5"/>
  <c r="O5" s="1"/>
  <c r="J5"/>
  <c r="K5" s="1"/>
  <c r="H5"/>
  <c r="Y5" s="1"/>
  <c r="G5"/>
  <c r="Z5" s="1"/>
  <c r="B5"/>
  <c r="W4"/>
  <c r="X4" s="1"/>
  <c r="R4"/>
  <c r="Q4"/>
  <c r="N4"/>
  <c r="P4" s="1"/>
  <c r="J4"/>
  <c r="L4" s="1"/>
  <c r="H4"/>
  <c r="Y4" s="1"/>
  <c r="G4"/>
  <c r="Z4" s="1"/>
  <c r="B4"/>
  <c r="W3"/>
  <c r="X3" s="1"/>
  <c r="R3"/>
  <c r="Q3"/>
  <c r="N3"/>
  <c r="O3" s="1"/>
  <c r="J3"/>
  <c r="K3" s="1"/>
  <c r="H3"/>
  <c r="Y3" s="1"/>
  <c r="G3"/>
  <c r="Z3" s="1"/>
  <c r="B3"/>
  <c r="W2"/>
  <c r="X2" s="1"/>
  <c r="R2"/>
  <c r="V2" s="1"/>
  <c r="Q2"/>
  <c r="N2"/>
  <c r="P2" s="1"/>
  <c r="J2"/>
  <c r="K2" s="1"/>
  <c r="H2"/>
  <c r="Y2" s="1"/>
  <c r="G2"/>
  <c r="Z2" s="1"/>
  <c r="B2"/>
  <c r="W571" i="25"/>
  <c r="X571" s="1"/>
  <c r="R571"/>
  <c r="Q571"/>
  <c r="N571"/>
  <c r="O571" s="1"/>
  <c r="J571"/>
  <c r="K571" s="1"/>
  <c r="H571"/>
  <c r="Y571" s="1"/>
  <c r="G571"/>
  <c r="Z571" s="1"/>
  <c r="B571"/>
  <c r="W570"/>
  <c r="X570" s="1"/>
  <c r="R570"/>
  <c r="V570" s="1"/>
  <c r="Q570"/>
  <c r="N570"/>
  <c r="O570" s="1"/>
  <c r="J570"/>
  <c r="K570" s="1"/>
  <c r="H570"/>
  <c r="Y570" s="1"/>
  <c r="G570"/>
  <c r="B570"/>
  <c r="W569"/>
  <c r="X569" s="1"/>
  <c r="R569"/>
  <c r="V569" s="1"/>
  <c r="Q569"/>
  <c r="N569"/>
  <c r="O569" s="1"/>
  <c r="J569"/>
  <c r="K569" s="1"/>
  <c r="H569"/>
  <c r="Y569" s="1"/>
  <c r="G569"/>
  <c r="Z569" s="1"/>
  <c r="B569"/>
  <c r="W568"/>
  <c r="X568" s="1"/>
  <c r="R568"/>
  <c r="Q568"/>
  <c r="N568"/>
  <c r="P568" s="1"/>
  <c r="J568"/>
  <c r="L568" s="1"/>
  <c r="H568"/>
  <c r="Y568" s="1"/>
  <c r="G568"/>
  <c r="Z568" s="1"/>
  <c r="B568"/>
  <c r="W567"/>
  <c r="X567" s="1"/>
  <c r="R567"/>
  <c r="Q567"/>
  <c r="N567"/>
  <c r="O567" s="1"/>
  <c r="J567"/>
  <c r="K567" s="1"/>
  <c r="H567"/>
  <c r="Y567" s="1"/>
  <c r="G567"/>
  <c r="Z567" s="1"/>
  <c r="B567"/>
  <c r="W566"/>
  <c r="X566" s="1"/>
  <c r="R566"/>
  <c r="V566" s="1"/>
  <c r="Q566"/>
  <c r="N566"/>
  <c r="P566" s="1"/>
  <c r="J566"/>
  <c r="L566" s="1"/>
  <c r="H566"/>
  <c r="Y566" s="1"/>
  <c r="G566"/>
  <c r="B566"/>
  <c r="W565"/>
  <c r="X565" s="1"/>
  <c r="R565"/>
  <c r="V565" s="1"/>
  <c r="Q565"/>
  <c r="N565"/>
  <c r="O565" s="1"/>
  <c r="J565"/>
  <c r="K565" s="1"/>
  <c r="H565"/>
  <c r="Y565" s="1"/>
  <c r="G565"/>
  <c r="Z565" s="1"/>
  <c r="B565"/>
  <c r="W564"/>
  <c r="X564" s="1"/>
  <c r="R564"/>
  <c r="V564" s="1"/>
  <c r="Q564"/>
  <c r="N564"/>
  <c r="P564" s="1"/>
  <c r="J564"/>
  <c r="L564" s="1"/>
  <c r="H564"/>
  <c r="Y564" s="1"/>
  <c r="G564"/>
  <c r="Z564" s="1"/>
  <c r="B564"/>
  <c r="W563"/>
  <c r="X563" s="1"/>
  <c r="R563"/>
  <c r="Q563"/>
  <c r="N563"/>
  <c r="O563" s="1"/>
  <c r="J563"/>
  <c r="K563" s="1"/>
  <c r="H563"/>
  <c r="Y563" s="1"/>
  <c r="G563"/>
  <c r="Z563" s="1"/>
  <c r="B563"/>
  <c r="W562"/>
  <c r="X562" s="1"/>
  <c r="R562"/>
  <c r="Q562"/>
  <c r="N562"/>
  <c r="P562" s="1"/>
  <c r="J562"/>
  <c r="L562" s="1"/>
  <c r="H562"/>
  <c r="Y562" s="1"/>
  <c r="G562"/>
  <c r="Z562" s="1"/>
  <c r="B562"/>
  <c r="W561"/>
  <c r="X561" s="1"/>
  <c r="R561"/>
  <c r="V561" s="1"/>
  <c r="Q561"/>
  <c r="N561"/>
  <c r="O561" s="1"/>
  <c r="J561"/>
  <c r="K561" s="1"/>
  <c r="H561"/>
  <c r="Y561" s="1"/>
  <c r="G561"/>
  <c r="Z561" s="1"/>
  <c r="B561"/>
  <c r="W560"/>
  <c r="X560" s="1"/>
  <c r="R560"/>
  <c r="Q560"/>
  <c r="N560"/>
  <c r="P560" s="1"/>
  <c r="J560"/>
  <c r="L560" s="1"/>
  <c r="H560"/>
  <c r="Y560" s="1"/>
  <c r="G560"/>
  <c r="Z560" s="1"/>
  <c r="B560"/>
  <c r="W559"/>
  <c r="X559" s="1"/>
  <c r="R559"/>
  <c r="Q559"/>
  <c r="N559"/>
  <c r="O559" s="1"/>
  <c r="J559"/>
  <c r="K559" s="1"/>
  <c r="H559"/>
  <c r="Y559" s="1"/>
  <c r="G559"/>
  <c r="Z559" s="1"/>
  <c r="B559"/>
  <c r="W558"/>
  <c r="X558" s="1"/>
  <c r="R558"/>
  <c r="V558" s="1"/>
  <c r="Q558"/>
  <c r="N558"/>
  <c r="P558" s="1"/>
  <c r="J558"/>
  <c r="L558" s="1"/>
  <c r="H558"/>
  <c r="Y558" s="1"/>
  <c r="G558"/>
  <c r="Z558" s="1"/>
  <c r="B558"/>
  <c r="W557"/>
  <c r="X557" s="1"/>
  <c r="R557"/>
  <c r="V557" s="1"/>
  <c r="Q557"/>
  <c r="N557"/>
  <c r="O557" s="1"/>
  <c r="J557"/>
  <c r="K557" s="1"/>
  <c r="H557"/>
  <c r="Y557" s="1"/>
  <c r="G557"/>
  <c r="Z557" s="1"/>
  <c r="B557"/>
  <c r="W556"/>
  <c r="X556" s="1"/>
  <c r="R556"/>
  <c r="V556" s="1"/>
  <c r="Q556"/>
  <c r="N556"/>
  <c r="P556" s="1"/>
  <c r="J556"/>
  <c r="L556" s="1"/>
  <c r="H556"/>
  <c r="Y556" s="1"/>
  <c r="G556"/>
  <c r="Z556" s="1"/>
  <c r="B556"/>
  <c r="W555"/>
  <c r="X555" s="1"/>
  <c r="R555"/>
  <c r="Q555"/>
  <c r="N555"/>
  <c r="O555" s="1"/>
  <c r="J555"/>
  <c r="K555" s="1"/>
  <c r="H555"/>
  <c r="Y555" s="1"/>
  <c r="G555"/>
  <c r="Z555" s="1"/>
  <c r="B555"/>
  <c r="W554"/>
  <c r="X554" s="1"/>
  <c r="R554"/>
  <c r="Q554"/>
  <c r="N554"/>
  <c r="O554" s="1"/>
  <c r="J554"/>
  <c r="K554" s="1"/>
  <c r="H554"/>
  <c r="Y554" s="1"/>
  <c r="G554"/>
  <c r="Z554" s="1"/>
  <c r="B554"/>
  <c r="W553"/>
  <c r="X553" s="1"/>
  <c r="R553"/>
  <c r="V553" s="1"/>
  <c r="Q553"/>
  <c r="N553"/>
  <c r="O553" s="1"/>
  <c r="J553"/>
  <c r="K553" s="1"/>
  <c r="H553"/>
  <c r="Y553" s="1"/>
  <c r="G553"/>
  <c r="Z553" s="1"/>
  <c r="B553"/>
  <c r="W552"/>
  <c r="X552" s="1"/>
  <c r="R552"/>
  <c r="V552" s="1"/>
  <c r="Q552"/>
  <c r="N552"/>
  <c r="P552" s="1"/>
  <c r="J552"/>
  <c r="L552" s="1"/>
  <c r="H552"/>
  <c r="Y552" s="1"/>
  <c r="G552"/>
  <c r="Z552" s="1"/>
  <c r="B552"/>
  <c r="W551"/>
  <c r="X551" s="1"/>
  <c r="R551"/>
  <c r="Q551"/>
  <c r="N551"/>
  <c r="O551" s="1"/>
  <c r="J551"/>
  <c r="K551" s="1"/>
  <c r="H551"/>
  <c r="Y551" s="1"/>
  <c r="G551"/>
  <c r="Z551" s="1"/>
  <c r="B551"/>
  <c r="W550"/>
  <c r="X550" s="1"/>
  <c r="R550"/>
  <c r="Q550"/>
  <c r="N550"/>
  <c r="O550" s="1"/>
  <c r="J550"/>
  <c r="K550" s="1"/>
  <c r="H550"/>
  <c r="Y550" s="1"/>
  <c r="G550"/>
  <c r="Z550" s="1"/>
  <c r="B550"/>
  <c r="W549"/>
  <c r="X549" s="1"/>
  <c r="R549"/>
  <c r="V549" s="1"/>
  <c r="Q549"/>
  <c r="N549"/>
  <c r="O549" s="1"/>
  <c r="J549"/>
  <c r="K549" s="1"/>
  <c r="H549"/>
  <c r="Y549" s="1"/>
  <c r="G549"/>
  <c r="Z549" s="1"/>
  <c r="B549"/>
  <c r="W548"/>
  <c r="X548" s="1"/>
  <c r="R548"/>
  <c r="V548" s="1"/>
  <c r="Q548"/>
  <c r="N548"/>
  <c r="P548" s="1"/>
  <c r="J548"/>
  <c r="L548" s="1"/>
  <c r="H548"/>
  <c r="Y548" s="1"/>
  <c r="G548"/>
  <c r="Z548" s="1"/>
  <c r="B548"/>
  <c r="W547"/>
  <c r="X547" s="1"/>
  <c r="R547"/>
  <c r="Q547"/>
  <c r="N547"/>
  <c r="O547" s="1"/>
  <c r="J547"/>
  <c r="K547" s="1"/>
  <c r="H547"/>
  <c r="Y547" s="1"/>
  <c r="G547"/>
  <c r="Z547" s="1"/>
  <c r="B547"/>
  <c r="W546"/>
  <c r="X546" s="1"/>
  <c r="R546"/>
  <c r="Q546"/>
  <c r="N546"/>
  <c r="O546" s="1"/>
  <c r="J546"/>
  <c r="K546" s="1"/>
  <c r="H546"/>
  <c r="Y546" s="1"/>
  <c r="G546"/>
  <c r="Z546" s="1"/>
  <c r="B546"/>
  <c r="W545"/>
  <c r="X545" s="1"/>
  <c r="R545"/>
  <c r="V545" s="1"/>
  <c r="Q545"/>
  <c r="N545"/>
  <c r="O545" s="1"/>
  <c r="J545"/>
  <c r="K545" s="1"/>
  <c r="H545"/>
  <c r="Y545" s="1"/>
  <c r="G545"/>
  <c r="Z545" s="1"/>
  <c r="B545"/>
  <c r="W544"/>
  <c r="X544" s="1"/>
  <c r="R544"/>
  <c r="V544" s="1"/>
  <c r="Q544"/>
  <c r="N544"/>
  <c r="P544" s="1"/>
  <c r="J544"/>
  <c r="L544" s="1"/>
  <c r="H544"/>
  <c r="Y544" s="1"/>
  <c r="G544"/>
  <c r="Z544" s="1"/>
  <c r="B544"/>
  <c r="W543"/>
  <c r="X543" s="1"/>
  <c r="R543"/>
  <c r="Q543"/>
  <c r="N543"/>
  <c r="O543" s="1"/>
  <c r="J543"/>
  <c r="K543" s="1"/>
  <c r="H543"/>
  <c r="Y543" s="1"/>
  <c r="G543"/>
  <c r="Z543" s="1"/>
  <c r="B543"/>
  <c r="W542"/>
  <c r="X542" s="1"/>
  <c r="R542"/>
  <c r="Q542"/>
  <c r="N542"/>
  <c r="O542" s="1"/>
  <c r="J542"/>
  <c r="K542" s="1"/>
  <c r="H542"/>
  <c r="Y542" s="1"/>
  <c r="G542"/>
  <c r="Z542" s="1"/>
  <c r="B542"/>
  <c r="W541"/>
  <c r="X541" s="1"/>
  <c r="R541"/>
  <c r="V541" s="1"/>
  <c r="Q541"/>
  <c r="N541"/>
  <c r="O541" s="1"/>
  <c r="J541"/>
  <c r="K541" s="1"/>
  <c r="H541"/>
  <c r="Y541" s="1"/>
  <c r="G541"/>
  <c r="Z541" s="1"/>
  <c r="B541"/>
  <c r="W540"/>
  <c r="X540" s="1"/>
  <c r="R540"/>
  <c r="V540" s="1"/>
  <c r="Q540"/>
  <c r="N540"/>
  <c r="P540" s="1"/>
  <c r="J540"/>
  <c r="L540" s="1"/>
  <c r="H540"/>
  <c r="Y540" s="1"/>
  <c r="G540"/>
  <c r="Z540" s="1"/>
  <c r="B540"/>
  <c r="W539"/>
  <c r="X539" s="1"/>
  <c r="R539"/>
  <c r="Q539"/>
  <c r="N539"/>
  <c r="O539" s="1"/>
  <c r="J539"/>
  <c r="K539" s="1"/>
  <c r="H539"/>
  <c r="Y539" s="1"/>
  <c r="G539"/>
  <c r="Z539" s="1"/>
  <c r="B539"/>
  <c r="W538"/>
  <c r="X538" s="1"/>
  <c r="R538"/>
  <c r="Q538"/>
  <c r="N538"/>
  <c r="O538" s="1"/>
  <c r="J538"/>
  <c r="K538" s="1"/>
  <c r="H538"/>
  <c r="Y538" s="1"/>
  <c r="G538"/>
  <c r="Z538" s="1"/>
  <c r="B538"/>
  <c r="W537"/>
  <c r="X537" s="1"/>
  <c r="R537"/>
  <c r="V537" s="1"/>
  <c r="Q537"/>
  <c r="N537"/>
  <c r="O537" s="1"/>
  <c r="J537"/>
  <c r="K537" s="1"/>
  <c r="H537"/>
  <c r="Y537" s="1"/>
  <c r="G537"/>
  <c r="Z537" s="1"/>
  <c r="B537"/>
  <c r="W536"/>
  <c r="X536" s="1"/>
  <c r="R536"/>
  <c r="V536" s="1"/>
  <c r="Q536"/>
  <c r="N536"/>
  <c r="P536" s="1"/>
  <c r="J536"/>
  <c r="L536" s="1"/>
  <c r="H536"/>
  <c r="Y536" s="1"/>
  <c r="G536"/>
  <c r="Z536" s="1"/>
  <c r="B536"/>
  <c r="W535"/>
  <c r="X535" s="1"/>
  <c r="R535"/>
  <c r="Q535"/>
  <c r="N535"/>
  <c r="O535" s="1"/>
  <c r="J535"/>
  <c r="K535" s="1"/>
  <c r="H535"/>
  <c r="Y535" s="1"/>
  <c r="G535"/>
  <c r="Z535" s="1"/>
  <c r="B535"/>
  <c r="W534"/>
  <c r="X534" s="1"/>
  <c r="R534"/>
  <c r="Q534"/>
  <c r="N534"/>
  <c r="O534" s="1"/>
  <c r="J534"/>
  <c r="K534" s="1"/>
  <c r="H534"/>
  <c r="Y534" s="1"/>
  <c r="G534"/>
  <c r="Z534" s="1"/>
  <c r="B534"/>
  <c r="W533"/>
  <c r="X533" s="1"/>
  <c r="R533"/>
  <c r="V533" s="1"/>
  <c r="Q533"/>
  <c r="N533"/>
  <c r="O533" s="1"/>
  <c r="J533"/>
  <c r="K533" s="1"/>
  <c r="H533"/>
  <c r="Y533" s="1"/>
  <c r="G533"/>
  <c r="Z533" s="1"/>
  <c r="B533"/>
  <c r="W532"/>
  <c r="X532" s="1"/>
  <c r="R532"/>
  <c r="V532" s="1"/>
  <c r="Q532"/>
  <c r="N532"/>
  <c r="P532" s="1"/>
  <c r="J532"/>
  <c r="L532" s="1"/>
  <c r="H532"/>
  <c r="Y532" s="1"/>
  <c r="G532"/>
  <c r="Z532" s="1"/>
  <c r="B532"/>
  <c r="W531"/>
  <c r="X531" s="1"/>
  <c r="R531"/>
  <c r="Q531"/>
  <c r="N531"/>
  <c r="O531" s="1"/>
  <c r="J531"/>
  <c r="K531" s="1"/>
  <c r="H531"/>
  <c r="Y531" s="1"/>
  <c r="G531"/>
  <c r="Z531" s="1"/>
  <c r="B531"/>
  <c r="W530"/>
  <c r="X530" s="1"/>
  <c r="R530"/>
  <c r="Q530"/>
  <c r="N530"/>
  <c r="O530" s="1"/>
  <c r="J530"/>
  <c r="K530" s="1"/>
  <c r="H530"/>
  <c r="Y530" s="1"/>
  <c r="G530"/>
  <c r="Z530" s="1"/>
  <c r="B530"/>
  <c r="W529"/>
  <c r="X529" s="1"/>
  <c r="R529"/>
  <c r="V529" s="1"/>
  <c r="Q529"/>
  <c r="N529"/>
  <c r="O529" s="1"/>
  <c r="J529"/>
  <c r="K529" s="1"/>
  <c r="H529"/>
  <c r="Y529" s="1"/>
  <c r="G529"/>
  <c r="Z529" s="1"/>
  <c r="B529"/>
  <c r="W528"/>
  <c r="X528" s="1"/>
  <c r="R528"/>
  <c r="V528" s="1"/>
  <c r="Q528"/>
  <c r="N528"/>
  <c r="P528" s="1"/>
  <c r="J528"/>
  <c r="L528" s="1"/>
  <c r="H528"/>
  <c r="Y528" s="1"/>
  <c r="G528"/>
  <c r="Z528" s="1"/>
  <c r="B528"/>
  <c r="W527"/>
  <c r="X527" s="1"/>
  <c r="R527"/>
  <c r="Q527"/>
  <c r="N527"/>
  <c r="O527" s="1"/>
  <c r="J527"/>
  <c r="K527" s="1"/>
  <c r="H527"/>
  <c r="Y527" s="1"/>
  <c r="G527"/>
  <c r="Z527" s="1"/>
  <c r="B527"/>
  <c r="W526"/>
  <c r="X526" s="1"/>
  <c r="R526"/>
  <c r="Q526"/>
  <c r="N526"/>
  <c r="O526" s="1"/>
  <c r="J526"/>
  <c r="K526" s="1"/>
  <c r="H526"/>
  <c r="Y526" s="1"/>
  <c r="G526"/>
  <c r="Z526" s="1"/>
  <c r="B526"/>
  <c r="W525"/>
  <c r="X525" s="1"/>
  <c r="R525"/>
  <c r="V525" s="1"/>
  <c r="Q525"/>
  <c r="N525"/>
  <c r="O525" s="1"/>
  <c r="J525"/>
  <c r="K525" s="1"/>
  <c r="H525"/>
  <c r="Y525" s="1"/>
  <c r="G525"/>
  <c r="Z525" s="1"/>
  <c r="B525"/>
  <c r="W524"/>
  <c r="X524" s="1"/>
  <c r="R524"/>
  <c r="V524" s="1"/>
  <c r="Q524"/>
  <c r="N524"/>
  <c r="P524" s="1"/>
  <c r="J524"/>
  <c r="L524" s="1"/>
  <c r="H524"/>
  <c r="Y524" s="1"/>
  <c r="G524"/>
  <c r="Z524" s="1"/>
  <c r="B524"/>
  <c r="W523"/>
  <c r="X523" s="1"/>
  <c r="R523"/>
  <c r="Q523"/>
  <c r="N523"/>
  <c r="O523" s="1"/>
  <c r="J523"/>
  <c r="K523" s="1"/>
  <c r="H523"/>
  <c r="Y523" s="1"/>
  <c r="G523"/>
  <c r="Z523" s="1"/>
  <c r="B523"/>
  <c r="W522"/>
  <c r="X522" s="1"/>
  <c r="R522"/>
  <c r="Q522"/>
  <c r="N522"/>
  <c r="O522" s="1"/>
  <c r="J522"/>
  <c r="K522" s="1"/>
  <c r="H522"/>
  <c r="Y522" s="1"/>
  <c r="G522"/>
  <c r="Z522" s="1"/>
  <c r="B522"/>
  <c r="W521"/>
  <c r="X521" s="1"/>
  <c r="R521"/>
  <c r="V521" s="1"/>
  <c r="Q521"/>
  <c r="N521"/>
  <c r="O521" s="1"/>
  <c r="J521"/>
  <c r="K521" s="1"/>
  <c r="H521"/>
  <c r="Y521" s="1"/>
  <c r="G521"/>
  <c r="Z521" s="1"/>
  <c r="B521"/>
  <c r="W520"/>
  <c r="X520" s="1"/>
  <c r="R520"/>
  <c r="V520" s="1"/>
  <c r="Q520"/>
  <c r="N520"/>
  <c r="P520" s="1"/>
  <c r="J520"/>
  <c r="L520" s="1"/>
  <c r="H520"/>
  <c r="Y520" s="1"/>
  <c r="G520"/>
  <c r="Z520" s="1"/>
  <c r="B520"/>
  <c r="W519"/>
  <c r="X519" s="1"/>
  <c r="R519"/>
  <c r="Q519"/>
  <c r="N519"/>
  <c r="O519" s="1"/>
  <c r="J519"/>
  <c r="K519" s="1"/>
  <c r="H519"/>
  <c r="Y519" s="1"/>
  <c r="G519"/>
  <c r="Z519" s="1"/>
  <c r="B519"/>
  <c r="W518"/>
  <c r="X518" s="1"/>
  <c r="R518"/>
  <c r="Q518"/>
  <c r="N518"/>
  <c r="O518" s="1"/>
  <c r="J518"/>
  <c r="K518" s="1"/>
  <c r="H518"/>
  <c r="Y518" s="1"/>
  <c r="G518"/>
  <c r="Z518" s="1"/>
  <c r="B518"/>
  <c r="W517"/>
  <c r="X517" s="1"/>
  <c r="R517"/>
  <c r="V517" s="1"/>
  <c r="Q517"/>
  <c r="N517"/>
  <c r="O517" s="1"/>
  <c r="J517"/>
  <c r="K517" s="1"/>
  <c r="H517"/>
  <c r="Y517" s="1"/>
  <c r="G517"/>
  <c r="Z517" s="1"/>
  <c r="B517"/>
  <c r="W516"/>
  <c r="X516" s="1"/>
  <c r="R516"/>
  <c r="V516" s="1"/>
  <c r="Q516"/>
  <c r="N516"/>
  <c r="P516" s="1"/>
  <c r="J516"/>
  <c r="L516" s="1"/>
  <c r="H516"/>
  <c r="Y516" s="1"/>
  <c r="G516"/>
  <c r="Z516" s="1"/>
  <c r="B516"/>
  <c r="W515"/>
  <c r="X515" s="1"/>
  <c r="R515"/>
  <c r="Q515"/>
  <c r="N515"/>
  <c r="O515" s="1"/>
  <c r="J515"/>
  <c r="K515" s="1"/>
  <c r="H515"/>
  <c r="Y515" s="1"/>
  <c r="G515"/>
  <c r="Z515" s="1"/>
  <c r="B515"/>
  <c r="W514"/>
  <c r="X514" s="1"/>
  <c r="R514"/>
  <c r="Q514"/>
  <c r="N514"/>
  <c r="O514" s="1"/>
  <c r="J514"/>
  <c r="K514" s="1"/>
  <c r="H514"/>
  <c r="Y514" s="1"/>
  <c r="G514"/>
  <c r="Z514" s="1"/>
  <c r="B514"/>
  <c r="W513"/>
  <c r="X513" s="1"/>
  <c r="R513"/>
  <c r="V513" s="1"/>
  <c r="Q513"/>
  <c r="N513"/>
  <c r="O513" s="1"/>
  <c r="J513"/>
  <c r="K513" s="1"/>
  <c r="H513"/>
  <c r="Y513" s="1"/>
  <c r="G513"/>
  <c r="Z513" s="1"/>
  <c r="B513"/>
  <c r="W512"/>
  <c r="X512" s="1"/>
  <c r="R512"/>
  <c r="V512" s="1"/>
  <c r="Q512"/>
  <c r="N512"/>
  <c r="P512" s="1"/>
  <c r="J512"/>
  <c r="L512" s="1"/>
  <c r="H512"/>
  <c r="Y512" s="1"/>
  <c r="G512"/>
  <c r="Z512" s="1"/>
  <c r="B512"/>
  <c r="W511"/>
  <c r="X511" s="1"/>
  <c r="R511"/>
  <c r="Q511"/>
  <c r="N511"/>
  <c r="O511" s="1"/>
  <c r="J511"/>
  <c r="K511" s="1"/>
  <c r="H511"/>
  <c r="Y511" s="1"/>
  <c r="G511"/>
  <c r="Z511" s="1"/>
  <c r="B511"/>
  <c r="W510"/>
  <c r="X510" s="1"/>
  <c r="R510"/>
  <c r="Q510"/>
  <c r="N510"/>
  <c r="O510" s="1"/>
  <c r="J510"/>
  <c r="K510" s="1"/>
  <c r="H510"/>
  <c r="Y510" s="1"/>
  <c r="G510"/>
  <c r="Z510" s="1"/>
  <c r="B510"/>
  <c r="W509"/>
  <c r="X509" s="1"/>
  <c r="R509"/>
  <c r="V509" s="1"/>
  <c r="Q509"/>
  <c r="N509"/>
  <c r="O509" s="1"/>
  <c r="J509"/>
  <c r="K509" s="1"/>
  <c r="H509"/>
  <c r="Y509" s="1"/>
  <c r="G509"/>
  <c r="Z509" s="1"/>
  <c r="B509"/>
  <c r="W508"/>
  <c r="X508" s="1"/>
  <c r="R508"/>
  <c r="V508" s="1"/>
  <c r="Q508"/>
  <c r="N508"/>
  <c r="P508" s="1"/>
  <c r="J508"/>
  <c r="L508" s="1"/>
  <c r="H508"/>
  <c r="Y508" s="1"/>
  <c r="G508"/>
  <c r="Z508" s="1"/>
  <c r="B508"/>
  <c r="W507"/>
  <c r="X507" s="1"/>
  <c r="R507"/>
  <c r="Q507"/>
  <c r="N507"/>
  <c r="J507"/>
  <c r="H507"/>
  <c r="Y507" s="1"/>
  <c r="G507"/>
  <c r="Z507" s="1"/>
  <c r="B507"/>
  <c r="W506"/>
  <c r="X506" s="1"/>
  <c r="R506"/>
  <c r="Q506"/>
  <c r="N506"/>
  <c r="O506" s="1"/>
  <c r="J506"/>
  <c r="K506" s="1"/>
  <c r="H506"/>
  <c r="Y506" s="1"/>
  <c r="G506"/>
  <c r="Z506" s="1"/>
  <c r="B506"/>
  <c r="W505"/>
  <c r="X505" s="1"/>
  <c r="R505"/>
  <c r="V505" s="1"/>
  <c r="Q505"/>
  <c r="N505"/>
  <c r="O505" s="1"/>
  <c r="J505"/>
  <c r="K505" s="1"/>
  <c r="H505"/>
  <c r="Y505" s="1"/>
  <c r="G505"/>
  <c r="Z505" s="1"/>
  <c r="B505"/>
  <c r="W504"/>
  <c r="X504" s="1"/>
  <c r="R504"/>
  <c r="V504" s="1"/>
  <c r="Q504"/>
  <c r="N504"/>
  <c r="P504" s="1"/>
  <c r="J504"/>
  <c r="L504" s="1"/>
  <c r="H504"/>
  <c r="Y504" s="1"/>
  <c r="G504"/>
  <c r="Z504" s="1"/>
  <c r="B504"/>
  <c r="W503"/>
  <c r="X503" s="1"/>
  <c r="R503"/>
  <c r="Q503"/>
  <c r="N503"/>
  <c r="J503"/>
  <c r="H503"/>
  <c r="Y503" s="1"/>
  <c r="G503"/>
  <c r="Z503" s="1"/>
  <c r="B503"/>
  <c r="W502"/>
  <c r="X502" s="1"/>
  <c r="R502"/>
  <c r="Q502"/>
  <c r="N502"/>
  <c r="O502" s="1"/>
  <c r="J502"/>
  <c r="K502" s="1"/>
  <c r="H502"/>
  <c r="Y502" s="1"/>
  <c r="G502"/>
  <c r="Z502" s="1"/>
  <c r="B502"/>
  <c r="W501"/>
  <c r="X501" s="1"/>
  <c r="R501"/>
  <c r="V501" s="1"/>
  <c r="Q501"/>
  <c r="N501"/>
  <c r="O501" s="1"/>
  <c r="J501"/>
  <c r="K501" s="1"/>
  <c r="H501"/>
  <c r="Y501" s="1"/>
  <c r="G501"/>
  <c r="Z501" s="1"/>
  <c r="B501"/>
  <c r="W500"/>
  <c r="X500" s="1"/>
  <c r="R500"/>
  <c r="V500" s="1"/>
  <c r="Q500"/>
  <c r="N500"/>
  <c r="P500" s="1"/>
  <c r="J500"/>
  <c r="L500" s="1"/>
  <c r="H500"/>
  <c r="Y500" s="1"/>
  <c r="G500"/>
  <c r="Z500" s="1"/>
  <c r="B500"/>
  <c r="W499"/>
  <c r="X499" s="1"/>
  <c r="R499"/>
  <c r="Q499"/>
  <c r="N499"/>
  <c r="J499"/>
  <c r="H499"/>
  <c r="Y499" s="1"/>
  <c r="G499"/>
  <c r="Z499" s="1"/>
  <c r="B499"/>
  <c r="W498"/>
  <c r="X498" s="1"/>
  <c r="R498"/>
  <c r="Q498"/>
  <c r="N498"/>
  <c r="O498" s="1"/>
  <c r="J498"/>
  <c r="K498" s="1"/>
  <c r="H498"/>
  <c r="Y498" s="1"/>
  <c r="G498"/>
  <c r="Z498" s="1"/>
  <c r="B498"/>
  <c r="W497"/>
  <c r="X497" s="1"/>
  <c r="R497"/>
  <c r="Q497"/>
  <c r="N497"/>
  <c r="O497" s="1"/>
  <c r="J497"/>
  <c r="K497" s="1"/>
  <c r="H497"/>
  <c r="Y497" s="1"/>
  <c r="G497"/>
  <c r="Z497" s="1"/>
  <c r="B497"/>
  <c r="W496"/>
  <c r="X496" s="1"/>
  <c r="R496"/>
  <c r="V496" s="1"/>
  <c r="Q496"/>
  <c r="N496"/>
  <c r="P496" s="1"/>
  <c r="J496"/>
  <c r="L496" s="1"/>
  <c r="H496"/>
  <c r="Y496" s="1"/>
  <c r="G496"/>
  <c r="Z496" s="1"/>
  <c r="B496"/>
  <c r="W495"/>
  <c r="X495" s="1"/>
  <c r="R495"/>
  <c r="Q495"/>
  <c r="N495"/>
  <c r="O495" s="1"/>
  <c r="J495"/>
  <c r="K495" s="1"/>
  <c r="H495"/>
  <c r="Y495" s="1"/>
  <c r="G495"/>
  <c r="Z495" s="1"/>
  <c r="B495"/>
  <c r="W494"/>
  <c r="X494" s="1"/>
  <c r="R494"/>
  <c r="Q494"/>
  <c r="N494"/>
  <c r="O494" s="1"/>
  <c r="J494"/>
  <c r="K494" s="1"/>
  <c r="H494"/>
  <c r="Y494" s="1"/>
  <c r="G494"/>
  <c r="Z494" s="1"/>
  <c r="B494"/>
  <c r="W493"/>
  <c r="X493" s="1"/>
  <c r="R493"/>
  <c r="Q493"/>
  <c r="N493"/>
  <c r="O493" s="1"/>
  <c r="J493"/>
  <c r="K493" s="1"/>
  <c r="H493"/>
  <c r="Y493" s="1"/>
  <c r="G493"/>
  <c r="Z493" s="1"/>
  <c r="B493"/>
  <c r="W492"/>
  <c r="X492" s="1"/>
  <c r="R492"/>
  <c r="V492" s="1"/>
  <c r="Q492"/>
  <c r="N492"/>
  <c r="P492" s="1"/>
  <c r="J492"/>
  <c r="L492" s="1"/>
  <c r="H492"/>
  <c r="Y492" s="1"/>
  <c r="G492"/>
  <c r="Z492" s="1"/>
  <c r="B492"/>
  <c r="W491"/>
  <c r="X491" s="1"/>
  <c r="R491"/>
  <c r="V491" s="1"/>
  <c r="Q491"/>
  <c r="N491"/>
  <c r="O491" s="1"/>
  <c r="J491"/>
  <c r="K491" s="1"/>
  <c r="H491"/>
  <c r="Y491" s="1"/>
  <c r="G491"/>
  <c r="Z491" s="1"/>
  <c r="B491"/>
  <c r="W490"/>
  <c r="X490" s="1"/>
  <c r="R490"/>
  <c r="Q490"/>
  <c r="N490"/>
  <c r="O490" s="1"/>
  <c r="J490"/>
  <c r="K490" s="1"/>
  <c r="H490"/>
  <c r="Y490" s="1"/>
  <c r="G490"/>
  <c r="Z490" s="1"/>
  <c r="B490"/>
  <c r="W489"/>
  <c r="X489" s="1"/>
  <c r="R489"/>
  <c r="V489" s="1"/>
  <c r="Q489"/>
  <c r="N489"/>
  <c r="P489" s="1"/>
  <c r="J489"/>
  <c r="K489" s="1"/>
  <c r="H489"/>
  <c r="Y489" s="1"/>
  <c r="G489"/>
  <c r="Z489" s="1"/>
  <c r="B489"/>
  <c r="W488"/>
  <c r="X488" s="1"/>
  <c r="R488"/>
  <c r="V488" s="1"/>
  <c r="Q488"/>
  <c r="N488"/>
  <c r="P488" s="1"/>
  <c r="J488"/>
  <c r="L488" s="1"/>
  <c r="H488"/>
  <c r="Y488" s="1"/>
  <c r="G488"/>
  <c r="Z488" s="1"/>
  <c r="B488"/>
  <c r="W487"/>
  <c r="X487" s="1"/>
  <c r="R487"/>
  <c r="V487" s="1"/>
  <c r="Q487"/>
  <c r="N487"/>
  <c r="O487" s="1"/>
  <c r="J487"/>
  <c r="K487" s="1"/>
  <c r="H487"/>
  <c r="Y487" s="1"/>
  <c r="G487"/>
  <c r="Z487" s="1"/>
  <c r="B487"/>
  <c r="W486"/>
  <c r="X486" s="1"/>
  <c r="R486"/>
  <c r="V486" s="1"/>
  <c r="Q486"/>
  <c r="N486"/>
  <c r="O486" s="1"/>
  <c r="J486"/>
  <c r="L486" s="1"/>
  <c r="H486"/>
  <c r="Y486" s="1"/>
  <c r="G486"/>
  <c r="Z486" s="1"/>
  <c r="B486"/>
  <c r="W485"/>
  <c r="X485" s="1"/>
  <c r="R485"/>
  <c r="V485" s="1"/>
  <c r="Q485"/>
  <c r="N485"/>
  <c r="P485" s="1"/>
  <c r="J485"/>
  <c r="L485" s="1"/>
  <c r="H485"/>
  <c r="Y485" s="1"/>
  <c r="G485"/>
  <c r="Z485" s="1"/>
  <c r="B485"/>
  <c r="W484"/>
  <c r="X484" s="1"/>
  <c r="R484"/>
  <c r="V484" s="1"/>
  <c r="Q484"/>
  <c r="N484"/>
  <c r="P484" s="1"/>
  <c r="J484"/>
  <c r="L484" s="1"/>
  <c r="H484"/>
  <c r="Y484" s="1"/>
  <c r="G484"/>
  <c r="Z484" s="1"/>
  <c r="B484"/>
  <c r="W483"/>
  <c r="X483" s="1"/>
  <c r="R483"/>
  <c r="Q483"/>
  <c r="N483"/>
  <c r="O483" s="1"/>
  <c r="J483"/>
  <c r="K483" s="1"/>
  <c r="H483"/>
  <c r="Y483" s="1"/>
  <c r="G483"/>
  <c r="Z483" s="1"/>
  <c r="B483"/>
  <c r="W482"/>
  <c r="X482" s="1"/>
  <c r="R482"/>
  <c r="Q482"/>
  <c r="N482"/>
  <c r="O482" s="1"/>
  <c r="J482"/>
  <c r="K482" s="1"/>
  <c r="H482"/>
  <c r="Y482" s="1"/>
  <c r="G482"/>
  <c r="Z482" s="1"/>
  <c r="B482"/>
  <c r="W481"/>
  <c r="X481" s="1"/>
  <c r="R481"/>
  <c r="V481" s="1"/>
  <c r="Q481"/>
  <c r="N481"/>
  <c r="O481" s="1"/>
  <c r="J481"/>
  <c r="L481" s="1"/>
  <c r="H481"/>
  <c r="Y481" s="1"/>
  <c r="G481"/>
  <c r="Z481" s="1"/>
  <c r="B481"/>
  <c r="W480"/>
  <c r="X480" s="1"/>
  <c r="R480"/>
  <c r="Q480"/>
  <c r="N480"/>
  <c r="P480" s="1"/>
  <c r="J480"/>
  <c r="L480" s="1"/>
  <c r="H480"/>
  <c r="Y480" s="1"/>
  <c r="G480"/>
  <c r="Z480" s="1"/>
  <c r="B480"/>
  <c r="W479"/>
  <c r="X479" s="1"/>
  <c r="R479"/>
  <c r="V479" s="1"/>
  <c r="Q479"/>
  <c r="N479"/>
  <c r="O479" s="1"/>
  <c r="J479"/>
  <c r="L479" s="1"/>
  <c r="H479"/>
  <c r="Y479" s="1"/>
  <c r="G479"/>
  <c r="Z479" s="1"/>
  <c r="B479"/>
  <c r="W478"/>
  <c r="X478" s="1"/>
  <c r="R478"/>
  <c r="Q478"/>
  <c r="N478"/>
  <c r="J478"/>
  <c r="H478"/>
  <c r="Y478" s="1"/>
  <c r="G478"/>
  <c r="Z478" s="1"/>
  <c r="B478"/>
  <c r="W477"/>
  <c r="X477" s="1"/>
  <c r="R477"/>
  <c r="Q477"/>
  <c r="N477"/>
  <c r="O477" s="1"/>
  <c r="J477"/>
  <c r="H477"/>
  <c r="Y477" s="1"/>
  <c r="G477"/>
  <c r="Z477" s="1"/>
  <c r="B477"/>
  <c r="W476"/>
  <c r="X476" s="1"/>
  <c r="R476"/>
  <c r="V476" s="1"/>
  <c r="Q476"/>
  <c r="N476"/>
  <c r="J476"/>
  <c r="L476" s="1"/>
  <c r="H476"/>
  <c r="Y476" s="1"/>
  <c r="G476"/>
  <c r="Z476" s="1"/>
  <c r="B476"/>
  <c r="W475"/>
  <c r="X475" s="1"/>
  <c r="R475"/>
  <c r="Q475"/>
  <c r="N475"/>
  <c r="P475" s="1"/>
  <c r="J475"/>
  <c r="L475" s="1"/>
  <c r="H475"/>
  <c r="Y475" s="1"/>
  <c r="G475"/>
  <c r="Z475" s="1"/>
  <c r="B475"/>
  <c r="W474"/>
  <c r="X474" s="1"/>
  <c r="R474"/>
  <c r="Q474"/>
  <c r="N474"/>
  <c r="J474"/>
  <c r="H474"/>
  <c r="Y474" s="1"/>
  <c r="G474"/>
  <c r="Z474" s="1"/>
  <c r="B474"/>
  <c r="W473"/>
  <c r="X473" s="1"/>
  <c r="R473"/>
  <c r="Q473"/>
  <c r="N473"/>
  <c r="O473" s="1"/>
  <c r="J473"/>
  <c r="H473"/>
  <c r="Y473" s="1"/>
  <c r="G473"/>
  <c r="Z473" s="1"/>
  <c r="B473"/>
  <c r="W472"/>
  <c r="X472" s="1"/>
  <c r="R472"/>
  <c r="V472" s="1"/>
  <c r="Q472"/>
  <c r="N472"/>
  <c r="J472"/>
  <c r="L472" s="1"/>
  <c r="H472"/>
  <c r="Y472" s="1"/>
  <c r="G472"/>
  <c r="Z472" s="1"/>
  <c r="B472"/>
  <c r="W471"/>
  <c r="X471" s="1"/>
  <c r="R471"/>
  <c r="Q471"/>
  <c r="N471"/>
  <c r="P471" s="1"/>
  <c r="J471"/>
  <c r="L471" s="1"/>
  <c r="H471"/>
  <c r="Y471" s="1"/>
  <c r="G471"/>
  <c r="Z471" s="1"/>
  <c r="B471"/>
  <c r="W470"/>
  <c r="X470" s="1"/>
  <c r="R470"/>
  <c r="Q470"/>
  <c r="N470"/>
  <c r="J470"/>
  <c r="H470"/>
  <c r="Y470" s="1"/>
  <c r="G470"/>
  <c r="Z470" s="1"/>
  <c r="B470"/>
  <c r="W469"/>
  <c r="X469" s="1"/>
  <c r="R469"/>
  <c r="Q469"/>
  <c r="N469"/>
  <c r="O469" s="1"/>
  <c r="J469"/>
  <c r="H469"/>
  <c r="Y469" s="1"/>
  <c r="G469"/>
  <c r="Z469" s="1"/>
  <c r="B469"/>
  <c r="W468"/>
  <c r="X468" s="1"/>
  <c r="R468"/>
  <c r="V468" s="1"/>
  <c r="Q468"/>
  <c r="N468"/>
  <c r="J468"/>
  <c r="H468"/>
  <c r="Y468" s="1"/>
  <c r="G468"/>
  <c r="B468"/>
  <c r="W467"/>
  <c r="X467" s="1"/>
  <c r="R467"/>
  <c r="Q467"/>
  <c r="N467"/>
  <c r="P467" s="1"/>
  <c r="J467"/>
  <c r="L467" s="1"/>
  <c r="H467"/>
  <c r="Y467" s="1"/>
  <c r="G467"/>
  <c r="Z467" s="1"/>
  <c r="B467"/>
  <c r="W466"/>
  <c r="X466" s="1"/>
  <c r="R466"/>
  <c r="Q466"/>
  <c r="N466"/>
  <c r="O466" s="1"/>
  <c r="J466"/>
  <c r="K466" s="1"/>
  <c r="H466"/>
  <c r="Y466" s="1"/>
  <c r="G466"/>
  <c r="Z466" s="1"/>
  <c r="B466"/>
  <c r="W465"/>
  <c r="X465" s="1"/>
  <c r="R465"/>
  <c r="Q465"/>
  <c r="N465"/>
  <c r="J465"/>
  <c r="H465"/>
  <c r="Y465" s="1"/>
  <c r="G465"/>
  <c r="Z465" s="1"/>
  <c r="B465"/>
  <c r="W464"/>
  <c r="X464" s="1"/>
  <c r="R464"/>
  <c r="V464" s="1"/>
  <c r="Q464"/>
  <c r="N464"/>
  <c r="J464"/>
  <c r="H464"/>
  <c r="Y464" s="1"/>
  <c r="G464"/>
  <c r="Z464" s="1"/>
  <c r="B464"/>
  <c r="W463"/>
  <c r="X463" s="1"/>
  <c r="R463"/>
  <c r="Q463"/>
  <c r="N463"/>
  <c r="P463" s="1"/>
  <c r="J463"/>
  <c r="L463" s="1"/>
  <c r="H463"/>
  <c r="Y463" s="1"/>
  <c r="G463"/>
  <c r="Z463" s="1"/>
  <c r="B463"/>
  <c r="W462"/>
  <c r="X462" s="1"/>
  <c r="R462"/>
  <c r="Q462"/>
  <c r="N462"/>
  <c r="O462" s="1"/>
  <c r="J462"/>
  <c r="K462" s="1"/>
  <c r="H462"/>
  <c r="Y462" s="1"/>
  <c r="G462"/>
  <c r="Z462" s="1"/>
  <c r="B462"/>
  <c r="W461"/>
  <c r="X461" s="1"/>
  <c r="R461"/>
  <c r="Q461"/>
  <c r="N461"/>
  <c r="J461"/>
  <c r="H461"/>
  <c r="Y461" s="1"/>
  <c r="G461"/>
  <c r="Z461" s="1"/>
  <c r="B461"/>
  <c r="W460"/>
  <c r="X460" s="1"/>
  <c r="R460"/>
  <c r="V460" s="1"/>
  <c r="Q460"/>
  <c r="N460"/>
  <c r="J460"/>
  <c r="H460"/>
  <c r="Y460" s="1"/>
  <c r="G460"/>
  <c r="B460"/>
  <c r="W459"/>
  <c r="X459" s="1"/>
  <c r="R459"/>
  <c r="Q459"/>
  <c r="N459"/>
  <c r="P459" s="1"/>
  <c r="J459"/>
  <c r="L459" s="1"/>
  <c r="H459"/>
  <c r="Y459" s="1"/>
  <c r="G459"/>
  <c r="Z459" s="1"/>
  <c r="B459"/>
  <c r="W458"/>
  <c r="X458" s="1"/>
  <c r="R458"/>
  <c r="Q458"/>
  <c r="N458"/>
  <c r="O458" s="1"/>
  <c r="J458"/>
  <c r="K458" s="1"/>
  <c r="H458"/>
  <c r="Y458" s="1"/>
  <c r="G458"/>
  <c r="Z458" s="1"/>
  <c r="B458"/>
  <c r="W457"/>
  <c r="X457" s="1"/>
  <c r="R457"/>
  <c r="Q457"/>
  <c r="N457"/>
  <c r="J457"/>
  <c r="H457"/>
  <c r="Y457" s="1"/>
  <c r="G457"/>
  <c r="Z457" s="1"/>
  <c r="B457"/>
  <c r="W456"/>
  <c r="X456" s="1"/>
  <c r="R456"/>
  <c r="V456" s="1"/>
  <c r="Q456"/>
  <c r="N456"/>
  <c r="J456"/>
  <c r="H456"/>
  <c r="Y456" s="1"/>
  <c r="G456"/>
  <c r="Z456" s="1"/>
  <c r="B456"/>
  <c r="W455"/>
  <c r="X455" s="1"/>
  <c r="R455"/>
  <c r="Q455"/>
  <c r="N455"/>
  <c r="P455" s="1"/>
  <c r="J455"/>
  <c r="L455" s="1"/>
  <c r="H455"/>
  <c r="Y455" s="1"/>
  <c r="G455"/>
  <c r="Z455" s="1"/>
  <c r="B455"/>
  <c r="W454"/>
  <c r="X454" s="1"/>
  <c r="R454"/>
  <c r="Q454"/>
  <c r="N454"/>
  <c r="O454" s="1"/>
  <c r="J454"/>
  <c r="K454" s="1"/>
  <c r="H454"/>
  <c r="Y454" s="1"/>
  <c r="G454"/>
  <c r="Z454" s="1"/>
  <c r="B454"/>
  <c r="W453"/>
  <c r="X453" s="1"/>
  <c r="R453"/>
  <c r="Q453"/>
  <c r="N453"/>
  <c r="J453"/>
  <c r="H453"/>
  <c r="Y453" s="1"/>
  <c r="G453"/>
  <c r="Z453" s="1"/>
  <c r="B453"/>
  <c r="W452"/>
  <c r="X452" s="1"/>
  <c r="R452"/>
  <c r="V452" s="1"/>
  <c r="Q452"/>
  <c r="N452"/>
  <c r="J452"/>
  <c r="H452"/>
  <c r="Y452" s="1"/>
  <c r="G452"/>
  <c r="B452"/>
  <c r="W451"/>
  <c r="X451" s="1"/>
  <c r="R451"/>
  <c r="Q451"/>
  <c r="N451"/>
  <c r="P451" s="1"/>
  <c r="J451"/>
  <c r="L451" s="1"/>
  <c r="H451"/>
  <c r="Y451" s="1"/>
  <c r="G451"/>
  <c r="Z451" s="1"/>
  <c r="B451"/>
  <c r="W450"/>
  <c r="X450" s="1"/>
  <c r="R450"/>
  <c r="Q450"/>
  <c r="N450"/>
  <c r="O450" s="1"/>
  <c r="J450"/>
  <c r="K450" s="1"/>
  <c r="H450"/>
  <c r="Y450" s="1"/>
  <c r="G450"/>
  <c r="Z450" s="1"/>
  <c r="B450"/>
  <c r="W449"/>
  <c r="X449" s="1"/>
  <c r="R449"/>
  <c r="Q449"/>
  <c r="N449"/>
  <c r="J449"/>
  <c r="H449"/>
  <c r="Y449" s="1"/>
  <c r="G449"/>
  <c r="Z449" s="1"/>
  <c r="B449"/>
  <c r="W448"/>
  <c r="X448" s="1"/>
  <c r="R448"/>
  <c r="V448" s="1"/>
  <c r="Q448"/>
  <c r="N448"/>
  <c r="J448"/>
  <c r="H448"/>
  <c r="Y448" s="1"/>
  <c r="G448"/>
  <c r="Z448" s="1"/>
  <c r="B448"/>
  <c r="W447"/>
  <c r="X447" s="1"/>
  <c r="R447"/>
  <c r="Q447"/>
  <c r="N447"/>
  <c r="P447" s="1"/>
  <c r="J447"/>
  <c r="L447" s="1"/>
  <c r="H447"/>
  <c r="Y447" s="1"/>
  <c r="G447"/>
  <c r="Z447" s="1"/>
  <c r="B447"/>
  <c r="W446"/>
  <c r="X446" s="1"/>
  <c r="R446"/>
  <c r="V446" s="1"/>
  <c r="Q446"/>
  <c r="N446"/>
  <c r="O446" s="1"/>
  <c r="J446"/>
  <c r="K446" s="1"/>
  <c r="H446"/>
  <c r="Y446" s="1"/>
  <c r="G446"/>
  <c r="Z446" s="1"/>
  <c r="B446"/>
  <c r="W445"/>
  <c r="X445" s="1"/>
  <c r="R445"/>
  <c r="Q445"/>
  <c r="N445"/>
  <c r="O445" s="1"/>
  <c r="J445"/>
  <c r="H445"/>
  <c r="Y445" s="1"/>
  <c r="G445"/>
  <c r="Z445" s="1"/>
  <c r="B445"/>
  <c r="W444"/>
  <c r="X444" s="1"/>
  <c r="R444"/>
  <c r="V444" s="1"/>
  <c r="Q444"/>
  <c r="N444"/>
  <c r="J444"/>
  <c r="L444" s="1"/>
  <c r="H444"/>
  <c r="Y444" s="1"/>
  <c r="G444"/>
  <c r="Z444" s="1"/>
  <c r="B444"/>
  <c r="W443"/>
  <c r="X443" s="1"/>
  <c r="R443"/>
  <c r="Q443"/>
  <c r="N443"/>
  <c r="P443" s="1"/>
  <c r="J443"/>
  <c r="L443" s="1"/>
  <c r="H443"/>
  <c r="Y443" s="1"/>
  <c r="G443"/>
  <c r="Z443" s="1"/>
  <c r="B443"/>
  <c r="W442"/>
  <c r="X442" s="1"/>
  <c r="R442"/>
  <c r="V442" s="1"/>
  <c r="Q442"/>
  <c r="N442"/>
  <c r="O442" s="1"/>
  <c r="J442"/>
  <c r="K442" s="1"/>
  <c r="H442"/>
  <c r="Y442" s="1"/>
  <c r="G442"/>
  <c r="Z442" s="1"/>
  <c r="B442"/>
  <c r="W441"/>
  <c r="X441" s="1"/>
  <c r="R441"/>
  <c r="Q441"/>
  <c r="N441"/>
  <c r="O441" s="1"/>
  <c r="J441"/>
  <c r="H441"/>
  <c r="Y441" s="1"/>
  <c r="G441"/>
  <c r="Z441" s="1"/>
  <c r="B441"/>
  <c r="W440"/>
  <c r="X440" s="1"/>
  <c r="R440"/>
  <c r="V440" s="1"/>
  <c r="Q440"/>
  <c r="N440"/>
  <c r="J440"/>
  <c r="L440" s="1"/>
  <c r="H440"/>
  <c r="Y440" s="1"/>
  <c r="G440"/>
  <c r="Z440" s="1"/>
  <c r="B440"/>
  <c r="W439"/>
  <c r="X439" s="1"/>
  <c r="R439"/>
  <c r="Q439"/>
  <c r="N439"/>
  <c r="P439" s="1"/>
  <c r="J439"/>
  <c r="L439" s="1"/>
  <c r="H439"/>
  <c r="Y439" s="1"/>
  <c r="G439"/>
  <c r="Z439" s="1"/>
  <c r="B439"/>
  <c r="W438"/>
  <c r="X438" s="1"/>
  <c r="R438"/>
  <c r="V438" s="1"/>
  <c r="Q438"/>
  <c r="N438"/>
  <c r="O438" s="1"/>
  <c r="J438"/>
  <c r="K438" s="1"/>
  <c r="H438"/>
  <c r="Y438" s="1"/>
  <c r="G438"/>
  <c r="Z438" s="1"/>
  <c r="B438"/>
  <c r="W437"/>
  <c r="X437" s="1"/>
  <c r="R437"/>
  <c r="Q437"/>
  <c r="N437"/>
  <c r="O437" s="1"/>
  <c r="J437"/>
  <c r="H437"/>
  <c r="Y437" s="1"/>
  <c r="G437"/>
  <c r="Z437" s="1"/>
  <c r="B437"/>
  <c r="W436"/>
  <c r="X436" s="1"/>
  <c r="R436"/>
  <c r="V436" s="1"/>
  <c r="Q436"/>
  <c r="N436"/>
  <c r="J436"/>
  <c r="L436" s="1"/>
  <c r="H436"/>
  <c r="Y436" s="1"/>
  <c r="G436"/>
  <c r="Z436" s="1"/>
  <c r="B436"/>
  <c r="W435"/>
  <c r="X435" s="1"/>
  <c r="R435"/>
  <c r="Q435"/>
  <c r="N435"/>
  <c r="P435" s="1"/>
  <c r="J435"/>
  <c r="H435"/>
  <c r="Y435" s="1"/>
  <c r="G435"/>
  <c r="Z435" s="1"/>
  <c r="B435"/>
  <c r="W434"/>
  <c r="X434" s="1"/>
  <c r="R434"/>
  <c r="V434" s="1"/>
  <c r="Q434"/>
  <c r="N434"/>
  <c r="O434" s="1"/>
  <c r="J434"/>
  <c r="K434" s="1"/>
  <c r="H434"/>
  <c r="Y434" s="1"/>
  <c r="G434"/>
  <c r="Z434" s="1"/>
  <c r="B434"/>
  <c r="W433"/>
  <c r="X433" s="1"/>
  <c r="R433"/>
  <c r="Q433"/>
  <c r="N433"/>
  <c r="O433" s="1"/>
  <c r="J433"/>
  <c r="H433"/>
  <c r="Y433" s="1"/>
  <c r="G433"/>
  <c r="Z433" s="1"/>
  <c r="B433"/>
  <c r="W432"/>
  <c r="X432" s="1"/>
  <c r="R432"/>
  <c r="V432" s="1"/>
  <c r="Q432"/>
  <c r="N432"/>
  <c r="J432"/>
  <c r="L432" s="1"/>
  <c r="H432"/>
  <c r="Y432" s="1"/>
  <c r="G432"/>
  <c r="Z432" s="1"/>
  <c r="B432"/>
  <c r="W431"/>
  <c r="X431" s="1"/>
  <c r="R431"/>
  <c r="Q431"/>
  <c r="N431"/>
  <c r="J431"/>
  <c r="H431"/>
  <c r="Y431" s="1"/>
  <c r="G431"/>
  <c r="Z431" s="1"/>
  <c r="B431"/>
  <c r="W430"/>
  <c r="X430" s="1"/>
  <c r="R430"/>
  <c r="V430" s="1"/>
  <c r="Q430"/>
  <c r="N430"/>
  <c r="O430" s="1"/>
  <c r="J430"/>
  <c r="K430" s="1"/>
  <c r="H430"/>
  <c r="Y430" s="1"/>
  <c r="G430"/>
  <c r="Z430" s="1"/>
  <c r="B430"/>
  <c r="W429"/>
  <c r="X429" s="1"/>
  <c r="R429"/>
  <c r="Q429"/>
  <c r="N429"/>
  <c r="O429" s="1"/>
  <c r="J429"/>
  <c r="H429"/>
  <c r="Y429" s="1"/>
  <c r="G429"/>
  <c r="Z429" s="1"/>
  <c r="B429"/>
  <c r="W428"/>
  <c r="X428" s="1"/>
  <c r="R428"/>
  <c r="V428" s="1"/>
  <c r="Q428"/>
  <c r="N428"/>
  <c r="J428"/>
  <c r="L428" s="1"/>
  <c r="H428"/>
  <c r="Y428" s="1"/>
  <c r="G428"/>
  <c r="Z428" s="1"/>
  <c r="B428"/>
  <c r="W427"/>
  <c r="X427" s="1"/>
  <c r="R427"/>
  <c r="Q427"/>
  <c r="N427"/>
  <c r="J427"/>
  <c r="H427"/>
  <c r="Y427" s="1"/>
  <c r="G427"/>
  <c r="Z427" s="1"/>
  <c r="B427"/>
  <c r="W426"/>
  <c r="X426" s="1"/>
  <c r="R426"/>
  <c r="V426" s="1"/>
  <c r="Q426"/>
  <c r="N426"/>
  <c r="O426" s="1"/>
  <c r="J426"/>
  <c r="K426" s="1"/>
  <c r="H426"/>
  <c r="Y426" s="1"/>
  <c r="G426"/>
  <c r="Z426" s="1"/>
  <c r="B426"/>
  <c r="W425"/>
  <c r="X425" s="1"/>
  <c r="R425"/>
  <c r="Q425"/>
  <c r="N425"/>
  <c r="O425" s="1"/>
  <c r="J425"/>
  <c r="H425"/>
  <c r="Y425" s="1"/>
  <c r="G425"/>
  <c r="Z425" s="1"/>
  <c r="B425"/>
  <c r="W424"/>
  <c r="X424" s="1"/>
  <c r="R424"/>
  <c r="V424" s="1"/>
  <c r="Q424"/>
  <c r="N424"/>
  <c r="P424" s="1"/>
  <c r="J424"/>
  <c r="L424" s="1"/>
  <c r="H424"/>
  <c r="Y424" s="1"/>
  <c r="G424"/>
  <c r="Z424" s="1"/>
  <c r="B424"/>
  <c r="W423"/>
  <c r="X423" s="1"/>
  <c r="R423"/>
  <c r="Q423"/>
  <c r="N423"/>
  <c r="J423"/>
  <c r="H423"/>
  <c r="Y423" s="1"/>
  <c r="G423"/>
  <c r="Z423" s="1"/>
  <c r="B423"/>
  <c r="W422"/>
  <c r="X422" s="1"/>
  <c r="R422"/>
  <c r="V422" s="1"/>
  <c r="Q422"/>
  <c r="N422"/>
  <c r="O422" s="1"/>
  <c r="J422"/>
  <c r="K422" s="1"/>
  <c r="H422"/>
  <c r="Y422" s="1"/>
  <c r="G422"/>
  <c r="Z422" s="1"/>
  <c r="B422"/>
  <c r="W421"/>
  <c r="X421" s="1"/>
  <c r="R421"/>
  <c r="Q421"/>
  <c r="N421"/>
  <c r="O421" s="1"/>
  <c r="J421"/>
  <c r="K421" s="1"/>
  <c r="H421"/>
  <c r="Y421" s="1"/>
  <c r="G421"/>
  <c r="Z421" s="1"/>
  <c r="B421"/>
  <c r="W420"/>
  <c r="X420" s="1"/>
  <c r="R420"/>
  <c r="V420" s="1"/>
  <c r="Q420"/>
  <c r="N420"/>
  <c r="P420" s="1"/>
  <c r="J420"/>
  <c r="L420" s="1"/>
  <c r="H420"/>
  <c r="Y420" s="1"/>
  <c r="G420"/>
  <c r="Z420" s="1"/>
  <c r="B420"/>
  <c r="W419"/>
  <c r="X419" s="1"/>
  <c r="R419"/>
  <c r="Q419"/>
  <c r="N419"/>
  <c r="O419" s="1"/>
  <c r="J419"/>
  <c r="K419" s="1"/>
  <c r="H419"/>
  <c r="Y419" s="1"/>
  <c r="G419"/>
  <c r="Z419" s="1"/>
  <c r="B419"/>
  <c r="W418"/>
  <c r="X418" s="1"/>
  <c r="R418"/>
  <c r="V418" s="1"/>
  <c r="Q418"/>
  <c r="N418"/>
  <c r="O418" s="1"/>
  <c r="J418"/>
  <c r="K418" s="1"/>
  <c r="H418"/>
  <c r="Y418" s="1"/>
  <c r="G418"/>
  <c r="Z418" s="1"/>
  <c r="B418"/>
  <c r="W417"/>
  <c r="X417" s="1"/>
  <c r="R417"/>
  <c r="Q417"/>
  <c r="N417"/>
  <c r="O417" s="1"/>
  <c r="J417"/>
  <c r="K417" s="1"/>
  <c r="H417"/>
  <c r="Y417" s="1"/>
  <c r="G417"/>
  <c r="Z417" s="1"/>
  <c r="B417"/>
  <c r="W416"/>
  <c r="X416" s="1"/>
  <c r="R416"/>
  <c r="V416" s="1"/>
  <c r="Q416"/>
  <c r="N416"/>
  <c r="P416" s="1"/>
  <c r="J416"/>
  <c r="L416" s="1"/>
  <c r="H416"/>
  <c r="Y416" s="1"/>
  <c r="G416"/>
  <c r="Z416" s="1"/>
  <c r="B416"/>
  <c r="W415"/>
  <c r="X415" s="1"/>
  <c r="R415"/>
  <c r="Q415"/>
  <c r="N415"/>
  <c r="O415" s="1"/>
  <c r="J415"/>
  <c r="K415" s="1"/>
  <c r="H415"/>
  <c r="Y415" s="1"/>
  <c r="G415"/>
  <c r="Z415" s="1"/>
  <c r="B415"/>
  <c r="W414"/>
  <c r="X414" s="1"/>
  <c r="R414"/>
  <c r="V414" s="1"/>
  <c r="Q414"/>
  <c r="N414"/>
  <c r="O414" s="1"/>
  <c r="J414"/>
  <c r="K414" s="1"/>
  <c r="H414"/>
  <c r="Y414" s="1"/>
  <c r="G414"/>
  <c r="Z414" s="1"/>
  <c r="B414"/>
  <c r="W413"/>
  <c r="X413" s="1"/>
  <c r="R413"/>
  <c r="Q413"/>
  <c r="N413"/>
  <c r="O413" s="1"/>
  <c r="J413"/>
  <c r="K413" s="1"/>
  <c r="H413"/>
  <c r="Y413" s="1"/>
  <c r="G413"/>
  <c r="Z413" s="1"/>
  <c r="B413"/>
  <c r="W412"/>
  <c r="X412" s="1"/>
  <c r="R412"/>
  <c r="V412" s="1"/>
  <c r="Q412"/>
  <c r="N412"/>
  <c r="P412" s="1"/>
  <c r="J412"/>
  <c r="L412" s="1"/>
  <c r="H412"/>
  <c r="Y412" s="1"/>
  <c r="G412"/>
  <c r="Z412" s="1"/>
  <c r="B412"/>
  <c r="W411"/>
  <c r="X411" s="1"/>
  <c r="R411"/>
  <c r="Q411"/>
  <c r="N411"/>
  <c r="O411" s="1"/>
  <c r="J411"/>
  <c r="K411" s="1"/>
  <c r="H411"/>
  <c r="Y411" s="1"/>
  <c r="G411"/>
  <c r="Z411" s="1"/>
  <c r="B411"/>
  <c r="W410"/>
  <c r="X410" s="1"/>
  <c r="R410"/>
  <c r="V410" s="1"/>
  <c r="Q410"/>
  <c r="N410"/>
  <c r="P410" s="1"/>
  <c r="J410"/>
  <c r="L410" s="1"/>
  <c r="H410"/>
  <c r="Y410" s="1"/>
  <c r="G410"/>
  <c r="Z410" s="1"/>
  <c r="B410"/>
  <c r="W409"/>
  <c r="X409" s="1"/>
  <c r="R409"/>
  <c r="V409" s="1"/>
  <c r="Q409"/>
  <c r="N409"/>
  <c r="P409" s="1"/>
  <c r="J409"/>
  <c r="L409" s="1"/>
  <c r="H409"/>
  <c r="Y409" s="1"/>
  <c r="G409"/>
  <c r="Z409" s="1"/>
  <c r="B409"/>
  <c r="W408"/>
  <c r="X408" s="1"/>
  <c r="R408"/>
  <c r="V408" s="1"/>
  <c r="Q408"/>
  <c r="N408"/>
  <c r="P408" s="1"/>
  <c r="J408"/>
  <c r="L408" s="1"/>
  <c r="H408"/>
  <c r="Y408" s="1"/>
  <c r="G408"/>
  <c r="Z408" s="1"/>
  <c r="B408"/>
  <c r="W407"/>
  <c r="X407" s="1"/>
  <c r="R407"/>
  <c r="V407" s="1"/>
  <c r="Q407"/>
  <c r="N407"/>
  <c r="O407" s="1"/>
  <c r="J407"/>
  <c r="K407" s="1"/>
  <c r="H407"/>
  <c r="Y407" s="1"/>
  <c r="G407"/>
  <c r="Z407" s="1"/>
  <c r="B407"/>
  <c r="W406"/>
  <c r="X406" s="1"/>
  <c r="R406"/>
  <c r="V406" s="1"/>
  <c r="Q406"/>
  <c r="N406"/>
  <c r="P406" s="1"/>
  <c r="J406"/>
  <c r="K406" s="1"/>
  <c r="H406"/>
  <c r="Y406" s="1"/>
  <c r="G406"/>
  <c r="Z406" s="1"/>
  <c r="B406"/>
  <c r="W405"/>
  <c r="X405" s="1"/>
  <c r="R405"/>
  <c r="V405" s="1"/>
  <c r="Q405"/>
  <c r="N405"/>
  <c r="P405" s="1"/>
  <c r="J405"/>
  <c r="L405" s="1"/>
  <c r="H405"/>
  <c r="Y405" s="1"/>
  <c r="G405"/>
  <c r="Z405" s="1"/>
  <c r="B405"/>
  <c r="W404"/>
  <c r="X404" s="1"/>
  <c r="R404"/>
  <c r="V404" s="1"/>
  <c r="Q404"/>
  <c r="N404"/>
  <c r="P404" s="1"/>
  <c r="J404"/>
  <c r="L404" s="1"/>
  <c r="H404"/>
  <c r="Y404" s="1"/>
  <c r="G404"/>
  <c r="Z404" s="1"/>
  <c r="B404"/>
  <c r="W403"/>
  <c r="X403" s="1"/>
  <c r="R403"/>
  <c r="Q403"/>
  <c r="N403"/>
  <c r="O403" s="1"/>
  <c r="J403"/>
  <c r="K403" s="1"/>
  <c r="H403"/>
  <c r="Y403" s="1"/>
  <c r="G403"/>
  <c r="Z403" s="1"/>
  <c r="B403"/>
  <c r="W402"/>
  <c r="X402" s="1"/>
  <c r="R402"/>
  <c r="V402" s="1"/>
  <c r="Q402"/>
  <c r="N402"/>
  <c r="P402" s="1"/>
  <c r="J402"/>
  <c r="L402" s="1"/>
  <c r="H402"/>
  <c r="Y402" s="1"/>
  <c r="G402"/>
  <c r="Z402" s="1"/>
  <c r="B402"/>
  <c r="W401"/>
  <c r="X401" s="1"/>
  <c r="R401"/>
  <c r="V401" s="1"/>
  <c r="Q401"/>
  <c r="N401"/>
  <c r="O401" s="1"/>
  <c r="J401"/>
  <c r="L401" s="1"/>
  <c r="H401"/>
  <c r="Y401" s="1"/>
  <c r="G401"/>
  <c r="Z401" s="1"/>
  <c r="B401"/>
  <c r="W400"/>
  <c r="X400" s="1"/>
  <c r="R400"/>
  <c r="Q400"/>
  <c r="N400"/>
  <c r="P400" s="1"/>
  <c r="J400"/>
  <c r="L400" s="1"/>
  <c r="H400"/>
  <c r="Y400" s="1"/>
  <c r="G400"/>
  <c r="Z400" s="1"/>
  <c r="B400"/>
  <c r="W399"/>
  <c r="X399" s="1"/>
  <c r="R399"/>
  <c r="V399" s="1"/>
  <c r="Q399"/>
  <c r="N399"/>
  <c r="O399" s="1"/>
  <c r="J399"/>
  <c r="K399" s="1"/>
  <c r="H399"/>
  <c r="Y399" s="1"/>
  <c r="G399"/>
  <c r="Z399" s="1"/>
  <c r="B399"/>
  <c r="W398"/>
  <c r="X398" s="1"/>
  <c r="R398"/>
  <c r="V398" s="1"/>
  <c r="Q398"/>
  <c r="N398"/>
  <c r="P398" s="1"/>
  <c r="J398"/>
  <c r="L398" s="1"/>
  <c r="H398"/>
  <c r="Y398" s="1"/>
  <c r="G398"/>
  <c r="B398"/>
  <c r="W397"/>
  <c r="X397" s="1"/>
  <c r="R397"/>
  <c r="V397" s="1"/>
  <c r="Q397"/>
  <c r="N397"/>
  <c r="O397" s="1"/>
  <c r="J397"/>
  <c r="K397" s="1"/>
  <c r="H397"/>
  <c r="Y397" s="1"/>
  <c r="G397"/>
  <c r="Z397" s="1"/>
  <c r="B397"/>
  <c r="W396"/>
  <c r="X396" s="1"/>
  <c r="R396"/>
  <c r="V396" s="1"/>
  <c r="Q396"/>
  <c r="N396"/>
  <c r="P396" s="1"/>
  <c r="J396"/>
  <c r="L396" s="1"/>
  <c r="H396"/>
  <c r="Y396" s="1"/>
  <c r="G396"/>
  <c r="Z396" s="1"/>
  <c r="B396"/>
  <c r="W395"/>
  <c r="X395" s="1"/>
  <c r="R395"/>
  <c r="V395" s="1"/>
  <c r="Q395"/>
  <c r="N395"/>
  <c r="P395" s="1"/>
  <c r="J395"/>
  <c r="L395" s="1"/>
  <c r="H395"/>
  <c r="Y395" s="1"/>
  <c r="G395"/>
  <c r="Z395" s="1"/>
  <c r="B395"/>
  <c r="W394"/>
  <c r="X394" s="1"/>
  <c r="R394"/>
  <c r="Q394"/>
  <c r="N394"/>
  <c r="O394" s="1"/>
  <c r="J394"/>
  <c r="K394" s="1"/>
  <c r="H394"/>
  <c r="Y394" s="1"/>
  <c r="G394"/>
  <c r="Z394" s="1"/>
  <c r="B394"/>
  <c r="W393"/>
  <c r="X393" s="1"/>
  <c r="R393"/>
  <c r="V393" s="1"/>
  <c r="Q393"/>
  <c r="N393"/>
  <c r="P393" s="1"/>
  <c r="J393"/>
  <c r="L393" s="1"/>
  <c r="H393"/>
  <c r="Y393" s="1"/>
  <c r="G393"/>
  <c r="Z393" s="1"/>
  <c r="B393"/>
  <c r="W392"/>
  <c r="X392" s="1"/>
  <c r="R392"/>
  <c r="Q392"/>
  <c r="N392"/>
  <c r="P392" s="1"/>
  <c r="J392"/>
  <c r="L392" s="1"/>
  <c r="H392"/>
  <c r="Y392" s="1"/>
  <c r="G392"/>
  <c r="Z392" s="1"/>
  <c r="B392"/>
  <c r="W391"/>
  <c r="X391" s="1"/>
  <c r="R391"/>
  <c r="V391" s="1"/>
  <c r="Q391"/>
  <c r="N391"/>
  <c r="P391" s="1"/>
  <c r="J391"/>
  <c r="L391" s="1"/>
  <c r="H391"/>
  <c r="Y391" s="1"/>
  <c r="G391"/>
  <c r="B391"/>
  <c r="W390"/>
  <c r="X390" s="1"/>
  <c r="R390"/>
  <c r="Q390"/>
  <c r="N390"/>
  <c r="O390" s="1"/>
  <c r="J390"/>
  <c r="K390" s="1"/>
  <c r="H390"/>
  <c r="Y390" s="1"/>
  <c r="G390"/>
  <c r="Z390" s="1"/>
  <c r="B390"/>
  <c r="W389"/>
  <c r="X389" s="1"/>
  <c r="R389"/>
  <c r="V389" s="1"/>
  <c r="Q389"/>
  <c r="N389"/>
  <c r="P389" s="1"/>
  <c r="J389"/>
  <c r="L389" s="1"/>
  <c r="H389"/>
  <c r="Y389" s="1"/>
  <c r="G389"/>
  <c r="Z389" s="1"/>
  <c r="B389"/>
  <c r="W388"/>
  <c r="X388" s="1"/>
  <c r="R388"/>
  <c r="Q388"/>
  <c r="N388"/>
  <c r="P388" s="1"/>
  <c r="J388"/>
  <c r="L388" s="1"/>
  <c r="H388"/>
  <c r="Y388" s="1"/>
  <c r="G388"/>
  <c r="Z388" s="1"/>
  <c r="B388"/>
  <c r="W387"/>
  <c r="X387" s="1"/>
  <c r="R387"/>
  <c r="V387" s="1"/>
  <c r="Q387"/>
  <c r="N387"/>
  <c r="P387" s="1"/>
  <c r="J387"/>
  <c r="L387" s="1"/>
  <c r="H387"/>
  <c r="Y387" s="1"/>
  <c r="G387"/>
  <c r="Z387" s="1"/>
  <c r="B387"/>
  <c r="W386"/>
  <c r="X386" s="1"/>
  <c r="R386"/>
  <c r="Q386"/>
  <c r="N386"/>
  <c r="O386" s="1"/>
  <c r="J386"/>
  <c r="K386" s="1"/>
  <c r="H386"/>
  <c r="Y386" s="1"/>
  <c r="G386"/>
  <c r="Z386" s="1"/>
  <c r="B386"/>
  <c r="W385"/>
  <c r="X385" s="1"/>
  <c r="R385"/>
  <c r="V385" s="1"/>
  <c r="Q385"/>
  <c r="N385"/>
  <c r="P385" s="1"/>
  <c r="J385"/>
  <c r="L385" s="1"/>
  <c r="H385"/>
  <c r="Y385" s="1"/>
  <c r="G385"/>
  <c r="Z385" s="1"/>
  <c r="B385"/>
  <c r="W384"/>
  <c r="X384" s="1"/>
  <c r="R384"/>
  <c r="Q384"/>
  <c r="N384"/>
  <c r="P384" s="1"/>
  <c r="J384"/>
  <c r="L384" s="1"/>
  <c r="H384"/>
  <c r="Y384" s="1"/>
  <c r="G384"/>
  <c r="Z384" s="1"/>
  <c r="B384"/>
  <c r="W383"/>
  <c r="X383" s="1"/>
  <c r="R383"/>
  <c r="V383" s="1"/>
  <c r="Q383"/>
  <c r="N383"/>
  <c r="P383" s="1"/>
  <c r="J383"/>
  <c r="L383" s="1"/>
  <c r="H383"/>
  <c r="Y383" s="1"/>
  <c r="G383"/>
  <c r="B383"/>
  <c r="W382"/>
  <c r="X382" s="1"/>
  <c r="R382"/>
  <c r="Q382"/>
  <c r="N382"/>
  <c r="O382" s="1"/>
  <c r="J382"/>
  <c r="K382" s="1"/>
  <c r="H382"/>
  <c r="Y382" s="1"/>
  <c r="G382"/>
  <c r="Z382" s="1"/>
  <c r="B382"/>
  <c r="W381"/>
  <c r="X381" s="1"/>
  <c r="R381"/>
  <c r="V381" s="1"/>
  <c r="Q381"/>
  <c r="N381"/>
  <c r="P381" s="1"/>
  <c r="J381"/>
  <c r="L381" s="1"/>
  <c r="H381"/>
  <c r="Y381" s="1"/>
  <c r="G381"/>
  <c r="Z381" s="1"/>
  <c r="B381"/>
  <c r="W380"/>
  <c r="X380" s="1"/>
  <c r="R380"/>
  <c r="Q380"/>
  <c r="N380"/>
  <c r="P380" s="1"/>
  <c r="J380"/>
  <c r="L380" s="1"/>
  <c r="H380"/>
  <c r="Y380" s="1"/>
  <c r="G380"/>
  <c r="Z380" s="1"/>
  <c r="B380"/>
  <c r="W379"/>
  <c r="X379" s="1"/>
  <c r="R379"/>
  <c r="V379" s="1"/>
  <c r="Q379"/>
  <c r="N379"/>
  <c r="P379" s="1"/>
  <c r="J379"/>
  <c r="L379" s="1"/>
  <c r="H379"/>
  <c r="Y379" s="1"/>
  <c r="G379"/>
  <c r="Z379" s="1"/>
  <c r="B379"/>
  <c r="W378"/>
  <c r="X378" s="1"/>
  <c r="R378"/>
  <c r="Q378"/>
  <c r="N378"/>
  <c r="O378" s="1"/>
  <c r="J378"/>
  <c r="K378" s="1"/>
  <c r="H378"/>
  <c r="Y378" s="1"/>
  <c r="G378"/>
  <c r="Z378" s="1"/>
  <c r="B378"/>
  <c r="W377"/>
  <c r="X377" s="1"/>
  <c r="R377"/>
  <c r="V377" s="1"/>
  <c r="Q377"/>
  <c r="N377"/>
  <c r="P377" s="1"/>
  <c r="J377"/>
  <c r="L377" s="1"/>
  <c r="H377"/>
  <c r="Y377" s="1"/>
  <c r="G377"/>
  <c r="Z377" s="1"/>
  <c r="B377"/>
  <c r="W376"/>
  <c r="X376" s="1"/>
  <c r="R376"/>
  <c r="Q376"/>
  <c r="N376"/>
  <c r="P376" s="1"/>
  <c r="J376"/>
  <c r="L376" s="1"/>
  <c r="H376"/>
  <c r="Y376" s="1"/>
  <c r="G376"/>
  <c r="Z376" s="1"/>
  <c r="B376"/>
  <c r="W375"/>
  <c r="X375" s="1"/>
  <c r="R375"/>
  <c r="V375" s="1"/>
  <c r="Q375"/>
  <c r="N375"/>
  <c r="P375" s="1"/>
  <c r="J375"/>
  <c r="L375" s="1"/>
  <c r="H375"/>
  <c r="Y375" s="1"/>
  <c r="G375"/>
  <c r="B375"/>
  <c r="W374"/>
  <c r="X374" s="1"/>
  <c r="R374"/>
  <c r="Q374"/>
  <c r="N374"/>
  <c r="O374" s="1"/>
  <c r="J374"/>
  <c r="K374" s="1"/>
  <c r="H374"/>
  <c r="Y374" s="1"/>
  <c r="G374"/>
  <c r="Z374" s="1"/>
  <c r="B374"/>
  <c r="W373"/>
  <c r="X373" s="1"/>
  <c r="R373"/>
  <c r="V373" s="1"/>
  <c r="Q373"/>
  <c r="N373"/>
  <c r="P373" s="1"/>
  <c r="J373"/>
  <c r="L373" s="1"/>
  <c r="H373"/>
  <c r="Y373" s="1"/>
  <c r="G373"/>
  <c r="Z373" s="1"/>
  <c r="B373"/>
  <c r="W372"/>
  <c r="X372" s="1"/>
  <c r="R372"/>
  <c r="Q372"/>
  <c r="N372"/>
  <c r="P372" s="1"/>
  <c r="J372"/>
  <c r="L372" s="1"/>
  <c r="H372"/>
  <c r="Y372" s="1"/>
  <c r="G372"/>
  <c r="Z372" s="1"/>
  <c r="B372"/>
  <c r="W371"/>
  <c r="X371" s="1"/>
  <c r="R371"/>
  <c r="V371" s="1"/>
  <c r="Q371"/>
  <c r="N371"/>
  <c r="P371" s="1"/>
  <c r="J371"/>
  <c r="L371" s="1"/>
  <c r="H371"/>
  <c r="Y371" s="1"/>
  <c r="G371"/>
  <c r="Z371" s="1"/>
  <c r="B371"/>
  <c r="W370"/>
  <c r="X370" s="1"/>
  <c r="R370"/>
  <c r="Q370"/>
  <c r="N370"/>
  <c r="O370" s="1"/>
  <c r="J370"/>
  <c r="K370" s="1"/>
  <c r="H370"/>
  <c r="Y370" s="1"/>
  <c r="G370"/>
  <c r="Z370" s="1"/>
  <c r="B370"/>
  <c r="W369"/>
  <c r="X369" s="1"/>
  <c r="R369"/>
  <c r="V369" s="1"/>
  <c r="Q369"/>
  <c r="N369"/>
  <c r="P369" s="1"/>
  <c r="J369"/>
  <c r="L369" s="1"/>
  <c r="H369"/>
  <c r="Y369" s="1"/>
  <c r="G369"/>
  <c r="Z369" s="1"/>
  <c r="B369"/>
  <c r="W368"/>
  <c r="X368" s="1"/>
  <c r="R368"/>
  <c r="Q368"/>
  <c r="N368"/>
  <c r="P368" s="1"/>
  <c r="J368"/>
  <c r="L368" s="1"/>
  <c r="H368"/>
  <c r="Y368" s="1"/>
  <c r="G368"/>
  <c r="Z368" s="1"/>
  <c r="B368"/>
  <c r="W367"/>
  <c r="X367" s="1"/>
  <c r="R367"/>
  <c r="V367" s="1"/>
  <c r="Q367"/>
  <c r="N367"/>
  <c r="P367" s="1"/>
  <c r="J367"/>
  <c r="L367" s="1"/>
  <c r="H367"/>
  <c r="Y367" s="1"/>
  <c r="G367"/>
  <c r="B367"/>
  <c r="W366"/>
  <c r="X366" s="1"/>
  <c r="R366"/>
  <c r="Q366"/>
  <c r="N366"/>
  <c r="O366" s="1"/>
  <c r="J366"/>
  <c r="K366" s="1"/>
  <c r="H366"/>
  <c r="Y366" s="1"/>
  <c r="G366"/>
  <c r="Z366" s="1"/>
  <c r="B366"/>
  <c r="W365"/>
  <c r="X365" s="1"/>
  <c r="R365"/>
  <c r="V365" s="1"/>
  <c r="Q365"/>
  <c r="N365"/>
  <c r="P365" s="1"/>
  <c r="J365"/>
  <c r="L365" s="1"/>
  <c r="H365"/>
  <c r="Y365" s="1"/>
  <c r="G365"/>
  <c r="Z365" s="1"/>
  <c r="B365"/>
  <c r="W364"/>
  <c r="X364" s="1"/>
  <c r="R364"/>
  <c r="Q364"/>
  <c r="N364"/>
  <c r="P364" s="1"/>
  <c r="J364"/>
  <c r="L364" s="1"/>
  <c r="H364"/>
  <c r="Y364" s="1"/>
  <c r="G364"/>
  <c r="Z364" s="1"/>
  <c r="B364"/>
  <c r="W363"/>
  <c r="X363" s="1"/>
  <c r="R363"/>
  <c r="V363" s="1"/>
  <c r="Q363"/>
  <c r="N363"/>
  <c r="P363" s="1"/>
  <c r="J363"/>
  <c r="L363" s="1"/>
  <c r="H363"/>
  <c r="Y363" s="1"/>
  <c r="G363"/>
  <c r="Z363" s="1"/>
  <c r="B363"/>
  <c r="W362"/>
  <c r="X362" s="1"/>
  <c r="R362"/>
  <c r="Q362"/>
  <c r="N362"/>
  <c r="O362" s="1"/>
  <c r="J362"/>
  <c r="K362" s="1"/>
  <c r="H362"/>
  <c r="Y362" s="1"/>
  <c r="G362"/>
  <c r="Z362" s="1"/>
  <c r="B362"/>
  <c r="W361"/>
  <c r="X361" s="1"/>
  <c r="R361"/>
  <c r="V361" s="1"/>
  <c r="Q361"/>
  <c r="N361"/>
  <c r="P361" s="1"/>
  <c r="J361"/>
  <c r="L361" s="1"/>
  <c r="H361"/>
  <c r="Y361" s="1"/>
  <c r="G361"/>
  <c r="Z361" s="1"/>
  <c r="B361"/>
  <c r="W360"/>
  <c r="X360" s="1"/>
  <c r="R360"/>
  <c r="Q360"/>
  <c r="N360"/>
  <c r="P360" s="1"/>
  <c r="J360"/>
  <c r="L360" s="1"/>
  <c r="H360"/>
  <c r="Y360" s="1"/>
  <c r="G360"/>
  <c r="Z360" s="1"/>
  <c r="B360"/>
  <c r="W359"/>
  <c r="X359" s="1"/>
  <c r="R359"/>
  <c r="V359" s="1"/>
  <c r="Q359"/>
  <c r="N359"/>
  <c r="P359" s="1"/>
  <c r="J359"/>
  <c r="L359" s="1"/>
  <c r="H359"/>
  <c r="Y359" s="1"/>
  <c r="G359"/>
  <c r="B359"/>
  <c r="W358"/>
  <c r="X358" s="1"/>
  <c r="R358"/>
  <c r="Q358"/>
  <c r="N358"/>
  <c r="O358" s="1"/>
  <c r="J358"/>
  <c r="K358" s="1"/>
  <c r="H358"/>
  <c r="Y358" s="1"/>
  <c r="G358"/>
  <c r="Z358" s="1"/>
  <c r="B358"/>
  <c r="W357"/>
  <c r="X357" s="1"/>
  <c r="R357"/>
  <c r="V357" s="1"/>
  <c r="Q357"/>
  <c r="N357"/>
  <c r="P357" s="1"/>
  <c r="J357"/>
  <c r="L357" s="1"/>
  <c r="H357"/>
  <c r="Y357" s="1"/>
  <c r="G357"/>
  <c r="Z357" s="1"/>
  <c r="B357"/>
  <c r="W356"/>
  <c r="X356" s="1"/>
  <c r="R356"/>
  <c r="Q356"/>
  <c r="N356"/>
  <c r="P356" s="1"/>
  <c r="J356"/>
  <c r="L356" s="1"/>
  <c r="H356"/>
  <c r="Y356" s="1"/>
  <c r="G356"/>
  <c r="Z356" s="1"/>
  <c r="B356"/>
  <c r="W355"/>
  <c r="X355" s="1"/>
  <c r="R355"/>
  <c r="V355" s="1"/>
  <c r="Q355"/>
  <c r="N355"/>
  <c r="P355" s="1"/>
  <c r="J355"/>
  <c r="L355" s="1"/>
  <c r="H355"/>
  <c r="Y355" s="1"/>
  <c r="G355"/>
  <c r="Z355" s="1"/>
  <c r="B355"/>
  <c r="W354"/>
  <c r="X354" s="1"/>
  <c r="R354"/>
  <c r="Q354"/>
  <c r="N354"/>
  <c r="O354" s="1"/>
  <c r="J354"/>
  <c r="K354" s="1"/>
  <c r="H354"/>
  <c r="Y354" s="1"/>
  <c r="G354"/>
  <c r="Z354" s="1"/>
  <c r="B354"/>
  <c r="W353"/>
  <c r="X353" s="1"/>
  <c r="R353"/>
  <c r="V353" s="1"/>
  <c r="Q353"/>
  <c r="N353"/>
  <c r="P353" s="1"/>
  <c r="J353"/>
  <c r="L353" s="1"/>
  <c r="H353"/>
  <c r="Y353" s="1"/>
  <c r="G353"/>
  <c r="Z353" s="1"/>
  <c r="B353"/>
  <c r="W352"/>
  <c r="X352" s="1"/>
  <c r="R352"/>
  <c r="Q352"/>
  <c r="N352"/>
  <c r="P352" s="1"/>
  <c r="J352"/>
  <c r="L352" s="1"/>
  <c r="H352"/>
  <c r="Y352" s="1"/>
  <c r="G352"/>
  <c r="Z352" s="1"/>
  <c r="B352"/>
  <c r="W351"/>
  <c r="X351" s="1"/>
  <c r="R351"/>
  <c r="V351" s="1"/>
  <c r="Q351"/>
  <c r="N351"/>
  <c r="P351" s="1"/>
  <c r="J351"/>
  <c r="L351" s="1"/>
  <c r="H351"/>
  <c r="Y351" s="1"/>
  <c r="G351"/>
  <c r="B351"/>
  <c r="W350"/>
  <c r="X350" s="1"/>
  <c r="R350"/>
  <c r="Q350"/>
  <c r="N350"/>
  <c r="O350" s="1"/>
  <c r="J350"/>
  <c r="K350" s="1"/>
  <c r="H350"/>
  <c r="Y350" s="1"/>
  <c r="G350"/>
  <c r="Z350" s="1"/>
  <c r="B350"/>
  <c r="W349"/>
  <c r="X349" s="1"/>
  <c r="R349"/>
  <c r="V349" s="1"/>
  <c r="Q349"/>
  <c r="N349"/>
  <c r="P349" s="1"/>
  <c r="J349"/>
  <c r="L349" s="1"/>
  <c r="H349"/>
  <c r="Y349" s="1"/>
  <c r="G349"/>
  <c r="Z349" s="1"/>
  <c r="B349"/>
  <c r="W348"/>
  <c r="X348" s="1"/>
  <c r="R348"/>
  <c r="Q348"/>
  <c r="N348"/>
  <c r="P348" s="1"/>
  <c r="J348"/>
  <c r="L348" s="1"/>
  <c r="H348"/>
  <c r="Y348" s="1"/>
  <c r="G348"/>
  <c r="Z348" s="1"/>
  <c r="B348"/>
  <c r="W347"/>
  <c r="X347" s="1"/>
  <c r="R347"/>
  <c r="V347" s="1"/>
  <c r="Q347"/>
  <c r="N347"/>
  <c r="P347" s="1"/>
  <c r="J347"/>
  <c r="K347" s="1"/>
  <c r="H347"/>
  <c r="Y347" s="1"/>
  <c r="G347"/>
  <c r="Z347" s="1"/>
  <c r="B347"/>
  <c r="W346"/>
  <c r="X346" s="1"/>
  <c r="R346"/>
  <c r="Q346"/>
  <c r="N346"/>
  <c r="O346" s="1"/>
  <c r="J346"/>
  <c r="K346" s="1"/>
  <c r="H346"/>
  <c r="Y346" s="1"/>
  <c r="G346"/>
  <c r="Z346" s="1"/>
  <c r="B346"/>
  <c r="W345"/>
  <c r="X345" s="1"/>
  <c r="R345"/>
  <c r="V345" s="1"/>
  <c r="Q345"/>
  <c r="N345"/>
  <c r="P345" s="1"/>
  <c r="J345"/>
  <c r="L345" s="1"/>
  <c r="H345"/>
  <c r="Y345" s="1"/>
  <c r="G345"/>
  <c r="Z345" s="1"/>
  <c r="B345"/>
  <c r="W344"/>
  <c r="X344" s="1"/>
  <c r="R344"/>
  <c r="Q344"/>
  <c r="N344"/>
  <c r="P344" s="1"/>
  <c r="J344"/>
  <c r="L344" s="1"/>
  <c r="H344"/>
  <c r="Y344" s="1"/>
  <c r="G344"/>
  <c r="Z344" s="1"/>
  <c r="B344"/>
  <c r="W343"/>
  <c r="X343" s="1"/>
  <c r="R343"/>
  <c r="Q343"/>
  <c r="N343"/>
  <c r="O343" s="1"/>
  <c r="J343"/>
  <c r="K343" s="1"/>
  <c r="H343"/>
  <c r="Y343" s="1"/>
  <c r="G343"/>
  <c r="Z343" s="1"/>
  <c r="B343"/>
  <c r="W342"/>
  <c r="X342" s="1"/>
  <c r="R342"/>
  <c r="Q342"/>
  <c r="N342"/>
  <c r="O342" s="1"/>
  <c r="J342"/>
  <c r="K342" s="1"/>
  <c r="H342"/>
  <c r="Y342" s="1"/>
  <c r="G342"/>
  <c r="Z342" s="1"/>
  <c r="B342"/>
  <c r="W341"/>
  <c r="X341" s="1"/>
  <c r="R341"/>
  <c r="V341" s="1"/>
  <c r="Q341"/>
  <c r="N341"/>
  <c r="P341" s="1"/>
  <c r="J341"/>
  <c r="L341" s="1"/>
  <c r="H341"/>
  <c r="Y341" s="1"/>
  <c r="G341"/>
  <c r="Z341" s="1"/>
  <c r="B341"/>
  <c r="W340"/>
  <c r="X340" s="1"/>
  <c r="R340"/>
  <c r="Q340"/>
  <c r="N340"/>
  <c r="P340" s="1"/>
  <c r="J340"/>
  <c r="L340" s="1"/>
  <c r="H340"/>
  <c r="Y340" s="1"/>
  <c r="G340"/>
  <c r="Z340" s="1"/>
  <c r="B340"/>
  <c r="W339"/>
  <c r="X339" s="1"/>
  <c r="R339"/>
  <c r="V339" s="1"/>
  <c r="Q339"/>
  <c r="N339"/>
  <c r="P339" s="1"/>
  <c r="J339"/>
  <c r="L339" s="1"/>
  <c r="H339"/>
  <c r="Y339" s="1"/>
  <c r="G339"/>
  <c r="Z339" s="1"/>
  <c r="B339"/>
  <c r="W338"/>
  <c r="X338" s="1"/>
  <c r="R338"/>
  <c r="Q338"/>
  <c r="N338"/>
  <c r="O338" s="1"/>
  <c r="J338"/>
  <c r="K338" s="1"/>
  <c r="H338"/>
  <c r="Y338" s="1"/>
  <c r="G338"/>
  <c r="Z338" s="1"/>
  <c r="B338"/>
  <c r="W337"/>
  <c r="X337" s="1"/>
  <c r="R337"/>
  <c r="Q337"/>
  <c r="N337"/>
  <c r="P337" s="1"/>
  <c r="J337"/>
  <c r="L337" s="1"/>
  <c r="H337"/>
  <c r="Y337" s="1"/>
  <c r="G337"/>
  <c r="Z337" s="1"/>
  <c r="B337"/>
  <c r="W336"/>
  <c r="X336" s="1"/>
  <c r="R336"/>
  <c r="Q336"/>
  <c r="N336"/>
  <c r="P336" s="1"/>
  <c r="J336"/>
  <c r="L336" s="1"/>
  <c r="H336"/>
  <c r="Y336" s="1"/>
  <c r="G336"/>
  <c r="Z336" s="1"/>
  <c r="B336"/>
  <c r="W335"/>
  <c r="X335" s="1"/>
  <c r="R335"/>
  <c r="V335" s="1"/>
  <c r="Q335"/>
  <c r="N335"/>
  <c r="P335" s="1"/>
  <c r="J335"/>
  <c r="L335" s="1"/>
  <c r="H335"/>
  <c r="Y335" s="1"/>
  <c r="G335"/>
  <c r="Z335" s="1"/>
  <c r="B335"/>
  <c r="W334"/>
  <c r="X334" s="1"/>
  <c r="R334"/>
  <c r="Q334"/>
  <c r="N334"/>
  <c r="O334" s="1"/>
  <c r="J334"/>
  <c r="K334" s="1"/>
  <c r="H334"/>
  <c r="Y334" s="1"/>
  <c r="G334"/>
  <c r="Z334" s="1"/>
  <c r="B334"/>
  <c r="W333"/>
  <c r="X333" s="1"/>
  <c r="R333"/>
  <c r="V333" s="1"/>
  <c r="Q333"/>
  <c r="N333"/>
  <c r="P333" s="1"/>
  <c r="J333"/>
  <c r="L333" s="1"/>
  <c r="H333"/>
  <c r="Y333" s="1"/>
  <c r="G333"/>
  <c r="Z333" s="1"/>
  <c r="B333"/>
  <c r="W332"/>
  <c r="X332" s="1"/>
  <c r="R332"/>
  <c r="Q332"/>
  <c r="N332"/>
  <c r="P332" s="1"/>
  <c r="J332"/>
  <c r="L332" s="1"/>
  <c r="H332"/>
  <c r="Y332" s="1"/>
  <c r="G332"/>
  <c r="Z332" s="1"/>
  <c r="B332"/>
  <c r="W331"/>
  <c r="X331" s="1"/>
  <c r="R331"/>
  <c r="V331" s="1"/>
  <c r="Q331"/>
  <c r="N331"/>
  <c r="P331" s="1"/>
  <c r="J331"/>
  <c r="L331" s="1"/>
  <c r="H331"/>
  <c r="Y331" s="1"/>
  <c r="G331"/>
  <c r="Z331" s="1"/>
  <c r="B331"/>
  <c r="W330"/>
  <c r="X330" s="1"/>
  <c r="R330"/>
  <c r="Q330"/>
  <c r="N330"/>
  <c r="O330" s="1"/>
  <c r="J330"/>
  <c r="K330" s="1"/>
  <c r="H330"/>
  <c r="Y330" s="1"/>
  <c r="G330"/>
  <c r="Z330" s="1"/>
  <c r="B330"/>
  <c r="W329"/>
  <c r="X329" s="1"/>
  <c r="R329"/>
  <c r="Q329"/>
  <c r="N329"/>
  <c r="P329" s="1"/>
  <c r="J329"/>
  <c r="L329" s="1"/>
  <c r="H329"/>
  <c r="Y329" s="1"/>
  <c r="G329"/>
  <c r="Z329" s="1"/>
  <c r="B329"/>
  <c r="W328"/>
  <c r="X328" s="1"/>
  <c r="R328"/>
  <c r="Q328"/>
  <c r="N328"/>
  <c r="P328" s="1"/>
  <c r="J328"/>
  <c r="L328" s="1"/>
  <c r="H328"/>
  <c r="Y328" s="1"/>
  <c r="G328"/>
  <c r="Z328" s="1"/>
  <c r="B328"/>
  <c r="W327"/>
  <c r="X327" s="1"/>
  <c r="R327"/>
  <c r="V327" s="1"/>
  <c r="Q327"/>
  <c r="N327"/>
  <c r="P327" s="1"/>
  <c r="J327"/>
  <c r="L327" s="1"/>
  <c r="H327"/>
  <c r="Y327" s="1"/>
  <c r="G327"/>
  <c r="B327"/>
  <c r="W326"/>
  <c r="X326" s="1"/>
  <c r="R326"/>
  <c r="Q326"/>
  <c r="N326"/>
  <c r="O326" s="1"/>
  <c r="J326"/>
  <c r="K326" s="1"/>
  <c r="H326"/>
  <c r="Y326" s="1"/>
  <c r="G326"/>
  <c r="Z326" s="1"/>
  <c r="B326"/>
  <c r="W325"/>
  <c r="X325" s="1"/>
  <c r="R325"/>
  <c r="V325" s="1"/>
  <c r="Q325"/>
  <c r="N325"/>
  <c r="P325" s="1"/>
  <c r="J325"/>
  <c r="L325" s="1"/>
  <c r="H325"/>
  <c r="Y325" s="1"/>
  <c r="G325"/>
  <c r="Z325" s="1"/>
  <c r="B325"/>
  <c r="W324"/>
  <c r="X324" s="1"/>
  <c r="R324"/>
  <c r="Q324"/>
  <c r="N324"/>
  <c r="P324" s="1"/>
  <c r="J324"/>
  <c r="L324" s="1"/>
  <c r="H324"/>
  <c r="Y324" s="1"/>
  <c r="G324"/>
  <c r="Z324" s="1"/>
  <c r="B324"/>
  <c r="W323"/>
  <c r="X323" s="1"/>
  <c r="R323"/>
  <c r="V323" s="1"/>
  <c r="Q323"/>
  <c r="N323"/>
  <c r="P323" s="1"/>
  <c r="J323"/>
  <c r="L323" s="1"/>
  <c r="H323"/>
  <c r="Y323" s="1"/>
  <c r="G323"/>
  <c r="Z323" s="1"/>
  <c r="B323"/>
  <c r="W322"/>
  <c r="X322" s="1"/>
  <c r="R322"/>
  <c r="Q322"/>
  <c r="N322"/>
  <c r="O322" s="1"/>
  <c r="J322"/>
  <c r="K322" s="1"/>
  <c r="H322"/>
  <c r="Y322" s="1"/>
  <c r="G322"/>
  <c r="Z322" s="1"/>
  <c r="B322"/>
  <c r="W321"/>
  <c r="X321" s="1"/>
  <c r="R321"/>
  <c r="Q321"/>
  <c r="N321"/>
  <c r="P321" s="1"/>
  <c r="J321"/>
  <c r="L321" s="1"/>
  <c r="H321"/>
  <c r="Y321" s="1"/>
  <c r="G321"/>
  <c r="Z321" s="1"/>
  <c r="B321"/>
  <c r="W320"/>
  <c r="X320" s="1"/>
  <c r="R320"/>
  <c r="Q320"/>
  <c r="N320"/>
  <c r="P320" s="1"/>
  <c r="J320"/>
  <c r="L320" s="1"/>
  <c r="H320"/>
  <c r="Y320" s="1"/>
  <c r="G320"/>
  <c r="Z320" s="1"/>
  <c r="B320"/>
  <c r="W319"/>
  <c r="X319" s="1"/>
  <c r="R319"/>
  <c r="V319" s="1"/>
  <c r="Q319"/>
  <c r="N319"/>
  <c r="P319" s="1"/>
  <c r="J319"/>
  <c r="L319" s="1"/>
  <c r="H319"/>
  <c r="Y319" s="1"/>
  <c r="G319"/>
  <c r="Z319" s="1"/>
  <c r="B319"/>
  <c r="W318"/>
  <c r="X318" s="1"/>
  <c r="R318"/>
  <c r="Q318"/>
  <c r="N318"/>
  <c r="O318" s="1"/>
  <c r="J318"/>
  <c r="K318" s="1"/>
  <c r="H318"/>
  <c r="Y318" s="1"/>
  <c r="G318"/>
  <c r="Z318" s="1"/>
  <c r="B318"/>
  <c r="W317"/>
  <c r="X317" s="1"/>
  <c r="R317"/>
  <c r="V317" s="1"/>
  <c r="Q317"/>
  <c r="N317"/>
  <c r="P317" s="1"/>
  <c r="J317"/>
  <c r="L317" s="1"/>
  <c r="H317"/>
  <c r="Y317" s="1"/>
  <c r="G317"/>
  <c r="Z317" s="1"/>
  <c r="B317"/>
  <c r="W316"/>
  <c r="X316" s="1"/>
  <c r="R316"/>
  <c r="Q316"/>
  <c r="N316"/>
  <c r="P316" s="1"/>
  <c r="J316"/>
  <c r="L316" s="1"/>
  <c r="H316"/>
  <c r="Y316" s="1"/>
  <c r="G316"/>
  <c r="Z316" s="1"/>
  <c r="B316"/>
  <c r="W315"/>
  <c r="X315" s="1"/>
  <c r="R315"/>
  <c r="V315" s="1"/>
  <c r="Q315"/>
  <c r="N315"/>
  <c r="P315" s="1"/>
  <c r="J315"/>
  <c r="L315" s="1"/>
  <c r="H315"/>
  <c r="Y315" s="1"/>
  <c r="G315"/>
  <c r="Z315" s="1"/>
  <c r="B315"/>
  <c r="W314"/>
  <c r="X314" s="1"/>
  <c r="R314"/>
  <c r="Q314"/>
  <c r="N314"/>
  <c r="O314" s="1"/>
  <c r="J314"/>
  <c r="K314" s="1"/>
  <c r="H314"/>
  <c r="Y314" s="1"/>
  <c r="G314"/>
  <c r="Z314" s="1"/>
  <c r="B314"/>
  <c r="W313"/>
  <c r="X313" s="1"/>
  <c r="R313"/>
  <c r="Q313"/>
  <c r="N313"/>
  <c r="P313" s="1"/>
  <c r="J313"/>
  <c r="L313" s="1"/>
  <c r="H313"/>
  <c r="Y313" s="1"/>
  <c r="G313"/>
  <c r="Z313" s="1"/>
  <c r="B313"/>
  <c r="W312"/>
  <c r="X312" s="1"/>
  <c r="R312"/>
  <c r="Q312"/>
  <c r="N312"/>
  <c r="P312" s="1"/>
  <c r="J312"/>
  <c r="L312" s="1"/>
  <c r="H312"/>
  <c r="Y312" s="1"/>
  <c r="G312"/>
  <c r="Z312" s="1"/>
  <c r="B312"/>
  <c r="W311"/>
  <c r="X311" s="1"/>
  <c r="R311"/>
  <c r="V311" s="1"/>
  <c r="Q311"/>
  <c r="N311"/>
  <c r="P311" s="1"/>
  <c r="J311"/>
  <c r="L311" s="1"/>
  <c r="H311"/>
  <c r="Y311" s="1"/>
  <c r="G311"/>
  <c r="B311"/>
  <c r="W310"/>
  <c r="X310" s="1"/>
  <c r="R310"/>
  <c r="Q310"/>
  <c r="N310"/>
  <c r="O310" s="1"/>
  <c r="J310"/>
  <c r="K310" s="1"/>
  <c r="H310"/>
  <c r="Y310" s="1"/>
  <c r="G310"/>
  <c r="Z310" s="1"/>
  <c r="B310"/>
  <c r="W309"/>
  <c r="X309" s="1"/>
  <c r="R309"/>
  <c r="V309" s="1"/>
  <c r="Q309"/>
  <c r="N309"/>
  <c r="P309" s="1"/>
  <c r="J309"/>
  <c r="L309" s="1"/>
  <c r="H309"/>
  <c r="Y309" s="1"/>
  <c r="G309"/>
  <c r="Z309" s="1"/>
  <c r="B309"/>
  <c r="W308"/>
  <c r="X308" s="1"/>
  <c r="R308"/>
  <c r="V308" s="1"/>
  <c r="Q308"/>
  <c r="N308"/>
  <c r="P308" s="1"/>
  <c r="J308"/>
  <c r="L308" s="1"/>
  <c r="H308"/>
  <c r="Y308" s="1"/>
  <c r="G308"/>
  <c r="Z308" s="1"/>
  <c r="B308"/>
  <c r="W307"/>
  <c r="X307" s="1"/>
  <c r="R307"/>
  <c r="V307" s="1"/>
  <c r="Q307"/>
  <c r="N307"/>
  <c r="P307" s="1"/>
  <c r="J307"/>
  <c r="L307" s="1"/>
  <c r="H307"/>
  <c r="Y307" s="1"/>
  <c r="G307"/>
  <c r="B307"/>
  <c r="W306"/>
  <c r="X306" s="1"/>
  <c r="R306"/>
  <c r="V306" s="1"/>
  <c r="Q306"/>
  <c r="N306"/>
  <c r="O306" s="1"/>
  <c r="J306"/>
  <c r="K306" s="1"/>
  <c r="H306"/>
  <c r="Y306" s="1"/>
  <c r="G306"/>
  <c r="B306"/>
  <c r="W305"/>
  <c r="X305" s="1"/>
  <c r="R305"/>
  <c r="V305" s="1"/>
  <c r="Q305"/>
  <c r="N305"/>
  <c r="P305" s="1"/>
  <c r="J305"/>
  <c r="L305" s="1"/>
  <c r="H305"/>
  <c r="Y305" s="1"/>
  <c r="G305"/>
  <c r="Z305" s="1"/>
  <c r="B305"/>
  <c r="W304"/>
  <c r="X304" s="1"/>
  <c r="R304"/>
  <c r="V304" s="1"/>
  <c r="Q304"/>
  <c r="N304"/>
  <c r="P304" s="1"/>
  <c r="J304"/>
  <c r="L304" s="1"/>
  <c r="H304"/>
  <c r="Y304" s="1"/>
  <c r="G304"/>
  <c r="Z304" s="1"/>
  <c r="B304"/>
  <c r="W303"/>
  <c r="X303" s="1"/>
  <c r="R303"/>
  <c r="V303" s="1"/>
  <c r="Q303"/>
  <c r="N303"/>
  <c r="P303" s="1"/>
  <c r="J303"/>
  <c r="L303" s="1"/>
  <c r="H303"/>
  <c r="Y303" s="1"/>
  <c r="G303"/>
  <c r="Z303" s="1"/>
  <c r="B303"/>
  <c r="W302"/>
  <c r="X302" s="1"/>
  <c r="R302"/>
  <c r="V302" s="1"/>
  <c r="Q302"/>
  <c r="N302"/>
  <c r="P302" s="1"/>
  <c r="J302"/>
  <c r="K302" s="1"/>
  <c r="H302"/>
  <c r="Y302" s="1"/>
  <c r="G302"/>
  <c r="B302"/>
  <c r="W301"/>
  <c r="X301" s="1"/>
  <c r="R301"/>
  <c r="V301" s="1"/>
  <c r="Q301"/>
  <c r="N301"/>
  <c r="P301" s="1"/>
  <c r="J301"/>
  <c r="L301" s="1"/>
  <c r="H301"/>
  <c r="Y301" s="1"/>
  <c r="G301"/>
  <c r="Z301" s="1"/>
  <c r="B301"/>
  <c r="W300"/>
  <c r="X300" s="1"/>
  <c r="R300"/>
  <c r="V300" s="1"/>
  <c r="Q300"/>
  <c r="N300"/>
  <c r="P300" s="1"/>
  <c r="J300"/>
  <c r="L300" s="1"/>
  <c r="H300"/>
  <c r="Y300" s="1"/>
  <c r="G300"/>
  <c r="Z300" s="1"/>
  <c r="B300"/>
  <c r="W299"/>
  <c r="X299" s="1"/>
  <c r="R299"/>
  <c r="V299" s="1"/>
  <c r="Q299"/>
  <c r="N299"/>
  <c r="P299" s="1"/>
  <c r="J299"/>
  <c r="L299" s="1"/>
  <c r="H299"/>
  <c r="Y299" s="1"/>
  <c r="G299"/>
  <c r="Z299" s="1"/>
  <c r="B299"/>
  <c r="W298"/>
  <c r="X298" s="1"/>
  <c r="R298"/>
  <c r="V298" s="1"/>
  <c r="Q298"/>
  <c r="N298"/>
  <c r="P298" s="1"/>
  <c r="J298"/>
  <c r="K298" s="1"/>
  <c r="H298"/>
  <c r="Y298" s="1"/>
  <c r="G298"/>
  <c r="B298"/>
  <c r="W297"/>
  <c r="X297" s="1"/>
  <c r="R297"/>
  <c r="V297" s="1"/>
  <c r="Q297"/>
  <c r="N297"/>
  <c r="P297" s="1"/>
  <c r="J297"/>
  <c r="L297" s="1"/>
  <c r="H297"/>
  <c r="Y297" s="1"/>
  <c r="G297"/>
  <c r="Z297" s="1"/>
  <c r="B297"/>
  <c r="W296"/>
  <c r="X296" s="1"/>
  <c r="R296"/>
  <c r="Q296"/>
  <c r="N296"/>
  <c r="P296" s="1"/>
  <c r="J296"/>
  <c r="L296" s="1"/>
  <c r="H296"/>
  <c r="Y296" s="1"/>
  <c r="G296"/>
  <c r="Z296" s="1"/>
  <c r="B296"/>
  <c r="W295"/>
  <c r="X295" s="1"/>
  <c r="R295"/>
  <c r="V295" s="1"/>
  <c r="Q295"/>
  <c r="N295"/>
  <c r="P295" s="1"/>
  <c r="J295"/>
  <c r="L295" s="1"/>
  <c r="H295"/>
  <c r="Y295" s="1"/>
  <c r="G295"/>
  <c r="Z295" s="1"/>
  <c r="B295"/>
  <c r="W294"/>
  <c r="X294" s="1"/>
  <c r="R294"/>
  <c r="Q294"/>
  <c r="N294"/>
  <c r="O294" s="1"/>
  <c r="J294"/>
  <c r="K294" s="1"/>
  <c r="H294"/>
  <c r="Y294" s="1"/>
  <c r="G294"/>
  <c r="Z294" s="1"/>
  <c r="B294"/>
  <c r="W293"/>
  <c r="X293" s="1"/>
  <c r="R293"/>
  <c r="V293" s="1"/>
  <c r="Q293"/>
  <c r="N293"/>
  <c r="P293" s="1"/>
  <c r="J293"/>
  <c r="L293" s="1"/>
  <c r="H293"/>
  <c r="Y293" s="1"/>
  <c r="G293"/>
  <c r="Z293" s="1"/>
  <c r="B293"/>
  <c r="W292"/>
  <c r="X292" s="1"/>
  <c r="R292"/>
  <c r="Q292"/>
  <c r="N292"/>
  <c r="P292" s="1"/>
  <c r="J292"/>
  <c r="L292" s="1"/>
  <c r="H292"/>
  <c r="Y292" s="1"/>
  <c r="G292"/>
  <c r="Z292" s="1"/>
  <c r="B292"/>
  <c r="W291"/>
  <c r="X291" s="1"/>
  <c r="R291"/>
  <c r="V291" s="1"/>
  <c r="Q291"/>
  <c r="N291"/>
  <c r="O291" s="1"/>
  <c r="J291"/>
  <c r="L291" s="1"/>
  <c r="H291"/>
  <c r="Y291" s="1"/>
  <c r="G291"/>
  <c r="B291"/>
  <c r="W290"/>
  <c r="X290" s="1"/>
  <c r="R290"/>
  <c r="Q290"/>
  <c r="N290"/>
  <c r="O290" s="1"/>
  <c r="J290"/>
  <c r="K290" s="1"/>
  <c r="H290"/>
  <c r="Y290" s="1"/>
  <c r="G290"/>
  <c r="Z290" s="1"/>
  <c r="B290"/>
  <c r="W289"/>
  <c r="X289" s="1"/>
  <c r="R289"/>
  <c r="V289" s="1"/>
  <c r="Q289"/>
  <c r="N289"/>
  <c r="P289" s="1"/>
  <c r="J289"/>
  <c r="K289" s="1"/>
  <c r="H289"/>
  <c r="Y289" s="1"/>
  <c r="G289"/>
  <c r="B289"/>
  <c r="W288"/>
  <c r="X288" s="1"/>
  <c r="R288"/>
  <c r="Q288"/>
  <c r="N288"/>
  <c r="P288" s="1"/>
  <c r="J288"/>
  <c r="L288" s="1"/>
  <c r="H288"/>
  <c r="Y288" s="1"/>
  <c r="G288"/>
  <c r="Z288" s="1"/>
  <c r="B288"/>
  <c r="W287"/>
  <c r="X287" s="1"/>
  <c r="R287"/>
  <c r="Q287"/>
  <c r="N287"/>
  <c r="J287"/>
  <c r="H287"/>
  <c r="Y287" s="1"/>
  <c r="G287"/>
  <c r="Z287" s="1"/>
  <c r="B287"/>
  <c r="W286"/>
  <c r="X286" s="1"/>
  <c r="R286"/>
  <c r="Q286"/>
  <c r="N286"/>
  <c r="O286" s="1"/>
  <c r="J286"/>
  <c r="K286" s="1"/>
  <c r="H286"/>
  <c r="Y286" s="1"/>
  <c r="G286"/>
  <c r="Z286" s="1"/>
  <c r="B286"/>
  <c r="W285"/>
  <c r="X285" s="1"/>
  <c r="R285"/>
  <c r="V285" s="1"/>
  <c r="Q285"/>
  <c r="N285"/>
  <c r="O285" s="1"/>
  <c r="J285"/>
  <c r="L285" s="1"/>
  <c r="H285"/>
  <c r="Y285" s="1"/>
  <c r="G285"/>
  <c r="B285"/>
  <c r="W284"/>
  <c r="X284" s="1"/>
  <c r="R284"/>
  <c r="Q284"/>
  <c r="N284"/>
  <c r="P284" s="1"/>
  <c r="J284"/>
  <c r="L284" s="1"/>
  <c r="H284"/>
  <c r="Y284" s="1"/>
  <c r="G284"/>
  <c r="Z284" s="1"/>
  <c r="B284"/>
  <c r="W283"/>
  <c r="X283" s="1"/>
  <c r="R283"/>
  <c r="Q283"/>
  <c r="N283"/>
  <c r="J283"/>
  <c r="H283"/>
  <c r="Y283" s="1"/>
  <c r="G283"/>
  <c r="Z283" s="1"/>
  <c r="B283"/>
  <c r="W282"/>
  <c r="X282" s="1"/>
  <c r="R282"/>
  <c r="V282" s="1"/>
  <c r="Q282"/>
  <c r="N282"/>
  <c r="O282" s="1"/>
  <c r="J282"/>
  <c r="K282" s="1"/>
  <c r="H282"/>
  <c r="Y282" s="1"/>
  <c r="G282"/>
  <c r="Z282" s="1"/>
  <c r="B282"/>
  <c r="W281"/>
  <c r="X281" s="1"/>
  <c r="R281"/>
  <c r="V281" s="1"/>
  <c r="Q281"/>
  <c r="N281"/>
  <c r="P281" s="1"/>
  <c r="J281"/>
  <c r="K281" s="1"/>
  <c r="H281"/>
  <c r="Y281" s="1"/>
  <c r="G281"/>
  <c r="B281"/>
  <c r="W280"/>
  <c r="X280" s="1"/>
  <c r="R280"/>
  <c r="Q280"/>
  <c r="N280"/>
  <c r="P280" s="1"/>
  <c r="J280"/>
  <c r="L280" s="1"/>
  <c r="H280"/>
  <c r="Y280" s="1"/>
  <c r="G280"/>
  <c r="Z280" s="1"/>
  <c r="B280"/>
  <c r="W279"/>
  <c r="X279" s="1"/>
  <c r="R279"/>
  <c r="Q279"/>
  <c r="N279"/>
  <c r="J279"/>
  <c r="H279"/>
  <c r="Y279" s="1"/>
  <c r="G279"/>
  <c r="Z279" s="1"/>
  <c r="B279"/>
  <c r="W278"/>
  <c r="X278" s="1"/>
  <c r="R278"/>
  <c r="Q278"/>
  <c r="N278"/>
  <c r="O278" s="1"/>
  <c r="J278"/>
  <c r="K278" s="1"/>
  <c r="H278"/>
  <c r="Y278" s="1"/>
  <c r="G278"/>
  <c r="Z278" s="1"/>
  <c r="B278"/>
  <c r="W277"/>
  <c r="X277" s="1"/>
  <c r="R277"/>
  <c r="Q277"/>
  <c r="N277"/>
  <c r="O277" s="1"/>
  <c r="J277"/>
  <c r="L277" s="1"/>
  <c r="H277"/>
  <c r="Y277" s="1"/>
  <c r="G277"/>
  <c r="B277"/>
  <c r="W276"/>
  <c r="X276" s="1"/>
  <c r="R276"/>
  <c r="V276" s="1"/>
  <c r="Q276"/>
  <c r="N276"/>
  <c r="P276" s="1"/>
  <c r="J276"/>
  <c r="L276" s="1"/>
  <c r="H276"/>
  <c r="Y276" s="1"/>
  <c r="G276"/>
  <c r="Z276" s="1"/>
  <c r="B276"/>
  <c r="W275"/>
  <c r="X275" s="1"/>
  <c r="R275"/>
  <c r="Q275"/>
  <c r="N275"/>
  <c r="J275"/>
  <c r="H275"/>
  <c r="Y275" s="1"/>
  <c r="G275"/>
  <c r="Z275" s="1"/>
  <c r="B275"/>
  <c r="W274"/>
  <c r="X274" s="1"/>
  <c r="R274"/>
  <c r="V274" s="1"/>
  <c r="Q274"/>
  <c r="N274"/>
  <c r="O274" s="1"/>
  <c r="J274"/>
  <c r="K274" s="1"/>
  <c r="H274"/>
  <c r="Y274" s="1"/>
  <c r="G274"/>
  <c r="Z274" s="1"/>
  <c r="B274"/>
  <c r="W273"/>
  <c r="X273" s="1"/>
  <c r="R273"/>
  <c r="V273" s="1"/>
  <c r="Q273"/>
  <c r="N273"/>
  <c r="O273" s="1"/>
  <c r="J273"/>
  <c r="L273" s="1"/>
  <c r="H273"/>
  <c r="Y273" s="1"/>
  <c r="G273"/>
  <c r="Z273" s="1"/>
  <c r="B273"/>
  <c r="W272"/>
  <c r="X272" s="1"/>
  <c r="R272"/>
  <c r="V272" s="1"/>
  <c r="Q272"/>
  <c r="N272"/>
  <c r="P272" s="1"/>
  <c r="J272"/>
  <c r="L272" s="1"/>
  <c r="H272"/>
  <c r="Y272" s="1"/>
  <c r="G272"/>
  <c r="Z272" s="1"/>
  <c r="B272"/>
  <c r="W271"/>
  <c r="X271" s="1"/>
  <c r="R271"/>
  <c r="Q271"/>
  <c r="N271"/>
  <c r="J271"/>
  <c r="H271"/>
  <c r="Y271" s="1"/>
  <c r="G271"/>
  <c r="Z271" s="1"/>
  <c r="B271"/>
  <c r="W270"/>
  <c r="X270" s="1"/>
  <c r="R270"/>
  <c r="V270" s="1"/>
  <c r="Q270"/>
  <c r="N270"/>
  <c r="O270" s="1"/>
  <c r="J270"/>
  <c r="K270" s="1"/>
  <c r="H270"/>
  <c r="Y270" s="1"/>
  <c r="G270"/>
  <c r="Z270" s="1"/>
  <c r="B270"/>
  <c r="W269"/>
  <c r="X269" s="1"/>
  <c r="R269"/>
  <c r="V269" s="1"/>
  <c r="Q269"/>
  <c r="N269"/>
  <c r="P269" s="1"/>
  <c r="J269"/>
  <c r="K269" s="1"/>
  <c r="H269"/>
  <c r="Y269" s="1"/>
  <c r="G269"/>
  <c r="Z269" s="1"/>
  <c r="B269"/>
  <c r="W268"/>
  <c r="X268" s="1"/>
  <c r="R268"/>
  <c r="V268" s="1"/>
  <c r="Q268"/>
  <c r="N268"/>
  <c r="P268" s="1"/>
  <c r="J268"/>
  <c r="L268" s="1"/>
  <c r="H268"/>
  <c r="Y268" s="1"/>
  <c r="G268"/>
  <c r="Z268" s="1"/>
  <c r="B268"/>
  <c r="W267"/>
  <c r="X267" s="1"/>
  <c r="R267"/>
  <c r="Q267"/>
  <c r="N267"/>
  <c r="J267"/>
  <c r="H267"/>
  <c r="Y267" s="1"/>
  <c r="G267"/>
  <c r="Z267" s="1"/>
  <c r="B267"/>
  <c r="W266"/>
  <c r="X266" s="1"/>
  <c r="R266"/>
  <c r="V266" s="1"/>
  <c r="Q266"/>
  <c r="N266"/>
  <c r="O266" s="1"/>
  <c r="J266"/>
  <c r="K266" s="1"/>
  <c r="H266"/>
  <c r="Y266" s="1"/>
  <c r="G266"/>
  <c r="Z266" s="1"/>
  <c r="B266"/>
  <c r="W265"/>
  <c r="X265" s="1"/>
  <c r="R265"/>
  <c r="Q265"/>
  <c r="N265"/>
  <c r="O265" s="1"/>
  <c r="J265"/>
  <c r="L265" s="1"/>
  <c r="H265"/>
  <c r="Y265" s="1"/>
  <c r="G265"/>
  <c r="Z265" s="1"/>
  <c r="B265"/>
  <c r="W264"/>
  <c r="X264" s="1"/>
  <c r="R264"/>
  <c r="V264" s="1"/>
  <c r="Q264"/>
  <c r="N264"/>
  <c r="P264" s="1"/>
  <c r="J264"/>
  <c r="L264" s="1"/>
  <c r="H264"/>
  <c r="Y264" s="1"/>
  <c r="G264"/>
  <c r="Z264" s="1"/>
  <c r="B264"/>
  <c r="W263"/>
  <c r="X263" s="1"/>
  <c r="R263"/>
  <c r="Q263"/>
  <c r="N263"/>
  <c r="J263"/>
  <c r="H263"/>
  <c r="Y263" s="1"/>
  <c r="G263"/>
  <c r="Z263" s="1"/>
  <c r="B263"/>
  <c r="W262"/>
  <c r="X262" s="1"/>
  <c r="R262"/>
  <c r="V262" s="1"/>
  <c r="Q262"/>
  <c r="N262"/>
  <c r="O262" s="1"/>
  <c r="J262"/>
  <c r="K262" s="1"/>
  <c r="H262"/>
  <c r="Y262" s="1"/>
  <c r="G262"/>
  <c r="Z262" s="1"/>
  <c r="B262"/>
  <c r="W261"/>
  <c r="X261" s="1"/>
  <c r="R261"/>
  <c r="V261" s="1"/>
  <c r="Q261"/>
  <c r="N261"/>
  <c r="P261" s="1"/>
  <c r="J261"/>
  <c r="K261" s="1"/>
  <c r="H261"/>
  <c r="Y261" s="1"/>
  <c r="G261"/>
  <c r="Z261" s="1"/>
  <c r="B261"/>
  <c r="W260"/>
  <c r="X260" s="1"/>
  <c r="R260"/>
  <c r="Q260"/>
  <c r="N260"/>
  <c r="P260" s="1"/>
  <c r="J260"/>
  <c r="L260" s="1"/>
  <c r="H260"/>
  <c r="Y260" s="1"/>
  <c r="G260"/>
  <c r="Z260" s="1"/>
  <c r="B260"/>
  <c r="W259"/>
  <c r="X259" s="1"/>
  <c r="R259"/>
  <c r="Q259"/>
  <c r="N259"/>
  <c r="J259"/>
  <c r="H259"/>
  <c r="Y259" s="1"/>
  <c r="G259"/>
  <c r="Z259" s="1"/>
  <c r="B259"/>
  <c r="W258"/>
  <c r="X258" s="1"/>
  <c r="R258"/>
  <c r="Q258"/>
  <c r="N258"/>
  <c r="O258" s="1"/>
  <c r="J258"/>
  <c r="K258" s="1"/>
  <c r="H258"/>
  <c r="Y258" s="1"/>
  <c r="G258"/>
  <c r="Z258" s="1"/>
  <c r="B258"/>
  <c r="W257"/>
  <c r="X257" s="1"/>
  <c r="R257"/>
  <c r="Q257"/>
  <c r="N257"/>
  <c r="P257" s="1"/>
  <c r="J257"/>
  <c r="K257" s="1"/>
  <c r="H257"/>
  <c r="Y257" s="1"/>
  <c r="G257"/>
  <c r="Z257" s="1"/>
  <c r="B257"/>
  <c r="W256"/>
  <c r="X256" s="1"/>
  <c r="R256"/>
  <c r="Q256"/>
  <c r="N256"/>
  <c r="P256" s="1"/>
  <c r="J256"/>
  <c r="L256" s="1"/>
  <c r="H256"/>
  <c r="Y256" s="1"/>
  <c r="G256"/>
  <c r="Z256" s="1"/>
  <c r="B256"/>
  <c r="W255"/>
  <c r="X255" s="1"/>
  <c r="R255"/>
  <c r="Q255"/>
  <c r="N255"/>
  <c r="J255"/>
  <c r="H255"/>
  <c r="Y255" s="1"/>
  <c r="G255"/>
  <c r="Z255" s="1"/>
  <c r="B255"/>
  <c r="W254"/>
  <c r="X254" s="1"/>
  <c r="R254"/>
  <c r="V254" s="1"/>
  <c r="Q254"/>
  <c r="N254"/>
  <c r="O254" s="1"/>
  <c r="J254"/>
  <c r="K254" s="1"/>
  <c r="H254"/>
  <c r="Y254" s="1"/>
  <c r="G254"/>
  <c r="Z254" s="1"/>
  <c r="B254"/>
  <c r="W253"/>
  <c r="X253" s="1"/>
  <c r="R253"/>
  <c r="V253" s="1"/>
  <c r="Q253"/>
  <c r="N253"/>
  <c r="O253" s="1"/>
  <c r="J253"/>
  <c r="L253" s="1"/>
  <c r="H253"/>
  <c r="Y253" s="1"/>
  <c r="G253"/>
  <c r="Z253" s="1"/>
  <c r="B253"/>
  <c r="W252"/>
  <c r="X252" s="1"/>
  <c r="R252"/>
  <c r="Q252"/>
  <c r="N252"/>
  <c r="P252" s="1"/>
  <c r="J252"/>
  <c r="L252" s="1"/>
  <c r="H252"/>
  <c r="Y252" s="1"/>
  <c r="G252"/>
  <c r="Z252" s="1"/>
  <c r="B252"/>
  <c r="W251"/>
  <c r="X251" s="1"/>
  <c r="R251"/>
  <c r="Q251"/>
  <c r="N251"/>
  <c r="J251"/>
  <c r="H251"/>
  <c r="Y251" s="1"/>
  <c r="G251"/>
  <c r="Z251" s="1"/>
  <c r="B251"/>
  <c r="W250"/>
  <c r="X250" s="1"/>
  <c r="R250"/>
  <c r="V250" s="1"/>
  <c r="Q250"/>
  <c r="N250"/>
  <c r="O250" s="1"/>
  <c r="J250"/>
  <c r="K250" s="1"/>
  <c r="H250"/>
  <c r="Y250" s="1"/>
  <c r="G250"/>
  <c r="Z250" s="1"/>
  <c r="B250"/>
  <c r="W249"/>
  <c r="X249" s="1"/>
  <c r="R249"/>
  <c r="V249" s="1"/>
  <c r="Q249"/>
  <c r="N249"/>
  <c r="O249" s="1"/>
  <c r="J249"/>
  <c r="L249" s="1"/>
  <c r="H249"/>
  <c r="Y249" s="1"/>
  <c r="G249"/>
  <c r="Z249" s="1"/>
  <c r="B249"/>
  <c r="W248"/>
  <c r="X248" s="1"/>
  <c r="R248"/>
  <c r="Q248"/>
  <c r="N248"/>
  <c r="P248" s="1"/>
  <c r="J248"/>
  <c r="L248" s="1"/>
  <c r="H248"/>
  <c r="Y248" s="1"/>
  <c r="G248"/>
  <c r="Z248" s="1"/>
  <c r="B248"/>
  <c r="W247"/>
  <c r="X247" s="1"/>
  <c r="R247"/>
  <c r="Q247"/>
  <c r="N247"/>
  <c r="J247"/>
  <c r="H247"/>
  <c r="Y247" s="1"/>
  <c r="G247"/>
  <c r="Z247" s="1"/>
  <c r="B247"/>
  <c r="W246"/>
  <c r="X246" s="1"/>
  <c r="R246"/>
  <c r="V246" s="1"/>
  <c r="Q246"/>
  <c r="N246"/>
  <c r="O246" s="1"/>
  <c r="J246"/>
  <c r="K246" s="1"/>
  <c r="H246"/>
  <c r="Y246" s="1"/>
  <c r="G246"/>
  <c r="Z246" s="1"/>
  <c r="B246"/>
  <c r="W245"/>
  <c r="X245" s="1"/>
  <c r="R245"/>
  <c r="V245" s="1"/>
  <c r="Q245"/>
  <c r="N245"/>
  <c r="P245" s="1"/>
  <c r="J245"/>
  <c r="K245" s="1"/>
  <c r="H245"/>
  <c r="Y245" s="1"/>
  <c r="G245"/>
  <c r="B245"/>
  <c r="W244"/>
  <c r="X244" s="1"/>
  <c r="R244"/>
  <c r="Q244"/>
  <c r="N244"/>
  <c r="P244" s="1"/>
  <c r="J244"/>
  <c r="L244" s="1"/>
  <c r="H244"/>
  <c r="Y244" s="1"/>
  <c r="G244"/>
  <c r="Z244" s="1"/>
  <c r="B244"/>
  <c r="W243"/>
  <c r="X243" s="1"/>
  <c r="R243"/>
  <c r="Q243"/>
  <c r="N243"/>
  <c r="J243"/>
  <c r="H243"/>
  <c r="Y243" s="1"/>
  <c r="G243"/>
  <c r="Z243" s="1"/>
  <c r="B243"/>
  <c r="W242"/>
  <c r="X242" s="1"/>
  <c r="R242"/>
  <c r="V242" s="1"/>
  <c r="Q242"/>
  <c r="N242"/>
  <c r="O242" s="1"/>
  <c r="J242"/>
  <c r="K242" s="1"/>
  <c r="H242"/>
  <c r="Y242" s="1"/>
  <c r="G242"/>
  <c r="Z242" s="1"/>
  <c r="B242"/>
  <c r="W241"/>
  <c r="X241" s="1"/>
  <c r="R241"/>
  <c r="V241" s="1"/>
  <c r="Q241"/>
  <c r="N241"/>
  <c r="O241" s="1"/>
  <c r="J241"/>
  <c r="L241" s="1"/>
  <c r="H241"/>
  <c r="Y241" s="1"/>
  <c r="G241"/>
  <c r="B241"/>
  <c r="W240"/>
  <c r="X240" s="1"/>
  <c r="R240"/>
  <c r="Q240"/>
  <c r="N240"/>
  <c r="P240" s="1"/>
  <c r="J240"/>
  <c r="L240" s="1"/>
  <c r="H240"/>
  <c r="Y240" s="1"/>
  <c r="G240"/>
  <c r="Z240" s="1"/>
  <c r="B240"/>
  <c r="W239"/>
  <c r="X239" s="1"/>
  <c r="R239"/>
  <c r="Q239"/>
  <c r="N239"/>
  <c r="P239" s="1"/>
  <c r="J239"/>
  <c r="H239"/>
  <c r="Y239" s="1"/>
  <c r="G239"/>
  <c r="Z239" s="1"/>
  <c r="B239"/>
  <c r="W238"/>
  <c r="X238" s="1"/>
  <c r="R238"/>
  <c r="V238" s="1"/>
  <c r="Q238"/>
  <c r="N238"/>
  <c r="J238"/>
  <c r="K238" s="1"/>
  <c r="H238"/>
  <c r="Y238" s="1"/>
  <c r="G238"/>
  <c r="Z238" s="1"/>
  <c r="B238"/>
  <c r="W237"/>
  <c r="X237" s="1"/>
  <c r="R237"/>
  <c r="V237" s="1"/>
  <c r="Q237"/>
  <c r="N237"/>
  <c r="P237" s="1"/>
  <c r="J237"/>
  <c r="K237" s="1"/>
  <c r="H237"/>
  <c r="Y237" s="1"/>
  <c r="G237"/>
  <c r="B237"/>
  <c r="W236"/>
  <c r="X236" s="1"/>
  <c r="R236"/>
  <c r="V236" s="1"/>
  <c r="Q236"/>
  <c r="N236"/>
  <c r="P236" s="1"/>
  <c r="J236"/>
  <c r="K236" s="1"/>
  <c r="H236"/>
  <c r="Y236" s="1"/>
  <c r="G236"/>
  <c r="Z236" s="1"/>
  <c r="B236"/>
  <c r="W235"/>
  <c r="X235" s="1"/>
  <c r="R235"/>
  <c r="Q235"/>
  <c r="N235"/>
  <c r="J235"/>
  <c r="H235"/>
  <c r="Y235" s="1"/>
  <c r="G235"/>
  <c r="Z235" s="1"/>
  <c r="B235"/>
  <c r="W234"/>
  <c r="X234" s="1"/>
  <c r="R234"/>
  <c r="Q234"/>
  <c r="N234"/>
  <c r="O234" s="1"/>
  <c r="J234"/>
  <c r="K234" s="1"/>
  <c r="H234"/>
  <c r="Y234" s="1"/>
  <c r="G234"/>
  <c r="Z234" s="1"/>
  <c r="B234"/>
  <c r="W233"/>
  <c r="X233" s="1"/>
  <c r="R233"/>
  <c r="V233" s="1"/>
  <c r="Q233"/>
  <c r="N233"/>
  <c r="O233" s="1"/>
  <c r="J233"/>
  <c r="K233" s="1"/>
  <c r="H233"/>
  <c r="Y233" s="1"/>
  <c r="G233"/>
  <c r="Z233" s="1"/>
  <c r="B233"/>
  <c r="W232"/>
  <c r="X232" s="1"/>
  <c r="R232"/>
  <c r="V232" s="1"/>
  <c r="Q232"/>
  <c r="N232"/>
  <c r="O232" s="1"/>
  <c r="J232"/>
  <c r="L232" s="1"/>
  <c r="H232"/>
  <c r="Y232" s="1"/>
  <c r="G232"/>
  <c r="Z232" s="1"/>
  <c r="B232"/>
  <c r="W231"/>
  <c r="X231" s="1"/>
  <c r="R231"/>
  <c r="Q231"/>
  <c r="N231"/>
  <c r="J231"/>
  <c r="H231"/>
  <c r="Y231" s="1"/>
  <c r="G231"/>
  <c r="Z231" s="1"/>
  <c r="B231"/>
  <c r="W230"/>
  <c r="X230" s="1"/>
  <c r="R230"/>
  <c r="V230" s="1"/>
  <c r="Q230"/>
  <c r="N230"/>
  <c r="O230" s="1"/>
  <c r="J230"/>
  <c r="K230" s="1"/>
  <c r="H230"/>
  <c r="Y230" s="1"/>
  <c r="G230"/>
  <c r="Z230" s="1"/>
  <c r="B230"/>
  <c r="W229"/>
  <c r="X229" s="1"/>
  <c r="R229"/>
  <c r="V229" s="1"/>
  <c r="Q229"/>
  <c r="N229"/>
  <c r="O229" s="1"/>
  <c r="J229"/>
  <c r="K229" s="1"/>
  <c r="H229"/>
  <c r="Y229" s="1"/>
  <c r="G229"/>
  <c r="Z229" s="1"/>
  <c r="B229"/>
  <c r="W228"/>
  <c r="X228" s="1"/>
  <c r="R228"/>
  <c r="V228" s="1"/>
  <c r="Q228"/>
  <c r="N228"/>
  <c r="P228" s="1"/>
  <c r="J228"/>
  <c r="K228" s="1"/>
  <c r="H228"/>
  <c r="Y228" s="1"/>
  <c r="G228"/>
  <c r="Z228" s="1"/>
  <c r="B228"/>
  <c r="W227"/>
  <c r="X227" s="1"/>
  <c r="R227"/>
  <c r="Q227"/>
  <c r="N227"/>
  <c r="J227"/>
  <c r="H227"/>
  <c r="Y227" s="1"/>
  <c r="G227"/>
  <c r="Z227" s="1"/>
  <c r="B227"/>
  <c r="W226"/>
  <c r="X226" s="1"/>
  <c r="R226"/>
  <c r="Q226"/>
  <c r="N226"/>
  <c r="O226" s="1"/>
  <c r="J226"/>
  <c r="K226" s="1"/>
  <c r="H226"/>
  <c r="Y226" s="1"/>
  <c r="G226"/>
  <c r="Z226" s="1"/>
  <c r="B226"/>
  <c r="W225"/>
  <c r="X225" s="1"/>
  <c r="R225"/>
  <c r="V225" s="1"/>
  <c r="Q225"/>
  <c r="N225"/>
  <c r="O225" s="1"/>
  <c r="J225"/>
  <c r="K225" s="1"/>
  <c r="H225"/>
  <c r="Y225" s="1"/>
  <c r="G225"/>
  <c r="Z225" s="1"/>
  <c r="B225"/>
  <c r="W224"/>
  <c r="X224" s="1"/>
  <c r="R224"/>
  <c r="Q224"/>
  <c r="N224"/>
  <c r="O224" s="1"/>
  <c r="J224"/>
  <c r="L224" s="1"/>
  <c r="H224"/>
  <c r="Y224" s="1"/>
  <c r="G224"/>
  <c r="Z224" s="1"/>
  <c r="B224"/>
  <c r="W223"/>
  <c r="X223" s="1"/>
  <c r="R223"/>
  <c r="Q223"/>
  <c r="N223"/>
  <c r="J223"/>
  <c r="H223"/>
  <c r="Y223" s="1"/>
  <c r="G223"/>
  <c r="Z223" s="1"/>
  <c r="B223"/>
  <c r="W222"/>
  <c r="X222" s="1"/>
  <c r="R222"/>
  <c r="V222" s="1"/>
  <c r="Q222"/>
  <c r="N222"/>
  <c r="O222" s="1"/>
  <c r="J222"/>
  <c r="K222" s="1"/>
  <c r="H222"/>
  <c r="Y222" s="1"/>
  <c r="G222"/>
  <c r="Z222" s="1"/>
  <c r="B222"/>
  <c r="W221"/>
  <c r="X221" s="1"/>
  <c r="R221"/>
  <c r="V221" s="1"/>
  <c r="Q221"/>
  <c r="N221"/>
  <c r="O221" s="1"/>
  <c r="J221"/>
  <c r="K221" s="1"/>
  <c r="H221"/>
  <c r="Y221" s="1"/>
  <c r="G221"/>
  <c r="Z221" s="1"/>
  <c r="B221"/>
  <c r="W220"/>
  <c r="X220" s="1"/>
  <c r="R220"/>
  <c r="V220" s="1"/>
  <c r="Q220"/>
  <c r="N220"/>
  <c r="P220" s="1"/>
  <c r="J220"/>
  <c r="K220" s="1"/>
  <c r="H220"/>
  <c r="Y220" s="1"/>
  <c r="G220"/>
  <c r="Z220" s="1"/>
  <c r="B220"/>
  <c r="W219"/>
  <c r="X219" s="1"/>
  <c r="R219"/>
  <c r="Q219"/>
  <c r="N219"/>
  <c r="J219"/>
  <c r="H219"/>
  <c r="Y219" s="1"/>
  <c r="G219"/>
  <c r="Z219" s="1"/>
  <c r="B219"/>
  <c r="W218"/>
  <c r="X218" s="1"/>
  <c r="R218"/>
  <c r="Q218"/>
  <c r="N218"/>
  <c r="O218" s="1"/>
  <c r="J218"/>
  <c r="K218" s="1"/>
  <c r="H218"/>
  <c r="Y218" s="1"/>
  <c r="G218"/>
  <c r="Z218" s="1"/>
  <c r="B218"/>
  <c r="W217"/>
  <c r="X217" s="1"/>
  <c r="R217"/>
  <c r="V217" s="1"/>
  <c r="Q217"/>
  <c r="N217"/>
  <c r="O217" s="1"/>
  <c r="J217"/>
  <c r="K217" s="1"/>
  <c r="H217"/>
  <c r="Y217" s="1"/>
  <c r="G217"/>
  <c r="Z217" s="1"/>
  <c r="B217"/>
  <c r="W216"/>
  <c r="X216" s="1"/>
  <c r="R216"/>
  <c r="V216" s="1"/>
  <c r="Q216"/>
  <c r="N216"/>
  <c r="O216" s="1"/>
  <c r="J216"/>
  <c r="L216" s="1"/>
  <c r="H216"/>
  <c r="Y216" s="1"/>
  <c r="G216"/>
  <c r="Z216" s="1"/>
  <c r="B216"/>
  <c r="W215"/>
  <c r="X215" s="1"/>
  <c r="R215"/>
  <c r="Q215"/>
  <c r="N215"/>
  <c r="J215"/>
  <c r="H215"/>
  <c r="Y215" s="1"/>
  <c r="G215"/>
  <c r="Z215" s="1"/>
  <c r="B215"/>
  <c r="W214"/>
  <c r="X214" s="1"/>
  <c r="R214"/>
  <c r="V214" s="1"/>
  <c r="Q214"/>
  <c r="N214"/>
  <c r="O214" s="1"/>
  <c r="J214"/>
  <c r="K214" s="1"/>
  <c r="H214"/>
  <c r="Y214" s="1"/>
  <c r="G214"/>
  <c r="Z214" s="1"/>
  <c r="B214"/>
  <c r="W213"/>
  <c r="X213" s="1"/>
  <c r="R213"/>
  <c r="V213" s="1"/>
  <c r="Q213"/>
  <c r="N213"/>
  <c r="O213" s="1"/>
  <c r="J213"/>
  <c r="K213" s="1"/>
  <c r="H213"/>
  <c r="Y213" s="1"/>
  <c r="G213"/>
  <c r="Z213" s="1"/>
  <c r="B213"/>
  <c r="W212"/>
  <c r="X212" s="1"/>
  <c r="R212"/>
  <c r="V212" s="1"/>
  <c r="Q212"/>
  <c r="N212"/>
  <c r="P212" s="1"/>
  <c r="J212"/>
  <c r="K212" s="1"/>
  <c r="H212"/>
  <c r="Y212" s="1"/>
  <c r="G212"/>
  <c r="Z212" s="1"/>
  <c r="B212"/>
  <c r="W211"/>
  <c r="X211" s="1"/>
  <c r="R211"/>
  <c r="Q211"/>
  <c r="N211"/>
  <c r="J211"/>
  <c r="H211"/>
  <c r="Y211" s="1"/>
  <c r="G211"/>
  <c r="Z211" s="1"/>
  <c r="B211"/>
  <c r="W210"/>
  <c r="X210" s="1"/>
  <c r="R210"/>
  <c r="Q210"/>
  <c r="N210"/>
  <c r="O210" s="1"/>
  <c r="J210"/>
  <c r="K210" s="1"/>
  <c r="H210"/>
  <c r="Y210" s="1"/>
  <c r="G210"/>
  <c r="Z210" s="1"/>
  <c r="D112" i="18" s="1"/>
  <c r="F112" s="1"/>
  <c r="B210" i="25"/>
  <c r="W209"/>
  <c r="X209" s="1"/>
  <c r="R209"/>
  <c r="Q209"/>
  <c r="N209"/>
  <c r="O209" s="1"/>
  <c r="J209"/>
  <c r="K209" s="1"/>
  <c r="H209"/>
  <c r="Y209" s="1"/>
  <c r="G209"/>
  <c r="Z209" s="1"/>
  <c r="B209"/>
  <c r="W208"/>
  <c r="X208" s="1"/>
  <c r="R208"/>
  <c r="V208" s="1"/>
  <c r="Q208"/>
  <c r="N208"/>
  <c r="J208"/>
  <c r="K208" s="1"/>
  <c r="H208"/>
  <c r="Y208" s="1"/>
  <c r="G208"/>
  <c r="Z208" s="1"/>
  <c r="B208"/>
  <c r="W207"/>
  <c r="X207" s="1"/>
  <c r="R207"/>
  <c r="Q207"/>
  <c r="N207"/>
  <c r="P207" s="1"/>
  <c r="J207"/>
  <c r="L207" s="1"/>
  <c r="H207"/>
  <c r="Y207" s="1"/>
  <c r="G207"/>
  <c r="Z207" s="1"/>
  <c r="B207"/>
  <c r="W206"/>
  <c r="X206" s="1"/>
  <c r="R206"/>
  <c r="Q206"/>
  <c r="N206"/>
  <c r="J206"/>
  <c r="H206"/>
  <c r="Y206" s="1"/>
  <c r="G206"/>
  <c r="Z206" s="1"/>
  <c r="B206"/>
  <c r="W205"/>
  <c r="X205" s="1"/>
  <c r="R205"/>
  <c r="V205" s="1"/>
  <c r="Q205"/>
  <c r="N205"/>
  <c r="O205" s="1"/>
  <c r="J205"/>
  <c r="K205" s="1"/>
  <c r="H205"/>
  <c r="Y205" s="1"/>
  <c r="G205"/>
  <c r="Z205" s="1"/>
  <c r="B205"/>
  <c r="W204"/>
  <c r="X204" s="1"/>
  <c r="R204"/>
  <c r="V204" s="1"/>
  <c r="Q204"/>
  <c r="N204"/>
  <c r="O204" s="1"/>
  <c r="J204"/>
  <c r="K204" s="1"/>
  <c r="H204"/>
  <c r="Y204" s="1"/>
  <c r="G204"/>
  <c r="Z204" s="1"/>
  <c r="B204"/>
  <c r="W203"/>
  <c r="X203" s="1"/>
  <c r="R203"/>
  <c r="Q203"/>
  <c r="N203"/>
  <c r="J203"/>
  <c r="L203" s="1"/>
  <c r="H203"/>
  <c r="Y203" s="1"/>
  <c r="G203"/>
  <c r="Z203" s="1"/>
  <c r="B203"/>
  <c r="W202"/>
  <c r="X202" s="1"/>
  <c r="R202"/>
  <c r="V202" s="1"/>
  <c r="Q202"/>
  <c r="N202"/>
  <c r="J202"/>
  <c r="H202"/>
  <c r="Y202" s="1"/>
  <c r="G202"/>
  <c r="Z202" s="1"/>
  <c r="B202"/>
  <c r="W201"/>
  <c r="X201" s="1"/>
  <c r="R201"/>
  <c r="V201" s="1"/>
  <c r="Q201"/>
  <c r="N201"/>
  <c r="O201" s="1"/>
  <c r="J201"/>
  <c r="K201" s="1"/>
  <c r="H201"/>
  <c r="Y201" s="1"/>
  <c r="G201"/>
  <c r="Z201" s="1"/>
  <c r="B201"/>
  <c r="W200"/>
  <c r="X200" s="1"/>
  <c r="R200"/>
  <c r="V200" s="1"/>
  <c r="Q200"/>
  <c r="N200"/>
  <c r="P200" s="1"/>
  <c r="J200"/>
  <c r="K200" s="1"/>
  <c r="H200"/>
  <c r="Y200" s="1"/>
  <c r="G200"/>
  <c r="Z200" s="1"/>
  <c r="B200"/>
  <c r="W199"/>
  <c r="X199" s="1"/>
  <c r="R199"/>
  <c r="Q199"/>
  <c r="N199"/>
  <c r="P199" s="1"/>
  <c r="J199"/>
  <c r="L199" s="1"/>
  <c r="H199"/>
  <c r="Y199" s="1"/>
  <c r="G199"/>
  <c r="Z199" s="1"/>
  <c r="D71" i="18" s="1"/>
  <c r="F71" s="1"/>
  <c r="B199" i="25"/>
  <c r="W198"/>
  <c r="X198" s="1"/>
  <c r="R198"/>
  <c r="Q198"/>
  <c r="N198"/>
  <c r="J198"/>
  <c r="H198"/>
  <c r="Y198" s="1"/>
  <c r="G198"/>
  <c r="Z198" s="1"/>
  <c r="D73" i="18" s="1"/>
  <c r="F73" s="1"/>
  <c r="B198" i="25"/>
  <c r="W197"/>
  <c r="X197" s="1"/>
  <c r="R197"/>
  <c r="V197" s="1"/>
  <c r="Q197"/>
  <c r="N197"/>
  <c r="O197" s="1"/>
  <c r="J197"/>
  <c r="K197" s="1"/>
  <c r="H197"/>
  <c r="Y197" s="1"/>
  <c r="G197"/>
  <c r="Z197" s="1"/>
  <c r="B197"/>
  <c r="W196"/>
  <c r="X196" s="1"/>
  <c r="R196"/>
  <c r="Q196"/>
  <c r="N196"/>
  <c r="O196" s="1"/>
  <c r="J196"/>
  <c r="L196" s="1"/>
  <c r="H196"/>
  <c r="Y196" s="1"/>
  <c r="G196"/>
  <c r="Z196" s="1"/>
  <c r="D72" i="18" s="1"/>
  <c r="F72" s="1"/>
  <c r="B196" i="25"/>
  <c r="W195"/>
  <c r="X195" s="1"/>
  <c r="R195"/>
  <c r="Q195"/>
  <c r="N195"/>
  <c r="P195" s="1"/>
  <c r="J195"/>
  <c r="L195" s="1"/>
  <c r="H195"/>
  <c r="Y195" s="1"/>
  <c r="G195"/>
  <c r="Z195" s="1"/>
  <c r="B195"/>
  <c r="W194"/>
  <c r="X194" s="1"/>
  <c r="R194"/>
  <c r="V194" s="1"/>
  <c r="Q194"/>
  <c r="N194"/>
  <c r="J194"/>
  <c r="H194"/>
  <c r="Y194" s="1"/>
  <c r="G194"/>
  <c r="Z194" s="1"/>
  <c r="B194"/>
  <c r="W193"/>
  <c r="X193" s="1"/>
  <c r="R193"/>
  <c r="V193" s="1"/>
  <c r="Q193"/>
  <c r="N193"/>
  <c r="O193" s="1"/>
  <c r="J193"/>
  <c r="K193" s="1"/>
  <c r="H193"/>
  <c r="Y193" s="1"/>
  <c r="G193"/>
  <c r="Z193" s="1"/>
  <c r="B193"/>
  <c r="W192"/>
  <c r="X192" s="1"/>
  <c r="R192"/>
  <c r="V192" s="1"/>
  <c r="Q192"/>
  <c r="N192"/>
  <c r="P192" s="1"/>
  <c r="J192"/>
  <c r="K192" s="1"/>
  <c r="H192"/>
  <c r="Y192" s="1"/>
  <c r="G192"/>
  <c r="Z192" s="1"/>
  <c r="B192"/>
  <c r="W191"/>
  <c r="X191" s="1"/>
  <c r="R191"/>
  <c r="Q191"/>
  <c r="N191"/>
  <c r="J191"/>
  <c r="L191" s="1"/>
  <c r="H191"/>
  <c r="Y191" s="1"/>
  <c r="G191"/>
  <c r="Z191" s="1"/>
  <c r="B191"/>
  <c r="W190"/>
  <c r="X190" s="1"/>
  <c r="R190"/>
  <c r="Q190"/>
  <c r="N190"/>
  <c r="J190"/>
  <c r="H190"/>
  <c r="Y190" s="1"/>
  <c r="G190"/>
  <c r="Z190" s="1"/>
  <c r="B190"/>
  <c r="W189"/>
  <c r="X189" s="1"/>
  <c r="R189"/>
  <c r="V189" s="1"/>
  <c r="Q189"/>
  <c r="N189"/>
  <c r="J189"/>
  <c r="H189"/>
  <c r="Y189" s="1"/>
  <c r="G189"/>
  <c r="Z189" s="1"/>
  <c r="B189"/>
  <c r="W188"/>
  <c r="X188" s="1"/>
  <c r="R188"/>
  <c r="V188" s="1"/>
  <c r="Q188"/>
  <c r="N188"/>
  <c r="J188"/>
  <c r="K188" s="1"/>
  <c r="H188"/>
  <c r="Y188" s="1"/>
  <c r="G188"/>
  <c r="Z188" s="1"/>
  <c r="B188"/>
  <c r="W187"/>
  <c r="X187" s="1"/>
  <c r="R187"/>
  <c r="Q187"/>
  <c r="N187"/>
  <c r="P187" s="1"/>
  <c r="J187"/>
  <c r="L187" s="1"/>
  <c r="H187"/>
  <c r="Y187" s="1"/>
  <c r="G187"/>
  <c r="Z187" s="1"/>
  <c r="B187"/>
  <c r="W186"/>
  <c r="X186" s="1"/>
  <c r="R186"/>
  <c r="V186" s="1"/>
  <c r="Q186"/>
  <c r="N186"/>
  <c r="J186"/>
  <c r="H186"/>
  <c r="Y186" s="1"/>
  <c r="G186"/>
  <c r="Z186" s="1"/>
  <c r="B186"/>
  <c r="W185"/>
  <c r="X185" s="1"/>
  <c r="R185"/>
  <c r="V185" s="1"/>
  <c r="Q185"/>
  <c r="N185"/>
  <c r="O185" s="1"/>
  <c r="J185"/>
  <c r="H185"/>
  <c r="Y185" s="1"/>
  <c r="G185"/>
  <c r="Z185" s="1"/>
  <c r="B185"/>
  <c r="W184"/>
  <c r="X184" s="1"/>
  <c r="R184"/>
  <c r="V184" s="1"/>
  <c r="Q184"/>
  <c r="N184"/>
  <c r="J184"/>
  <c r="H184"/>
  <c r="Y184" s="1"/>
  <c r="G184"/>
  <c r="Z184" s="1"/>
  <c r="B184"/>
  <c r="W183"/>
  <c r="X183" s="1"/>
  <c r="R183"/>
  <c r="Q183"/>
  <c r="N183"/>
  <c r="P183" s="1"/>
  <c r="J183"/>
  <c r="L183" s="1"/>
  <c r="H183"/>
  <c r="Y183" s="1"/>
  <c r="G183"/>
  <c r="Z183" s="1"/>
  <c r="B183"/>
  <c r="W182"/>
  <c r="X182" s="1"/>
  <c r="R182"/>
  <c r="Q182"/>
  <c r="N182"/>
  <c r="J182"/>
  <c r="H182"/>
  <c r="Y182" s="1"/>
  <c r="G182"/>
  <c r="Z182" s="1"/>
  <c r="B182"/>
  <c r="W181"/>
  <c r="X181" s="1"/>
  <c r="R181"/>
  <c r="V181" s="1"/>
  <c r="Q181"/>
  <c r="N181"/>
  <c r="O181" s="1"/>
  <c r="J181"/>
  <c r="K181" s="1"/>
  <c r="H181"/>
  <c r="Y181" s="1"/>
  <c r="G181"/>
  <c r="Z181" s="1"/>
  <c r="B181"/>
  <c r="W180"/>
  <c r="X180" s="1"/>
  <c r="R180"/>
  <c r="Q180"/>
  <c r="N180"/>
  <c r="J180"/>
  <c r="H180"/>
  <c r="Y180" s="1"/>
  <c r="G180"/>
  <c r="Z180" s="1"/>
  <c r="B180"/>
  <c r="W179"/>
  <c r="X179" s="1"/>
  <c r="R179"/>
  <c r="Q179"/>
  <c r="N179"/>
  <c r="J179"/>
  <c r="L179" s="1"/>
  <c r="H179"/>
  <c r="Y179" s="1"/>
  <c r="G179"/>
  <c r="Z179" s="1"/>
  <c r="B179"/>
  <c r="W178"/>
  <c r="X178" s="1"/>
  <c r="R178"/>
  <c r="V178" s="1"/>
  <c r="Q178"/>
  <c r="N178"/>
  <c r="J178"/>
  <c r="H178"/>
  <c r="Y178" s="1"/>
  <c r="G178"/>
  <c r="Z178" s="1"/>
  <c r="B178"/>
  <c r="W177"/>
  <c r="X177" s="1"/>
  <c r="R177"/>
  <c r="V177" s="1"/>
  <c r="Q177"/>
  <c r="N177"/>
  <c r="J177"/>
  <c r="H177"/>
  <c r="Y177" s="1"/>
  <c r="G177"/>
  <c r="Z177" s="1"/>
  <c r="B177"/>
  <c r="W176"/>
  <c r="X176" s="1"/>
  <c r="R176"/>
  <c r="V176" s="1"/>
  <c r="Q176"/>
  <c r="N176"/>
  <c r="O176" s="1"/>
  <c r="J176"/>
  <c r="L176" s="1"/>
  <c r="H176"/>
  <c r="Y176" s="1"/>
  <c r="G176"/>
  <c r="Z176" s="1"/>
  <c r="B176"/>
  <c r="W175"/>
  <c r="X175" s="1"/>
  <c r="R175"/>
  <c r="V175" s="1"/>
  <c r="Q175"/>
  <c r="N175"/>
  <c r="J175"/>
  <c r="K175" s="1"/>
  <c r="H175"/>
  <c r="Y175" s="1"/>
  <c r="G175"/>
  <c r="Z175" s="1"/>
  <c r="B175"/>
  <c r="W174"/>
  <c r="X174" s="1"/>
  <c r="R174"/>
  <c r="Q174"/>
  <c r="N174"/>
  <c r="P174" s="1"/>
  <c r="J174"/>
  <c r="L174" s="1"/>
  <c r="H174"/>
  <c r="Y174" s="1"/>
  <c r="G174"/>
  <c r="Z174" s="1"/>
  <c r="B174"/>
  <c r="W173"/>
  <c r="X173" s="1"/>
  <c r="R173"/>
  <c r="V173" s="1"/>
  <c r="Q173"/>
  <c r="N173"/>
  <c r="O173" s="1"/>
  <c r="J173"/>
  <c r="H173"/>
  <c r="Y173" s="1"/>
  <c r="G173"/>
  <c r="Z173" s="1"/>
  <c r="B173"/>
  <c r="W172"/>
  <c r="X172" s="1"/>
  <c r="R172"/>
  <c r="Q172"/>
  <c r="N172"/>
  <c r="J172"/>
  <c r="K172" s="1"/>
  <c r="H172"/>
  <c r="Y172" s="1"/>
  <c r="G172"/>
  <c r="Z172" s="1"/>
  <c r="B172"/>
  <c r="W171"/>
  <c r="X171" s="1"/>
  <c r="R171"/>
  <c r="V171" s="1"/>
  <c r="Q171"/>
  <c r="N171"/>
  <c r="P171" s="1"/>
  <c r="J171"/>
  <c r="H171"/>
  <c r="Y171" s="1"/>
  <c r="G171"/>
  <c r="Z171" s="1"/>
  <c r="B171"/>
  <c r="W170"/>
  <c r="X170" s="1"/>
  <c r="R170"/>
  <c r="Q170"/>
  <c r="N170"/>
  <c r="P170" s="1"/>
  <c r="J170"/>
  <c r="L170" s="1"/>
  <c r="H170"/>
  <c r="Y170" s="1"/>
  <c r="G170"/>
  <c r="Z170" s="1"/>
  <c r="B170"/>
  <c r="W169"/>
  <c r="X169" s="1"/>
  <c r="R169"/>
  <c r="Q169"/>
  <c r="N169"/>
  <c r="O169" s="1"/>
  <c r="J169"/>
  <c r="K169" s="1"/>
  <c r="H169"/>
  <c r="Y169" s="1"/>
  <c r="G169"/>
  <c r="Z169" s="1"/>
  <c r="B169"/>
  <c r="W168"/>
  <c r="X168" s="1"/>
  <c r="R168"/>
  <c r="V168" s="1"/>
  <c r="Q168"/>
  <c r="N168"/>
  <c r="O168" s="1"/>
  <c r="J168"/>
  <c r="K168" s="1"/>
  <c r="H168"/>
  <c r="Y168" s="1"/>
  <c r="G168"/>
  <c r="Z168" s="1"/>
  <c r="B168"/>
  <c r="W167"/>
  <c r="X167" s="1"/>
  <c r="R167"/>
  <c r="V167" s="1"/>
  <c r="Q167"/>
  <c r="N167"/>
  <c r="J167"/>
  <c r="L167" s="1"/>
  <c r="H167"/>
  <c r="Y167" s="1"/>
  <c r="G167"/>
  <c r="Z167" s="1"/>
  <c r="B167"/>
  <c r="W166"/>
  <c r="X166" s="1"/>
  <c r="R166"/>
  <c r="Q166"/>
  <c r="N166"/>
  <c r="P166" s="1"/>
  <c r="J166"/>
  <c r="L166" s="1"/>
  <c r="H166"/>
  <c r="Y166" s="1"/>
  <c r="G166"/>
  <c r="Z166" s="1"/>
  <c r="B166"/>
  <c r="W165"/>
  <c r="X165" s="1"/>
  <c r="R165"/>
  <c r="Q165"/>
  <c r="N165"/>
  <c r="O165" s="1"/>
  <c r="J165"/>
  <c r="K165" s="1"/>
  <c r="H165"/>
  <c r="Y165" s="1"/>
  <c r="G165"/>
  <c r="Z165" s="1"/>
  <c r="B165"/>
  <c r="W164"/>
  <c r="X164" s="1"/>
  <c r="R164"/>
  <c r="V164" s="1"/>
  <c r="Q164"/>
  <c r="N164"/>
  <c r="P164" s="1"/>
  <c r="J164"/>
  <c r="K164" s="1"/>
  <c r="H164"/>
  <c r="Y164" s="1"/>
  <c r="G164"/>
  <c r="B164"/>
  <c r="W163"/>
  <c r="X163" s="1"/>
  <c r="R163"/>
  <c r="V163" s="1"/>
  <c r="Q163"/>
  <c r="N163"/>
  <c r="O163" s="1"/>
  <c r="J163"/>
  <c r="K163" s="1"/>
  <c r="H163"/>
  <c r="Y163" s="1"/>
  <c r="G163"/>
  <c r="Z163" s="1"/>
  <c r="B163"/>
  <c r="W162"/>
  <c r="X162" s="1"/>
  <c r="R162"/>
  <c r="Q162"/>
  <c r="N162"/>
  <c r="P162" s="1"/>
  <c r="J162"/>
  <c r="L162" s="1"/>
  <c r="H162"/>
  <c r="Y162" s="1"/>
  <c r="G162"/>
  <c r="Z162" s="1"/>
  <c r="B162"/>
  <c r="W161"/>
  <c r="X161" s="1"/>
  <c r="R161"/>
  <c r="V161" s="1"/>
  <c r="Q161"/>
  <c r="N161"/>
  <c r="J161"/>
  <c r="K161" s="1"/>
  <c r="H161"/>
  <c r="Y161" s="1"/>
  <c r="G161"/>
  <c r="Z161" s="1"/>
  <c r="B161"/>
  <c r="W160"/>
  <c r="X160" s="1"/>
  <c r="R160"/>
  <c r="Q160"/>
  <c r="N160"/>
  <c r="O160" s="1"/>
  <c r="J160"/>
  <c r="K160" s="1"/>
  <c r="H160"/>
  <c r="Y160" s="1"/>
  <c r="G160"/>
  <c r="Z160" s="1"/>
  <c r="B160"/>
  <c r="W159"/>
  <c r="X159" s="1"/>
  <c r="R159"/>
  <c r="V159" s="1"/>
  <c r="Q159"/>
  <c r="N159"/>
  <c r="P159" s="1"/>
  <c r="J159"/>
  <c r="H159"/>
  <c r="Y159" s="1"/>
  <c r="G159"/>
  <c r="Z159" s="1"/>
  <c r="B159"/>
  <c r="W158"/>
  <c r="X158" s="1"/>
  <c r="R158"/>
  <c r="Q158"/>
  <c r="N158"/>
  <c r="O158" s="1"/>
  <c r="J158"/>
  <c r="K158" s="1"/>
  <c r="H158"/>
  <c r="Y158" s="1"/>
  <c r="G158"/>
  <c r="Z158" s="1"/>
  <c r="B158"/>
  <c r="W157"/>
  <c r="X157" s="1"/>
  <c r="R157"/>
  <c r="Q157"/>
  <c r="N157"/>
  <c r="O157" s="1"/>
  <c r="J157"/>
  <c r="K157" s="1"/>
  <c r="H157"/>
  <c r="Y157" s="1"/>
  <c r="G157"/>
  <c r="Z157" s="1"/>
  <c r="B157"/>
  <c r="W156"/>
  <c r="X156" s="1"/>
  <c r="R156"/>
  <c r="V156" s="1"/>
  <c r="Q156"/>
  <c r="N156"/>
  <c r="O156" s="1"/>
  <c r="J156"/>
  <c r="K156" s="1"/>
  <c r="H156"/>
  <c r="Y156" s="1"/>
  <c r="G156"/>
  <c r="Z156" s="1"/>
  <c r="D129" i="18" s="1"/>
  <c r="F129" s="1"/>
  <c r="B156" i="25"/>
  <c r="W155"/>
  <c r="X155" s="1"/>
  <c r="R155"/>
  <c r="Q155"/>
  <c r="N155"/>
  <c r="P155" s="1"/>
  <c r="J155"/>
  <c r="L155" s="1"/>
  <c r="H155"/>
  <c r="Y155" s="1"/>
  <c r="G155"/>
  <c r="Z155" s="1"/>
  <c r="D132" i="18" s="1"/>
  <c r="F132" s="1"/>
  <c r="B155" i="25"/>
  <c r="W154"/>
  <c r="X154" s="1"/>
  <c r="R154"/>
  <c r="Q154"/>
  <c r="N154"/>
  <c r="O154" s="1"/>
  <c r="J154"/>
  <c r="K154" s="1"/>
  <c r="H154"/>
  <c r="Y154" s="1"/>
  <c r="G154"/>
  <c r="Z154" s="1"/>
  <c r="B154"/>
  <c r="W153"/>
  <c r="X153" s="1"/>
  <c r="R153"/>
  <c r="V153" s="1"/>
  <c r="Q153"/>
  <c r="N153"/>
  <c r="O153" s="1"/>
  <c r="J153"/>
  <c r="K153" s="1"/>
  <c r="H153"/>
  <c r="Y153" s="1"/>
  <c r="G153"/>
  <c r="Z153" s="1"/>
  <c r="B153"/>
  <c r="W152"/>
  <c r="X152" s="1"/>
  <c r="R152"/>
  <c r="V152" s="1"/>
  <c r="Q152"/>
  <c r="N152"/>
  <c r="O152" s="1"/>
  <c r="J152"/>
  <c r="L152" s="1"/>
  <c r="H152"/>
  <c r="Y152" s="1"/>
  <c r="G152"/>
  <c r="Z152" s="1"/>
  <c r="B152"/>
  <c r="W151"/>
  <c r="X151" s="1"/>
  <c r="R151"/>
  <c r="Q151"/>
  <c r="N151"/>
  <c r="P151" s="1"/>
  <c r="J151"/>
  <c r="L151" s="1"/>
  <c r="H151"/>
  <c r="Y151" s="1"/>
  <c r="G151"/>
  <c r="Z151" s="1"/>
  <c r="D130" i="18" s="1"/>
  <c r="F130" s="1"/>
  <c r="B151" i="25"/>
  <c r="W150"/>
  <c r="X150" s="1"/>
  <c r="R150"/>
  <c r="Q150"/>
  <c r="N150"/>
  <c r="O150" s="1"/>
  <c r="J150"/>
  <c r="K150" s="1"/>
  <c r="H150"/>
  <c r="Y150" s="1"/>
  <c r="G150"/>
  <c r="Z150" s="1"/>
  <c r="D127" i="18" s="1"/>
  <c r="F127" s="1"/>
  <c r="B150" i="25"/>
  <c r="W149"/>
  <c r="X149" s="1"/>
  <c r="R149"/>
  <c r="V149" s="1"/>
  <c r="Q149"/>
  <c r="N149"/>
  <c r="O149" s="1"/>
  <c r="J149"/>
  <c r="K149" s="1"/>
  <c r="H149"/>
  <c r="Y149" s="1"/>
  <c r="G149"/>
  <c r="Z149" s="1"/>
  <c r="B149"/>
  <c r="W148"/>
  <c r="X148" s="1"/>
  <c r="R148"/>
  <c r="V148" s="1"/>
  <c r="Q148"/>
  <c r="N148"/>
  <c r="P148" s="1"/>
  <c r="J148"/>
  <c r="L148" s="1"/>
  <c r="H148"/>
  <c r="Y148" s="1"/>
  <c r="G148"/>
  <c r="Z148" s="1"/>
  <c r="B148"/>
  <c r="W147"/>
  <c r="X147" s="1"/>
  <c r="R147"/>
  <c r="Q147"/>
  <c r="N147"/>
  <c r="P147" s="1"/>
  <c r="J147"/>
  <c r="L147" s="1"/>
  <c r="H147"/>
  <c r="Y147" s="1"/>
  <c r="G147"/>
  <c r="Z147" s="1"/>
  <c r="B147"/>
  <c r="W146"/>
  <c r="X146" s="1"/>
  <c r="R146"/>
  <c r="Q146"/>
  <c r="N146"/>
  <c r="O146" s="1"/>
  <c r="J146"/>
  <c r="K146" s="1"/>
  <c r="H146"/>
  <c r="Y146" s="1"/>
  <c r="G146"/>
  <c r="Z146" s="1"/>
  <c r="B146"/>
  <c r="W145"/>
  <c r="X145" s="1"/>
  <c r="R145"/>
  <c r="V145" s="1"/>
  <c r="Q145"/>
  <c r="N145"/>
  <c r="O145" s="1"/>
  <c r="J145"/>
  <c r="K145" s="1"/>
  <c r="H145"/>
  <c r="Y145" s="1"/>
  <c r="G145"/>
  <c r="Z145" s="1"/>
  <c r="B145"/>
  <c r="W144"/>
  <c r="X144" s="1"/>
  <c r="R144"/>
  <c r="V144" s="1"/>
  <c r="Q144"/>
  <c r="N144"/>
  <c r="P144" s="1"/>
  <c r="J144"/>
  <c r="K144" s="1"/>
  <c r="H144"/>
  <c r="Y144" s="1"/>
  <c r="G144"/>
  <c r="Z144" s="1"/>
  <c r="B144"/>
  <c r="W143"/>
  <c r="X143" s="1"/>
  <c r="R143"/>
  <c r="Q143"/>
  <c r="N143"/>
  <c r="P143" s="1"/>
  <c r="J143"/>
  <c r="L143" s="1"/>
  <c r="H143"/>
  <c r="Y143" s="1"/>
  <c r="G143"/>
  <c r="Z143" s="1"/>
  <c r="B143"/>
  <c r="W142"/>
  <c r="X142" s="1"/>
  <c r="R142"/>
  <c r="Q142"/>
  <c r="N142"/>
  <c r="O142" s="1"/>
  <c r="J142"/>
  <c r="K142" s="1"/>
  <c r="H142"/>
  <c r="Y142" s="1"/>
  <c r="G142"/>
  <c r="Z142" s="1"/>
  <c r="B142"/>
  <c r="W141"/>
  <c r="X141" s="1"/>
  <c r="R141"/>
  <c r="V141" s="1"/>
  <c r="Q141"/>
  <c r="N141"/>
  <c r="O141" s="1"/>
  <c r="K141"/>
  <c r="H141"/>
  <c r="Y141" s="1"/>
  <c r="G141"/>
  <c r="Z141" s="1"/>
  <c r="B141"/>
  <c r="W140"/>
  <c r="X140" s="1"/>
  <c r="R140"/>
  <c r="V140" s="1"/>
  <c r="Q140"/>
  <c r="N140"/>
  <c r="O140" s="1"/>
  <c r="K140"/>
  <c r="H140"/>
  <c r="Y140" s="1"/>
  <c r="G140"/>
  <c r="Z140" s="1"/>
  <c r="B140"/>
  <c r="W139"/>
  <c r="X139" s="1"/>
  <c r="R139"/>
  <c r="Q139"/>
  <c r="N139"/>
  <c r="P139" s="1"/>
  <c r="L139"/>
  <c r="H139"/>
  <c r="Y139" s="1"/>
  <c r="G139"/>
  <c r="Z139" s="1"/>
  <c r="B139"/>
  <c r="W138"/>
  <c r="X138" s="1"/>
  <c r="R138"/>
  <c r="Q138"/>
  <c r="O138"/>
  <c r="K138"/>
  <c r="H138"/>
  <c r="Y138" s="1"/>
  <c r="G138"/>
  <c r="Z138" s="1"/>
  <c r="D268" i="18" s="1"/>
  <c r="F268" s="1"/>
  <c r="B138" i="25"/>
  <c r="W137"/>
  <c r="X137" s="1"/>
  <c r="R137"/>
  <c r="V137" s="1"/>
  <c r="Q137"/>
  <c r="O137"/>
  <c r="K137"/>
  <c r="H137"/>
  <c r="Y137" s="1"/>
  <c r="G137"/>
  <c r="Z137" s="1"/>
  <c r="B137"/>
  <c r="W136"/>
  <c r="X136" s="1"/>
  <c r="R136"/>
  <c r="V136" s="1"/>
  <c r="Q136"/>
  <c r="O136"/>
  <c r="L136"/>
  <c r="H136"/>
  <c r="Y136" s="1"/>
  <c r="G136"/>
  <c r="Z136" s="1"/>
  <c r="B136"/>
  <c r="W135"/>
  <c r="X135" s="1"/>
  <c r="R135"/>
  <c r="Q135"/>
  <c r="N135"/>
  <c r="P135" s="1"/>
  <c r="J135"/>
  <c r="L135" s="1"/>
  <c r="H135"/>
  <c r="Y135" s="1"/>
  <c r="G135"/>
  <c r="Z135" s="1"/>
  <c r="B135"/>
  <c r="W134"/>
  <c r="X134" s="1"/>
  <c r="R134"/>
  <c r="Q134"/>
  <c r="N134"/>
  <c r="O134" s="1"/>
  <c r="J134"/>
  <c r="K134" s="1"/>
  <c r="H134"/>
  <c r="Y134" s="1"/>
  <c r="G134"/>
  <c r="Z134" s="1"/>
  <c r="B134"/>
  <c r="W133"/>
  <c r="X133" s="1"/>
  <c r="R133"/>
  <c r="V133" s="1"/>
  <c r="Q133"/>
  <c r="N133"/>
  <c r="O133" s="1"/>
  <c r="J133"/>
  <c r="K133" s="1"/>
  <c r="H133"/>
  <c r="Y133" s="1"/>
  <c r="G133"/>
  <c r="Z133" s="1"/>
  <c r="B133"/>
  <c r="W132"/>
  <c r="X132" s="1"/>
  <c r="R132"/>
  <c r="V132" s="1"/>
  <c r="Q132"/>
  <c r="N132"/>
  <c r="P132" s="1"/>
  <c r="J132"/>
  <c r="L132" s="1"/>
  <c r="H132"/>
  <c r="Y132" s="1"/>
  <c r="G132"/>
  <c r="Z132" s="1"/>
  <c r="B132"/>
  <c r="W131"/>
  <c r="X131" s="1"/>
  <c r="R131"/>
  <c r="Q131"/>
  <c r="N131"/>
  <c r="P131" s="1"/>
  <c r="J131"/>
  <c r="L131" s="1"/>
  <c r="H131"/>
  <c r="Y131" s="1"/>
  <c r="G131"/>
  <c r="Z131" s="1"/>
  <c r="D272" i="18" s="1"/>
  <c r="F272" s="1"/>
  <c r="B131" i="25"/>
  <c r="W130"/>
  <c r="X130" s="1"/>
  <c r="R130"/>
  <c r="Q130"/>
  <c r="N130"/>
  <c r="O130" s="1"/>
  <c r="J130"/>
  <c r="K130" s="1"/>
  <c r="H130"/>
  <c r="Y130" s="1"/>
  <c r="G130"/>
  <c r="Z130" s="1"/>
  <c r="D262" i="18" s="1"/>
  <c r="F262" s="1"/>
  <c r="B130" i="25"/>
  <c r="W129"/>
  <c r="X129" s="1"/>
  <c r="R129"/>
  <c r="V129" s="1"/>
  <c r="Q129"/>
  <c r="N129"/>
  <c r="O129" s="1"/>
  <c r="J129"/>
  <c r="K129" s="1"/>
  <c r="H129"/>
  <c r="Y129" s="1"/>
  <c r="G129"/>
  <c r="Z129" s="1"/>
  <c r="B129"/>
  <c r="W128"/>
  <c r="X128" s="1"/>
  <c r="R128"/>
  <c r="V128" s="1"/>
  <c r="Q128"/>
  <c r="N128"/>
  <c r="P128" s="1"/>
  <c r="J128"/>
  <c r="K128" s="1"/>
  <c r="H128"/>
  <c r="Y128" s="1"/>
  <c r="G128"/>
  <c r="Z128" s="1"/>
  <c r="B128"/>
  <c r="W127"/>
  <c r="X127" s="1"/>
  <c r="R127"/>
  <c r="Q127"/>
  <c r="N127"/>
  <c r="P127" s="1"/>
  <c r="J127"/>
  <c r="L127" s="1"/>
  <c r="H127"/>
  <c r="Y127" s="1"/>
  <c r="G127"/>
  <c r="Z127" s="1"/>
  <c r="B127"/>
  <c r="W126"/>
  <c r="X126" s="1"/>
  <c r="R126"/>
  <c r="Q126"/>
  <c r="N126"/>
  <c r="O126" s="1"/>
  <c r="J126"/>
  <c r="K126" s="1"/>
  <c r="H126"/>
  <c r="Y126" s="1"/>
  <c r="G126"/>
  <c r="Z126" s="1"/>
  <c r="B126"/>
  <c r="W125"/>
  <c r="X125" s="1"/>
  <c r="R125"/>
  <c r="V125" s="1"/>
  <c r="Q125"/>
  <c r="N125"/>
  <c r="O125" s="1"/>
  <c r="J125"/>
  <c r="K125" s="1"/>
  <c r="H125"/>
  <c r="Y125" s="1"/>
  <c r="G125"/>
  <c r="Z125" s="1"/>
  <c r="B125"/>
  <c r="W124"/>
  <c r="X124" s="1"/>
  <c r="R124"/>
  <c r="V124" s="1"/>
  <c r="Q124"/>
  <c r="N124"/>
  <c r="O124" s="1"/>
  <c r="J124"/>
  <c r="L124" s="1"/>
  <c r="H124"/>
  <c r="Y124" s="1"/>
  <c r="G124"/>
  <c r="Z124" s="1"/>
  <c r="B124"/>
  <c r="W123"/>
  <c r="X123" s="1"/>
  <c r="R123"/>
  <c r="Q123"/>
  <c r="N123"/>
  <c r="P123" s="1"/>
  <c r="J123"/>
  <c r="L123" s="1"/>
  <c r="H123"/>
  <c r="Y123" s="1"/>
  <c r="G123"/>
  <c r="Z123" s="1"/>
  <c r="B123"/>
  <c r="W122"/>
  <c r="X122" s="1"/>
  <c r="R122"/>
  <c r="Q122"/>
  <c r="N122"/>
  <c r="O122" s="1"/>
  <c r="J122"/>
  <c r="K122" s="1"/>
  <c r="H122"/>
  <c r="Y122" s="1"/>
  <c r="G122"/>
  <c r="Z122" s="1"/>
  <c r="B122"/>
  <c r="W121"/>
  <c r="X121" s="1"/>
  <c r="R121"/>
  <c r="V121" s="1"/>
  <c r="Q121"/>
  <c r="N121"/>
  <c r="O121" s="1"/>
  <c r="J121"/>
  <c r="K121" s="1"/>
  <c r="Y121"/>
  <c r="G121"/>
  <c r="Z121" s="1"/>
  <c r="B121"/>
  <c r="W120"/>
  <c r="X120" s="1"/>
  <c r="R120"/>
  <c r="V120" s="1"/>
  <c r="Q120"/>
  <c r="N120"/>
  <c r="P120" s="1"/>
  <c r="J120"/>
  <c r="L120" s="1"/>
  <c r="Y120"/>
  <c r="G120"/>
  <c r="Z120" s="1"/>
  <c r="B120"/>
  <c r="W119"/>
  <c r="X119" s="1"/>
  <c r="R119"/>
  <c r="Q119"/>
  <c r="N119"/>
  <c r="P119" s="1"/>
  <c r="J119"/>
  <c r="L119" s="1"/>
  <c r="Y119"/>
  <c r="G119"/>
  <c r="Z119" s="1"/>
  <c r="D277" i="18" s="1"/>
  <c r="F277" s="1"/>
  <c r="B119" i="25"/>
  <c r="W118"/>
  <c r="X118" s="1"/>
  <c r="R118"/>
  <c r="Q118"/>
  <c r="N118"/>
  <c r="O118" s="1"/>
  <c r="J118"/>
  <c r="K118" s="1"/>
  <c r="Y118"/>
  <c r="G118"/>
  <c r="Z118" s="1"/>
  <c r="B118"/>
  <c r="W117"/>
  <c r="X117" s="1"/>
  <c r="R117"/>
  <c r="V117" s="1"/>
  <c r="Q117"/>
  <c r="N117"/>
  <c r="O117" s="1"/>
  <c r="J117"/>
  <c r="K117" s="1"/>
  <c r="Y117"/>
  <c r="G117"/>
  <c r="Z117" s="1"/>
  <c r="B117"/>
  <c r="W116"/>
  <c r="X116" s="1"/>
  <c r="R116"/>
  <c r="V116" s="1"/>
  <c r="Q116"/>
  <c r="N116"/>
  <c r="P116" s="1"/>
  <c r="J116"/>
  <c r="L116" s="1"/>
  <c r="Y116"/>
  <c r="G116"/>
  <c r="Z116" s="1"/>
  <c r="B116"/>
  <c r="W115"/>
  <c r="X115" s="1"/>
  <c r="R115"/>
  <c r="Q115"/>
  <c r="N115"/>
  <c r="P115" s="1"/>
  <c r="J115"/>
  <c r="L115" s="1"/>
  <c r="Y115"/>
  <c r="G115"/>
  <c r="Z115" s="1"/>
  <c r="B115"/>
  <c r="W114"/>
  <c r="X114" s="1"/>
  <c r="R114"/>
  <c r="Q114"/>
  <c r="N114"/>
  <c r="O114" s="1"/>
  <c r="J114"/>
  <c r="K114" s="1"/>
  <c r="Y114"/>
  <c r="G114"/>
  <c r="Z114" s="1"/>
  <c r="B114"/>
  <c r="W113"/>
  <c r="X113" s="1"/>
  <c r="R113"/>
  <c r="V113" s="1"/>
  <c r="Q113"/>
  <c r="N113"/>
  <c r="O113" s="1"/>
  <c r="J113"/>
  <c r="K113" s="1"/>
  <c r="Y113"/>
  <c r="G113"/>
  <c r="Z113" s="1"/>
  <c r="B113"/>
  <c r="W112"/>
  <c r="X112" s="1"/>
  <c r="R112"/>
  <c r="V112" s="1"/>
  <c r="Q112"/>
  <c r="N112"/>
  <c r="P112" s="1"/>
  <c r="J112"/>
  <c r="K112" s="1"/>
  <c r="Y112"/>
  <c r="G112"/>
  <c r="Z112" s="1"/>
  <c r="B112"/>
  <c r="W111"/>
  <c r="X111" s="1"/>
  <c r="R111"/>
  <c r="Q111"/>
  <c r="N111"/>
  <c r="P111" s="1"/>
  <c r="J111"/>
  <c r="L111" s="1"/>
  <c r="Y111"/>
  <c r="G111"/>
  <c r="Z111" s="1"/>
  <c r="B111"/>
  <c r="W110"/>
  <c r="X110" s="1"/>
  <c r="R110"/>
  <c r="Q110"/>
  <c r="N110"/>
  <c r="O110" s="1"/>
  <c r="J110"/>
  <c r="K110" s="1"/>
  <c r="Y110"/>
  <c r="G110"/>
  <c r="Z110" s="1"/>
  <c r="B110"/>
  <c r="W109"/>
  <c r="X109" s="1"/>
  <c r="R109"/>
  <c r="V109" s="1"/>
  <c r="Q109"/>
  <c r="N109"/>
  <c r="O109" s="1"/>
  <c r="J109"/>
  <c r="K109" s="1"/>
  <c r="Y109"/>
  <c r="G109"/>
  <c r="Z109" s="1"/>
  <c r="D273" i="18" s="1"/>
  <c r="F273" s="1"/>
  <c r="B109" i="25"/>
  <c r="W108"/>
  <c r="X108" s="1"/>
  <c r="R108"/>
  <c r="V108" s="1"/>
  <c r="Q108"/>
  <c r="N108"/>
  <c r="O108" s="1"/>
  <c r="J108"/>
  <c r="K108" s="1"/>
  <c r="Y108"/>
  <c r="G108"/>
  <c r="Z108" s="1"/>
  <c r="B108"/>
  <c r="W107"/>
  <c r="X107" s="1"/>
  <c r="R107"/>
  <c r="Q107"/>
  <c r="N107"/>
  <c r="P107" s="1"/>
  <c r="J107"/>
  <c r="L107" s="1"/>
  <c r="H107"/>
  <c r="Y107" s="1"/>
  <c r="G107"/>
  <c r="Z107" s="1"/>
  <c r="B107"/>
  <c r="W106"/>
  <c r="X106" s="1"/>
  <c r="R106"/>
  <c r="Q106"/>
  <c r="N106"/>
  <c r="O106" s="1"/>
  <c r="J106"/>
  <c r="K106" s="1"/>
  <c r="H106"/>
  <c r="Y106" s="1"/>
  <c r="Z106"/>
  <c r="B106"/>
  <c r="W105"/>
  <c r="X105" s="1"/>
  <c r="R105"/>
  <c r="V105" s="1"/>
  <c r="Q105"/>
  <c r="N105"/>
  <c r="O105" s="1"/>
  <c r="J105"/>
  <c r="K105" s="1"/>
  <c r="H105"/>
  <c r="Y105" s="1"/>
  <c r="G105"/>
  <c r="Z105" s="1"/>
  <c r="B105"/>
  <c r="W104"/>
  <c r="X104" s="1"/>
  <c r="R104"/>
  <c r="V104" s="1"/>
  <c r="Q104"/>
  <c r="N104"/>
  <c r="O104" s="1"/>
  <c r="J104"/>
  <c r="L104" s="1"/>
  <c r="H104"/>
  <c r="Y104" s="1"/>
  <c r="G104"/>
  <c r="Z104" s="1"/>
  <c r="B104"/>
  <c r="W103"/>
  <c r="X103" s="1"/>
  <c r="R103"/>
  <c r="Q103"/>
  <c r="N103"/>
  <c r="P103" s="1"/>
  <c r="J103"/>
  <c r="L103" s="1"/>
  <c r="H103"/>
  <c r="Y103" s="1"/>
  <c r="G103"/>
  <c r="Z103" s="1"/>
  <c r="B103"/>
  <c r="W102"/>
  <c r="X102" s="1"/>
  <c r="R102"/>
  <c r="Q102"/>
  <c r="N102"/>
  <c r="O102" s="1"/>
  <c r="J102"/>
  <c r="K102" s="1"/>
  <c r="H102"/>
  <c r="Y102" s="1"/>
  <c r="G102"/>
  <c r="Z102" s="1"/>
  <c r="B102"/>
  <c r="W101"/>
  <c r="X101" s="1"/>
  <c r="R101"/>
  <c r="V101" s="1"/>
  <c r="Q101"/>
  <c r="N101"/>
  <c r="O101" s="1"/>
  <c r="J101"/>
  <c r="K101" s="1"/>
  <c r="H101"/>
  <c r="Y101" s="1"/>
  <c r="G101"/>
  <c r="Z101" s="1"/>
  <c r="D252" i="18" s="1"/>
  <c r="F252" s="1"/>
  <c r="B101" i="25"/>
  <c r="W100"/>
  <c r="X100" s="1"/>
  <c r="R100"/>
  <c r="V100" s="1"/>
  <c r="Q100"/>
  <c r="N100"/>
  <c r="P100" s="1"/>
  <c r="J100"/>
  <c r="L100" s="1"/>
  <c r="H100"/>
  <c r="Y100" s="1"/>
  <c r="G100"/>
  <c r="Z100" s="1"/>
  <c r="B100"/>
  <c r="W99"/>
  <c r="X99" s="1"/>
  <c r="R99"/>
  <c r="Q99"/>
  <c r="N99"/>
  <c r="P99" s="1"/>
  <c r="J99"/>
  <c r="L99" s="1"/>
  <c r="H99"/>
  <c r="Y99" s="1"/>
  <c r="G99"/>
  <c r="Z99" s="1"/>
  <c r="B99"/>
  <c r="W98"/>
  <c r="X98" s="1"/>
  <c r="R98"/>
  <c r="Q98"/>
  <c r="N98"/>
  <c r="O98" s="1"/>
  <c r="J98"/>
  <c r="K98" s="1"/>
  <c r="H98"/>
  <c r="Y98" s="1"/>
  <c r="G98"/>
  <c r="Z98" s="1"/>
  <c r="B98"/>
  <c r="W97"/>
  <c r="X97" s="1"/>
  <c r="R97"/>
  <c r="V97" s="1"/>
  <c r="Q97"/>
  <c r="N97"/>
  <c r="O97" s="1"/>
  <c r="J97"/>
  <c r="K97" s="1"/>
  <c r="H97"/>
  <c r="Y97" s="1"/>
  <c r="G97"/>
  <c r="Z97" s="1"/>
  <c r="B97"/>
  <c r="W96"/>
  <c r="X96" s="1"/>
  <c r="R96"/>
  <c r="V96" s="1"/>
  <c r="Q96"/>
  <c r="N96"/>
  <c r="P96" s="1"/>
  <c r="J96"/>
  <c r="K96" s="1"/>
  <c r="H96"/>
  <c r="Y96" s="1"/>
  <c r="G96"/>
  <c r="Z96" s="1"/>
  <c r="D257" i="18" s="1"/>
  <c r="F257" s="1"/>
  <c r="B96" i="25"/>
  <c r="W95"/>
  <c r="X95" s="1"/>
  <c r="R95"/>
  <c r="Q95"/>
  <c r="N95"/>
  <c r="P95" s="1"/>
  <c r="J95"/>
  <c r="L95" s="1"/>
  <c r="H95"/>
  <c r="Y95" s="1"/>
  <c r="G95"/>
  <c r="Z95" s="1"/>
  <c r="D254" i="18" s="1"/>
  <c r="F254" s="1"/>
  <c r="B95" i="25"/>
  <c r="W94"/>
  <c r="X94" s="1"/>
  <c r="R94"/>
  <c r="Q94"/>
  <c r="N94"/>
  <c r="O94" s="1"/>
  <c r="J94"/>
  <c r="K94" s="1"/>
  <c r="H94"/>
  <c r="Y94" s="1"/>
  <c r="G94"/>
  <c r="Z94" s="1"/>
  <c r="B94"/>
  <c r="W93"/>
  <c r="X93" s="1"/>
  <c r="R93"/>
  <c r="V93" s="1"/>
  <c r="Q93"/>
  <c r="N93"/>
  <c r="O93" s="1"/>
  <c r="J93"/>
  <c r="K93" s="1"/>
  <c r="H93"/>
  <c r="Y93" s="1"/>
  <c r="G93"/>
  <c r="Z93" s="1"/>
  <c r="B93"/>
  <c r="W92"/>
  <c r="X92" s="1"/>
  <c r="R92"/>
  <c r="V92" s="1"/>
  <c r="Q92"/>
  <c r="N92"/>
  <c r="O92" s="1"/>
  <c r="J92"/>
  <c r="K92" s="1"/>
  <c r="H92"/>
  <c r="Y92" s="1"/>
  <c r="G92"/>
  <c r="Z92" s="1"/>
  <c r="B92"/>
  <c r="W91"/>
  <c r="X91" s="1"/>
  <c r="R91"/>
  <c r="Q91"/>
  <c r="N91"/>
  <c r="P91" s="1"/>
  <c r="J91"/>
  <c r="L91" s="1"/>
  <c r="H91"/>
  <c r="Y91" s="1"/>
  <c r="G91"/>
  <c r="Z91" s="1"/>
  <c r="B91"/>
  <c r="W90"/>
  <c r="X90" s="1"/>
  <c r="R90"/>
  <c r="Q90"/>
  <c r="N90"/>
  <c r="O90" s="1"/>
  <c r="J90"/>
  <c r="K90" s="1"/>
  <c r="H90"/>
  <c r="Y90" s="1"/>
  <c r="G90"/>
  <c r="Z90" s="1"/>
  <c r="B90"/>
  <c r="W89"/>
  <c r="X89" s="1"/>
  <c r="R89"/>
  <c r="V89" s="1"/>
  <c r="Q89"/>
  <c r="N89"/>
  <c r="O89" s="1"/>
  <c r="J89"/>
  <c r="K89" s="1"/>
  <c r="H89"/>
  <c r="Y89" s="1"/>
  <c r="G89"/>
  <c r="Z89" s="1"/>
  <c r="B89"/>
  <c r="W88"/>
  <c r="X88" s="1"/>
  <c r="R88"/>
  <c r="V88" s="1"/>
  <c r="Q88"/>
  <c r="N88"/>
  <c r="O88" s="1"/>
  <c r="J88"/>
  <c r="L88" s="1"/>
  <c r="H88"/>
  <c r="Y88" s="1"/>
  <c r="G88"/>
  <c r="Z88" s="1"/>
  <c r="B88"/>
  <c r="W87"/>
  <c r="X87" s="1"/>
  <c r="R87"/>
  <c r="Q87"/>
  <c r="N87"/>
  <c r="P87" s="1"/>
  <c r="J87"/>
  <c r="L87" s="1"/>
  <c r="H87"/>
  <c r="Y87" s="1"/>
  <c r="G87"/>
  <c r="Z87" s="1"/>
  <c r="B87"/>
  <c r="W86"/>
  <c r="X86" s="1"/>
  <c r="R86"/>
  <c r="Q86"/>
  <c r="N86"/>
  <c r="O86" s="1"/>
  <c r="J86"/>
  <c r="K86" s="1"/>
  <c r="H86"/>
  <c r="Y86" s="1"/>
  <c r="G86"/>
  <c r="Z86" s="1"/>
  <c r="B86"/>
  <c r="W85"/>
  <c r="X85" s="1"/>
  <c r="R85"/>
  <c r="V85" s="1"/>
  <c r="Q85"/>
  <c r="N85"/>
  <c r="O85" s="1"/>
  <c r="J85"/>
  <c r="K85" s="1"/>
  <c r="H85"/>
  <c r="Y85" s="1"/>
  <c r="G85"/>
  <c r="Z85" s="1"/>
  <c r="B85"/>
  <c r="W84"/>
  <c r="X84" s="1"/>
  <c r="R84"/>
  <c r="V84" s="1"/>
  <c r="Q84"/>
  <c r="N84"/>
  <c r="P84" s="1"/>
  <c r="J84"/>
  <c r="L84" s="1"/>
  <c r="H84"/>
  <c r="Y84" s="1"/>
  <c r="G84"/>
  <c r="Z84" s="1"/>
  <c r="B84"/>
  <c r="W83"/>
  <c r="X83" s="1"/>
  <c r="R83"/>
  <c r="Q83"/>
  <c r="N83"/>
  <c r="P83" s="1"/>
  <c r="J83"/>
  <c r="L83" s="1"/>
  <c r="H83"/>
  <c r="Y83" s="1"/>
  <c r="G83"/>
  <c r="Z83" s="1"/>
  <c r="B83"/>
  <c r="W82"/>
  <c r="X82" s="1"/>
  <c r="R82"/>
  <c r="Q82"/>
  <c r="N82"/>
  <c r="O82" s="1"/>
  <c r="J82"/>
  <c r="K82" s="1"/>
  <c r="H82"/>
  <c r="Y82" s="1"/>
  <c r="G82"/>
  <c r="Z82" s="1"/>
  <c r="B82"/>
  <c r="W81"/>
  <c r="X81" s="1"/>
  <c r="R81"/>
  <c r="V81" s="1"/>
  <c r="Q81"/>
  <c r="N81"/>
  <c r="O81" s="1"/>
  <c r="J81"/>
  <c r="K81" s="1"/>
  <c r="H81"/>
  <c r="Y81" s="1"/>
  <c r="G81"/>
  <c r="Z81" s="1"/>
  <c r="D79" i="18" s="1"/>
  <c r="F79" s="1"/>
  <c r="B81" i="25"/>
  <c r="W80"/>
  <c r="X80" s="1"/>
  <c r="R80"/>
  <c r="V80" s="1"/>
  <c r="Q80"/>
  <c r="N80"/>
  <c r="P80" s="1"/>
  <c r="J80"/>
  <c r="K80" s="1"/>
  <c r="H80"/>
  <c r="Y80" s="1"/>
  <c r="G80"/>
  <c r="Z80" s="1"/>
  <c r="D77" i="18" s="1"/>
  <c r="F77" s="1"/>
  <c r="B80" i="25"/>
  <c r="W79"/>
  <c r="X79" s="1"/>
  <c r="R79"/>
  <c r="Q79"/>
  <c r="N79"/>
  <c r="P79" s="1"/>
  <c r="J79"/>
  <c r="L79" s="1"/>
  <c r="H79"/>
  <c r="Y79" s="1"/>
  <c r="G79"/>
  <c r="Z79" s="1"/>
  <c r="D128" i="18" s="1"/>
  <c r="F128" s="1"/>
  <c r="B79" i="25"/>
  <c r="W78"/>
  <c r="X78" s="1"/>
  <c r="R78"/>
  <c r="Q78"/>
  <c r="N78"/>
  <c r="O78" s="1"/>
  <c r="J78"/>
  <c r="K78" s="1"/>
  <c r="H78"/>
  <c r="Y78" s="1"/>
  <c r="G78"/>
  <c r="Z78" s="1"/>
  <c r="B78"/>
  <c r="W77"/>
  <c r="X77" s="1"/>
  <c r="R77"/>
  <c r="V77" s="1"/>
  <c r="Q77"/>
  <c r="N77"/>
  <c r="O77" s="1"/>
  <c r="J77"/>
  <c r="K77" s="1"/>
  <c r="H77"/>
  <c r="Y77" s="1"/>
  <c r="G77"/>
  <c r="Z77" s="1"/>
  <c r="B77"/>
  <c r="W76"/>
  <c r="X76" s="1"/>
  <c r="R76"/>
  <c r="V76" s="1"/>
  <c r="Q76"/>
  <c r="N76"/>
  <c r="O76" s="1"/>
  <c r="J76"/>
  <c r="K76" s="1"/>
  <c r="H76"/>
  <c r="Y76" s="1"/>
  <c r="G76"/>
  <c r="Z76" s="1"/>
  <c r="B76"/>
  <c r="W75"/>
  <c r="X75" s="1"/>
  <c r="R75"/>
  <c r="Q75"/>
  <c r="N75"/>
  <c r="P75" s="1"/>
  <c r="J75"/>
  <c r="L75" s="1"/>
  <c r="H75"/>
  <c r="Y75" s="1"/>
  <c r="G75"/>
  <c r="Z75" s="1"/>
  <c r="B75"/>
  <c r="W74"/>
  <c r="X74" s="1"/>
  <c r="R74"/>
  <c r="Q74"/>
  <c r="N74"/>
  <c r="O74" s="1"/>
  <c r="J74"/>
  <c r="K74" s="1"/>
  <c r="H74"/>
  <c r="Y74" s="1"/>
  <c r="G74"/>
  <c r="Z74" s="1"/>
  <c r="B74"/>
  <c r="W73"/>
  <c r="X73" s="1"/>
  <c r="R73"/>
  <c r="V73" s="1"/>
  <c r="Q73"/>
  <c r="N73"/>
  <c r="O73" s="1"/>
  <c r="J73"/>
  <c r="K73" s="1"/>
  <c r="H73"/>
  <c r="Y73" s="1"/>
  <c r="G73"/>
  <c r="Z73" s="1"/>
  <c r="B73"/>
  <c r="W72"/>
  <c r="X72" s="1"/>
  <c r="R72"/>
  <c r="V72" s="1"/>
  <c r="Q72"/>
  <c r="N72"/>
  <c r="O72" s="1"/>
  <c r="J72"/>
  <c r="L72" s="1"/>
  <c r="H72"/>
  <c r="Y72" s="1"/>
  <c r="G72"/>
  <c r="Z72" s="1"/>
  <c r="B72"/>
  <c r="W71"/>
  <c r="X71" s="1"/>
  <c r="R71"/>
  <c r="Q71"/>
  <c r="N71"/>
  <c r="P71" s="1"/>
  <c r="J71"/>
  <c r="L71" s="1"/>
  <c r="H71"/>
  <c r="Y71" s="1"/>
  <c r="G71"/>
  <c r="Z71" s="1"/>
  <c r="B71"/>
  <c r="W70"/>
  <c r="X70" s="1"/>
  <c r="R70"/>
  <c r="Q70"/>
  <c r="N70"/>
  <c r="O70" s="1"/>
  <c r="J70"/>
  <c r="K70" s="1"/>
  <c r="H70"/>
  <c r="Y70" s="1"/>
  <c r="G70"/>
  <c r="Z70" s="1"/>
  <c r="B70"/>
  <c r="W69"/>
  <c r="X69" s="1"/>
  <c r="R69"/>
  <c r="V69" s="1"/>
  <c r="Q69"/>
  <c r="N69"/>
  <c r="O69" s="1"/>
  <c r="J69"/>
  <c r="K69" s="1"/>
  <c r="H69"/>
  <c r="Y69" s="1"/>
  <c r="G69"/>
  <c r="Z69" s="1"/>
  <c r="B69"/>
  <c r="W68"/>
  <c r="X68" s="1"/>
  <c r="R68"/>
  <c r="V68" s="1"/>
  <c r="Q68"/>
  <c r="N68"/>
  <c r="P68" s="1"/>
  <c r="J68"/>
  <c r="L68" s="1"/>
  <c r="H68"/>
  <c r="Y68" s="1"/>
  <c r="G68"/>
  <c r="Z68" s="1"/>
  <c r="B68"/>
  <c r="W67"/>
  <c r="X67" s="1"/>
  <c r="R67"/>
  <c r="Q67"/>
  <c r="N67"/>
  <c r="P67" s="1"/>
  <c r="J67"/>
  <c r="L67" s="1"/>
  <c r="H67"/>
  <c r="Y67" s="1"/>
  <c r="G67"/>
  <c r="Z67" s="1"/>
  <c r="B67"/>
  <c r="W66"/>
  <c r="X66" s="1"/>
  <c r="R66"/>
  <c r="Q66"/>
  <c r="N66"/>
  <c r="O66" s="1"/>
  <c r="J66"/>
  <c r="K66" s="1"/>
  <c r="H66"/>
  <c r="Y66" s="1"/>
  <c r="G66"/>
  <c r="Z66" s="1"/>
  <c r="B66"/>
  <c r="W65"/>
  <c r="X65" s="1"/>
  <c r="R65"/>
  <c r="V65" s="1"/>
  <c r="Q65"/>
  <c r="N65"/>
  <c r="O65" s="1"/>
  <c r="J65"/>
  <c r="K65" s="1"/>
  <c r="H65"/>
  <c r="Y65" s="1"/>
  <c r="G65"/>
  <c r="Z65" s="1"/>
  <c r="B65"/>
  <c r="W64"/>
  <c r="X64" s="1"/>
  <c r="R64"/>
  <c r="V64" s="1"/>
  <c r="Q64"/>
  <c r="N64"/>
  <c r="P64" s="1"/>
  <c r="J64"/>
  <c r="K64" s="1"/>
  <c r="H64"/>
  <c r="Y64" s="1"/>
  <c r="G64"/>
  <c r="Z64" s="1"/>
  <c r="B64"/>
  <c r="W63"/>
  <c r="X63" s="1"/>
  <c r="R63"/>
  <c r="Q63"/>
  <c r="P63"/>
  <c r="J63"/>
  <c r="L63" s="1"/>
  <c r="H63"/>
  <c r="Y63" s="1"/>
  <c r="G63"/>
  <c r="Z63" s="1"/>
  <c r="B63"/>
  <c r="W62"/>
  <c r="X62" s="1"/>
  <c r="R62"/>
  <c r="Q62"/>
  <c r="O62"/>
  <c r="J62"/>
  <c r="K62" s="1"/>
  <c r="H62"/>
  <c r="Y62" s="1"/>
  <c r="G62"/>
  <c r="Z62" s="1"/>
  <c r="B62"/>
  <c r="W61"/>
  <c r="X61" s="1"/>
  <c r="R61"/>
  <c r="V61" s="1"/>
  <c r="Q61"/>
  <c r="N61"/>
  <c r="O61" s="1"/>
  <c r="J61"/>
  <c r="K61" s="1"/>
  <c r="H61"/>
  <c r="Y61" s="1"/>
  <c r="G61"/>
  <c r="Z61" s="1"/>
  <c r="B61"/>
  <c r="W60"/>
  <c r="X60" s="1"/>
  <c r="R60"/>
  <c r="V60" s="1"/>
  <c r="Q60"/>
  <c r="N60"/>
  <c r="O60" s="1"/>
  <c r="J60"/>
  <c r="K60" s="1"/>
  <c r="H60"/>
  <c r="Y60" s="1"/>
  <c r="G60"/>
  <c r="Z60" s="1"/>
  <c r="B60"/>
  <c r="W59"/>
  <c r="X59" s="1"/>
  <c r="R59"/>
  <c r="Q59"/>
  <c r="N59"/>
  <c r="P59" s="1"/>
  <c r="J59"/>
  <c r="L59" s="1"/>
  <c r="H59"/>
  <c r="Y59" s="1"/>
  <c r="G59"/>
  <c r="Z59" s="1"/>
  <c r="B59"/>
  <c r="W58"/>
  <c r="X58" s="1"/>
  <c r="R58"/>
  <c r="Q58"/>
  <c r="N58"/>
  <c r="O58" s="1"/>
  <c r="J58"/>
  <c r="K58" s="1"/>
  <c r="H58"/>
  <c r="Y58" s="1"/>
  <c r="G58"/>
  <c r="Z58" s="1"/>
  <c r="B58"/>
  <c r="W57"/>
  <c r="X57" s="1"/>
  <c r="R57"/>
  <c r="V57" s="1"/>
  <c r="Q57"/>
  <c r="N57"/>
  <c r="O57" s="1"/>
  <c r="J57"/>
  <c r="K57" s="1"/>
  <c r="H57"/>
  <c r="Y57" s="1"/>
  <c r="G57"/>
  <c r="Z57" s="1"/>
  <c r="B57"/>
  <c r="W56"/>
  <c r="X56" s="1"/>
  <c r="R56"/>
  <c r="Q56"/>
  <c r="N56"/>
  <c r="O56" s="1"/>
  <c r="J56"/>
  <c r="L56" s="1"/>
  <c r="H56"/>
  <c r="Y56" s="1"/>
  <c r="G56"/>
  <c r="Z56" s="1"/>
  <c r="D265" i="18" s="1"/>
  <c r="F265" s="1"/>
  <c r="B56" i="25"/>
  <c r="W55"/>
  <c r="X55" s="1"/>
  <c r="R55"/>
  <c r="Q55"/>
  <c r="N55"/>
  <c r="P55" s="1"/>
  <c r="J55"/>
  <c r="L55" s="1"/>
  <c r="H55"/>
  <c r="Y55" s="1"/>
  <c r="G55"/>
  <c r="Z55" s="1"/>
  <c r="B55"/>
  <c r="W54"/>
  <c r="X54" s="1"/>
  <c r="R54"/>
  <c r="Q54"/>
  <c r="N54"/>
  <c r="O54" s="1"/>
  <c r="J54"/>
  <c r="K54" s="1"/>
  <c r="H54"/>
  <c r="Y54" s="1"/>
  <c r="G54"/>
  <c r="Z54" s="1"/>
  <c r="B54"/>
  <c r="W53"/>
  <c r="X53" s="1"/>
  <c r="R53"/>
  <c r="V53" s="1"/>
  <c r="Q53"/>
  <c r="N53"/>
  <c r="O53" s="1"/>
  <c r="J53"/>
  <c r="K53" s="1"/>
  <c r="H53"/>
  <c r="Y53" s="1"/>
  <c r="G53"/>
  <c r="Z53" s="1"/>
  <c r="D78" i="18" s="1"/>
  <c r="F78" s="1"/>
  <c r="B53" i="25"/>
  <c r="W52"/>
  <c r="X52" s="1"/>
  <c r="R52"/>
  <c r="V52" s="1"/>
  <c r="Q52"/>
  <c r="N52"/>
  <c r="P52" s="1"/>
  <c r="J52"/>
  <c r="L52" s="1"/>
  <c r="H52"/>
  <c r="Y52" s="1"/>
  <c r="G52"/>
  <c r="Z52" s="1"/>
  <c r="B52"/>
  <c r="W51"/>
  <c r="X51" s="1"/>
  <c r="R51"/>
  <c r="Q51"/>
  <c r="N51"/>
  <c r="P51" s="1"/>
  <c r="J51"/>
  <c r="L51" s="1"/>
  <c r="H51"/>
  <c r="Y51" s="1"/>
  <c r="G51"/>
  <c r="Z51" s="1"/>
  <c r="B51"/>
  <c r="W50"/>
  <c r="X50" s="1"/>
  <c r="R50"/>
  <c r="Q50"/>
  <c r="N50"/>
  <c r="O50" s="1"/>
  <c r="J50"/>
  <c r="K50" s="1"/>
  <c r="H50"/>
  <c r="Y50" s="1"/>
  <c r="G50"/>
  <c r="Z50" s="1"/>
  <c r="B50"/>
  <c r="W49"/>
  <c r="X49" s="1"/>
  <c r="R49"/>
  <c r="V49" s="1"/>
  <c r="Q49"/>
  <c r="N49"/>
  <c r="O49" s="1"/>
  <c r="J49"/>
  <c r="K49" s="1"/>
  <c r="H49"/>
  <c r="Y49" s="1"/>
  <c r="G49"/>
  <c r="Z49" s="1"/>
  <c r="B49"/>
  <c r="W48"/>
  <c r="X48" s="1"/>
  <c r="R48"/>
  <c r="V48" s="1"/>
  <c r="Q48"/>
  <c r="N48"/>
  <c r="P48" s="1"/>
  <c r="J48"/>
  <c r="K48" s="1"/>
  <c r="H48"/>
  <c r="Y48" s="1"/>
  <c r="G48"/>
  <c r="Z48" s="1"/>
  <c r="B48"/>
  <c r="W47"/>
  <c r="X47" s="1"/>
  <c r="R47"/>
  <c r="Q47"/>
  <c r="N47"/>
  <c r="P47" s="1"/>
  <c r="J47"/>
  <c r="L47" s="1"/>
  <c r="H47"/>
  <c r="Y47" s="1"/>
  <c r="G47"/>
  <c r="Z47" s="1"/>
  <c r="B47"/>
  <c r="W46"/>
  <c r="X46" s="1"/>
  <c r="R46"/>
  <c r="Q46"/>
  <c r="N46"/>
  <c r="O46" s="1"/>
  <c r="J46"/>
  <c r="K46" s="1"/>
  <c r="H46"/>
  <c r="Y46" s="1"/>
  <c r="G46"/>
  <c r="Z46" s="1"/>
  <c r="B46"/>
  <c r="W45"/>
  <c r="X45" s="1"/>
  <c r="R45"/>
  <c r="V45" s="1"/>
  <c r="Q45"/>
  <c r="N45"/>
  <c r="O45" s="1"/>
  <c r="J45"/>
  <c r="K45" s="1"/>
  <c r="H45"/>
  <c r="Y45" s="1"/>
  <c r="G45"/>
  <c r="Z45" s="1"/>
  <c r="B45"/>
  <c r="W44"/>
  <c r="X44" s="1"/>
  <c r="R44"/>
  <c r="V44" s="1"/>
  <c r="Q44"/>
  <c r="N44"/>
  <c r="O44" s="1"/>
  <c r="J44"/>
  <c r="K44" s="1"/>
  <c r="H44"/>
  <c r="Y44" s="1"/>
  <c r="G44"/>
  <c r="Z44" s="1"/>
  <c r="B44"/>
  <c r="W43"/>
  <c r="X43" s="1"/>
  <c r="R43"/>
  <c r="Q43"/>
  <c r="N43"/>
  <c r="P43" s="1"/>
  <c r="J43"/>
  <c r="L43" s="1"/>
  <c r="H43"/>
  <c r="Y43" s="1"/>
  <c r="G43"/>
  <c r="Z43" s="1"/>
  <c r="B43"/>
  <c r="W42"/>
  <c r="X42" s="1"/>
  <c r="R42"/>
  <c r="Q42"/>
  <c r="N42"/>
  <c r="O42" s="1"/>
  <c r="J42"/>
  <c r="K42" s="1"/>
  <c r="H42"/>
  <c r="Y42" s="1"/>
  <c r="G42"/>
  <c r="Z42" s="1"/>
  <c r="B42"/>
  <c r="W41"/>
  <c r="X41" s="1"/>
  <c r="R41"/>
  <c r="V41" s="1"/>
  <c r="Q41"/>
  <c r="N41"/>
  <c r="O41" s="1"/>
  <c r="J41"/>
  <c r="K41" s="1"/>
  <c r="H41"/>
  <c r="Y41" s="1"/>
  <c r="G41"/>
  <c r="Z41" s="1"/>
  <c r="B41"/>
  <c r="W40"/>
  <c r="X40" s="1"/>
  <c r="R40"/>
  <c r="V40" s="1"/>
  <c r="Q40"/>
  <c r="N40"/>
  <c r="O40" s="1"/>
  <c r="J40"/>
  <c r="L40" s="1"/>
  <c r="H40"/>
  <c r="Y40" s="1"/>
  <c r="G40"/>
  <c r="Z40" s="1"/>
  <c r="B40"/>
  <c r="W39"/>
  <c r="X39" s="1"/>
  <c r="R39"/>
  <c r="Q39"/>
  <c r="N39"/>
  <c r="P39" s="1"/>
  <c r="J39"/>
  <c r="L39" s="1"/>
  <c r="H39"/>
  <c r="Y39" s="1"/>
  <c r="G39"/>
  <c r="Z39" s="1"/>
  <c r="B39"/>
  <c r="W38"/>
  <c r="X38" s="1"/>
  <c r="R38"/>
  <c r="Q38"/>
  <c r="N38"/>
  <c r="O38" s="1"/>
  <c r="J38"/>
  <c r="K38" s="1"/>
  <c r="H38"/>
  <c r="Y38" s="1"/>
  <c r="G38"/>
  <c r="Z38" s="1"/>
  <c r="B38"/>
  <c r="W37"/>
  <c r="X37" s="1"/>
  <c r="R37"/>
  <c r="V37" s="1"/>
  <c r="Q37"/>
  <c r="N37"/>
  <c r="O37" s="1"/>
  <c r="J37"/>
  <c r="K37" s="1"/>
  <c r="H37"/>
  <c r="Y37" s="1"/>
  <c r="G37"/>
  <c r="Z37" s="1"/>
  <c r="B37"/>
  <c r="W36"/>
  <c r="X36" s="1"/>
  <c r="R36"/>
  <c r="V36" s="1"/>
  <c r="Q36"/>
  <c r="N36"/>
  <c r="P36" s="1"/>
  <c r="J36"/>
  <c r="L36" s="1"/>
  <c r="H36"/>
  <c r="Y36" s="1"/>
  <c r="G36"/>
  <c r="Z36" s="1"/>
  <c r="B36"/>
  <c r="W35"/>
  <c r="X35" s="1"/>
  <c r="R35"/>
  <c r="Q35"/>
  <c r="N35"/>
  <c r="P35" s="1"/>
  <c r="J35"/>
  <c r="L35" s="1"/>
  <c r="H35"/>
  <c r="Y35" s="1"/>
  <c r="G35"/>
  <c r="Z35" s="1"/>
  <c r="B35"/>
  <c r="W34"/>
  <c r="X34" s="1"/>
  <c r="R34"/>
  <c r="Q34"/>
  <c r="N34"/>
  <c r="O34" s="1"/>
  <c r="J34"/>
  <c r="K34" s="1"/>
  <c r="H34"/>
  <c r="Y34" s="1"/>
  <c r="G34"/>
  <c r="Z34" s="1"/>
  <c r="B34"/>
  <c r="W33"/>
  <c r="X33" s="1"/>
  <c r="R33"/>
  <c r="V33" s="1"/>
  <c r="Q33"/>
  <c r="N33"/>
  <c r="O33" s="1"/>
  <c r="J33"/>
  <c r="K33" s="1"/>
  <c r="H33"/>
  <c r="Y33" s="1"/>
  <c r="G33"/>
  <c r="Z33" s="1"/>
  <c r="B33"/>
  <c r="W32"/>
  <c r="X32" s="1"/>
  <c r="R32"/>
  <c r="V32" s="1"/>
  <c r="Q32"/>
  <c r="N32"/>
  <c r="P32" s="1"/>
  <c r="J32"/>
  <c r="K32" s="1"/>
  <c r="H32"/>
  <c r="Y32" s="1"/>
  <c r="G32"/>
  <c r="Z32" s="1"/>
  <c r="B32"/>
  <c r="W31"/>
  <c r="X31" s="1"/>
  <c r="R31"/>
  <c r="Q31"/>
  <c r="N31"/>
  <c r="P31" s="1"/>
  <c r="J31"/>
  <c r="L31" s="1"/>
  <c r="H31"/>
  <c r="Y31" s="1"/>
  <c r="G31"/>
  <c r="Z31" s="1"/>
  <c r="B31"/>
  <c r="W30"/>
  <c r="X30" s="1"/>
  <c r="R30"/>
  <c r="Q30"/>
  <c r="N30"/>
  <c r="O30" s="1"/>
  <c r="J30"/>
  <c r="K30" s="1"/>
  <c r="H30"/>
  <c r="Y30" s="1"/>
  <c r="G30"/>
  <c r="Z30" s="1"/>
  <c r="B30"/>
  <c r="W29"/>
  <c r="X29" s="1"/>
  <c r="R29"/>
  <c r="V29" s="1"/>
  <c r="Q29"/>
  <c r="N29"/>
  <c r="O29" s="1"/>
  <c r="J29"/>
  <c r="K29" s="1"/>
  <c r="H29"/>
  <c r="Y29" s="1"/>
  <c r="G29"/>
  <c r="Z29" s="1"/>
  <c r="B29"/>
  <c r="W28"/>
  <c r="X28" s="1"/>
  <c r="R28"/>
  <c r="V28" s="1"/>
  <c r="Q28"/>
  <c r="N28"/>
  <c r="O28" s="1"/>
  <c r="J28"/>
  <c r="K28" s="1"/>
  <c r="H28"/>
  <c r="Y28" s="1"/>
  <c r="G28"/>
  <c r="Z28" s="1"/>
  <c r="B28"/>
  <c r="W27"/>
  <c r="X27" s="1"/>
  <c r="R27"/>
  <c r="Q27"/>
  <c r="N27"/>
  <c r="P27" s="1"/>
  <c r="J27"/>
  <c r="L27" s="1"/>
  <c r="H27"/>
  <c r="Y27" s="1"/>
  <c r="G27"/>
  <c r="Z27" s="1"/>
  <c r="B27"/>
  <c r="W26"/>
  <c r="X26" s="1"/>
  <c r="R26"/>
  <c r="Q26"/>
  <c r="N26"/>
  <c r="O26" s="1"/>
  <c r="J26"/>
  <c r="K26" s="1"/>
  <c r="H26"/>
  <c r="Y26" s="1"/>
  <c r="G26"/>
  <c r="Z26" s="1"/>
  <c r="B26"/>
  <c r="W25"/>
  <c r="X25" s="1"/>
  <c r="R25"/>
  <c r="V25" s="1"/>
  <c r="Q25"/>
  <c r="N25"/>
  <c r="O25" s="1"/>
  <c r="J25"/>
  <c r="K25" s="1"/>
  <c r="H25"/>
  <c r="Y25" s="1"/>
  <c r="G25"/>
  <c r="Z25" s="1"/>
  <c r="B25"/>
  <c r="W24"/>
  <c r="X24" s="1"/>
  <c r="R24"/>
  <c r="V24" s="1"/>
  <c r="Q24"/>
  <c r="N24"/>
  <c r="O24" s="1"/>
  <c r="J24"/>
  <c r="L24" s="1"/>
  <c r="H24"/>
  <c r="Y24" s="1"/>
  <c r="G24"/>
  <c r="Z24" s="1"/>
  <c r="B24"/>
  <c r="W23"/>
  <c r="X23" s="1"/>
  <c r="R23"/>
  <c r="Q23"/>
  <c r="N23"/>
  <c r="P23" s="1"/>
  <c r="J23"/>
  <c r="L23" s="1"/>
  <c r="H23"/>
  <c r="Y23" s="1"/>
  <c r="G23"/>
  <c r="Z23" s="1"/>
  <c r="B23"/>
  <c r="W22"/>
  <c r="X22" s="1"/>
  <c r="R22"/>
  <c r="Q22"/>
  <c r="N22"/>
  <c r="O22" s="1"/>
  <c r="J22"/>
  <c r="K22" s="1"/>
  <c r="H22"/>
  <c r="Y22" s="1"/>
  <c r="G22"/>
  <c r="Z22" s="1"/>
  <c r="B22"/>
  <c r="W21"/>
  <c r="X21" s="1"/>
  <c r="R21"/>
  <c r="V21" s="1"/>
  <c r="Q21"/>
  <c r="N21"/>
  <c r="O21" s="1"/>
  <c r="J21"/>
  <c r="K21" s="1"/>
  <c r="H21"/>
  <c r="Y21" s="1"/>
  <c r="G21"/>
  <c r="Z21" s="1"/>
  <c r="B21"/>
  <c r="W20"/>
  <c r="X20" s="1"/>
  <c r="R20"/>
  <c r="V20" s="1"/>
  <c r="Q20"/>
  <c r="N20"/>
  <c r="P20" s="1"/>
  <c r="J20"/>
  <c r="L20" s="1"/>
  <c r="H20"/>
  <c r="Y20" s="1"/>
  <c r="G20"/>
  <c r="Z20" s="1"/>
  <c r="B20"/>
  <c r="W19"/>
  <c r="X19" s="1"/>
  <c r="R19"/>
  <c r="Q19"/>
  <c r="N19"/>
  <c r="P19" s="1"/>
  <c r="J19"/>
  <c r="L19" s="1"/>
  <c r="H19"/>
  <c r="Y19" s="1"/>
  <c r="G19"/>
  <c r="Z19" s="1"/>
  <c r="B19"/>
  <c r="W18"/>
  <c r="X18" s="1"/>
  <c r="R18"/>
  <c r="Q18"/>
  <c r="N18"/>
  <c r="O18" s="1"/>
  <c r="J18"/>
  <c r="K18" s="1"/>
  <c r="H18"/>
  <c r="Y18" s="1"/>
  <c r="G18"/>
  <c r="Z18" s="1"/>
  <c r="B18"/>
  <c r="W17"/>
  <c r="X17" s="1"/>
  <c r="R17"/>
  <c r="V17" s="1"/>
  <c r="Q17"/>
  <c r="N17"/>
  <c r="O17" s="1"/>
  <c r="J17"/>
  <c r="K17" s="1"/>
  <c r="H17"/>
  <c r="Y17" s="1"/>
  <c r="G17"/>
  <c r="Z17" s="1"/>
  <c r="B17"/>
  <c r="W16"/>
  <c r="X16" s="1"/>
  <c r="R16"/>
  <c r="V16" s="1"/>
  <c r="Q16"/>
  <c r="N16"/>
  <c r="P16" s="1"/>
  <c r="J16"/>
  <c r="K16" s="1"/>
  <c r="H16"/>
  <c r="Y16" s="1"/>
  <c r="G16"/>
  <c r="Z16" s="1"/>
  <c r="B16"/>
  <c r="W15"/>
  <c r="X15" s="1"/>
  <c r="R15"/>
  <c r="Q15"/>
  <c r="N15"/>
  <c r="P15" s="1"/>
  <c r="J15"/>
  <c r="L15" s="1"/>
  <c r="H15"/>
  <c r="Y15" s="1"/>
  <c r="G15"/>
  <c r="Z15" s="1"/>
  <c r="B15"/>
  <c r="W14"/>
  <c r="X14" s="1"/>
  <c r="R14"/>
  <c r="Q14"/>
  <c r="N14"/>
  <c r="O14" s="1"/>
  <c r="J14"/>
  <c r="K14" s="1"/>
  <c r="H14"/>
  <c r="Y14" s="1"/>
  <c r="G14"/>
  <c r="Z14" s="1"/>
  <c r="B14"/>
  <c r="W13"/>
  <c r="X13" s="1"/>
  <c r="R13"/>
  <c r="V13" s="1"/>
  <c r="Q13"/>
  <c r="N13"/>
  <c r="O13" s="1"/>
  <c r="J13"/>
  <c r="K13" s="1"/>
  <c r="H13"/>
  <c r="Y13" s="1"/>
  <c r="G13"/>
  <c r="Z13" s="1"/>
  <c r="B13"/>
  <c r="W12"/>
  <c r="X12" s="1"/>
  <c r="R12"/>
  <c r="V12" s="1"/>
  <c r="Q12"/>
  <c r="N12"/>
  <c r="O12" s="1"/>
  <c r="J12"/>
  <c r="K12" s="1"/>
  <c r="H12"/>
  <c r="Y12" s="1"/>
  <c r="G12"/>
  <c r="Z12" s="1"/>
  <c r="B12"/>
  <c r="W11"/>
  <c r="X11" s="1"/>
  <c r="R11"/>
  <c r="Q11"/>
  <c r="N11"/>
  <c r="P11" s="1"/>
  <c r="J11"/>
  <c r="L11" s="1"/>
  <c r="H11"/>
  <c r="Y11" s="1"/>
  <c r="G11"/>
  <c r="Z11" s="1"/>
  <c r="B11"/>
  <c r="W10"/>
  <c r="X10" s="1"/>
  <c r="R10"/>
  <c r="Q10"/>
  <c r="N10"/>
  <c r="O10" s="1"/>
  <c r="K10"/>
  <c r="H10"/>
  <c r="Y10" s="1"/>
  <c r="G10"/>
  <c r="Z10" s="1"/>
  <c r="B10"/>
  <c r="W9"/>
  <c r="X9" s="1"/>
  <c r="R9"/>
  <c r="Q9"/>
  <c r="N9"/>
  <c r="O9" s="1"/>
  <c r="J9"/>
  <c r="K9" s="1"/>
  <c r="Y9"/>
  <c r="G9"/>
  <c r="Z9" s="1"/>
  <c r="B9"/>
  <c r="W8"/>
  <c r="X8" s="1"/>
  <c r="R8"/>
  <c r="V8" s="1"/>
  <c r="Q8"/>
  <c r="N8"/>
  <c r="P8" s="1"/>
  <c r="J8"/>
  <c r="L8" s="1"/>
  <c r="Y8"/>
  <c r="G8"/>
  <c r="Z8" s="1"/>
  <c r="B8"/>
  <c r="W7"/>
  <c r="X7" s="1"/>
  <c r="R7"/>
  <c r="Q7"/>
  <c r="N7"/>
  <c r="P7" s="1"/>
  <c r="J7"/>
  <c r="L7" s="1"/>
  <c r="H7"/>
  <c r="Y7" s="1"/>
  <c r="G7"/>
  <c r="Z7" s="1"/>
  <c r="B7"/>
  <c r="W6"/>
  <c r="X6" s="1"/>
  <c r="R6"/>
  <c r="Q6"/>
  <c r="N6"/>
  <c r="O6" s="1"/>
  <c r="J6"/>
  <c r="K6" s="1"/>
  <c r="H6"/>
  <c r="Y6" s="1"/>
  <c r="G6"/>
  <c r="Z6" s="1"/>
  <c r="B6"/>
  <c r="W5"/>
  <c r="X5" s="1"/>
  <c r="R5"/>
  <c r="V5" s="1"/>
  <c r="Q5"/>
  <c r="N5"/>
  <c r="O5" s="1"/>
  <c r="J5"/>
  <c r="K5" s="1"/>
  <c r="H5"/>
  <c r="Y5" s="1"/>
  <c r="G5"/>
  <c r="Z5" s="1"/>
  <c r="B5"/>
  <c r="W4"/>
  <c r="X4" s="1"/>
  <c r="R4"/>
  <c r="V4" s="1"/>
  <c r="Q4"/>
  <c r="N4"/>
  <c r="P4" s="1"/>
  <c r="J4"/>
  <c r="K4" s="1"/>
  <c r="H4"/>
  <c r="Y4" s="1"/>
  <c r="G4"/>
  <c r="Z4" s="1"/>
  <c r="B4"/>
  <c r="W3"/>
  <c r="X3" s="1"/>
  <c r="R3"/>
  <c r="Q3"/>
  <c r="N3"/>
  <c r="P3" s="1"/>
  <c r="J3"/>
  <c r="L3" s="1"/>
  <c r="H3"/>
  <c r="Y3" s="1"/>
  <c r="G3"/>
  <c r="Z3" s="1"/>
  <c r="B3"/>
  <c r="W2"/>
  <c r="X2" s="1"/>
  <c r="R2"/>
  <c r="Q2"/>
  <c r="N2"/>
  <c r="O2" s="1"/>
  <c r="J2"/>
  <c r="K2" s="1"/>
  <c r="H2"/>
  <c r="Y2" s="1"/>
  <c r="G2"/>
  <c r="Z2" s="1"/>
  <c r="B2"/>
  <c r="W571" i="24"/>
  <c r="X571" s="1"/>
  <c r="S571"/>
  <c r="O571"/>
  <c r="Y571"/>
  <c r="Z571"/>
  <c r="W570"/>
  <c r="X570" s="1"/>
  <c r="V570"/>
  <c r="O570"/>
  <c r="Y570"/>
  <c r="Z570"/>
  <c r="W569"/>
  <c r="X569" s="1"/>
  <c r="V569"/>
  <c r="O569"/>
  <c r="Y569"/>
  <c r="Z569"/>
  <c r="W568"/>
  <c r="X568" s="1"/>
  <c r="V568"/>
  <c r="P568"/>
  <c r="Y568"/>
  <c r="Z568"/>
  <c r="W567"/>
  <c r="X567" s="1"/>
  <c r="O567"/>
  <c r="Y567"/>
  <c r="Z567"/>
  <c r="W566"/>
  <c r="X566" s="1"/>
  <c r="V566"/>
  <c r="O566"/>
  <c r="Y566"/>
  <c r="Z566"/>
  <c r="Y565"/>
  <c r="W565"/>
  <c r="X565" s="1"/>
  <c r="V565"/>
  <c r="O565"/>
  <c r="Z565"/>
  <c r="W564"/>
  <c r="X564" s="1"/>
  <c r="V564"/>
  <c r="P564"/>
  <c r="Y564"/>
  <c r="Z564"/>
  <c r="W563"/>
  <c r="X563" s="1"/>
  <c r="S563"/>
  <c r="O563"/>
  <c r="Y563"/>
  <c r="Z563"/>
  <c r="W562"/>
  <c r="X562" s="1"/>
  <c r="S562"/>
  <c r="O562"/>
  <c r="Y562"/>
  <c r="Z562"/>
  <c r="W561"/>
  <c r="X561" s="1"/>
  <c r="O561"/>
  <c r="Y561"/>
  <c r="Z561"/>
  <c r="W560"/>
  <c r="X560" s="1"/>
  <c r="P560"/>
  <c r="Y560"/>
  <c r="Z560"/>
  <c r="Z559"/>
  <c r="W559"/>
  <c r="X559" s="1"/>
  <c r="S559"/>
  <c r="O559"/>
  <c r="Y559"/>
  <c r="W558"/>
  <c r="X558" s="1"/>
  <c r="V558"/>
  <c r="O558"/>
  <c r="Y558"/>
  <c r="Z558"/>
  <c r="Y557"/>
  <c r="W557"/>
  <c r="X557" s="1"/>
  <c r="V557"/>
  <c r="P557"/>
  <c r="Z557"/>
  <c r="W556"/>
  <c r="X556" s="1"/>
  <c r="P556"/>
  <c r="Y556"/>
  <c r="Z556"/>
  <c r="Z555"/>
  <c r="W555"/>
  <c r="X555" s="1"/>
  <c r="S555"/>
  <c r="O555"/>
  <c r="Y555"/>
  <c r="W554"/>
  <c r="X554" s="1"/>
  <c r="V554"/>
  <c r="O554"/>
  <c r="Y554"/>
  <c r="Z554"/>
  <c r="Y553"/>
  <c r="W553"/>
  <c r="X553" s="1"/>
  <c r="V553"/>
  <c r="P553"/>
  <c r="Z553"/>
  <c r="W552"/>
  <c r="X552" s="1"/>
  <c r="P552"/>
  <c r="Y552"/>
  <c r="Z552"/>
  <c r="Z551"/>
  <c r="W551"/>
  <c r="X551" s="1"/>
  <c r="S551"/>
  <c r="O551"/>
  <c r="Y551"/>
  <c r="W550"/>
  <c r="X550" s="1"/>
  <c r="V550"/>
  <c r="O550"/>
  <c r="Y550"/>
  <c r="Z550"/>
  <c r="Y549"/>
  <c r="W549"/>
  <c r="X549" s="1"/>
  <c r="V549"/>
  <c r="P549"/>
  <c r="Z549"/>
  <c r="W548"/>
  <c r="X548" s="1"/>
  <c r="P548"/>
  <c r="Y548"/>
  <c r="Z548"/>
  <c r="Z547"/>
  <c r="W547"/>
  <c r="X547" s="1"/>
  <c r="S547"/>
  <c r="O547"/>
  <c r="Y547"/>
  <c r="W546"/>
  <c r="X546" s="1"/>
  <c r="V546"/>
  <c r="O546"/>
  <c r="Y546"/>
  <c r="Z546"/>
  <c r="Y545"/>
  <c r="W545"/>
  <c r="X545" s="1"/>
  <c r="V545"/>
  <c r="P545"/>
  <c r="Z545"/>
  <c r="W544"/>
  <c r="X544" s="1"/>
  <c r="P544"/>
  <c r="Y544"/>
  <c r="Z544"/>
  <c r="Z543"/>
  <c r="W543"/>
  <c r="X543" s="1"/>
  <c r="S543"/>
  <c r="O543"/>
  <c r="Y543"/>
  <c r="W542"/>
  <c r="X542" s="1"/>
  <c r="V542"/>
  <c r="O542"/>
  <c r="Y542"/>
  <c r="Z542"/>
  <c r="Y541"/>
  <c r="W541"/>
  <c r="X541" s="1"/>
  <c r="V541"/>
  <c r="P541"/>
  <c r="Z541"/>
  <c r="Y540"/>
  <c r="W540"/>
  <c r="X540" s="1"/>
  <c r="P540"/>
  <c r="Z540"/>
  <c r="W539"/>
  <c r="X539" s="1"/>
  <c r="O539"/>
  <c r="Y539"/>
  <c r="Z539"/>
  <c r="Z538"/>
  <c r="W538"/>
  <c r="X538" s="1"/>
  <c r="V538"/>
  <c r="O538"/>
  <c r="Y538"/>
  <c r="W537"/>
  <c r="X537" s="1"/>
  <c r="V537"/>
  <c r="O537"/>
  <c r="Y537"/>
  <c r="Z537"/>
  <c r="W536"/>
  <c r="X536" s="1"/>
  <c r="P536"/>
  <c r="Y536"/>
  <c r="Z536"/>
  <c r="Z535"/>
  <c r="W535"/>
  <c r="X535" s="1"/>
  <c r="S535"/>
  <c r="O535"/>
  <c r="Y535"/>
  <c r="W534"/>
  <c r="X534" s="1"/>
  <c r="V534"/>
  <c r="O534"/>
  <c r="Y534"/>
  <c r="Z534"/>
  <c r="Y533"/>
  <c r="W533"/>
  <c r="X533" s="1"/>
  <c r="V533"/>
  <c r="P533"/>
  <c r="Z533"/>
  <c r="W532"/>
  <c r="X532" s="1"/>
  <c r="P532"/>
  <c r="Y532"/>
  <c r="Z532"/>
  <c r="W531"/>
  <c r="X531" s="1"/>
  <c r="O531"/>
  <c r="Y531"/>
  <c r="Z531"/>
  <c r="Z530"/>
  <c r="W530"/>
  <c r="X530" s="1"/>
  <c r="V530"/>
  <c r="O530"/>
  <c r="Y530"/>
  <c r="W529"/>
  <c r="X529" s="1"/>
  <c r="V529"/>
  <c r="O529"/>
  <c r="Y529"/>
  <c r="Z529"/>
  <c r="W528"/>
  <c r="X528" s="1"/>
  <c r="P528"/>
  <c r="Y528"/>
  <c r="Z528"/>
  <c r="Z527"/>
  <c r="W527"/>
  <c r="X527" s="1"/>
  <c r="S527"/>
  <c r="O527"/>
  <c r="Y527"/>
  <c r="W526"/>
  <c r="X526" s="1"/>
  <c r="V526"/>
  <c r="O526"/>
  <c r="Y526"/>
  <c r="Z526"/>
  <c r="Y525"/>
  <c r="W525"/>
  <c r="X525" s="1"/>
  <c r="V525"/>
  <c r="P525"/>
  <c r="Z525"/>
  <c r="Y524"/>
  <c r="W524"/>
  <c r="X524" s="1"/>
  <c r="P524"/>
  <c r="Z524"/>
  <c r="W523"/>
  <c r="X523" s="1"/>
  <c r="O523"/>
  <c r="Y523"/>
  <c r="Z523"/>
  <c r="Z522"/>
  <c r="W522"/>
  <c r="X522" s="1"/>
  <c r="V522"/>
  <c r="O522"/>
  <c r="Y522"/>
  <c r="W521"/>
  <c r="X521" s="1"/>
  <c r="V521"/>
  <c r="O521"/>
  <c r="Y521"/>
  <c r="Z521"/>
  <c r="W520"/>
  <c r="X520" s="1"/>
  <c r="P520"/>
  <c r="Y520"/>
  <c r="Z520"/>
  <c r="Z519"/>
  <c r="W519"/>
  <c r="X519" s="1"/>
  <c r="S519"/>
  <c r="O519"/>
  <c r="Y519"/>
  <c r="W518"/>
  <c r="X518" s="1"/>
  <c r="V518"/>
  <c r="O518"/>
  <c r="Y518"/>
  <c r="Z518"/>
  <c r="Y517"/>
  <c r="W517"/>
  <c r="X517" s="1"/>
  <c r="V517"/>
  <c r="O517"/>
  <c r="Z517"/>
  <c r="W516"/>
  <c r="X516" s="1"/>
  <c r="P516"/>
  <c r="Y516"/>
  <c r="Z516"/>
  <c r="W515"/>
  <c r="X515" s="1"/>
  <c r="O515"/>
  <c r="Y515"/>
  <c r="Z515"/>
  <c r="Z514"/>
  <c r="W514"/>
  <c r="X514" s="1"/>
  <c r="V514"/>
  <c r="O514"/>
  <c r="Y514"/>
  <c r="W513"/>
  <c r="X513" s="1"/>
  <c r="O513"/>
  <c r="Y513"/>
  <c r="Z513"/>
  <c r="Y512"/>
  <c r="W512"/>
  <c r="X512" s="1"/>
  <c r="P512"/>
  <c r="Z512"/>
  <c r="Z511"/>
  <c r="W511"/>
  <c r="X511" s="1"/>
  <c r="S511"/>
  <c r="O511"/>
  <c r="Y511"/>
  <c r="W510"/>
  <c r="X510" s="1"/>
  <c r="V510"/>
  <c r="O510"/>
  <c r="Y510"/>
  <c r="Z510"/>
  <c r="Y509"/>
  <c r="W509"/>
  <c r="X509" s="1"/>
  <c r="V509"/>
  <c r="P509"/>
  <c r="Z509"/>
  <c r="Y508"/>
  <c r="W508"/>
  <c r="X508" s="1"/>
  <c r="P508"/>
  <c r="Z508"/>
  <c r="W507"/>
  <c r="X507" s="1"/>
  <c r="Y507"/>
  <c r="Z507"/>
  <c r="W506"/>
  <c r="X506" s="1"/>
  <c r="V506"/>
  <c r="O506"/>
  <c r="Y506"/>
  <c r="Z506"/>
  <c r="Y505"/>
  <c r="W505"/>
  <c r="X505" s="1"/>
  <c r="V505"/>
  <c r="O505"/>
  <c r="W504"/>
  <c r="X504" s="1"/>
  <c r="P504"/>
  <c r="Y504"/>
  <c r="Z504"/>
  <c r="W503"/>
  <c r="X503" s="1"/>
  <c r="Y503"/>
  <c r="Z503"/>
  <c r="W502"/>
  <c r="X502" s="1"/>
  <c r="V502"/>
  <c r="O502"/>
  <c r="Y502"/>
  <c r="Z502"/>
  <c r="W501"/>
  <c r="X501" s="1"/>
  <c r="S501"/>
  <c r="P501"/>
  <c r="Y501"/>
  <c r="Z501"/>
  <c r="Y500"/>
  <c r="W500"/>
  <c r="X500" s="1"/>
  <c r="P500"/>
  <c r="Z500"/>
  <c r="Z499"/>
  <c r="W499"/>
  <c r="X499" s="1"/>
  <c r="S499"/>
  <c r="Y499"/>
  <c r="W498"/>
  <c r="X498" s="1"/>
  <c r="V498"/>
  <c r="O498"/>
  <c r="Y498"/>
  <c r="Z498"/>
  <c r="Y497"/>
  <c r="W497"/>
  <c r="X497" s="1"/>
  <c r="V497"/>
  <c r="O497"/>
  <c r="Z497"/>
  <c r="W496"/>
  <c r="X496" s="1"/>
  <c r="P496"/>
  <c r="Y496"/>
  <c r="Z496"/>
  <c r="W495"/>
  <c r="X495" s="1"/>
  <c r="Y495"/>
  <c r="Z495"/>
  <c r="W494"/>
  <c r="X494" s="1"/>
  <c r="V494"/>
  <c r="O494"/>
  <c r="Y494"/>
  <c r="Z494"/>
  <c r="W493"/>
  <c r="X493" s="1"/>
  <c r="S493"/>
  <c r="O493"/>
  <c r="Y493"/>
  <c r="Z493"/>
  <c r="W492"/>
  <c r="X492" s="1"/>
  <c r="S492"/>
  <c r="P492"/>
  <c r="Y492"/>
  <c r="Z492"/>
  <c r="W491"/>
  <c r="X491" s="1"/>
  <c r="Y491"/>
  <c r="Z491"/>
  <c r="W490"/>
  <c r="X490" s="1"/>
  <c r="V490"/>
  <c r="O490"/>
  <c r="Y490"/>
  <c r="Z490"/>
  <c r="Y489"/>
  <c r="W489"/>
  <c r="X489" s="1"/>
  <c r="V489"/>
  <c r="O489"/>
  <c r="Z489"/>
  <c r="W488"/>
  <c r="X488" s="1"/>
  <c r="P488"/>
  <c r="Y488"/>
  <c r="Z488"/>
  <c r="W487"/>
  <c r="X487" s="1"/>
  <c r="Y487"/>
  <c r="Z487"/>
  <c r="W486"/>
  <c r="X486" s="1"/>
  <c r="V486"/>
  <c r="O486"/>
  <c r="Y486"/>
  <c r="Z486"/>
  <c r="W485"/>
  <c r="X485" s="1"/>
  <c r="S485"/>
  <c r="O485"/>
  <c r="Y485"/>
  <c r="Z485"/>
  <c r="W484"/>
  <c r="X484" s="1"/>
  <c r="P484"/>
  <c r="Y484"/>
  <c r="Z484"/>
  <c r="Z483"/>
  <c r="W483"/>
  <c r="X483" s="1"/>
  <c r="S483"/>
  <c r="Y483"/>
  <c r="W482"/>
  <c r="X482" s="1"/>
  <c r="V482"/>
  <c r="O482"/>
  <c r="Y482"/>
  <c r="Z482"/>
  <c r="W481"/>
  <c r="X481" s="1"/>
  <c r="V481"/>
  <c r="O481"/>
  <c r="Y481"/>
  <c r="W480"/>
  <c r="X480" s="1"/>
  <c r="V480"/>
  <c r="P480"/>
  <c r="Y480"/>
  <c r="Z480"/>
  <c r="W479"/>
  <c r="X479" s="1"/>
  <c r="V479"/>
  <c r="P479"/>
  <c r="Y479"/>
  <c r="Z479"/>
  <c r="W478"/>
  <c r="X478" s="1"/>
  <c r="V478"/>
  <c r="O478"/>
  <c r="Y478"/>
  <c r="Z478"/>
  <c r="W477"/>
  <c r="X477" s="1"/>
  <c r="V477"/>
  <c r="O477"/>
  <c r="Y477"/>
  <c r="Z477"/>
  <c r="W476"/>
  <c r="X476" s="1"/>
  <c r="V476"/>
  <c r="P476"/>
  <c r="Y476"/>
  <c r="Z476"/>
  <c r="Y475"/>
  <c r="W475"/>
  <c r="X475" s="1"/>
  <c r="V475"/>
  <c r="P475"/>
  <c r="Y474"/>
  <c r="W474"/>
  <c r="X474" s="1"/>
  <c r="V474"/>
  <c r="P474"/>
  <c r="Z474"/>
  <c r="Z473"/>
  <c r="W473"/>
  <c r="X473" s="1"/>
  <c r="V473"/>
  <c r="O473"/>
  <c r="Y473"/>
  <c r="W472"/>
  <c r="X472" s="1"/>
  <c r="S472"/>
  <c r="P472"/>
  <c r="Y472"/>
  <c r="Z472"/>
  <c r="W471"/>
  <c r="X471" s="1"/>
  <c r="V471"/>
  <c r="O471"/>
  <c r="Y471"/>
  <c r="W470"/>
  <c r="X470" s="1"/>
  <c r="V470"/>
  <c r="O470"/>
  <c r="Y470"/>
  <c r="Z470"/>
  <c r="W469"/>
  <c r="X469" s="1"/>
  <c r="V469"/>
  <c r="O469"/>
  <c r="Y469"/>
  <c r="Z469"/>
  <c r="W468"/>
  <c r="X468" s="1"/>
  <c r="V468"/>
  <c r="P468"/>
  <c r="Y468"/>
  <c r="Z468"/>
  <c r="Y467"/>
  <c r="W467"/>
  <c r="X467" s="1"/>
  <c r="V467"/>
  <c r="O467"/>
  <c r="Y466"/>
  <c r="W466"/>
  <c r="X466" s="1"/>
  <c r="V466"/>
  <c r="P466"/>
  <c r="Z466"/>
  <c r="Z465"/>
  <c r="W465"/>
  <c r="X465" s="1"/>
  <c r="V465"/>
  <c r="O465"/>
  <c r="Y465"/>
  <c r="W464"/>
  <c r="X464" s="1"/>
  <c r="S464"/>
  <c r="P464"/>
  <c r="Y464"/>
  <c r="Z464"/>
  <c r="W463"/>
  <c r="X463" s="1"/>
  <c r="O463"/>
  <c r="Y463"/>
  <c r="W462"/>
  <c r="X462" s="1"/>
  <c r="V462"/>
  <c r="O462"/>
  <c r="Y462"/>
  <c r="Z462"/>
  <c r="W461"/>
  <c r="X461" s="1"/>
  <c r="V461"/>
  <c r="O461"/>
  <c r="Y461"/>
  <c r="Z461"/>
  <c r="W460"/>
  <c r="X460" s="1"/>
  <c r="V460"/>
  <c r="P460"/>
  <c r="Y460"/>
  <c r="Z460"/>
  <c r="Y459"/>
  <c r="W459"/>
  <c r="X459" s="1"/>
  <c r="V459"/>
  <c r="P459"/>
  <c r="Y458"/>
  <c r="W458"/>
  <c r="X458" s="1"/>
  <c r="V458"/>
  <c r="P458"/>
  <c r="Z458"/>
  <c r="Z457"/>
  <c r="W457"/>
  <c r="X457" s="1"/>
  <c r="V457"/>
  <c r="O457"/>
  <c r="Y457"/>
  <c r="W456"/>
  <c r="X456" s="1"/>
  <c r="S456"/>
  <c r="P456"/>
  <c r="Y456"/>
  <c r="Z456"/>
  <c r="W455"/>
  <c r="X455" s="1"/>
  <c r="V455"/>
  <c r="O455"/>
  <c r="Y455"/>
  <c r="W454"/>
  <c r="X454" s="1"/>
  <c r="V454"/>
  <c r="O454"/>
  <c r="Y454"/>
  <c r="Z454"/>
  <c r="W453"/>
  <c r="X453" s="1"/>
  <c r="V453"/>
  <c r="O453"/>
  <c r="Y453"/>
  <c r="Z453"/>
  <c r="W452"/>
  <c r="X452" s="1"/>
  <c r="V452"/>
  <c r="P452"/>
  <c r="Y452"/>
  <c r="Z452"/>
  <c r="Y451"/>
  <c r="W451"/>
  <c r="X451" s="1"/>
  <c r="V451"/>
  <c r="O451"/>
  <c r="Y450"/>
  <c r="W450"/>
  <c r="X450" s="1"/>
  <c r="V450"/>
  <c r="O450"/>
  <c r="Z450"/>
  <c r="Z449"/>
  <c r="W449"/>
  <c r="X449" s="1"/>
  <c r="V449"/>
  <c r="O449"/>
  <c r="Y449"/>
  <c r="W448"/>
  <c r="X448" s="1"/>
  <c r="S448"/>
  <c r="P448"/>
  <c r="Y448"/>
  <c r="Z448"/>
  <c r="W447"/>
  <c r="X447" s="1"/>
  <c r="O447"/>
  <c r="Y447"/>
  <c r="W446"/>
  <c r="X446" s="1"/>
  <c r="V446"/>
  <c r="O446"/>
  <c r="Y446"/>
  <c r="Z446"/>
  <c r="W445"/>
  <c r="X445" s="1"/>
  <c r="V445"/>
  <c r="O445"/>
  <c r="Y445"/>
  <c r="Z445"/>
  <c r="W444"/>
  <c r="X444" s="1"/>
  <c r="V444"/>
  <c r="P444"/>
  <c r="Y444"/>
  <c r="Z444"/>
  <c r="Y443"/>
  <c r="W443"/>
  <c r="X443" s="1"/>
  <c r="V443"/>
  <c r="P443"/>
  <c r="Y442"/>
  <c r="W442"/>
  <c r="X442" s="1"/>
  <c r="V442"/>
  <c r="P442"/>
  <c r="Z442"/>
  <c r="Z441"/>
  <c r="W441"/>
  <c r="X441" s="1"/>
  <c r="V441"/>
  <c r="O441"/>
  <c r="Y441"/>
  <c r="W440"/>
  <c r="X440" s="1"/>
  <c r="S440"/>
  <c r="P440"/>
  <c r="Y440"/>
  <c r="Z440"/>
  <c r="W439"/>
  <c r="X439" s="1"/>
  <c r="V439"/>
  <c r="O439"/>
  <c r="Y439"/>
  <c r="W438"/>
  <c r="X438" s="1"/>
  <c r="V438"/>
  <c r="O438"/>
  <c r="Y438"/>
  <c r="Z438"/>
  <c r="W437"/>
  <c r="X437" s="1"/>
  <c r="V437"/>
  <c r="O437"/>
  <c r="Y437"/>
  <c r="Z437"/>
  <c r="W436"/>
  <c r="X436" s="1"/>
  <c r="V436"/>
  <c r="P436"/>
  <c r="Y436"/>
  <c r="Z436"/>
  <c r="Y435"/>
  <c r="W435"/>
  <c r="X435" s="1"/>
  <c r="S435"/>
  <c r="P435"/>
  <c r="Y434"/>
  <c r="W434"/>
  <c r="X434" s="1"/>
  <c r="V434"/>
  <c r="P434"/>
  <c r="Z434"/>
  <c r="Z433"/>
  <c r="W433"/>
  <c r="X433" s="1"/>
  <c r="V433"/>
  <c r="O433"/>
  <c r="Y433"/>
  <c r="W432"/>
  <c r="X432" s="1"/>
  <c r="S432"/>
  <c r="P432"/>
  <c r="Y432"/>
  <c r="Z432"/>
  <c r="W431"/>
  <c r="X431" s="1"/>
  <c r="V431"/>
  <c r="O431"/>
  <c r="Y431"/>
  <c r="W430"/>
  <c r="X430" s="1"/>
  <c r="V430"/>
  <c r="O430"/>
  <c r="Y430"/>
  <c r="Z430"/>
  <c r="W429"/>
  <c r="X429" s="1"/>
  <c r="V429"/>
  <c r="O429"/>
  <c r="Y429"/>
  <c r="Z429"/>
  <c r="W428"/>
  <c r="X428" s="1"/>
  <c r="V428"/>
  <c r="P428"/>
  <c r="Y428"/>
  <c r="Z428"/>
  <c r="Y427"/>
  <c r="W427"/>
  <c r="X427" s="1"/>
  <c r="V427"/>
  <c r="P427"/>
  <c r="Y426"/>
  <c r="W426"/>
  <c r="X426" s="1"/>
  <c r="V426"/>
  <c r="P426"/>
  <c r="Z426"/>
  <c r="Z425"/>
  <c r="W425"/>
  <c r="X425" s="1"/>
  <c r="Y425"/>
  <c r="W424"/>
  <c r="X424" s="1"/>
  <c r="S424"/>
  <c r="P424"/>
  <c r="Y424"/>
  <c r="Z424"/>
  <c r="Y423"/>
  <c r="W423"/>
  <c r="X423" s="1"/>
  <c r="V423"/>
  <c r="P423"/>
  <c r="Y422"/>
  <c r="W422"/>
  <c r="X422" s="1"/>
  <c r="V422"/>
  <c r="P422"/>
  <c r="Z422"/>
  <c r="Z421"/>
  <c r="W421"/>
  <c r="X421" s="1"/>
  <c r="Y421"/>
  <c r="W420"/>
  <c r="X420" s="1"/>
  <c r="P420"/>
  <c r="Y420"/>
  <c r="Z420"/>
  <c r="Y419"/>
  <c r="W419"/>
  <c r="X419" s="1"/>
  <c r="V419"/>
  <c r="P419"/>
  <c r="Y418"/>
  <c r="W418"/>
  <c r="X418" s="1"/>
  <c r="V418"/>
  <c r="P418"/>
  <c r="Z418"/>
  <c r="Z417"/>
  <c r="W417"/>
  <c r="X417" s="1"/>
  <c r="Y417"/>
  <c r="W416"/>
  <c r="X416" s="1"/>
  <c r="P416"/>
  <c r="Y416"/>
  <c r="Z416"/>
  <c r="Y415"/>
  <c r="W415"/>
  <c r="X415" s="1"/>
  <c r="V415"/>
  <c r="P415"/>
  <c r="Y414"/>
  <c r="W414"/>
  <c r="X414" s="1"/>
  <c r="V414"/>
  <c r="P414"/>
  <c r="Z414"/>
  <c r="Z413"/>
  <c r="W413"/>
  <c r="X413" s="1"/>
  <c r="Y413"/>
  <c r="W412"/>
  <c r="X412" s="1"/>
  <c r="P412"/>
  <c r="Y412"/>
  <c r="Z412"/>
  <c r="W411"/>
  <c r="X411" s="1"/>
  <c r="V411"/>
  <c r="O411"/>
  <c r="Y411"/>
  <c r="W410"/>
  <c r="X410" s="1"/>
  <c r="V410"/>
  <c r="P410"/>
  <c r="Y410"/>
  <c r="Z410"/>
  <c r="W409"/>
  <c r="X409" s="1"/>
  <c r="V409"/>
  <c r="P409"/>
  <c r="Y409"/>
  <c r="Z409"/>
  <c r="Z408"/>
  <c r="W408"/>
  <c r="X408" s="1"/>
  <c r="S408"/>
  <c r="Y408"/>
  <c r="W407"/>
  <c r="X407" s="1"/>
  <c r="V407"/>
  <c r="O407"/>
  <c r="Y407"/>
  <c r="W406"/>
  <c r="X406" s="1"/>
  <c r="O406"/>
  <c r="Y406"/>
  <c r="Z406"/>
  <c r="W405"/>
  <c r="X405" s="1"/>
  <c r="S405"/>
  <c r="P405"/>
  <c r="Y405"/>
  <c r="Z405"/>
  <c r="W404"/>
  <c r="X404" s="1"/>
  <c r="V404"/>
  <c r="O404"/>
  <c r="Y404"/>
  <c r="Z404"/>
  <c r="W403"/>
  <c r="X403" s="1"/>
  <c r="V403"/>
  <c r="O403"/>
  <c r="Y403"/>
  <c r="W402"/>
  <c r="X402" s="1"/>
  <c r="V402"/>
  <c r="P402"/>
  <c r="Y402"/>
  <c r="Z402"/>
  <c r="Z401"/>
  <c r="W401"/>
  <c r="X401" s="1"/>
  <c r="V401"/>
  <c r="P401"/>
  <c r="Y401"/>
  <c r="Z400"/>
  <c r="W400"/>
  <c r="X400" s="1"/>
  <c r="V400"/>
  <c r="Y400"/>
  <c r="Z399"/>
  <c r="W399"/>
  <c r="X399" s="1"/>
  <c r="V399"/>
  <c r="P399"/>
  <c r="Y399"/>
  <c r="Y398"/>
  <c r="W398"/>
  <c r="X398" s="1"/>
  <c r="V398"/>
  <c r="O398"/>
  <c r="Z398"/>
  <c r="Z397"/>
  <c r="W397"/>
  <c r="X397" s="1"/>
  <c r="P397"/>
  <c r="Y397"/>
  <c r="W396"/>
  <c r="X396" s="1"/>
  <c r="V396"/>
  <c r="O396"/>
  <c r="Y396"/>
  <c r="Z396"/>
  <c r="W395"/>
  <c r="X395" s="1"/>
  <c r="V395"/>
  <c r="P395"/>
  <c r="Y395"/>
  <c r="W394"/>
  <c r="X394" s="1"/>
  <c r="V394"/>
  <c r="O394"/>
  <c r="Y394"/>
  <c r="Z394"/>
  <c r="W393"/>
  <c r="X393" s="1"/>
  <c r="P393"/>
  <c r="Y393"/>
  <c r="Z393"/>
  <c r="Y392"/>
  <c r="W392"/>
  <c r="X392" s="1"/>
  <c r="V392"/>
  <c r="O392"/>
  <c r="Z392"/>
  <c r="W391"/>
  <c r="X391" s="1"/>
  <c r="V391"/>
  <c r="O391"/>
  <c r="Y391"/>
  <c r="Z391"/>
  <c r="W390"/>
  <c r="X390" s="1"/>
  <c r="V390"/>
  <c r="P390"/>
  <c r="Y390"/>
  <c r="Z390"/>
  <c r="W389"/>
  <c r="X389" s="1"/>
  <c r="P389"/>
  <c r="Y389"/>
  <c r="Z389"/>
  <c r="Z388"/>
  <c r="W388"/>
  <c r="X388" s="1"/>
  <c r="V388"/>
  <c r="O388"/>
  <c r="Y388"/>
  <c r="W387"/>
  <c r="X387" s="1"/>
  <c r="V387"/>
  <c r="O387"/>
  <c r="Y387"/>
  <c r="Z387"/>
  <c r="Y386"/>
  <c r="W386"/>
  <c r="X386" s="1"/>
  <c r="S386"/>
  <c r="O386"/>
  <c r="W385"/>
  <c r="X385" s="1"/>
  <c r="P385"/>
  <c r="Y385"/>
  <c r="Z385"/>
  <c r="Z384"/>
  <c r="W384"/>
  <c r="X384" s="1"/>
  <c r="V384"/>
  <c r="O384"/>
  <c r="Y384"/>
  <c r="W383"/>
  <c r="X383" s="1"/>
  <c r="V383"/>
  <c r="O383"/>
  <c r="Y383"/>
  <c r="Z383"/>
  <c r="Y382"/>
  <c r="W382"/>
  <c r="X382" s="1"/>
  <c r="V382"/>
  <c r="P382"/>
  <c r="W381"/>
  <c r="X381" s="1"/>
  <c r="P381"/>
  <c r="Y381"/>
  <c r="Z381"/>
  <c r="Z380"/>
  <c r="W380"/>
  <c r="X380" s="1"/>
  <c r="V380"/>
  <c r="O380"/>
  <c r="Y380"/>
  <c r="W379"/>
  <c r="X379" s="1"/>
  <c r="V379"/>
  <c r="O379"/>
  <c r="Y379"/>
  <c r="Z379"/>
  <c r="Y378"/>
  <c r="W378"/>
  <c r="X378" s="1"/>
  <c r="V378"/>
  <c r="P378"/>
  <c r="W377"/>
  <c r="X377" s="1"/>
  <c r="P377"/>
  <c r="Y377"/>
  <c r="Z377"/>
  <c r="Z376"/>
  <c r="W376"/>
  <c r="X376" s="1"/>
  <c r="V376"/>
  <c r="O376"/>
  <c r="Y376"/>
  <c r="W375"/>
  <c r="X375" s="1"/>
  <c r="V375"/>
  <c r="O375"/>
  <c r="Y375"/>
  <c r="Z375"/>
  <c r="Y374"/>
  <c r="W374"/>
  <c r="X374" s="1"/>
  <c r="V374"/>
  <c r="P374"/>
  <c r="W373"/>
  <c r="X373" s="1"/>
  <c r="P373"/>
  <c r="Y373"/>
  <c r="Z373"/>
  <c r="Z372"/>
  <c r="W372"/>
  <c r="X372" s="1"/>
  <c r="V372"/>
  <c r="O372"/>
  <c r="Y372"/>
  <c r="W371"/>
  <c r="X371" s="1"/>
  <c r="V371"/>
  <c r="O371"/>
  <c r="Y371"/>
  <c r="Z371"/>
  <c r="Y370"/>
  <c r="W370"/>
  <c r="X370" s="1"/>
  <c r="V370"/>
  <c r="O370"/>
  <c r="W369"/>
  <c r="X369" s="1"/>
  <c r="P369"/>
  <c r="Y369"/>
  <c r="Z369"/>
  <c r="Z368"/>
  <c r="W368"/>
  <c r="X368" s="1"/>
  <c r="V368"/>
  <c r="O368"/>
  <c r="Y368"/>
  <c r="W367"/>
  <c r="X367" s="1"/>
  <c r="V367"/>
  <c r="O367"/>
  <c r="Y367"/>
  <c r="Z367"/>
  <c r="Y366"/>
  <c r="W366"/>
  <c r="X366" s="1"/>
  <c r="V366"/>
  <c r="P366"/>
  <c r="W365"/>
  <c r="X365" s="1"/>
  <c r="P365"/>
  <c r="Y365"/>
  <c r="Z365"/>
  <c r="Z364"/>
  <c r="W364"/>
  <c r="X364" s="1"/>
  <c r="V364"/>
  <c r="O364"/>
  <c r="Y364"/>
  <c r="W363"/>
  <c r="X363" s="1"/>
  <c r="V363"/>
  <c r="O363"/>
  <c r="Y363"/>
  <c r="Z363"/>
  <c r="Y362"/>
  <c r="W362"/>
  <c r="X362" s="1"/>
  <c r="V362"/>
  <c r="O362"/>
  <c r="Y361"/>
  <c r="W361"/>
  <c r="X361" s="1"/>
  <c r="P361"/>
  <c r="Z361"/>
  <c r="W360"/>
  <c r="X360" s="1"/>
  <c r="V360"/>
  <c r="O360"/>
  <c r="Y360"/>
  <c r="Z360"/>
  <c r="Z359"/>
  <c r="W359"/>
  <c r="X359" s="1"/>
  <c r="V359"/>
  <c r="O359"/>
  <c r="Y359"/>
  <c r="W358"/>
  <c r="X358" s="1"/>
  <c r="O358"/>
  <c r="Y358"/>
  <c r="Y357"/>
  <c r="W357"/>
  <c r="X357" s="1"/>
  <c r="P357"/>
  <c r="Z357"/>
  <c r="Z356"/>
  <c r="W356"/>
  <c r="X356" s="1"/>
  <c r="V356"/>
  <c r="O356"/>
  <c r="Y356"/>
  <c r="W355"/>
  <c r="X355" s="1"/>
  <c r="V355"/>
  <c r="O355"/>
  <c r="Y355"/>
  <c r="Z355"/>
  <c r="Y354"/>
  <c r="W354"/>
  <c r="X354" s="1"/>
  <c r="V354"/>
  <c r="P354"/>
  <c r="W353"/>
  <c r="X353" s="1"/>
  <c r="P353"/>
  <c r="Y353"/>
  <c r="Z353"/>
  <c r="W352"/>
  <c r="X352" s="1"/>
  <c r="V352"/>
  <c r="O352"/>
  <c r="Y352"/>
  <c r="Z352"/>
  <c r="Z351"/>
  <c r="W351"/>
  <c r="X351" s="1"/>
  <c r="V351"/>
  <c r="O351"/>
  <c r="Y351"/>
  <c r="W350"/>
  <c r="X350" s="1"/>
  <c r="V350"/>
  <c r="O350"/>
  <c r="Y350"/>
  <c r="W349"/>
  <c r="X349" s="1"/>
  <c r="P349"/>
  <c r="Y349"/>
  <c r="Z349"/>
  <c r="Z348"/>
  <c r="W348"/>
  <c r="X348" s="1"/>
  <c r="V348"/>
  <c r="O348"/>
  <c r="Y348"/>
  <c r="W347"/>
  <c r="X347" s="1"/>
  <c r="V347"/>
  <c r="O347"/>
  <c r="Y347"/>
  <c r="Z347"/>
  <c r="Y346"/>
  <c r="W346"/>
  <c r="X346" s="1"/>
  <c r="S346"/>
  <c r="O346"/>
  <c r="Y345"/>
  <c r="W345"/>
  <c r="X345" s="1"/>
  <c r="P345"/>
  <c r="Z345"/>
  <c r="W344"/>
  <c r="X344" s="1"/>
  <c r="V344"/>
  <c r="O344"/>
  <c r="Y344"/>
  <c r="Z344"/>
  <c r="Z343"/>
  <c r="W343"/>
  <c r="X343" s="1"/>
  <c r="V343"/>
  <c r="O343"/>
  <c r="Y343"/>
  <c r="W342"/>
  <c r="X342" s="1"/>
  <c r="O342"/>
  <c r="Y342"/>
  <c r="Y341"/>
  <c r="W341"/>
  <c r="X341" s="1"/>
  <c r="P341"/>
  <c r="Z341"/>
  <c r="Z340"/>
  <c r="W340"/>
  <c r="X340" s="1"/>
  <c r="V340"/>
  <c r="O340"/>
  <c r="Y340"/>
  <c r="W339"/>
  <c r="X339" s="1"/>
  <c r="V339"/>
  <c r="O339"/>
  <c r="Y339"/>
  <c r="Z339"/>
  <c r="Y338"/>
  <c r="W338"/>
  <c r="X338" s="1"/>
  <c r="V338"/>
  <c r="P338"/>
  <c r="W337"/>
  <c r="X337" s="1"/>
  <c r="P337"/>
  <c r="Y337"/>
  <c r="Z337"/>
  <c r="W336"/>
  <c r="X336" s="1"/>
  <c r="V336"/>
  <c r="O336"/>
  <c r="Y336"/>
  <c r="Z336"/>
  <c r="Z335"/>
  <c r="W335"/>
  <c r="X335" s="1"/>
  <c r="V335"/>
  <c r="O335"/>
  <c r="Y335"/>
  <c r="W334"/>
  <c r="X334" s="1"/>
  <c r="V334"/>
  <c r="O334"/>
  <c r="Y334"/>
  <c r="W333"/>
  <c r="X333" s="1"/>
  <c r="P333"/>
  <c r="Y333"/>
  <c r="Z333"/>
  <c r="Z332"/>
  <c r="W332"/>
  <c r="X332" s="1"/>
  <c r="V332"/>
  <c r="O332"/>
  <c r="Y332"/>
  <c r="W331"/>
  <c r="X331" s="1"/>
  <c r="V331"/>
  <c r="O331"/>
  <c r="Y331"/>
  <c r="Z331"/>
  <c r="Y330"/>
  <c r="W330"/>
  <c r="X330" s="1"/>
  <c r="V330"/>
  <c r="P330"/>
  <c r="Y329"/>
  <c r="W329"/>
  <c r="X329" s="1"/>
  <c r="P329"/>
  <c r="Z329"/>
  <c r="W328"/>
  <c r="X328" s="1"/>
  <c r="V328"/>
  <c r="O328"/>
  <c r="Y328"/>
  <c r="Z328"/>
  <c r="Z327"/>
  <c r="W327"/>
  <c r="X327" s="1"/>
  <c r="V327"/>
  <c r="O327"/>
  <c r="Y327"/>
  <c r="W326"/>
  <c r="X326" s="1"/>
  <c r="O326"/>
  <c r="Y326"/>
  <c r="Y325"/>
  <c r="W325"/>
  <c r="X325" s="1"/>
  <c r="P325"/>
  <c r="Z325"/>
  <c r="Z324"/>
  <c r="W324"/>
  <c r="X324" s="1"/>
  <c r="V324"/>
  <c r="O324"/>
  <c r="Y324"/>
  <c r="W323"/>
  <c r="X323" s="1"/>
  <c r="V323"/>
  <c r="O323"/>
  <c r="Y323"/>
  <c r="Z323"/>
  <c r="Y322"/>
  <c r="W322"/>
  <c r="X322" s="1"/>
  <c r="V322"/>
  <c r="P322"/>
  <c r="W321"/>
  <c r="X321" s="1"/>
  <c r="P321"/>
  <c r="Y321"/>
  <c r="Z321"/>
  <c r="W320"/>
  <c r="X320" s="1"/>
  <c r="V320"/>
  <c r="O320"/>
  <c r="Y320"/>
  <c r="Z320"/>
  <c r="Z319"/>
  <c r="W319"/>
  <c r="X319" s="1"/>
  <c r="V319"/>
  <c r="O319"/>
  <c r="Y319"/>
  <c r="W318"/>
  <c r="X318" s="1"/>
  <c r="V318"/>
  <c r="O318"/>
  <c r="Y318"/>
  <c r="W317"/>
  <c r="X317" s="1"/>
  <c r="P317"/>
  <c r="Y317"/>
  <c r="Z317"/>
  <c r="Z316"/>
  <c r="W316"/>
  <c r="X316" s="1"/>
  <c r="V316"/>
  <c r="O316"/>
  <c r="Y316"/>
  <c r="W315"/>
  <c r="X315" s="1"/>
  <c r="V315"/>
  <c r="O315"/>
  <c r="Y315"/>
  <c r="Z315"/>
  <c r="Y314"/>
  <c r="W314"/>
  <c r="X314" s="1"/>
  <c r="V314"/>
  <c r="O314"/>
  <c r="Y313"/>
  <c r="W313"/>
  <c r="X313" s="1"/>
  <c r="P313"/>
  <c r="Z313"/>
  <c r="W312"/>
  <c r="X312" s="1"/>
  <c r="V312"/>
  <c r="O312"/>
  <c r="Y312"/>
  <c r="Z312"/>
  <c r="Z311"/>
  <c r="W311"/>
  <c r="X311" s="1"/>
  <c r="V311"/>
  <c r="O311"/>
  <c r="Y311"/>
  <c r="W310"/>
  <c r="X310" s="1"/>
  <c r="O310"/>
  <c r="Y310"/>
  <c r="Y309"/>
  <c r="W309"/>
  <c r="X309" s="1"/>
  <c r="P309"/>
  <c r="Z309"/>
  <c r="Z308"/>
  <c r="W308"/>
  <c r="X308" s="1"/>
  <c r="V308"/>
  <c r="O308"/>
  <c r="Y308"/>
  <c r="W307"/>
  <c r="X307" s="1"/>
  <c r="V307"/>
  <c r="O307"/>
  <c r="Y307"/>
  <c r="Z307"/>
  <c r="Y306"/>
  <c r="W306"/>
  <c r="X306" s="1"/>
  <c r="V306"/>
  <c r="P306"/>
  <c r="W305"/>
  <c r="X305" s="1"/>
  <c r="P305"/>
  <c r="Y305"/>
  <c r="Z305"/>
  <c r="W304"/>
  <c r="X304" s="1"/>
  <c r="V304"/>
  <c r="O304"/>
  <c r="Y304"/>
  <c r="Z304"/>
  <c r="Z303"/>
  <c r="W303"/>
  <c r="X303" s="1"/>
  <c r="V303"/>
  <c r="O303"/>
  <c r="Y303"/>
  <c r="W302"/>
  <c r="X302" s="1"/>
  <c r="V302"/>
  <c r="O302"/>
  <c r="Y302"/>
  <c r="W301"/>
  <c r="X301" s="1"/>
  <c r="P301"/>
  <c r="Y301"/>
  <c r="Z301"/>
  <c r="Z300"/>
  <c r="W300"/>
  <c r="X300" s="1"/>
  <c r="V300"/>
  <c r="O300"/>
  <c r="Y300"/>
  <c r="W299"/>
  <c r="X299" s="1"/>
  <c r="V299"/>
  <c r="O299"/>
  <c r="Y299"/>
  <c r="Z299"/>
  <c r="Y298"/>
  <c r="W298"/>
  <c r="X298" s="1"/>
  <c r="V298"/>
  <c r="O298"/>
  <c r="Y297"/>
  <c r="W297"/>
  <c r="X297" s="1"/>
  <c r="P297"/>
  <c r="Z297"/>
  <c r="W296"/>
  <c r="X296" s="1"/>
  <c r="V296"/>
  <c r="O296"/>
  <c r="Y296"/>
  <c r="Z296"/>
  <c r="Z295"/>
  <c r="W295"/>
  <c r="X295" s="1"/>
  <c r="V295"/>
  <c r="O295"/>
  <c r="Y295"/>
  <c r="W294"/>
  <c r="X294" s="1"/>
  <c r="O294"/>
  <c r="Y294"/>
  <c r="Y293"/>
  <c r="W293"/>
  <c r="X293" s="1"/>
  <c r="P293"/>
  <c r="Z293"/>
  <c r="Z292"/>
  <c r="W292"/>
  <c r="X292" s="1"/>
  <c r="V292"/>
  <c r="O292"/>
  <c r="Y292"/>
  <c r="W291"/>
  <c r="X291" s="1"/>
  <c r="V291"/>
  <c r="O291"/>
  <c r="Y291"/>
  <c r="Z291"/>
  <c r="Y290"/>
  <c r="W290"/>
  <c r="X290" s="1"/>
  <c r="V290"/>
  <c r="P290"/>
  <c r="W289"/>
  <c r="X289" s="1"/>
  <c r="P289"/>
  <c r="Y289"/>
  <c r="Z289"/>
  <c r="W288"/>
  <c r="X288" s="1"/>
  <c r="V288"/>
  <c r="O288"/>
  <c r="Y288"/>
  <c r="Z288"/>
  <c r="Z287"/>
  <c r="W287"/>
  <c r="X287" s="1"/>
  <c r="V287"/>
  <c r="O287"/>
  <c r="Y287"/>
  <c r="W286"/>
  <c r="X286" s="1"/>
  <c r="V286"/>
  <c r="O286"/>
  <c r="Y286"/>
  <c r="W285"/>
  <c r="X285" s="1"/>
  <c r="P285"/>
  <c r="Y285"/>
  <c r="Z285"/>
  <c r="Z284"/>
  <c r="W284"/>
  <c r="X284" s="1"/>
  <c r="V284"/>
  <c r="O284"/>
  <c r="Y284"/>
  <c r="W283"/>
  <c r="X283" s="1"/>
  <c r="V283"/>
  <c r="O283"/>
  <c r="Y283"/>
  <c r="Z283"/>
  <c r="Y282"/>
  <c r="W282"/>
  <c r="X282" s="1"/>
  <c r="S282"/>
  <c r="O282"/>
  <c r="Y281"/>
  <c r="W281"/>
  <c r="X281" s="1"/>
  <c r="P281"/>
  <c r="Z281"/>
  <c r="W280"/>
  <c r="X280" s="1"/>
  <c r="V280"/>
  <c r="O280"/>
  <c r="Y280"/>
  <c r="Z280"/>
  <c r="Z279"/>
  <c r="W279"/>
  <c r="X279" s="1"/>
  <c r="V279"/>
  <c r="O279"/>
  <c r="Y279"/>
  <c r="W278"/>
  <c r="X278" s="1"/>
  <c r="O278"/>
  <c r="Y278"/>
  <c r="Y277"/>
  <c r="W277"/>
  <c r="X277" s="1"/>
  <c r="P277"/>
  <c r="Z277"/>
  <c r="Z276"/>
  <c r="W276"/>
  <c r="X276" s="1"/>
  <c r="V276"/>
  <c r="O276"/>
  <c r="Y276"/>
  <c r="W275"/>
  <c r="X275" s="1"/>
  <c r="V275"/>
  <c r="O275"/>
  <c r="Y275"/>
  <c r="Z275"/>
  <c r="Y274"/>
  <c r="W274"/>
  <c r="X274" s="1"/>
  <c r="V274"/>
  <c r="P274"/>
  <c r="W273"/>
  <c r="X273" s="1"/>
  <c r="P273"/>
  <c r="Y273"/>
  <c r="Z273"/>
  <c r="W272"/>
  <c r="X272" s="1"/>
  <c r="V272"/>
  <c r="Y272"/>
  <c r="Z272"/>
  <c r="Z271"/>
  <c r="W271"/>
  <c r="X271" s="1"/>
  <c r="V271"/>
  <c r="O271"/>
  <c r="Y271"/>
  <c r="Y270"/>
  <c r="W270"/>
  <c r="X270" s="1"/>
  <c r="V270"/>
  <c r="P270"/>
  <c r="Y269"/>
  <c r="W269"/>
  <c r="X269" s="1"/>
  <c r="P269"/>
  <c r="Z269"/>
  <c r="W268"/>
  <c r="X268" s="1"/>
  <c r="Y268"/>
  <c r="Z268"/>
  <c r="Z267"/>
  <c r="W267"/>
  <c r="X267" s="1"/>
  <c r="V267"/>
  <c r="O267"/>
  <c r="Y267"/>
  <c r="W266"/>
  <c r="X266" s="1"/>
  <c r="O266"/>
  <c r="Y266"/>
  <c r="Y265"/>
  <c r="W265"/>
  <c r="X265" s="1"/>
  <c r="P265"/>
  <c r="Z265"/>
  <c r="Z264"/>
  <c r="W264"/>
  <c r="X264" s="1"/>
  <c r="S264"/>
  <c r="Y264"/>
  <c r="W263"/>
  <c r="X263" s="1"/>
  <c r="V263"/>
  <c r="Y263"/>
  <c r="Z263"/>
  <c r="W262"/>
  <c r="X262" s="1"/>
  <c r="Y262"/>
  <c r="Z262"/>
  <c r="W261"/>
  <c r="X261" s="1"/>
  <c r="Y261"/>
  <c r="Z261"/>
  <c r="Z260"/>
  <c r="W260"/>
  <c r="X260" s="1"/>
  <c r="S260"/>
  <c r="Y260"/>
  <c r="W259"/>
  <c r="X259" s="1"/>
  <c r="V259"/>
  <c r="O259"/>
  <c r="Y259"/>
  <c r="Z259"/>
  <c r="Y258"/>
  <c r="W258"/>
  <c r="X258" s="1"/>
  <c r="V258"/>
  <c r="O258"/>
  <c r="Z258"/>
  <c r="W257"/>
  <c r="X257" s="1"/>
  <c r="P257"/>
  <c r="Y257"/>
  <c r="Z257"/>
  <c r="Z256"/>
  <c r="W256"/>
  <c r="X256" s="1"/>
  <c r="S256"/>
  <c r="Y256"/>
  <c r="W255"/>
  <c r="X255" s="1"/>
  <c r="V255"/>
  <c r="Y255"/>
  <c r="Z255"/>
  <c r="W254"/>
  <c r="X254" s="1"/>
  <c r="Y254"/>
  <c r="Z254"/>
  <c r="W253"/>
  <c r="X253" s="1"/>
  <c r="Y253"/>
  <c r="Z253"/>
  <c r="Z252"/>
  <c r="W252"/>
  <c r="X252" s="1"/>
  <c r="S252"/>
  <c r="Y252"/>
  <c r="W251"/>
  <c r="X251" s="1"/>
  <c r="V251"/>
  <c r="O251"/>
  <c r="Y251"/>
  <c r="Z251"/>
  <c r="Y250"/>
  <c r="W250"/>
  <c r="X250" s="1"/>
  <c r="V250"/>
  <c r="O250"/>
  <c r="Z250"/>
  <c r="W249"/>
  <c r="X249" s="1"/>
  <c r="P249"/>
  <c r="Y249"/>
  <c r="Z249"/>
  <c r="Z248"/>
  <c r="W248"/>
  <c r="X248" s="1"/>
  <c r="S248"/>
  <c r="Y248"/>
  <c r="W247"/>
  <c r="X247" s="1"/>
  <c r="V247"/>
  <c r="Y247"/>
  <c r="Z247"/>
  <c r="W246"/>
  <c r="X246" s="1"/>
  <c r="Y246"/>
  <c r="Z246"/>
  <c r="W245"/>
  <c r="X245" s="1"/>
  <c r="Y245"/>
  <c r="Z245"/>
  <c r="Z244"/>
  <c r="W244"/>
  <c r="X244" s="1"/>
  <c r="S244"/>
  <c r="Y244"/>
  <c r="W243"/>
  <c r="X243" s="1"/>
  <c r="V243"/>
  <c r="Y243"/>
  <c r="Z243"/>
  <c r="Y242"/>
  <c r="W242"/>
  <c r="X242" s="1"/>
  <c r="O242"/>
  <c r="Z242"/>
  <c r="W241"/>
  <c r="X241" s="1"/>
  <c r="Y241"/>
  <c r="Z241"/>
  <c r="Z240"/>
  <c r="W240"/>
  <c r="X240" s="1"/>
  <c r="S240"/>
  <c r="Y240"/>
  <c r="W239"/>
  <c r="X239" s="1"/>
  <c r="V239"/>
  <c r="Y239"/>
  <c r="Z239"/>
  <c r="W238"/>
  <c r="X238" s="1"/>
  <c r="O238"/>
  <c r="Y238"/>
  <c r="Z238"/>
  <c r="W237"/>
  <c r="X237" s="1"/>
  <c r="P237"/>
  <c r="Y237"/>
  <c r="Z237"/>
  <c r="W236"/>
  <c r="X236" s="1"/>
  <c r="Y236"/>
  <c r="Z236"/>
  <c r="Z235"/>
  <c r="W235"/>
  <c r="X235" s="1"/>
  <c r="V235"/>
  <c r="O235"/>
  <c r="Y235"/>
  <c r="Y234"/>
  <c r="W234"/>
  <c r="X234" s="1"/>
  <c r="V234"/>
  <c r="O234"/>
  <c r="Z234"/>
  <c r="Y233"/>
  <c r="W233"/>
  <c r="X233" s="1"/>
  <c r="S233"/>
  <c r="P233"/>
  <c r="Z233"/>
  <c r="Z232"/>
  <c r="W232"/>
  <c r="X232" s="1"/>
  <c r="S232"/>
  <c r="Y232"/>
  <c r="W231"/>
  <c r="X231" s="1"/>
  <c r="V231"/>
  <c r="Y231"/>
  <c r="Z231"/>
  <c r="W230"/>
  <c r="X230" s="1"/>
  <c r="O230"/>
  <c r="Y230"/>
  <c r="Z230"/>
  <c r="W229"/>
  <c r="X229" s="1"/>
  <c r="S229"/>
  <c r="P229"/>
  <c r="Y229"/>
  <c r="Z229"/>
  <c r="Z228"/>
  <c r="W228"/>
  <c r="X228" s="1"/>
  <c r="Y228"/>
  <c r="W227"/>
  <c r="X227" s="1"/>
  <c r="V227"/>
  <c r="O227"/>
  <c r="Y227"/>
  <c r="Z227"/>
  <c r="W226"/>
  <c r="X226" s="1"/>
  <c r="V226"/>
  <c r="P226"/>
  <c r="Y226"/>
  <c r="Z226"/>
  <c r="Y225"/>
  <c r="W225"/>
  <c r="X225" s="1"/>
  <c r="S225"/>
  <c r="P225"/>
  <c r="Z225"/>
  <c r="W224"/>
  <c r="X224" s="1"/>
  <c r="Y224"/>
  <c r="Z224"/>
  <c r="W223"/>
  <c r="X223" s="1"/>
  <c r="V223"/>
  <c r="O223"/>
  <c r="Y223"/>
  <c r="Z223"/>
  <c r="W222"/>
  <c r="X222" s="1"/>
  <c r="V222"/>
  <c r="P222"/>
  <c r="Y222"/>
  <c r="Z222"/>
  <c r="Y221"/>
  <c r="W221"/>
  <c r="X221" s="1"/>
  <c r="V221"/>
  <c r="P221"/>
  <c r="Z221"/>
  <c r="Z220"/>
  <c r="W220"/>
  <c r="X220" s="1"/>
  <c r="S220"/>
  <c r="P220"/>
  <c r="Y220"/>
  <c r="Y219"/>
  <c r="W219"/>
  <c r="X219" s="1"/>
  <c r="O219"/>
  <c r="Z219"/>
  <c r="W218"/>
  <c r="X218" s="1"/>
  <c r="O218"/>
  <c r="Y218"/>
  <c r="Z218"/>
  <c r="W217"/>
  <c r="X217" s="1"/>
  <c r="V217"/>
  <c r="O217"/>
  <c r="Y217"/>
  <c r="Z217"/>
  <c r="W216"/>
  <c r="X216" s="1"/>
  <c r="S216"/>
  <c r="O216"/>
  <c r="Y216"/>
  <c r="Z216"/>
  <c r="W215"/>
  <c r="X215" s="1"/>
  <c r="S215"/>
  <c r="P215"/>
  <c r="Y215"/>
  <c r="Z215"/>
  <c r="Y214"/>
  <c r="W214"/>
  <c r="X214" s="1"/>
  <c r="P214"/>
  <c r="Z214"/>
  <c r="W213"/>
  <c r="X213" s="1"/>
  <c r="O213"/>
  <c r="Y213"/>
  <c r="Z213"/>
  <c r="W212"/>
  <c r="X212" s="1"/>
  <c r="V212"/>
  <c r="O212"/>
  <c r="Y212"/>
  <c r="Z212"/>
  <c r="W211"/>
  <c r="X211" s="1"/>
  <c r="V211"/>
  <c r="O211"/>
  <c r="Y211"/>
  <c r="Z211"/>
  <c r="Y210"/>
  <c r="W210"/>
  <c r="X210" s="1"/>
  <c r="P210"/>
  <c r="Z210"/>
  <c r="W209"/>
  <c r="X209" s="1"/>
  <c r="S209"/>
  <c r="O209"/>
  <c r="Y209"/>
  <c r="Z209"/>
  <c r="Y208"/>
  <c r="W208"/>
  <c r="X208" s="1"/>
  <c r="O208"/>
  <c r="Z208"/>
  <c r="Y207"/>
  <c r="W207"/>
  <c r="X207" s="1"/>
  <c r="S207"/>
  <c r="O207"/>
  <c r="Z207"/>
  <c r="W206"/>
  <c r="X206" s="1"/>
  <c r="P206"/>
  <c r="Y206"/>
  <c r="Z206"/>
  <c r="W205"/>
  <c r="X205" s="1"/>
  <c r="V205"/>
  <c r="O205"/>
  <c r="Y205"/>
  <c r="Z205"/>
  <c r="Y204"/>
  <c r="W204"/>
  <c r="X204" s="1"/>
  <c r="S204"/>
  <c r="O204"/>
  <c r="Z204"/>
  <c r="W203"/>
  <c r="X203" s="1"/>
  <c r="V203"/>
  <c r="O203"/>
  <c r="Y203"/>
  <c r="Z203"/>
  <c r="W202"/>
  <c r="X202" s="1"/>
  <c r="P202"/>
  <c r="Y202"/>
  <c r="Z202"/>
  <c r="W201"/>
  <c r="X201" s="1"/>
  <c r="V201"/>
  <c r="O201"/>
  <c r="Y201"/>
  <c r="Z201"/>
  <c r="W200"/>
  <c r="X200" s="1"/>
  <c r="V200"/>
  <c r="O200"/>
  <c r="Y200"/>
  <c r="Z200"/>
  <c r="W199"/>
  <c r="X199" s="1"/>
  <c r="P199"/>
  <c r="Y199"/>
  <c r="Z199"/>
  <c r="Y198"/>
  <c r="W198"/>
  <c r="X198" s="1"/>
  <c r="P198"/>
  <c r="Z198"/>
  <c r="W197"/>
  <c r="X197" s="1"/>
  <c r="V197"/>
  <c r="O197"/>
  <c r="Y197"/>
  <c r="Z197"/>
  <c r="W196"/>
  <c r="X196" s="1"/>
  <c r="S196"/>
  <c r="O196"/>
  <c r="Y196"/>
  <c r="Z196"/>
  <c r="Y195"/>
  <c r="W195"/>
  <c r="X195" s="1"/>
  <c r="V195"/>
  <c r="P195"/>
  <c r="Z195"/>
  <c r="Y194"/>
  <c r="W194"/>
  <c r="X194" s="1"/>
  <c r="P194"/>
  <c r="Z194"/>
  <c r="W193"/>
  <c r="X193" s="1"/>
  <c r="S193"/>
  <c r="O193"/>
  <c r="Y193"/>
  <c r="Z193"/>
  <c r="Y192"/>
  <c r="W192"/>
  <c r="X192" s="1"/>
  <c r="O192"/>
  <c r="Z192"/>
  <c r="Y191"/>
  <c r="W191"/>
  <c r="X191" s="1"/>
  <c r="S191"/>
  <c r="O191"/>
  <c r="Z191"/>
  <c r="W190"/>
  <c r="X190" s="1"/>
  <c r="P190"/>
  <c r="Y190"/>
  <c r="Z190"/>
  <c r="W189"/>
  <c r="X189" s="1"/>
  <c r="V189"/>
  <c r="O189"/>
  <c r="Y189"/>
  <c r="Z189"/>
  <c r="Y188"/>
  <c r="W188"/>
  <c r="X188" s="1"/>
  <c r="S188"/>
  <c r="O188"/>
  <c r="Z188"/>
  <c r="W187"/>
  <c r="X187" s="1"/>
  <c r="V187"/>
  <c r="P187"/>
  <c r="Y187"/>
  <c r="Z187"/>
  <c r="W186"/>
  <c r="X186" s="1"/>
  <c r="P186"/>
  <c r="Y186"/>
  <c r="Z186"/>
  <c r="W185"/>
  <c r="X185" s="1"/>
  <c r="S185"/>
  <c r="O185"/>
  <c r="Y185"/>
  <c r="Z185"/>
  <c r="W184"/>
  <c r="X184" s="1"/>
  <c r="V184"/>
  <c r="O184"/>
  <c r="Y184"/>
  <c r="Z184"/>
  <c r="W183"/>
  <c r="X183" s="1"/>
  <c r="P183"/>
  <c r="Y183"/>
  <c r="Z183"/>
  <c r="Y182"/>
  <c r="W182"/>
  <c r="X182" s="1"/>
  <c r="Z182"/>
  <c r="W181"/>
  <c r="X181" s="1"/>
  <c r="V181"/>
  <c r="O181"/>
  <c r="Y181"/>
  <c r="Z181"/>
  <c r="W180"/>
  <c r="X180" s="1"/>
  <c r="V180"/>
  <c r="O180"/>
  <c r="Y180"/>
  <c r="Z180"/>
  <c r="Y179"/>
  <c r="W179"/>
  <c r="X179" s="1"/>
  <c r="S179"/>
  <c r="O179"/>
  <c r="Z179"/>
  <c r="Y178"/>
  <c r="W178"/>
  <c r="X178" s="1"/>
  <c r="Z178"/>
  <c r="W177"/>
  <c r="X177" s="1"/>
  <c r="S177"/>
  <c r="O177"/>
  <c r="Y177"/>
  <c r="Z177"/>
  <c r="Y176"/>
  <c r="W176"/>
  <c r="X176" s="1"/>
  <c r="V176"/>
  <c r="O176"/>
  <c r="Z176"/>
  <c r="Y175"/>
  <c r="W175"/>
  <c r="X175" s="1"/>
  <c r="S175"/>
  <c r="O175"/>
  <c r="Z175"/>
  <c r="W174"/>
  <c r="X174" s="1"/>
  <c r="Y174"/>
  <c r="Z174"/>
  <c r="W173"/>
  <c r="X173" s="1"/>
  <c r="V173"/>
  <c r="O173"/>
  <c r="Y173"/>
  <c r="Z173"/>
  <c r="Y172"/>
  <c r="W172"/>
  <c r="X172" s="1"/>
  <c r="V172"/>
  <c r="O172"/>
  <c r="Z172"/>
  <c r="W171"/>
  <c r="X171" s="1"/>
  <c r="V171"/>
  <c r="P171"/>
  <c r="Y171"/>
  <c r="Z171"/>
  <c r="W170"/>
  <c r="X170" s="1"/>
  <c r="Y170"/>
  <c r="Z170"/>
  <c r="W169"/>
  <c r="X169" s="1"/>
  <c r="S169"/>
  <c r="O169"/>
  <c r="Y169"/>
  <c r="Z169"/>
  <c r="W168"/>
  <c r="X168" s="1"/>
  <c r="V168"/>
  <c r="O168"/>
  <c r="Y168"/>
  <c r="Z168"/>
  <c r="W167"/>
  <c r="X167" s="1"/>
  <c r="P167"/>
  <c r="Y167"/>
  <c r="Z167"/>
  <c r="W166"/>
  <c r="X166" s="1"/>
  <c r="P166"/>
  <c r="Y166"/>
  <c r="Z166"/>
  <c r="W165"/>
  <c r="X165" s="1"/>
  <c r="V165"/>
  <c r="Y165"/>
  <c r="Z165"/>
  <c r="W164"/>
  <c r="X164" s="1"/>
  <c r="V164"/>
  <c r="O164"/>
  <c r="Y164"/>
  <c r="Z164"/>
  <c r="W163"/>
  <c r="X163" s="1"/>
  <c r="V163"/>
  <c r="P163"/>
  <c r="Y163"/>
  <c r="Z163"/>
  <c r="Y162"/>
  <c r="W162"/>
  <c r="X162" s="1"/>
  <c r="S162"/>
  <c r="P162"/>
  <c r="Z162"/>
  <c r="W161"/>
  <c r="X161" s="1"/>
  <c r="V161"/>
  <c r="Y161"/>
  <c r="Z161"/>
  <c r="W160"/>
  <c r="X160" s="1"/>
  <c r="V160"/>
  <c r="O160"/>
  <c r="Y160"/>
  <c r="Z160"/>
  <c r="W159"/>
  <c r="X159" s="1"/>
  <c r="P159"/>
  <c r="Y159"/>
  <c r="Z159"/>
  <c r="W158"/>
  <c r="X158" s="1"/>
  <c r="S158"/>
  <c r="P158"/>
  <c r="Y158"/>
  <c r="Z158"/>
  <c r="W157"/>
  <c r="X157" s="1"/>
  <c r="S157"/>
  <c r="Y157"/>
  <c r="Z157"/>
  <c r="W156"/>
  <c r="X156" s="1"/>
  <c r="V156"/>
  <c r="O156"/>
  <c r="Y156"/>
  <c r="Z156"/>
  <c r="Y155"/>
  <c r="W155"/>
  <c r="X155" s="1"/>
  <c r="V155"/>
  <c r="P155"/>
  <c r="Z155"/>
  <c r="Y154"/>
  <c r="W154"/>
  <c r="X154" s="1"/>
  <c r="S154"/>
  <c r="P154"/>
  <c r="Z154"/>
  <c r="W153"/>
  <c r="X153" s="1"/>
  <c r="V153"/>
  <c r="Y153"/>
  <c r="Z153"/>
  <c r="W152"/>
  <c r="X152" s="1"/>
  <c r="V152"/>
  <c r="O152"/>
  <c r="Y152"/>
  <c r="Z152"/>
  <c r="W151"/>
  <c r="X151" s="1"/>
  <c r="V151"/>
  <c r="O151"/>
  <c r="Y151"/>
  <c r="Y150"/>
  <c r="W150"/>
  <c r="X150" s="1"/>
  <c r="V150"/>
  <c r="O150"/>
  <c r="Z150"/>
  <c r="Z149"/>
  <c r="W149"/>
  <c r="X149" s="1"/>
  <c r="P149"/>
  <c r="Y149"/>
  <c r="Z148"/>
  <c r="W148"/>
  <c r="X148" s="1"/>
  <c r="V148"/>
  <c r="O148"/>
  <c r="Y148"/>
  <c r="Z147"/>
  <c r="W147"/>
  <c r="X147" s="1"/>
  <c r="V147"/>
  <c r="P147"/>
  <c r="Y147"/>
  <c r="W146"/>
  <c r="X146" s="1"/>
  <c r="V146"/>
  <c r="P146"/>
  <c r="Y146"/>
  <c r="Z146"/>
  <c r="W145"/>
  <c r="X145" s="1"/>
  <c r="V145"/>
  <c r="O145"/>
  <c r="Y145"/>
  <c r="W144"/>
  <c r="X144" s="1"/>
  <c r="V144"/>
  <c r="P144"/>
  <c r="Y144"/>
  <c r="Z144"/>
  <c r="Z143"/>
  <c r="W143"/>
  <c r="X143" s="1"/>
  <c r="V143"/>
  <c r="O143"/>
  <c r="Y143"/>
  <c r="Z142"/>
  <c r="W142"/>
  <c r="X142" s="1"/>
  <c r="V142"/>
  <c r="P142"/>
  <c r="Y142"/>
  <c r="W141"/>
  <c r="X141" s="1"/>
  <c r="V141"/>
  <c r="P141"/>
  <c r="Y141"/>
  <c r="Z140"/>
  <c r="W140"/>
  <c r="X140" s="1"/>
  <c r="V140"/>
  <c r="P140"/>
  <c r="Y140"/>
  <c r="W139"/>
  <c r="X139" s="1"/>
  <c r="V139"/>
  <c r="O139"/>
  <c r="Y139"/>
  <c r="Z139"/>
  <c r="Z138"/>
  <c r="W138"/>
  <c r="X138" s="1"/>
  <c r="V138"/>
  <c r="P138"/>
  <c r="Y138"/>
  <c r="W137"/>
  <c r="X137" s="1"/>
  <c r="V137"/>
  <c r="P137"/>
  <c r="Y137"/>
  <c r="W136"/>
  <c r="X136" s="1"/>
  <c r="V136"/>
  <c r="P136"/>
  <c r="Y136"/>
  <c r="Z135"/>
  <c r="W135"/>
  <c r="X135" s="1"/>
  <c r="V135"/>
  <c r="O135"/>
  <c r="Y135"/>
  <c r="W134"/>
  <c r="X134" s="1"/>
  <c r="V134"/>
  <c r="O134"/>
  <c r="Y134"/>
  <c r="W133"/>
  <c r="X133" s="1"/>
  <c r="V133"/>
  <c r="O133"/>
  <c r="Y133"/>
  <c r="Z132"/>
  <c r="W132"/>
  <c r="X132" s="1"/>
  <c r="V132"/>
  <c r="P132"/>
  <c r="Y132"/>
  <c r="W131"/>
  <c r="X131" s="1"/>
  <c r="V131"/>
  <c r="O131"/>
  <c r="Y131"/>
  <c r="Z131"/>
  <c r="W130"/>
  <c r="X130" s="1"/>
  <c r="V130"/>
  <c r="O130"/>
  <c r="Y130"/>
  <c r="W129"/>
  <c r="X129" s="1"/>
  <c r="V129"/>
  <c r="O129"/>
  <c r="Y129"/>
  <c r="W128"/>
  <c r="X128" s="1"/>
  <c r="V128"/>
  <c r="P128"/>
  <c r="Y128"/>
  <c r="Z128"/>
  <c r="Z127"/>
  <c r="W127"/>
  <c r="X127" s="1"/>
  <c r="V127"/>
  <c r="O127"/>
  <c r="Y127"/>
  <c r="Z126"/>
  <c r="W126"/>
  <c r="X126" s="1"/>
  <c r="V126"/>
  <c r="P126"/>
  <c r="Y126"/>
  <c r="W125"/>
  <c r="X125" s="1"/>
  <c r="V125"/>
  <c r="P125"/>
  <c r="Y125"/>
  <c r="Z124"/>
  <c r="W124"/>
  <c r="X124" s="1"/>
  <c r="V124"/>
  <c r="P124"/>
  <c r="Y124"/>
  <c r="W123"/>
  <c r="X123" s="1"/>
  <c r="V123"/>
  <c r="O123"/>
  <c r="Y123"/>
  <c r="Z123"/>
  <c r="Z122"/>
  <c r="W122"/>
  <c r="X122" s="1"/>
  <c r="V122"/>
  <c r="P122"/>
  <c r="Y122"/>
  <c r="W121"/>
  <c r="X121" s="1"/>
  <c r="V121"/>
  <c r="P121"/>
  <c r="Y121"/>
  <c r="W120"/>
  <c r="X120" s="1"/>
  <c r="V120"/>
  <c r="P120"/>
  <c r="Y120"/>
  <c r="Z119"/>
  <c r="W119"/>
  <c r="X119" s="1"/>
  <c r="V119"/>
  <c r="O119"/>
  <c r="Y119"/>
  <c r="W118"/>
  <c r="X118" s="1"/>
  <c r="V118"/>
  <c r="O118"/>
  <c r="Y118"/>
  <c r="W117"/>
  <c r="X117" s="1"/>
  <c r="V117"/>
  <c r="P117"/>
  <c r="Y117"/>
  <c r="Z116"/>
  <c r="W116"/>
  <c r="X116" s="1"/>
  <c r="V116"/>
  <c r="P116"/>
  <c r="Y116"/>
  <c r="W115"/>
  <c r="X115" s="1"/>
  <c r="V115"/>
  <c r="O115"/>
  <c r="Y115"/>
  <c r="Z115"/>
  <c r="W114"/>
  <c r="X114" s="1"/>
  <c r="V114"/>
  <c r="O114"/>
  <c r="Y114"/>
  <c r="W113"/>
  <c r="X113" s="1"/>
  <c r="V113"/>
  <c r="O113"/>
  <c r="Y113"/>
  <c r="W112"/>
  <c r="X112" s="1"/>
  <c r="V112"/>
  <c r="P112"/>
  <c r="Y112"/>
  <c r="Z112"/>
  <c r="Z111"/>
  <c r="W111"/>
  <c r="X111" s="1"/>
  <c r="V111"/>
  <c r="O111"/>
  <c r="Y111"/>
  <c r="Z110"/>
  <c r="W110"/>
  <c r="X110" s="1"/>
  <c r="V110"/>
  <c r="P110"/>
  <c r="Y110"/>
  <c r="W109"/>
  <c r="X109" s="1"/>
  <c r="V109"/>
  <c r="P109"/>
  <c r="Y109"/>
  <c r="Z108"/>
  <c r="W108"/>
  <c r="X108" s="1"/>
  <c r="V108"/>
  <c r="P108"/>
  <c r="Y108"/>
  <c r="W107"/>
  <c r="X107" s="1"/>
  <c r="V107"/>
  <c r="O107"/>
  <c r="Y107"/>
  <c r="Z107"/>
  <c r="Z106"/>
  <c r="W106"/>
  <c r="X106" s="1"/>
  <c r="V106"/>
  <c r="P106"/>
  <c r="Y106"/>
  <c r="W105"/>
  <c r="X105" s="1"/>
  <c r="V105"/>
  <c r="P105"/>
  <c r="Y105"/>
  <c r="W104"/>
  <c r="X104" s="1"/>
  <c r="V104"/>
  <c r="P104"/>
  <c r="Y104"/>
  <c r="Z103"/>
  <c r="W103"/>
  <c r="X103" s="1"/>
  <c r="V103"/>
  <c r="O103"/>
  <c r="Y103"/>
  <c r="W102"/>
  <c r="X102" s="1"/>
  <c r="S102"/>
  <c r="P102"/>
  <c r="Y102"/>
  <c r="W101"/>
  <c r="X101" s="1"/>
  <c r="V101"/>
  <c r="P101"/>
  <c r="Y101"/>
  <c r="Z100"/>
  <c r="W100"/>
  <c r="X100" s="1"/>
  <c r="V100"/>
  <c r="P100"/>
  <c r="Y100"/>
  <c r="W99"/>
  <c r="X99" s="1"/>
  <c r="V99"/>
  <c r="O99"/>
  <c r="Y99"/>
  <c r="Z99"/>
  <c r="W98"/>
  <c r="X98" s="1"/>
  <c r="V98"/>
  <c r="O98"/>
  <c r="Y98"/>
  <c r="W97"/>
  <c r="X97" s="1"/>
  <c r="V97"/>
  <c r="O97"/>
  <c r="Y97"/>
  <c r="W96"/>
  <c r="X96" s="1"/>
  <c r="V96"/>
  <c r="P96"/>
  <c r="Y96"/>
  <c r="Z96"/>
  <c r="Z95"/>
  <c r="W95"/>
  <c r="X95" s="1"/>
  <c r="V95"/>
  <c r="O95"/>
  <c r="Y95"/>
  <c r="W94"/>
  <c r="X94" s="1"/>
  <c r="V94"/>
  <c r="P94"/>
  <c r="Y94"/>
  <c r="W93"/>
  <c r="X93" s="1"/>
  <c r="V93"/>
  <c r="O93"/>
  <c r="Y93"/>
  <c r="W92"/>
  <c r="X92" s="1"/>
  <c r="V92"/>
  <c r="P92"/>
  <c r="Y92"/>
  <c r="Z92"/>
  <c r="Z91"/>
  <c r="W91"/>
  <c r="X91" s="1"/>
  <c r="V91"/>
  <c r="O91"/>
  <c r="Y91"/>
  <c r="W90"/>
  <c r="X90" s="1"/>
  <c r="S90"/>
  <c r="P90"/>
  <c r="Y90"/>
  <c r="W89"/>
  <c r="X89" s="1"/>
  <c r="V89"/>
  <c r="O89"/>
  <c r="Y89"/>
  <c r="W88"/>
  <c r="X88" s="1"/>
  <c r="V88"/>
  <c r="P88"/>
  <c r="Y88"/>
  <c r="Z88"/>
  <c r="Z87"/>
  <c r="W87"/>
  <c r="X87" s="1"/>
  <c r="V87"/>
  <c r="O87"/>
  <c r="Y87"/>
  <c r="B87"/>
  <c r="W86"/>
  <c r="X86" s="1"/>
  <c r="R86"/>
  <c r="S86" s="1"/>
  <c r="Q86"/>
  <c r="N86"/>
  <c r="P86" s="1"/>
  <c r="Y86"/>
  <c r="B86"/>
  <c r="W85"/>
  <c r="X85" s="1"/>
  <c r="R85"/>
  <c r="V85" s="1"/>
  <c r="Q85"/>
  <c r="N85"/>
  <c r="O85" s="1"/>
  <c r="Y85"/>
  <c r="B85"/>
  <c r="W84"/>
  <c r="X84" s="1"/>
  <c r="R84"/>
  <c r="V84" s="1"/>
  <c r="Q84"/>
  <c r="N84"/>
  <c r="P84" s="1"/>
  <c r="Y84"/>
  <c r="Z84"/>
  <c r="B84"/>
  <c r="Z83"/>
  <c r="W83"/>
  <c r="X83" s="1"/>
  <c r="R83"/>
  <c r="V83" s="1"/>
  <c r="Q83"/>
  <c r="N83"/>
  <c r="O83" s="1"/>
  <c r="Y83"/>
  <c r="B83"/>
  <c r="W82"/>
  <c r="X82" s="1"/>
  <c r="R82"/>
  <c r="V82" s="1"/>
  <c r="Q82"/>
  <c r="N82"/>
  <c r="P82" s="1"/>
  <c r="Y82"/>
  <c r="B82"/>
  <c r="W81"/>
  <c r="X81" s="1"/>
  <c r="R81"/>
  <c r="V81" s="1"/>
  <c r="Q81"/>
  <c r="N81"/>
  <c r="O81" s="1"/>
  <c r="Y81"/>
  <c r="B81"/>
  <c r="W80"/>
  <c r="X80" s="1"/>
  <c r="R80"/>
  <c r="V80" s="1"/>
  <c r="Q80"/>
  <c r="N80"/>
  <c r="P80" s="1"/>
  <c r="Y80"/>
  <c r="Z80"/>
  <c r="B80"/>
  <c r="Z79"/>
  <c r="W79"/>
  <c r="X79" s="1"/>
  <c r="R79"/>
  <c r="V79" s="1"/>
  <c r="Q79"/>
  <c r="N79"/>
  <c r="O79" s="1"/>
  <c r="Y79"/>
  <c r="B79"/>
  <c r="W78"/>
  <c r="X78" s="1"/>
  <c r="R78"/>
  <c r="V78" s="1"/>
  <c r="Q78"/>
  <c r="N78"/>
  <c r="P78" s="1"/>
  <c r="Y78"/>
  <c r="B78"/>
  <c r="W77"/>
  <c r="X77" s="1"/>
  <c r="R77"/>
  <c r="V77" s="1"/>
  <c r="Q77"/>
  <c r="N77"/>
  <c r="O77" s="1"/>
  <c r="Y77"/>
  <c r="B77"/>
  <c r="W76"/>
  <c r="X76" s="1"/>
  <c r="R76"/>
  <c r="V76" s="1"/>
  <c r="Q76"/>
  <c r="N76"/>
  <c r="P76" s="1"/>
  <c r="Y76"/>
  <c r="Z76"/>
  <c r="B76"/>
  <c r="Z75"/>
  <c r="W75"/>
  <c r="X75" s="1"/>
  <c r="R75"/>
  <c r="V75" s="1"/>
  <c r="Q75"/>
  <c r="N75"/>
  <c r="O75" s="1"/>
  <c r="Y75"/>
  <c r="B75"/>
  <c r="W74"/>
  <c r="X74" s="1"/>
  <c r="R74"/>
  <c r="S74" s="1"/>
  <c r="Q74"/>
  <c r="N74"/>
  <c r="P74" s="1"/>
  <c r="Y74"/>
  <c r="B74"/>
  <c r="W73"/>
  <c r="X73" s="1"/>
  <c r="R73"/>
  <c r="V73" s="1"/>
  <c r="Q73"/>
  <c r="N73"/>
  <c r="O73" s="1"/>
  <c r="Y73"/>
  <c r="B73"/>
  <c r="W72"/>
  <c r="X72" s="1"/>
  <c r="R72"/>
  <c r="V72" s="1"/>
  <c r="Q72"/>
  <c r="N72"/>
  <c r="P72" s="1"/>
  <c r="Y72"/>
  <c r="Z72"/>
  <c r="B72"/>
  <c r="Z71"/>
  <c r="W71"/>
  <c r="X71" s="1"/>
  <c r="R71"/>
  <c r="V71" s="1"/>
  <c r="Q71"/>
  <c r="N71"/>
  <c r="O71" s="1"/>
  <c r="Y71"/>
  <c r="B71"/>
  <c r="W70"/>
  <c r="X70" s="1"/>
  <c r="R70"/>
  <c r="S70" s="1"/>
  <c r="Q70"/>
  <c r="N70"/>
  <c r="P70" s="1"/>
  <c r="Y70"/>
  <c r="B70"/>
  <c r="W69"/>
  <c r="X69" s="1"/>
  <c r="R69"/>
  <c r="V69" s="1"/>
  <c r="Q69"/>
  <c r="N69"/>
  <c r="O69" s="1"/>
  <c r="Y69"/>
  <c r="B69"/>
  <c r="W68"/>
  <c r="X68" s="1"/>
  <c r="R68"/>
  <c r="V68" s="1"/>
  <c r="Q68"/>
  <c r="N68"/>
  <c r="P68" s="1"/>
  <c r="Y68"/>
  <c r="Z68"/>
  <c r="B68"/>
  <c r="Z67"/>
  <c r="W67"/>
  <c r="X67" s="1"/>
  <c r="R67"/>
  <c r="V67" s="1"/>
  <c r="Q67"/>
  <c r="N67"/>
  <c r="O67" s="1"/>
  <c r="Y67"/>
  <c r="B67"/>
  <c r="W66"/>
  <c r="X66" s="1"/>
  <c r="R66"/>
  <c r="S66" s="1"/>
  <c r="Q66"/>
  <c r="N66"/>
  <c r="P66" s="1"/>
  <c r="Y66"/>
  <c r="B66"/>
  <c r="W65"/>
  <c r="X65" s="1"/>
  <c r="R65"/>
  <c r="V65" s="1"/>
  <c r="Q65"/>
  <c r="N65"/>
  <c r="O65" s="1"/>
  <c r="Y65"/>
  <c r="B65"/>
  <c r="W64"/>
  <c r="X64" s="1"/>
  <c r="R64"/>
  <c r="V64" s="1"/>
  <c r="Q64"/>
  <c r="N64"/>
  <c r="P64" s="1"/>
  <c r="Y64"/>
  <c r="Z64"/>
  <c r="B64"/>
  <c r="Z63"/>
  <c r="W63"/>
  <c r="X63" s="1"/>
  <c r="R63"/>
  <c r="V63" s="1"/>
  <c r="Q63"/>
  <c r="N63"/>
  <c r="O63" s="1"/>
  <c r="Y63"/>
  <c r="B63"/>
  <c r="W62"/>
  <c r="X62" s="1"/>
  <c r="R62"/>
  <c r="V62" s="1"/>
  <c r="Q62"/>
  <c r="N62"/>
  <c r="P62" s="1"/>
  <c r="Y62"/>
  <c r="B62"/>
  <c r="W61"/>
  <c r="X61" s="1"/>
  <c r="R61"/>
  <c r="V61" s="1"/>
  <c r="Q61"/>
  <c r="N61"/>
  <c r="O61" s="1"/>
  <c r="Y61"/>
  <c r="B61"/>
  <c r="W60"/>
  <c r="X60" s="1"/>
  <c r="R60"/>
  <c r="V60" s="1"/>
  <c r="Q60"/>
  <c r="N60"/>
  <c r="P60" s="1"/>
  <c r="Y60"/>
  <c r="Z60"/>
  <c r="B60"/>
  <c r="Z59"/>
  <c r="W59"/>
  <c r="X59" s="1"/>
  <c r="R59"/>
  <c r="V59" s="1"/>
  <c r="Q59"/>
  <c r="N59"/>
  <c r="O59" s="1"/>
  <c r="Y59"/>
  <c r="B59"/>
  <c r="W58"/>
  <c r="X58" s="1"/>
  <c r="R58"/>
  <c r="S58" s="1"/>
  <c r="Q58"/>
  <c r="N58"/>
  <c r="P58" s="1"/>
  <c r="Y58"/>
  <c r="B58"/>
  <c r="W57"/>
  <c r="X57" s="1"/>
  <c r="R57"/>
  <c r="V57" s="1"/>
  <c r="Q57"/>
  <c r="N57"/>
  <c r="O57" s="1"/>
  <c r="Y57"/>
  <c r="B57"/>
  <c r="W56"/>
  <c r="X56" s="1"/>
  <c r="R56"/>
  <c r="V56" s="1"/>
  <c r="Q56"/>
  <c r="N56"/>
  <c r="P56" s="1"/>
  <c r="Y56"/>
  <c r="Z56"/>
  <c r="B56"/>
  <c r="W55"/>
  <c r="X55" s="1"/>
  <c r="R55"/>
  <c r="V55" s="1"/>
  <c r="Q55"/>
  <c r="N55"/>
  <c r="O55" s="1"/>
  <c r="Y55"/>
  <c r="Z55"/>
  <c r="B55"/>
  <c r="Z54"/>
  <c r="W54"/>
  <c r="X54" s="1"/>
  <c r="R54"/>
  <c r="V54" s="1"/>
  <c r="Q54"/>
  <c r="N54"/>
  <c r="O54" s="1"/>
  <c r="Y54"/>
  <c r="B54"/>
  <c r="W53"/>
  <c r="X53" s="1"/>
  <c r="R53"/>
  <c r="S53" s="1"/>
  <c r="Q53"/>
  <c r="N53"/>
  <c r="O53" s="1"/>
  <c r="Y53"/>
  <c r="Z53"/>
  <c r="B53"/>
  <c r="W52"/>
  <c r="X52" s="1"/>
  <c r="R52"/>
  <c r="S52" s="1"/>
  <c r="Q52"/>
  <c r="N52"/>
  <c r="P52" s="1"/>
  <c r="Y52"/>
  <c r="Z52"/>
  <c r="B52"/>
  <c r="Y51"/>
  <c r="W51"/>
  <c r="X51" s="1"/>
  <c r="R51"/>
  <c r="V51" s="1"/>
  <c r="Q51"/>
  <c r="N51"/>
  <c r="O51" s="1"/>
  <c r="Z51"/>
  <c r="B51"/>
  <c r="Z50"/>
  <c r="W50"/>
  <c r="X50" s="1"/>
  <c r="R50"/>
  <c r="S50" s="1"/>
  <c r="Q50"/>
  <c r="N50"/>
  <c r="O50" s="1"/>
  <c r="Y50"/>
  <c r="B50"/>
  <c r="Y49"/>
  <c r="W49"/>
  <c r="X49" s="1"/>
  <c r="R49"/>
  <c r="Q49"/>
  <c r="N49"/>
  <c r="O49" s="1"/>
  <c r="Z49"/>
  <c r="B49"/>
  <c r="W48"/>
  <c r="X48" s="1"/>
  <c r="R48"/>
  <c r="V48" s="1"/>
  <c r="Q48"/>
  <c r="N48"/>
  <c r="P48" s="1"/>
  <c r="Y48"/>
  <c r="Z48"/>
  <c r="B48"/>
  <c r="W47"/>
  <c r="X47" s="1"/>
  <c r="R47"/>
  <c r="V47" s="1"/>
  <c r="Q47"/>
  <c r="N47"/>
  <c r="O47" s="1"/>
  <c r="Y47"/>
  <c r="Z47"/>
  <c r="B47"/>
  <c r="Z46"/>
  <c r="W46"/>
  <c r="X46" s="1"/>
  <c r="R46"/>
  <c r="V46" s="1"/>
  <c r="Q46"/>
  <c r="N46"/>
  <c r="P46" s="1"/>
  <c r="Y46"/>
  <c r="B46"/>
  <c r="W45"/>
  <c r="X45" s="1"/>
  <c r="R45"/>
  <c r="S45" s="1"/>
  <c r="Q45"/>
  <c r="N45"/>
  <c r="O45" s="1"/>
  <c r="Y45"/>
  <c r="Z45"/>
  <c r="B45"/>
  <c r="W44"/>
  <c r="X44" s="1"/>
  <c r="R44"/>
  <c r="V44" s="1"/>
  <c r="Q44"/>
  <c r="N44"/>
  <c r="P44" s="1"/>
  <c r="Y44"/>
  <c r="Z44"/>
  <c r="B44"/>
  <c r="W43"/>
  <c r="X43" s="1"/>
  <c r="R43"/>
  <c r="V43" s="1"/>
  <c r="Q43"/>
  <c r="N43"/>
  <c r="O43" s="1"/>
  <c r="Y43"/>
  <c r="Z43"/>
  <c r="B43"/>
  <c r="W42"/>
  <c r="X42" s="1"/>
  <c r="R42"/>
  <c r="V42" s="1"/>
  <c r="Q42"/>
  <c r="N42"/>
  <c r="P42" s="1"/>
  <c r="Y42"/>
  <c r="Z42"/>
  <c r="B42"/>
  <c r="Y41"/>
  <c r="W41"/>
  <c r="X41" s="1"/>
  <c r="R41"/>
  <c r="Q41"/>
  <c r="N41"/>
  <c r="O41" s="1"/>
  <c r="Z41"/>
  <c r="B41"/>
  <c r="W40"/>
  <c r="X40" s="1"/>
  <c r="R40"/>
  <c r="V40" s="1"/>
  <c r="Q40"/>
  <c r="N40"/>
  <c r="P40" s="1"/>
  <c r="Y40"/>
  <c r="Z40"/>
  <c r="B40"/>
  <c r="Y39"/>
  <c r="W39"/>
  <c r="X39" s="1"/>
  <c r="R39"/>
  <c r="V39" s="1"/>
  <c r="Q39"/>
  <c r="N39"/>
  <c r="O39" s="1"/>
  <c r="Z39"/>
  <c r="B39"/>
  <c r="W38"/>
  <c r="X38" s="1"/>
  <c r="R38"/>
  <c r="S38" s="1"/>
  <c r="Q38"/>
  <c r="N38"/>
  <c r="O38" s="1"/>
  <c r="Y38"/>
  <c r="Z38"/>
  <c r="B38"/>
  <c r="W37"/>
  <c r="X37" s="1"/>
  <c r="R37"/>
  <c r="S37" s="1"/>
  <c r="Q37"/>
  <c r="N37"/>
  <c r="O37" s="1"/>
  <c r="Y37"/>
  <c r="Z37"/>
  <c r="B37"/>
  <c r="W36"/>
  <c r="X36" s="1"/>
  <c r="R36"/>
  <c r="S36" s="1"/>
  <c r="Q36"/>
  <c r="N36"/>
  <c r="P36" s="1"/>
  <c r="Y36"/>
  <c r="Z36"/>
  <c r="B36"/>
  <c r="Y35"/>
  <c r="W35"/>
  <c r="X35" s="1"/>
  <c r="R35"/>
  <c r="V35" s="1"/>
  <c r="Q35"/>
  <c r="N35"/>
  <c r="O35" s="1"/>
  <c r="Z35"/>
  <c r="B35"/>
  <c r="Z34"/>
  <c r="W34"/>
  <c r="X34" s="1"/>
  <c r="R34"/>
  <c r="S34" s="1"/>
  <c r="Q34"/>
  <c r="N34"/>
  <c r="O34" s="1"/>
  <c r="Y34"/>
  <c r="B34"/>
  <c r="Y33"/>
  <c r="W33"/>
  <c r="X33" s="1"/>
  <c r="R33"/>
  <c r="Q33"/>
  <c r="N33"/>
  <c r="O33" s="1"/>
  <c r="Z33"/>
  <c r="B33"/>
  <c r="W32"/>
  <c r="X32" s="1"/>
  <c r="R32"/>
  <c r="V32" s="1"/>
  <c r="Q32"/>
  <c r="N32"/>
  <c r="P32" s="1"/>
  <c r="Y32"/>
  <c r="Z32"/>
  <c r="B32"/>
  <c r="W31"/>
  <c r="X31" s="1"/>
  <c r="R31"/>
  <c r="V31" s="1"/>
  <c r="Q31"/>
  <c r="N31"/>
  <c r="O31" s="1"/>
  <c r="Y31"/>
  <c r="Z31"/>
  <c r="B31"/>
  <c r="Z30"/>
  <c r="W30"/>
  <c r="X30" s="1"/>
  <c r="R30"/>
  <c r="V30" s="1"/>
  <c r="Q30"/>
  <c r="N30"/>
  <c r="P30" s="1"/>
  <c r="Y30"/>
  <c r="B30"/>
  <c r="W29"/>
  <c r="X29" s="1"/>
  <c r="R29"/>
  <c r="S29" s="1"/>
  <c r="Q29"/>
  <c r="N29"/>
  <c r="O29" s="1"/>
  <c r="Y29"/>
  <c r="Z29"/>
  <c r="B29"/>
  <c r="W28"/>
  <c r="X28" s="1"/>
  <c r="R28"/>
  <c r="V28" s="1"/>
  <c r="Q28"/>
  <c r="N28"/>
  <c r="P28" s="1"/>
  <c r="Y28"/>
  <c r="Z28"/>
  <c r="B28"/>
  <c r="W27"/>
  <c r="X27" s="1"/>
  <c r="R27"/>
  <c r="V27" s="1"/>
  <c r="Q27"/>
  <c r="N27"/>
  <c r="O27" s="1"/>
  <c r="Y27"/>
  <c r="Z27"/>
  <c r="B27"/>
  <c r="W26"/>
  <c r="X26" s="1"/>
  <c r="R26"/>
  <c r="V26" s="1"/>
  <c r="Q26"/>
  <c r="N26"/>
  <c r="P26" s="1"/>
  <c r="Y26"/>
  <c r="Z26"/>
  <c r="B26"/>
  <c r="Y25"/>
  <c r="W25"/>
  <c r="X25" s="1"/>
  <c r="R25"/>
  <c r="Q25"/>
  <c r="N25"/>
  <c r="O25" s="1"/>
  <c r="Z25"/>
  <c r="B25"/>
  <c r="W24"/>
  <c r="X24" s="1"/>
  <c r="R24"/>
  <c r="V24" s="1"/>
  <c r="Q24"/>
  <c r="N24"/>
  <c r="P24" s="1"/>
  <c r="Y24"/>
  <c r="Z24"/>
  <c r="B24"/>
  <c r="Y23"/>
  <c r="W23"/>
  <c r="X23" s="1"/>
  <c r="R23"/>
  <c r="V23" s="1"/>
  <c r="Q23"/>
  <c r="N23"/>
  <c r="O23" s="1"/>
  <c r="Z23"/>
  <c r="B23"/>
  <c r="W22"/>
  <c r="X22" s="1"/>
  <c r="R22"/>
  <c r="S22" s="1"/>
  <c r="Q22"/>
  <c r="N22"/>
  <c r="O22" s="1"/>
  <c r="Y22"/>
  <c r="Z22"/>
  <c r="B22"/>
  <c r="W21"/>
  <c r="X21" s="1"/>
  <c r="R21"/>
  <c r="S21" s="1"/>
  <c r="Q21"/>
  <c r="N21"/>
  <c r="O21" s="1"/>
  <c r="Y21"/>
  <c r="Z21"/>
  <c r="B21"/>
  <c r="W20"/>
  <c r="X20" s="1"/>
  <c r="R20"/>
  <c r="S20" s="1"/>
  <c r="Q20"/>
  <c r="N20"/>
  <c r="P20" s="1"/>
  <c r="Y20"/>
  <c r="Z20"/>
  <c r="B20"/>
  <c r="Y19"/>
  <c r="W19"/>
  <c r="X19" s="1"/>
  <c r="R19"/>
  <c r="V19" s="1"/>
  <c r="Q19"/>
  <c r="N19"/>
  <c r="O19" s="1"/>
  <c r="Z19"/>
  <c r="B19"/>
  <c r="Z18"/>
  <c r="W18"/>
  <c r="X18" s="1"/>
  <c r="R18"/>
  <c r="V18" s="1"/>
  <c r="Q18"/>
  <c r="N18"/>
  <c r="P18" s="1"/>
  <c r="Y18"/>
  <c r="B18"/>
  <c r="W17"/>
  <c r="X17" s="1"/>
  <c r="R17"/>
  <c r="Q17"/>
  <c r="N17"/>
  <c r="O17" s="1"/>
  <c r="Y17"/>
  <c r="Z17"/>
  <c r="B17"/>
  <c r="W16"/>
  <c r="X16" s="1"/>
  <c r="R16"/>
  <c r="V16" s="1"/>
  <c r="Q16"/>
  <c r="N16"/>
  <c r="P16" s="1"/>
  <c r="Y16"/>
  <c r="Z16"/>
  <c r="B16"/>
  <c r="W15"/>
  <c r="X15" s="1"/>
  <c r="R15"/>
  <c r="V15" s="1"/>
  <c r="Q15"/>
  <c r="N15"/>
  <c r="O15" s="1"/>
  <c r="Y15"/>
  <c r="Z15"/>
  <c r="B15"/>
  <c r="W14"/>
  <c r="X14" s="1"/>
  <c r="R14"/>
  <c r="V14" s="1"/>
  <c r="Q14"/>
  <c r="N14"/>
  <c r="P14" s="1"/>
  <c r="Y14"/>
  <c r="Z14"/>
  <c r="B14"/>
  <c r="W13"/>
  <c r="X13" s="1"/>
  <c r="R13"/>
  <c r="Q13"/>
  <c r="N13"/>
  <c r="O13" s="1"/>
  <c r="Y13"/>
  <c r="Z13"/>
  <c r="B13"/>
  <c r="W12"/>
  <c r="X12" s="1"/>
  <c r="R12"/>
  <c r="V12" s="1"/>
  <c r="Q12"/>
  <c r="N12"/>
  <c r="P12" s="1"/>
  <c r="Y12"/>
  <c r="Z12"/>
  <c r="B12"/>
  <c r="W11"/>
  <c r="X11" s="1"/>
  <c r="R11"/>
  <c r="V11" s="1"/>
  <c r="Q11"/>
  <c r="N11"/>
  <c r="O11" s="1"/>
  <c r="Y11"/>
  <c r="Z11"/>
  <c r="B11"/>
  <c r="W10"/>
  <c r="X10" s="1"/>
  <c r="R10"/>
  <c r="V10" s="1"/>
  <c r="Q10"/>
  <c r="N10"/>
  <c r="P10" s="1"/>
  <c r="Y10"/>
  <c r="Z10"/>
  <c r="B10"/>
  <c r="W9"/>
  <c r="X9" s="1"/>
  <c r="R9"/>
  <c r="Q9"/>
  <c r="N9"/>
  <c r="O9" s="1"/>
  <c r="Y9"/>
  <c r="Z9"/>
  <c r="B9"/>
  <c r="W8"/>
  <c r="X8" s="1"/>
  <c r="R8"/>
  <c r="V8" s="1"/>
  <c r="Q8"/>
  <c r="N8"/>
  <c r="P8" s="1"/>
  <c r="Y8"/>
  <c r="Z8"/>
  <c r="B8"/>
  <c r="W7"/>
  <c r="X7" s="1"/>
  <c r="R7"/>
  <c r="V7" s="1"/>
  <c r="Q7"/>
  <c r="N7"/>
  <c r="O7" s="1"/>
  <c r="Y7"/>
  <c r="Z7"/>
  <c r="B7"/>
  <c r="W6"/>
  <c r="X6" s="1"/>
  <c r="R6"/>
  <c r="V6" s="1"/>
  <c r="Q6"/>
  <c r="N6"/>
  <c r="O6" s="1"/>
  <c r="Y6"/>
  <c r="Z6"/>
  <c r="B6"/>
  <c r="W5"/>
  <c r="X5" s="1"/>
  <c r="R5"/>
  <c r="Q5"/>
  <c r="N5"/>
  <c r="O5" s="1"/>
  <c r="Y5"/>
  <c r="Z5"/>
  <c r="B5"/>
  <c r="W4"/>
  <c r="X4" s="1"/>
  <c r="R4"/>
  <c r="V4" s="1"/>
  <c r="Q4"/>
  <c r="N4"/>
  <c r="P4" s="1"/>
  <c r="J4"/>
  <c r="L4" s="1"/>
  <c r="Y4"/>
  <c r="Z4"/>
  <c r="B4"/>
  <c r="W3"/>
  <c r="X3" s="1"/>
  <c r="R3"/>
  <c r="V3" s="1"/>
  <c r="Q3"/>
  <c r="N3"/>
  <c r="O3" s="1"/>
  <c r="J3"/>
  <c r="K3" s="1"/>
  <c r="Y3"/>
  <c r="Z3"/>
  <c r="B3"/>
  <c r="W2"/>
  <c r="X2" s="1"/>
  <c r="R2"/>
  <c r="V2" s="1"/>
  <c r="Q2"/>
  <c r="N2"/>
  <c r="P2" s="1"/>
  <c r="J2"/>
  <c r="K2" s="1"/>
  <c r="H2"/>
  <c r="Y2" s="1"/>
  <c r="G2"/>
  <c r="Z2" s="1"/>
  <c r="B2"/>
  <c r="R3" i="23"/>
  <c r="V3" s="1"/>
  <c r="R4"/>
  <c r="V4" s="1"/>
  <c r="R5"/>
  <c r="R6"/>
  <c r="V6" s="1"/>
  <c r="R7"/>
  <c r="V7" s="1"/>
  <c r="R8"/>
  <c r="R9"/>
  <c r="R10"/>
  <c r="R11"/>
  <c r="V11" s="1"/>
  <c r="R12"/>
  <c r="R13"/>
  <c r="R14"/>
  <c r="R15"/>
  <c r="V15" s="1"/>
  <c r="R16"/>
  <c r="R17"/>
  <c r="R18"/>
  <c r="R19"/>
  <c r="V19" s="1"/>
  <c r="R20"/>
  <c r="V20" s="1"/>
  <c r="R21"/>
  <c r="R22"/>
  <c r="R23"/>
  <c r="V23" s="1"/>
  <c r="R24"/>
  <c r="V24" s="1"/>
  <c r="R25"/>
  <c r="R26"/>
  <c r="R27"/>
  <c r="V27" s="1"/>
  <c r="R28"/>
  <c r="V28" s="1"/>
  <c r="R29"/>
  <c r="R30"/>
  <c r="V30" s="1"/>
  <c r="R31"/>
  <c r="V31" s="1"/>
  <c r="R32"/>
  <c r="V32" s="1"/>
  <c r="R33"/>
  <c r="R34"/>
  <c r="V34" s="1"/>
  <c r="R35"/>
  <c r="V35" s="1"/>
  <c r="R36"/>
  <c r="V36" s="1"/>
  <c r="R37"/>
  <c r="R38"/>
  <c r="V38" s="1"/>
  <c r="R39"/>
  <c r="V39" s="1"/>
  <c r="R40"/>
  <c r="V40" s="1"/>
  <c r="R41"/>
  <c r="R42"/>
  <c r="V42" s="1"/>
  <c r="R43"/>
  <c r="V43" s="1"/>
  <c r="R44"/>
  <c r="V44" s="1"/>
  <c r="R45"/>
  <c r="R46"/>
  <c r="V46" s="1"/>
  <c r="R47"/>
  <c r="V47" s="1"/>
  <c r="R48"/>
  <c r="V48" s="1"/>
  <c r="R49"/>
  <c r="R50"/>
  <c r="R51"/>
  <c r="V51" s="1"/>
  <c r="R52"/>
  <c r="V52" s="1"/>
  <c r="R53"/>
  <c r="R54"/>
  <c r="V54" s="1"/>
  <c r="R55"/>
  <c r="V55" s="1"/>
  <c r="R56"/>
  <c r="V56" s="1"/>
  <c r="R57"/>
  <c r="R58"/>
  <c r="V58" s="1"/>
  <c r="R59"/>
  <c r="V59" s="1"/>
  <c r="R60"/>
  <c r="V60" s="1"/>
  <c r="R61"/>
  <c r="R62"/>
  <c r="V62" s="1"/>
  <c r="R63"/>
  <c r="V63" s="1"/>
  <c r="R64"/>
  <c r="V64" s="1"/>
  <c r="R65"/>
  <c r="R66"/>
  <c r="R67"/>
  <c r="V67" s="1"/>
  <c r="R68"/>
  <c r="V68" s="1"/>
  <c r="R69"/>
  <c r="R70"/>
  <c r="V70" s="1"/>
  <c r="R71"/>
  <c r="R72"/>
  <c r="V72" s="1"/>
  <c r="R73"/>
  <c r="R74"/>
  <c r="V74" s="1"/>
  <c r="R75"/>
  <c r="V75" s="1"/>
  <c r="R76"/>
  <c r="V76" s="1"/>
  <c r="R77"/>
  <c r="R78"/>
  <c r="V78" s="1"/>
  <c r="R79"/>
  <c r="V79" s="1"/>
  <c r="R80"/>
  <c r="V80" s="1"/>
  <c r="R81"/>
  <c r="R82"/>
  <c r="R83"/>
  <c r="R84"/>
  <c r="V84" s="1"/>
  <c r="R85"/>
  <c r="R86"/>
  <c r="V86" s="1"/>
  <c r="R87"/>
  <c r="R88"/>
  <c r="V88" s="1"/>
  <c r="R89"/>
  <c r="R90"/>
  <c r="R91"/>
  <c r="V91" s="1"/>
  <c r="R92"/>
  <c r="V92" s="1"/>
  <c r="R93"/>
  <c r="V93" s="1"/>
  <c r="R94"/>
  <c r="R95"/>
  <c r="V95" s="1"/>
  <c r="R96"/>
  <c r="V96" s="1"/>
  <c r="R97"/>
  <c r="V97" s="1"/>
  <c r="R98"/>
  <c r="V98" s="1"/>
  <c r="R99"/>
  <c r="V99" s="1"/>
  <c r="R100"/>
  <c r="V100" s="1"/>
  <c r="R101"/>
  <c r="V101" s="1"/>
  <c r="R102"/>
  <c r="V102" s="1"/>
  <c r="R103"/>
  <c r="R104"/>
  <c r="V104" s="1"/>
  <c r="R105"/>
  <c r="V105" s="1"/>
  <c r="R106"/>
  <c r="V106" s="1"/>
  <c r="R107"/>
  <c r="V107" s="1"/>
  <c r="R108"/>
  <c r="V108" s="1"/>
  <c r="R109"/>
  <c r="V109" s="1"/>
  <c r="R110"/>
  <c r="R111"/>
  <c r="V111" s="1"/>
  <c r="R112"/>
  <c r="V112" s="1"/>
  <c r="R113"/>
  <c r="V113" s="1"/>
  <c r="R114"/>
  <c r="R115"/>
  <c r="V115" s="1"/>
  <c r="R116"/>
  <c r="V116" s="1"/>
  <c r="R117"/>
  <c r="V117" s="1"/>
  <c r="R118"/>
  <c r="V118" s="1"/>
  <c r="R119"/>
  <c r="R120"/>
  <c r="V120" s="1"/>
  <c r="R121"/>
  <c r="V121" s="1"/>
  <c r="R122"/>
  <c r="R123"/>
  <c r="V123" s="1"/>
  <c r="R124"/>
  <c r="V124" s="1"/>
  <c r="R125"/>
  <c r="R126"/>
  <c r="R127"/>
  <c r="R128"/>
  <c r="V128" s="1"/>
  <c r="R129"/>
  <c r="V129" s="1"/>
  <c r="R130"/>
  <c r="R131"/>
  <c r="V131" s="1"/>
  <c r="R132"/>
  <c r="R133"/>
  <c r="V133" s="1"/>
  <c r="R134"/>
  <c r="R135"/>
  <c r="R136"/>
  <c r="R137"/>
  <c r="R138"/>
  <c r="R139"/>
  <c r="V139" s="1"/>
  <c r="R140"/>
  <c r="R141"/>
  <c r="R142"/>
  <c r="R143"/>
  <c r="V143" s="1"/>
  <c r="R144"/>
  <c r="R145"/>
  <c r="R146"/>
  <c r="R147"/>
  <c r="V147" s="1"/>
  <c r="R148"/>
  <c r="R149"/>
  <c r="V149" s="1"/>
  <c r="R150"/>
  <c r="R151"/>
  <c r="R152"/>
  <c r="R153"/>
  <c r="V153" s="1"/>
  <c r="R154"/>
  <c r="R155"/>
  <c r="R156"/>
  <c r="R157"/>
  <c r="V157" s="1"/>
  <c r="R158"/>
  <c r="R159"/>
  <c r="R160"/>
  <c r="R161"/>
  <c r="V161" s="1"/>
  <c r="R162"/>
  <c r="R163"/>
  <c r="R164"/>
  <c r="R165"/>
  <c r="V165" s="1"/>
  <c r="R166"/>
  <c r="R167"/>
  <c r="R168"/>
  <c r="R169"/>
  <c r="V169" s="1"/>
  <c r="R170"/>
  <c r="R171"/>
  <c r="V171" s="1"/>
  <c r="R172"/>
  <c r="R173"/>
  <c r="V173" s="1"/>
  <c r="R174"/>
  <c r="R175"/>
  <c r="V175" s="1"/>
  <c r="R176"/>
  <c r="R177"/>
  <c r="R178"/>
  <c r="R179"/>
  <c r="R180"/>
  <c r="R181"/>
  <c r="V181" s="1"/>
  <c r="R182"/>
  <c r="R183"/>
  <c r="R184"/>
  <c r="R185"/>
  <c r="V185" s="1"/>
  <c r="R186"/>
  <c r="R187"/>
  <c r="V187" s="1"/>
  <c r="R188"/>
  <c r="R189"/>
  <c r="V189" s="1"/>
  <c r="R191"/>
  <c r="R192"/>
  <c r="V192" s="1"/>
  <c r="R193"/>
  <c r="R194"/>
  <c r="R195"/>
  <c r="R196"/>
  <c r="R197"/>
  <c r="R198"/>
  <c r="V198" s="1"/>
  <c r="R199"/>
  <c r="R200"/>
  <c r="R201"/>
  <c r="R202"/>
  <c r="V202" s="1"/>
  <c r="R203"/>
  <c r="R204"/>
  <c r="R205"/>
  <c r="R206"/>
  <c r="V206" s="1"/>
  <c r="R207"/>
  <c r="R208"/>
  <c r="V208" s="1"/>
  <c r="R209"/>
  <c r="R210"/>
  <c r="V210" s="1"/>
  <c r="R211"/>
  <c r="R212"/>
  <c r="V212" s="1"/>
  <c r="R213"/>
  <c r="R214"/>
  <c r="V214" s="1"/>
  <c r="R215"/>
  <c r="R216"/>
  <c r="V216" s="1"/>
  <c r="R217"/>
  <c r="R218"/>
  <c r="R219"/>
  <c r="R220"/>
  <c r="V220" s="1"/>
  <c r="R221"/>
  <c r="R222"/>
  <c r="R223"/>
  <c r="R224"/>
  <c r="V224" s="1"/>
  <c r="R225"/>
  <c r="R226"/>
  <c r="R227"/>
  <c r="R228"/>
  <c r="V228" s="1"/>
  <c r="R229"/>
  <c r="R230"/>
  <c r="R231"/>
  <c r="R232"/>
  <c r="V232" s="1"/>
  <c r="R233"/>
  <c r="R234"/>
  <c r="R235"/>
  <c r="R236"/>
  <c r="V236" s="1"/>
  <c r="R237"/>
  <c r="R238"/>
  <c r="R239"/>
  <c r="R240"/>
  <c r="R241"/>
  <c r="R242"/>
  <c r="R243"/>
  <c r="R244"/>
  <c r="R245"/>
  <c r="R246"/>
  <c r="R247"/>
  <c r="R248"/>
  <c r="R249"/>
  <c r="R250"/>
  <c r="R251"/>
  <c r="V251" s="1"/>
  <c r="R252"/>
  <c r="R253"/>
  <c r="V253" s="1"/>
  <c r="R254"/>
  <c r="R255"/>
  <c r="V255" s="1"/>
  <c r="R256"/>
  <c r="R257"/>
  <c r="V257" s="1"/>
  <c r="R258"/>
  <c r="V258" s="1"/>
  <c r="R259"/>
  <c r="R260"/>
  <c r="V260" s="1"/>
  <c r="R261"/>
  <c r="R262"/>
  <c r="V262" s="1"/>
  <c r="R263"/>
  <c r="V263" s="1"/>
  <c r="R264"/>
  <c r="V264" s="1"/>
  <c r="R265"/>
  <c r="V265" s="1"/>
  <c r="R266"/>
  <c r="R267"/>
  <c r="V267" s="1"/>
  <c r="R268"/>
  <c r="V268" s="1"/>
  <c r="R269"/>
  <c r="V269" s="1"/>
  <c r="R270"/>
  <c r="V270" s="1"/>
  <c r="R271"/>
  <c r="R272"/>
  <c r="V272" s="1"/>
  <c r="R273"/>
  <c r="V273" s="1"/>
  <c r="R274"/>
  <c r="V274" s="1"/>
  <c r="R275"/>
  <c r="R276"/>
  <c r="V276" s="1"/>
  <c r="R277"/>
  <c r="V277" s="1"/>
  <c r="R278"/>
  <c r="V278" s="1"/>
  <c r="R279"/>
  <c r="V279" s="1"/>
  <c r="R280"/>
  <c r="V280" s="1"/>
  <c r="R281"/>
  <c r="V281" s="1"/>
  <c r="R282"/>
  <c r="V282" s="1"/>
  <c r="R283"/>
  <c r="R284"/>
  <c r="V284" s="1"/>
  <c r="R285"/>
  <c r="R286"/>
  <c r="V286" s="1"/>
  <c r="R287"/>
  <c r="V287" s="1"/>
  <c r="R288"/>
  <c r="R289"/>
  <c r="R290"/>
  <c r="R291"/>
  <c r="V291" s="1"/>
  <c r="R292"/>
  <c r="R293"/>
  <c r="R294"/>
  <c r="V294" s="1"/>
  <c r="R295"/>
  <c r="R296"/>
  <c r="R297"/>
  <c r="V297" s="1"/>
  <c r="R298"/>
  <c r="V298" s="1"/>
  <c r="R299"/>
  <c r="R300"/>
  <c r="V300" s="1"/>
  <c r="R301"/>
  <c r="V301" s="1"/>
  <c r="R302"/>
  <c r="R303"/>
  <c r="R304"/>
  <c r="V304" s="1"/>
  <c r="R305"/>
  <c r="R306"/>
  <c r="R307"/>
  <c r="V307" s="1"/>
  <c r="R308"/>
  <c r="R309"/>
  <c r="R310"/>
  <c r="V310" s="1"/>
  <c r="R311"/>
  <c r="R312"/>
  <c r="R313"/>
  <c r="V313" s="1"/>
  <c r="R314"/>
  <c r="R315"/>
  <c r="R316"/>
  <c r="R317"/>
  <c r="V317" s="1"/>
  <c r="R318"/>
  <c r="V318" s="1"/>
  <c r="R319"/>
  <c r="R320"/>
  <c r="V320" s="1"/>
  <c r="R321"/>
  <c r="R322"/>
  <c r="V322" s="1"/>
  <c r="R323"/>
  <c r="R324"/>
  <c r="V324" s="1"/>
  <c r="R325"/>
  <c r="R326"/>
  <c r="V326" s="1"/>
  <c r="R327"/>
  <c r="R328"/>
  <c r="V328" s="1"/>
  <c r="R329"/>
  <c r="R330"/>
  <c r="V330" s="1"/>
  <c r="R331"/>
  <c r="R332"/>
  <c r="R333"/>
  <c r="R334"/>
  <c r="R335"/>
  <c r="R336"/>
  <c r="V336" s="1"/>
  <c r="R337"/>
  <c r="R338"/>
  <c r="R339"/>
  <c r="V339" s="1"/>
  <c r="R340"/>
  <c r="V340" s="1"/>
  <c r="R341"/>
  <c r="R342"/>
  <c r="V342" s="1"/>
  <c r="R343"/>
  <c r="V343" s="1"/>
  <c r="R344"/>
  <c r="V344" s="1"/>
  <c r="R345"/>
  <c r="R346"/>
  <c r="V346" s="1"/>
  <c r="R347"/>
  <c r="V347" s="1"/>
  <c r="R348"/>
  <c r="R349"/>
  <c r="R350"/>
  <c r="V350" s="1"/>
  <c r="R351"/>
  <c r="R352"/>
  <c r="V352" s="1"/>
  <c r="R353"/>
  <c r="R354"/>
  <c r="R355"/>
  <c r="V355" s="1"/>
  <c r="R356"/>
  <c r="V356" s="1"/>
  <c r="R357"/>
  <c r="R358"/>
  <c r="R359"/>
  <c r="R360"/>
  <c r="V360" s="1"/>
  <c r="R361"/>
  <c r="R362"/>
  <c r="R363"/>
  <c r="R364"/>
  <c r="V364" s="1"/>
  <c r="R365"/>
  <c r="R366"/>
  <c r="V366" s="1"/>
  <c r="R367"/>
  <c r="R368"/>
  <c r="R369"/>
  <c r="R370"/>
  <c r="V370" s="1"/>
  <c r="R371"/>
  <c r="V371" s="1"/>
  <c r="R372"/>
  <c r="V372" s="1"/>
  <c r="R373"/>
  <c r="R374"/>
  <c r="V374" s="1"/>
  <c r="R375"/>
  <c r="R376"/>
  <c r="R377"/>
  <c r="R378"/>
  <c r="V378" s="1"/>
  <c r="R379"/>
  <c r="V379" s="1"/>
  <c r="R380"/>
  <c r="V380" s="1"/>
  <c r="R381"/>
  <c r="R382"/>
  <c r="V382" s="1"/>
  <c r="R383"/>
  <c r="V383" s="1"/>
  <c r="R384"/>
  <c r="R385"/>
  <c r="R386"/>
  <c r="V386" s="1"/>
  <c r="R387"/>
  <c r="V387" s="1"/>
  <c r="R388"/>
  <c r="R389"/>
  <c r="R390"/>
  <c r="V390" s="1"/>
  <c r="R391"/>
  <c r="V391" s="1"/>
  <c r="R392"/>
  <c r="R393"/>
  <c r="R394"/>
  <c r="R395"/>
  <c r="R396"/>
  <c r="R397"/>
  <c r="R398"/>
  <c r="R399"/>
  <c r="R400"/>
  <c r="R401"/>
  <c r="V401" s="1"/>
  <c r="R402"/>
  <c r="V402" s="1"/>
  <c r="R403"/>
  <c r="V403" s="1"/>
  <c r="R404"/>
  <c r="R405"/>
  <c r="V405" s="1"/>
  <c r="R406"/>
  <c r="V406" s="1"/>
  <c r="R407"/>
  <c r="R408"/>
  <c r="R409"/>
  <c r="R410"/>
  <c r="V410" s="1"/>
  <c r="R411"/>
  <c r="R412"/>
  <c r="V412" s="1"/>
  <c r="R413"/>
  <c r="V413" s="1"/>
  <c r="R414"/>
  <c r="R415"/>
  <c r="V415" s="1"/>
  <c r="R416"/>
  <c r="V416" s="1"/>
  <c r="R417"/>
  <c r="V417" s="1"/>
  <c r="R418"/>
  <c r="R419"/>
  <c r="R420"/>
  <c r="R421"/>
  <c r="V421" s="1"/>
  <c r="R422"/>
  <c r="V422" s="1"/>
  <c r="R423"/>
  <c r="R424"/>
  <c r="V424" s="1"/>
  <c r="R425"/>
  <c r="R426"/>
  <c r="R427"/>
  <c r="R428"/>
  <c r="R429"/>
  <c r="V429" s="1"/>
  <c r="R430"/>
  <c r="V430" s="1"/>
  <c r="R431"/>
  <c r="V431" s="1"/>
  <c r="R432"/>
  <c r="V432" s="1"/>
  <c r="R433"/>
  <c r="R434"/>
  <c r="V434" s="1"/>
  <c r="R435"/>
  <c r="R436"/>
  <c r="R437"/>
  <c r="V437" s="1"/>
  <c r="R438"/>
  <c r="R439"/>
  <c r="R440"/>
  <c r="R441"/>
  <c r="V441" s="1"/>
  <c r="R442"/>
  <c r="V442" s="1"/>
  <c r="R443"/>
  <c r="R444"/>
  <c r="R445"/>
  <c r="V445" s="1"/>
  <c r="R446"/>
  <c r="R447"/>
  <c r="R448"/>
  <c r="V448" s="1"/>
  <c r="R449"/>
  <c r="R450"/>
  <c r="V450" s="1"/>
  <c r="R451"/>
  <c r="R452"/>
  <c r="R453"/>
  <c r="V453" s="1"/>
  <c r="R454"/>
  <c r="R455"/>
  <c r="R456"/>
  <c r="V456" s="1"/>
  <c r="R457"/>
  <c r="V457" s="1"/>
  <c r="R458"/>
  <c r="V458" s="1"/>
  <c r="R459"/>
  <c r="R460"/>
  <c r="R461"/>
  <c r="V461" s="1"/>
  <c r="R462"/>
  <c r="R463"/>
  <c r="R464"/>
  <c r="V464" s="1"/>
  <c r="R465"/>
  <c r="V465" s="1"/>
  <c r="R466"/>
  <c r="V466" s="1"/>
  <c r="R467"/>
  <c r="R468"/>
  <c r="R469"/>
  <c r="V469" s="1"/>
  <c r="R470"/>
  <c r="R471"/>
  <c r="R472"/>
  <c r="V472" s="1"/>
  <c r="R473"/>
  <c r="V473" s="1"/>
  <c r="R474"/>
  <c r="V474" s="1"/>
  <c r="R475"/>
  <c r="R476"/>
  <c r="V476" s="1"/>
  <c r="R477"/>
  <c r="V477" s="1"/>
  <c r="R478"/>
  <c r="R479"/>
  <c r="V479" s="1"/>
  <c r="R480"/>
  <c r="V480" s="1"/>
  <c r="R481"/>
  <c r="R482"/>
  <c r="R483"/>
  <c r="V483" s="1"/>
  <c r="R484"/>
  <c r="V484" s="1"/>
  <c r="R485"/>
  <c r="V485" s="1"/>
  <c r="R486"/>
  <c r="V486" s="1"/>
  <c r="R487"/>
  <c r="R488"/>
  <c r="V488" s="1"/>
  <c r="R489"/>
  <c r="V489" s="1"/>
  <c r="R490"/>
  <c r="V490" s="1"/>
  <c r="R491"/>
  <c r="R492"/>
  <c r="R493"/>
  <c r="V493" s="1"/>
  <c r="R494"/>
  <c r="R495"/>
  <c r="V495" s="1"/>
  <c r="R496"/>
  <c r="R497"/>
  <c r="V497" s="1"/>
  <c r="R498"/>
  <c r="V498" s="1"/>
  <c r="R499"/>
  <c r="R500"/>
  <c r="V500" s="1"/>
  <c r="R501"/>
  <c r="R502"/>
  <c r="V502" s="1"/>
  <c r="R503"/>
  <c r="R504"/>
  <c r="V504" s="1"/>
  <c r="R505"/>
  <c r="R506"/>
  <c r="R507"/>
  <c r="R508"/>
  <c r="V508" s="1"/>
  <c r="R509"/>
  <c r="V509" s="1"/>
  <c r="R510"/>
  <c r="R511"/>
  <c r="V511" s="1"/>
  <c r="R512"/>
  <c r="V512" s="1"/>
  <c r="R513"/>
  <c r="V513" s="1"/>
  <c r="R514"/>
  <c r="R515"/>
  <c r="R516"/>
  <c r="V516" s="1"/>
  <c r="R517"/>
  <c r="R518"/>
  <c r="R519"/>
  <c r="R520"/>
  <c r="V520" s="1"/>
  <c r="R521"/>
  <c r="V521" s="1"/>
  <c r="R522"/>
  <c r="R523"/>
  <c r="V523" s="1"/>
  <c r="R524"/>
  <c r="V524" s="1"/>
  <c r="R525"/>
  <c r="R526"/>
  <c r="R527"/>
  <c r="V527" s="1"/>
  <c r="R528"/>
  <c r="V528" s="1"/>
  <c r="R529"/>
  <c r="V529" s="1"/>
  <c r="R530"/>
  <c r="R531"/>
  <c r="V531" s="1"/>
  <c r="R532"/>
  <c r="R533"/>
  <c r="R534"/>
  <c r="R535"/>
  <c r="V535" s="1"/>
  <c r="R536"/>
  <c r="V536" s="1"/>
  <c r="R537"/>
  <c r="V537" s="1"/>
  <c r="R538"/>
  <c r="R539"/>
  <c r="R540"/>
  <c r="V540" s="1"/>
  <c r="R541"/>
  <c r="R542"/>
  <c r="R543"/>
  <c r="R544"/>
  <c r="V544" s="1"/>
  <c r="R545"/>
  <c r="V545" s="1"/>
  <c r="R546"/>
  <c r="R547"/>
  <c r="R548"/>
  <c r="R549"/>
  <c r="R550"/>
  <c r="R551"/>
  <c r="V551" s="1"/>
  <c r="R552"/>
  <c r="R553"/>
  <c r="R554"/>
  <c r="R555"/>
  <c r="R556"/>
  <c r="V556" s="1"/>
  <c r="R557"/>
  <c r="R558"/>
  <c r="R559"/>
  <c r="R560"/>
  <c r="R561"/>
  <c r="V561" s="1"/>
  <c r="R562"/>
  <c r="R563"/>
  <c r="R564"/>
  <c r="R565"/>
  <c r="R566"/>
  <c r="R567"/>
  <c r="R568"/>
  <c r="R569"/>
  <c r="R570"/>
  <c r="R571"/>
  <c r="R572"/>
  <c r="R2"/>
  <c r="V2" s="1"/>
  <c r="Q3"/>
  <c r="Q4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Q186"/>
  <c r="Q187"/>
  <c r="Q188"/>
  <c r="Q189"/>
  <c r="Q191"/>
  <c r="Q192"/>
  <c r="Q193"/>
  <c r="Q194"/>
  <c r="Q195"/>
  <c r="Q196"/>
  <c r="Q197"/>
  <c r="Q198"/>
  <c r="Q199"/>
  <c r="Q200"/>
  <c r="Q201"/>
  <c r="Q202"/>
  <c r="Q203"/>
  <c r="Q204"/>
  <c r="Q205"/>
  <c r="Q206"/>
  <c r="Q207"/>
  <c r="Q208"/>
  <c r="Q209"/>
  <c r="Q210"/>
  <c r="Q211"/>
  <c r="Q212"/>
  <c r="Q213"/>
  <c r="Q214"/>
  <c r="Q215"/>
  <c r="Q216"/>
  <c r="Q217"/>
  <c r="Q218"/>
  <c r="Q219"/>
  <c r="Q220"/>
  <c r="Q221"/>
  <c r="Q222"/>
  <c r="Q223"/>
  <c r="Q224"/>
  <c r="Q225"/>
  <c r="Q226"/>
  <c r="Q227"/>
  <c r="Q228"/>
  <c r="Q229"/>
  <c r="Q230"/>
  <c r="Q231"/>
  <c r="Q232"/>
  <c r="Q233"/>
  <c r="Q234"/>
  <c r="Q235"/>
  <c r="Q236"/>
  <c r="Q237"/>
  <c r="Q238"/>
  <c r="Q239"/>
  <c r="Q240"/>
  <c r="Q241"/>
  <c r="Q242"/>
  <c r="Q243"/>
  <c r="Q244"/>
  <c r="Q245"/>
  <c r="Q246"/>
  <c r="Q247"/>
  <c r="Q248"/>
  <c r="Q249"/>
  <c r="Q250"/>
  <c r="Q251"/>
  <c r="Q252"/>
  <c r="Q253"/>
  <c r="Q254"/>
  <c r="Q255"/>
  <c r="Q256"/>
  <c r="Q257"/>
  <c r="Q258"/>
  <c r="Q259"/>
  <c r="Q260"/>
  <c r="Q261"/>
  <c r="Q262"/>
  <c r="Q263"/>
  <c r="Q264"/>
  <c r="Q265"/>
  <c r="Q266"/>
  <c r="Q267"/>
  <c r="Q268"/>
  <c r="Q269"/>
  <c r="Q270"/>
  <c r="Q271"/>
  <c r="Q272"/>
  <c r="Q273"/>
  <c r="Q274"/>
  <c r="Q275"/>
  <c r="Q276"/>
  <c r="Q277"/>
  <c r="Q278"/>
  <c r="Q279"/>
  <c r="Q280"/>
  <c r="Q281"/>
  <c r="Q282"/>
  <c r="Q283"/>
  <c r="Q284"/>
  <c r="Q285"/>
  <c r="Q286"/>
  <c r="Q287"/>
  <c r="Q288"/>
  <c r="Q289"/>
  <c r="Q290"/>
  <c r="Q291"/>
  <c r="Q292"/>
  <c r="Q293"/>
  <c r="Q294"/>
  <c r="Q295"/>
  <c r="Q296"/>
  <c r="Q297"/>
  <c r="Q298"/>
  <c r="Q299"/>
  <c r="Q300"/>
  <c r="Q301"/>
  <c r="Q302"/>
  <c r="Q303"/>
  <c r="Q304"/>
  <c r="Q305"/>
  <c r="Q306"/>
  <c r="Q307"/>
  <c r="Q308"/>
  <c r="Q309"/>
  <c r="Q310"/>
  <c r="Q311"/>
  <c r="Q312"/>
  <c r="Q313"/>
  <c r="Q314"/>
  <c r="Q315"/>
  <c r="Q316"/>
  <c r="Q317"/>
  <c r="Q318"/>
  <c r="Q319"/>
  <c r="Q320"/>
  <c r="Q321"/>
  <c r="Q322"/>
  <c r="Q323"/>
  <c r="Q324"/>
  <c r="Q325"/>
  <c r="Q326"/>
  <c r="Q327"/>
  <c r="Q328"/>
  <c r="Q329"/>
  <c r="Q330"/>
  <c r="Q331"/>
  <c r="Q332"/>
  <c r="Q333"/>
  <c r="Q334"/>
  <c r="Q335"/>
  <c r="Q336"/>
  <c r="Q337"/>
  <c r="Q338"/>
  <c r="Q339"/>
  <c r="Q340"/>
  <c r="Q341"/>
  <c r="Q342"/>
  <c r="Q343"/>
  <c r="Q344"/>
  <c r="Q345"/>
  <c r="Q346"/>
  <c r="Q347"/>
  <c r="Q348"/>
  <c r="Q349"/>
  <c r="Q350"/>
  <c r="Q351"/>
  <c r="Q352"/>
  <c r="Q353"/>
  <c r="Q354"/>
  <c r="Q355"/>
  <c r="Q356"/>
  <c r="Q357"/>
  <c r="Q358"/>
  <c r="Q359"/>
  <c r="Q360"/>
  <c r="Q361"/>
  <c r="Q362"/>
  <c r="Q363"/>
  <c r="Q364"/>
  <c r="Q365"/>
  <c r="Q366"/>
  <c r="Q367"/>
  <c r="Q368"/>
  <c r="Q369"/>
  <c r="Q370"/>
  <c r="Q371"/>
  <c r="Q372"/>
  <c r="Q373"/>
  <c r="Q374"/>
  <c r="Q375"/>
  <c r="Q376"/>
  <c r="Q377"/>
  <c r="Q378"/>
  <c r="Q379"/>
  <c r="Q380"/>
  <c r="Q381"/>
  <c r="Q382"/>
  <c r="Q383"/>
  <c r="Q384"/>
  <c r="Q385"/>
  <c r="Q386"/>
  <c r="Q387"/>
  <c r="Q388"/>
  <c r="Q389"/>
  <c r="Q390"/>
  <c r="Q391"/>
  <c r="Q392"/>
  <c r="Q393"/>
  <c r="Q394"/>
  <c r="Q395"/>
  <c r="Q396"/>
  <c r="Q397"/>
  <c r="Q398"/>
  <c r="Q399"/>
  <c r="Q400"/>
  <c r="Q401"/>
  <c r="Q402"/>
  <c r="Q403"/>
  <c r="Q404"/>
  <c r="Q405"/>
  <c r="Q406"/>
  <c r="Q407"/>
  <c r="Q408"/>
  <c r="Q409"/>
  <c r="Q410"/>
  <c r="Q411"/>
  <c r="Q412"/>
  <c r="Q413"/>
  <c r="Q414"/>
  <c r="Q415"/>
  <c r="Q416"/>
  <c r="Q417"/>
  <c r="Q418"/>
  <c r="Q419"/>
  <c r="Q420"/>
  <c r="Q421"/>
  <c r="Q422"/>
  <c r="Q423"/>
  <c r="Q424"/>
  <c r="Q425"/>
  <c r="Q426"/>
  <c r="Q427"/>
  <c r="Q428"/>
  <c r="Q429"/>
  <c r="Q430"/>
  <c r="Q431"/>
  <c r="Q432"/>
  <c r="Q433"/>
  <c r="Q434"/>
  <c r="Q435"/>
  <c r="Q436"/>
  <c r="Q437"/>
  <c r="Q438"/>
  <c r="Q439"/>
  <c r="Q440"/>
  <c r="Q441"/>
  <c r="Q442"/>
  <c r="Q443"/>
  <c r="Q444"/>
  <c r="Q445"/>
  <c r="Q446"/>
  <c r="Q447"/>
  <c r="Q448"/>
  <c r="Q449"/>
  <c r="Q450"/>
  <c r="Q451"/>
  <c r="Q452"/>
  <c r="Q453"/>
  <c r="Q454"/>
  <c r="Q455"/>
  <c r="Q456"/>
  <c r="Q457"/>
  <c r="Q458"/>
  <c r="Q459"/>
  <c r="Q460"/>
  <c r="Q461"/>
  <c r="Q462"/>
  <c r="Q463"/>
  <c r="Q464"/>
  <c r="Q465"/>
  <c r="Q466"/>
  <c r="Q467"/>
  <c r="Q468"/>
  <c r="Q469"/>
  <c r="Q470"/>
  <c r="Q471"/>
  <c r="Q472"/>
  <c r="Q473"/>
  <c r="Q474"/>
  <c r="Q475"/>
  <c r="Q476"/>
  <c r="Q477"/>
  <c r="Q478"/>
  <c r="Q479"/>
  <c r="Q480"/>
  <c r="Q481"/>
  <c r="Q482"/>
  <c r="Q483"/>
  <c r="Q484"/>
  <c r="Q485"/>
  <c r="Q486"/>
  <c r="Q487"/>
  <c r="Q488"/>
  <c r="Q489"/>
  <c r="Q490"/>
  <c r="Q491"/>
  <c r="Q492"/>
  <c r="Q493"/>
  <c r="Q494"/>
  <c r="Q495"/>
  <c r="Q496"/>
  <c r="Q497"/>
  <c r="Q498"/>
  <c r="Q499"/>
  <c r="Q500"/>
  <c r="Q501"/>
  <c r="Q502"/>
  <c r="Q503"/>
  <c r="Q504"/>
  <c r="Q505"/>
  <c r="Q506"/>
  <c r="Q507"/>
  <c r="Q508"/>
  <c r="Q509"/>
  <c r="Q510"/>
  <c r="Q511"/>
  <c r="Q512"/>
  <c r="Q513"/>
  <c r="Q514"/>
  <c r="Q515"/>
  <c r="Q516"/>
  <c r="Q517"/>
  <c r="Q518"/>
  <c r="Q519"/>
  <c r="Q520"/>
  <c r="Q521"/>
  <c r="Q522"/>
  <c r="Q523"/>
  <c r="Q524"/>
  <c r="Q525"/>
  <c r="Q526"/>
  <c r="Q527"/>
  <c r="Q528"/>
  <c r="Q529"/>
  <c r="Q530"/>
  <c r="Q531"/>
  <c r="Q532"/>
  <c r="Q533"/>
  <c r="Q534"/>
  <c r="Q535"/>
  <c r="Q536"/>
  <c r="Q537"/>
  <c r="Q538"/>
  <c r="Q539"/>
  <c r="Q540"/>
  <c r="Q541"/>
  <c r="Q542"/>
  <c r="Q543"/>
  <c r="Q544"/>
  <c r="Q545"/>
  <c r="Q546"/>
  <c r="Q547"/>
  <c r="Q548"/>
  <c r="Q549"/>
  <c r="Q550"/>
  <c r="Q551"/>
  <c r="Q552"/>
  <c r="Q553"/>
  <c r="Q554"/>
  <c r="Q555"/>
  <c r="Q556"/>
  <c r="Q557"/>
  <c r="Q558"/>
  <c r="Q559"/>
  <c r="Q560"/>
  <c r="Q561"/>
  <c r="Q562"/>
  <c r="Q563"/>
  <c r="Q564"/>
  <c r="Q565"/>
  <c r="Q566"/>
  <c r="Q567"/>
  <c r="Q568"/>
  <c r="Q569"/>
  <c r="Q570"/>
  <c r="Q571"/>
  <c r="Q572"/>
  <c r="Q2"/>
  <c r="N3"/>
  <c r="P3" s="1"/>
  <c r="N4"/>
  <c r="O4" s="1"/>
  <c r="N5"/>
  <c r="O5" s="1"/>
  <c r="N6"/>
  <c r="P6" s="1"/>
  <c r="N7"/>
  <c r="P7" s="1"/>
  <c r="N8"/>
  <c r="O8" s="1"/>
  <c r="N9"/>
  <c r="P9" s="1"/>
  <c r="N10"/>
  <c r="P10" s="1"/>
  <c r="N11"/>
  <c r="P11" s="1"/>
  <c r="N12"/>
  <c r="O12" s="1"/>
  <c r="N13"/>
  <c r="O13" s="1"/>
  <c r="N14"/>
  <c r="N15"/>
  <c r="P15" s="1"/>
  <c r="N16"/>
  <c r="O16" s="1"/>
  <c r="N17"/>
  <c r="O17" s="1"/>
  <c r="N18"/>
  <c r="N19"/>
  <c r="P19" s="1"/>
  <c r="N20"/>
  <c r="O20" s="1"/>
  <c r="N21"/>
  <c r="P21" s="1"/>
  <c r="N22"/>
  <c r="N23"/>
  <c r="P23" s="1"/>
  <c r="N24"/>
  <c r="O24" s="1"/>
  <c r="N25"/>
  <c r="P25" s="1"/>
  <c r="N26"/>
  <c r="P26" s="1"/>
  <c r="N27"/>
  <c r="P27" s="1"/>
  <c r="N28"/>
  <c r="O28" s="1"/>
  <c r="N29"/>
  <c r="P29" s="1"/>
  <c r="N30"/>
  <c r="N31"/>
  <c r="O31" s="1"/>
  <c r="N32"/>
  <c r="O32" s="1"/>
  <c r="N33"/>
  <c r="P33" s="1"/>
  <c r="N34"/>
  <c r="N35"/>
  <c r="O35" s="1"/>
  <c r="N36"/>
  <c r="O36" s="1"/>
  <c r="N37"/>
  <c r="O37" s="1"/>
  <c r="N38"/>
  <c r="P38" s="1"/>
  <c r="N39"/>
  <c r="O39" s="1"/>
  <c r="N40"/>
  <c r="P40" s="1"/>
  <c r="N41"/>
  <c r="O41" s="1"/>
  <c r="N42"/>
  <c r="N43"/>
  <c r="O43" s="1"/>
  <c r="N44"/>
  <c r="P44" s="1"/>
  <c r="N45"/>
  <c r="O45" s="1"/>
  <c r="N46"/>
  <c r="P46" s="1"/>
  <c r="N47"/>
  <c r="O47" s="1"/>
  <c r="N48"/>
  <c r="O48" s="1"/>
  <c r="N49"/>
  <c r="O49" s="1"/>
  <c r="N50"/>
  <c r="N51"/>
  <c r="O51" s="1"/>
  <c r="N52"/>
  <c r="O52" s="1"/>
  <c r="N53"/>
  <c r="O53" s="1"/>
  <c r="N54"/>
  <c r="P54" s="1"/>
  <c r="N55"/>
  <c r="P55" s="1"/>
  <c r="N56"/>
  <c r="O56" s="1"/>
  <c r="N57"/>
  <c r="O57" s="1"/>
  <c r="N58"/>
  <c r="P58" s="1"/>
  <c r="N59"/>
  <c r="O59" s="1"/>
  <c r="N60"/>
  <c r="P60" s="1"/>
  <c r="N61"/>
  <c r="O61" s="1"/>
  <c r="O65"/>
  <c r="P66"/>
  <c r="O67"/>
  <c r="P71"/>
  <c r="O72"/>
  <c r="O73"/>
  <c r="P74"/>
  <c r="O75"/>
  <c r="O76"/>
  <c r="P80"/>
  <c r="O83"/>
  <c r="O86"/>
  <c r="O87"/>
  <c r="P89"/>
  <c r="P91"/>
  <c r="O93"/>
  <c r="O94"/>
  <c r="O95"/>
  <c r="P97"/>
  <c r="P99"/>
  <c r="O101"/>
  <c r="P103"/>
  <c r="P107"/>
  <c r="O110"/>
  <c r="O111"/>
  <c r="P112"/>
  <c r="O113"/>
  <c r="N114"/>
  <c r="N115"/>
  <c r="P115" s="1"/>
  <c r="N116"/>
  <c r="P116" s="1"/>
  <c r="N117"/>
  <c r="O117" s="1"/>
  <c r="N118"/>
  <c r="O118" s="1"/>
  <c r="N119"/>
  <c r="P119" s="1"/>
  <c r="N120"/>
  <c r="O120" s="1"/>
  <c r="N121"/>
  <c r="O121" s="1"/>
  <c r="N122"/>
  <c r="N123"/>
  <c r="O123" s="1"/>
  <c r="N124"/>
  <c r="O124" s="1"/>
  <c r="N125"/>
  <c r="P125" s="1"/>
  <c r="N126"/>
  <c r="O126" s="1"/>
  <c r="N127"/>
  <c r="P127" s="1"/>
  <c r="N128"/>
  <c r="P128" s="1"/>
  <c r="N129"/>
  <c r="O129" s="1"/>
  <c r="N130"/>
  <c r="N131"/>
  <c r="P131" s="1"/>
  <c r="N132"/>
  <c r="O132" s="1"/>
  <c r="N133"/>
  <c r="P133" s="1"/>
  <c r="N134"/>
  <c r="O134" s="1"/>
  <c r="N135"/>
  <c r="P135" s="1"/>
  <c r="N136"/>
  <c r="O136" s="1"/>
  <c r="N137"/>
  <c r="O137" s="1"/>
  <c r="N138"/>
  <c r="P138" s="1"/>
  <c r="N139"/>
  <c r="O139" s="1"/>
  <c r="N140"/>
  <c r="O140" s="1"/>
  <c r="N141"/>
  <c r="O141" s="1"/>
  <c r="N142"/>
  <c r="P142" s="1"/>
  <c r="N143"/>
  <c r="P143" s="1"/>
  <c r="N144"/>
  <c r="O144" s="1"/>
  <c r="N145"/>
  <c r="O145" s="1"/>
  <c r="N146"/>
  <c r="O146" s="1"/>
  <c r="N147"/>
  <c r="P147" s="1"/>
  <c r="N148"/>
  <c r="O148" s="1"/>
  <c r="N149"/>
  <c r="O149" s="1"/>
  <c r="N150"/>
  <c r="N151"/>
  <c r="O151" s="1"/>
  <c r="N152"/>
  <c r="O152" s="1"/>
  <c r="N153"/>
  <c r="P153" s="1"/>
  <c r="N154"/>
  <c r="N155"/>
  <c r="P155" s="1"/>
  <c r="N156"/>
  <c r="O156" s="1"/>
  <c r="N157"/>
  <c r="P157" s="1"/>
  <c r="N158"/>
  <c r="N159"/>
  <c r="P159" s="1"/>
  <c r="N160"/>
  <c r="O160" s="1"/>
  <c r="N161"/>
  <c r="P161" s="1"/>
  <c r="N162"/>
  <c r="N163"/>
  <c r="P163" s="1"/>
  <c r="N164"/>
  <c r="O164" s="1"/>
  <c r="N165"/>
  <c r="P165" s="1"/>
  <c r="N166"/>
  <c r="N167"/>
  <c r="P167" s="1"/>
  <c r="N168"/>
  <c r="O168" s="1"/>
  <c r="N169"/>
  <c r="O169" s="1"/>
  <c r="N170"/>
  <c r="N171"/>
  <c r="P171" s="1"/>
  <c r="N172"/>
  <c r="O172" s="1"/>
  <c r="N173"/>
  <c r="P173" s="1"/>
  <c r="N174"/>
  <c r="N175"/>
  <c r="P175" s="1"/>
  <c r="N176"/>
  <c r="O176" s="1"/>
  <c r="N177"/>
  <c r="P177" s="1"/>
  <c r="N178"/>
  <c r="P178" s="1"/>
  <c r="N179"/>
  <c r="O179" s="1"/>
  <c r="N180"/>
  <c r="O180" s="1"/>
  <c r="N181"/>
  <c r="P181" s="1"/>
  <c r="N182"/>
  <c r="P182" s="1"/>
  <c r="N183"/>
  <c r="P183" s="1"/>
  <c r="N184"/>
  <c r="O184" s="1"/>
  <c r="N185"/>
  <c r="P185" s="1"/>
  <c r="N186"/>
  <c r="P186" s="1"/>
  <c r="N187"/>
  <c r="P187" s="1"/>
  <c r="N188"/>
  <c r="O188" s="1"/>
  <c r="N189"/>
  <c r="P189" s="1"/>
  <c r="N191"/>
  <c r="P191" s="1"/>
  <c r="N192"/>
  <c r="P192" s="1"/>
  <c r="N193"/>
  <c r="P193" s="1"/>
  <c r="N194"/>
  <c r="O194" s="1"/>
  <c r="N195"/>
  <c r="P195" s="1"/>
  <c r="N196"/>
  <c r="O196" s="1"/>
  <c r="N197"/>
  <c r="P197" s="1"/>
  <c r="N198"/>
  <c r="P198" s="1"/>
  <c r="N199"/>
  <c r="P199" s="1"/>
  <c r="N200"/>
  <c r="P200" s="1"/>
  <c r="N201"/>
  <c r="P201" s="1"/>
  <c r="N202"/>
  <c r="P202" s="1"/>
  <c r="N203"/>
  <c r="P203" s="1"/>
  <c r="N204"/>
  <c r="P204" s="1"/>
  <c r="N205"/>
  <c r="O205" s="1"/>
  <c r="N206"/>
  <c r="P206" s="1"/>
  <c r="N207"/>
  <c r="P207" s="1"/>
  <c r="N208"/>
  <c r="O208" s="1"/>
  <c r="N209"/>
  <c r="P209" s="1"/>
  <c r="N210"/>
  <c r="O210" s="1"/>
  <c r="N211"/>
  <c r="P211" s="1"/>
  <c r="N212"/>
  <c r="N213"/>
  <c r="O213" s="1"/>
  <c r="N214"/>
  <c r="O214" s="1"/>
  <c r="N215"/>
  <c r="P215" s="1"/>
  <c r="N216"/>
  <c r="N217"/>
  <c r="O217" s="1"/>
  <c r="N218"/>
  <c r="N219"/>
  <c r="P219" s="1"/>
  <c r="N220"/>
  <c r="N221"/>
  <c r="O221" s="1"/>
  <c r="N222"/>
  <c r="N223"/>
  <c r="P223" s="1"/>
  <c r="N224"/>
  <c r="N225"/>
  <c r="P225" s="1"/>
  <c r="N226"/>
  <c r="N227"/>
  <c r="P227" s="1"/>
  <c r="N228"/>
  <c r="N229"/>
  <c r="O229" s="1"/>
  <c r="N230"/>
  <c r="N231"/>
  <c r="P231" s="1"/>
  <c r="N232"/>
  <c r="N233"/>
  <c r="P233" s="1"/>
  <c r="N234"/>
  <c r="N235"/>
  <c r="P235" s="1"/>
  <c r="N236"/>
  <c r="N237"/>
  <c r="P237" s="1"/>
  <c r="N238"/>
  <c r="O238" s="1"/>
  <c r="N239"/>
  <c r="P239" s="1"/>
  <c r="N240"/>
  <c r="P240" s="1"/>
  <c r="N241"/>
  <c r="P241" s="1"/>
  <c r="N242"/>
  <c r="O242" s="1"/>
  <c r="N243"/>
  <c r="N244"/>
  <c r="P244" s="1"/>
  <c r="N245"/>
  <c r="O245" s="1"/>
  <c r="N246"/>
  <c r="O246" s="1"/>
  <c r="N247"/>
  <c r="P247" s="1"/>
  <c r="N248"/>
  <c r="P248" s="1"/>
  <c r="N249"/>
  <c r="O249" s="1"/>
  <c r="N250"/>
  <c r="O250" s="1"/>
  <c r="N251"/>
  <c r="O251" s="1"/>
  <c r="N252"/>
  <c r="P252" s="1"/>
  <c r="N253"/>
  <c r="O253" s="1"/>
  <c r="N254"/>
  <c r="O254" s="1"/>
  <c r="N255"/>
  <c r="O255" s="1"/>
  <c r="N256"/>
  <c r="P256" s="1"/>
  <c r="N257"/>
  <c r="P257" s="1"/>
  <c r="N258"/>
  <c r="O258" s="1"/>
  <c r="N259"/>
  <c r="N260"/>
  <c r="P260" s="1"/>
  <c r="N261"/>
  <c r="P261" s="1"/>
  <c r="N262"/>
  <c r="O262" s="1"/>
  <c r="N263"/>
  <c r="O263" s="1"/>
  <c r="N264"/>
  <c r="N265"/>
  <c r="P265" s="1"/>
  <c r="N266"/>
  <c r="P266" s="1"/>
  <c r="N267"/>
  <c r="O267" s="1"/>
  <c r="N268"/>
  <c r="P268" s="1"/>
  <c r="N269"/>
  <c r="O269" s="1"/>
  <c r="N270"/>
  <c r="O270" s="1"/>
  <c r="N271"/>
  <c r="O271" s="1"/>
  <c r="N272"/>
  <c r="O272" s="1"/>
  <c r="N273"/>
  <c r="O273" s="1"/>
  <c r="N274"/>
  <c r="P274" s="1"/>
  <c r="N275"/>
  <c r="O275" s="1"/>
  <c r="N276"/>
  <c r="P276" s="1"/>
  <c r="N277"/>
  <c r="P277" s="1"/>
  <c r="N278"/>
  <c r="P278" s="1"/>
  <c r="N279"/>
  <c r="O279" s="1"/>
  <c r="N280"/>
  <c r="P280" s="1"/>
  <c r="N281"/>
  <c r="P281" s="1"/>
  <c r="N282"/>
  <c r="P282" s="1"/>
  <c r="N283"/>
  <c r="O283" s="1"/>
  <c r="N284"/>
  <c r="N285"/>
  <c r="P285" s="1"/>
  <c r="N286"/>
  <c r="O286" s="1"/>
  <c r="N287"/>
  <c r="O287" s="1"/>
  <c r="N288"/>
  <c r="N289"/>
  <c r="P289" s="1"/>
  <c r="N290"/>
  <c r="O290" s="1"/>
  <c r="N291"/>
  <c r="O291" s="1"/>
  <c r="N292"/>
  <c r="P292" s="1"/>
  <c r="N293"/>
  <c r="N294"/>
  <c r="O294" s="1"/>
  <c r="N295"/>
  <c r="O295" s="1"/>
  <c r="N296"/>
  <c r="P296" s="1"/>
  <c r="N297"/>
  <c r="O297" s="1"/>
  <c r="N298"/>
  <c r="O298" s="1"/>
  <c r="N299"/>
  <c r="N300"/>
  <c r="P300" s="1"/>
  <c r="N301"/>
  <c r="O301" s="1"/>
  <c r="N302"/>
  <c r="O302" s="1"/>
  <c r="N303"/>
  <c r="O303" s="1"/>
  <c r="N304"/>
  <c r="N305"/>
  <c r="P305" s="1"/>
  <c r="N306"/>
  <c r="O306" s="1"/>
  <c r="N307"/>
  <c r="O307" s="1"/>
  <c r="N308"/>
  <c r="P308" s="1"/>
  <c r="N309"/>
  <c r="N310"/>
  <c r="P310" s="1"/>
  <c r="N311"/>
  <c r="O311" s="1"/>
  <c r="N312"/>
  <c r="P312" s="1"/>
  <c r="N313"/>
  <c r="O313" s="1"/>
  <c r="N314"/>
  <c r="O314" s="1"/>
  <c r="N315"/>
  <c r="N316"/>
  <c r="P316" s="1"/>
  <c r="N317"/>
  <c r="O317" s="1"/>
  <c r="N318"/>
  <c r="P318" s="1"/>
  <c r="N319"/>
  <c r="N320"/>
  <c r="N321"/>
  <c r="N322"/>
  <c r="O322" s="1"/>
  <c r="N323"/>
  <c r="O323" s="1"/>
  <c r="N324"/>
  <c r="N325"/>
  <c r="N326"/>
  <c r="O326" s="1"/>
  <c r="N327"/>
  <c r="O327" s="1"/>
  <c r="N328"/>
  <c r="N329"/>
  <c r="N330"/>
  <c r="O330" s="1"/>
  <c r="N331"/>
  <c r="O331" s="1"/>
  <c r="N332"/>
  <c r="N333"/>
  <c r="N334"/>
  <c r="O334" s="1"/>
  <c r="N335"/>
  <c r="O335" s="1"/>
  <c r="N336"/>
  <c r="N337"/>
  <c r="N338"/>
  <c r="O338" s="1"/>
  <c r="N339"/>
  <c r="O339" s="1"/>
  <c r="N340"/>
  <c r="N341"/>
  <c r="N342"/>
  <c r="P342" s="1"/>
  <c r="N343"/>
  <c r="N344"/>
  <c r="N345"/>
  <c r="P345" s="1"/>
  <c r="N346"/>
  <c r="P346" s="1"/>
  <c r="N347"/>
  <c r="O347" s="1"/>
  <c r="N348"/>
  <c r="N349"/>
  <c r="P349" s="1"/>
  <c r="N350"/>
  <c r="O350" s="1"/>
  <c r="N351"/>
  <c r="O351" s="1"/>
  <c r="N352"/>
  <c r="N353"/>
  <c r="P353" s="1"/>
  <c r="N354"/>
  <c r="O354" s="1"/>
  <c r="N355"/>
  <c r="O355" s="1"/>
  <c r="N356"/>
  <c r="N357"/>
  <c r="P357" s="1"/>
  <c r="N358"/>
  <c r="P358" s="1"/>
  <c r="N359"/>
  <c r="N360"/>
  <c r="N361"/>
  <c r="P361" s="1"/>
  <c r="N362"/>
  <c r="P362" s="1"/>
  <c r="N363"/>
  <c r="O363" s="1"/>
  <c r="N364"/>
  <c r="N365"/>
  <c r="P365" s="1"/>
  <c r="N366"/>
  <c r="P366" s="1"/>
  <c r="N367"/>
  <c r="O367" s="1"/>
  <c r="N368"/>
  <c r="N369"/>
  <c r="P369" s="1"/>
  <c r="N370"/>
  <c r="O370" s="1"/>
  <c r="N371"/>
  <c r="P371" s="1"/>
  <c r="N372"/>
  <c r="N373"/>
  <c r="P373" s="1"/>
  <c r="N374"/>
  <c r="O374" s="1"/>
  <c r="N375"/>
  <c r="N376"/>
  <c r="N377"/>
  <c r="P377" s="1"/>
  <c r="N378"/>
  <c r="P378" s="1"/>
  <c r="N379"/>
  <c r="O379" s="1"/>
  <c r="N380"/>
  <c r="N381"/>
  <c r="P381" s="1"/>
  <c r="N382"/>
  <c r="O382" s="1"/>
  <c r="N383"/>
  <c r="O383" s="1"/>
  <c r="N384"/>
  <c r="N385"/>
  <c r="P385" s="1"/>
  <c r="N386"/>
  <c r="P386" s="1"/>
  <c r="N387"/>
  <c r="P387" s="1"/>
  <c r="N388"/>
  <c r="N389"/>
  <c r="P389" s="1"/>
  <c r="N390"/>
  <c r="O390" s="1"/>
  <c r="N391"/>
  <c r="N392"/>
  <c r="N393"/>
  <c r="P393" s="1"/>
  <c r="N394"/>
  <c r="P394" s="1"/>
  <c r="N395"/>
  <c r="O395" s="1"/>
  <c r="N396"/>
  <c r="N397"/>
  <c r="P397" s="1"/>
  <c r="N398"/>
  <c r="O398" s="1"/>
  <c r="N399"/>
  <c r="O399" s="1"/>
  <c r="N400"/>
  <c r="N401"/>
  <c r="N402"/>
  <c r="O402" s="1"/>
  <c r="N403"/>
  <c r="O403" s="1"/>
  <c r="N404"/>
  <c r="N405"/>
  <c r="P405" s="1"/>
  <c r="N406"/>
  <c r="O406" s="1"/>
  <c r="N407"/>
  <c r="N408"/>
  <c r="N409"/>
  <c r="P409" s="1"/>
  <c r="N410"/>
  <c r="O410" s="1"/>
  <c r="N411"/>
  <c r="N412"/>
  <c r="P412" s="1"/>
  <c r="N413"/>
  <c r="N414"/>
  <c r="P414" s="1"/>
  <c r="N415"/>
  <c r="P415" s="1"/>
  <c r="N416"/>
  <c r="P416" s="1"/>
  <c r="N417"/>
  <c r="N418"/>
  <c r="P418" s="1"/>
  <c r="N419"/>
  <c r="N420"/>
  <c r="O420" s="1"/>
  <c r="N421"/>
  <c r="O421" s="1"/>
  <c r="N422"/>
  <c r="P422" s="1"/>
  <c r="N423"/>
  <c r="O423" s="1"/>
  <c r="N424"/>
  <c r="O424" s="1"/>
  <c r="N425"/>
  <c r="O425" s="1"/>
  <c r="N426"/>
  <c r="P426" s="1"/>
  <c r="N427"/>
  <c r="N428"/>
  <c r="O428" s="1"/>
  <c r="N429"/>
  <c r="O429" s="1"/>
  <c r="N430"/>
  <c r="P430" s="1"/>
  <c r="N431"/>
  <c r="P431" s="1"/>
  <c r="N432"/>
  <c r="N433"/>
  <c r="O433" s="1"/>
  <c r="N434"/>
  <c r="N435"/>
  <c r="P435" s="1"/>
  <c r="N436"/>
  <c r="N437"/>
  <c r="N438"/>
  <c r="N439"/>
  <c r="P439" s="1"/>
  <c r="N440"/>
  <c r="O440" s="1"/>
  <c r="N441"/>
  <c r="O441" s="1"/>
  <c r="N442"/>
  <c r="N443"/>
  <c r="P443" s="1"/>
  <c r="N444"/>
  <c r="O444" s="1"/>
  <c r="N445"/>
  <c r="O445" s="1"/>
  <c r="N446"/>
  <c r="N447"/>
  <c r="P447" s="1"/>
  <c r="N448"/>
  <c r="N449"/>
  <c r="P449" s="1"/>
  <c r="N450"/>
  <c r="N451"/>
  <c r="P451" s="1"/>
  <c r="N452"/>
  <c r="N453"/>
  <c r="N454"/>
  <c r="N455"/>
  <c r="P455" s="1"/>
  <c r="N456"/>
  <c r="O456" s="1"/>
  <c r="N457"/>
  <c r="P457" s="1"/>
  <c r="N458"/>
  <c r="N459"/>
  <c r="P459" s="1"/>
  <c r="N460"/>
  <c r="N461"/>
  <c r="O461" s="1"/>
  <c r="N462"/>
  <c r="N463"/>
  <c r="P463" s="1"/>
  <c r="N464"/>
  <c r="P464" s="1"/>
  <c r="N465"/>
  <c r="P465" s="1"/>
  <c r="N466"/>
  <c r="N467"/>
  <c r="P467" s="1"/>
  <c r="N468"/>
  <c r="P468" s="1"/>
  <c r="N469"/>
  <c r="O469" s="1"/>
  <c r="N470"/>
  <c r="N471"/>
  <c r="P471" s="1"/>
  <c r="N472"/>
  <c r="O472" s="1"/>
  <c r="N473"/>
  <c r="O473" s="1"/>
  <c r="N474"/>
  <c r="N475"/>
  <c r="P475" s="1"/>
  <c r="N476"/>
  <c r="P476" s="1"/>
  <c r="N477"/>
  <c r="O477" s="1"/>
  <c r="N478"/>
  <c r="N479"/>
  <c r="P479" s="1"/>
  <c r="N480"/>
  <c r="O480" s="1"/>
  <c r="N481"/>
  <c r="P481" s="1"/>
  <c r="N482"/>
  <c r="N483"/>
  <c r="P483" s="1"/>
  <c r="N484"/>
  <c r="O484" s="1"/>
  <c r="N485"/>
  <c r="P485" s="1"/>
  <c r="N486"/>
  <c r="O486" s="1"/>
  <c r="N487"/>
  <c r="N488"/>
  <c r="O488" s="1"/>
  <c r="N489"/>
  <c r="P489" s="1"/>
  <c r="N490"/>
  <c r="P490" s="1"/>
  <c r="N491"/>
  <c r="N492"/>
  <c r="O492" s="1"/>
  <c r="N493"/>
  <c r="P493" s="1"/>
  <c r="N494"/>
  <c r="P494" s="1"/>
  <c r="N495"/>
  <c r="N496"/>
  <c r="O496" s="1"/>
  <c r="N497"/>
  <c r="P497" s="1"/>
  <c r="N498"/>
  <c r="P498" s="1"/>
  <c r="N499"/>
  <c r="P499" s="1"/>
  <c r="N500"/>
  <c r="O500" s="1"/>
  <c r="N501"/>
  <c r="P501" s="1"/>
  <c r="N502"/>
  <c r="O502" s="1"/>
  <c r="N503"/>
  <c r="N504"/>
  <c r="O504" s="1"/>
  <c r="N505"/>
  <c r="N506"/>
  <c r="P506" s="1"/>
  <c r="N507"/>
  <c r="N508"/>
  <c r="N509"/>
  <c r="N510"/>
  <c r="P510" s="1"/>
  <c r="N511"/>
  <c r="P511" s="1"/>
  <c r="N512"/>
  <c r="O512" s="1"/>
  <c r="N513"/>
  <c r="N514"/>
  <c r="P514" s="1"/>
  <c r="N515"/>
  <c r="P515" s="1"/>
  <c r="N516"/>
  <c r="N517"/>
  <c r="N518"/>
  <c r="P518" s="1"/>
  <c r="N519"/>
  <c r="P519" s="1"/>
  <c r="N520"/>
  <c r="O520" s="1"/>
  <c r="N521"/>
  <c r="N522"/>
  <c r="P522" s="1"/>
  <c r="N523"/>
  <c r="P523" s="1"/>
  <c r="N524"/>
  <c r="O524" s="1"/>
  <c r="N525"/>
  <c r="N526"/>
  <c r="O526" s="1"/>
  <c r="N527"/>
  <c r="N528"/>
  <c r="N529"/>
  <c r="N530"/>
  <c r="P530" s="1"/>
  <c r="N531"/>
  <c r="N532"/>
  <c r="O532" s="1"/>
  <c r="N533"/>
  <c r="O533" s="1"/>
  <c r="N534"/>
  <c r="N535"/>
  <c r="P535" s="1"/>
  <c r="N536"/>
  <c r="O536" s="1"/>
  <c r="N537"/>
  <c r="O537" s="1"/>
  <c r="N538"/>
  <c r="N539"/>
  <c r="P539" s="1"/>
  <c r="N540"/>
  <c r="O540" s="1"/>
  <c r="N541"/>
  <c r="O541" s="1"/>
  <c r="N542"/>
  <c r="N543"/>
  <c r="N544"/>
  <c r="O544" s="1"/>
  <c r="N545"/>
  <c r="O545" s="1"/>
  <c r="N546"/>
  <c r="N547"/>
  <c r="N548"/>
  <c r="O548" s="1"/>
  <c r="N549"/>
  <c r="O549" s="1"/>
  <c r="N550"/>
  <c r="P550" s="1"/>
  <c r="N551"/>
  <c r="P551" s="1"/>
  <c r="N552"/>
  <c r="N553"/>
  <c r="O553" s="1"/>
  <c r="N554"/>
  <c r="P554" s="1"/>
  <c r="N555"/>
  <c r="P555" s="1"/>
  <c r="N556"/>
  <c r="O556" s="1"/>
  <c r="N557"/>
  <c r="O557" s="1"/>
  <c r="N558"/>
  <c r="P558" s="1"/>
  <c r="N559"/>
  <c r="O559" s="1"/>
  <c r="N560"/>
  <c r="N561"/>
  <c r="O561" s="1"/>
  <c r="N562"/>
  <c r="P562" s="1"/>
  <c r="N563"/>
  <c r="O563" s="1"/>
  <c r="N564"/>
  <c r="O564" s="1"/>
  <c r="N565"/>
  <c r="O565" s="1"/>
  <c r="N566"/>
  <c r="P566" s="1"/>
  <c r="N567"/>
  <c r="P567" s="1"/>
  <c r="N568"/>
  <c r="P568" s="1"/>
  <c r="N569"/>
  <c r="O569" s="1"/>
  <c r="N570"/>
  <c r="P570" s="1"/>
  <c r="N571"/>
  <c r="P571" s="1"/>
  <c r="N572"/>
  <c r="O572" s="1"/>
  <c r="N2"/>
  <c r="P2" s="1"/>
  <c r="J3"/>
  <c r="L3" s="1"/>
  <c r="J4"/>
  <c r="K4" s="1"/>
  <c r="J5"/>
  <c r="L5" s="1"/>
  <c r="J6"/>
  <c r="K6" s="1"/>
  <c r="J7"/>
  <c r="L7" s="1"/>
  <c r="J8"/>
  <c r="K8" s="1"/>
  <c r="J9"/>
  <c r="L9" s="1"/>
  <c r="K10"/>
  <c r="J11"/>
  <c r="L11" s="1"/>
  <c r="J12"/>
  <c r="K12" s="1"/>
  <c r="J13"/>
  <c r="L13" s="1"/>
  <c r="J14"/>
  <c r="K14" s="1"/>
  <c r="J15"/>
  <c r="L15" s="1"/>
  <c r="J16"/>
  <c r="K16" s="1"/>
  <c r="J17"/>
  <c r="L17" s="1"/>
  <c r="J18"/>
  <c r="K18" s="1"/>
  <c r="J19"/>
  <c r="L19" s="1"/>
  <c r="J20"/>
  <c r="K20" s="1"/>
  <c r="J21"/>
  <c r="L21" s="1"/>
  <c r="J22"/>
  <c r="K22" s="1"/>
  <c r="J23"/>
  <c r="L23" s="1"/>
  <c r="J24"/>
  <c r="K24" s="1"/>
  <c r="J25"/>
  <c r="L25" s="1"/>
  <c r="J26"/>
  <c r="K26" s="1"/>
  <c r="J27"/>
  <c r="L27" s="1"/>
  <c r="J28"/>
  <c r="K28" s="1"/>
  <c r="J29"/>
  <c r="L29" s="1"/>
  <c r="J30"/>
  <c r="J31"/>
  <c r="L31" s="1"/>
  <c r="J32"/>
  <c r="K32" s="1"/>
  <c r="J33"/>
  <c r="L33" s="1"/>
  <c r="J34"/>
  <c r="J35"/>
  <c r="L35" s="1"/>
  <c r="J36"/>
  <c r="K36" s="1"/>
  <c r="J37"/>
  <c r="L37" s="1"/>
  <c r="J38"/>
  <c r="J39"/>
  <c r="K39" s="1"/>
  <c r="J40"/>
  <c r="L40" s="1"/>
  <c r="J41"/>
  <c r="K41" s="1"/>
  <c r="J42"/>
  <c r="L42" s="1"/>
  <c r="J43"/>
  <c r="L43" s="1"/>
  <c r="J44"/>
  <c r="J45"/>
  <c r="K45" s="1"/>
  <c r="J46"/>
  <c r="L46" s="1"/>
  <c r="J47"/>
  <c r="K47" s="1"/>
  <c r="J48"/>
  <c r="K48" s="1"/>
  <c r="J49"/>
  <c r="K49" s="1"/>
  <c r="J50"/>
  <c r="L50" s="1"/>
  <c r="J51"/>
  <c r="K51" s="1"/>
  <c r="J52"/>
  <c r="K52" s="1"/>
  <c r="J53"/>
  <c r="K53" s="1"/>
  <c r="J54"/>
  <c r="L54" s="1"/>
  <c r="J55"/>
  <c r="K55" s="1"/>
  <c r="J56"/>
  <c r="J57"/>
  <c r="K57" s="1"/>
  <c r="J58"/>
  <c r="K58" s="1"/>
  <c r="J59"/>
  <c r="K59" s="1"/>
  <c r="J60"/>
  <c r="K60" s="1"/>
  <c r="J61"/>
  <c r="K61" s="1"/>
  <c r="J62"/>
  <c r="K62" s="1"/>
  <c r="J63"/>
  <c r="K63" s="1"/>
  <c r="J64"/>
  <c r="J65"/>
  <c r="K65" s="1"/>
  <c r="J66"/>
  <c r="L66" s="1"/>
  <c r="J67"/>
  <c r="L67" s="1"/>
  <c r="J68"/>
  <c r="K68" s="1"/>
  <c r="J69"/>
  <c r="K69" s="1"/>
  <c r="J70"/>
  <c r="L70" s="1"/>
  <c r="J71"/>
  <c r="K71" s="1"/>
  <c r="J72"/>
  <c r="K72" s="1"/>
  <c r="J73"/>
  <c r="K73" s="1"/>
  <c r="J74"/>
  <c r="L74" s="1"/>
  <c r="J75"/>
  <c r="K75" s="1"/>
  <c r="J76"/>
  <c r="J77"/>
  <c r="K77" s="1"/>
  <c r="J78"/>
  <c r="K78" s="1"/>
  <c r="J79"/>
  <c r="K79" s="1"/>
  <c r="J80"/>
  <c r="L80" s="1"/>
  <c r="J81"/>
  <c r="K81" s="1"/>
  <c r="J82"/>
  <c r="L82" s="1"/>
  <c r="J83"/>
  <c r="K83" s="1"/>
  <c r="J84"/>
  <c r="K84" s="1"/>
  <c r="J85"/>
  <c r="K85" s="1"/>
  <c r="J86"/>
  <c r="K86" s="1"/>
  <c r="J87"/>
  <c r="L87" s="1"/>
  <c r="J88"/>
  <c r="J89"/>
  <c r="K89" s="1"/>
  <c r="J90"/>
  <c r="K90" s="1"/>
  <c r="J91"/>
  <c r="L91" s="1"/>
  <c r="J92"/>
  <c r="J93"/>
  <c r="L93" s="1"/>
  <c r="J94"/>
  <c r="L94" s="1"/>
  <c r="J95"/>
  <c r="L95" s="1"/>
  <c r="J96"/>
  <c r="J97"/>
  <c r="K97" s="1"/>
  <c r="J98"/>
  <c r="K98" s="1"/>
  <c r="J99"/>
  <c r="L99" s="1"/>
  <c r="J100"/>
  <c r="K100" s="1"/>
  <c r="J101"/>
  <c r="J102"/>
  <c r="L102" s="1"/>
  <c r="J103"/>
  <c r="K103" s="1"/>
  <c r="J104"/>
  <c r="J105"/>
  <c r="K105" s="1"/>
  <c r="J106"/>
  <c r="K106" s="1"/>
  <c r="J107"/>
  <c r="K107" s="1"/>
  <c r="J108"/>
  <c r="J109"/>
  <c r="K109" s="1"/>
  <c r="J110"/>
  <c r="K110" s="1"/>
  <c r="J111"/>
  <c r="L111" s="1"/>
  <c r="J112"/>
  <c r="L112" s="1"/>
  <c r="J113"/>
  <c r="J114"/>
  <c r="K114" s="1"/>
  <c r="J115"/>
  <c r="L115" s="1"/>
  <c r="J116"/>
  <c r="K116" s="1"/>
  <c r="J117"/>
  <c r="K117" s="1"/>
  <c r="J118"/>
  <c r="K118" s="1"/>
  <c r="J119"/>
  <c r="L119" s="1"/>
  <c r="J120"/>
  <c r="J121"/>
  <c r="L121" s="1"/>
  <c r="J122"/>
  <c r="K122" s="1"/>
  <c r="J123"/>
  <c r="L123" s="1"/>
  <c r="J124"/>
  <c r="J125"/>
  <c r="K125" s="1"/>
  <c r="J126"/>
  <c r="K126" s="1"/>
  <c r="J127"/>
  <c r="L127" s="1"/>
  <c r="J128"/>
  <c r="L128" s="1"/>
  <c r="J129"/>
  <c r="L129" s="1"/>
  <c r="K130"/>
  <c r="J131"/>
  <c r="K131" s="1"/>
  <c r="J132"/>
  <c r="K132" s="1"/>
  <c r="J133"/>
  <c r="L133" s="1"/>
  <c r="J134"/>
  <c r="K134" s="1"/>
  <c r="J135"/>
  <c r="K135" s="1"/>
  <c r="J136"/>
  <c r="L136" s="1"/>
  <c r="J137"/>
  <c r="K137" s="1"/>
  <c r="J138"/>
  <c r="L138" s="1"/>
  <c r="J139"/>
  <c r="L139" s="1"/>
  <c r="J140"/>
  <c r="K140" s="1"/>
  <c r="J141"/>
  <c r="K141" s="1"/>
  <c r="J142"/>
  <c r="L142" s="1"/>
  <c r="J143"/>
  <c r="L143" s="1"/>
  <c r="J144"/>
  <c r="K144" s="1"/>
  <c r="J145"/>
  <c r="K145" s="1"/>
  <c r="J146"/>
  <c r="L146" s="1"/>
  <c r="J147"/>
  <c r="L147" s="1"/>
  <c r="J148"/>
  <c r="J149"/>
  <c r="K149" s="1"/>
  <c r="J150"/>
  <c r="J151"/>
  <c r="L151" s="1"/>
  <c r="J152"/>
  <c r="J153"/>
  <c r="K153" s="1"/>
  <c r="J154"/>
  <c r="J155"/>
  <c r="L155" s="1"/>
  <c r="J156"/>
  <c r="J157"/>
  <c r="K157" s="1"/>
  <c r="J158"/>
  <c r="J159"/>
  <c r="L159" s="1"/>
  <c r="J160"/>
  <c r="J161"/>
  <c r="K161" s="1"/>
  <c r="J162"/>
  <c r="J163"/>
  <c r="L163" s="1"/>
  <c r="J164"/>
  <c r="J165"/>
  <c r="K165" s="1"/>
  <c r="J166"/>
  <c r="J167"/>
  <c r="L167" s="1"/>
  <c r="J168"/>
  <c r="J169"/>
  <c r="K169" s="1"/>
  <c r="J170"/>
  <c r="J171"/>
  <c r="L171" s="1"/>
  <c r="J172"/>
  <c r="J173"/>
  <c r="K173" s="1"/>
  <c r="J174"/>
  <c r="J175"/>
  <c r="L175" s="1"/>
  <c r="J176"/>
  <c r="L176" s="1"/>
  <c r="J177"/>
  <c r="K177" s="1"/>
  <c r="J178"/>
  <c r="L178" s="1"/>
  <c r="J179"/>
  <c r="L179" s="1"/>
  <c r="J180"/>
  <c r="J181"/>
  <c r="K181" s="1"/>
  <c r="J182"/>
  <c r="L182" s="1"/>
  <c r="J183"/>
  <c r="L183" s="1"/>
  <c r="J184"/>
  <c r="J185"/>
  <c r="L185" s="1"/>
  <c r="J186"/>
  <c r="L186" s="1"/>
  <c r="J187"/>
  <c r="L187" s="1"/>
  <c r="J188"/>
  <c r="K188" s="1"/>
  <c r="J189"/>
  <c r="K189" s="1"/>
  <c r="J191"/>
  <c r="L191" s="1"/>
  <c r="J192"/>
  <c r="K192" s="1"/>
  <c r="J193"/>
  <c r="K193" s="1"/>
  <c r="J194"/>
  <c r="L194" s="1"/>
  <c r="J195"/>
  <c r="L195" s="1"/>
  <c r="J196"/>
  <c r="K196" s="1"/>
  <c r="J197"/>
  <c r="L197" s="1"/>
  <c r="J198"/>
  <c r="K198" s="1"/>
  <c r="J199"/>
  <c r="L199" s="1"/>
  <c r="J200"/>
  <c r="K200" s="1"/>
  <c r="J201"/>
  <c r="J202"/>
  <c r="K202" s="1"/>
  <c r="J203"/>
  <c r="L203" s="1"/>
  <c r="J204"/>
  <c r="L204" s="1"/>
  <c r="J205"/>
  <c r="L205" s="1"/>
  <c r="J206"/>
  <c r="L206" s="1"/>
  <c r="J207"/>
  <c r="L207" s="1"/>
  <c r="J208"/>
  <c r="K208" s="1"/>
  <c r="J209"/>
  <c r="J210"/>
  <c r="K210" s="1"/>
  <c r="J211"/>
  <c r="L211" s="1"/>
  <c r="J212"/>
  <c r="L212" s="1"/>
  <c r="J213"/>
  <c r="J214"/>
  <c r="K214" s="1"/>
  <c r="J215"/>
  <c r="L215" s="1"/>
  <c r="J216"/>
  <c r="L216" s="1"/>
  <c r="J217"/>
  <c r="J218"/>
  <c r="J219"/>
  <c r="L219" s="1"/>
  <c r="J220"/>
  <c r="K220" s="1"/>
  <c r="J221"/>
  <c r="J222"/>
  <c r="J223"/>
  <c r="L223" s="1"/>
  <c r="J224"/>
  <c r="K224" s="1"/>
  <c r="J225"/>
  <c r="J226"/>
  <c r="J227"/>
  <c r="L227" s="1"/>
  <c r="J228"/>
  <c r="L228" s="1"/>
  <c r="J229"/>
  <c r="J230"/>
  <c r="J231"/>
  <c r="L231" s="1"/>
  <c r="J232"/>
  <c r="K232" s="1"/>
  <c r="J233"/>
  <c r="J234"/>
  <c r="J235"/>
  <c r="L235" s="1"/>
  <c r="J236"/>
  <c r="K236" s="1"/>
  <c r="J237"/>
  <c r="J238"/>
  <c r="K238" s="1"/>
  <c r="J239"/>
  <c r="L239" s="1"/>
  <c r="J240"/>
  <c r="K240" s="1"/>
  <c r="J241"/>
  <c r="K241" s="1"/>
  <c r="J242"/>
  <c r="K242" s="1"/>
  <c r="J243"/>
  <c r="L243" s="1"/>
  <c r="J244"/>
  <c r="L244" s="1"/>
  <c r="J245"/>
  <c r="K245" s="1"/>
  <c r="J246"/>
  <c r="K246" s="1"/>
  <c r="J247"/>
  <c r="L247" s="1"/>
  <c r="J248"/>
  <c r="L248" s="1"/>
  <c r="J249"/>
  <c r="K249" s="1"/>
  <c r="J250"/>
  <c r="K250" s="1"/>
  <c r="J251"/>
  <c r="K251" s="1"/>
  <c r="J252"/>
  <c r="L252" s="1"/>
  <c r="J253"/>
  <c r="K253" s="1"/>
  <c r="J254"/>
  <c r="L254" s="1"/>
  <c r="J255"/>
  <c r="K255" s="1"/>
  <c r="J256"/>
  <c r="L256" s="1"/>
  <c r="J257"/>
  <c r="L257" s="1"/>
  <c r="J258"/>
  <c r="K258" s="1"/>
  <c r="J259"/>
  <c r="K259" s="1"/>
  <c r="J260"/>
  <c r="L260" s="1"/>
  <c r="J261"/>
  <c r="L261" s="1"/>
  <c r="J262"/>
  <c r="L262" s="1"/>
  <c r="J263"/>
  <c r="L263" s="1"/>
  <c r="J264"/>
  <c r="L264" s="1"/>
  <c r="J265"/>
  <c r="K265" s="1"/>
  <c r="J266"/>
  <c r="K266" s="1"/>
  <c r="J267"/>
  <c r="K267" s="1"/>
  <c r="J268"/>
  <c r="L268" s="1"/>
  <c r="J269"/>
  <c r="K269" s="1"/>
  <c r="J270"/>
  <c r="K270" s="1"/>
  <c r="J271"/>
  <c r="K271" s="1"/>
  <c r="J272"/>
  <c r="L272" s="1"/>
  <c r="J273"/>
  <c r="L273" s="1"/>
  <c r="J274"/>
  <c r="L274" s="1"/>
  <c r="J275"/>
  <c r="K275" s="1"/>
  <c r="J276"/>
  <c r="L276" s="1"/>
  <c r="J277"/>
  <c r="L277" s="1"/>
  <c r="J278"/>
  <c r="K278" s="1"/>
  <c r="J279"/>
  <c r="K279" s="1"/>
  <c r="J280"/>
  <c r="L280" s="1"/>
  <c r="J281"/>
  <c r="J282"/>
  <c r="L282" s="1"/>
  <c r="J283"/>
  <c r="K283" s="1"/>
  <c r="J284"/>
  <c r="J285"/>
  <c r="L285" s="1"/>
  <c r="J286"/>
  <c r="K286" s="1"/>
  <c r="J287"/>
  <c r="K287" s="1"/>
  <c r="J288"/>
  <c r="J289"/>
  <c r="L289" s="1"/>
  <c r="J290"/>
  <c r="K290" s="1"/>
  <c r="J291"/>
  <c r="K291" s="1"/>
  <c r="J292"/>
  <c r="L292" s="1"/>
  <c r="J293"/>
  <c r="K293" s="1"/>
  <c r="J294"/>
  <c r="K294" s="1"/>
  <c r="J295"/>
  <c r="J296"/>
  <c r="L296" s="1"/>
  <c r="J297"/>
  <c r="K297" s="1"/>
  <c r="J298"/>
  <c r="K298" s="1"/>
  <c r="J299"/>
  <c r="K299" s="1"/>
  <c r="J300"/>
  <c r="J301"/>
  <c r="L301" s="1"/>
  <c r="J302"/>
  <c r="K302" s="1"/>
  <c r="J303"/>
  <c r="K303" s="1"/>
  <c r="J304"/>
  <c r="L304" s="1"/>
  <c r="J305"/>
  <c r="J306"/>
  <c r="K306" s="1"/>
  <c r="J307"/>
  <c r="K307" s="1"/>
  <c r="J308"/>
  <c r="L308" s="1"/>
  <c r="J309"/>
  <c r="J310"/>
  <c r="K310" s="1"/>
  <c r="J311"/>
  <c r="J312"/>
  <c r="L312" s="1"/>
  <c r="J313"/>
  <c r="K313" s="1"/>
  <c r="J314"/>
  <c r="K314" s="1"/>
  <c r="J315"/>
  <c r="K315" s="1"/>
  <c r="J316"/>
  <c r="J317"/>
  <c r="L317" s="1"/>
  <c r="J318"/>
  <c r="K318" s="1"/>
  <c r="J319"/>
  <c r="K319" s="1"/>
  <c r="J320"/>
  <c r="J321"/>
  <c r="L321" s="1"/>
  <c r="J322"/>
  <c r="L322" s="1"/>
  <c r="J323"/>
  <c r="L323" s="1"/>
  <c r="J324"/>
  <c r="J325"/>
  <c r="L325" s="1"/>
  <c r="J326"/>
  <c r="K326" s="1"/>
  <c r="J327"/>
  <c r="K327" s="1"/>
  <c r="J328"/>
  <c r="J329"/>
  <c r="L329" s="1"/>
  <c r="J330"/>
  <c r="K330" s="1"/>
  <c r="J331"/>
  <c r="K331" s="1"/>
  <c r="J332"/>
  <c r="J333"/>
  <c r="J334"/>
  <c r="K334" s="1"/>
  <c r="J335"/>
  <c r="K335" s="1"/>
  <c r="J336"/>
  <c r="J337"/>
  <c r="L337" s="1"/>
  <c r="J338"/>
  <c r="K338" s="1"/>
  <c r="J339"/>
  <c r="K339" s="1"/>
  <c r="J340"/>
  <c r="J341"/>
  <c r="L341" s="1"/>
  <c r="J342"/>
  <c r="K342" s="1"/>
  <c r="J343"/>
  <c r="K343" s="1"/>
  <c r="J344"/>
  <c r="J345"/>
  <c r="L345" s="1"/>
  <c r="J346"/>
  <c r="L346" s="1"/>
  <c r="J347"/>
  <c r="K347" s="1"/>
  <c r="J348"/>
  <c r="J349"/>
  <c r="K349" s="1"/>
  <c r="J350"/>
  <c r="J351"/>
  <c r="L351" s="1"/>
  <c r="J352"/>
  <c r="J353"/>
  <c r="L353" s="1"/>
  <c r="J354"/>
  <c r="K354" s="1"/>
  <c r="J355"/>
  <c r="K355" s="1"/>
  <c r="J356"/>
  <c r="J357"/>
  <c r="L357" s="1"/>
  <c r="J358"/>
  <c r="K358" s="1"/>
  <c r="J359"/>
  <c r="K359" s="1"/>
  <c r="J360"/>
  <c r="J361"/>
  <c r="L361" s="1"/>
  <c r="J362"/>
  <c r="K362" s="1"/>
  <c r="J363"/>
  <c r="K363" s="1"/>
  <c r="J364"/>
  <c r="J365"/>
  <c r="J366"/>
  <c r="L366" s="1"/>
  <c r="J367"/>
  <c r="J368"/>
  <c r="J369"/>
  <c r="K369" s="1"/>
  <c r="J370"/>
  <c r="J371"/>
  <c r="K371" s="1"/>
  <c r="J372"/>
  <c r="J373"/>
  <c r="L373" s="1"/>
  <c r="J374"/>
  <c r="J375"/>
  <c r="K375" s="1"/>
  <c r="J376"/>
  <c r="J377"/>
  <c r="L377" s="1"/>
  <c r="J378"/>
  <c r="K378" s="1"/>
  <c r="J379"/>
  <c r="K379" s="1"/>
  <c r="J380"/>
  <c r="J381"/>
  <c r="J382"/>
  <c r="L382" s="1"/>
  <c r="J383"/>
  <c r="J384"/>
  <c r="J385"/>
  <c r="L385" s="1"/>
  <c r="J386"/>
  <c r="K386" s="1"/>
  <c r="J387"/>
  <c r="K387" s="1"/>
  <c r="J388"/>
  <c r="J389"/>
  <c r="J390"/>
  <c r="J391"/>
  <c r="K391" s="1"/>
  <c r="J392"/>
  <c r="J393"/>
  <c r="J394"/>
  <c r="J395"/>
  <c r="K395" s="1"/>
  <c r="J396"/>
  <c r="J397"/>
  <c r="L397" s="1"/>
  <c r="J398"/>
  <c r="J399"/>
  <c r="L399" s="1"/>
  <c r="J400"/>
  <c r="J401"/>
  <c r="L401" s="1"/>
  <c r="J402"/>
  <c r="L402" s="1"/>
  <c r="J403"/>
  <c r="K403" s="1"/>
  <c r="J404"/>
  <c r="J405"/>
  <c r="K405" s="1"/>
  <c r="J406"/>
  <c r="K406" s="1"/>
  <c r="J407"/>
  <c r="J408"/>
  <c r="J409"/>
  <c r="J410"/>
  <c r="K410" s="1"/>
  <c r="J411"/>
  <c r="J412"/>
  <c r="L412" s="1"/>
  <c r="J413"/>
  <c r="J414"/>
  <c r="J415"/>
  <c r="K415" s="1"/>
  <c r="J416"/>
  <c r="L416" s="1"/>
  <c r="J417"/>
  <c r="K417" s="1"/>
  <c r="J418"/>
  <c r="J419"/>
  <c r="K419" s="1"/>
  <c r="J420"/>
  <c r="L420" s="1"/>
  <c r="J421"/>
  <c r="K421" s="1"/>
  <c r="J422"/>
  <c r="L422" s="1"/>
  <c r="J423"/>
  <c r="J424"/>
  <c r="K424" s="1"/>
  <c r="J425"/>
  <c r="K425" s="1"/>
  <c r="J426"/>
  <c r="L426" s="1"/>
  <c r="J427"/>
  <c r="L427" s="1"/>
  <c r="J428"/>
  <c r="K428" s="1"/>
  <c r="J429"/>
  <c r="J430"/>
  <c r="J431"/>
  <c r="K431" s="1"/>
  <c r="J432"/>
  <c r="J433"/>
  <c r="K433" s="1"/>
  <c r="J434"/>
  <c r="J435"/>
  <c r="L435" s="1"/>
  <c r="J436"/>
  <c r="K436" s="1"/>
  <c r="J437"/>
  <c r="K437" s="1"/>
  <c r="J438"/>
  <c r="J439"/>
  <c r="L439" s="1"/>
  <c r="J440"/>
  <c r="J441"/>
  <c r="J442"/>
  <c r="J443"/>
  <c r="J444"/>
  <c r="L444" s="1"/>
  <c r="J445"/>
  <c r="J446"/>
  <c r="J447"/>
  <c r="L447" s="1"/>
  <c r="J448"/>
  <c r="L448" s="1"/>
  <c r="J449"/>
  <c r="J450"/>
  <c r="J451"/>
  <c r="L451" s="1"/>
  <c r="J452"/>
  <c r="K452" s="1"/>
  <c r="J453"/>
  <c r="K453" s="1"/>
  <c r="J454"/>
  <c r="J455"/>
  <c r="L455" s="1"/>
  <c r="J456"/>
  <c r="J457"/>
  <c r="K457" s="1"/>
  <c r="J458"/>
  <c r="J459"/>
  <c r="J460"/>
  <c r="L460" s="1"/>
  <c r="J461"/>
  <c r="K461" s="1"/>
  <c r="J462"/>
  <c r="J463"/>
  <c r="L463" s="1"/>
  <c r="J464"/>
  <c r="K464" s="1"/>
  <c r="J465"/>
  <c r="K465" s="1"/>
  <c r="J466"/>
  <c r="J467"/>
  <c r="L467" s="1"/>
  <c r="J468"/>
  <c r="L468" s="1"/>
  <c r="J469"/>
  <c r="K469" s="1"/>
  <c r="J470"/>
  <c r="J471"/>
  <c r="K471" s="1"/>
  <c r="J472"/>
  <c r="L472" s="1"/>
  <c r="J473"/>
  <c r="K473" s="1"/>
  <c r="J474"/>
  <c r="J475"/>
  <c r="L475" s="1"/>
  <c r="J476"/>
  <c r="K476" s="1"/>
  <c r="J477"/>
  <c r="J478"/>
  <c r="J479"/>
  <c r="L479" s="1"/>
  <c r="J480"/>
  <c r="K480" s="1"/>
  <c r="J481"/>
  <c r="J482"/>
  <c r="J483"/>
  <c r="L483" s="1"/>
  <c r="J484"/>
  <c r="J485"/>
  <c r="L485" s="1"/>
  <c r="J486"/>
  <c r="J487"/>
  <c r="L487" s="1"/>
  <c r="J488"/>
  <c r="K488" s="1"/>
  <c r="J489"/>
  <c r="L489" s="1"/>
  <c r="J490"/>
  <c r="J491"/>
  <c r="K491" s="1"/>
  <c r="J492"/>
  <c r="K492" s="1"/>
  <c r="J493"/>
  <c r="L493" s="1"/>
  <c r="J494"/>
  <c r="L494" s="1"/>
  <c r="J495"/>
  <c r="K495" s="1"/>
  <c r="J496"/>
  <c r="K496" s="1"/>
  <c r="J497"/>
  <c r="L497" s="1"/>
  <c r="J498"/>
  <c r="K498" s="1"/>
  <c r="J499"/>
  <c r="K499" s="1"/>
  <c r="J500"/>
  <c r="K500" s="1"/>
  <c r="J501"/>
  <c r="J502"/>
  <c r="J503"/>
  <c r="L503" s="1"/>
  <c r="J504"/>
  <c r="K504" s="1"/>
  <c r="J505"/>
  <c r="J506"/>
  <c r="L506" s="1"/>
  <c r="J507"/>
  <c r="L507" s="1"/>
  <c r="J508"/>
  <c r="K508" s="1"/>
  <c r="J509"/>
  <c r="J510"/>
  <c r="L510" s="1"/>
  <c r="J511"/>
  <c r="K511" s="1"/>
  <c r="J512"/>
  <c r="K512" s="1"/>
  <c r="J513"/>
  <c r="J514"/>
  <c r="L514" s="1"/>
  <c r="J515"/>
  <c r="K515" s="1"/>
  <c r="J516"/>
  <c r="K516" s="1"/>
  <c r="J517"/>
  <c r="J518"/>
  <c r="J519"/>
  <c r="L519" s="1"/>
  <c r="J520"/>
  <c r="K520" s="1"/>
  <c r="J521"/>
  <c r="J522"/>
  <c r="L522" s="1"/>
  <c r="J523"/>
  <c r="K523" s="1"/>
  <c r="J524"/>
  <c r="L524" s="1"/>
  <c r="J525"/>
  <c r="J526"/>
  <c r="J527"/>
  <c r="K527" s="1"/>
  <c r="J528"/>
  <c r="K528" s="1"/>
  <c r="J529"/>
  <c r="J530"/>
  <c r="L530" s="1"/>
  <c r="J531"/>
  <c r="L531" s="1"/>
  <c r="J532"/>
  <c r="K532" s="1"/>
  <c r="J533"/>
  <c r="K533" s="1"/>
  <c r="J534"/>
  <c r="J535"/>
  <c r="L535" s="1"/>
  <c r="J536"/>
  <c r="K536" s="1"/>
  <c r="J537"/>
  <c r="K537" s="1"/>
  <c r="J538"/>
  <c r="J539"/>
  <c r="K539" s="1"/>
  <c r="J540"/>
  <c r="K540" s="1"/>
  <c r="J541"/>
  <c r="K541" s="1"/>
  <c r="J542"/>
  <c r="J543"/>
  <c r="K543" s="1"/>
  <c r="J544"/>
  <c r="L544" s="1"/>
  <c r="J545"/>
  <c r="K545" s="1"/>
  <c r="J546"/>
  <c r="J547"/>
  <c r="L547" s="1"/>
  <c r="J548"/>
  <c r="K548" s="1"/>
  <c r="J549"/>
  <c r="K549" s="1"/>
  <c r="J550"/>
  <c r="L550" s="1"/>
  <c r="J551"/>
  <c r="L551" s="1"/>
  <c r="J552"/>
  <c r="K552" s="1"/>
  <c r="J553"/>
  <c r="K553" s="1"/>
  <c r="J554"/>
  <c r="L554" s="1"/>
  <c r="J555"/>
  <c r="L555" s="1"/>
  <c r="J556"/>
  <c r="K556" s="1"/>
  <c r="J557"/>
  <c r="K557" s="1"/>
  <c r="J558"/>
  <c r="L558" s="1"/>
  <c r="J559"/>
  <c r="L559" s="1"/>
  <c r="J560"/>
  <c r="K560" s="1"/>
  <c r="J561"/>
  <c r="K561" s="1"/>
  <c r="J562"/>
  <c r="L562" s="1"/>
  <c r="J563"/>
  <c r="L563" s="1"/>
  <c r="J564"/>
  <c r="K564" s="1"/>
  <c r="J565"/>
  <c r="K565" s="1"/>
  <c r="J566"/>
  <c r="L566" s="1"/>
  <c r="J567"/>
  <c r="L567" s="1"/>
  <c r="J568"/>
  <c r="L568" s="1"/>
  <c r="J569"/>
  <c r="K569" s="1"/>
  <c r="J570"/>
  <c r="L570" s="1"/>
  <c r="J571"/>
  <c r="K571" s="1"/>
  <c r="J572"/>
  <c r="K572" s="1"/>
  <c r="J2"/>
  <c r="K2" s="1"/>
  <c r="H3"/>
  <c r="Y3" s="1"/>
  <c r="H4"/>
  <c r="Y4" s="1"/>
  <c r="H5"/>
  <c r="Y5" s="1"/>
  <c r="H6"/>
  <c r="Y6" s="1"/>
  <c r="H7"/>
  <c r="Y7" s="1"/>
  <c r="H8"/>
  <c r="Y8" s="1"/>
  <c r="H9"/>
  <c r="Y9" s="1"/>
  <c r="H10"/>
  <c r="Y10" s="1"/>
  <c r="H11"/>
  <c r="Y11" s="1"/>
  <c r="H12"/>
  <c r="Y12" s="1"/>
  <c r="H13"/>
  <c r="Y13" s="1"/>
  <c r="H14"/>
  <c r="Y14" s="1"/>
  <c r="H15"/>
  <c r="Y15" s="1"/>
  <c r="H16"/>
  <c r="Y16" s="1"/>
  <c r="H17"/>
  <c r="Y17" s="1"/>
  <c r="H18"/>
  <c r="Y18" s="1"/>
  <c r="H19"/>
  <c r="Y19" s="1"/>
  <c r="H20"/>
  <c r="Y20" s="1"/>
  <c r="H21"/>
  <c r="Y21" s="1"/>
  <c r="H22"/>
  <c r="Y22" s="1"/>
  <c r="H23"/>
  <c r="Y23" s="1"/>
  <c r="H24"/>
  <c r="Y24" s="1"/>
  <c r="H25"/>
  <c r="Y25" s="1"/>
  <c r="H26"/>
  <c r="Y26" s="1"/>
  <c r="H27"/>
  <c r="Y27" s="1"/>
  <c r="H28"/>
  <c r="Y28" s="1"/>
  <c r="H29"/>
  <c r="Y29" s="1"/>
  <c r="H30"/>
  <c r="Y30" s="1"/>
  <c r="H31"/>
  <c r="Y31" s="1"/>
  <c r="H32"/>
  <c r="Y32" s="1"/>
  <c r="H33"/>
  <c r="Y33" s="1"/>
  <c r="H34"/>
  <c r="Y34" s="1"/>
  <c r="H35"/>
  <c r="Y35" s="1"/>
  <c r="H36"/>
  <c r="Y36" s="1"/>
  <c r="H37"/>
  <c r="Y37" s="1"/>
  <c r="H38"/>
  <c r="Y38" s="1"/>
  <c r="H39"/>
  <c r="Y39" s="1"/>
  <c r="H40"/>
  <c r="Y40" s="1"/>
  <c r="H41"/>
  <c r="Y41" s="1"/>
  <c r="H42"/>
  <c r="Y42" s="1"/>
  <c r="H43"/>
  <c r="Y43" s="1"/>
  <c r="H44"/>
  <c r="Y44" s="1"/>
  <c r="H45"/>
  <c r="Y45" s="1"/>
  <c r="H46"/>
  <c r="Y46" s="1"/>
  <c r="H47"/>
  <c r="Y47" s="1"/>
  <c r="H48"/>
  <c r="Y48" s="1"/>
  <c r="H49"/>
  <c r="Y49" s="1"/>
  <c r="H50"/>
  <c r="Y50" s="1"/>
  <c r="H51"/>
  <c r="Y51" s="1"/>
  <c r="H52"/>
  <c r="Y52" s="1"/>
  <c r="H53"/>
  <c r="Y53" s="1"/>
  <c r="H54"/>
  <c r="Y54" s="1"/>
  <c r="H55"/>
  <c r="Y55" s="1"/>
  <c r="H56"/>
  <c r="Y56" s="1"/>
  <c r="H57"/>
  <c r="Y57" s="1"/>
  <c r="H58"/>
  <c r="Y58" s="1"/>
  <c r="H59"/>
  <c r="Y59" s="1"/>
  <c r="H60"/>
  <c r="Y60" s="1"/>
  <c r="H61"/>
  <c r="Y61" s="1"/>
  <c r="H62"/>
  <c r="Y62" s="1"/>
  <c r="H63"/>
  <c r="Y63" s="1"/>
  <c r="H64"/>
  <c r="Y64" s="1"/>
  <c r="H65"/>
  <c r="Y65" s="1"/>
  <c r="H66"/>
  <c r="Y66" s="1"/>
  <c r="H67"/>
  <c r="Y67" s="1"/>
  <c r="H68"/>
  <c r="Y68" s="1"/>
  <c r="H69"/>
  <c r="Y69" s="1"/>
  <c r="H70"/>
  <c r="Y70" s="1"/>
  <c r="H71"/>
  <c r="Y71" s="1"/>
  <c r="H72"/>
  <c r="Y72" s="1"/>
  <c r="H73"/>
  <c r="Y73" s="1"/>
  <c r="H74"/>
  <c r="Y74" s="1"/>
  <c r="H75"/>
  <c r="Y75" s="1"/>
  <c r="H76"/>
  <c r="Y76" s="1"/>
  <c r="H77"/>
  <c r="Y77" s="1"/>
  <c r="H78"/>
  <c r="Y78" s="1"/>
  <c r="H79"/>
  <c r="Y79" s="1"/>
  <c r="H80"/>
  <c r="Y80" s="1"/>
  <c r="H81"/>
  <c r="Y81" s="1"/>
  <c r="H82"/>
  <c r="Y82" s="1"/>
  <c r="H83"/>
  <c r="Y83" s="1"/>
  <c r="H84"/>
  <c r="Y84" s="1"/>
  <c r="H85"/>
  <c r="Y85" s="1"/>
  <c r="H86"/>
  <c r="Y86" s="1"/>
  <c r="H87"/>
  <c r="Y87" s="1"/>
  <c r="H88"/>
  <c r="Y88" s="1"/>
  <c r="H89"/>
  <c r="Y89" s="1"/>
  <c r="H90"/>
  <c r="Y90" s="1"/>
  <c r="H91"/>
  <c r="Y91" s="1"/>
  <c r="H92"/>
  <c r="Y92" s="1"/>
  <c r="H93"/>
  <c r="Y93" s="1"/>
  <c r="H94"/>
  <c r="Y94" s="1"/>
  <c r="H95"/>
  <c r="Y95" s="1"/>
  <c r="H96"/>
  <c r="Y96" s="1"/>
  <c r="H97"/>
  <c r="Y97" s="1"/>
  <c r="H98"/>
  <c r="Y98" s="1"/>
  <c r="H99"/>
  <c r="Y99" s="1"/>
  <c r="H100"/>
  <c r="Y100" s="1"/>
  <c r="H101"/>
  <c r="Y101" s="1"/>
  <c r="H102"/>
  <c r="Y102" s="1"/>
  <c r="H103"/>
  <c r="Y103" s="1"/>
  <c r="H104"/>
  <c r="Y104" s="1"/>
  <c r="H105"/>
  <c r="Y105" s="1"/>
  <c r="H106"/>
  <c r="Y106" s="1"/>
  <c r="H107"/>
  <c r="Y107" s="1"/>
  <c r="H108"/>
  <c r="Y108" s="1"/>
  <c r="H109"/>
  <c r="Y109" s="1"/>
  <c r="H110"/>
  <c r="Y110" s="1"/>
  <c r="H111"/>
  <c r="Y111" s="1"/>
  <c r="H112"/>
  <c r="Y112" s="1"/>
  <c r="H113"/>
  <c r="Y113" s="1"/>
  <c r="H114"/>
  <c r="Y114" s="1"/>
  <c r="H115"/>
  <c r="Y115" s="1"/>
  <c r="H116"/>
  <c r="Y116" s="1"/>
  <c r="H117"/>
  <c r="Y117" s="1"/>
  <c r="H118"/>
  <c r="Y118" s="1"/>
  <c r="H119"/>
  <c r="Y119" s="1"/>
  <c r="H120"/>
  <c r="Y120" s="1"/>
  <c r="H121"/>
  <c r="Y121" s="1"/>
  <c r="H122"/>
  <c r="Y122" s="1"/>
  <c r="H123"/>
  <c r="Y123" s="1"/>
  <c r="H124"/>
  <c r="Y124" s="1"/>
  <c r="H125"/>
  <c r="Y125" s="1"/>
  <c r="H126"/>
  <c r="Y126" s="1"/>
  <c r="H127"/>
  <c r="Y127" s="1"/>
  <c r="H128"/>
  <c r="Y128" s="1"/>
  <c r="H129"/>
  <c r="Y129" s="1"/>
  <c r="H130"/>
  <c r="Y130" s="1"/>
  <c r="H131"/>
  <c r="Y131" s="1"/>
  <c r="H132"/>
  <c r="Y132" s="1"/>
  <c r="H133"/>
  <c r="Y133" s="1"/>
  <c r="H134"/>
  <c r="Y134" s="1"/>
  <c r="H135"/>
  <c r="Y135" s="1"/>
  <c r="H136"/>
  <c r="Y136" s="1"/>
  <c r="H137"/>
  <c r="Y137" s="1"/>
  <c r="H138"/>
  <c r="Y138" s="1"/>
  <c r="H139"/>
  <c r="Y139" s="1"/>
  <c r="H140"/>
  <c r="Y140" s="1"/>
  <c r="H141"/>
  <c r="Y141" s="1"/>
  <c r="H142"/>
  <c r="Y142" s="1"/>
  <c r="H143"/>
  <c r="Y143" s="1"/>
  <c r="H144"/>
  <c r="Y144" s="1"/>
  <c r="H145"/>
  <c r="Y145" s="1"/>
  <c r="H146"/>
  <c r="Y146" s="1"/>
  <c r="H147"/>
  <c r="Y147" s="1"/>
  <c r="H148"/>
  <c r="Y148" s="1"/>
  <c r="H149"/>
  <c r="Y149" s="1"/>
  <c r="H150"/>
  <c r="Y150" s="1"/>
  <c r="H151"/>
  <c r="Y151" s="1"/>
  <c r="H152"/>
  <c r="Y152" s="1"/>
  <c r="H153"/>
  <c r="Y153" s="1"/>
  <c r="H154"/>
  <c r="Y154" s="1"/>
  <c r="H155"/>
  <c r="Y155" s="1"/>
  <c r="H156"/>
  <c r="Y156" s="1"/>
  <c r="H157"/>
  <c r="Y157" s="1"/>
  <c r="H158"/>
  <c r="Y158" s="1"/>
  <c r="H159"/>
  <c r="Y159" s="1"/>
  <c r="H160"/>
  <c r="Y160" s="1"/>
  <c r="H161"/>
  <c r="Y161" s="1"/>
  <c r="H162"/>
  <c r="Y162" s="1"/>
  <c r="H163"/>
  <c r="Y163" s="1"/>
  <c r="H164"/>
  <c r="Y164" s="1"/>
  <c r="H165"/>
  <c r="Y165" s="1"/>
  <c r="H166"/>
  <c r="Y166" s="1"/>
  <c r="H167"/>
  <c r="Y167" s="1"/>
  <c r="H168"/>
  <c r="Y168" s="1"/>
  <c r="H169"/>
  <c r="Y169" s="1"/>
  <c r="H170"/>
  <c r="Y170" s="1"/>
  <c r="H171"/>
  <c r="Y171" s="1"/>
  <c r="H172"/>
  <c r="Y172" s="1"/>
  <c r="H173"/>
  <c r="Y173" s="1"/>
  <c r="H174"/>
  <c r="Y174" s="1"/>
  <c r="H175"/>
  <c r="Y175" s="1"/>
  <c r="H176"/>
  <c r="Y176" s="1"/>
  <c r="H177"/>
  <c r="Y177" s="1"/>
  <c r="H178"/>
  <c r="Y178" s="1"/>
  <c r="H179"/>
  <c r="Y179" s="1"/>
  <c r="H180"/>
  <c r="Y180" s="1"/>
  <c r="H181"/>
  <c r="Y181" s="1"/>
  <c r="H182"/>
  <c r="Y182" s="1"/>
  <c r="H183"/>
  <c r="Y183" s="1"/>
  <c r="H184"/>
  <c r="Y184" s="1"/>
  <c r="H185"/>
  <c r="Y185" s="1"/>
  <c r="H186"/>
  <c r="Y186" s="1"/>
  <c r="H187"/>
  <c r="Y187" s="1"/>
  <c r="H188"/>
  <c r="Y188" s="1"/>
  <c r="H189"/>
  <c r="Y189" s="1"/>
  <c r="H191"/>
  <c r="Y191" s="1"/>
  <c r="H192"/>
  <c r="Y192" s="1"/>
  <c r="H193"/>
  <c r="Y193" s="1"/>
  <c r="H194"/>
  <c r="Y194" s="1"/>
  <c r="H195"/>
  <c r="Y195" s="1"/>
  <c r="H196"/>
  <c r="Y196" s="1"/>
  <c r="H197"/>
  <c r="Y197" s="1"/>
  <c r="H198"/>
  <c r="Y198" s="1"/>
  <c r="H199"/>
  <c r="Y199" s="1"/>
  <c r="H200"/>
  <c r="Y200" s="1"/>
  <c r="H201"/>
  <c r="Y201" s="1"/>
  <c r="H202"/>
  <c r="Y202" s="1"/>
  <c r="H203"/>
  <c r="Y203" s="1"/>
  <c r="H204"/>
  <c r="Y204" s="1"/>
  <c r="H205"/>
  <c r="Y205" s="1"/>
  <c r="H206"/>
  <c r="Y206" s="1"/>
  <c r="H207"/>
  <c r="Y207" s="1"/>
  <c r="H208"/>
  <c r="Y208" s="1"/>
  <c r="H209"/>
  <c r="Y209" s="1"/>
  <c r="H210"/>
  <c r="Y210" s="1"/>
  <c r="H211"/>
  <c r="Y211" s="1"/>
  <c r="H212"/>
  <c r="Y212" s="1"/>
  <c r="H213"/>
  <c r="Y213" s="1"/>
  <c r="H214"/>
  <c r="Y214" s="1"/>
  <c r="H215"/>
  <c r="Y215" s="1"/>
  <c r="H216"/>
  <c r="Y216" s="1"/>
  <c r="H217"/>
  <c r="Y217" s="1"/>
  <c r="H218"/>
  <c r="Y218" s="1"/>
  <c r="H219"/>
  <c r="Y219" s="1"/>
  <c r="H220"/>
  <c r="Y220" s="1"/>
  <c r="H221"/>
  <c r="Y221" s="1"/>
  <c r="H222"/>
  <c r="Y222" s="1"/>
  <c r="H223"/>
  <c r="Y223" s="1"/>
  <c r="H224"/>
  <c r="Y224" s="1"/>
  <c r="H225"/>
  <c r="Y225" s="1"/>
  <c r="H226"/>
  <c r="Y226" s="1"/>
  <c r="H227"/>
  <c r="Y227" s="1"/>
  <c r="H228"/>
  <c r="Y228" s="1"/>
  <c r="H229"/>
  <c r="Y229" s="1"/>
  <c r="H230"/>
  <c r="Y230" s="1"/>
  <c r="H231"/>
  <c r="Y231" s="1"/>
  <c r="H232"/>
  <c r="Y232" s="1"/>
  <c r="H233"/>
  <c r="Y233" s="1"/>
  <c r="H234"/>
  <c r="Y234" s="1"/>
  <c r="H235"/>
  <c r="Y235" s="1"/>
  <c r="H236"/>
  <c r="Y236" s="1"/>
  <c r="H237"/>
  <c r="Y237" s="1"/>
  <c r="H238"/>
  <c r="Y238" s="1"/>
  <c r="H239"/>
  <c r="Y239" s="1"/>
  <c r="H240"/>
  <c r="Y240" s="1"/>
  <c r="H241"/>
  <c r="Y241" s="1"/>
  <c r="H242"/>
  <c r="Y242" s="1"/>
  <c r="H243"/>
  <c r="Y243" s="1"/>
  <c r="H244"/>
  <c r="Y244" s="1"/>
  <c r="H245"/>
  <c r="Y245" s="1"/>
  <c r="H246"/>
  <c r="Y246" s="1"/>
  <c r="H247"/>
  <c r="Y247" s="1"/>
  <c r="H248"/>
  <c r="Y248" s="1"/>
  <c r="H249"/>
  <c r="Y249" s="1"/>
  <c r="H250"/>
  <c r="Y250" s="1"/>
  <c r="H251"/>
  <c r="Y251" s="1"/>
  <c r="H252"/>
  <c r="Y252" s="1"/>
  <c r="H253"/>
  <c r="Y253" s="1"/>
  <c r="H254"/>
  <c r="Y254" s="1"/>
  <c r="H255"/>
  <c r="Y255" s="1"/>
  <c r="H256"/>
  <c r="Y256" s="1"/>
  <c r="H257"/>
  <c r="Y257" s="1"/>
  <c r="H258"/>
  <c r="Y258" s="1"/>
  <c r="H259"/>
  <c r="Y259" s="1"/>
  <c r="H260"/>
  <c r="Y260" s="1"/>
  <c r="H261"/>
  <c r="Y261" s="1"/>
  <c r="H262"/>
  <c r="Y262" s="1"/>
  <c r="H263"/>
  <c r="Y263" s="1"/>
  <c r="H264"/>
  <c r="Y264" s="1"/>
  <c r="H265"/>
  <c r="Y265" s="1"/>
  <c r="H266"/>
  <c r="Y266" s="1"/>
  <c r="H267"/>
  <c r="Y267" s="1"/>
  <c r="H268"/>
  <c r="Y268" s="1"/>
  <c r="H269"/>
  <c r="Y269" s="1"/>
  <c r="H270"/>
  <c r="Y270" s="1"/>
  <c r="H271"/>
  <c r="Y271" s="1"/>
  <c r="H272"/>
  <c r="Y272" s="1"/>
  <c r="H273"/>
  <c r="Y273" s="1"/>
  <c r="H274"/>
  <c r="Y274" s="1"/>
  <c r="H275"/>
  <c r="Y275" s="1"/>
  <c r="H276"/>
  <c r="Y276" s="1"/>
  <c r="H277"/>
  <c r="Y277" s="1"/>
  <c r="H278"/>
  <c r="Y278" s="1"/>
  <c r="H279"/>
  <c r="Y279" s="1"/>
  <c r="H280"/>
  <c r="Y280" s="1"/>
  <c r="H281"/>
  <c r="Y281" s="1"/>
  <c r="H282"/>
  <c r="Y282" s="1"/>
  <c r="H283"/>
  <c r="Y283" s="1"/>
  <c r="H284"/>
  <c r="Y284" s="1"/>
  <c r="H285"/>
  <c r="Y285" s="1"/>
  <c r="H286"/>
  <c r="Y286" s="1"/>
  <c r="H287"/>
  <c r="Y287" s="1"/>
  <c r="H288"/>
  <c r="Y288" s="1"/>
  <c r="H289"/>
  <c r="Y289" s="1"/>
  <c r="H290"/>
  <c r="Y290" s="1"/>
  <c r="H291"/>
  <c r="Y291" s="1"/>
  <c r="H292"/>
  <c r="Y292" s="1"/>
  <c r="H293"/>
  <c r="Y293" s="1"/>
  <c r="H294"/>
  <c r="Y294" s="1"/>
  <c r="H295"/>
  <c r="Y295" s="1"/>
  <c r="H296"/>
  <c r="Y296" s="1"/>
  <c r="H297"/>
  <c r="Y297" s="1"/>
  <c r="H298"/>
  <c r="Y298" s="1"/>
  <c r="H299"/>
  <c r="Y299" s="1"/>
  <c r="H300"/>
  <c r="Y300" s="1"/>
  <c r="H301"/>
  <c r="Y301" s="1"/>
  <c r="H302"/>
  <c r="Y302" s="1"/>
  <c r="H303"/>
  <c r="Y303" s="1"/>
  <c r="H304"/>
  <c r="Y304" s="1"/>
  <c r="H305"/>
  <c r="Y305" s="1"/>
  <c r="H306"/>
  <c r="Y306" s="1"/>
  <c r="H307"/>
  <c r="Y307" s="1"/>
  <c r="H308"/>
  <c r="Y308" s="1"/>
  <c r="H309"/>
  <c r="Y309" s="1"/>
  <c r="H310"/>
  <c r="Y310" s="1"/>
  <c r="H311"/>
  <c r="Y311" s="1"/>
  <c r="H312"/>
  <c r="Y312" s="1"/>
  <c r="H313"/>
  <c r="Y313" s="1"/>
  <c r="H314"/>
  <c r="Y314" s="1"/>
  <c r="H315"/>
  <c r="Y315" s="1"/>
  <c r="H316"/>
  <c r="Y316" s="1"/>
  <c r="H317"/>
  <c r="Y317" s="1"/>
  <c r="H318"/>
  <c r="Y318" s="1"/>
  <c r="H319"/>
  <c r="Y319" s="1"/>
  <c r="H320"/>
  <c r="Y320" s="1"/>
  <c r="H321"/>
  <c r="Y321" s="1"/>
  <c r="H322"/>
  <c r="Y322" s="1"/>
  <c r="H323"/>
  <c r="Y323" s="1"/>
  <c r="H324"/>
  <c r="Y324" s="1"/>
  <c r="H325"/>
  <c r="Y325" s="1"/>
  <c r="H326"/>
  <c r="Y326" s="1"/>
  <c r="H327"/>
  <c r="Y327" s="1"/>
  <c r="H328"/>
  <c r="Y328" s="1"/>
  <c r="H329"/>
  <c r="Y329" s="1"/>
  <c r="H330"/>
  <c r="Y330" s="1"/>
  <c r="H331"/>
  <c r="Y331" s="1"/>
  <c r="H332"/>
  <c r="Y332" s="1"/>
  <c r="H333"/>
  <c r="Y333" s="1"/>
  <c r="H334"/>
  <c r="Y334" s="1"/>
  <c r="H335"/>
  <c r="Y335" s="1"/>
  <c r="H336"/>
  <c r="Y336" s="1"/>
  <c r="H337"/>
  <c r="Y337" s="1"/>
  <c r="H338"/>
  <c r="Y338" s="1"/>
  <c r="H339"/>
  <c r="Y339" s="1"/>
  <c r="H340"/>
  <c r="Y340" s="1"/>
  <c r="H341"/>
  <c r="Y341" s="1"/>
  <c r="H342"/>
  <c r="Y342" s="1"/>
  <c r="H343"/>
  <c r="Y343" s="1"/>
  <c r="H344"/>
  <c r="Y344" s="1"/>
  <c r="H345"/>
  <c r="Y345" s="1"/>
  <c r="H346"/>
  <c r="Y346" s="1"/>
  <c r="H347"/>
  <c r="Y347" s="1"/>
  <c r="H348"/>
  <c r="Y348" s="1"/>
  <c r="H349"/>
  <c r="Y349" s="1"/>
  <c r="H350"/>
  <c r="Y350" s="1"/>
  <c r="H351"/>
  <c r="Y351" s="1"/>
  <c r="H352"/>
  <c r="Y352" s="1"/>
  <c r="H353"/>
  <c r="Y353" s="1"/>
  <c r="H354"/>
  <c r="Y354" s="1"/>
  <c r="H355"/>
  <c r="Y355" s="1"/>
  <c r="H356"/>
  <c r="Y356" s="1"/>
  <c r="H357"/>
  <c r="Y357" s="1"/>
  <c r="H358"/>
  <c r="Y358" s="1"/>
  <c r="H359"/>
  <c r="Y359" s="1"/>
  <c r="H360"/>
  <c r="Y360" s="1"/>
  <c r="H361"/>
  <c r="Y361" s="1"/>
  <c r="H362"/>
  <c r="Y362" s="1"/>
  <c r="H363"/>
  <c r="Y363" s="1"/>
  <c r="H364"/>
  <c r="Y364" s="1"/>
  <c r="H365"/>
  <c r="Y365" s="1"/>
  <c r="H366"/>
  <c r="Y366" s="1"/>
  <c r="H367"/>
  <c r="Y367" s="1"/>
  <c r="H368"/>
  <c r="Y368" s="1"/>
  <c r="H369"/>
  <c r="Y369" s="1"/>
  <c r="H370"/>
  <c r="Y370" s="1"/>
  <c r="H371"/>
  <c r="Y371" s="1"/>
  <c r="H372"/>
  <c r="Y372" s="1"/>
  <c r="H373"/>
  <c r="Y373" s="1"/>
  <c r="H374"/>
  <c r="Y374" s="1"/>
  <c r="H375"/>
  <c r="Y375" s="1"/>
  <c r="H376"/>
  <c r="Y376" s="1"/>
  <c r="H377"/>
  <c r="Y377" s="1"/>
  <c r="H378"/>
  <c r="Y378" s="1"/>
  <c r="H379"/>
  <c r="Y379" s="1"/>
  <c r="H380"/>
  <c r="Y380" s="1"/>
  <c r="H381"/>
  <c r="Y381" s="1"/>
  <c r="H382"/>
  <c r="Y382" s="1"/>
  <c r="H383"/>
  <c r="Y383" s="1"/>
  <c r="H384"/>
  <c r="Y384" s="1"/>
  <c r="H385"/>
  <c r="Y385" s="1"/>
  <c r="H386"/>
  <c r="Y386" s="1"/>
  <c r="H387"/>
  <c r="Y387" s="1"/>
  <c r="H388"/>
  <c r="Y388" s="1"/>
  <c r="H389"/>
  <c r="Y389" s="1"/>
  <c r="H390"/>
  <c r="Y390" s="1"/>
  <c r="H391"/>
  <c r="Y391" s="1"/>
  <c r="H392"/>
  <c r="Y392" s="1"/>
  <c r="H393"/>
  <c r="Y393" s="1"/>
  <c r="H394"/>
  <c r="Y394" s="1"/>
  <c r="H395"/>
  <c r="Y395" s="1"/>
  <c r="H396"/>
  <c r="Y396" s="1"/>
  <c r="H397"/>
  <c r="Y397" s="1"/>
  <c r="H398"/>
  <c r="Y398" s="1"/>
  <c r="H399"/>
  <c r="Y399" s="1"/>
  <c r="H400"/>
  <c r="Y400" s="1"/>
  <c r="H401"/>
  <c r="Y401" s="1"/>
  <c r="H402"/>
  <c r="Y402" s="1"/>
  <c r="H403"/>
  <c r="Y403" s="1"/>
  <c r="H404"/>
  <c r="Y404" s="1"/>
  <c r="H405"/>
  <c r="Y405" s="1"/>
  <c r="H406"/>
  <c r="Y406" s="1"/>
  <c r="H407"/>
  <c r="Y407" s="1"/>
  <c r="H408"/>
  <c r="Y408" s="1"/>
  <c r="H409"/>
  <c r="Y409" s="1"/>
  <c r="H410"/>
  <c r="Y410" s="1"/>
  <c r="H411"/>
  <c r="Y411" s="1"/>
  <c r="H412"/>
  <c r="Y412" s="1"/>
  <c r="H413"/>
  <c r="Y413" s="1"/>
  <c r="H414"/>
  <c r="Y414" s="1"/>
  <c r="H415"/>
  <c r="Y415" s="1"/>
  <c r="H416"/>
  <c r="Y416" s="1"/>
  <c r="H417"/>
  <c r="Y417" s="1"/>
  <c r="H418"/>
  <c r="Y418" s="1"/>
  <c r="H419"/>
  <c r="Y419" s="1"/>
  <c r="H420"/>
  <c r="Y420" s="1"/>
  <c r="H421"/>
  <c r="Y421" s="1"/>
  <c r="H422"/>
  <c r="Y422" s="1"/>
  <c r="H423"/>
  <c r="Y423" s="1"/>
  <c r="H424"/>
  <c r="Y424" s="1"/>
  <c r="H425"/>
  <c r="Y425" s="1"/>
  <c r="H426"/>
  <c r="Y426" s="1"/>
  <c r="H427"/>
  <c r="Y427" s="1"/>
  <c r="H428"/>
  <c r="Y428" s="1"/>
  <c r="H429"/>
  <c r="Y429" s="1"/>
  <c r="H430"/>
  <c r="Y430" s="1"/>
  <c r="H431"/>
  <c r="Y431" s="1"/>
  <c r="H432"/>
  <c r="Y432" s="1"/>
  <c r="H433"/>
  <c r="Y433" s="1"/>
  <c r="H434"/>
  <c r="Y434" s="1"/>
  <c r="H435"/>
  <c r="Y435" s="1"/>
  <c r="H436"/>
  <c r="Y436" s="1"/>
  <c r="H437"/>
  <c r="Y437" s="1"/>
  <c r="H438"/>
  <c r="Y438" s="1"/>
  <c r="H439"/>
  <c r="Y439" s="1"/>
  <c r="H440"/>
  <c r="Y440" s="1"/>
  <c r="H441"/>
  <c r="Y441" s="1"/>
  <c r="H442"/>
  <c r="Y442" s="1"/>
  <c r="H443"/>
  <c r="Y443" s="1"/>
  <c r="H444"/>
  <c r="Y444" s="1"/>
  <c r="H445"/>
  <c r="Y445" s="1"/>
  <c r="H446"/>
  <c r="Y446" s="1"/>
  <c r="H447"/>
  <c r="Y447" s="1"/>
  <c r="H448"/>
  <c r="Y448" s="1"/>
  <c r="H449"/>
  <c r="Y449" s="1"/>
  <c r="H450"/>
  <c r="Y450" s="1"/>
  <c r="H451"/>
  <c r="Y451" s="1"/>
  <c r="H452"/>
  <c r="Y452" s="1"/>
  <c r="H453"/>
  <c r="Y453" s="1"/>
  <c r="H454"/>
  <c r="Y454" s="1"/>
  <c r="H455"/>
  <c r="Y455" s="1"/>
  <c r="H456"/>
  <c r="Y456" s="1"/>
  <c r="H457"/>
  <c r="Y457" s="1"/>
  <c r="H458"/>
  <c r="Y458" s="1"/>
  <c r="H459"/>
  <c r="Y459" s="1"/>
  <c r="H460"/>
  <c r="Y460" s="1"/>
  <c r="H461"/>
  <c r="Y461" s="1"/>
  <c r="H462"/>
  <c r="Y462" s="1"/>
  <c r="H463"/>
  <c r="Y463" s="1"/>
  <c r="H464"/>
  <c r="Y464" s="1"/>
  <c r="H465"/>
  <c r="Y465" s="1"/>
  <c r="H466"/>
  <c r="Y466" s="1"/>
  <c r="H467"/>
  <c r="Y467" s="1"/>
  <c r="H468"/>
  <c r="Y468" s="1"/>
  <c r="H469"/>
  <c r="Y469" s="1"/>
  <c r="H470"/>
  <c r="Y470" s="1"/>
  <c r="H471"/>
  <c r="Y471" s="1"/>
  <c r="H472"/>
  <c r="Y472" s="1"/>
  <c r="H473"/>
  <c r="Y473" s="1"/>
  <c r="H474"/>
  <c r="Y474" s="1"/>
  <c r="H475"/>
  <c r="Y475" s="1"/>
  <c r="H476"/>
  <c r="Y476" s="1"/>
  <c r="H477"/>
  <c r="Y477" s="1"/>
  <c r="H478"/>
  <c r="Y478" s="1"/>
  <c r="H479"/>
  <c r="Y479" s="1"/>
  <c r="H480"/>
  <c r="Y480" s="1"/>
  <c r="H481"/>
  <c r="Y481" s="1"/>
  <c r="H482"/>
  <c r="Y482" s="1"/>
  <c r="H483"/>
  <c r="Y483" s="1"/>
  <c r="H484"/>
  <c r="Y484" s="1"/>
  <c r="H485"/>
  <c r="Y485" s="1"/>
  <c r="H486"/>
  <c r="Y486" s="1"/>
  <c r="H487"/>
  <c r="Y487" s="1"/>
  <c r="H488"/>
  <c r="Y488" s="1"/>
  <c r="H489"/>
  <c r="Y489" s="1"/>
  <c r="H490"/>
  <c r="Y490" s="1"/>
  <c r="H491"/>
  <c r="Y491" s="1"/>
  <c r="H492"/>
  <c r="Y492" s="1"/>
  <c r="H493"/>
  <c r="Y493" s="1"/>
  <c r="H494"/>
  <c r="Y494" s="1"/>
  <c r="H495"/>
  <c r="Y495" s="1"/>
  <c r="H496"/>
  <c r="Y496" s="1"/>
  <c r="H497"/>
  <c r="Y497" s="1"/>
  <c r="H498"/>
  <c r="Y498" s="1"/>
  <c r="H499"/>
  <c r="Y499" s="1"/>
  <c r="H500"/>
  <c r="Y500" s="1"/>
  <c r="H501"/>
  <c r="Y501" s="1"/>
  <c r="H502"/>
  <c r="Y502" s="1"/>
  <c r="H503"/>
  <c r="Y503" s="1"/>
  <c r="H504"/>
  <c r="Y504" s="1"/>
  <c r="H505"/>
  <c r="Y505" s="1"/>
  <c r="H506"/>
  <c r="Y506" s="1"/>
  <c r="H507"/>
  <c r="Y507" s="1"/>
  <c r="H508"/>
  <c r="Y508" s="1"/>
  <c r="H509"/>
  <c r="Y509" s="1"/>
  <c r="H510"/>
  <c r="Y510" s="1"/>
  <c r="H511"/>
  <c r="Y511" s="1"/>
  <c r="H512"/>
  <c r="Y512" s="1"/>
  <c r="H513"/>
  <c r="Y513" s="1"/>
  <c r="H514"/>
  <c r="Y514" s="1"/>
  <c r="H515"/>
  <c r="Y515" s="1"/>
  <c r="H516"/>
  <c r="Y516" s="1"/>
  <c r="H517"/>
  <c r="Y517" s="1"/>
  <c r="H518"/>
  <c r="Y518" s="1"/>
  <c r="H519"/>
  <c r="Y519" s="1"/>
  <c r="H520"/>
  <c r="Y520" s="1"/>
  <c r="H521"/>
  <c r="Y521" s="1"/>
  <c r="H522"/>
  <c r="Y522" s="1"/>
  <c r="H523"/>
  <c r="Y523" s="1"/>
  <c r="H524"/>
  <c r="Y524" s="1"/>
  <c r="H525"/>
  <c r="Y525" s="1"/>
  <c r="H526"/>
  <c r="Y526" s="1"/>
  <c r="H527"/>
  <c r="Y527" s="1"/>
  <c r="H528"/>
  <c r="Y528" s="1"/>
  <c r="H529"/>
  <c r="Y529" s="1"/>
  <c r="H530"/>
  <c r="Y530" s="1"/>
  <c r="H531"/>
  <c r="Y531" s="1"/>
  <c r="H532"/>
  <c r="Y532" s="1"/>
  <c r="H533"/>
  <c r="Y533" s="1"/>
  <c r="H534"/>
  <c r="Y534" s="1"/>
  <c r="H535"/>
  <c r="Y535" s="1"/>
  <c r="H536"/>
  <c r="Y536" s="1"/>
  <c r="H537"/>
  <c r="Y537" s="1"/>
  <c r="H538"/>
  <c r="Y538" s="1"/>
  <c r="H539"/>
  <c r="Y539" s="1"/>
  <c r="H540"/>
  <c r="Y540" s="1"/>
  <c r="H541"/>
  <c r="Y541" s="1"/>
  <c r="H542"/>
  <c r="Y542" s="1"/>
  <c r="H543"/>
  <c r="Y543" s="1"/>
  <c r="H544"/>
  <c r="Y544" s="1"/>
  <c r="H545"/>
  <c r="Y545" s="1"/>
  <c r="H546"/>
  <c r="Y546" s="1"/>
  <c r="H547"/>
  <c r="Y547" s="1"/>
  <c r="H548"/>
  <c r="Y548" s="1"/>
  <c r="H549"/>
  <c r="Y549" s="1"/>
  <c r="H550"/>
  <c r="Y550" s="1"/>
  <c r="H551"/>
  <c r="Y551" s="1"/>
  <c r="H552"/>
  <c r="Y552" s="1"/>
  <c r="H553"/>
  <c r="Y553" s="1"/>
  <c r="H554"/>
  <c r="Y554" s="1"/>
  <c r="H555"/>
  <c r="Y555" s="1"/>
  <c r="H556"/>
  <c r="Y556" s="1"/>
  <c r="H557"/>
  <c r="Y557" s="1"/>
  <c r="H558"/>
  <c r="Y558" s="1"/>
  <c r="H559"/>
  <c r="Y559" s="1"/>
  <c r="H560"/>
  <c r="Y560" s="1"/>
  <c r="H561"/>
  <c r="Y561" s="1"/>
  <c r="H562"/>
  <c r="Y562" s="1"/>
  <c r="H563"/>
  <c r="Y563" s="1"/>
  <c r="H564"/>
  <c r="Y564" s="1"/>
  <c r="H565"/>
  <c r="Y565" s="1"/>
  <c r="H566"/>
  <c r="Y566" s="1"/>
  <c r="H567"/>
  <c r="Y567" s="1"/>
  <c r="H568"/>
  <c r="Y568" s="1"/>
  <c r="H569"/>
  <c r="Y569" s="1"/>
  <c r="H570"/>
  <c r="Y570" s="1"/>
  <c r="H571"/>
  <c r="Y571" s="1"/>
  <c r="H572"/>
  <c r="Y572" s="1"/>
  <c r="H2"/>
  <c r="Y2" s="1"/>
  <c r="G3"/>
  <c r="Z3" s="1"/>
  <c r="G4"/>
  <c r="Z4" s="1"/>
  <c r="G5"/>
  <c r="Z5" s="1"/>
  <c r="G6"/>
  <c r="Z6" s="1"/>
  <c r="G7"/>
  <c r="Z7" s="1"/>
  <c r="G8"/>
  <c r="Z8" s="1"/>
  <c r="G9"/>
  <c r="Z9" s="1"/>
  <c r="G10"/>
  <c r="G11"/>
  <c r="Z11" s="1"/>
  <c r="G12"/>
  <c r="Z12" s="1"/>
  <c r="G13"/>
  <c r="Z13" s="1"/>
  <c r="Z14"/>
  <c r="G15"/>
  <c r="Z15" s="1"/>
  <c r="G16"/>
  <c r="Z16" s="1"/>
  <c r="G17"/>
  <c r="Z17" s="1"/>
  <c r="G18"/>
  <c r="Z18" s="1"/>
  <c r="G19"/>
  <c r="Z19" s="1"/>
  <c r="G20"/>
  <c r="Z20" s="1"/>
  <c r="G21"/>
  <c r="Z21" s="1"/>
  <c r="G22"/>
  <c r="G23"/>
  <c r="Z23" s="1"/>
  <c r="G24"/>
  <c r="Z24" s="1"/>
  <c r="G25"/>
  <c r="Z25" s="1"/>
  <c r="G26"/>
  <c r="G27"/>
  <c r="Z27" s="1"/>
  <c r="G28"/>
  <c r="Z28" s="1"/>
  <c r="G29"/>
  <c r="Z29" s="1"/>
  <c r="G30"/>
  <c r="G31"/>
  <c r="Z31" s="1"/>
  <c r="G32"/>
  <c r="Z32" s="1"/>
  <c r="G33"/>
  <c r="Z33" s="1"/>
  <c r="G34"/>
  <c r="G35"/>
  <c r="Z35" s="1"/>
  <c r="G36"/>
  <c r="Z36" s="1"/>
  <c r="G37"/>
  <c r="Z37" s="1"/>
  <c r="G38"/>
  <c r="G39"/>
  <c r="Z39" s="1"/>
  <c r="G40"/>
  <c r="G41"/>
  <c r="G42"/>
  <c r="Z42" s="1"/>
  <c r="G43"/>
  <c r="Z43" s="1"/>
  <c r="G44"/>
  <c r="G45"/>
  <c r="Z45" s="1"/>
  <c r="G46"/>
  <c r="Z46" s="1"/>
  <c r="G47"/>
  <c r="Z47" s="1"/>
  <c r="G48"/>
  <c r="Z48" s="1"/>
  <c r="G49"/>
  <c r="G50"/>
  <c r="Z50" s="1"/>
  <c r="G51"/>
  <c r="Z51" s="1"/>
  <c r="G52"/>
  <c r="Z52" s="1"/>
  <c r="G53"/>
  <c r="G54"/>
  <c r="Z54" s="1"/>
  <c r="G55"/>
  <c r="Z55" s="1"/>
  <c r="G56"/>
  <c r="G57"/>
  <c r="Z57" s="1"/>
  <c r="G58"/>
  <c r="Z58" s="1"/>
  <c r="G59"/>
  <c r="Z59" s="1"/>
  <c r="G60"/>
  <c r="G61"/>
  <c r="Z61" s="1"/>
  <c r="G62"/>
  <c r="Z62" s="1"/>
  <c r="G63"/>
  <c r="Z63" s="1"/>
  <c r="G64"/>
  <c r="Z64" s="1"/>
  <c r="G65"/>
  <c r="G66"/>
  <c r="Z66" s="1"/>
  <c r="G67"/>
  <c r="Z67" s="1"/>
  <c r="G68"/>
  <c r="Z68" s="1"/>
  <c r="G69"/>
  <c r="G70"/>
  <c r="Z70" s="1"/>
  <c r="G71"/>
  <c r="Z71" s="1"/>
  <c r="G72"/>
  <c r="G73"/>
  <c r="G74"/>
  <c r="Z74" s="1"/>
  <c r="G75"/>
  <c r="Z75" s="1"/>
  <c r="G76"/>
  <c r="G77"/>
  <c r="Z77" s="1"/>
  <c r="G78"/>
  <c r="Z78" s="1"/>
  <c r="G79"/>
  <c r="Z79" s="1"/>
  <c r="G80"/>
  <c r="Z80" s="1"/>
  <c r="G81"/>
  <c r="G82"/>
  <c r="Z82" s="1"/>
  <c r="G83"/>
  <c r="Z83" s="1"/>
  <c r="G84"/>
  <c r="Z84" s="1"/>
  <c r="G85"/>
  <c r="G86"/>
  <c r="Z86" s="1"/>
  <c r="G87"/>
  <c r="Z87" s="1"/>
  <c r="G88"/>
  <c r="Z88" s="1"/>
  <c r="G89"/>
  <c r="G90"/>
  <c r="Z90" s="1"/>
  <c r="G91"/>
  <c r="Z91" s="1"/>
  <c r="G92"/>
  <c r="Z92" s="1"/>
  <c r="G93"/>
  <c r="Z93" s="1"/>
  <c r="G94"/>
  <c r="Z94" s="1"/>
  <c r="G95"/>
  <c r="Z95" s="1"/>
  <c r="G96"/>
  <c r="Z96" s="1"/>
  <c r="G97"/>
  <c r="G98"/>
  <c r="Z98" s="1"/>
  <c r="G99"/>
  <c r="Z99" s="1"/>
  <c r="G100"/>
  <c r="Z100" s="1"/>
  <c r="G101"/>
  <c r="G102"/>
  <c r="Z102" s="1"/>
  <c r="G103"/>
  <c r="Z103" s="1"/>
  <c r="G104"/>
  <c r="Z104" s="1"/>
  <c r="G105"/>
  <c r="G106"/>
  <c r="Z106" s="1"/>
  <c r="G107"/>
  <c r="Z107" s="1"/>
  <c r="G108"/>
  <c r="Z108" s="1"/>
  <c r="G109"/>
  <c r="Z109" s="1"/>
  <c r="G110"/>
  <c r="Z110" s="1"/>
  <c r="G111"/>
  <c r="Z111" s="1"/>
  <c r="G112"/>
  <c r="Z112" s="1"/>
  <c r="G113"/>
  <c r="Z113" s="1"/>
  <c r="G114"/>
  <c r="Z114" s="1"/>
  <c r="G115"/>
  <c r="Z115" s="1"/>
  <c r="G116"/>
  <c r="Z116" s="1"/>
  <c r="G117"/>
  <c r="Z117" s="1"/>
  <c r="G118"/>
  <c r="Z118" s="1"/>
  <c r="G119"/>
  <c r="Z119" s="1"/>
  <c r="G120"/>
  <c r="Z120" s="1"/>
  <c r="G121"/>
  <c r="G122"/>
  <c r="Z122" s="1"/>
  <c r="G123"/>
  <c r="Z123" s="1"/>
  <c r="G124"/>
  <c r="Z124" s="1"/>
  <c r="G125"/>
  <c r="Z125" s="1"/>
  <c r="G126"/>
  <c r="Z126" s="1"/>
  <c r="G127"/>
  <c r="Z127" s="1"/>
  <c r="G128"/>
  <c r="Z128" s="1"/>
  <c r="G129"/>
  <c r="Z129" s="1"/>
  <c r="G130"/>
  <c r="Z130" s="1"/>
  <c r="G131"/>
  <c r="Z131" s="1"/>
  <c r="G132"/>
  <c r="Z132" s="1"/>
  <c r="G133"/>
  <c r="G134"/>
  <c r="Z134" s="1"/>
  <c r="G135"/>
  <c r="Z135" s="1"/>
  <c r="G136"/>
  <c r="Z136" s="1"/>
  <c r="G138"/>
  <c r="Z138" s="1"/>
  <c r="G139"/>
  <c r="Z139" s="1"/>
  <c r="G140"/>
  <c r="Z140" s="1"/>
  <c r="G141"/>
  <c r="G142"/>
  <c r="Z142" s="1"/>
  <c r="G143"/>
  <c r="Z143" s="1"/>
  <c r="G144"/>
  <c r="Z144" s="1"/>
  <c r="G145"/>
  <c r="G146"/>
  <c r="Z146" s="1"/>
  <c r="G147"/>
  <c r="Z147" s="1"/>
  <c r="G148"/>
  <c r="Z148" s="1"/>
  <c r="G149"/>
  <c r="Z149" s="1"/>
  <c r="G150"/>
  <c r="Z150" s="1"/>
  <c r="G151"/>
  <c r="Z151" s="1"/>
  <c r="G152"/>
  <c r="Z152" s="1"/>
  <c r="G153"/>
  <c r="Z153" s="1"/>
  <c r="G154"/>
  <c r="Z154" s="1"/>
  <c r="G155"/>
  <c r="Z155" s="1"/>
  <c r="G156"/>
  <c r="Z156" s="1"/>
  <c r="G157"/>
  <c r="Z157" s="1"/>
  <c r="G158"/>
  <c r="Z158" s="1"/>
  <c r="G159"/>
  <c r="Z159" s="1"/>
  <c r="G160"/>
  <c r="Z160" s="1"/>
  <c r="G161"/>
  <c r="Z161" s="1"/>
  <c r="G162"/>
  <c r="Z162" s="1"/>
  <c r="G163"/>
  <c r="Z163" s="1"/>
  <c r="G164"/>
  <c r="Z164" s="1"/>
  <c r="G165"/>
  <c r="Z165" s="1"/>
  <c r="G166"/>
  <c r="Z166" s="1"/>
  <c r="G167"/>
  <c r="Z167" s="1"/>
  <c r="G168"/>
  <c r="Z168" s="1"/>
  <c r="G169"/>
  <c r="Z169" s="1"/>
  <c r="G170"/>
  <c r="Z170" s="1"/>
  <c r="G171"/>
  <c r="Z171" s="1"/>
  <c r="G172"/>
  <c r="Z172" s="1"/>
  <c r="G173"/>
  <c r="Z173" s="1"/>
  <c r="G174"/>
  <c r="Z174" s="1"/>
  <c r="G175"/>
  <c r="Z175" s="1"/>
  <c r="G176"/>
  <c r="Z176" s="1"/>
  <c r="G177"/>
  <c r="G178"/>
  <c r="Z178" s="1"/>
  <c r="G179"/>
  <c r="G180"/>
  <c r="G181"/>
  <c r="G182"/>
  <c r="Z182" s="1"/>
  <c r="G183"/>
  <c r="G184"/>
  <c r="G185"/>
  <c r="G186"/>
  <c r="Z186" s="1"/>
  <c r="G187"/>
  <c r="G188"/>
  <c r="G189"/>
  <c r="G191"/>
  <c r="Z191" s="1"/>
  <c r="G192"/>
  <c r="Z192" s="1"/>
  <c r="G193"/>
  <c r="G194"/>
  <c r="G195"/>
  <c r="Z195" s="1"/>
  <c r="G196"/>
  <c r="Z196" s="1"/>
  <c r="G197"/>
  <c r="Z197" s="1"/>
  <c r="G198"/>
  <c r="G199"/>
  <c r="Z199" s="1"/>
  <c r="G200"/>
  <c r="Z200" s="1"/>
  <c r="G201"/>
  <c r="G202"/>
  <c r="G203"/>
  <c r="Z203" s="1"/>
  <c r="G204"/>
  <c r="Z204" s="1"/>
  <c r="G205"/>
  <c r="Z205" s="1"/>
  <c r="G206"/>
  <c r="G207"/>
  <c r="Z207" s="1"/>
  <c r="G208"/>
  <c r="Z208" s="1"/>
  <c r="G209"/>
  <c r="Z209" s="1"/>
  <c r="G210"/>
  <c r="Z210" s="1"/>
  <c r="G211"/>
  <c r="Z211" s="1"/>
  <c r="G212"/>
  <c r="Z212" s="1"/>
  <c r="G213"/>
  <c r="Z213" s="1"/>
  <c r="G214"/>
  <c r="Z214" s="1"/>
  <c r="G215"/>
  <c r="Z215" s="1"/>
  <c r="G216"/>
  <c r="Z216" s="1"/>
  <c r="G217"/>
  <c r="Z217" s="1"/>
  <c r="G218"/>
  <c r="Z218" s="1"/>
  <c r="G219"/>
  <c r="Z219" s="1"/>
  <c r="G220"/>
  <c r="Z220" s="1"/>
  <c r="G221"/>
  <c r="Z221" s="1"/>
  <c r="G222"/>
  <c r="Z222" s="1"/>
  <c r="G223"/>
  <c r="Z223" s="1"/>
  <c r="G224"/>
  <c r="Z224" s="1"/>
  <c r="G225"/>
  <c r="Z225" s="1"/>
  <c r="G226"/>
  <c r="Z226" s="1"/>
  <c r="G227"/>
  <c r="Z227" s="1"/>
  <c r="G228"/>
  <c r="Z228" s="1"/>
  <c r="G229"/>
  <c r="Z229" s="1"/>
  <c r="G230"/>
  <c r="Z230" s="1"/>
  <c r="G231"/>
  <c r="Z231" s="1"/>
  <c r="G232"/>
  <c r="G233"/>
  <c r="G234"/>
  <c r="Z234" s="1"/>
  <c r="G235"/>
  <c r="Z235" s="1"/>
  <c r="G236"/>
  <c r="Z236" s="1"/>
  <c r="G237"/>
  <c r="G238"/>
  <c r="G239"/>
  <c r="Z239" s="1"/>
  <c r="G240"/>
  <c r="Z240" s="1"/>
  <c r="G241"/>
  <c r="G242"/>
  <c r="G243"/>
  <c r="Z243" s="1"/>
  <c r="G244"/>
  <c r="Z244" s="1"/>
  <c r="G245"/>
  <c r="Z245" s="1"/>
  <c r="G246"/>
  <c r="G247"/>
  <c r="Z247" s="1"/>
  <c r="G248"/>
  <c r="Z248" s="1"/>
  <c r="G249"/>
  <c r="G250"/>
  <c r="G251"/>
  <c r="Z251" s="1"/>
  <c r="G252"/>
  <c r="Z252" s="1"/>
  <c r="G253"/>
  <c r="Z253" s="1"/>
  <c r="G254"/>
  <c r="G255"/>
  <c r="Z255" s="1"/>
  <c r="G256"/>
  <c r="Z256" s="1"/>
  <c r="G257"/>
  <c r="Z257" s="1"/>
  <c r="G258"/>
  <c r="Z258" s="1"/>
  <c r="G259"/>
  <c r="Z259" s="1"/>
  <c r="G260"/>
  <c r="Z260" s="1"/>
  <c r="G261"/>
  <c r="Z261" s="1"/>
  <c r="G262"/>
  <c r="Z262" s="1"/>
  <c r="G263"/>
  <c r="Z263" s="1"/>
  <c r="G264"/>
  <c r="Z264" s="1"/>
  <c r="G265"/>
  <c r="Z265" s="1"/>
  <c r="G266"/>
  <c r="Z266" s="1"/>
  <c r="G267"/>
  <c r="Z267" s="1"/>
  <c r="G268"/>
  <c r="Z268" s="1"/>
  <c r="G269"/>
  <c r="Z269" s="1"/>
  <c r="G270"/>
  <c r="G271"/>
  <c r="Z271" s="1"/>
  <c r="G272"/>
  <c r="Z272" s="1"/>
  <c r="G273"/>
  <c r="Z273" s="1"/>
  <c r="G274"/>
  <c r="G275"/>
  <c r="Z275" s="1"/>
  <c r="G276"/>
  <c r="Z276" s="1"/>
  <c r="G277"/>
  <c r="Z277" s="1"/>
  <c r="G278"/>
  <c r="Z278" s="1"/>
  <c r="G279"/>
  <c r="Z279" s="1"/>
  <c r="G280"/>
  <c r="Z280" s="1"/>
  <c r="G281"/>
  <c r="Z281" s="1"/>
  <c r="G282"/>
  <c r="G283"/>
  <c r="Z283" s="1"/>
  <c r="G284"/>
  <c r="Z284" s="1"/>
  <c r="G285"/>
  <c r="G286"/>
  <c r="G287"/>
  <c r="Z287" s="1"/>
  <c r="G288"/>
  <c r="Z288" s="1"/>
  <c r="G289"/>
  <c r="Z289" s="1"/>
  <c r="G290"/>
  <c r="G291"/>
  <c r="Z291" s="1"/>
  <c r="G292"/>
  <c r="Z292" s="1"/>
  <c r="G293"/>
  <c r="Z293" s="1"/>
  <c r="G294"/>
  <c r="G295"/>
  <c r="Z295" s="1"/>
  <c r="G296"/>
  <c r="Z296" s="1"/>
  <c r="G297"/>
  <c r="Z297" s="1"/>
  <c r="G298"/>
  <c r="Z298" s="1"/>
  <c r="G299"/>
  <c r="Z299" s="1"/>
  <c r="G300"/>
  <c r="Z300" s="1"/>
  <c r="G301"/>
  <c r="Z301" s="1"/>
  <c r="G302"/>
  <c r="G303"/>
  <c r="Z303" s="1"/>
  <c r="G304"/>
  <c r="Z304" s="1"/>
  <c r="G305"/>
  <c r="G306"/>
  <c r="G307"/>
  <c r="Z307" s="1"/>
  <c r="G308"/>
  <c r="Z308" s="1"/>
  <c r="G309"/>
  <c r="Z309" s="1"/>
  <c r="G310"/>
  <c r="G311"/>
  <c r="Z311" s="1"/>
  <c r="G312"/>
  <c r="Z312" s="1"/>
  <c r="G313"/>
  <c r="Z313" s="1"/>
  <c r="G314"/>
  <c r="G315"/>
  <c r="Z315" s="1"/>
  <c r="G316"/>
  <c r="Z316" s="1"/>
  <c r="G317"/>
  <c r="Z317" s="1"/>
  <c r="G318"/>
  <c r="G319"/>
  <c r="Z319" s="1"/>
  <c r="G320"/>
  <c r="Z320" s="1"/>
  <c r="G321"/>
  <c r="G322"/>
  <c r="G323"/>
  <c r="Z323" s="1"/>
  <c r="G324"/>
  <c r="Z324" s="1"/>
  <c r="G325"/>
  <c r="Z325" s="1"/>
  <c r="G326"/>
  <c r="G327"/>
  <c r="Z327" s="1"/>
  <c r="G328"/>
  <c r="Z328" s="1"/>
  <c r="G329"/>
  <c r="Z329" s="1"/>
  <c r="G330"/>
  <c r="G331"/>
  <c r="Z331" s="1"/>
  <c r="G332"/>
  <c r="Z332" s="1"/>
  <c r="G333"/>
  <c r="G334"/>
  <c r="G335"/>
  <c r="Z335" s="1"/>
  <c r="G336"/>
  <c r="Z336" s="1"/>
  <c r="G337"/>
  <c r="G338"/>
  <c r="G339"/>
  <c r="Z339" s="1"/>
  <c r="G340"/>
  <c r="Z340" s="1"/>
  <c r="G341"/>
  <c r="G342"/>
  <c r="G343"/>
  <c r="Z343" s="1"/>
  <c r="G344"/>
  <c r="Z344" s="1"/>
  <c r="G345"/>
  <c r="G346"/>
  <c r="G347"/>
  <c r="Z347" s="1"/>
  <c r="G348"/>
  <c r="Z348" s="1"/>
  <c r="G349"/>
  <c r="G350"/>
  <c r="G351"/>
  <c r="Z351" s="1"/>
  <c r="G352"/>
  <c r="Z352" s="1"/>
  <c r="G353"/>
  <c r="G354"/>
  <c r="G355"/>
  <c r="Z355" s="1"/>
  <c r="G356"/>
  <c r="Z356" s="1"/>
  <c r="G357"/>
  <c r="G358"/>
  <c r="G359"/>
  <c r="Z359" s="1"/>
  <c r="G360"/>
  <c r="Z360" s="1"/>
  <c r="G361"/>
  <c r="G362"/>
  <c r="G363"/>
  <c r="Z363" s="1"/>
  <c r="G364"/>
  <c r="Z364" s="1"/>
  <c r="G365"/>
  <c r="Z365" s="1"/>
  <c r="G366"/>
  <c r="Z366" s="1"/>
  <c r="G367"/>
  <c r="Z367" s="1"/>
  <c r="G368"/>
  <c r="Z368" s="1"/>
  <c r="G369"/>
  <c r="G370"/>
  <c r="Z370" s="1"/>
  <c r="G371"/>
  <c r="Z371" s="1"/>
  <c r="G372"/>
  <c r="Z372" s="1"/>
  <c r="G373"/>
  <c r="G374"/>
  <c r="Z374" s="1"/>
  <c r="G375"/>
  <c r="Z375" s="1"/>
  <c r="G376"/>
  <c r="Z376" s="1"/>
  <c r="G377"/>
  <c r="Z377" s="1"/>
  <c r="G378"/>
  <c r="Z378" s="1"/>
  <c r="G379"/>
  <c r="Z379" s="1"/>
  <c r="G380"/>
  <c r="Z380" s="1"/>
  <c r="G381"/>
  <c r="Z381" s="1"/>
  <c r="G382"/>
  <c r="Z382" s="1"/>
  <c r="G383"/>
  <c r="Z383" s="1"/>
  <c r="G384"/>
  <c r="Z384" s="1"/>
  <c r="G385"/>
  <c r="G386"/>
  <c r="G387"/>
  <c r="Z387" s="1"/>
  <c r="G388"/>
  <c r="Z388" s="1"/>
  <c r="G389"/>
  <c r="Z389" s="1"/>
  <c r="G390"/>
  <c r="Z390" s="1"/>
  <c r="G391"/>
  <c r="Z391" s="1"/>
  <c r="G392"/>
  <c r="Z392" s="1"/>
  <c r="G393"/>
  <c r="Z393" s="1"/>
  <c r="G394"/>
  <c r="G395"/>
  <c r="Z395" s="1"/>
  <c r="G396"/>
  <c r="Z396" s="1"/>
  <c r="G397"/>
  <c r="Z397" s="1"/>
  <c r="G398"/>
  <c r="G399"/>
  <c r="Z399" s="1"/>
  <c r="G400"/>
  <c r="Z400" s="1"/>
  <c r="G401"/>
  <c r="Z401" s="1"/>
  <c r="G402"/>
  <c r="G403"/>
  <c r="Z403" s="1"/>
  <c r="G404"/>
  <c r="Z404" s="1"/>
  <c r="G405"/>
  <c r="Z405" s="1"/>
  <c r="G406"/>
  <c r="G407"/>
  <c r="Z407" s="1"/>
  <c r="G408"/>
  <c r="Z408" s="1"/>
  <c r="G409"/>
  <c r="Z409" s="1"/>
  <c r="G410"/>
  <c r="G411"/>
  <c r="Z411" s="1"/>
  <c r="G412"/>
  <c r="Z412" s="1"/>
  <c r="G413"/>
  <c r="Z413" s="1"/>
  <c r="G414"/>
  <c r="G415"/>
  <c r="Z415" s="1"/>
  <c r="G416"/>
  <c r="G417"/>
  <c r="Z417" s="1"/>
  <c r="G418"/>
  <c r="Z418" s="1"/>
  <c r="G419"/>
  <c r="Z419" s="1"/>
  <c r="G420"/>
  <c r="G421"/>
  <c r="Z421" s="1"/>
  <c r="G422"/>
  <c r="Z422" s="1"/>
  <c r="G423"/>
  <c r="Z423" s="1"/>
  <c r="G424"/>
  <c r="Z424" s="1"/>
  <c r="G425"/>
  <c r="Z425" s="1"/>
  <c r="G426"/>
  <c r="Z426" s="1"/>
  <c r="G427"/>
  <c r="Z427" s="1"/>
  <c r="G428"/>
  <c r="Z428" s="1"/>
  <c r="G429"/>
  <c r="Z429" s="1"/>
  <c r="G430"/>
  <c r="Z430" s="1"/>
  <c r="G431"/>
  <c r="Z431" s="1"/>
  <c r="G432"/>
  <c r="Z432" s="1"/>
  <c r="G433"/>
  <c r="Z433" s="1"/>
  <c r="G434"/>
  <c r="Z434" s="1"/>
  <c r="G435"/>
  <c r="Z435" s="1"/>
  <c r="G436"/>
  <c r="Z436" s="1"/>
  <c r="G437"/>
  <c r="Z437" s="1"/>
  <c r="G438"/>
  <c r="G439"/>
  <c r="Z439" s="1"/>
  <c r="G440"/>
  <c r="Z440" s="1"/>
  <c r="G441"/>
  <c r="Z441" s="1"/>
  <c r="G442"/>
  <c r="Z442" s="1"/>
  <c r="G443"/>
  <c r="Z443" s="1"/>
  <c r="G444"/>
  <c r="Z444" s="1"/>
  <c r="G445"/>
  <c r="Z445" s="1"/>
  <c r="G446"/>
  <c r="Z446" s="1"/>
  <c r="G447"/>
  <c r="Z447" s="1"/>
  <c r="G448"/>
  <c r="G449"/>
  <c r="Z449" s="1"/>
  <c r="G450"/>
  <c r="Z450" s="1"/>
  <c r="G451"/>
  <c r="Z451" s="1"/>
  <c r="G452"/>
  <c r="Z452" s="1"/>
  <c r="G453"/>
  <c r="Z453" s="1"/>
  <c r="G454"/>
  <c r="G455"/>
  <c r="Z455" s="1"/>
  <c r="G456"/>
  <c r="Z456" s="1"/>
  <c r="G457"/>
  <c r="Z457" s="1"/>
  <c r="G458"/>
  <c r="Z458" s="1"/>
  <c r="G459"/>
  <c r="Z459" s="1"/>
  <c r="G460"/>
  <c r="Z460" s="1"/>
  <c r="G461"/>
  <c r="Z461" s="1"/>
  <c r="G462"/>
  <c r="G463"/>
  <c r="Z463" s="1"/>
  <c r="G464"/>
  <c r="Z464" s="1"/>
  <c r="G465"/>
  <c r="Z465" s="1"/>
  <c r="G466"/>
  <c r="Z466" s="1"/>
  <c r="G467"/>
  <c r="G468"/>
  <c r="Z468" s="1"/>
  <c r="G469"/>
  <c r="Z469" s="1"/>
  <c r="G470"/>
  <c r="G471"/>
  <c r="Z471" s="1"/>
  <c r="G472"/>
  <c r="Z472" s="1"/>
  <c r="G473"/>
  <c r="Z473" s="1"/>
  <c r="G474"/>
  <c r="Z474" s="1"/>
  <c r="G475"/>
  <c r="G476"/>
  <c r="Z476" s="1"/>
  <c r="G477"/>
  <c r="Z477" s="1"/>
  <c r="G478"/>
  <c r="Z478" s="1"/>
  <c r="G479"/>
  <c r="Z479" s="1"/>
  <c r="G480"/>
  <c r="Z480" s="1"/>
  <c r="G481"/>
  <c r="Z481" s="1"/>
  <c r="G482"/>
  <c r="Z482" s="1"/>
  <c r="G483"/>
  <c r="G484"/>
  <c r="Z484" s="1"/>
  <c r="G485"/>
  <c r="Z485" s="1"/>
  <c r="G486"/>
  <c r="Z486" s="1"/>
  <c r="G487"/>
  <c r="G488"/>
  <c r="Z488" s="1"/>
  <c r="G489"/>
  <c r="G490"/>
  <c r="G491"/>
  <c r="Z491" s="1"/>
  <c r="G492"/>
  <c r="Z492" s="1"/>
  <c r="G493"/>
  <c r="Z493" s="1"/>
  <c r="G494"/>
  <c r="G495"/>
  <c r="Z495" s="1"/>
  <c r="G496"/>
  <c r="Z496" s="1"/>
  <c r="G497"/>
  <c r="Z497" s="1"/>
  <c r="G498"/>
  <c r="Z498" s="1"/>
  <c r="G499"/>
  <c r="G500"/>
  <c r="Z500" s="1"/>
  <c r="G501"/>
  <c r="G502"/>
  <c r="Z502" s="1"/>
  <c r="G503"/>
  <c r="Z503" s="1"/>
  <c r="G504"/>
  <c r="Z504" s="1"/>
  <c r="G505"/>
  <c r="G506"/>
  <c r="G507"/>
  <c r="Z507" s="1"/>
  <c r="G508"/>
  <c r="Z508" s="1"/>
  <c r="G509"/>
  <c r="Z509" s="1"/>
  <c r="G510"/>
  <c r="G511"/>
  <c r="Z511" s="1"/>
  <c r="G512"/>
  <c r="Z512" s="1"/>
  <c r="G513"/>
  <c r="Z513" s="1"/>
  <c r="G514"/>
  <c r="G515"/>
  <c r="Z515" s="1"/>
  <c r="G516"/>
  <c r="Z516" s="1"/>
  <c r="G517"/>
  <c r="G518"/>
  <c r="G519"/>
  <c r="Z519" s="1"/>
  <c r="G520"/>
  <c r="Z520" s="1"/>
  <c r="G521"/>
  <c r="Z521" s="1"/>
  <c r="G522"/>
  <c r="G523"/>
  <c r="Z523" s="1"/>
  <c r="G524"/>
  <c r="Z524" s="1"/>
  <c r="G525"/>
  <c r="Z525" s="1"/>
  <c r="G526"/>
  <c r="G527"/>
  <c r="Z527" s="1"/>
  <c r="G528"/>
  <c r="Z528" s="1"/>
  <c r="G529"/>
  <c r="Z529" s="1"/>
  <c r="G530"/>
  <c r="Z530" s="1"/>
  <c r="G531"/>
  <c r="Z531" s="1"/>
  <c r="G532"/>
  <c r="Z532" s="1"/>
  <c r="G533"/>
  <c r="Z533" s="1"/>
  <c r="G534"/>
  <c r="Z534" s="1"/>
  <c r="G535"/>
  <c r="Z535" s="1"/>
  <c r="G536"/>
  <c r="Z536" s="1"/>
  <c r="G537"/>
  <c r="Z537" s="1"/>
  <c r="G538"/>
  <c r="Z538" s="1"/>
  <c r="G539"/>
  <c r="Z539" s="1"/>
  <c r="G540"/>
  <c r="Z540" s="1"/>
  <c r="G541"/>
  <c r="G542"/>
  <c r="Z542" s="1"/>
  <c r="G543"/>
  <c r="Z543" s="1"/>
  <c r="G544"/>
  <c r="Z544" s="1"/>
  <c r="G545"/>
  <c r="Z545" s="1"/>
  <c r="G546"/>
  <c r="Z546" s="1"/>
  <c r="G547"/>
  <c r="Z547" s="1"/>
  <c r="G548"/>
  <c r="Z548" s="1"/>
  <c r="G549"/>
  <c r="Z549" s="1"/>
  <c r="G550"/>
  <c r="Z550" s="1"/>
  <c r="G551"/>
  <c r="Z551" s="1"/>
  <c r="G552"/>
  <c r="G553"/>
  <c r="Z553" s="1"/>
  <c r="G554"/>
  <c r="Z554" s="1"/>
  <c r="G555"/>
  <c r="Z555" s="1"/>
  <c r="G556"/>
  <c r="Z556" s="1"/>
  <c r="G557"/>
  <c r="Z557" s="1"/>
  <c r="G558"/>
  <c r="Z558" s="1"/>
  <c r="G559"/>
  <c r="Z559" s="1"/>
  <c r="G560"/>
  <c r="Z560" s="1"/>
  <c r="G561"/>
  <c r="Z561" s="1"/>
  <c r="G562"/>
  <c r="Z562" s="1"/>
  <c r="G563"/>
  <c r="Z563" s="1"/>
  <c r="G564"/>
  <c r="Z564" s="1"/>
  <c r="G565"/>
  <c r="G566"/>
  <c r="Z566" s="1"/>
  <c r="G567"/>
  <c r="Z567" s="1"/>
  <c r="G568"/>
  <c r="G569"/>
  <c r="G570"/>
  <c r="Z570" s="1"/>
  <c r="G571"/>
  <c r="Z571" s="1"/>
  <c r="G572"/>
  <c r="Z572" s="1"/>
  <c r="G2"/>
  <c r="Z2" s="1"/>
  <c r="R4" i="6"/>
  <c r="V4" s="1"/>
  <c r="R5"/>
  <c r="R6"/>
  <c r="V6" s="1"/>
  <c r="R7"/>
  <c r="V7" s="1"/>
  <c r="R8"/>
  <c r="V8" s="1"/>
  <c r="R9"/>
  <c r="R10"/>
  <c r="V10" s="1"/>
  <c r="R11"/>
  <c r="R12"/>
  <c r="V12" s="1"/>
  <c r="R13"/>
  <c r="R14"/>
  <c r="R15"/>
  <c r="R16"/>
  <c r="V16" s="1"/>
  <c r="R17"/>
  <c r="R18"/>
  <c r="V18" s="1"/>
  <c r="R19"/>
  <c r="V19" s="1"/>
  <c r="R20"/>
  <c r="R21"/>
  <c r="R22"/>
  <c r="R23"/>
  <c r="R24"/>
  <c r="R25"/>
  <c r="R26"/>
  <c r="R27"/>
  <c r="R28"/>
  <c r="V28" s="1"/>
  <c r="R29"/>
  <c r="R30"/>
  <c r="V30" s="1"/>
  <c r="R31"/>
  <c r="R32"/>
  <c r="V32" s="1"/>
  <c r="R33"/>
  <c r="R34"/>
  <c r="R35"/>
  <c r="V35" s="1"/>
  <c r="R36"/>
  <c r="V36" s="1"/>
  <c r="R37"/>
  <c r="R38"/>
  <c r="R39"/>
  <c r="R40"/>
  <c r="V40" s="1"/>
  <c r="R41"/>
  <c r="R42"/>
  <c r="R43"/>
  <c r="R44"/>
  <c r="V44" s="1"/>
  <c r="R45"/>
  <c r="R46"/>
  <c r="R47"/>
  <c r="R48"/>
  <c r="V48" s="1"/>
  <c r="R49"/>
  <c r="R50"/>
  <c r="R51"/>
  <c r="V51" s="1"/>
  <c r="R52"/>
  <c r="V52" s="1"/>
  <c r="R53"/>
  <c r="R54"/>
  <c r="R55"/>
  <c r="R56"/>
  <c r="V56" s="1"/>
  <c r="R57"/>
  <c r="R58"/>
  <c r="R59"/>
  <c r="R60"/>
  <c r="V60" s="1"/>
  <c r="R61"/>
  <c r="R62"/>
  <c r="V62" s="1"/>
  <c r="R63"/>
  <c r="V63" s="1"/>
  <c r="R64"/>
  <c r="V64" s="1"/>
  <c r="R65"/>
  <c r="R66"/>
  <c r="R67"/>
  <c r="V67" s="1"/>
  <c r="R68"/>
  <c r="V68" s="1"/>
  <c r="R69"/>
  <c r="R70"/>
  <c r="R71"/>
  <c r="R72"/>
  <c r="V72" s="1"/>
  <c r="R73"/>
  <c r="R74"/>
  <c r="R75"/>
  <c r="R76"/>
  <c r="V76" s="1"/>
  <c r="R77"/>
  <c r="R78"/>
  <c r="R79"/>
  <c r="R80"/>
  <c r="V80" s="1"/>
  <c r="R81"/>
  <c r="R82"/>
  <c r="R83"/>
  <c r="V83" s="1"/>
  <c r="R84"/>
  <c r="V84" s="1"/>
  <c r="R85"/>
  <c r="R86"/>
  <c r="R87"/>
  <c r="R88"/>
  <c r="V88" s="1"/>
  <c r="R89"/>
  <c r="R90"/>
  <c r="R91"/>
  <c r="R92"/>
  <c r="R93"/>
  <c r="R94"/>
  <c r="R95"/>
  <c r="R96"/>
  <c r="V96" s="1"/>
  <c r="R97"/>
  <c r="R98"/>
  <c r="V98" s="1"/>
  <c r="R99"/>
  <c r="V99" s="1"/>
  <c r="R100"/>
  <c r="R101"/>
  <c r="R102"/>
  <c r="R103"/>
  <c r="R104"/>
  <c r="V104" s="1"/>
  <c r="R105"/>
  <c r="R106"/>
  <c r="V106" s="1"/>
  <c r="R107"/>
  <c r="R108"/>
  <c r="V108" s="1"/>
  <c r="R109"/>
  <c r="R110"/>
  <c r="R111"/>
  <c r="R112"/>
  <c r="V112" s="1"/>
  <c r="R113"/>
  <c r="R114"/>
  <c r="R115"/>
  <c r="V115" s="1"/>
  <c r="R116"/>
  <c r="V116" s="1"/>
  <c r="R117"/>
  <c r="R118"/>
  <c r="R119"/>
  <c r="R120"/>
  <c r="V120" s="1"/>
  <c r="R121"/>
  <c r="R122"/>
  <c r="R123"/>
  <c r="R124"/>
  <c r="R125"/>
  <c r="R126"/>
  <c r="R127"/>
  <c r="R128"/>
  <c r="V128" s="1"/>
  <c r="R129"/>
  <c r="R130"/>
  <c r="R131"/>
  <c r="V131" s="1"/>
  <c r="R132"/>
  <c r="R133"/>
  <c r="R134"/>
  <c r="R135"/>
  <c r="R136"/>
  <c r="V136" s="1"/>
  <c r="R137"/>
  <c r="R138"/>
  <c r="R139"/>
  <c r="R140"/>
  <c r="V140" s="1"/>
  <c r="R141"/>
  <c r="R142"/>
  <c r="R143"/>
  <c r="R144"/>
  <c r="V144" s="1"/>
  <c r="R145"/>
  <c r="R146"/>
  <c r="V146" s="1"/>
  <c r="R147"/>
  <c r="V147" s="1"/>
  <c r="R148"/>
  <c r="V148" s="1"/>
  <c r="R149"/>
  <c r="R150"/>
  <c r="V150" s="1"/>
  <c r="R151"/>
  <c r="R152"/>
  <c r="V152" s="1"/>
  <c r="R153"/>
  <c r="R154"/>
  <c r="R155"/>
  <c r="R156"/>
  <c r="R157"/>
  <c r="R158"/>
  <c r="R159"/>
  <c r="R160"/>
  <c r="V160" s="1"/>
  <c r="R161"/>
  <c r="R162"/>
  <c r="V162" s="1"/>
  <c r="R163"/>
  <c r="V163" s="1"/>
  <c r="R164"/>
  <c r="R165"/>
  <c r="R166"/>
  <c r="R167"/>
  <c r="R168"/>
  <c r="V168" s="1"/>
  <c r="R169"/>
  <c r="R170"/>
  <c r="R171"/>
  <c r="R172"/>
  <c r="V172" s="1"/>
  <c r="R173"/>
  <c r="R174"/>
  <c r="R175"/>
  <c r="R176"/>
  <c r="V176" s="1"/>
  <c r="R177"/>
  <c r="R178"/>
  <c r="R179"/>
  <c r="V179" s="1"/>
  <c r="R180"/>
  <c r="V180" s="1"/>
  <c r="R181"/>
  <c r="R182"/>
  <c r="R183"/>
  <c r="R184"/>
  <c r="V184" s="1"/>
  <c r="R185"/>
  <c r="R186"/>
  <c r="R187"/>
  <c r="R188"/>
  <c r="R189"/>
  <c r="R190"/>
  <c r="V190" s="1"/>
  <c r="R191"/>
  <c r="R192"/>
  <c r="V192" s="1"/>
  <c r="R193"/>
  <c r="R194"/>
  <c r="R195"/>
  <c r="V195" s="1"/>
  <c r="R196"/>
  <c r="V196" s="1"/>
  <c r="R197"/>
  <c r="R198"/>
  <c r="V198" s="1"/>
  <c r="R199"/>
  <c r="R200"/>
  <c r="V200" s="1"/>
  <c r="R201"/>
  <c r="R202"/>
  <c r="V202" s="1"/>
  <c r="R203"/>
  <c r="R204"/>
  <c r="V204" s="1"/>
  <c r="R205"/>
  <c r="R206"/>
  <c r="R207"/>
  <c r="R208"/>
  <c r="V208" s="1"/>
  <c r="R209"/>
  <c r="R210"/>
  <c r="R211"/>
  <c r="V211" s="1"/>
  <c r="R212"/>
  <c r="V212" s="1"/>
  <c r="R213"/>
  <c r="R214"/>
  <c r="R215"/>
  <c r="R216"/>
  <c r="V216" s="1"/>
  <c r="R217"/>
  <c r="R218"/>
  <c r="R219"/>
  <c r="R220"/>
  <c r="V220" s="1"/>
  <c r="R221"/>
  <c r="R222"/>
  <c r="R223"/>
  <c r="R224"/>
  <c r="V224" s="1"/>
  <c r="R225"/>
  <c r="R226"/>
  <c r="V226" s="1"/>
  <c r="R227"/>
  <c r="V227" s="1"/>
  <c r="R228"/>
  <c r="V228" s="1"/>
  <c r="R229"/>
  <c r="R230"/>
  <c r="R231"/>
  <c r="R232"/>
  <c r="V232" s="1"/>
  <c r="R233"/>
  <c r="R234"/>
  <c r="V234" s="1"/>
  <c r="R235"/>
  <c r="R236"/>
  <c r="V236" s="1"/>
  <c r="R237"/>
  <c r="R238"/>
  <c r="R239"/>
  <c r="R240"/>
  <c r="V240" s="1"/>
  <c r="R241"/>
  <c r="R242"/>
  <c r="V242" s="1"/>
  <c r="R243"/>
  <c r="V243" s="1"/>
  <c r="R244"/>
  <c r="V244" s="1"/>
  <c r="R245"/>
  <c r="R246"/>
  <c r="R247"/>
  <c r="R248"/>
  <c r="V248" s="1"/>
  <c r="R249"/>
  <c r="R250"/>
  <c r="R251"/>
  <c r="R252"/>
  <c r="V252" s="1"/>
  <c r="R253"/>
  <c r="R254"/>
  <c r="V254" s="1"/>
  <c r="R255"/>
  <c r="R256"/>
  <c r="R257"/>
  <c r="R258"/>
  <c r="R259"/>
  <c r="V259" s="1"/>
  <c r="R260"/>
  <c r="V260" s="1"/>
  <c r="R261"/>
  <c r="R262"/>
  <c r="V262" s="1"/>
  <c r="R263"/>
  <c r="V263" s="1"/>
  <c r="R264"/>
  <c r="V264" s="1"/>
  <c r="R265"/>
  <c r="R266"/>
  <c r="V266" s="1"/>
  <c r="R267"/>
  <c r="V267" s="1"/>
  <c r="R268"/>
  <c r="V268" s="1"/>
  <c r="R269"/>
  <c r="R270"/>
  <c r="R271"/>
  <c r="V271" s="1"/>
  <c r="R272"/>
  <c r="V272" s="1"/>
  <c r="R273"/>
  <c r="R274"/>
  <c r="R275"/>
  <c r="V275" s="1"/>
  <c r="R276"/>
  <c r="V276" s="1"/>
  <c r="R277"/>
  <c r="R278"/>
  <c r="R279"/>
  <c r="V279" s="1"/>
  <c r="R280"/>
  <c r="V280" s="1"/>
  <c r="R281"/>
  <c r="R282"/>
  <c r="R283"/>
  <c r="V283" s="1"/>
  <c r="R284"/>
  <c r="V284" s="1"/>
  <c r="R285"/>
  <c r="R286"/>
  <c r="R287"/>
  <c r="V287" s="1"/>
  <c r="R288"/>
  <c r="V288" s="1"/>
  <c r="R289"/>
  <c r="R290"/>
  <c r="V290" s="1"/>
  <c r="R291"/>
  <c r="V291" s="1"/>
  <c r="R292"/>
  <c r="V292" s="1"/>
  <c r="R293"/>
  <c r="R294"/>
  <c r="R295"/>
  <c r="V295" s="1"/>
  <c r="R296"/>
  <c r="V296" s="1"/>
  <c r="R297"/>
  <c r="R298"/>
  <c r="R299"/>
  <c r="V299" s="1"/>
  <c r="R300"/>
  <c r="V300" s="1"/>
  <c r="R301"/>
  <c r="R302"/>
  <c r="V302" s="1"/>
  <c r="R303"/>
  <c r="V303" s="1"/>
  <c r="R304"/>
  <c r="V304" s="1"/>
  <c r="R305"/>
  <c r="R306"/>
  <c r="R307"/>
  <c r="V307" s="1"/>
  <c r="R308"/>
  <c r="V308" s="1"/>
  <c r="R309"/>
  <c r="R310"/>
  <c r="R311"/>
  <c r="V311" s="1"/>
  <c r="R312"/>
  <c r="V312" s="1"/>
  <c r="R313"/>
  <c r="R314"/>
  <c r="R315"/>
  <c r="V315" s="1"/>
  <c r="R316"/>
  <c r="V316" s="1"/>
  <c r="R317"/>
  <c r="R318"/>
  <c r="R319"/>
  <c r="V319" s="1"/>
  <c r="R320"/>
  <c r="V320" s="1"/>
  <c r="R321"/>
  <c r="R322"/>
  <c r="V322" s="1"/>
  <c r="R323"/>
  <c r="V323" s="1"/>
  <c r="R324"/>
  <c r="V324" s="1"/>
  <c r="R325"/>
  <c r="R326"/>
  <c r="V326" s="1"/>
  <c r="R327"/>
  <c r="V327" s="1"/>
  <c r="R328"/>
  <c r="V328" s="1"/>
  <c r="R329"/>
  <c r="R330"/>
  <c r="V330" s="1"/>
  <c r="R331"/>
  <c r="V331" s="1"/>
  <c r="R332"/>
  <c r="V332" s="1"/>
  <c r="R333"/>
  <c r="R334"/>
  <c r="R335"/>
  <c r="V335" s="1"/>
  <c r="R336"/>
  <c r="V336" s="1"/>
  <c r="R337"/>
  <c r="R338"/>
  <c r="R339"/>
  <c r="V339" s="1"/>
  <c r="R340"/>
  <c r="V340" s="1"/>
  <c r="R341"/>
  <c r="R342"/>
  <c r="R343"/>
  <c r="V343" s="1"/>
  <c r="R344"/>
  <c r="V344" s="1"/>
  <c r="R345"/>
  <c r="R346"/>
  <c r="R347"/>
  <c r="V347" s="1"/>
  <c r="R348"/>
  <c r="V348" s="1"/>
  <c r="R349"/>
  <c r="R350"/>
  <c r="R351"/>
  <c r="V351" s="1"/>
  <c r="R352"/>
  <c r="V352" s="1"/>
  <c r="R353"/>
  <c r="R354"/>
  <c r="V354" s="1"/>
  <c r="R355"/>
  <c r="V355" s="1"/>
  <c r="R356"/>
  <c r="V356" s="1"/>
  <c r="R357"/>
  <c r="R358"/>
  <c r="V358" s="1"/>
  <c r="R359"/>
  <c r="V359" s="1"/>
  <c r="R360"/>
  <c r="V360" s="1"/>
  <c r="R361"/>
  <c r="R362"/>
  <c r="V362" s="1"/>
  <c r="R363"/>
  <c r="V363" s="1"/>
  <c r="R364"/>
  <c r="V364" s="1"/>
  <c r="R365"/>
  <c r="R366"/>
  <c r="R367"/>
  <c r="V367" s="1"/>
  <c r="R368"/>
  <c r="V368" s="1"/>
  <c r="R369"/>
  <c r="R370"/>
  <c r="R371"/>
  <c r="V371" s="1"/>
  <c r="R372"/>
  <c r="V372" s="1"/>
  <c r="R373"/>
  <c r="R374"/>
  <c r="R375"/>
  <c r="V375" s="1"/>
  <c r="R376"/>
  <c r="V376" s="1"/>
  <c r="R377"/>
  <c r="R378"/>
  <c r="R379"/>
  <c r="V379" s="1"/>
  <c r="R380"/>
  <c r="V380" s="1"/>
  <c r="R381"/>
  <c r="R382"/>
  <c r="R383"/>
  <c r="V383" s="1"/>
  <c r="R384"/>
  <c r="V384" s="1"/>
  <c r="R385"/>
  <c r="R386"/>
  <c r="V386" s="1"/>
  <c r="R387"/>
  <c r="V387" s="1"/>
  <c r="R388"/>
  <c r="V388" s="1"/>
  <c r="R389"/>
  <c r="R390"/>
  <c r="V390" s="1"/>
  <c r="R391"/>
  <c r="V391" s="1"/>
  <c r="R392"/>
  <c r="V392" s="1"/>
  <c r="R393"/>
  <c r="R394"/>
  <c r="V394" s="1"/>
  <c r="R395"/>
  <c r="V395" s="1"/>
  <c r="R396"/>
  <c r="V396" s="1"/>
  <c r="R397"/>
  <c r="R398"/>
  <c r="R399"/>
  <c r="V399" s="1"/>
  <c r="R400"/>
  <c r="V400" s="1"/>
  <c r="R401"/>
  <c r="R402"/>
  <c r="R403"/>
  <c r="V403" s="1"/>
  <c r="R404"/>
  <c r="V404" s="1"/>
  <c r="R405"/>
  <c r="R406"/>
  <c r="R407"/>
  <c r="V407" s="1"/>
  <c r="R408"/>
  <c r="R409"/>
  <c r="R410"/>
  <c r="R411"/>
  <c r="R412"/>
  <c r="V412" s="1"/>
  <c r="R413"/>
  <c r="R414"/>
  <c r="R415"/>
  <c r="V415" s="1"/>
  <c r="R416"/>
  <c r="V416" s="1"/>
  <c r="R417"/>
  <c r="R418"/>
  <c r="V418" s="1"/>
  <c r="R419"/>
  <c r="V419" s="1"/>
  <c r="R420"/>
  <c r="V420" s="1"/>
  <c r="R421"/>
  <c r="R422"/>
  <c r="V422" s="1"/>
  <c r="R423"/>
  <c r="V423" s="1"/>
  <c r="R424"/>
  <c r="V424" s="1"/>
  <c r="R425"/>
  <c r="R426"/>
  <c r="V426" s="1"/>
  <c r="R427"/>
  <c r="V427" s="1"/>
  <c r="R428"/>
  <c r="V428" s="1"/>
  <c r="R429"/>
  <c r="R430"/>
  <c r="R431"/>
  <c r="V431" s="1"/>
  <c r="R432"/>
  <c r="V432" s="1"/>
  <c r="R433"/>
  <c r="R434"/>
  <c r="R435"/>
  <c r="V435" s="1"/>
  <c r="R436"/>
  <c r="V436" s="1"/>
  <c r="R437"/>
  <c r="R438"/>
  <c r="R439"/>
  <c r="V439" s="1"/>
  <c r="R440"/>
  <c r="V440" s="1"/>
  <c r="R441"/>
  <c r="R442"/>
  <c r="R443"/>
  <c r="V443" s="1"/>
  <c r="R444"/>
  <c r="V444" s="1"/>
  <c r="R445"/>
  <c r="R446"/>
  <c r="R447"/>
  <c r="V447" s="1"/>
  <c r="R448"/>
  <c r="V448" s="1"/>
  <c r="R449"/>
  <c r="R450"/>
  <c r="V450" s="1"/>
  <c r="R451"/>
  <c r="V451" s="1"/>
  <c r="R452"/>
  <c r="V452" s="1"/>
  <c r="R453"/>
  <c r="R454"/>
  <c r="V454" s="1"/>
  <c r="R455"/>
  <c r="V455" s="1"/>
  <c r="R456"/>
  <c r="V456" s="1"/>
  <c r="R457"/>
  <c r="R458"/>
  <c r="V458" s="1"/>
  <c r="R459"/>
  <c r="V459" s="1"/>
  <c r="R460"/>
  <c r="V460" s="1"/>
  <c r="R461"/>
  <c r="R462"/>
  <c r="R463"/>
  <c r="V463" s="1"/>
  <c r="R464"/>
  <c r="V464" s="1"/>
  <c r="R465"/>
  <c r="R466"/>
  <c r="R467"/>
  <c r="V467" s="1"/>
  <c r="R468"/>
  <c r="V468" s="1"/>
  <c r="R469"/>
  <c r="R470"/>
  <c r="R471"/>
  <c r="V471" s="1"/>
  <c r="R472"/>
  <c r="V472" s="1"/>
  <c r="R473"/>
  <c r="R474"/>
  <c r="R475"/>
  <c r="V475" s="1"/>
  <c r="R476"/>
  <c r="V476" s="1"/>
  <c r="R477"/>
  <c r="R478"/>
  <c r="R479"/>
  <c r="V479" s="1"/>
  <c r="R480"/>
  <c r="V480" s="1"/>
  <c r="R481"/>
  <c r="R482"/>
  <c r="V482" s="1"/>
  <c r="R483"/>
  <c r="V483" s="1"/>
  <c r="R484"/>
  <c r="V484" s="1"/>
  <c r="R485"/>
  <c r="R486"/>
  <c r="V486" s="1"/>
  <c r="R487"/>
  <c r="V487" s="1"/>
  <c r="R488"/>
  <c r="V488" s="1"/>
  <c r="R489"/>
  <c r="R490"/>
  <c r="V490" s="1"/>
  <c r="R491"/>
  <c r="R492"/>
  <c r="V492" s="1"/>
  <c r="R493"/>
  <c r="R494"/>
  <c r="R495"/>
  <c r="V495" s="1"/>
  <c r="R496"/>
  <c r="V496" s="1"/>
  <c r="R497"/>
  <c r="R498"/>
  <c r="R499"/>
  <c r="V499" s="1"/>
  <c r="R500"/>
  <c r="V500" s="1"/>
  <c r="R501"/>
  <c r="R502"/>
  <c r="R503"/>
  <c r="V503" s="1"/>
  <c r="R504"/>
  <c r="V504" s="1"/>
  <c r="R505"/>
  <c r="R506"/>
  <c r="R507"/>
  <c r="V507" s="1"/>
  <c r="R508"/>
  <c r="V508" s="1"/>
  <c r="R509"/>
  <c r="R510"/>
  <c r="R511"/>
  <c r="V511" s="1"/>
  <c r="R512"/>
  <c r="V512" s="1"/>
  <c r="R513"/>
  <c r="R514"/>
  <c r="R515"/>
  <c r="V515" s="1"/>
  <c r="R516"/>
  <c r="V516" s="1"/>
  <c r="R517"/>
  <c r="R518"/>
  <c r="R519"/>
  <c r="V519" s="1"/>
  <c r="R520"/>
  <c r="V520" s="1"/>
  <c r="R521"/>
  <c r="R522"/>
  <c r="R523"/>
  <c r="V523" s="1"/>
  <c r="R524"/>
  <c r="V524" s="1"/>
  <c r="R525"/>
  <c r="R526"/>
  <c r="R527"/>
  <c r="R528"/>
  <c r="V528" s="1"/>
  <c r="R529"/>
  <c r="R530"/>
  <c r="V530" s="1"/>
  <c r="R531"/>
  <c r="V531" s="1"/>
  <c r="R532"/>
  <c r="V532" s="1"/>
  <c r="R533"/>
  <c r="R534"/>
  <c r="V534" s="1"/>
  <c r="R535"/>
  <c r="V535" s="1"/>
  <c r="R536"/>
  <c r="V536" s="1"/>
  <c r="R537"/>
  <c r="R538"/>
  <c r="V538" s="1"/>
  <c r="R539"/>
  <c r="V539" s="1"/>
  <c r="R540"/>
  <c r="V540" s="1"/>
  <c r="R541"/>
  <c r="R542"/>
  <c r="V542" s="1"/>
  <c r="R543"/>
  <c r="V543" s="1"/>
  <c r="R544"/>
  <c r="V544" s="1"/>
  <c r="R545"/>
  <c r="R546"/>
  <c r="R547"/>
  <c r="V547" s="1"/>
  <c r="R548"/>
  <c r="V548" s="1"/>
  <c r="R549"/>
  <c r="R550"/>
  <c r="R551"/>
  <c r="V551" s="1"/>
  <c r="R552"/>
  <c r="V552" s="1"/>
  <c r="R553"/>
  <c r="R554"/>
  <c r="R555"/>
  <c r="V555" s="1"/>
  <c r="R556"/>
  <c r="V556" s="1"/>
  <c r="R557"/>
  <c r="R558"/>
  <c r="R559"/>
  <c r="V559" s="1"/>
  <c r="R560"/>
  <c r="V560" s="1"/>
  <c r="R561"/>
  <c r="R562"/>
  <c r="V562" s="1"/>
  <c r="R563"/>
  <c r="V563" s="1"/>
  <c r="R564"/>
  <c r="V564" s="1"/>
  <c r="R565"/>
  <c r="R566"/>
  <c r="R567"/>
  <c r="V567" s="1"/>
  <c r="R568"/>
  <c r="V568" s="1"/>
  <c r="R569"/>
  <c r="R570"/>
  <c r="R571"/>
  <c r="V571" s="1"/>
  <c r="R572"/>
  <c r="V572" s="1"/>
  <c r="R3"/>
  <c r="Q4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Q201"/>
  <c r="Q202"/>
  <c r="Q203"/>
  <c r="Q204"/>
  <c r="Q205"/>
  <c r="Q206"/>
  <c r="Q207"/>
  <c r="Q208"/>
  <c r="Q209"/>
  <c r="Q210"/>
  <c r="Q211"/>
  <c r="Q212"/>
  <c r="Q213"/>
  <c r="Q214"/>
  <c r="Q215"/>
  <c r="Q216"/>
  <c r="Q217"/>
  <c r="Q218"/>
  <c r="Q219"/>
  <c r="Q220"/>
  <c r="Q221"/>
  <c r="Q222"/>
  <c r="Q223"/>
  <c r="Q224"/>
  <c r="Q225"/>
  <c r="Q226"/>
  <c r="Q227"/>
  <c r="Q228"/>
  <c r="Q229"/>
  <c r="Q230"/>
  <c r="Q231"/>
  <c r="Q232"/>
  <c r="Q233"/>
  <c r="Q234"/>
  <c r="Q235"/>
  <c r="Q236"/>
  <c r="Q237"/>
  <c r="Q238"/>
  <c r="Q239"/>
  <c r="Q240"/>
  <c r="Q241"/>
  <c r="Q242"/>
  <c r="Q243"/>
  <c r="Q244"/>
  <c r="Q245"/>
  <c r="Q246"/>
  <c r="Q247"/>
  <c r="Q248"/>
  <c r="Q249"/>
  <c r="Q250"/>
  <c r="Q251"/>
  <c r="Q252"/>
  <c r="Q253"/>
  <c r="Q254"/>
  <c r="Q255"/>
  <c r="Q256"/>
  <c r="Q257"/>
  <c r="Q258"/>
  <c r="Q259"/>
  <c r="Q260"/>
  <c r="Q261"/>
  <c r="Q262"/>
  <c r="Q263"/>
  <c r="Q264"/>
  <c r="Q265"/>
  <c r="Q266"/>
  <c r="Q267"/>
  <c r="Q268"/>
  <c r="Q269"/>
  <c r="Q270"/>
  <c r="Q271"/>
  <c r="Q272"/>
  <c r="Q273"/>
  <c r="Q274"/>
  <c r="Q275"/>
  <c r="Q276"/>
  <c r="Q277"/>
  <c r="Q278"/>
  <c r="Q279"/>
  <c r="Q280"/>
  <c r="Q281"/>
  <c r="Q282"/>
  <c r="Q283"/>
  <c r="Q284"/>
  <c r="Q285"/>
  <c r="Q286"/>
  <c r="Q287"/>
  <c r="Q288"/>
  <c r="Q289"/>
  <c r="Q290"/>
  <c r="Q291"/>
  <c r="Q292"/>
  <c r="Q293"/>
  <c r="Q294"/>
  <c r="Q295"/>
  <c r="Q296"/>
  <c r="Q297"/>
  <c r="Q298"/>
  <c r="Q299"/>
  <c r="Q300"/>
  <c r="Q301"/>
  <c r="Q302"/>
  <c r="Q303"/>
  <c r="Q304"/>
  <c r="Q305"/>
  <c r="Q306"/>
  <c r="Q307"/>
  <c r="Q308"/>
  <c r="Q309"/>
  <c r="Q310"/>
  <c r="Q311"/>
  <c r="Q312"/>
  <c r="Q313"/>
  <c r="Q314"/>
  <c r="Q315"/>
  <c r="Q316"/>
  <c r="Q317"/>
  <c r="Q318"/>
  <c r="Q319"/>
  <c r="Q320"/>
  <c r="Q321"/>
  <c r="Q322"/>
  <c r="Q323"/>
  <c r="Q324"/>
  <c r="Q325"/>
  <c r="Q326"/>
  <c r="Q327"/>
  <c r="Q328"/>
  <c r="Q329"/>
  <c r="Q330"/>
  <c r="Q331"/>
  <c r="Q332"/>
  <c r="Q333"/>
  <c r="Q334"/>
  <c r="Q335"/>
  <c r="Q336"/>
  <c r="Q337"/>
  <c r="Q338"/>
  <c r="Q339"/>
  <c r="Q340"/>
  <c r="Q341"/>
  <c r="Q342"/>
  <c r="Q343"/>
  <c r="Q344"/>
  <c r="Q345"/>
  <c r="Q346"/>
  <c r="Q347"/>
  <c r="Q348"/>
  <c r="Q349"/>
  <c r="Q350"/>
  <c r="Q351"/>
  <c r="Q352"/>
  <c r="Q353"/>
  <c r="Q354"/>
  <c r="Q355"/>
  <c r="Q356"/>
  <c r="Q357"/>
  <c r="Q358"/>
  <c r="Q359"/>
  <c r="Q360"/>
  <c r="Q361"/>
  <c r="Q362"/>
  <c r="Q363"/>
  <c r="Q364"/>
  <c r="Q365"/>
  <c r="Q366"/>
  <c r="Q367"/>
  <c r="Q368"/>
  <c r="Q369"/>
  <c r="Q370"/>
  <c r="Q371"/>
  <c r="Q372"/>
  <c r="Q373"/>
  <c r="Q374"/>
  <c r="Q375"/>
  <c r="Q376"/>
  <c r="Q377"/>
  <c r="Q378"/>
  <c r="Q379"/>
  <c r="Q380"/>
  <c r="Q381"/>
  <c r="Q382"/>
  <c r="Q383"/>
  <c r="Q384"/>
  <c r="Q385"/>
  <c r="Q386"/>
  <c r="Q387"/>
  <c r="Q388"/>
  <c r="Q389"/>
  <c r="Q390"/>
  <c r="Q391"/>
  <c r="Q392"/>
  <c r="Q393"/>
  <c r="Q394"/>
  <c r="Q395"/>
  <c r="Q396"/>
  <c r="Q397"/>
  <c r="Q398"/>
  <c r="Q399"/>
  <c r="Q400"/>
  <c r="Q401"/>
  <c r="Q402"/>
  <c r="Q403"/>
  <c r="Q404"/>
  <c r="Q405"/>
  <c r="Q406"/>
  <c r="Q407"/>
  <c r="Q408"/>
  <c r="Q409"/>
  <c r="Q410"/>
  <c r="Q411"/>
  <c r="Q412"/>
  <c r="Q413"/>
  <c r="Q414"/>
  <c r="Q415"/>
  <c r="Q416"/>
  <c r="Q417"/>
  <c r="Q418"/>
  <c r="Q419"/>
  <c r="Q420"/>
  <c r="Q421"/>
  <c r="Q422"/>
  <c r="Q423"/>
  <c r="Q424"/>
  <c r="Q425"/>
  <c r="Q426"/>
  <c r="Q427"/>
  <c r="Q428"/>
  <c r="Q429"/>
  <c r="Q430"/>
  <c r="Q431"/>
  <c r="Q432"/>
  <c r="Q433"/>
  <c r="Q434"/>
  <c r="Q435"/>
  <c r="Q436"/>
  <c r="Q437"/>
  <c r="Q438"/>
  <c r="Q439"/>
  <c r="Q440"/>
  <c r="Q441"/>
  <c r="Q442"/>
  <c r="Q443"/>
  <c r="Q444"/>
  <c r="Q445"/>
  <c r="Q446"/>
  <c r="Q447"/>
  <c r="Q448"/>
  <c r="Q449"/>
  <c r="Q450"/>
  <c r="Q451"/>
  <c r="Q452"/>
  <c r="Q453"/>
  <c r="Q454"/>
  <c r="Q455"/>
  <c r="Q456"/>
  <c r="Q457"/>
  <c r="Q458"/>
  <c r="Q459"/>
  <c r="Q460"/>
  <c r="Q461"/>
  <c r="Q462"/>
  <c r="Q463"/>
  <c r="Q464"/>
  <c r="Q465"/>
  <c r="Q466"/>
  <c r="Q467"/>
  <c r="Q468"/>
  <c r="Q469"/>
  <c r="Q470"/>
  <c r="Q471"/>
  <c r="Q472"/>
  <c r="Q473"/>
  <c r="Q474"/>
  <c r="Q475"/>
  <c r="Q476"/>
  <c r="Q477"/>
  <c r="Q478"/>
  <c r="Q479"/>
  <c r="Q480"/>
  <c r="Q481"/>
  <c r="Q482"/>
  <c r="Q483"/>
  <c r="Q484"/>
  <c r="Q485"/>
  <c r="Q486"/>
  <c r="Q487"/>
  <c r="Q488"/>
  <c r="Q489"/>
  <c r="Q490"/>
  <c r="Q491"/>
  <c r="Q492"/>
  <c r="Q493"/>
  <c r="Q494"/>
  <c r="Q495"/>
  <c r="Q496"/>
  <c r="Q497"/>
  <c r="Q498"/>
  <c r="Q499"/>
  <c r="Q500"/>
  <c r="Q501"/>
  <c r="Q502"/>
  <c r="Q503"/>
  <c r="Q504"/>
  <c r="Q505"/>
  <c r="Q506"/>
  <c r="Q507"/>
  <c r="Q508"/>
  <c r="Q509"/>
  <c r="Q510"/>
  <c r="Q511"/>
  <c r="Q512"/>
  <c r="Q513"/>
  <c r="Q514"/>
  <c r="Q515"/>
  <c r="Q516"/>
  <c r="Q517"/>
  <c r="Q518"/>
  <c r="Q519"/>
  <c r="Q520"/>
  <c r="Q521"/>
  <c r="Q522"/>
  <c r="Q523"/>
  <c r="Q524"/>
  <c r="Q525"/>
  <c r="Q526"/>
  <c r="Q527"/>
  <c r="Q528"/>
  <c r="Q529"/>
  <c r="Q530"/>
  <c r="Q531"/>
  <c r="Q532"/>
  <c r="Q533"/>
  <c r="Q534"/>
  <c r="Q535"/>
  <c r="Q536"/>
  <c r="Q537"/>
  <c r="Q538"/>
  <c r="Q539"/>
  <c r="Q540"/>
  <c r="Q541"/>
  <c r="Q542"/>
  <c r="Q543"/>
  <c r="Q544"/>
  <c r="Q545"/>
  <c r="Q546"/>
  <c r="Q547"/>
  <c r="Q548"/>
  <c r="Q549"/>
  <c r="Q550"/>
  <c r="Q551"/>
  <c r="Q552"/>
  <c r="Q553"/>
  <c r="Q554"/>
  <c r="Q555"/>
  <c r="Q556"/>
  <c r="Q557"/>
  <c r="Q558"/>
  <c r="Q559"/>
  <c r="Q560"/>
  <c r="Q561"/>
  <c r="Q562"/>
  <c r="Q563"/>
  <c r="Q564"/>
  <c r="Q565"/>
  <c r="Q566"/>
  <c r="Q567"/>
  <c r="Q568"/>
  <c r="Q569"/>
  <c r="Q570"/>
  <c r="Q571"/>
  <c r="Q572"/>
  <c r="Q3"/>
  <c r="N4"/>
  <c r="O4" s="1"/>
  <c r="N5"/>
  <c r="P5" s="1"/>
  <c r="N6"/>
  <c r="P6" s="1"/>
  <c r="N7"/>
  <c r="O7" s="1"/>
  <c r="N8"/>
  <c r="O8" s="1"/>
  <c r="N9"/>
  <c r="P9" s="1"/>
  <c r="N10"/>
  <c r="P10" s="1"/>
  <c r="N11"/>
  <c r="O11" s="1"/>
  <c r="N12"/>
  <c r="O12" s="1"/>
  <c r="N13"/>
  <c r="P13" s="1"/>
  <c r="N14"/>
  <c r="P14" s="1"/>
  <c r="N15"/>
  <c r="O15" s="1"/>
  <c r="N16"/>
  <c r="O16" s="1"/>
  <c r="N17"/>
  <c r="P17" s="1"/>
  <c r="N18"/>
  <c r="O18" s="1"/>
  <c r="N19"/>
  <c r="O19" s="1"/>
  <c r="N20"/>
  <c r="O20" s="1"/>
  <c r="N21"/>
  <c r="P21" s="1"/>
  <c r="N22"/>
  <c r="O22" s="1"/>
  <c r="N23"/>
  <c r="O23" s="1"/>
  <c r="N24"/>
  <c r="O24" s="1"/>
  <c r="N25"/>
  <c r="P25" s="1"/>
  <c r="N26"/>
  <c r="P26" s="1"/>
  <c r="N27"/>
  <c r="O27" s="1"/>
  <c r="N28"/>
  <c r="O28" s="1"/>
  <c r="N29"/>
  <c r="P29" s="1"/>
  <c r="N30"/>
  <c r="P30" s="1"/>
  <c r="N31"/>
  <c r="O31" s="1"/>
  <c r="N32"/>
  <c r="O32" s="1"/>
  <c r="N33"/>
  <c r="P33" s="1"/>
  <c r="N34"/>
  <c r="P34" s="1"/>
  <c r="N35"/>
  <c r="O35" s="1"/>
  <c r="N36"/>
  <c r="O36" s="1"/>
  <c r="N37"/>
  <c r="P37" s="1"/>
  <c r="N38"/>
  <c r="P38" s="1"/>
  <c r="N39"/>
  <c r="O39" s="1"/>
  <c r="N40"/>
  <c r="O40" s="1"/>
  <c r="N41"/>
  <c r="P41" s="1"/>
  <c r="N42"/>
  <c r="O42" s="1"/>
  <c r="N43"/>
  <c r="O43" s="1"/>
  <c r="N44"/>
  <c r="O44" s="1"/>
  <c r="N45"/>
  <c r="P45" s="1"/>
  <c r="N46"/>
  <c r="P46" s="1"/>
  <c r="N47"/>
  <c r="O47" s="1"/>
  <c r="N48"/>
  <c r="O48" s="1"/>
  <c r="N49"/>
  <c r="P49" s="1"/>
  <c r="N50"/>
  <c r="P50" s="1"/>
  <c r="N51"/>
  <c r="O51" s="1"/>
  <c r="N52"/>
  <c r="O52" s="1"/>
  <c r="N53"/>
  <c r="P53" s="1"/>
  <c r="N54"/>
  <c r="P54" s="1"/>
  <c r="N55"/>
  <c r="O55" s="1"/>
  <c r="N56"/>
  <c r="O56" s="1"/>
  <c r="N57"/>
  <c r="P57" s="1"/>
  <c r="N58"/>
  <c r="P58" s="1"/>
  <c r="N59"/>
  <c r="P59" s="1"/>
  <c r="N60"/>
  <c r="P60" s="1"/>
  <c r="N61"/>
  <c r="N62"/>
  <c r="P62" s="1"/>
  <c r="N63"/>
  <c r="P63" s="1"/>
  <c r="N64"/>
  <c r="P64" s="1"/>
  <c r="N65"/>
  <c r="N66"/>
  <c r="P66" s="1"/>
  <c r="N67"/>
  <c r="P67" s="1"/>
  <c r="N68"/>
  <c r="P68" s="1"/>
  <c r="N69"/>
  <c r="N70"/>
  <c r="P70" s="1"/>
  <c r="N71"/>
  <c r="P71" s="1"/>
  <c r="N72"/>
  <c r="P72" s="1"/>
  <c r="N73"/>
  <c r="N74"/>
  <c r="P74" s="1"/>
  <c r="N75"/>
  <c r="P75" s="1"/>
  <c r="N76"/>
  <c r="P76" s="1"/>
  <c r="N77"/>
  <c r="N78"/>
  <c r="P78" s="1"/>
  <c r="N79"/>
  <c r="P79" s="1"/>
  <c r="N80"/>
  <c r="P80" s="1"/>
  <c r="N81"/>
  <c r="N82"/>
  <c r="P82" s="1"/>
  <c r="N83"/>
  <c r="P83" s="1"/>
  <c r="N84"/>
  <c r="P84" s="1"/>
  <c r="N85"/>
  <c r="N86"/>
  <c r="P86" s="1"/>
  <c r="N87"/>
  <c r="P87" s="1"/>
  <c r="N88"/>
  <c r="P88" s="1"/>
  <c r="N89"/>
  <c r="N90"/>
  <c r="P90" s="1"/>
  <c r="N91"/>
  <c r="P91" s="1"/>
  <c r="N92"/>
  <c r="P92" s="1"/>
  <c r="N93"/>
  <c r="N94"/>
  <c r="P94" s="1"/>
  <c r="N95"/>
  <c r="P95" s="1"/>
  <c r="N96"/>
  <c r="P96" s="1"/>
  <c r="N97"/>
  <c r="N98"/>
  <c r="P98" s="1"/>
  <c r="N99"/>
  <c r="P99" s="1"/>
  <c r="N100"/>
  <c r="P100" s="1"/>
  <c r="N101"/>
  <c r="N102"/>
  <c r="P102" s="1"/>
  <c r="N103"/>
  <c r="P103" s="1"/>
  <c r="N104"/>
  <c r="P104" s="1"/>
  <c r="N105"/>
  <c r="N106"/>
  <c r="P106" s="1"/>
  <c r="N107"/>
  <c r="P107" s="1"/>
  <c r="N108"/>
  <c r="P108" s="1"/>
  <c r="N109"/>
  <c r="N110"/>
  <c r="P110" s="1"/>
  <c r="N111"/>
  <c r="P111" s="1"/>
  <c r="N112"/>
  <c r="P112" s="1"/>
  <c r="N113"/>
  <c r="N114"/>
  <c r="P114" s="1"/>
  <c r="N115"/>
  <c r="P115" s="1"/>
  <c r="N116"/>
  <c r="P116" s="1"/>
  <c r="N117"/>
  <c r="N118"/>
  <c r="P118" s="1"/>
  <c r="N119"/>
  <c r="P119" s="1"/>
  <c r="N120"/>
  <c r="P120" s="1"/>
  <c r="N121"/>
  <c r="N122"/>
  <c r="P122" s="1"/>
  <c r="N123"/>
  <c r="P123" s="1"/>
  <c r="N124"/>
  <c r="P124" s="1"/>
  <c r="N125"/>
  <c r="N126"/>
  <c r="P126" s="1"/>
  <c r="N127"/>
  <c r="P127" s="1"/>
  <c r="N128"/>
  <c r="P128" s="1"/>
  <c r="N129"/>
  <c r="N130"/>
  <c r="P130" s="1"/>
  <c r="N131"/>
  <c r="P131" s="1"/>
  <c r="N132"/>
  <c r="P132" s="1"/>
  <c r="N133"/>
  <c r="N134"/>
  <c r="P134" s="1"/>
  <c r="N135"/>
  <c r="P135" s="1"/>
  <c r="N136"/>
  <c r="P136" s="1"/>
  <c r="N137"/>
  <c r="N138"/>
  <c r="P138" s="1"/>
  <c r="P139"/>
  <c r="P140"/>
  <c r="P142"/>
  <c r="P143"/>
  <c r="P144"/>
  <c r="P146"/>
  <c r="P147"/>
  <c r="P148"/>
  <c r="P150"/>
  <c r="P151"/>
  <c r="P152"/>
  <c r="P154"/>
  <c r="P155"/>
  <c r="P156"/>
  <c r="P158"/>
  <c r="P159"/>
  <c r="N160"/>
  <c r="P160" s="1"/>
  <c r="N161"/>
  <c r="N162"/>
  <c r="P162" s="1"/>
  <c r="N163"/>
  <c r="P163" s="1"/>
  <c r="N164"/>
  <c r="P164" s="1"/>
  <c r="N165"/>
  <c r="N166"/>
  <c r="P166" s="1"/>
  <c r="N167"/>
  <c r="P167" s="1"/>
  <c r="N168"/>
  <c r="P168" s="1"/>
  <c r="N169"/>
  <c r="N170"/>
  <c r="P170" s="1"/>
  <c r="N171"/>
  <c r="P171" s="1"/>
  <c r="N172"/>
  <c r="P172" s="1"/>
  <c r="N173"/>
  <c r="N174"/>
  <c r="P174" s="1"/>
  <c r="N175"/>
  <c r="P175" s="1"/>
  <c r="N176"/>
  <c r="P176" s="1"/>
  <c r="N177"/>
  <c r="N178"/>
  <c r="P178" s="1"/>
  <c r="N179"/>
  <c r="P179" s="1"/>
  <c r="N180"/>
  <c r="P180" s="1"/>
  <c r="N181"/>
  <c r="N182"/>
  <c r="P182" s="1"/>
  <c r="N183"/>
  <c r="P183" s="1"/>
  <c r="N184"/>
  <c r="P184" s="1"/>
  <c r="N185"/>
  <c r="N186"/>
  <c r="P186" s="1"/>
  <c r="N187"/>
  <c r="P187" s="1"/>
  <c r="N188"/>
  <c r="P188" s="1"/>
  <c r="N189"/>
  <c r="N190"/>
  <c r="P190" s="1"/>
  <c r="N191"/>
  <c r="P191" s="1"/>
  <c r="N192"/>
  <c r="P192" s="1"/>
  <c r="N193"/>
  <c r="N194"/>
  <c r="P194" s="1"/>
  <c r="N195"/>
  <c r="P195" s="1"/>
  <c r="N196"/>
  <c r="P196" s="1"/>
  <c r="N197"/>
  <c r="N198"/>
  <c r="P198" s="1"/>
  <c r="N199"/>
  <c r="P199" s="1"/>
  <c r="N200"/>
  <c r="P200" s="1"/>
  <c r="N201"/>
  <c r="N202"/>
  <c r="P202" s="1"/>
  <c r="N203"/>
  <c r="P203" s="1"/>
  <c r="N204"/>
  <c r="P204" s="1"/>
  <c r="N205"/>
  <c r="N206"/>
  <c r="P206" s="1"/>
  <c r="N207"/>
  <c r="P207" s="1"/>
  <c r="N208"/>
  <c r="P208" s="1"/>
  <c r="N209"/>
  <c r="N210"/>
  <c r="P210" s="1"/>
  <c r="N211"/>
  <c r="P211" s="1"/>
  <c r="N212"/>
  <c r="P212" s="1"/>
  <c r="N213"/>
  <c r="N214"/>
  <c r="P214" s="1"/>
  <c r="N215"/>
  <c r="P215" s="1"/>
  <c r="N216"/>
  <c r="P216" s="1"/>
  <c r="N217"/>
  <c r="N218"/>
  <c r="P218" s="1"/>
  <c r="N219"/>
  <c r="P219" s="1"/>
  <c r="N220"/>
  <c r="P220" s="1"/>
  <c r="N221"/>
  <c r="N222"/>
  <c r="P222" s="1"/>
  <c r="N223"/>
  <c r="P223" s="1"/>
  <c r="N224"/>
  <c r="P224" s="1"/>
  <c r="N225"/>
  <c r="N226"/>
  <c r="P226" s="1"/>
  <c r="N227"/>
  <c r="P227" s="1"/>
  <c r="N228"/>
  <c r="P228" s="1"/>
  <c r="N229"/>
  <c r="N230"/>
  <c r="P230" s="1"/>
  <c r="N231"/>
  <c r="P231" s="1"/>
  <c r="N232"/>
  <c r="P232" s="1"/>
  <c r="N233"/>
  <c r="N234"/>
  <c r="P234" s="1"/>
  <c r="N235"/>
  <c r="P235" s="1"/>
  <c r="N236"/>
  <c r="P236" s="1"/>
  <c r="N237"/>
  <c r="N238"/>
  <c r="P238" s="1"/>
  <c r="N239"/>
  <c r="P239" s="1"/>
  <c r="N240"/>
  <c r="P240" s="1"/>
  <c r="N241"/>
  <c r="N242"/>
  <c r="P242" s="1"/>
  <c r="N243"/>
  <c r="P243" s="1"/>
  <c r="N244"/>
  <c r="P244" s="1"/>
  <c r="N245"/>
  <c r="N246"/>
  <c r="P246" s="1"/>
  <c r="N247"/>
  <c r="P247" s="1"/>
  <c r="N248"/>
  <c r="P248" s="1"/>
  <c r="N249"/>
  <c r="N250"/>
  <c r="P250" s="1"/>
  <c r="N251"/>
  <c r="P251" s="1"/>
  <c r="N252"/>
  <c r="P252" s="1"/>
  <c r="N253"/>
  <c r="N254"/>
  <c r="P254" s="1"/>
  <c r="N255"/>
  <c r="P255" s="1"/>
  <c r="N256"/>
  <c r="P256" s="1"/>
  <c r="N257"/>
  <c r="N258"/>
  <c r="P258" s="1"/>
  <c r="N259"/>
  <c r="P259" s="1"/>
  <c r="N260"/>
  <c r="P260" s="1"/>
  <c r="N261"/>
  <c r="N262"/>
  <c r="P262" s="1"/>
  <c r="N263"/>
  <c r="P263" s="1"/>
  <c r="N264"/>
  <c r="P264" s="1"/>
  <c r="N265"/>
  <c r="N266"/>
  <c r="P266" s="1"/>
  <c r="N267"/>
  <c r="P267" s="1"/>
  <c r="N268"/>
  <c r="P268" s="1"/>
  <c r="N269"/>
  <c r="N270"/>
  <c r="P270" s="1"/>
  <c r="N271"/>
  <c r="O271" s="1"/>
  <c r="N272"/>
  <c r="P272" s="1"/>
  <c r="N273"/>
  <c r="N274"/>
  <c r="P274" s="1"/>
  <c r="N275"/>
  <c r="O275" s="1"/>
  <c r="N276"/>
  <c r="P276" s="1"/>
  <c r="N277"/>
  <c r="N278"/>
  <c r="P278" s="1"/>
  <c r="N279"/>
  <c r="P279" s="1"/>
  <c r="N280"/>
  <c r="P280" s="1"/>
  <c r="N281"/>
  <c r="N282"/>
  <c r="P282" s="1"/>
  <c r="N283"/>
  <c r="P283" s="1"/>
  <c r="N284"/>
  <c r="P284" s="1"/>
  <c r="N285"/>
  <c r="N286"/>
  <c r="P286" s="1"/>
  <c r="N287"/>
  <c r="O287" s="1"/>
  <c r="N288"/>
  <c r="P288" s="1"/>
  <c r="N289"/>
  <c r="N290"/>
  <c r="P290" s="1"/>
  <c r="N291"/>
  <c r="O291" s="1"/>
  <c r="N292"/>
  <c r="P292" s="1"/>
  <c r="N293"/>
  <c r="N294"/>
  <c r="P294" s="1"/>
  <c r="N295"/>
  <c r="P295" s="1"/>
  <c r="N296"/>
  <c r="P296" s="1"/>
  <c r="N297"/>
  <c r="N298"/>
  <c r="P298" s="1"/>
  <c r="N299"/>
  <c r="O299" s="1"/>
  <c r="N300"/>
  <c r="P300" s="1"/>
  <c r="N301"/>
  <c r="N302"/>
  <c r="P302" s="1"/>
  <c r="N303"/>
  <c r="P303" s="1"/>
  <c r="N304"/>
  <c r="P304" s="1"/>
  <c r="N305"/>
  <c r="N306"/>
  <c r="P306" s="1"/>
  <c r="N307"/>
  <c r="O307" s="1"/>
  <c r="N308"/>
  <c r="P308" s="1"/>
  <c r="N309"/>
  <c r="N310"/>
  <c r="P310" s="1"/>
  <c r="N311"/>
  <c r="P311" s="1"/>
  <c r="N312"/>
  <c r="P312" s="1"/>
  <c r="N313"/>
  <c r="N314"/>
  <c r="P314" s="1"/>
  <c r="N315"/>
  <c r="O315" s="1"/>
  <c r="N316"/>
  <c r="P316" s="1"/>
  <c r="N317"/>
  <c r="N318"/>
  <c r="P318" s="1"/>
  <c r="N319"/>
  <c r="O319" s="1"/>
  <c r="N320"/>
  <c r="P320" s="1"/>
  <c r="N321"/>
  <c r="N322"/>
  <c r="P322" s="1"/>
  <c r="N323"/>
  <c r="P323" s="1"/>
  <c r="N324"/>
  <c r="P324" s="1"/>
  <c r="N325"/>
  <c r="N326"/>
  <c r="P326" s="1"/>
  <c r="N327"/>
  <c r="P327" s="1"/>
  <c r="N328"/>
  <c r="P328" s="1"/>
  <c r="N329"/>
  <c r="N330"/>
  <c r="P330" s="1"/>
  <c r="N331"/>
  <c r="O331" s="1"/>
  <c r="N332"/>
  <c r="P332" s="1"/>
  <c r="N333"/>
  <c r="N334"/>
  <c r="P334" s="1"/>
  <c r="N335"/>
  <c r="O335" s="1"/>
  <c r="N336"/>
  <c r="P336" s="1"/>
  <c r="N337"/>
  <c r="N338"/>
  <c r="P338" s="1"/>
  <c r="N339"/>
  <c r="O339" s="1"/>
  <c r="N340"/>
  <c r="P340" s="1"/>
  <c r="N341"/>
  <c r="N342"/>
  <c r="P342" s="1"/>
  <c r="N343"/>
  <c r="P343" s="1"/>
  <c r="N344"/>
  <c r="P344" s="1"/>
  <c r="N345"/>
  <c r="N346"/>
  <c r="P346" s="1"/>
  <c r="N347"/>
  <c r="P347" s="1"/>
  <c r="N348"/>
  <c r="P348" s="1"/>
  <c r="N349"/>
  <c r="N350"/>
  <c r="P350" s="1"/>
  <c r="N351"/>
  <c r="O351" s="1"/>
  <c r="N352"/>
  <c r="P352" s="1"/>
  <c r="N353"/>
  <c r="N354"/>
  <c r="P354" s="1"/>
  <c r="N355"/>
  <c r="O355" s="1"/>
  <c r="N356"/>
  <c r="P356" s="1"/>
  <c r="N357"/>
  <c r="N358"/>
  <c r="P358" s="1"/>
  <c r="N359"/>
  <c r="P359" s="1"/>
  <c r="N360"/>
  <c r="P360" s="1"/>
  <c r="N361"/>
  <c r="N362"/>
  <c r="P362" s="1"/>
  <c r="N363"/>
  <c r="O363" s="1"/>
  <c r="N364"/>
  <c r="P364" s="1"/>
  <c r="N365"/>
  <c r="N366"/>
  <c r="P366" s="1"/>
  <c r="N367"/>
  <c r="P367" s="1"/>
  <c r="N368"/>
  <c r="P368" s="1"/>
  <c r="N369"/>
  <c r="N370"/>
  <c r="P370" s="1"/>
  <c r="N371"/>
  <c r="O371" s="1"/>
  <c r="N372"/>
  <c r="P372" s="1"/>
  <c r="N373"/>
  <c r="N374"/>
  <c r="P374" s="1"/>
  <c r="N375"/>
  <c r="P375" s="1"/>
  <c r="N376"/>
  <c r="P376" s="1"/>
  <c r="N377"/>
  <c r="N378"/>
  <c r="P378" s="1"/>
  <c r="N379"/>
  <c r="O379" s="1"/>
  <c r="N380"/>
  <c r="P380" s="1"/>
  <c r="N381"/>
  <c r="N382"/>
  <c r="P382" s="1"/>
  <c r="N383"/>
  <c r="O383" s="1"/>
  <c r="N384"/>
  <c r="P384" s="1"/>
  <c r="N385"/>
  <c r="N386"/>
  <c r="P386" s="1"/>
  <c r="N387"/>
  <c r="P387" s="1"/>
  <c r="N388"/>
  <c r="P388" s="1"/>
  <c r="N389"/>
  <c r="N390"/>
  <c r="P390" s="1"/>
  <c r="N391"/>
  <c r="P391" s="1"/>
  <c r="N392"/>
  <c r="P392" s="1"/>
  <c r="N393"/>
  <c r="N394"/>
  <c r="P394" s="1"/>
  <c r="N395"/>
  <c r="O395" s="1"/>
  <c r="N396"/>
  <c r="P396" s="1"/>
  <c r="N397"/>
  <c r="N398"/>
  <c r="P398" s="1"/>
  <c r="N399"/>
  <c r="O399" s="1"/>
  <c r="N400"/>
  <c r="P400" s="1"/>
  <c r="N401"/>
  <c r="N402"/>
  <c r="P402" s="1"/>
  <c r="N403"/>
  <c r="O403" s="1"/>
  <c r="N404"/>
  <c r="P404" s="1"/>
  <c r="N405"/>
  <c r="N406"/>
  <c r="P406" s="1"/>
  <c r="N407"/>
  <c r="P407" s="1"/>
  <c r="N408"/>
  <c r="P408" s="1"/>
  <c r="N409"/>
  <c r="N410"/>
  <c r="P410" s="1"/>
  <c r="N411"/>
  <c r="P411" s="1"/>
  <c r="N412"/>
  <c r="P412" s="1"/>
  <c r="N413"/>
  <c r="N414"/>
  <c r="P414" s="1"/>
  <c r="N415"/>
  <c r="O415" s="1"/>
  <c r="N416"/>
  <c r="P416" s="1"/>
  <c r="N417"/>
  <c r="N418"/>
  <c r="P418" s="1"/>
  <c r="N419"/>
  <c r="O419" s="1"/>
  <c r="N420"/>
  <c r="P420" s="1"/>
  <c r="N421"/>
  <c r="N422"/>
  <c r="P422" s="1"/>
  <c r="N423"/>
  <c r="P423" s="1"/>
  <c r="N424"/>
  <c r="P424" s="1"/>
  <c r="N425"/>
  <c r="N426"/>
  <c r="P426" s="1"/>
  <c r="N427"/>
  <c r="O427" s="1"/>
  <c r="N428"/>
  <c r="P428" s="1"/>
  <c r="N429"/>
  <c r="P429" s="1"/>
  <c r="N430"/>
  <c r="O430" s="1"/>
  <c r="N431"/>
  <c r="P431" s="1"/>
  <c r="N432"/>
  <c r="O432" s="1"/>
  <c r="N433"/>
  <c r="P433" s="1"/>
  <c r="N434"/>
  <c r="O434" s="1"/>
  <c r="N435"/>
  <c r="O435" s="1"/>
  <c r="N436"/>
  <c r="P436" s="1"/>
  <c r="N437"/>
  <c r="P437" s="1"/>
  <c r="N438"/>
  <c r="O438" s="1"/>
  <c r="N439"/>
  <c r="P439" s="1"/>
  <c r="N440"/>
  <c r="P440" s="1"/>
  <c r="N441"/>
  <c r="P441" s="1"/>
  <c r="N442"/>
  <c r="P442" s="1"/>
  <c r="N443"/>
  <c r="O443" s="1"/>
  <c r="N444"/>
  <c r="P444" s="1"/>
  <c r="N445"/>
  <c r="P445" s="1"/>
  <c r="N446"/>
  <c r="O446" s="1"/>
  <c r="N447"/>
  <c r="P447" s="1"/>
  <c r="N448"/>
  <c r="O448" s="1"/>
  <c r="N449"/>
  <c r="P449" s="1"/>
  <c r="N450"/>
  <c r="O450" s="1"/>
  <c r="N451"/>
  <c r="P451" s="1"/>
  <c r="N452"/>
  <c r="P452" s="1"/>
  <c r="N453"/>
  <c r="P453" s="1"/>
  <c r="N454"/>
  <c r="O454" s="1"/>
  <c r="N455"/>
  <c r="P455" s="1"/>
  <c r="N456"/>
  <c r="P456" s="1"/>
  <c r="N457"/>
  <c r="P457" s="1"/>
  <c r="N458"/>
  <c r="P458" s="1"/>
  <c r="N459"/>
  <c r="O459" s="1"/>
  <c r="N460"/>
  <c r="P460" s="1"/>
  <c r="N461"/>
  <c r="P461" s="1"/>
  <c r="N462"/>
  <c r="O462" s="1"/>
  <c r="N463"/>
  <c r="O463" s="1"/>
  <c r="N464"/>
  <c r="O464" s="1"/>
  <c r="N465"/>
  <c r="P465" s="1"/>
  <c r="N466"/>
  <c r="O466" s="1"/>
  <c r="N467"/>
  <c r="O467" s="1"/>
  <c r="N468"/>
  <c r="P468" s="1"/>
  <c r="N469"/>
  <c r="P469" s="1"/>
  <c r="N470"/>
  <c r="O470" s="1"/>
  <c r="N471"/>
  <c r="P471" s="1"/>
  <c r="N472"/>
  <c r="P472" s="1"/>
  <c r="N473"/>
  <c r="P473" s="1"/>
  <c r="N474"/>
  <c r="P474" s="1"/>
  <c r="N475"/>
  <c r="P475" s="1"/>
  <c r="N476"/>
  <c r="P476" s="1"/>
  <c r="N477"/>
  <c r="P477" s="1"/>
  <c r="N478"/>
  <c r="O478" s="1"/>
  <c r="N479"/>
  <c r="O479" s="1"/>
  <c r="N480"/>
  <c r="O480" s="1"/>
  <c r="N481"/>
  <c r="P481" s="1"/>
  <c r="N482"/>
  <c r="O482" s="1"/>
  <c r="N483"/>
  <c r="O483" s="1"/>
  <c r="N484"/>
  <c r="P484" s="1"/>
  <c r="N485"/>
  <c r="P485" s="1"/>
  <c r="N486"/>
  <c r="O486" s="1"/>
  <c r="N487"/>
  <c r="P487" s="1"/>
  <c r="N488"/>
  <c r="P488" s="1"/>
  <c r="N489"/>
  <c r="P489" s="1"/>
  <c r="N490"/>
  <c r="P490" s="1"/>
  <c r="N491"/>
  <c r="O491" s="1"/>
  <c r="N492"/>
  <c r="P492" s="1"/>
  <c r="N493"/>
  <c r="P493" s="1"/>
  <c r="N494"/>
  <c r="O494" s="1"/>
  <c r="N495"/>
  <c r="P495" s="1"/>
  <c r="N496"/>
  <c r="O496" s="1"/>
  <c r="N497"/>
  <c r="P497" s="1"/>
  <c r="N498"/>
  <c r="O498" s="1"/>
  <c r="N499"/>
  <c r="O499" s="1"/>
  <c r="N500"/>
  <c r="P500" s="1"/>
  <c r="N501"/>
  <c r="P501" s="1"/>
  <c r="N502"/>
  <c r="O502" s="1"/>
  <c r="N503"/>
  <c r="P503" s="1"/>
  <c r="N504"/>
  <c r="P504" s="1"/>
  <c r="N505"/>
  <c r="P505" s="1"/>
  <c r="N506"/>
  <c r="P506" s="1"/>
  <c r="N507"/>
  <c r="O507" s="1"/>
  <c r="N508"/>
  <c r="P508" s="1"/>
  <c r="N509"/>
  <c r="P509" s="1"/>
  <c r="N510"/>
  <c r="O510" s="1"/>
  <c r="N511"/>
  <c r="P511" s="1"/>
  <c r="N512"/>
  <c r="O512" s="1"/>
  <c r="N513"/>
  <c r="P513" s="1"/>
  <c r="N514"/>
  <c r="O514" s="1"/>
  <c r="N515"/>
  <c r="P515" s="1"/>
  <c r="N516"/>
  <c r="P516" s="1"/>
  <c r="N517"/>
  <c r="P517" s="1"/>
  <c r="N518"/>
  <c r="O518" s="1"/>
  <c r="N519"/>
  <c r="P519" s="1"/>
  <c r="N520"/>
  <c r="P520" s="1"/>
  <c r="N521"/>
  <c r="P521" s="1"/>
  <c r="N522"/>
  <c r="P522" s="1"/>
  <c r="N523"/>
  <c r="O523" s="1"/>
  <c r="N524"/>
  <c r="P524" s="1"/>
  <c r="N525"/>
  <c r="P525" s="1"/>
  <c r="N526"/>
  <c r="O526" s="1"/>
  <c r="N527"/>
  <c r="P527" s="1"/>
  <c r="N528"/>
  <c r="O528" s="1"/>
  <c r="N529"/>
  <c r="P529" s="1"/>
  <c r="N530"/>
  <c r="O530" s="1"/>
  <c r="N531"/>
  <c r="O531" s="1"/>
  <c r="N532"/>
  <c r="P532" s="1"/>
  <c r="N533"/>
  <c r="P533" s="1"/>
  <c r="N534"/>
  <c r="O534" s="1"/>
  <c r="N535"/>
  <c r="P535" s="1"/>
  <c r="N536"/>
  <c r="P536" s="1"/>
  <c r="N537"/>
  <c r="P537" s="1"/>
  <c r="N538"/>
  <c r="P538" s="1"/>
  <c r="N539"/>
  <c r="P539" s="1"/>
  <c r="N540"/>
  <c r="P540" s="1"/>
  <c r="N541"/>
  <c r="P541" s="1"/>
  <c r="N542"/>
  <c r="O542" s="1"/>
  <c r="N543"/>
  <c r="O543" s="1"/>
  <c r="N544"/>
  <c r="O544" s="1"/>
  <c r="N545"/>
  <c r="P545" s="1"/>
  <c r="N546"/>
  <c r="O546" s="1"/>
  <c r="N547"/>
  <c r="O547" s="1"/>
  <c r="N548"/>
  <c r="P548" s="1"/>
  <c r="N549"/>
  <c r="P549" s="1"/>
  <c r="N550"/>
  <c r="O550" s="1"/>
  <c r="N551"/>
  <c r="P551" s="1"/>
  <c r="N552"/>
  <c r="P552" s="1"/>
  <c r="N553"/>
  <c r="P553" s="1"/>
  <c r="N554"/>
  <c r="P554" s="1"/>
  <c r="N555"/>
  <c r="O555" s="1"/>
  <c r="N556"/>
  <c r="P556" s="1"/>
  <c r="N557"/>
  <c r="P557" s="1"/>
  <c r="N558"/>
  <c r="O558" s="1"/>
  <c r="N559"/>
  <c r="P559" s="1"/>
  <c r="N560"/>
  <c r="O560" s="1"/>
  <c r="N561"/>
  <c r="P561" s="1"/>
  <c r="N562"/>
  <c r="O562" s="1"/>
  <c r="N563"/>
  <c r="O563" s="1"/>
  <c r="N564"/>
  <c r="P564" s="1"/>
  <c r="N565"/>
  <c r="P565" s="1"/>
  <c r="N566"/>
  <c r="O566" s="1"/>
  <c r="N567"/>
  <c r="P567" s="1"/>
  <c r="N568"/>
  <c r="P568" s="1"/>
  <c r="N569"/>
  <c r="P569" s="1"/>
  <c r="N570"/>
  <c r="P570" s="1"/>
  <c r="N571"/>
  <c r="O571" s="1"/>
  <c r="N572"/>
  <c r="P572" s="1"/>
  <c r="N3"/>
  <c r="J4"/>
  <c r="J5"/>
  <c r="L5" s="1"/>
  <c r="J6"/>
  <c r="K6" s="1"/>
  <c r="J7"/>
  <c r="L7" s="1"/>
  <c r="J8"/>
  <c r="J9"/>
  <c r="J10"/>
  <c r="J11"/>
  <c r="J12"/>
  <c r="J13"/>
  <c r="K13" s="1"/>
  <c r="J14"/>
  <c r="L14" s="1"/>
  <c r="J15"/>
  <c r="L15" s="1"/>
  <c r="J16"/>
  <c r="J17"/>
  <c r="L17" s="1"/>
  <c r="J18"/>
  <c r="K18" s="1"/>
  <c r="J19"/>
  <c r="K19" s="1"/>
  <c r="J20"/>
  <c r="J21"/>
  <c r="K21" s="1"/>
  <c r="J22"/>
  <c r="L22" s="1"/>
  <c r="J23"/>
  <c r="J24"/>
  <c r="J25"/>
  <c r="L25" s="1"/>
  <c r="J26"/>
  <c r="K26" s="1"/>
  <c r="J27"/>
  <c r="L27" s="1"/>
  <c r="J28"/>
  <c r="J29"/>
  <c r="L29" s="1"/>
  <c r="J30"/>
  <c r="L30" s="1"/>
  <c r="J31"/>
  <c r="K31" s="1"/>
  <c r="J32"/>
  <c r="J33"/>
  <c r="L33" s="1"/>
  <c r="J34"/>
  <c r="K34" s="1"/>
  <c r="J35"/>
  <c r="J36"/>
  <c r="J37"/>
  <c r="K37" s="1"/>
  <c r="J38"/>
  <c r="L38" s="1"/>
  <c r="J39"/>
  <c r="L39" s="1"/>
  <c r="J40"/>
  <c r="J41"/>
  <c r="L41" s="1"/>
  <c r="J42"/>
  <c r="L42" s="1"/>
  <c r="J43"/>
  <c r="L43" s="1"/>
  <c r="J44"/>
  <c r="J45"/>
  <c r="L45" s="1"/>
  <c r="J46"/>
  <c r="J47"/>
  <c r="K47" s="1"/>
  <c r="J48"/>
  <c r="J49"/>
  <c r="L49" s="1"/>
  <c r="J50"/>
  <c r="L50" s="1"/>
  <c r="J51"/>
  <c r="L51" s="1"/>
  <c r="J52"/>
  <c r="J53"/>
  <c r="K53" s="1"/>
  <c r="J54"/>
  <c r="K54" s="1"/>
  <c r="J55"/>
  <c r="J56"/>
  <c r="J57"/>
  <c r="L57" s="1"/>
  <c r="J58"/>
  <c r="L58" s="1"/>
  <c r="J59"/>
  <c r="J60"/>
  <c r="J61"/>
  <c r="L61" s="1"/>
  <c r="J62"/>
  <c r="K62" s="1"/>
  <c r="J63"/>
  <c r="K63" s="1"/>
  <c r="J64"/>
  <c r="J65"/>
  <c r="L65" s="1"/>
  <c r="J66"/>
  <c r="L66" s="1"/>
  <c r="J67"/>
  <c r="J68"/>
  <c r="J69"/>
  <c r="L69" s="1"/>
  <c r="J70"/>
  <c r="L70" s="1"/>
  <c r="J71"/>
  <c r="K71" s="1"/>
  <c r="J72"/>
  <c r="J73"/>
  <c r="L73" s="1"/>
  <c r="J74"/>
  <c r="L74" s="1"/>
  <c r="J75"/>
  <c r="J76"/>
  <c r="J77"/>
  <c r="L77" s="1"/>
  <c r="J78"/>
  <c r="K78" s="1"/>
  <c r="J79"/>
  <c r="J80"/>
  <c r="J81"/>
  <c r="L81" s="1"/>
  <c r="J82"/>
  <c r="L82" s="1"/>
  <c r="J83"/>
  <c r="J84"/>
  <c r="J85"/>
  <c r="L85" s="1"/>
  <c r="J86"/>
  <c r="L86" s="1"/>
  <c r="J87"/>
  <c r="K87" s="1"/>
  <c r="J88"/>
  <c r="J89"/>
  <c r="L89" s="1"/>
  <c r="J91"/>
  <c r="J92"/>
  <c r="J93"/>
  <c r="L93" s="1"/>
  <c r="J94"/>
  <c r="K94" s="1"/>
  <c r="J95"/>
  <c r="J96"/>
  <c r="J97"/>
  <c r="L97" s="1"/>
  <c r="J98"/>
  <c r="L98" s="1"/>
  <c r="J99"/>
  <c r="K99" s="1"/>
  <c r="J100"/>
  <c r="J101"/>
  <c r="L101" s="1"/>
  <c r="J102"/>
  <c r="L102" s="1"/>
  <c r="J103"/>
  <c r="J104"/>
  <c r="J105"/>
  <c r="L105" s="1"/>
  <c r="J106"/>
  <c r="L106" s="1"/>
  <c r="J107"/>
  <c r="L107" s="1"/>
  <c r="J108"/>
  <c r="J109"/>
  <c r="L109" s="1"/>
  <c r="J110"/>
  <c r="K110" s="1"/>
  <c r="J111"/>
  <c r="J112"/>
  <c r="J113"/>
  <c r="K113" s="1"/>
  <c r="J114"/>
  <c r="L114" s="1"/>
  <c r="J115"/>
  <c r="J116"/>
  <c r="J117"/>
  <c r="L117" s="1"/>
  <c r="J118"/>
  <c r="J119"/>
  <c r="J120"/>
  <c r="J121"/>
  <c r="L121" s="1"/>
  <c r="J122"/>
  <c r="L122" s="1"/>
  <c r="J123"/>
  <c r="K123" s="1"/>
  <c r="J124"/>
  <c r="J125"/>
  <c r="L125" s="1"/>
  <c r="J126"/>
  <c r="L126" s="1"/>
  <c r="J127"/>
  <c r="L127" s="1"/>
  <c r="J128"/>
  <c r="J129"/>
  <c r="K129" s="1"/>
  <c r="J130"/>
  <c r="K130" s="1"/>
  <c r="J131"/>
  <c r="J132"/>
  <c r="J133"/>
  <c r="K133" s="1"/>
  <c r="J134"/>
  <c r="K134" s="1"/>
  <c r="J135"/>
  <c r="K135" s="1"/>
  <c r="J136"/>
  <c r="J137"/>
  <c r="L137" s="1"/>
  <c r="J138"/>
  <c r="J139"/>
  <c r="L139" s="1"/>
  <c r="J140"/>
  <c r="J141"/>
  <c r="L141" s="1"/>
  <c r="J142"/>
  <c r="K142" s="1"/>
  <c r="J143"/>
  <c r="K143" s="1"/>
  <c r="J144"/>
  <c r="J145"/>
  <c r="K145" s="1"/>
  <c r="J146"/>
  <c r="L146" s="1"/>
  <c r="J147"/>
  <c r="J148"/>
  <c r="J149"/>
  <c r="L149" s="1"/>
  <c r="J150"/>
  <c r="J151"/>
  <c r="J152"/>
  <c r="J153"/>
  <c r="L153" s="1"/>
  <c r="J154"/>
  <c r="L154" s="1"/>
  <c r="J155"/>
  <c r="J156"/>
  <c r="J157"/>
  <c r="L157" s="1"/>
  <c r="J158"/>
  <c r="J159"/>
  <c r="L159" s="1"/>
  <c r="J160"/>
  <c r="J161"/>
  <c r="K161" s="1"/>
  <c r="J162"/>
  <c r="K162" s="1"/>
  <c r="J163"/>
  <c r="J164"/>
  <c r="J165"/>
  <c r="K165" s="1"/>
  <c r="J166"/>
  <c r="J167"/>
  <c r="J168"/>
  <c r="J169"/>
  <c r="L169" s="1"/>
  <c r="J170"/>
  <c r="K170" s="1"/>
  <c r="J171"/>
  <c r="K171" s="1"/>
  <c r="J172"/>
  <c r="J173"/>
  <c r="L173" s="1"/>
  <c r="J174"/>
  <c r="L174" s="1"/>
  <c r="J175"/>
  <c r="J176"/>
  <c r="J177"/>
  <c r="L177" s="1"/>
  <c r="J178"/>
  <c r="K178" s="1"/>
  <c r="J179"/>
  <c r="L179" s="1"/>
  <c r="J180"/>
  <c r="J181"/>
  <c r="K181" s="1"/>
  <c r="J182"/>
  <c r="L182" s="1"/>
  <c r="J183"/>
  <c r="K183" s="1"/>
  <c r="J184"/>
  <c r="J185"/>
  <c r="L185" s="1"/>
  <c r="J186"/>
  <c r="K186" s="1"/>
  <c r="J187"/>
  <c r="J188"/>
  <c r="J189"/>
  <c r="L189" s="1"/>
  <c r="J190"/>
  <c r="L190" s="1"/>
  <c r="J191"/>
  <c r="L191" s="1"/>
  <c r="J192"/>
  <c r="J193"/>
  <c r="L193" s="1"/>
  <c r="J194"/>
  <c r="K194" s="1"/>
  <c r="J195"/>
  <c r="K195" s="1"/>
  <c r="J196"/>
  <c r="J197"/>
  <c r="L197" s="1"/>
  <c r="J198"/>
  <c r="L198" s="1"/>
  <c r="J199"/>
  <c r="J200"/>
  <c r="J201"/>
  <c r="L201" s="1"/>
  <c r="J202"/>
  <c r="K202" s="1"/>
  <c r="J203"/>
  <c r="L203" s="1"/>
  <c r="J204"/>
  <c r="J205"/>
  <c r="L205" s="1"/>
  <c r="J206"/>
  <c r="L206" s="1"/>
  <c r="J207"/>
  <c r="K207" s="1"/>
  <c r="J208"/>
  <c r="J209"/>
  <c r="L209" s="1"/>
  <c r="J210"/>
  <c r="K210" s="1"/>
  <c r="J211"/>
  <c r="J212"/>
  <c r="J213"/>
  <c r="K213" s="1"/>
  <c r="J214"/>
  <c r="K214" s="1"/>
  <c r="J215"/>
  <c r="L215" s="1"/>
  <c r="J216"/>
  <c r="J217"/>
  <c r="L217" s="1"/>
  <c r="J218"/>
  <c r="J219"/>
  <c r="K219" s="1"/>
  <c r="J220"/>
  <c r="J221"/>
  <c r="L221" s="1"/>
  <c r="J222"/>
  <c r="K222" s="1"/>
  <c r="J223"/>
  <c r="J224"/>
  <c r="J225"/>
  <c r="L225" s="1"/>
  <c r="J226"/>
  <c r="L226" s="1"/>
  <c r="J227"/>
  <c r="L227" s="1"/>
  <c r="J228"/>
  <c r="J229"/>
  <c r="L229" s="1"/>
  <c r="J230"/>
  <c r="K230" s="1"/>
  <c r="J231"/>
  <c r="K231" s="1"/>
  <c r="J232"/>
  <c r="J233"/>
  <c r="L233" s="1"/>
  <c r="J234"/>
  <c r="L234" s="1"/>
  <c r="J235"/>
  <c r="J236"/>
  <c r="J237"/>
  <c r="L237" s="1"/>
  <c r="J238"/>
  <c r="K238" s="1"/>
  <c r="J239"/>
  <c r="J240"/>
  <c r="J241"/>
  <c r="K241" s="1"/>
  <c r="J242"/>
  <c r="K242" s="1"/>
  <c r="J243"/>
  <c r="L243" s="1"/>
  <c r="J244"/>
  <c r="J245"/>
  <c r="L245" s="1"/>
  <c r="J246"/>
  <c r="L246" s="1"/>
  <c r="J247"/>
  <c r="K247" s="1"/>
  <c r="J248"/>
  <c r="J249"/>
  <c r="L249" s="1"/>
  <c r="J250"/>
  <c r="J251"/>
  <c r="J252"/>
  <c r="J253"/>
  <c r="L253" s="1"/>
  <c r="J254"/>
  <c r="K254" s="1"/>
  <c r="J255"/>
  <c r="K255" s="1"/>
  <c r="J256"/>
  <c r="J257"/>
  <c r="K257" s="1"/>
  <c r="J258"/>
  <c r="J259"/>
  <c r="J260"/>
  <c r="J261"/>
  <c r="K261" s="1"/>
  <c r="J262"/>
  <c r="L262" s="1"/>
  <c r="J263"/>
  <c r="J264"/>
  <c r="J265"/>
  <c r="L265" s="1"/>
  <c r="J266"/>
  <c r="L266" s="1"/>
  <c r="J267"/>
  <c r="L267" s="1"/>
  <c r="J268"/>
  <c r="J269"/>
  <c r="L269" s="1"/>
  <c r="J270"/>
  <c r="K270" s="1"/>
  <c r="J271"/>
  <c r="J272"/>
  <c r="J273"/>
  <c r="K273" s="1"/>
  <c r="J274"/>
  <c r="L274" s="1"/>
  <c r="J275"/>
  <c r="L275" s="1"/>
  <c r="J276"/>
  <c r="J277"/>
  <c r="L277" s="1"/>
  <c r="J278"/>
  <c r="K278" s="1"/>
  <c r="J279"/>
  <c r="J280"/>
  <c r="J281"/>
  <c r="L281" s="1"/>
  <c r="J282"/>
  <c r="L282" s="1"/>
  <c r="J283"/>
  <c r="K283" s="1"/>
  <c r="J284"/>
  <c r="J285"/>
  <c r="L285" s="1"/>
  <c r="J286"/>
  <c r="L286" s="1"/>
  <c r="J287"/>
  <c r="L287" s="1"/>
  <c r="J288"/>
  <c r="J289"/>
  <c r="K289" s="1"/>
  <c r="J290"/>
  <c r="J291"/>
  <c r="K291" s="1"/>
  <c r="J292"/>
  <c r="J293"/>
  <c r="K293" s="1"/>
  <c r="J294"/>
  <c r="L294" s="1"/>
  <c r="J295"/>
  <c r="J296"/>
  <c r="J297"/>
  <c r="L297" s="1"/>
  <c r="J298"/>
  <c r="J299"/>
  <c r="L299" s="1"/>
  <c r="J300"/>
  <c r="J301"/>
  <c r="L301" s="1"/>
  <c r="J302"/>
  <c r="L302" s="1"/>
  <c r="J303"/>
  <c r="K303" s="1"/>
  <c r="J304"/>
  <c r="J305"/>
  <c r="L305" s="1"/>
  <c r="J306"/>
  <c r="L306" s="1"/>
  <c r="J307"/>
  <c r="J308"/>
  <c r="J309"/>
  <c r="K309" s="1"/>
  <c r="J310"/>
  <c r="K310" s="1"/>
  <c r="J311"/>
  <c r="L311" s="1"/>
  <c r="J312"/>
  <c r="J313"/>
  <c r="L313" s="1"/>
  <c r="J314"/>
  <c r="L314" s="1"/>
  <c r="J315"/>
  <c r="J316"/>
  <c r="J317"/>
  <c r="L317" s="1"/>
  <c r="J318"/>
  <c r="K318" s="1"/>
  <c r="J319"/>
  <c r="K319" s="1"/>
  <c r="J320"/>
  <c r="J321"/>
  <c r="L321" s="1"/>
  <c r="J322"/>
  <c r="L322" s="1"/>
  <c r="J323"/>
  <c r="L323" s="1"/>
  <c r="J324"/>
  <c r="J325"/>
  <c r="L325" s="1"/>
  <c r="J326"/>
  <c r="K326" s="1"/>
  <c r="J327"/>
  <c r="K327" s="1"/>
  <c r="J328"/>
  <c r="J329"/>
  <c r="L329" s="1"/>
  <c r="J330"/>
  <c r="J331"/>
  <c r="J332"/>
  <c r="J333"/>
  <c r="L333" s="1"/>
  <c r="J334"/>
  <c r="L334" s="1"/>
  <c r="J335"/>
  <c r="J336"/>
  <c r="J337"/>
  <c r="L337" s="1"/>
  <c r="J338"/>
  <c r="J339"/>
  <c r="L339" s="1"/>
  <c r="J340"/>
  <c r="J341"/>
  <c r="K341" s="1"/>
  <c r="J342"/>
  <c r="L342" s="1"/>
  <c r="J343"/>
  <c r="K343" s="1"/>
  <c r="J344"/>
  <c r="J345"/>
  <c r="L345" s="1"/>
  <c r="J346"/>
  <c r="J347"/>
  <c r="J348"/>
  <c r="J349"/>
  <c r="L349" s="1"/>
  <c r="J350"/>
  <c r="K350" s="1"/>
  <c r="J351"/>
  <c r="L351" s="1"/>
  <c r="J352"/>
  <c r="J353"/>
  <c r="L353" s="1"/>
  <c r="J354"/>
  <c r="L354" s="1"/>
  <c r="J355"/>
  <c r="K355" s="1"/>
  <c r="J356"/>
  <c r="J357"/>
  <c r="L357" s="1"/>
  <c r="J358"/>
  <c r="K358" s="1"/>
  <c r="J359"/>
  <c r="J360"/>
  <c r="J361"/>
  <c r="L361" s="1"/>
  <c r="J362"/>
  <c r="L362" s="1"/>
  <c r="J363"/>
  <c r="L363" s="1"/>
  <c r="J364"/>
  <c r="J365"/>
  <c r="L365" s="1"/>
  <c r="J366"/>
  <c r="K366" s="1"/>
  <c r="J367"/>
  <c r="J368"/>
  <c r="J369"/>
  <c r="K369" s="1"/>
  <c r="J370"/>
  <c r="K370" s="1"/>
  <c r="J371"/>
  <c r="J372"/>
  <c r="J373"/>
  <c r="L373" s="1"/>
  <c r="J374"/>
  <c r="K374" s="1"/>
  <c r="J375"/>
  <c r="L375" s="1"/>
  <c r="J376"/>
  <c r="J377"/>
  <c r="L377" s="1"/>
  <c r="J378"/>
  <c r="L378" s="1"/>
  <c r="J379"/>
  <c r="K379" s="1"/>
  <c r="J380"/>
  <c r="J381"/>
  <c r="L381" s="1"/>
  <c r="J382"/>
  <c r="K382" s="1"/>
  <c r="J383"/>
  <c r="J384"/>
  <c r="J385"/>
  <c r="K385" s="1"/>
  <c r="J386"/>
  <c r="J387"/>
  <c r="L387" s="1"/>
  <c r="J388"/>
  <c r="J389"/>
  <c r="K389" s="1"/>
  <c r="J390"/>
  <c r="K390" s="1"/>
  <c r="J391"/>
  <c r="K391" s="1"/>
  <c r="J392"/>
  <c r="J393"/>
  <c r="L393" s="1"/>
  <c r="J394"/>
  <c r="J395"/>
  <c r="J396"/>
  <c r="J397"/>
  <c r="L397" s="1"/>
  <c r="J398"/>
  <c r="L398" s="1"/>
  <c r="J399"/>
  <c r="K399" s="1"/>
  <c r="J400"/>
  <c r="J401"/>
  <c r="K401" s="1"/>
  <c r="J402"/>
  <c r="L402" s="1"/>
  <c r="J403"/>
  <c r="L403" s="1"/>
  <c r="J404"/>
  <c r="J405"/>
  <c r="L405" s="1"/>
  <c r="J406"/>
  <c r="K406" s="1"/>
  <c r="J407"/>
  <c r="J408"/>
  <c r="J409"/>
  <c r="L409" s="1"/>
  <c r="J410"/>
  <c r="L410" s="1"/>
  <c r="J411"/>
  <c r="J412"/>
  <c r="J413"/>
  <c r="L413" s="1"/>
  <c r="J414"/>
  <c r="K414" s="1"/>
  <c r="J415"/>
  <c r="L415" s="1"/>
  <c r="J416"/>
  <c r="J417"/>
  <c r="K417" s="1"/>
  <c r="J418"/>
  <c r="K418" s="1"/>
  <c r="J419"/>
  <c r="J420"/>
  <c r="J421"/>
  <c r="K421" s="1"/>
  <c r="J422"/>
  <c r="J423"/>
  <c r="J424"/>
  <c r="J425"/>
  <c r="L425" s="1"/>
  <c r="J426"/>
  <c r="K426" s="1"/>
  <c r="J427"/>
  <c r="K427" s="1"/>
  <c r="J428"/>
  <c r="J429"/>
  <c r="L429" s="1"/>
  <c r="J430"/>
  <c r="L430" s="1"/>
  <c r="J431"/>
  <c r="J432"/>
  <c r="J433"/>
  <c r="L433" s="1"/>
  <c r="J434"/>
  <c r="K434" s="1"/>
  <c r="J435"/>
  <c r="J436"/>
  <c r="J437"/>
  <c r="K437" s="1"/>
  <c r="J438"/>
  <c r="L438" s="1"/>
  <c r="J439"/>
  <c r="K439" s="1"/>
  <c r="J440"/>
  <c r="J441"/>
  <c r="L441" s="1"/>
  <c r="J442"/>
  <c r="K442" s="1"/>
  <c r="J443"/>
  <c r="J444"/>
  <c r="J445"/>
  <c r="L445" s="1"/>
  <c r="J446"/>
  <c r="J447"/>
  <c r="J448"/>
  <c r="J449"/>
  <c r="L449" s="1"/>
  <c r="J450"/>
  <c r="L450" s="1"/>
  <c r="J451"/>
  <c r="L451" s="1"/>
  <c r="J452"/>
  <c r="J453"/>
  <c r="L453" s="1"/>
  <c r="J454"/>
  <c r="J455"/>
  <c r="J456"/>
  <c r="J457"/>
  <c r="L457" s="1"/>
  <c r="J458"/>
  <c r="L458" s="1"/>
  <c r="J459"/>
  <c r="J460"/>
  <c r="J461"/>
  <c r="L461" s="1"/>
  <c r="J462"/>
  <c r="J463"/>
  <c r="K463" s="1"/>
  <c r="J464"/>
  <c r="J465"/>
  <c r="L465" s="1"/>
  <c r="J466"/>
  <c r="K466" s="1"/>
  <c r="J467"/>
  <c r="L467" s="1"/>
  <c r="J468"/>
  <c r="J469"/>
  <c r="K469" s="1"/>
  <c r="J470"/>
  <c r="J471"/>
  <c r="J472"/>
  <c r="J473"/>
  <c r="L473" s="1"/>
  <c r="J474"/>
  <c r="L474" s="1"/>
  <c r="J475"/>
  <c r="K475" s="1"/>
  <c r="J476"/>
  <c r="J477"/>
  <c r="L477" s="1"/>
  <c r="J478"/>
  <c r="L478" s="1"/>
  <c r="J479"/>
  <c r="L479" s="1"/>
  <c r="J480"/>
  <c r="J481"/>
  <c r="L481" s="1"/>
  <c r="J482"/>
  <c r="K482" s="1"/>
  <c r="J483"/>
  <c r="J484"/>
  <c r="J485"/>
  <c r="L485" s="1"/>
  <c r="J486"/>
  <c r="J487"/>
  <c r="K487" s="1"/>
  <c r="J488"/>
  <c r="J489"/>
  <c r="L489" s="1"/>
  <c r="J490"/>
  <c r="K490" s="1"/>
  <c r="J491"/>
  <c r="L491" s="1"/>
  <c r="J492"/>
  <c r="J493"/>
  <c r="L493" s="1"/>
  <c r="J494"/>
  <c r="L494" s="1"/>
  <c r="J495"/>
  <c r="J496"/>
  <c r="J497"/>
  <c r="K497" s="1"/>
  <c r="J498"/>
  <c r="K498" s="1"/>
  <c r="J499"/>
  <c r="J500"/>
  <c r="J501"/>
  <c r="L501" s="1"/>
  <c r="J502"/>
  <c r="L502" s="1"/>
  <c r="J503"/>
  <c r="L503" s="1"/>
  <c r="J504"/>
  <c r="J505"/>
  <c r="L505" s="1"/>
  <c r="J506"/>
  <c r="K506" s="1"/>
  <c r="J507"/>
  <c r="J508"/>
  <c r="J509"/>
  <c r="L509" s="1"/>
  <c r="J510"/>
  <c r="J511"/>
  <c r="K511" s="1"/>
  <c r="J512"/>
  <c r="J513"/>
  <c r="K513" s="1"/>
  <c r="J514"/>
  <c r="L514" s="1"/>
  <c r="J515"/>
  <c r="L515" s="1"/>
  <c r="J516"/>
  <c r="J517"/>
  <c r="K517" s="1"/>
  <c r="J518"/>
  <c r="J519"/>
  <c r="J520"/>
  <c r="J521"/>
  <c r="L521" s="1"/>
  <c r="J522"/>
  <c r="K522" s="1"/>
  <c r="J523"/>
  <c r="K523" s="1"/>
  <c r="J524"/>
  <c r="J525"/>
  <c r="L525" s="1"/>
  <c r="J526"/>
  <c r="J527"/>
  <c r="J528"/>
  <c r="J529"/>
  <c r="K529" s="1"/>
  <c r="J530"/>
  <c r="K530" s="1"/>
  <c r="J531"/>
  <c r="L531" s="1"/>
  <c r="J532"/>
  <c r="J533"/>
  <c r="L533" s="1"/>
  <c r="J534"/>
  <c r="L534" s="1"/>
  <c r="J535"/>
  <c r="J536"/>
  <c r="J537"/>
  <c r="L537" s="1"/>
  <c r="J538"/>
  <c r="K538" s="1"/>
  <c r="J539"/>
  <c r="K539" s="1"/>
  <c r="J540"/>
  <c r="J541"/>
  <c r="L541" s="1"/>
  <c r="J542"/>
  <c r="L542" s="1"/>
  <c r="J543"/>
  <c r="L543" s="1"/>
  <c r="J544"/>
  <c r="J545"/>
  <c r="K545" s="1"/>
  <c r="J546"/>
  <c r="K546" s="1"/>
  <c r="J547"/>
  <c r="K547" s="1"/>
  <c r="J548"/>
  <c r="J549"/>
  <c r="K549" s="1"/>
  <c r="J550"/>
  <c r="L550" s="1"/>
  <c r="J551"/>
  <c r="J552"/>
  <c r="J553"/>
  <c r="L553" s="1"/>
  <c r="J554"/>
  <c r="K554" s="1"/>
  <c r="J555"/>
  <c r="L555" s="1"/>
  <c r="J556"/>
  <c r="J557"/>
  <c r="L557" s="1"/>
  <c r="J558"/>
  <c r="J559"/>
  <c r="K559" s="1"/>
  <c r="J560"/>
  <c r="J561"/>
  <c r="L561" s="1"/>
  <c r="J562"/>
  <c r="L562" s="1"/>
  <c r="J563"/>
  <c r="J564"/>
  <c r="J565"/>
  <c r="K565" s="1"/>
  <c r="J566"/>
  <c r="K566" s="1"/>
  <c r="J567"/>
  <c r="L567" s="1"/>
  <c r="J568"/>
  <c r="J569"/>
  <c r="L569" s="1"/>
  <c r="J570"/>
  <c r="L570" s="1"/>
  <c r="J571"/>
  <c r="J572"/>
  <c r="J3"/>
  <c r="L3" s="1"/>
  <c r="H4"/>
  <c r="Y4" s="1"/>
  <c r="H5"/>
  <c r="Y5" s="1"/>
  <c r="H6"/>
  <c r="H7"/>
  <c r="Y7" s="1"/>
  <c r="H8"/>
  <c r="Y8" s="1"/>
  <c r="H9"/>
  <c r="Y9" s="1"/>
  <c r="H10"/>
  <c r="Y10" s="1"/>
  <c r="H11"/>
  <c r="Y11" s="1"/>
  <c r="H12"/>
  <c r="Y12" s="1"/>
  <c r="H13"/>
  <c r="Y13" s="1"/>
  <c r="H14"/>
  <c r="Y14" s="1"/>
  <c r="H15"/>
  <c r="Y15" s="1"/>
  <c r="H16"/>
  <c r="Y16" s="1"/>
  <c r="H17"/>
  <c r="Y17" s="1"/>
  <c r="H18"/>
  <c r="Y18" s="1"/>
  <c r="H19"/>
  <c r="Y19" s="1"/>
  <c r="H20"/>
  <c r="Y20" s="1"/>
  <c r="H21"/>
  <c r="Y21" s="1"/>
  <c r="H22"/>
  <c r="Y22" s="1"/>
  <c r="H23"/>
  <c r="Y23" s="1"/>
  <c r="H24"/>
  <c r="Y24" s="1"/>
  <c r="H25"/>
  <c r="Y25" s="1"/>
  <c r="H26"/>
  <c r="Y26" s="1"/>
  <c r="H27"/>
  <c r="Y27" s="1"/>
  <c r="H28"/>
  <c r="Y28" s="1"/>
  <c r="H29"/>
  <c r="Y29" s="1"/>
  <c r="H30"/>
  <c r="Y30" s="1"/>
  <c r="H31"/>
  <c r="Y31" s="1"/>
  <c r="H32"/>
  <c r="Y32" s="1"/>
  <c r="H33"/>
  <c r="Y33" s="1"/>
  <c r="H34"/>
  <c r="Y34" s="1"/>
  <c r="H35"/>
  <c r="Y35" s="1"/>
  <c r="H36"/>
  <c r="Y36" s="1"/>
  <c r="H37"/>
  <c r="Y37" s="1"/>
  <c r="H38"/>
  <c r="Y38" s="1"/>
  <c r="H39"/>
  <c r="Y39" s="1"/>
  <c r="H40"/>
  <c r="Y40" s="1"/>
  <c r="H41"/>
  <c r="Y41" s="1"/>
  <c r="H42"/>
  <c r="Y42" s="1"/>
  <c r="H43"/>
  <c r="Y43" s="1"/>
  <c r="H44"/>
  <c r="Y44" s="1"/>
  <c r="H45"/>
  <c r="Y45" s="1"/>
  <c r="H46"/>
  <c r="Y46" s="1"/>
  <c r="H47"/>
  <c r="Y47" s="1"/>
  <c r="H48"/>
  <c r="Y48" s="1"/>
  <c r="H49"/>
  <c r="Y49" s="1"/>
  <c r="H50"/>
  <c r="Y50" s="1"/>
  <c r="H51"/>
  <c r="Y51" s="1"/>
  <c r="H52"/>
  <c r="Y52" s="1"/>
  <c r="H53"/>
  <c r="Y53" s="1"/>
  <c r="H54"/>
  <c r="Y54" s="1"/>
  <c r="H55"/>
  <c r="Y55" s="1"/>
  <c r="H56"/>
  <c r="Y56" s="1"/>
  <c r="H57"/>
  <c r="Y57" s="1"/>
  <c r="H58"/>
  <c r="Y58" s="1"/>
  <c r="H59"/>
  <c r="Y59" s="1"/>
  <c r="H60"/>
  <c r="Y60" s="1"/>
  <c r="H61"/>
  <c r="Y61" s="1"/>
  <c r="H62"/>
  <c r="Y62" s="1"/>
  <c r="H63"/>
  <c r="Y63" s="1"/>
  <c r="H64"/>
  <c r="Y64" s="1"/>
  <c r="H65"/>
  <c r="Y65" s="1"/>
  <c r="H66"/>
  <c r="Y66" s="1"/>
  <c r="H67"/>
  <c r="Y67" s="1"/>
  <c r="H68"/>
  <c r="Y68" s="1"/>
  <c r="H69"/>
  <c r="Y69" s="1"/>
  <c r="H70"/>
  <c r="Y70" s="1"/>
  <c r="H71"/>
  <c r="Y71" s="1"/>
  <c r="H72"/>
  <c r="Y72" s="1"/>
  <c r="H73"/>
  <c r="Y73" s="1"/>
  <c r="H74"/>
  <c r="Y74" s="1"/>
  <c r="H75"/>
  <c r="Y75" s="1"/>
  <c r="H76"/>
  <c r="Y76" s="1"/>
  <c r="H77"/>
  <c r="Y77" s="1"/>
  <c r="H78"/>
  <c r="Y78" s="1"/>
  <c r="H79"/>
  <c r="Y79" s="1"/>
  <c r="H80"/>
  <c r="Y80" s="1"/>
  <c r="H81"/>
  <c r="Y81" s="1"/>
  <c r="H82"/>
  <c r="Y82" s="1"/>
  <c r="H83"/>
  <c r="Y83" s="1"/>
  <c r="H84"/>
  <c r="Y84" s="1"/>
  <c r="H85"/>
  <c r="Y85" s="1"/>
  <c r="H86"/>
  <c r="Y86" s="1"/>
  <c r="H87"/>
  <c r="Y87" s="1"/>
  <c r="H88"/>
  <c r="Y88" s="1"/>
  <c r="H89"/>
  <c r="Y89" s="1"/>
  <c r="H90"/>
  <c r="Y90" s="1"/>
  <c r="H91"/>
  <c r="Y91" s="1"/>
  <c r="H92"/>
  <c r="Y92" s="1"/>
  <c r="H93"/>
  <c r="Y93" s="1"/>
  <c r="H94"/>
  <c r="Y94" s="1"/>
  <c r="H95"/>
  <c r="Y95" s="1"/>
  <c r="H96"/>
  <c r="Y96" s="1"/>
  <c r="H97"/>
  <c r="Y97" s="1"/>
  <c r="H98"/>
  <c r="Y98" s="1"/>
  <c r="H99"/>
  <c r="Y99" s="1"/>
  <c r="H100"/>
  <c r="Y100" s="1"/>
  <c r="H101"/>
  <c r="Y101" s="1"/>
  <c r="H102"/>
  <c r="Y102" s="1"/>
  <c r="H103"/>
  <c r="Y103" s="1"/>
  <c r="H104"/>
  <c r="Y104" s="1"/>
  <c r="H105"/>
  <c r="Y105" s="1"/>
  <c r="H106"/>
  <c r="Y106" s="1"/>
  <c r="H107"/>
  <c r="Y107" s="1"/>
  <c r="H108"/>
  <c r="Y108" s="1"/>
  <c r="H109"/>
  <c r="Y109" s="1"/>
  <c r="H110"/>
  <c r="Y110" s="1"/>
  <c r="H111"/>
  <c r="Y111" s="1"/>
  <c r="H112"/>
  <c r="Y112" s="1"/>
  <c r="H113"/>
  <c r="Y113" s="1"/>
  <c r="H114"/>
  <c r="Y114" s="1"/>
  <c r="H115"/>
  <c r="Y115" s="1"/>
  <c r="H116"/>
  <c r="Y116" s="1"/>
  <c r="H117"/>
  <c r="Y117" s="1"/>
  <c r="H118"/>
  <c r="Y118" s="1"/>
  <c r="H119"/>
  <c r="Y119" s="1"/>
  <c r="H120"/>
  <c r="Y120" s="1"/>
  <c r="H121"/>
  <c r="Y121" s="1"/>
  <c r="H122"/>
  <c r="Y122" s="1"/>
  <c r="H123"/>
  <c r="Y123" s="1"/>
  <c r="H124"/>
  <c r="Y124" s="1"/>
  <c r="H125"/>
  <c r="Y125" s="1"/>
  <c r="H126"/>
  <c r="Y126" s="1"/>
  <c r="H127"/>
  <c r="Y127" s="1"/>
  <c r="H128"/>
  <c r="Y128" s="1"/>
  <c r="H129"/>
  <c r="Y129" s="1"/>
  <c r="H130"/>
  <c r="Y130" s="1"/>
  <c r="H131"/>
  <c r="Y131" s="1"/>
  <c r="H132"/>
  <c r="Y132" s="1"/>
  <c r="H133"/>
  <c r="Y133" s="1"/>
  <c r="H134"/>
  <c r="Y134" s="1"/>
  <c r="H135"/>
  <c r="Y135" s="1"/>
  <c r="H136"/>
  <c r="Y136" s="1"/>
  <c r="H137"/>
  <c r="Y137" s="1"/>
  <c r="H138"/>
  <c r="Y138" s="1"/>
  <c r="H139"/>
  <c r="Y139" s="1"/>
  <c r="H140"/>
  <c r="Y140" s="1"/>
  <c r="H141"/>
  <c r="Y141" s="1"/>
  <c r="H142"/>
  <c r="Y142" s="1"/>
  <c r="H143"/>
  <c r="Y143" s="1"/>
  <c r="H144"/>
  <c r="Y144" s="1"/>
  <c r="H145"/>
  <c r="Y145" s="1"/>
  <c r="H146"/>
  <c r="Y146" s="1"/>
  <c r="H147"/>
  <c r="Y147" s="1"/>
  <c r="H148"/>
  <c r="Y148" s="1"/>
  <c r="H149"/>
  <c r="Y149" s="1"/>
  <c r="H150"/>
  <c r="Y150" s="1"/>
  <c r="H151"/>
  <c r="Y151" s="1"/>
  <c r="H152"/>
  <c r="Y152" s="1"/>
  <c r="H153"/>
  <c r="Y153" s="1"/>
  <c r="H154"/>
  <c r="Y154" s="1"/>
  <c r="H155"/>
  <c r="Y155" s="1"/>
  <c r="H156"/>
  <c r="Y156" s="1"/>
  <c r="H157"/>
  <c r="Y157" s="1"/>
  <c r="H158"/>
  <c r="Y158" s="1"/>
  <c r="H159"/>
  <c r="Y159" s="1"/>
  <c r="H160"/>
  <c r="Y160" s="1"/>
  <c r="H161"/>
  <c r="Y161" s="1"/>
  <c r="H162"/>
  <c r="Y162" s="1"/>
  <c r="H163"/>
  <c r="Y163" s="1"/>
  <c r="H164"/>
  <c r="Y164" s="1"/>
  <c r="H165"/>
  <c r="Y165" s="1"/>
  <c r="H166"/>
  <c r="Y166" s="1"/>
  <c r="H167"/>
  <c r="Y167" s="1"/>
  <c r="H168"/>
  <c r="Y168" s="1"/>
  <c r="H169"/>
  <c r="Y169" s="1"/>
  <c r="H170"/>
  <c r="Y170" s="1"/>
  <c r="H171"/>
  <c r="Y171" s="1"/>
  <c r="H172"/>
  <c r="Y172" s="1"/>
  <c r="H173"/>
  <c r="Y173" s="1"/>
  <c r="H174"/>
  <c r="Y174" s="1"/>
  <c r="H175"/>
  <c r="Y175" s="1"/>
  <c r="H176"/>
  <c r="Y176" s="1"/>
  <c r="H177"/>
  <c r="Y177" s="1"/>
  <c r="H178"/>
  <c r="Y178" s="1"/>
  <c r="H179"/>
  <c r="Y179" s="1"/>
  <c r="H180"/>
  <c r="Y180" s="1"/>
  <c r="H181"/>
  <c r="Y181" s="1"/>
  <c r="H182"/>
  <c r="Y182" s="1"/>
  <c r="H183"/>
  <c r="Y183" s="1"/>
  <c r="H184"/>
  <c r="Y184" s="1"/>
  <c r="H185"/>
  <c r="Y185" s="1"/>
  <c r="H186"/>
  <c r="Y186" s="1"/>
  <c r="H187"/>
  <c r="Y187" s="1"/>
  <c r="H188"/>
  <c r="Y188" s="1"/>
  <c r="H189"/>
  <c r="Y189" s="1"/>
  <c r="H190"/>
  <c r="Y190" s="1"/>
  <c r="H191"/>
  <c r="Y191" s="1"/>
  <c r="H192"/>
  <c r="Y192" s="1"/>
  <c r="H193"/>
  <c r="Y193" s="1"/>
  <c r="H194"/>
  <c r="Y194" s="1"/>
  <c r="H195"/>
  <c r="Y195" s="1"/>
  <c r="H196"/>
  <c r="Y196" s="1"/>
  <c r="H197"/>
  <c r="Y197" s="1"/>
  <c r="H198"/>
  <c r="Y198" s="1"/>
  <c r="H199"/>
  <c r="Y199" s="1"/>
  <c r="H200"/>
  <c r="Y200" s="1"/>
  <c r="H201"/>
  <c r="Y201" s="1"/>
  <c r="H202"/>
  <c r="Y202" s="1"/>
  <c r="H203"/>
  <c r="Y203" s="1"/>
  <c r="H204"/>
  <c r="Y204" s="1"/>
  <c r="H205"/>
  <c r="Y205" s="1"/>
  <c r="H206"/>
  <c r="Y206" s="1"/>
  <c r="H207"/>
  <c r="Y207" s="1"/>
  <c r="H208"/>
  <c r="Y208" s="1"/>
  <c r="H209"/>
  <c r="Y209" s="1"/>
  <c r="H210"/>
  <c r="Y210" s="1"/>
  <c r="H211"/>
  <c r="Y211" s="1"/>
  <c r="H212"/>
  <c r="Y212" s="1"/>
  <c r="H213"/>
  <c r="Y213" s="1"/>
  <c r="H214"/>
  <c r="Y214" s="1"/>
  <c r="H215"/>
  <c r="Y215" s="1"/>
  <c r="H216"/>
  <c r="Y216" s="1"/>
  <c r="H217"/>
  <c r="Y217" s="1"/>
  <c r="H218"/>
  <c r="Y218" s="1"/>
  <c r="H219"/>
  <c r="Y219" s="1"/>
  <c r="H220"/>
  <c r="Y220" s="1"/>
  <c r="H221"/>
  <c r="Y221" s="1"/>
  <c r="H222"/>
  <c r="Y222" s="1"/>
  <c r="H223"/>
  <c r="Y223" s="1"/>
  <c r="H224"/>
  <c r="Y224" s="1"/>
  <c r="H225"/>
  <c r="Y225" s="1"/>
  <c r="H226"/>
  <c r="Y226" s="1"/>
  <c r="H227"/>
  <c r="Y227" s="1"/>
  <c r="H228"/>
  <c r="Y228" s="1"/>
  <c r="H229"/>
  <c r="Y229" s="1"/>
  <c r="H230"/>
  <c r="Y230" s="1"/>
  <c r="H231"/>
  <c r="Y231" s="1"/>
  <c r="H232"/>
  <c r="Y232" s="1"/>
  <c r="H233"/>
  <c r="Y233" s="1"/>
  <c r="H234"/>
  <c r="Y234" s="1"/>
  <c r="H235"/>
  <c r="Y235" s="1"/>
  <c r="H236"/>
  <c r="Y236" s="1"/>
  <c r="H237"/>
  <c r="Y237" s="1"/>
  <c r="H238"/>
  <c r="Y238" s="1"/>
  <c r="H239"/>
  <c r="Y239" s="1"/>
  <c r="H240"/>
  <c r="Y240" s="1"/>
  <c r="H241"/>
  <c r="Y241" s="1"/>
  <c r="H242"/>
  <c r="Y242" s="1"/>
  <c r="H243"/>
  <c r="Y243" s="1"/>
  <c r="H244"/>
  <c r="Y244" s="1"/>
  <c r="H245"/>
  <c r="Y245" s="1"/>
  <c r="H246"/>
  <c r="Y246" s="1"/>
  <c r="H247"/>
  <c r="Y247" s="1"/>
  <c r="H248"/>
  <c r="Y248" s="1"/>
  <c r="H249"/>
  <c r="Y249" s="1"/>
  <c r="H250"/>
  <c r="Y250" s="1"/>
  <c r="H251"/>
  <c r="Y251" s="1"/>
  <c r="H252"/>
  <c r="Y252" s="1"/>
  <c r="H253"/>
  <c r="Y253" s="1"/>
  <c r="H254"/>
  <c r="Y254" s="1"/>
  <c r="H255"/>
  <c r="Y255" s="1"/>
  <c r="H256"/>
  <c r="Y256" s="1"/>
  <c r="H257"/>
  <c r="Y257" s="1"/>
  <c r="H258"/>
  <c r="Y258" s="1"/>
  <c r="H259"/>
  <c r="Y259" s="1"/>
  <c r="H260"/>
  <c r="Y260" s="1"/>
  <c r="H261"/>
  <c r="Y261" s="1"/>
  <c r="H262"/>
  <c r="Y262" s="1"/>
  <c r="H263"/>
  <c r="Y263" s="1"/>
  <c r="H264"/>
  <c r="Y264" s="1"/>
  <c r="H265"/>
  <c r="Y265" s="1"/>
  <c r="H266"/>
  <c r="Y266" s="1"/>
  <c r="H267"/>
  <c r="Y267" s="1"/>
  <c r="H268"/>
  <c r="Y268" s="1"/>
  <c r="H269"/>
  <c r="Y269" s="1"/>
  <c r="H270"/>
  <c r="Y270" s="1"/>
  <c r="H271"/>
  <c r="Y271" s="1"/>
  <c r="H272"/>
  <c r="Y272" s="1"/>
  <c r="H273"/>
  <c r="Y273" s="1"/>
  <c r="H274"/>
  <c r="Y274" s="1"/>
  <c r="H275"/>
  <c r="Y275" s="1"/>
  <c r="H276"/>
  <c r="Y276" s="1"/>
  <c r="H277"/>
  <c r="Y277" s="1"/>
  <c r="H278"/>
  <c r="Y278" s="1"/>
  <c r="H279"/>
  <c r="Y279" s="1"/>
  <c r="H280"/>
  <c r="Y280" s="1"/>
  <c r="H281"/>
  <c r="Y281" s="1"/>
  <c r="H282"/>
  <c r="Y282" s="1"/>
  <c r="H283"/>
  <c r="Y283" s="1"/>
  <c r="H284"/>
  <c r="Y284" s="1"/>
  <c r="H285"/>
  <c r="Y285" s="1"/>
  <c r="H286"/>
  <c r="Y286" s="1"/>
  <c r="H287"/>
  <c r="Y287" s="1"/>
  <c r="H288"/>
  <c r="Y288" s="1"/>
  <c r="H289"/>
  <c r="Y289" s="1"/>
  <c r="H290"/>
  <c r="Y290" s="1"/>
  <c r="H291"/>
  <c r="Y291" s="1"/>
  <c r="H292"/>
  <c r="Y292" s="1"/>
  <c r="H293"/>
  <c r="Y293" s="1"/>
  <c r="H294"/>
  <c r="Y294" s="1"/>
  <c r="H295"/>
  <c r="Y295" s="1"/>
  <c r="H296"/>
  <c r="Y296" s="1"/>
  <c r="H297"/>
  <c r="Y297" s="1"/>
  <c r="H298"/>
  <c r="Y298" s="1"/>
  <c r="H299"/>
  <c r="Y299" s="1"/>
  <c r="H300"/>
  <c r="Y300" s="1"/>
  <c r="H301"/>
  <c r="Y301" s="1"/>
  <c r="H302"/>
  <c r="Y302" s="1"/>
  <c r="H303"/>
  <c r="Y303" s="1"/>
  <c r="H304"/>
  <c r="Y304" s="1"/>
  <c r="H305"/>
  <c r="Y305" s="1"/>
  <c r="H306"/>
  <c r="Y306" s="1"/>
  <c r="H307"/>
  <c r="Y307" s="1"/>
  <c r="H308"/>
  <c r="Y308" s="1"/>
  <c r="H309"/>
  <c r="Y309" s="1"/>
  <c r="H310"/>
  <c r="Y310" s="1"/>
  <c r="H311"/>
  <c r="Y311" s="1"/>
  <c r="H312"/>
  <c r="Y312" s="1"/>
  <c r="H313"/>
  <c r="Y313" s="1"/>
  <c r="H314"/>
  <c r="Y314" s="1"/>
  <c r="H315"/>
  <c r="Y315" s="1"/>
  <c r="H316"/>
  <c r="Y316" s="1"/>
  <c r="H317"/>
  <c r="Y317" s="1"/>
  <c r="H318"/>
  <c r="Y318" s="1"/>
  <c r="H319"/>
  <c r="Y319" s="1"/>
  <c r="H320"/>
  <c r="Y320" s="1"/>
  <c r="H321"/>
  <c r="Y321" s="1"/>
  <c r="H322"/>
  <c r="Y322" s="1"/>
  <c r="H323"/>
  <c r="Y323" s="1"/>
  <c r="H324"/>
  <c r="Y324" s="1"/>
  <c r="H325"/>
  <c r="Y325" s="1"/>
  <c r="H326"/>
  <c r="Y326" s="1"/>
  <c r="H327"/>
  <c r="Y327" s="1"/>
  <c r="H328"/>
  <c r="Y328" s="1"/>
  <c r="H329"/>
  <c r="Y329" s="1"/>
  <c r="H330"/>
  <c r="Y330" s="1"/>
  <c r="H331"/>
  <c r="Y331" s="1"/>
  <c r="H332"/>
  <c r="Y332" s="1"/>
  <c r="H333"/>
  <c r="Y333" s="1"/>
  <c r="H334"/>
  <c r="Y334" s="1"/>
  <c r="H335"/>
  <c r="Y335" s="1"/>
  <c r="H336"/>
  <c r="Y336" s="1"/>
  <c r="H337"/>
  <c r="Y337" s="1"/>
  <c r="H338"/>
  <c r="Y338" s="1"/>
  <c r="H339"/>
  <c r="Y339" s="1"/>
  <c r="H340"/>
  <c r="Y340" s="1"/>
  <c r="H341"/>
  <c r="Y341" s="1"/>
  <c r="H342"/>
  <c r="Y342" s="1"/>
  <c r="H343"/>
  <c r="Y343" s="1"/>
  <c r="H344"/>
  <c r="Y344" s="1"/>
  <c r="H345"/>
  <c r="Y345" s="1"/>
  <c r="H346"/>
  <c r="Y346" s="1"/>
  <c r="H347"/>
  <c r="Y347" s="1"/>
  <c r="H348"/>
  <c r="Y348" s="1"/>
  <c r="H349"/>
  <c r="Y349" s="1"/>
  <c r="H350"/>
  <c r="Y350" s="1"/>
  <c r="H351"/>
  <c r="Y351" s="1"/>
  <c r="H352"/>
  <c r="Y352" s="1"/>
  <c r="H353"/>
  <c r="Y353" s="1"/>
  <c r="H354"/>
  <c r="Y354" s="1"/>
  <c r="H355"/>
  <c r="Y355" s="1"/>
  <c r="H356"/>
  <c r="Y356" s="1"/>
  <c r="H357"/>
  <c r="Y357" s="1"/>
  <c r="H358"/>
  <c r="Y358" s="1"/>
  <c r="H359"/>
  <c r="Y359" s="1"/>
  <c r="H360"/>
  <c r="Y360" s="1"/>
  <c r="H361"/>
  <c r="Y361" s="1"/>
  <c r="H362"/>
  <c r="Y362" s="1"/>
  <c r="H363"/>
  <c r="Y363" s="1"/>
  <c r="H364"/>
  <c r="Y364" s="1"/>
  <c r="H365"/>
  <c r="Y365" s="1"/>
  <c r="H366"/>
  <c r="Y366" s="1"/>
  <c r="H367"/>
  <c r="Y367" s="1"/>
  <c r="H368"/>
  <c r="Y368" s="1"/>
  <c r="H369"/>
  <c r="Y369" s="1"/>
  <c r="H370"/>
  <c r="Y370" s="1"/>
  <c r="H371"/>
  <c r="Y371" s="1"/>
  <c r="H372"/>
  <c r="Y372" s="1"/>
  <c r="H373"/>
  <c r="Y373" s="1"/>
  <c r="H374"/>
  <c r="Y374" s="1"/>
  <c r="H375"/>
  <c r="Y375" s="1"/>
  <c r="H376"/>
  <c r="Y376" s="1"/>
  <c r="H377"/>
  <c r="Y377" s="1"/>
  <c r="H378"/>
  <c r="Y378" s="1"/>
  <c r="H379"/>
  <c r="Y379" s="1"/>
  <c r="H380"/>
  <c r="Y380" s="1"/>
  <c r="H381"/>
  <c r="Y381" s="1"/>
  <c r="H382"/>
  <c r="Y382" s="1"/>
  <c r="H383"/>
  <c r="Y383" s="1"/>
  <c r="H384"/>
  <c r="Y384" s="1"/>
  <c r="H385"/>
  <c r="Y385" s="1"/>
  <c r="H386"/>
  <c r="Y386" s="1"/>
  <c r="H387"/>
  <c r="Y387" s="1"/>
  <c r="H388"/>
  <c r="Y388" s="1"/>
  <c r="H389"/>
  <c r="Y389" s="1"/>
  <c r="H390"/>
  <c r="Y390" s="1"/>
  <c r="H391"/>
  <c r="Y391" s="1"/>
  <c r="H392"/>
  <c r="Y392" s="1"/>
  <c r="H393"/>
  <c r="Y393" s="1"/>
  <c r="H394"/>
  <c r="Y394" s="1"/>
  <c r="H395"/>
  <c r="Y395" s="1"/>
  <c r="H396"/>
  <c r="Y396" s="1"/>
  <c r="H397"/>
  <c r="Y397" s="1"/>
  <c r="H398"/>
  <c r="Y398" s="1"/>
  <c r="H399"/>
  <c r="Y399" s="1"/>
  <c r="H400"/>
  <c r="Y400" s="1"/>
  <c r="H401"/>
  <c r="Y401" s="1"/>
  <c r="H402"/>
  <c r="Y402" s="1"/>
  <c r="H403"/>
  <c r="Y403" s="1"/>
  <c r="H404"/>
  <c r="Y404" s="1"/>
  <c r="H405"/>
  <c r="Y405" s="1"/>
  <c r="H406"/>
  <c r="Y406" s="1"/>
  <c r="H407"/>
  <c r="Y407" s="1"/>
  <c r="H408"/>
  <c r="Y408" s="1"/>
  <c r="H409"/>
  <c r="Y409" s="1"/>
  <c r="H410"/>
  <c r="Y410" s="1"/>
  <c r="H411"/>
  <c r="Y411" s="1"/>
  <c r="H412"/>
  <c r="Y412" s="1"/>
  <c r="H413"/>
  <c r="Y413" s="1"/>
  <c r="H414"/>
  <c r="Y414" s="1"/>
  <c r="H415"/>
  <c r="Y415" s="1"/>
  <c r="H416"/>
  <c r="Y416" s="1"/>
  <c r="H417"/>
  <c r="Y417" s="1"/>
  <c r="H418"/>
  <c r="Y418" s="1"/>
  <c r="H419"/>
  <c r="Y419" s="1"/>
  <c r="H420"/>
  <c r="Y420" s="1"/>
  <c r="H421"/>
  <c r="Y421" s="1"/>
  <c r="H422"/>
  <c r="Y422" s="1"/>
  <c r="H423"/>
  <c r="Y423" s="1"/>
  <c r="H424"/>
  <c r="Y424" s="1"/>
  <c r="H425"/>
  <c r="Y425" s="1"/>
  <c r="H426"/>
  <c r="Y426" s="1"/>
  <c r="H427"/>
  <c r="Y427" s="1"/>
  <c r="H428"/>
  <c r="Y428" s="1"/>
  <c r="H429"/>
  <c r="Y429" s="1"/>
  <c r="H430"/>
  <c r="Y430" s="1"/>
  <c r="H431"/>
  <c r="Y431" s="1"/>
  <c r="H432"/>
  <c r="Y432" s="1"/>
  <c r="H433"/>
  <c r="Y433" s="1"/>
  <c r="H434"/>
  <c r="Y434" s="1"/>
  <c r="H435"/>
  <c r="Y435" s="1"/>
  <c r="H436"/>
  <c r="Y436" s="1"/>
  <c r="H437"/>
  <c r="Y437" s="1"/>
  <c r="H438"/>
  <c r="Y438" s="1"/>
  <c r="H439"/>
  <c r="Y439" s="1"/>
  <c r="H440"/>
  <c r="Y440" s="1"/>
  <c r="H441"/>
  <c r="Y441" s="1"/>
  <c r="H442"/>
  <c r="Y442" s="1"/>
  <c r="H443"/>
  <c r="Y443" s="1"/>
  <c r="H444"/>
  <c r="Y444" s="1"/>
  <c r="H445"/>
  <c r="Y445" s="1"/>
  <c r="H446"/>
  <c r="Y446" s="1"/>
  <c r="H447"/>
  <c r="Y447" s="1"/>
  <c r="H448"/>
  <c r="Y448" s="1"/>
  <c r="H449"/>
  <c r="Y449" s="1"/>
  <c r="H450"/>
  <c r="Y450" s="1"/>
  <c r="H451"/>
  <c r="Y451" s="1"/>
  <c r="H452"/>
  <c r="Y452" s="1"/>
  <c r="H453"/>
  <c r="Y453" s="1"/>
  <c r="H454"/>
  <c r="Y454" s="1"/>
  <c r="H455"/>
  <c r="Y455" s="1"/>
  <c r="H456"/>
  <c r="Y456" s="1"/>
  <c r="H457"/>
  <c r="Y457" s="1"/>
  <c r="H458"/>
  <c r="Y458" s="1"/>
  <c r="H459"/>
  <c r="Y459" s="1"/>
  <c r="H460"/>
  <c r="Y460" s="1"/>
  <c r="H461"/>
  <c r="Y461" s="1"/>
  <c r="H462"/>
  <c r="Y462" s="1"/>
  <c r="H463"/>
  <c r="Y463" s="1"/>
  <c r="H464"/>
  <c r="Y464" s="1"/>
  <c r="H465"/>
  <c r="Y465" s="1"/>
  <c r="H466"/>
  <c r="Y466" s="1"/>
  <c r="H467"/>
  <c r="Y467" s="1"/>
  <c r="H468"/>
  <c r="Y468" s="1"/>
  <c r="H469"/>
  <c r="Y469" s="1"/>
  <c r="H470"/>
  <c r="Y470" s="1"/>
  <c r="H471"/>
  <c r="Y471" s="1"/>
  <c r="H472"/>
  <c r="Y472" s="1"/>
  <c r="H473"/>
  <c r="Y473" s="1"/>
  <c r="H474"/>
  <c r="Y474" s="1"/>
  <c r="H475"/>
  <c r="Y475" s="1"/>
  <c r="H476"/>
  <c r="Y476" s="1"/>
  <c r="H477"/>
  <c r="Y477" s="1"/>
  <c r="H478"/>
  <c r="Y478" s="1"/>
  <c r="H479"/>
  <c r="Y479" s="1"/>
  <c r="H480"/>
  <c r="Y480" s="1"/>
  <c r="H481"/>
  <c r="Y481" s="1"/>
  <c r="H482"/>
  <c r="Y482" s="1"/>
  <c r="H483"/>
  <c r="Y483" s="1"/>
  <c r="H484"/>
  <c r="Y484" s="1"/>
  <c r="H485"/>
  <c r="Y485" s="1"/>
  <c r="H486"/>
  <c r="Y486" s="1"/>
  <c r="H487"/>
  <c r="Y487" s="1"/>
  <c r="H488"/>
  <c r="Y488" s="1"/>
  <c r="H489"/>
  <c r="Y489" s="1"/>
  <c r="H490"/>
  <c r="Y490" s="1"/>
  <c r="H491"/>
  <c r="Y491" s="1"/>
  <c r="H492"/>
  <c r="Y492" s="1"/>
  <c r="H493"/>
  <c r="Y493" s="1"/>
  <c r="H494"/>
  <c r="Y494" s="1"/>
  <c r="H495"/>
  <c r="Y495" s="1"/>
  <c r="H496"/>
  <c r="Y496" s="1"/>
  <c r="H497"/>
  <c r="Y497" s="1"/>
  <c r="H498"/>
  <c r="Y498" s="1"/>
  <c r="H499"/>
  <c r="Y499" s="1"/>
  <c r="H500"/>
  <c r="Y500" s="1"/>
  <c r="H501"/>
  <c r="Y501" s="1"/>
  <c r="H502"/>
  <c r="Y502" s="1"/>
  <c r="H503"/>
  <c r="Y503" s="1"/>
  <c r="H504"/>
  <c r="Y504" s="1"/>
  <c r="H505"/>
  <c r="Y505" s="1"/>
  <c r="H506"/>
  <c r="Y506" s="1"/>
  <c r="H507"/>
  <c r="Y507" s="1"/>
  <c r="H508"/>
  <c r="Y508" s="1"/>
  <c r="H509"/>
  <c r="Y509" s="1"/>
  <c r="H510"/>
  <c r="Y510" s="1"/>
  <c r="H511"/>
  <c r="Y511" s="1"/>
  <c r="H512"/>
  <c r="Y512" s="1"/>
  <c r="H513"/>
  <c r="Y513" s="1"/>
  <c r="H514"/>
  <c r="Y514" s="1"/>
  <c r="H515"/>
  <c r="Y515" s="1"/>
  <c r="H516"/>
  <c r="Y516" s="1"/>
  <c r="H517"/>
  <c r="Y517" s="1"/>
  <c r="H518"/>
  <c r="Y518" s="1"/>
  <c r="H519"/>
  <c r="Y519" s="1"/>
  <c r="H520"/>
  <c r="Y520" s="1"/>
  <c r="H521"/>
  <c r="Y521" s="1"/>
  <c r="H522"/>
  <c r="Y522" s="1"/>
  <c r="H523"/>
  <c r="Y523" s="1"/>
  <c r="H524"/>
  <c r="Y524" s="1"/>
  <c r="H525"/>
  <c r="Y525" s="1"/>
  <c r="H526"/>
  <c r="Y526" s="1"/>
  <c r="H527"/>
  <c r="Y527" s="1"/>
  <c r="H528"/>
  <c r="Y528" s="1"/>
  <c r="H529"/>
  <c r="Y529" s="1"/>
  <c r="H530"/>
  <c r="Y530" s="1"/>
  <c r="H531"/>
  <c r="Y531" s="1"/>
  <c r="H532"/>
  <c r="Y532" s="1"/>
  <c r="H533"/>
  <c r="Y533" s="1"/>
  <c r="H534"/>
  <c r="Y534" s="1"/>
  <c r="H535"/>
  <c r="Y535" s="1"/>
  <c r="H536"/>
  <c r="Y536" s="1"/>
  <c r="H537"/>
  <c r="Y537" s="1"/>
  <c r="H538"/>
  <c r="Y538" s="1"/>
  <c r="H539"/>
  <c r="Y539" s="1"/>
  <c r="H540"/>
  <c r="Y540" s="1"/>
  <c r="H541"/>
  <c r="Y541" s="1"/>
  <c r="H542"/>
  <c r="Y542" s="1"/>
  <c r="H543"/>
  <c r="Y543" s="1"/>
  <c r="H544"/>
  <c r="Y544" s="1"/>
  <c r="H545"/>
  <c r="Y545" s="1"/>
  <c r="H546"/>
  <c r="Y546" s="1"/>
  <c r="H547"/>
  <c r="Y547" s="1"/>
  <c r="H548"/>
  <c r="Y548" s="1"/>
  <c r="H549"/>
  <c r="Y549" s="1"/>
  <c r="H550"/>
  <c r="Y550" s="1"/>
  <c r="H551"/>
  <c r="Y551" s="1"/>
  <c r="H552"/>
  <c r="Y552" s="1"/>
  <c r="H553"/>
  <c r="Y553" s="1"/>
  <c r="H554"/>
  <c r="Y554" s="1"/>
  <c r="H555"/>
  <c r="Y555" s="1"/>
  <c r="H556"/>
  <c r="Y556" s="1"/>
  <c r="H557"/>
  <c r="Y557" s="1"/>
  <c r="H558"/>
  <c r="Y558" s="1"/>
  <c r="H559"/>
  <c r="Y559" s="1"/>
  <c r="H560"/>
  <c r="Y560" s="1"/>
  <c r="H561"/>
  <c r="Y561" s="1"/>
  <c r="H562"/>
  <c r="Y562" s="1"/>
  <c r="H563"/>
  <c r="Y563" s="1"/>
  <c r="H564"/>
  <c r="Y564" s="1"/>
  <c r="H565"/>
  <c r="Y565" s="1"/>
  <c r="H566"/>
  <c r="Y566" s="1"/>
  <c r="H567"/>
  <c r="Y567" s="1"/>
  <c r="H568"/>
  <c r="Y568" s="1"/>
  <c r="H569"/>
  <c r="Y569" s="1"/>
  <c r="H570"/>
  <c r="Y570" s="1"/>
  <c r="H571"/>
  <c r="Y571" s="1"/>
  <c r="H572"/>
  <c r="Y572" s="1"/>
  <c r="H3"/>
  <c r="Y3" s="1"/>
  <c r="G4"/>
  <c r="Z4" s="1"/>
  <c r="G5"/>
  <c r="Z5" s="1"/>
  <c r="G6"/>
  <c r="Z6" s="1"/>
  <c r="G7"/>
  <c r="Z7" s="1"/>
  <c r="G8"/>
  <c r="Z8" s="1"/>
  <c r="G9"/>
  <c r="Z9" s="1"/>
  <c r="G10"/>
  <c r="Z10" s="1"/>
  <c r="G11"/>
  <c r="Z11" s="1"/>
  <c r="G12"/>
  <c r="Z12" s="1"/>
  <c r="G13"/>
  <c r="Z13" s="1"/>
  <c r="D25" i="18" s="1"/>
  <c r="F25" s="1"/>
  <c r="G14" i="6"/>
  <c r="Z14" s="1"/>
  <c r="G15"/>
  <c r="Z15" s="1"/>
  <c r="G16"/>
  <c r="Z16" s="1"/>
  <c r="D30" i="18" s="1"/>
  <c r="F30" s="1"/>
  <c r="G17" i="6"/>
  <c r="Z17" s="1"/>
  <c r="D31" i="18" s="1"/>
  <c r="F31" s="1"/>
  <c r="G18" i="6"/>
  <c r="Z18" s="1"/>
  <c r="G19"/>
  <c r="Z19" s="1"/>
  <c r="G20"/>
  <c r="Z20" s="1"/>
  <c r="G21"/>
  <c r="Z21" s="1"/>
  <c r="G22"/>
  <c r="Z22" s="1"/>
  <c r="G23"/>
  <c r="Z23" s="1"/>
  <c r="G24"/>
  <c r="Z24" s="1"/>
  <c r="G25"/>
  <c r="Z25" s="1"/>
  <c r="G26"/>
  <c r="Z26" s="1"/>
  <c r="G27"/>
  <c r="Z27" s="1"/>
  <c r="G28"/>
  <c r="Z28" s="1"/>
  <c r="G29"/>
  <c r="Z29" s="1"/>
  <c r="G30"/>
  <c r="Z30" s="1"/>
  <c r="G31"/>
  <c r="Z31" s="1"/>
  <c r="G32"/>
  <c r="Z32" s="1"/>
  <c r="G33"/>
  <c r="Z33" s="1"/>
  <c r="G34"/>
  <c r="Z34" s="1"/>
  <c r="G35"/>
  <c r="Z35" s="1"/>
  <c r="G36"/>
  <c r="Z36" s="1"/>
  <c r="G37"/>
  <c r="Z37" s="1"/>
  <c r="G38"/>
  <c r="Z38" s="1"/>
  <c r="G39"/>
  <c r="Z39" s="1"/>
  <c r="G40"/>
  <c r="Z40" s="1"/>
  <c r="G41"/>
  <c r="Z41" s="1"/>
  <c r="G42"/>
  <c r="Z42" s="1"/>
  <c r="G43"/>
  <c r="Z43" s="1"/>
  <c r="G44"/>
  <c r="Z44" s="1"/>
  <c r="G45"/>
  <c r="Z45" s="1"/>
  <c r="G46"/>
  <c r="Z46" s="1"/>
  <c r="G47"/>
  <c r="Z47" s="1"/>
  <c r="G48"/>
  <c r="Z48" s="1"/>
  <c r="G49"/>
  <c r="Z49" s="1"/>
  <c r="G50"/>
  <c r="Z50" s="1"/>
  <c r="G51"/>
  <c r="Z51" s="1"/>
  <c r="G52"/>
  <c r="Z52" s="1"/>
  <c r="G53"/>
  <c r="Z53" s="1"/>
  <c r="G54"/>
  <c r="Z54" s="1"/>
  <c r="G55"/>
  <c r="Z55" s="1"/>
  <c r="G56"/>
  <c r="Z56" s="1"/>
  <c r="G57"/>
  <c r="Z57" s="1"/>
  <c r="G58"/>
  <c r="Z58" s="1"/>
  <c r="G59"/>
  <c r="Z59" s="1"/>
  <c r="G60"/>
  <c r="Z60" s="1"/>
  <c r="G61"/>
  <c r="Z61" s="1"/>
  <c r="Z62"/>
  <c r="G63"/>
  <c r="Z63" s="1"/>
  <c r="G64"/>
  <c r="Z64" s="1"/>
  <c r="G65"/>
  <c r="Z65" s="1"/>
  <c r="G66"/>
  <c r="Z66" s="1"/>
  <c r="G67"/>
  <c r="Z67" s="1"/>
  <c r="G68"/>
  <c r="Z68" s="1"/>
  <c r="G69"/>
  <c r="Z69" s="1"/>
  <c r="G70"/>
  <c r="Z70" s="1"/>
  <c r="G71"/>
  <c r="Z71" s="1"/>
  <c r="G72"/>
  <c r="Z72" s="1"/>
  <c r="G73"/>
  <c r="Z73" s="1"/>
  <c r="G74"/>
  <c r="Z74" s="1"/>
  <c r="G75"/>
  <c r="Z75" s="1"/>
  <c r="G76"/>
  <c r="Z76" s="1"/>
  <c r="G77"/>
  <c r="Z77" s="1"/>
  <c r="G78"/>
  <c r="Z78" s="1"/>
  <c r="G79"/>
  <c r="Z79" s="1"/>
  <c r="G80"/>
  <c r="Z80" s="1"/>
  <c r="G81"/>
  <c r="Z81" s="1"/>
  <c r="G82"/>
  <c r="Z82" s="1"/>
  <c r="G83"/>
  <c r="Z83" s="1"/>
  <c r="G84"/>
  <c r="Z84" s="1"/>
  <c r="G85"/>
  <c r="Z85" s="1"/>
  <c r="G86"/>
  <c r="Z86" s="1"/>
  <c r="G87"/>
  <c r="Z87" s="1"/>
  <c r="G88"/>
  <c r="Z88" s="1"/>
  <c r="G89"/>
  <c r="Z89" s="1"/>
  <c r="G90"/>
  <c r="Z90" s="1"/>
  <c r="G91"/>
  <c r="Z91" s="1"/>
  <c r="G92"/>
  <c r="Z92" s="1"/>
  <c r="G93"/>
  <c r="Z93" s="1"/>
  <c r="G94"/>
  <c r="Z94" s="1"/>
  <c r="G95"/>
  <c r="Z95" s="1"/>
  <c r="G96"/>
  <c r="Z96" s="1"/>
  <c r="G97"/>
  <c r="Z97" s="1"/>
  <c r="G98"/>
  <c r="Z98" s="1"/>
  <c r="G99"/>
  <c r="Z99" s="1"/>
  <c r="G100"/>
  <c r="Z100" s="1"/>
  <c r="G101"/>
  <c r="Z101" s="1"/>
  <c r="G102"/>
  <c r="Z102" s="1"/>
  <c r="G103"/>
  <c r="Z103" s="1"/>
  <c r="G104"/>
  <c r="Z104" s="1"/>
  <c r="G105"/>
  <c r="Z105" s="1"/>
  <c r="G106"/>
  <c r="Z106" s="1"/>
  <c r="G107"/>
  <c r="Z107" s="1"/>
  <c r="G108"/>
  <c r="Z108" s="1"/>
  <c r="G109"/>
  <c r="Z109" s="1"/>
  <c r="G110"/>
  <c r="Z110" s="1"/>
  <c r="G111"/>
  <c r="Z111" s="1"/>
  <c r="G112"/>
  <c r="Z112" s="1"/>
  <c r="G113"/>
  <c r="Z113" s="1"/>
  <c r="G114"/>
  <c r="Z114" s="1"/>
  <c r="G115"/>
  <c r="Z115" s="1"/>
  <c r="G116"/>
  <c r="Z116" s="1"/>
  <c r="G117"/>
  <c r="Z117" s="1"/>
  <c r="G118"/>
  <c r="Z118" s="1"/>
  <c r="G119"/>
  <c r="Z119" s="1"/>
  <c r="G120"/>
  <c r="Z120" s="1"/>
  <c r="G121"/>
  <c r="Z121" s="1"/>
  <c r="G122"/>
  <c r="Z122" s="1"/>
  <c r="G123"/>
  <c r="Z123" s="1"/>
  <c r="G124"/>
  <c r="Z124" s="1"/>
  <c r="G125"/>
  <c r="Z125" s="1"/>
  <c r="G126"/>
  <c r="Z126" s="1"/>
  <c r="G127"/>
  <c r="Z127" s="1"/>
  <c r="G128"/>
  <c r="Z128" s="1"/>
  <c r="G129"/>
  <c r="Z129" s="1"/>
  <c r="G130"/>
  <c r="Z130" s="1"/>
  <c r="G131"/>
  <c r="Z131" s="1"/>
  <c r="G132"/>
  <c r="Z132" s="1"/>
  <c r="G133"/>
  <c r="Z133" s="1"/>
  <c r="G134"/>
  <c r="Z134" s="1"/>
  <c r="G135"/>
  <c r="Z135" s="1"/>
  <c r="G136"/>
  <c r="Z136" s="1"/>
  <c r="G137"/>
  <c r="Z137" s="1"/>
  <c r="G138"/>
  <c r="Z138" s="1"/>
  <c r="G139"/>
  <c r="Z139" s="1"/>
  <c r="G140"/>
  <c r="Z140" s="1"/>
  <c r="G141"/>
  <c r="Z141" s="1"/>
  <c r="G142"/>
  <c r="Z142" s="1"/>
  <c r="G143"/>
  <c r="Z143" s="1"/>
  <c r="G144"/>
  <c r="Z144" s="1"/>
  <c r="G145"/>
  <c r="Z145" s="1"/>
  <c r="G146"/>
  <c r="Z146" s="1"/>
  <c r="G147"/>
  <c r="Z147" s="1"/>
  <c r="G148"/>
  <c r="Z148" s="1"/>
  <c r="G149"/>
  <c r="Z149" s="1"/>
  <c r="G150"/>
  <c r="Z150" s="1"/>
  <c r="G151"/>
  <c r="Z151" s="1"/>
  <c r="G152"/>
  <c r="Z152" s="1"/>
  <c r="G153"/>
  <c r="Z153" s="1"/>
  <c r="G154"/>
  <c r="Z154" s="1"/>
  <c r="G155"/>
  <c r="Z155" s="1"/>
  <c r="G156"/>
  <c r="Z156" s="1"/>
  <c r="G157"/>
  <c r="Z157" s="1"/>
  <c r="G158"/>
  <c r="Z158" s="1"/>
  <c r="G159"/>
  <c r="Z159" s="1"/>
  <c r="G160"/>
  <c r="Z160" s="1"/>
  <c r="G161"/>
  <c r="Z161" s="1"/>
  <c r="G162"/>
  <c r="Z162" s="1"/>
  <c r="G163"/>
  <c r="Z163" s="1"/>
  <c r="G164"/>
  <c r="Z164" s="1"/>
  <c r="G165"/>
  <c r="Z165" s="1"/>
  <c r="G166"/>
  <c r="Z166" s="1"/>
  <c r="G167"/>
  <c r="Z167" s="1"/>
  <c r="G168"/>
  <c r="Z168" s="1"/>
  <c r="G169"/>
  <c r="Z169" s="1"/>
  <c r="G170"/>
  <c r="Z170" s="1"/>
  <c r="G171"/>
  <c r="Z171" s="1"/>
  <c r="G172"/>
  <c r="Z172" s="1"/>
  <c r="G173"/>
  <c r="Z173" s="1"/>
  <c r="G174"/>
  <c r="Z174" s="1"/>
  <c r="G175"/>
  <c r="Z175" s="1"/>
  <c r="G176"/>
  <c r="Z176" s="1"/>
  <c r="G177"/>
  <c r="Z177" s="1"/>
  <c r="G178"/>
  <c r="Z178" s="1"/>
  <c r="G179"/>
  <c r="Z179" s="1"/>
  <c r="G180"/>
  <c r="Z180" s="1"/>
  <c r="G181"/>
  <c r="Z181" s="1"/>
  <c r="G182"/>
  <c r="Z182" s="1"/>
  <c r="G183"/>
  <c r="Z183" s="1"/>
  <c r="G184"/>
  <c r="Z184" s="1"/>
  <c r="G185"/>
  <c r="Z185" s="1"/>
  <c r="G186"/>
  <c r="Z186" s="1"/>
  <c r="G187"/>
  <c r="Z187" s="1"/>
  <c r="G188"/>
  <c r="Z188" s="1"/>
  <c r="G189"/>
  <c r="Z189" s="1"/>
  <c r="G190"/>
  <c r="Z190" s="1"/>
  <c r="G191"/>
  <c r="Z191" s="1"/>
  <c r="G192"/>
  <c r="Z192" s="1"/>
  <c r="G193"/>
  <c r="Z193" s="1"/>
  <c r="G194"/>
  <c r="Z194" s="1"/>
  <c r="G195"/>
  <c r="Z195" s="1"/>
  <c r="G196"/>
  <c r="Z196" s="1"/>
  <c r="G197"/>
  <c r="Z197" s="1"/>
  <c r="G198"/>
  <c r="Z198" s="1"/>
  <c r="G199"/>
  <c r="Z199" s="1"/>
  <c r="G200"/>
  <c r="Z200" s="1"/>
  <c r="G201"/>
  <c r="Z201" s="1"/>
  <c r="G202"/>
  <c r="Z202" s="1"/>
  <c r="G203"/>
  <c r="Z203" s="1"/>
  <c r="G204"/>
  <c r="Z204" s="1"/>
  <c r="G205"/>
  <c r="Z205" s="1"/>
  <c r="G206"/>
  <c r="Z206" s="1"/>
  <c r="G207"/>
  <c r="Z207" s="1"/>
  <c r="G208"/>
  <c r="Z208" s="1"/>
  <c r="G209"/>
  <c r="Z209" s="1"/>
  <c r="G210"/>
  <c r="Z210" s="1"/>
  <c r="G211"/>
  <c r="Z211" s="1"/>
  <c r="G212"/>
  <c r="Z212" s="1"/>
  <c r="G213"/>
  <c r="Z213" s="1"/>
  <c r="G214"/>
  <c r="Z214" s="1"/>
  <c r="G215"/>
  <c r="Z215" s="1"/>
  <c r="G216"/>
  <c r="Z216" s="1"/>
  <c r="G217"/>
  <c r="Z217" s="1"/>
  <c r="G218"/>
  <c r="Z218" s="1"/>
  <c r="G219"/>
  <c r="Z219" s="1"/>
  <c r="G220"/>
  <c r="Z220" s="1"/>
  <c r="G221"/>
  <c r="Z221" s="1"/>
  <c r="G222"/>
  <c r="Z222" s="1"/>
  <c r="G223"/>
  <c r="Z223" s="1"/>
  <c r="G224"/>
  <c r="Z224" s="1"/>
  <c r="G225"/>
  <c r="Z225" s="1"/>
  <c r="G226"/>
  <c r="Z226" s="1"/>
  <c r="G227"/>
  <c r="Z227" s="1"/>
  <c r="G228"/>
  <c r="Z228" s="1"/>
  <c r="G229"/>
  <c r="Z229" s="1"/>
  <c r="G230"/>
  <c r="Z230" s="1"/>
  <c r="G231"/>
  <c r="Z231" s="1"/>
  <c r="G232"/>
  <c r="Z232" s="1"/>
  <c r="G233"/>
  <c r="Z233" s="1"/>
  <c r="G234"/>
  <c r="Z234" s="1"/>
  <c r="G235"/>
  <c r="Z235" s="1"/>
  <c r="G236"/>
  <c r="Z236" s="1"/>
  <c r="G237"/>
  <c r="Z237" s="1"/>
  <c r="G238"/>
  <c r="Z238" s="1"/>
  <c r="G239"/>
  <c r="Z239" s="1"/>
  <c r="G240"/>
  <c r="Z240" s="1"/>
  <c r="G241"/>
  <c r="Z241" s="1"/>
  <c r="G242"/>
  <c r="Z242" s="1"/>
  <c r="G243"/>
  <c r="Z243" s="1"/>
  <c r="G244"/>
  <c r="Z244" s="1"/>
  <c r="G245"/>
  <c r="Z245" s="1"/>
  <c r="G246"/>
  <c r="Z246" s="1"/>
  <c r="G247"/>
  <c r="Z247" s="1"/>
  <c r="G248"/>
  <c r="Z248" s="1"/>
  <c r="G249"/>
  <c r="Z249" s="1"/>
  <c r="G250"/>
  <c r="Z250" s="1"/>
  <c r="G251"/>
  <c r="Z251" s="1"/>
  <c r="G252"/>
  <c r="Z252" s="1"/>
  <c r="G253"/>
  <c r="Z253" s="1"/>
  <c r="G254"/>
  <c r="Z254" s="1"/>
  <c r="G255"/>
  <c r="Z255" s="1"/>
  <c r="G256"/>
  <c r="Z256" s="1"/>
  <c r="G257"/>
  <c r="Z257" s="1"/>
  <c r="G258"/>
  <c r="Z258" s="1"/>
  <c r="G259"/>
  <c r="Z259" s="1"/>
  <c r="G260"/>
  <c r="Z260" s="1"/>
  <c r="G261"/>
  <c r="Z261" s="1"/>
  <c r="G262"/>
  <c r="Z262" s="1"/>
  <c r="G263"/>
  <c r="Z263" s="1"/>
  <c r="G264"/>
  <c r="Z264" s="1"/>
  <c r="G265"/>
  <c r="Z265" s="1"/>
  <c r="G266"/>
  <c r="Z266" s="1"/>
  <c r="G267"/>
  <c r="Z267" s="1"/>
  <c r="G268"/>
  <c r="Z268" s="1"/>
  <c r="G269"/>
  <c r="Z269" s="1"/>
  <c r="G270"/>
  <c r="Z270" s="1"/>
  <c r="G271"/>
  <c r="Z271" s="1"/>
  <c r="G272"/>
  <c r="Z272" s="1"/>
  <c r="G273"/>
  <c r="Z273" s="1"/>
  <c r="G274"/>
  <c r="Z274" s="1"/>
  <c r="G275"/>
  <c r="Z275" s="1"/>
  <c r="G276"/>
  <c r="Z276" s="1"/>
  <c r="G277"/>
  <c r="Z277" s="1"/>
  <c r="G278"/>
  <c r="Z278" s="1"/>
  <c r="G279"/>
  <c r="Z279" s="1"/>
  <c r="G280"/>
  <c r="Z280" s="1"/>
  <c r="G281"/>
  <c r="Z281" s="1"/>
  <c r="G282"/>
  <c r="Z282" s="1"/>
  <c r="G283"/>
  <c r="Z283" s="1"/>
  <c r="G284"/>
  <c r="Z284" s="1"/>
  <c r="G285"/>
  <c r="Z285" s="1"/>
  <c r="G286"/>
  <c r="Z286" s="1"/>
  <c r="G287"/>
  <c r="Z287" s="1"/>
  <c r="G288"/>
  <c r="Z288" s="1"/>
  <c r="G289"/>
  <c r="Z289" s="1"/>
  <c r="G290"/>
  <c r="Z290" s="1"/>
  <c r="G291"/>
  <c r="Z291" s="1"/>
  <c r="G292"/>
  <c r="Z292" s="1"/>
  <c r="G293"/>
  <c r="Z293" s="1"/>
  <c r="G294"/>
  <c r="Z294" s="1"/>
  <c r="G295"/>
  <c r="Z295" s="1"/>
  <c r="G296"/>
  <c r="Z296" s="1"/>
  <c r="G297"/>
  <c r="Z297" s="1"/>
  <c r="G298"/>
  <c r="Z298" s="1"/>
  <c r="G299"/>
  <c r="Z299" s="1"/>
  <c r="G300"/>
  <c r="Z300" s="1"/>
  <c r="G301"/>
  <c r="Z301" s="1"/>
  <c r="G302"/>
  <c r="Z302" s="1"/>
  <c r="G303"/>
  <c r="Z303" s="1"/>
  <c r="G304"/>
  <c r="Z304" s="1"/>
  <c r="G305"/>
  <c r="Z305" s="1"/>
  <c r="G306"/>
  <c r="Z306" s="1"/>
  <c r="G307"/>
  <c r="Z307" s="1"/>
  <c r="G308"/>
  <c r="Z308" s="1"/>
  <c r="G309"/>
  <c r="Z309" s="1"/>
  <c r="G310"/>
  <c r="Z310" s="1"/>
  <c r="G311"/>
  <c r="Z311" s="1"/>
  <c r="G312"/>
  <c r="Z312" s="1"/>
  <c r="G313"/>
  <c r="Z313" s="1"/>
  <c r="G314"/>
  <c r="Z314" s="1"/>
  <c r="G315"/>
  <c r="Z315" s="1"/>
  <c r="G316"/>
  <c r="Z316" s="1"/>
  <c r="G317"/>
  <c r="Z317" s="1"/>
  <c r="G318"/>
  <c r="Z318" s="1"/>
  <c r="G319"/>
  <c r="Z319" s="1"/>
  <c r="G320"/>
  <c r="Z320" s="1"/>
  <c r="G321"/>
  <c r="Z321" s="1"/>
  <c r="G322"/>
  <c r="Z322" s="1"/>
  <c r="G323"/>
  <c r="Z323" s="1"/>
  <c r="G324"/>
  <c r="Z324" s="1"/>
  <c r="G325"/>
  <c r="Z325" s="1"/>
  <c r="G326"/>
  <c r="Z326" s="1"/>
  <c r="G327"/>
  <c r="Z327" s="1"/>
  <c r="G328"/>
  <c r="Z328" s="1"/>
  <c r="G329"/>
  <c r="Z329" s="1"/>
  <c r="G330"/>
  <c r="Z330" s="1"/>
  <c r="G331"/>
  <c r="Z331" s="1"/>
  <c r="G332"/>
  <c r="Z332" s="1"/>
  <c r="G333"/>
  <c r="Z333" s="1"/>
  <c r="G334"/>
  <c r="Z334" s="1"/>
  <c r="G335"/>
  <c r="Z335" s="1"/>
  <c r="G336"/>
  <c r="Z336" s="1"/>
  <c r="G337"/>
  <c r="Z337" s="1"/>
  <c r="G338"/>
  <c r="Z338" s="1"/>
  <c r="G339"/>
  <c r="Z339" s="1"/>
  <c r="G340"/>
  <c r="Z340" s="1"/>
  <c r="G341"/>
  <c r="Z341" s="1"/>
  <c r="G342"/>
  <c r="Z342" s="1"/>
  <c r="G343"/>
  <c r="Z343" s="1"/>
  <c r="G344"/>
  <c r="Z344" s="1"/>
  <c r="G345"/>
  <c r="Z345" s="1"/>
  <c r="G346"/>
  <c r="Z346" s="1"/>
  <c r="G347"/>
  <c r="Z347" s="1"/>
  <c r="G348"/>
  <c r="Z348" s="1"/>
  <c r="G349"/>
  <c r="Z349" s="1"/>
  <c r="G350"/>
  <c r="Z350" s="1"/>
  <c r="G351"/>
  <c r="Z351" s="1"/>
  <c r="G352"/>
  <c r="Z352" s="1"/>
  <c r="G353"/>
  <c r="Z353" s="1"/>
  <c r="G354"/>
  <c r="Z354" s="1"/>
  <c r="G355"/>
  <c r="Z355" s="1"/>
  <c r="G356"/>
  <c r="Z356" s="1"/>
  <c r="G357"/>
  <c r="Z357" s="1"/>
  <c r="G358"/>
  <c r="Z358" s="1"/>
  <c r="G359"/>
  <c r="Z359" s="1"/>
  <c r="G360"/>
  <c r="Z360" s="1"/>
  <c r="G361"/>
  <c r="Z361" s="1"/>
  <c r="G362"/>
  <c r="Z362" s="1"/>
  <c r="G363"/>
  <c r="Z363" s="1"/>
  <c r="G364"/>
  <c r="Z364" s="1"/>
  <c r="G365"/>
  <c r="Z365" s="1"/>
  <c r="G366"/>
  <c r="Z366" s="1"/>
  <c r="G367"/>
  <c r="Z367" s="1"/>
  <c r="G368"/>
  <c r="Z368" s="1"/>
  <c r="G369"/>
  <c r="Z369" s="1"/>
  <c r="G370"/>
  <c r="Z370" s="1"/>
  <c r="G371"/>
  <c r="Z371" s="1"/>
  <c r="G372"/>
  <c r="Z372" s="1"/>
  <c r="G373"/>
  <c r="Z373" s="1"/>
  <c r="G374"/>
  <c r="Z374" s="1"/>
  <c r="G375"/>
  <c r="Z375" s="1"/>
  <c r="G376"/>
  <c r="Z376" s="1"/>
  <c r="G377"/>
  <c r="Z377" s="1"/>
  <c r="G378"/>
  <c r="Z378" s="1"/>
  <c r="G379"/>
  <c r="Z379" s="1"/>
  <c r="G380"/>
  <c r="Z380" s="1"/>
  <c r="G381"/>
  <c r="Z381" s="1"/>
  <c r="G382"/>
  <c r="Z382" s="1"/>
  <c r="G383"/>
  <c r="Z383" s="1"/>
  <c r="G384"/>
  <c r="Z384" s="1"/>
  <c r="G385"/>
  <c r="Z385" s="1"/>
  <c r="G386"/>
  <c r="Z386" s="1"/>
  <c r="G387"/>
  <c r="Z387" s="1"/>
  <c r="G388"/>
  <c r="Z388" s="1"/>
  <c r="G389"/>
  <c r="Z389" s="1"/>
  <c r="G390"/>
  <c r="Z390" s="1"/>
  <c r="G391"/>
  <c r="Z391" s="1"/>
  <c r="G392"/>
  <c r="Z392" s="1"/>
  <c r="G393"/>
  <c r="Z393" s="1"/>
  <c r="G394"/>
  <c r="Z394" s="1"/>
  <c r="G395"/>
  <c r="Z395" s="1"/>
  <c r="G396"/>
  <c r="Z396" s="1"/>
  <c r="G397"/>
  <c r="Z397" s="1"/>
  <c r="G398"/>
  <c r="Z398" s="1"/>
  <c r="G399"/>
  <c r="Z399" s="1"/>
  <c r="G400"/>
  <c r="Z400" s="1"/>
  <c r="G401"/>
  <c r="Z401" s="1"/>
  <c r="G402"/>
  <c r="Z402" s="1"/>
  <c r="G403"/>
  <c r="Z403" s="1"/>
  <c r="G404"/>
  <c r="Z404" s="1"/>
  <c r="G405"/>
  <c r="Z405" s="1"/>
  <c r="G406"/>
  <c r="Z406" s="1"/>
  <c r="G407"/>
  <c r="Z407" s="1"/>
  <c r="G408"/>
  <c r="Z408" s="1"/>
  <c r="G409"/>
  <c r="Z409" s="1"/>
  <c r="G410"/>
  <c r="Z410" s="1"/>
  <c r="G411"/>
  <c r="Z411" s="1"/>
  <c r="G412"/>
  <c r="Z412" s="1"/>
  <c r="G413"/>
  <c r="Z413" s="1"/>
  <c r="G414"/>
  <c r="Z414" s="1"/>
  <c r="G415"/>
  <c r="Z415" s="1"/>
  <c r="G416"/>
  <c r="Z416" s="1"/>
  <c r="G417"/>
  <c r="Z417" s="1"/>
  <c r="G418"/>
  <c r="Z418" s="1"/>
  <c r="G419"/>
  <c r="Z419" s="1"/>
  <c r="G420"/>
  <c r="Z420" s="1"/>
  <c r="G421"/>
  <c r="Z421" s="1"/>
  <c r="G422"/>
  <c r="Z422" s="1"/>
  <c r="G423"/>
  <c r="Z423" s="1"/>
  <c r="G424"/>
  <c r="Z424" s="1"/>
  <c r="G425"/>
  <c r="Z425" s="1"/>
  <c r="G426"/>
  <c r="Z426" s="1"/>
  <c r="G427"/>
  <c r="Z427" s="1"/>
  <c r="G428"/>
  <c r="Z428" s="1"/>
  <c r="G429"/>
  <c r="Z429" s="1"/>
  <c r="G430"/>
  <c r="Z430" s="1"/>
  <c r="G431"/>
  <c r="Z431" s="1"/>
  <c r="G432"/>
  <c r="Z432" s="1"/>
  <c r="G433"/>
  <c r="Z433" s="1"/>
  <c r="G434"/>
  <c r="Z434" s="1"/>
  <c r="G435"/>
  <c r="Z435" s="1"/>
  <c r="G436"/>
  <c r="Z436" s="1"/>
  <c r="G437"/>
  <c r="Z437" s="1"/>
  <c r="G438"/>
  <c r="Z438" s="1"/>
  <c r="G439"/>
  <c r="Z439" s="1"/>
  <c r="G440"/>
  <c r="Z440" s="1"/>
  <c r="G441"/>
  <c r="Z441" s="1"/>
  <c r="G442"/>
  <c r="Z442" s="1"/>
  <c r="G443"/>
  <c r="Z443" s="1"/>
  <c r="G444"/>
  <c r="Z444" s="1"/>
  <c r="G445"/>
  <c r="Z445" s="1"/>
  <c r="G446"/>
  <c r="Z446" s="1"/>
  <c r="G447"/>
  <c r="Z447" s="1"/>
  <c r="G448"/>
  <c r="Z448" s="1"/>
  <c r="G449"/>
  <c r="Z449" s="1"/>
  <c r="G450"/>
  <c r="Z450" s="1"/>
  <c r="G451"/>
  <c r="Z451" s="1"/>
  <c r="G452"/>
  <c r="Z452" s="1"/>
  <c r="G453"/>
  <c r="Z453" s="1"/>
  <c r="G454"/>
  <c r="Z454" s="1"/>
  <c r="G455"/>
  <c r="Z455" s="1"/>
  <c r="G456"/>
  <c r="Z456" s="1"/>
  <c r="G457"/>
  <c r="Z457" s="1"/>
  <c r="G458"/>
  <c r="Z458" s="1"/>
  <c r="G459"/>
  <c r="Z459" s="1"/>
  <c r="G460"/>
  <c r="Z460" s="1"/>
  <c r="G461"/>
  <c r="Z461" s="1"/>
  <c r="G462"/>
  <c r="Z462" s="1"/>
  <c r="G463"/>
  <c r="Z463" s="1"/>
  <c r="G464"/>
  <c r="Z464" s="1"/>
  <c r="G465"/>
  <c r="Z465" s="1"/>
  <c r="G466"/>
  <c r="Z466" s="1"/>
  <c r="G467"/>
  <c r="Z467" s="1"/>
  <c r="G468"/>
  <c r="Z468" s="1"/>
  <c r="G469"/>
  <c r="Z469" s="1"/>
  <c r="G470"/>
  <c r="Z470" s="1"/>
  <c r="G471"/>
  <c r="Z471" s="1"/>
  <c r="G472"/>
  <c r="Z472" s="1"/>
  <c r="G473"/>
  <c r="Z473" s="1"/>
  <c r="G474"/>
  <c r="Z474" s="1"/>
  <c r="G475"/>
  <c r="Z475" s="1"/>
  <c r="G476"/>
  <c r="Z476" s="1"/>
  <c r="G477"/>
  <c r="Z477" s="1"/>
  <c r="G478"/>
  <c r="Z478" s="1"/>
  <c r="G479"/>
  <c r="Z479" s="1"/>
  <c r="G480"/>
  <c r="Z480" s="1"/>
  <c r="G481"/>
  <c r="Z481" s="1"/>
  <c r="G482"/>
  <c r="Z482" s="1"/>
  <c r="G483"/>
  <c r="Z483" s="1"/>
  <c r="G484"/>
  <c r="Z484" s="1"/>
  <c r="G485"/>
  <c r="Z485" s="1"/>
  <c r="G486"/>
  <c r="Z486" s="1"/>
  <c r="G487"/>
  <c r="Z487" s="1"/>
  <c r="G488"/>
  <c r="Z488" s="1"/>
  <c r="G489"/>
  <c r="Z489" s="1"/>
  <c r="G490"/>
  <c r="Z490" s="1"/>
  <c r="G491"/>
  <c r="Z491" s="1"/>
  <c r="G492"/>
  <c r="Z492" s="1"/>
  <c r="G493"/>
  <c r="Z493" s="1"/>
  <c r="G494"/>
  <c r="Z494" s="1"/>
  <c r="G495"/>
  <c r="Z495" s="1"/>
  <c r="G496"/>
  <c r="Z496" s="1"/>
  <c r="G497"/>
  <c r="Z497" s="1"/>
  <c r="G498"/>
  <c r="Z498" s="1"/>
  <c r="G499"/>
  <c r="Z499" s="1"/>
  <c r="G500"/>
  <c r="Z500" s="1"/>
  <c r="G501"/>
  <c r="Z501" s="1"/>
  <c r="G502"/>
  <c r="Z502" s="1"/>
  <c r="G503"/>
  <c r="Z503" s="1"/>
  <c r="G504"/>
  <c r="Z504" s="1"/>
  <c r="G505"/>
  <c r="Z505" s="1"/>
  <c r="G506"/>
  <c r="Z506" s="1"/>
  <c r="G507"/>
  <c r="Z507" s="1"/>
  <c r="G508"/>
  <c r="Z508" s="1"/>
  <c r="G509"/>
  <c r="Z509" s="1"/>
  <c r="G510"/>
  <c r="Z510" s="1"/>
  <c r="G511"/>
  <c r="Z511" s="1"/>
  <c r="G512"/>
  <c r="Z512" s="1"/>
  <c r="G513"/>
  <c r="Z513" s="1"/>
  <c r="G514"/>
  <c r="Z514" s="1"/>
  <c r="G515"/>
  <c r="Z515" s="1"/>
  <c r="G516"/>
  <c r="Z516" s="1"/>
  <c r="G517"/>
  <c r="Z517" s="1"/>
  <c r="G518"/>
  <c r="Z518" s="1"/>
  <c r="G519"/>
  <c r="Z519" s="1"/>
  <c r="G520"/>
  <c r="Z520" s="1"/>
  <c r="G521"/>
  <c r="Z521" s="1"/>
  <c r="G522"/>
  <c r="Z522" s="1"/>
  <c r="G523"/>
  <c r="Z523" s="1"/>
  <c r="G524"/>
  <c r="Z524" s="1"/>
  <c r="G525"/>
  <c r="Z525" s="1"/>
  <c r="G526"/>
  <c r="Z526" s="1"/>
  <c r="G527"/>
  <c r="Z527" s="1"/>
  <c r="G528"/>
  <c r="Z528" s="1"/>
  <c r="G529"/>
  <c r="Z529" s="1"/>
  <c r="G530"/>
  <c r="Z530" s="1"/>
  <c r="G531"/>
  <c r="Z531" s="1"/>
  <c r="G532"/>
  <c r="Z532" s="1"/>
  <c r="G533"/>
  <c r="Z533" s="1"/>
  <c r="G534"/>
  <c r="Z534" s="1"/>
  <c r="G535"/>
  <c r="Z535" s="1"/>
  <c r="G536"/>
  <c r="Z536" s="1"/>
  <c r="G537"/>
  <c r="Z537" s="1"/>
  <c r="G538"/>
  <c r="Z538" s="1"/>
  <c r="G539"/>
  <c r="Z539" s="1"/>
  <c r="G540"/>
  <c r="Z540" s="1"/>
  <c r="G541"/>
  <c r="Z541" s="1"/>
  <c r="G542"/>
  <c r="Z542" s="1"/>
  <c r="G543"/>
  <c r="Z543" s="1"/>
  <c r="G544"/>
  <c r="Z544" s="1"/>
  <c r="G545"/>
  <c r="Z545" s="1"/>
  <c r="G546"/>
  <c r="Z546" s="1"/>
  <c r="G547"/>
  <c r="Z547" s="1"/>
  <c r="G548"/>
  <c r="Z548" s="1"/>
  <c r="G549"/>
  <c r="Z549" s="1"/>
  <c r="G550"/>
  <c r="Z550" s="1"/>
  <c r="G551"/>
  <c r="Z551" s="1"/>
  <c r="G552"/>
  <c r="Z552" s="1"/>
  <c r="G553"/>
  <c r="Z553" s="1"/>
  <c r="G554"/>
  <c r="Z554" s="1"/>
  <c r="G555"/>
  <c r="Z555" s="1"/>
  <c r="G556"/>
  <c r="Z556" s="1"/>
  <c r="G557"/>
  <c r="Z557" s="1"/>
  <c r="G558"/>
  <c r="Z558" s="1"/>
  <c r="G559"/>
  <c r="Z559" s="1"/>
  <c r="G560"/>
  <c r="Z560" s="1"/>
  <c r="G561"/>
  <c r="Z561" s="1"/>
  <c r="G562"/>
  <c r="Z562" s="1"/>
  <c r="G563"/>
  <c r="Z563" s="1"/>
  <c r="G564"/>
  <c r="Z564" s="1"/>
  <c r="G565"/>
  <c r="Z565" s="1"/>
  <c r="G566"/>
  <c r="Z566" s="1"/>
  <c r="G567"/>
  <c r="Z567" s="1"/>
  <c r="G568"/>
  <c r="Z568" s="1"/>
  <c r="G569"/>
  <c r="Z569" s="1"/>
  <c r="G570"/>
  <c r="Z570" s="1"/>
  <c r="G571"/>
  <c r="Z571" s="1"/>
  <c r="G572"/>
  <c r="Z572" s="1"/>
  <c r="G3"/>
  <c r="Z3" s="1"/>
  <c r="B3" i="23"/>
  <c r="B4"/>
  <c r="B5"/>
  <c r="B6"/>
  <c r="B7"/>
  <c r="B8"/>
  <c r="B9"/>
  <c r="B10"/>
  <c r="B11"/>
  <c r="B12"/>
  <c r="B13"/>
  <c r="B14"/>
  <c r="B15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2"/>
  <c r="B4" i="6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3"/>
  <c r="W572" i="23"/>
  <c r="X572" s="1"/>
  <c r="W571"/>
  <c r="X571" s="1"/>
  <c r="W570"/>
  <c r="X570" s="1"/>
  <c r="W569"/>
  <c r="X569" s="1"/>
  <c r="W568"/>
  <c r="X568" s="1"/>
  <c r="W567"/>
  <c r="X567" s="1"/>
  <c r="W566"/>
  <c r="X566" s="1"/>
  <c r="W565"/>
  <c r="X565" s="1"/>
  <c r="W564"/>
  <c r="X564" s="1"/>
  <c r="W563"/>
  <c r="X563" s="1"/>
  <c r="W562"/>
  <c r="X562" s="1"/>
  <c r="W561"/>
  <c r="X561" s="1"/>
  <c r="W560"/>
  <c r="X560" s="1"/>
  <c r="W559"/>
  <c r="X559" s="1"/>
  <c r="W558"/>
  <c r="X558" s="1"/>
  <c r="W557"/>
  <c r="X557" s="1"/>
  <c r="W556"/>
  <c r="X556" s="1"/>
  <c r="W555"/>
  <c r="X555" s="1"/>
  <c r="W554"/>
  <c r="X554" s="1"/>
  <c r="W553"/>
  <c r="X553" s="1"/>
  <c r="V553"/>
  <c r="W552"/>
  <c r="X552" s="1"/>
  <c r="W551"/>
  <c r="X551" s="1"/>
  <c r="W550"/>
  <c r="X550" s="1"/>
  <c r="W549"/>
  <c r="X549" s="1"/>
  <c r="W548"/>
  <c r="X548" s="1"/>
  <c r="W547"/>
  <c r="X547" s="1"/>
  <c r="W546"/>
  <c r="X546" s="1"/>
  <c r="W545"/>
  <c r="X545" s="1"/>
  <c r="W544"/>
  <c r="X544" s="1"/>
  <c r="W543"/>
  <c r="X543" s="1"/>
  <c r="W542"/>
  <c r="X542" s="1"/>
  <c r="W541"/>
  <c r="X541" s="1"/>
  <c r="W540"/>
  <c r="X540" s="1"/>
  <c r="W539"/>
  <c r="X539" s="1"/>
  <c r="W538"/>
  <c r="X538" s="1"/>
  <c r="W537"/>
  <c r="X537" s="1"/>
  <c r="W536"/>
  <c r="X536" s="1"/>
  <c r="W535"/>
  <c r="X535" s="1"/>
  <c r="W534"/>
  <c r="X534" s="1"/>
  <c r="W533"/>
  <c r="X533" s="1"/>
  <c r="W532"/>
  <c r="X532" s="1"/>
  <c r="W531"/>
  <c r="X531" s="1"/>
  <c r="W530"/>
  <c r="X530" s="1"/>
  <c r="W529"/>
  <c r="X529" s="1"/>
  <c r="W528"/>
  <c r="X528" s="1"/>
  <c r="W527"/>
  <c r="X527" s="1"/>
  <c r="W526"/>
  <c r="X526" s="1"/>
  <c r="W525"/>
  <c r="X525" s="1"/>
  <c r="W524"/>
  <c r="X524" s="1"/>
  <c r="W523"/>
  <c r="X523" s="1"/>
  <c r="W522"/>
  <c r="X522" s="1"/>
  <c r="W521"/>
  <c r="X521" s="1"/>
  <c r="W520"/>
  <c r="X520" s="1"/>
  <c r="W519"/>
  <c r="X519" s="1"/>
  <c r="W518"/>
  <c r="X518" s="1"/>
  <c r="W517"/>
  <c r="X517" s="1"/>
  <c r="W516"/>
  <c r="X516" s="1"/>
  <c r="W515"/>
  <c r="X515" s="1"/>
  <c r="W514"/>
  <c r="X514" s="1"/>
  <c r="W513"/>
  <c r="X513" s="1"/>
  <c r="W512"/>
  <c r="X512" s="1"/>
  <c r="W511"/>
  <c r="X511" s="1"/>
  <c r="W510"/>
  <c r="X510" s="1"/>
  <c r="W509"/>
  <c r="X509" s="1"/>
  <c r="W508"/>
  <c r="X508" s="1"/>
  <c r="W507"/>
  <c r="X507" s="1"/>
  <c r="W506"/>
  <c r="X506" s="1"/>
  <c r="W505"/>
  <c r="X505" s="1"/>
  <c r="W504"/>
  <c r="X504" s="1"/>
  <c r="W503"/>
  <c r="X503" s="1"/>
  <c r="W502"/>
  <c r="X502" s="1"/>
  <c r="W501"/>
  <c r="X501" s="1"/>
  <c r="W500"/>
  <c r="X500" s="1"/>
  <c r="W499"/>
  <c r="X499" s="1"/>
  <c r="W498"/>
  <c r="X498" s="1"/>
  <c r="W497"/>
  <c r="X497" s="1"/>
  <c r="W496"/>
  <c r="X496" s="1"/>
  <c r="W495"/>
  <c r="X495" s="1"/>
  <c r="W494"/>
  <c r="X494" s="1"/>
  <c r="V494"/>
  <c r="W493"/>
  <c r="X493" s="1"/>
  <c r="W492"/>
  <c r="X492" s="1"/>
  <c r="W491"/>
  <c r="X491" s="1"/>
  <c r="W490"/>
  <c r="X490" s="1"/>
  <c r="W489"/>
  <c r="X489" s="1"/>
  <c r="W488"/>
  <c r="X488" s="1"/>
  <c r="W487"/>
  <c r="X487" s="1"/>
  <c r="W486"/>
  <c r="X486" s="1"/>
  <c r="W485"/>
  <c r="X485" s="1"/>
  <c r="W484"/>
  <c r="X484" s="1"/>
  <c r="W483"/>
  <c r="X483" s="1"/>
  <c r="W482"/>
  <c r="X482" s="1"/>
  <c r="W481"/>
  <c r="X481" s="1"/>
  <c r="W480"/>
  <c r="X480" s="1"/>
  <c r="W479"/>
  <c r="X479" s="1"/>
  <c r="W478"/>
  <c r="X478" s="1"/>
  <c r="W477"/>
  <c r="X477" s="1"/>
  <c r="W476"/>
  <c r="X476" s="1"/>
  <c r="W475"/>
  <c r="X475" s="1"/>
  <c r="W474"/>
  <c r="X474" s="1"/>
  <c r="W473"/>
  <c r="X473" s="1"/>
  <c r="W472"/>
  <c r="X472" s="1"/>
  <c r="W471"/>
  <c r="X471" s="1"/>
  <c r="W470"/>
  <c r="X470" s="1"/>
  <c r="W469"/>
  <c r="X469" s="1"/>
  <c r="W468"/>
  <c r="X468" s="1"/>
  <c r="W467"/>
  <c r="X467" s="1"/>
  <c r="W466"/>
  <c r="X466" s="1"/>
  <c r="W465"/>
  <c r="X465" s="1"/>
  <c r="W464"/>
  <c r="X464" s="1"/>
  <c r="W463"/>
  <c r="X463" s="1"/>
  <c r="W462"/>
  <c r="X462" s="1"/>
  <c r="W461"/>
  <c r="X461" s="1"/>
  <c r="W460"/>
  <c r="X460" s="1"/>
  <c r="W459"/>
  <c r="X459" s="1"/>
  <c r="W458"/>
  <c r="X458" s="1"/>
  <c r="W457"/>
  <c r="X457" s="1"/>
  <c r="W456"/>
  <c r="X456" s="1"/>
  <c r="W455"/>
  <c r="X455" s="1"/>
  <c r="W454"/>
  <c r="X454" s="1"/>
  <c r="W453"/>
  <c r="X453" s="1"/>
  <c r="W452"/>
  <c r="X452" s="1"/>
  <c r="W451"/>
  <c r="X451" s="1"/>
  <c r="W450"/>
  <c r="X450" s="1"/>
  <c r="W449"/>
  <c r="X449" s="1"/>
  <c r="W448"/>
  <c r="X448" s="1"/>
  <c r="W447"/>
  <c r="X447" s="1"/>
  <c r="W446"/>
  <c r="X446" s="1"/>
  <c r="W445"/>
  <c r="X445" s="1"/>
  <c r="W444"/>
  <c r="X444" s="1"/>
  <c r="W443"/>
  <c r="X443" s="1"/>
  <c r="W442"/>
  <c r="X442" s="1"/>
  <c r="W441"/>
  <c r="X441" s="1"/>
  <c r="W440"/>
  <c r="X440" s="1"/>
  <c r="W439"/>
  <c r="X439" s="1"/>
  <c r="W438"/>
  <c r="X438" s="1"/>
  <c r="W437"/>
  <c r="X437" s="1"/>
  <c r="W436"/>
  <c r="X436" s="1"/>
  <c r="W435"/>
  <c r="X435" s="1"/>
  <c r="W434"/>
  <c r="X434" s="1"/>
  <c r="W433"/>
  <c r="X433" s="1"/>
  <c r="W432"/>
  <c r="X432" s="1"/>
  <c r="W431"/>
  <c r="X431" s="1"/>
  <c r="W430"/>
  <c r="X430" s="1"/>
  <c r="W429"/>
  <c r="X429" s="1"/>
  <c r="W428"/>
  <c r="X428" s="1"/>
  <c r="W427"/>
  <c r="X427" s="1"/>
  <c r="W426"/>
  <c r="X426" s="1"/>
  <c r="W425"/>
  <c r="X425" s="1"/>
  <c r="W424"/>
  <c r="X424" s="1"/>
  <c r="W423"/>
  <c r="X423" s="1"/>
  <c r="W422"/>
  <c r="X422" s="1"/>
  <c r="W421"/>
  <c r="X421" s="1"/>
  <c r="W420"/>
  <c r="X420" s="1"/>
  <c r="W419"/>
  <c r="X419" s="1"/>
  <c r="W418"/>
  <c r="X418" s="1"/>
  <c r="W417"/>
  <c r="X417" s="1"/>
  <c r="W416"/>
  <c r="X416" s="1"/>
  <c r="W415"/>
  <c r="X415" s="1"/>
  <c r="W414"/>
  <c r="X414" s="1"/>
  <c r="V414"/>
  <c r="W413"/>
  <c r="X413" s="1"/>
  <c r="W412"/>
  <c r="X412" s="1"/>
  <c r="W411"/>
  <c r="X411" s="1"/>
  <c r="W410"/>
  <c r="X410" s="1"/>
  <c r="W409"/>
  <c r="X409" s="1"/>
  <c r="W408"/>
  <c r="X408" s="1"/>
  <c r="W407"/>
  <c r="X407" s="1"/>
  <c r="W406"/>
  <c r="X406" s="1"/>
  <c r="W405"/>
  <c r="X405" s="1"/>
  <c r="W404"/>
  <c r="X404" s="1"/>
  <c r="W403"/>
  <c r="X403" s="1"/>
  <c r="W402"/>
  <c r="X402" s="1"/>
  <c r="W401"/>
  <c r="X401" s="1"/>
  <c r="W400"/>
  <c r="X400" s="1"/>
  <c r="W399"/>
  <c r="X399" s="1"/>
  <c r="W398"/>
  <c r="X398" s="1"/>
  <c r="V398"/>
  <c r="W397"/>
  <c r="X397" s="1"/>
  <c r="W396"/>
  <c r="X396" s="1"/>
  <c r="W395"/>
  <c r="X395" s="1"/>
  <c r="W394"/>
  <c r="X394" s="1"/>
  <c r="W393"/>
  <c r="X393" s="1"/>
  <c r="W392"/>
  <c r="X392" s="1"/>
  <c r="W391"/>
  <c r="X391" s="1"/>
  <c r="W390"/>
  <c r="X390" s="1"/>
  <c r="W389"/>
  <c r="X389" s="1"/>
  <c r="W388"/>
  <c r="X388" s="1"/>
  <c r="W387"/>
  <c r="X387" s="1"/>
  <c r="W386"/>
  <c r="X386" s="1"/>
  <c r="W385"/>
  <c r="X385" s="1"/>
  <c r="W384"/>
  <c r="X384" s="1"/>
  <c r="W383"/>
  <c r="X383" s="1"/>
  <c r="W382"/>
  <c r="X382" s="1"/>
  <c r="W381"/>
  <c r="X381" s="1"/>
  <c r="W380"/>
  <c r="X380" s="1"/>
  <c r="W379"/>
  <c r="X379" s="1"/>
  <c r="W378"/>
  <c r="X378" s="1"/>
  <c r="W377"/>
  <c r="X377" s="1"/>
  <c r="W376"/>
  <c r="X376" s="1"/>
  <c r="W375"/>
  <c r="X375" s="1"/>
  <c r="W374"/>
  <c r="X374" s="1"/>
  <c r="W373"/>
  <c r="X373" s="1"/>
  <c r="W372"/>
  <c r="X372" s="1"/>
  <c r="W371"/>
  <c r="X371" s="1"/>
  <c r="W370"/>
  <c r="X370" s="1"/>
  <c r="W369"/>
  <c r="X369" s="1"/>
  <c r="W368"/>
  <c r="X368" s="1"/>
  <c r="W367"/>
  <c r="X367" s="1"/>
  <c r="W366"/>
  <c r="X366" s="1"/>
  <c r="W365"/>
  <c r="X365" s="1"/>
  <c r="W364"/>
  <c r="X364" s="1"/>
  <c r="W363"/>
  <c r="X363" s="1"/>
  <c r="W362"/>
  <c r="X362" s="1"/>
  <c r="W361"/>
  <c r="X361" s="1"/>
  <c r="W360"/>
  <c r="X360" s="1"/>
  <c r="W359"/>
  <c r="X359" s="1"/>
  <c r="W358"/>
  <c r="X358" s="1"/>
  <c r="V358"/>
  <c r="W357"/>
  <c r="X357" s="1"/>
  <c r="W356"/>
  <c r="X356" s="1"/>
  <c r="W355"/>
  <c r="X355" s="1"/>
  <c r="W354"/>
  <c r="X354" s="1"/>
  <c r="W353"/>
  <c r="X353" s="1"/>
  <c r="W352"/>
  <c r="X352" s="1"/>
  <c r="W351"/>
  <c r="X351" s="1"/>
  <c r="W350"/>
  <c r="X350" s="1"/>
  <c r="W349"/>
  <c r="X349" s="1"/>
  <c r="W348"/>
  <c r="X348" s="1"/>
  <c r="W347"/>
  <c r="X347" s="1"/>
  <c r="W346"/>
  <c r="X346" s="1"/>
  <c r="W345"/>
  <c r="X345" s="1"/>
  <c r="W344"/>
  <c r="X344" s="1"/>
  <c r="W343"/>
  <c r="X343" s="1"/>
  <c r="W342"/>
  <c r="X342" s="1"/>
  <c r="W341"/>
  <c r="X341" s="1"/>
  <c r="W340"/>
  <c r="X340" s="1"/>
  <c r="W339"/>
  <c r="X339" s="1"/>
  <c r="W338"/>
  <c r="X338" s="1"/>
  <c r="W337"/>
  <c r="X337" s="1"/>
  <c r="W336"/>
  <c r="X336" s="1"/>
  <c r="W335"/>
  <c r="X335" s="1"/>
  <c r="W334"/>
  <c r="X334" s="1"/>
  <c r="V334"/>
  <c r="W333"/>
  <c r="X333" s="1"/>
  <c r="W332"/>
  <c r="X332" s="1"/>
  <c r="W331"/>
  <c r="X331" s="1"/>
  <c r="W330"/>
  <c r="X330" s="1"/>
  <c r="W329"/>
  <c r="X329" s="1"/>
  <c r="W328"/>
  <c r="X328" s="1"/>
  <c r="W327"/>
  <c r="X327" s="1"/>
  <c r="W326"/>
  <c r="X326" s="1"/>
  <c r="W325"/>
  <c r="X325" s="1"/>
  <c r="W324"/>
  <c r="X324" s="1"/>
  <c r="W323"/>
  <c r="X323" s="1"/>
  <c r="W322"/>
  <c r="X322" s="1"/>
  <c r="W321"/>
  <c r="X321" s="1"/>
  <c r="W320"/>
  <c r="X320" s="1"/>
  <c r="W319"/>
  <c r="X319" s="1"/>
  <c r="W318"/>
  <c r="X318" s="1"/>
  <c r="W317"/>
  <c r="X317" s="1"/>
  <c r="W316"/>
  <c r="X316" s="1"/>
  <c r="W315"/>
  <c r="X315" s="1"/>
  <c r="W314"/>
  <c r="X314" s="1"/>
  <c r="W313"/>
  <c r="X313" s="1"/>
  <c r="W312"/>
  <c r="X312" s="1"/>
  <c r="W311"/>
  <c r="X311" s="1"/>
  <c r="W310"/>
  <c r="X310" s="1"/>
  <c r="W309"/>
  <c r="X309" s="1"/>
  <c r="W308"/>
  <c r="X308" s="1"/>
  <c r="W307"/>
  <c r="X307" s="1"/>
  <c r="W306"/>
  <c r="X306" s="1"/>
  <c r="W305"/>
  <c r="X305" s="1"/>
  <c r="W304"/>
  <c r="X304" s="1"/>
  <c r="W303"/>
  <c r="X303" s="1"/>
  <c r="W302"/>
  <c r="X302" s="1"/>
  <c r="W301"/>
  <c r="X301" s="1"/>
  <c r="W300"/>
  <c r="X300" s="1"/>
  <c r="W299"/>
  <c r="X299" s="1"/>
  <c r="W298"/>
  <c r="X298" s="1"/>
  <c r="W297"/>
  <c r="X297" s="1"/>
  <c r="W296"/>
  <c r="X296" s="1"/>
  <c r="W295"/>
  <c r="X295" s="1"/>
  <c r="W294"/>
  <c r="X294" s="1"/>
  <c r="W293"/>
  <c r="X293" s="1"/>
  <c r="W292"/>
  <c r="X292" s="1"/>
  <c r="W291"/>
  <c r="X291" s="1"/>
  <c r="W290"/>
  <c r="X290" s="1"/>
  <c r="W289"/>
  <c r="X289" s="1"/>
  <c r="W288"/>
  <c r="X288" s="1"/>
  <c r="W287"/>
  <c r="X287" s="1"/>
  <c r="W286"/>
  <c r="X286" s="1"/>
  <c r="W285"/>
  <c r="X285" s="1"/>
  <c r="W284"/>
  <c r="X284" s="1"/>
  <c r="W283"/>
  <c r="X283" s="1"/>
  <c r="W282"/>
  <c r="X282" s="1"/>
  <c r="W281"/>
  <c r="X281" s="1"/>
  <c r="W280"/>
  <c r="X280" s="1"/>
  <c r="W279"/>
  <c r="X279" s="1"/>
  <c r="W278"/>
  <c r="X278" s="1"/>
  <c r="W277"/>
  <c r="X277" s="1"/>
  <c r="W276"/>
  <c r="X276" s="1"/>
  <c r="W275"/>
  <c r="X275" s="1"/>
  <c r="W274"/>
  <c r="X274" s="1"/>
  <c r="W273"/>
  <c r="X273" s="1"/>
  <c r="W272"/>
  <c r="X272" s="1"/>
  <c r="W271"/>
  <c r="X271" s="1"/>
  <c r="W270"/>
  <c r="X270" s="1"/>
  <c r="W269"/>
  <c r="X269" s="1"/>
  <c r="W268"/>
  <c r="X268" s="1"/>
  <c r="W267"/>
  <c r="X267" s="1"/>
  <c r="W266"/>
  <c r="X266" s="1"/>
  <c r="V266"/>
  <c r="W265"/>
  <c r="X265" s="1"/>
  <c r="W264"/>
  <c r="X264" s="1"/>
  <c r="W263"/>
  <c r="X263" s="1"/>
  <c r="W262"/>
  <c r="X262" s="1"/>
  <c r="W261"/>
  <c r="X261" s="1"/>
  <c r="W260"/>
  <c r="X260" s="1"/>
  <c r="W259"/>
  <c r="X259" s="1"/>
  <c r="W258"/>
  <c r="X258" s="1"/>
  <c r="W257"/>
  <c r="X257" s="1"/>
  <c r="W256"/>
  <c r="X256" s="1"/>
  <c r="W255"/>
  <c r="X255" s="1"/>
  <c r="W254"/>
  <c r="X254" s="1"/>
  <c r="V254"/>
  <c r="W253"/>
  <c r="X253" s="1"/>
  <c r="W252"/>
  <c r="X252" s="1"/>
  <c r="W251"/>
  <c r="X251" s="1"/>
  <c r="W250"/>
  <c r="X250" s="1"/>
  <c r="W249"/>
  <c r="X249" s="1"/>
  <c r="W248"/>
  <c r="X248" s="1"/>
  <c r="W247"/>
  <c r="X247" s="1"/>
  <c r="W246"/>
  <c r="X246" s="1"/>
  <c r="W245"/>
  <c r="X245" s="1"/>
  <c r="W244"/>
  <c r="X244" s="1"/>
  <c r="W243"/>
  <c r="X243" s="1"/>
  <c r="P243"/>
  <c r="W242"/>
  <c r="X242" s="1"/>
  <c r="W241"/>
  <c r="X241" s="1"/>
  <c r="W240"/>
  <c r="X240" s="1"/>
  <c r="W239"/>
  <c r="X239" s="1"/>
  <c r="W238"/>
  <c r="X238" s="1"/>
  <c r="W237"/>
  <c r="X237" s="1"/>
  <c r="W236"/>
  <c r="X236" s="1"/>
  <c r="W235"/>
  <c r="X235" s="1"/>
  <c r="W234"/>
  <c r="X234" s="1"/>
  <c r="W233"/>
  <c r="X233" s="1"/>
  <c r="W232"/>
  <c r="X232" s="1"/>
  <c r="W231"/>
  <c r="X231" s="1"/>
  <c r="W230"/>
  <c r="X230" s="1"/>
  <c r="W229"/>
  <c r="X229" s="1"/>
  <c r="W228"/>
  <c r="X228" s="1"/>
  <c r="W227"/>
  <c r="X227" s="1"/>
  <c r="W226"/>
  <c r="X226" s="1"/>
  <c r="W225"/>
  <c r="X225" s="1"/>
  <c r="W224"/>
  <c r="X224" s="1"/>
  <c r="W223"/>
  <c r="X223" s="1"/>
  <c r="W222"/>
  <c r="X222" s="1"/>
  <c r="W221"/>
  <c r="X221" s="1"/>
  <c r="W220"/>
  <c r="X220" s="1"/>
  <c r="W219"/>
  <c r="X219" s="1"/>
  <c r="W218"/>
  <c r="X218" s="1"/>
  <c r="W217"/>
  <c r="X217" s="1"/>
  <c r="W216"/>
  <c r="X216" s="1"/>
  <c r="W215"/>
  <c r="X215" s="1"/>
  <c r="W214"/>
  <c r="X214" s="1"/>
  <c r="W213"/>
  <c r="X213" s="1"/>
  <c r="W212"/>
  <c r="X212" s="1"/>
  <c r="W211"/>
  <c r="X211" s="1"/>
  <c r="W210"/>
  <c r="X210" s="1"/>
  <c r="W209"/>
  <c r="X209" s="1"/>
  <c r="W208"/>
  <c r="X208" s="1"/>
  <c r="W207"/>
  <c r="X207" s="1"/>
  <c r="W206"/>
  <c r="X206" s="1"/>
  <c r="W205"/>
  <c r="X205" s="1"/>
  <c r="W204"/>
  <c r="X204" s="1"/>
  <c r="W203"/>
  <c r="X203" s="1"/>
  <c r="W202"/>
  <c r="X202" s="1"/>
  <c r="W201"/>
  <c r="X201" s="1"/>
  <c r="W200"/>
  <c r="X200" s="1"/>
  <c r="W199"/>
  <c r="X199" s="1"/>
  <c r="W198"/>
  <c r="X198" s="1"/>
  <c r="W197"/>
  <c r="X197" s="1"/>
  <c r="W196"/>
  <c r="X196" s="1"/>
  <c r="W195"/>
  <c r="X195" s="1"/>
  <c r="W194"/>
  <c r="X194" s="1"/>
  <c r="V194"/>
  <c r="W193"/>
  <c r="X193" s="1"/>
  <c r="W192"/>
  <c r="X192" s="1"/>
  <c r="W191"/>
  <c r="X191" s="1"/>
  <c r="W189"/>
  <c r="X189" s="1"/>
  <c r="W188"/>
  <c r="X188" s="1"/>
  <c r="W187"/>
  <c r="X187" s="1"/>
  <c r="W186"/>
  <c r="X186" s="1"/>
  <c r="W185"/>
  <c r="X185" s="1"/>
  <c r="W184"/>
  <c r="X184" s="1"/>
  <c r="W183"/>
  <c r="X183" s="1"/>
  <c r="W182"/>
  <c r="X182" s="1"/>
  <c r="W181"/>
  <c r="X181" s="1"/>
  <c r="W180"/>
  <c r="X180" s="1"/>
  <c r="W179"/>
  <c r="X179" s="1"/>
  <c r="W178"/>
  <c r="X178" s="1"/>
  <c r="W177"/>
  <c r="X177" s="1"/>
  <c r="V177"/>
  <c r="W176"/>
  <c r="X176" s="1"/>
  <c r="W175"/>
  <c r="X175" s="1"/>
  <c r="W174"/>
  <c r="X174" s="1"/>
  <c r="W173"/>
  <c r="X173" s="1"/>
  <c r="W172"/>
  <c r="X172" s="1"/>
  <c r="W171"/>
  <c r="X171" s="1"/>
  <c r="W170"/>
  <c r="X170" s="1"/>
  <c r="W169"/>
  <c r="X169" s="1"/>
  <c r="W168"/>
  <c r="X168" s="1"/>
  <c r="W167"/>
  <c r="X167" s="1"/>
  <c r="W166"/>
  <c r="X166" s="1"/>
  <c r="W165"/>
  <c r="X165" s="1"/>
  <c r="W164"/>
  <c r="X164" s="1"/>
  <c r="W163"/>
  <c r="X163" s="1"/>
  <c r="W162"/>
  <c r="X162" s="1"/>
  <c r="W161"/>
  <c r="X161" s="1"/>
  <c r="W160"/>
  <c r="X160" s="1"/>
  <c r="W159"/>
  <c r="X159" s="1"/>
  <c r="W158"/>
  <c r="X158" s="1"/>
  <c r="W157"/>
  <c r="X157" s="1"/>
  <c r="W156"/>
  <c r="X156" s="1"/>
  <c r="W155"/>
  <c r="X155" s="1"/>
  <c r="W154"/>
  <c r="X154" s="1"/>
  <c r="W153"/>
  <c r="X153" s="1"/>
  <c r="W152"/>
  <c r="X152" s="1"/>
  <c r="W151"/>
  <c r="X151" s="1"/>
  <c r="W150"/>
  <c r="X150" s="1"/>
  <c r="W149"/>
  <c r="X149" s="1"/>
  <c r="W148"/>
  <c r="X148" s="1"/>
  <c r="W147"/>
  <c r="X147" s="1"/>
  <c r="W146"/>
  <c r="X146" s="1"/>
  <c r="W145"/>
  <c r="X145" s="1"/>
  <c r="W144"/>
  <c r="X144" s="1"/>
  <c r="W143"/>
  <c r="X143" s="1"/>
  <c r="W142"/>
  <c r="X142" s="1"/>
  <c r="W141"/>
  <c r="X141" s="1"/>
  <c r="W140"/>
  <c r="X140" s="1"/>
  <c r="W139"/>
  <c r="X139" s="1"/>
  <c r="W138"/>
  <c r="X138" s="1"/>
  <c r="W137"/>
  <c r="X137" s="1"/>
  <c r="W136"/>
  <c r="X136" s="1"/>
  <c r="W135"/>
  <c r="X135" s="1"/>
  <c r="W134"/>
  <c r="X134" s="1"/>
  <c r="W133"/>
  <c r="X133" s="1"/>
  <c r="W132"/>
  <c r="X132" s="1"/>
  <c r="W131"/>
  <c r="X131" s="1"/>
  <c r="W130"/>
  <c r="X130" s="1"/>
  <c r="W129"/>
  <c r="X129" s="1"/>
  <c r="W128"/>
  <c r="X128" s="1"/>
  <c r="W127"/>
  <c r="X127" s="1"/>
  <c r="W126"/>
  <c r="X126" s="1"/>
  <c r="W125"/>
  <c r="X125" s="1"/>
  <c r="V125"/>
  <c r="W124"/>
  <c r="X124" s="1"/>
  <c r="W123"/>
  <c r="X123" s="1"/>
  <c r="W122"/>
  <c r="X122" s="1"/>
  <c r="W121"/>
  <c r="X121" s="1"/>
  <c r="W120"/>
  <c r="X120" s="1"/>
  <c r="W119"/>
  <c r="X119" s="1"/>
  <c r="W118"/>
  <c r="X118" s="1"/>
  <c r="W117"/>
  <c r="X117" s="1"/>
  <c r="W116"/>
  <c r="X116" s="1"/>
  <c r="W115"/>
  <c r="X115" s="1"/>
  <c r="W114"/>
  <c r="X114" s="1"/>
  <c r="W113"/>
  <c r="X113" s="1"/>
  <c r="W112"/>
  <c r="X112" s="1"/>
  <c r="O112"/>
  <c r="W111"/>
  <c r="X111" s="1"/>
  <c r="W110"/>
  <c r="X110" s="1"/>
  <c r="W109"/>
  <c r="X109" s="1"/>
  <c r="O109"/>
  <c r="W108"/>
  <c r="X108" s="1"/>
  <c r="P108"/>
  <c r="O108"/>
  <c r="W107"/>
  <c r="X107" s="1"/>
  <c r="W106"/>
  <c r="X106" s="1"/>
  <c r="W105"/>
  <c r="X105" s="1"/>
  <c r="P105"/>
  <c r="O105"/>
  <c r="W104"/>
  <c r="X104" s="1"/>
  <c r="O104"/>
  <c r="W103"/>
  <c r="X103" s="1"/>
  <c r="W102"/>
  <c r="X102" s="1"/>
  <c r="W101"/>
  <c r="X101" s="1"/>
  <c r="P101"/>
  <c r="W100"/>
  <c r="X100" s="1"/>
  <c r="O100"/>
  <c r="P100"/>
  <c r="W99"/>
  <c r="X99" s="1"/>
  <c r="W98"/>
  <c r="X98" s="1"/>
  <c r="W97"/>
  <c r="X97" s="1"/>
  <c r="O97"/>
  <c r="W96"/>
  <c r="X96" s="1"/>
  <c r="P96"/>
  <c r="O96"/>
  <c r="W95"/>
  <c r="X95" s="1"/>
  <c r="W94"/>
  <c r="X94" s="1"/>
  <c r="W93"/>
  <c r="X93" s="1"/>
  <c r="W92"/>
  <c r="X92" s="1"/>
  <c r="P92"/>
  <c r="O92"/>
  <c r="W91"/>
  <c r="X91" s="1"/>
  <c r="W90"/>
  <c r="X90" s="1"/>
  <c r="W89"/>
  <c r="X89" s="1"/>
  <c r="V89"/>
  <c r="O89"/>
  <c r="W88"/>
  <c r="X88" s="1"/>
  <c r="O88"/>
  <c r="W87"/>
  <c r="X87" s="1"/>
  <c r="W86"/>
  <c r="X86" s="1"/>
  <c r="W85"/>
  <c r="X85" s="1"/>
  <c r="O85"/>
  <c r="W84"/>
  <c r="X84" s="1"/>
  <c r="O84"/>
  <c r="W83"/>
  <c r="X83" s="1"/>
  <c r="W82"/>
  <c r="X82" s="1"/>
  <c r="W81"/>
  <c r="X81" s="1"/>
  <c r="O81"/>
  <c r="W80"/>
  <c r="X80" s="1"/>
  <c r="W79"/>
  <c r="X79" s="1"/>
  <c r="O79"/>
  <c r="P79"/>
  <c r="W78"/>
  <c r="X78" s="1"/>
  <c r="W77"/>
  <c r="X77" s="1"/>
  <c r="O77"/>
  <c r="W76"/>
  <c r="X76" s="1"/>
  <c r="P76"/>
  <c r="W75"/>
  <c r="X75" s="1"/>
  <c r="P75"/>
  <c r="W74"/>
  <c r="X74" s="1"/>
  <c r="W73"/>
  <c r="X73" s="1"/>
  <c r="W72"/>
  <c r="X72" s="1"/>
  <c r="P72"/>
  <c r="W71"/>
  <c r="X71" s="1"/>
  <c r="O71"/>
  <c r="W70"/>
  <c r="X70" s="1"/>
  <c r="W69"/>
  <c r="X69" s="1"/>
  <c r="O69"/>
  <c r="W68"/>
  <c r="X68" s="1"/>
  <c r="O68"/>
  <c r="W67"/>
  <c r="X67" s="1"/>
  <c r="W66"/>
  <c r="X66" s="1"/>
  <c r="W65"/>
  <c r="X65" s="1"/>
  <c r="W64"/>
  <c r="X64" s="1"/>
  <c r="O64"/>
  <c r="P64"/>
  <c r="W63"/>
  <c r="X63" s="1"/>
  <c r="O63"/>
  <c r="P63"/>
  <c r="W62"/>
  <c r="X62" s="1"/>
  <c r="W61"/>
  <c r="X61" s="1"/>
  <c r="W60"/>
  <c r="X60" s="1"/>
  <c r="W59"/>
  <c r="X59" s="1"/>
  <c r="W58"/>
  <c r="X58" s="1"/>
  <c r="W57"/>
  <c r="X57" s="1"/>
  <c r="W56"/>
  <c r="X56" s="1"/>
  <c r="W55"/>
  <c r="X55" s="1"/>
  <c r="W54"/>
  <c r="X54" s="1"/>
  <c r="W53"/>
  <c r="X53" s="1"/>
  <c r="W52"/>
  <c r="X52" s="1"/>
  <c r="W51"/>
  <c r="X51" s="1"/>
  <c r="W50"/>
  <c r="X50" s="1"/>
  <c r="W49"/>
  <c r="X49" s="1"/>
  <c r="W48"/>
  <c r="X48" s="1"/>
  <c r="W47"/>
  <c r="X47" s="1"/>
  <c r="W46"/>
  <c r="X46" s="1"/>
  <c r="W45"/>
  <c r="X45" s="1"/>
  <c r="W44"/>
  <c r="X44" s="1"/>
  <c r="W43"/>
  <c r="X43" s="1"/>
  <c r="W42"/>
  <c r="X42" s="1"/>
  <c r="W41"/>
  <c r="X41" s="1"/>
  <c r="W40"/>
  <c r="X40" s="1"/>
  <c r="W39"/>
  <c r="X39" s="1"/>
  <c r="W38"/>
  <c r="X38" s="1"/>
  <c r="W37"/>
  <c r="X37" s="1"/>
  <c r="W36"/>
  <c r="X36" s="1"/>
  <c r="W35"/>
  <c r="X35" s="1"/>
  <c r="W34"/>
  <c r="X34" s="1"/>
  <c r="W33"/>
  <c r="X33" s="1"/>
  <c r="W32"/>
  <c r="X32" s="1"/>
  <c r="W31"/>
  <c r="X31" s="1"/>
  <c r="W30"/>
  <c r="X30" s="1"/>
  <c r="W29"/>
  <c r="X29" s="1"/>
  <c r="O29"/>
  <c r="W28"/>
  <c r="X28" s="1"/>
  <c r="W27"/>
  <c r="X27" s="1"/>
  <c r="W26"/>
  <c r="X26" s="1"/>
  <c r="W25"/>
  <c r="X25" s="1"/>
  <c r="O25"/>
  <c r="W24"/>
  <c r="X24" s="1"/>
  <c r="W23"/>
  <c r="X23" s="1"/>
  <c r="W22"/>
  <c r="X22" s="1"/>
  <c r="W21"/>
  <c r="X21" s="1"/>
  <c r="W20"/>
  <c r="X20" s="1"/>
  <c r="W19"/>
  <c r="X19" s="1"/>
  <c r="W18"/>
  <c r="X18" s="1"/>
  <c r="W17"/>
  <c r="X17" s="1"/>
  <c r="W16"/>
  <c r="X16" s="1"/>
  <c r="W15"/>
  <c r="X15" s="1"/>
  <c r="W14"/>
  <c r="X14" s="1"/>
  <c r="W13"/>
  <c r="X13" s="1"/>
  <c r="W12"/>
  <c r="X12" s="1"/>
  <c r="W11"/>
  <c r="X11" s="1"/>
  <c r="W10"/>
  <c r="X10" s="1"/>
  <c r="W9"/>
  <c r="X9" s="1"/>
  <c r="W8"/>
  <c r="X8" s="1"/>
  <c r="W7"/>
  <c r="X7" s="1"/>
  <c r="W6"/>
  <c r="X6" s="1"/>
  <c r="W5"/>
  <c r="X5" s="1"/>
  <c r="W4"/>
  <c r="X4" s="1"/>
  <c r="W3"/>
  <c r="X3" s="1"/>
  <c r="W2"/>
  <c r="X2" s="1"/>
  <c r="D3" i="3"/>
  <c r="D4"/>
  <c r="D5"/>
  <c r="D6"/>
  <c r="D7"/>
  <c r="D8"/>
  <c r="D9"/>
  <c r="D10"/>
  <c r="D11"/>
  <c r="D12"/>
  <c r="D13"/>
  <c r="D14"/>
  <c r="D15"/>
  <c r="D16"/>
  <c r="D19"/>
  <c r="D20"/>
  <c r="D21"/>
  <c r="D23"/>
  <c r="D24"/>
  <c r="D25"/>
  <c r="D26"/>
  <c r="D27"/>
  <c r="D28"/>
  <c r="D29"/>
  <c r="D30"/>
  <c r="D31"/>
  <c r="D32"/>
  <c r="D33"/>
  <c r="D35"/>
  <c r="D2"/>
  <c r="C3"/>
  <c r="C4"/>
  <c r="C5"/>
  <c r="C6"/>
  <c r="C7"/>
  <c r="C8"/>
  <c r="C9"/>
  <c r="C10"/>
  <c r="C11"/>
  <c r="C12"/>
  <c r="C13"/>
  <c r="C14"/>
  <c r="C15"/>
  <c r="C16"/>
  <c r="C19"/>
  <c r="C20"/>
  <c r="C21"/>
  <c r="C22"/>
  <c r="C23"/>
  <c r="C24"/>
  <c r="C25"/>
  <c r="C26"/>
  <c r="C27"/>
  <c r="C28"/>
  <c r="C31"/>
  <c r="C32"/>
  <c r="C33"/>
  <c r="C35"/>
  <c r="C2"/>
  <c r="B3"/>
  <c r="B4"/>
  <c r="B5"/>
  <c r="B6"/>
  <c r="B7"/>
  <c r="B8"/>
  <c r="B9"/>
  <c r="B10"/>
  <c r="B11"/>
  <c r="B12"/>
  <c r="B13"/>
  <c r="B14"/>
  <c r="B15"/>
  <c r="B16"/>
  <c r="B19"/>
  <c r="B20"/>
  <c r="B21"/>
  <c r="B22"/>
  <c r="B23"/>
  <c r="B24"/>
  <c r="B25"/>
  <c r="B26"/>
  <c r="B27"/>
  <c r="B28"/>
  <c r="B29"/>
  <c r="B30"/>
  <c r="B31"/>
  <c r="B32"/>
  <c r="B33"/>
  <c r="B2"/>
  <c r="D3" i="21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"/>
  <c r="B2"/>
  <c r="C3" i="19"/>
  <c r="C4"/>
  <c r="C5"/>
  <c r="C6"/>
  <c r="C7"/>
  <c r="C8"/>
  <c r="C9"/>
  <c r="C10"/>
  <c r="C12"/>
  <c r="C13"/>
  <c r="C14"/>
  <c r="C15"/>
  <c r="C16"/>
  <c r="C17"/>
  <c r="C18"/>
  <c r="C19"/>
  <c r="C20"/>
  <c r="C21"/>
  <c r="C22"/>
  <c r="C23"/>
  <c r="C24"/>
  <c r="C25"/>
  <c r="C26"/>
  <c r="C27"/>
  <c r="C2"/>
  <c r="B3"/>
  <c r="B4"/>
  <c r="B6"/>
  <c r="B7"/>
  <c r="B8"/>
  <c r="B9"/>
  <c r="B10"/>
  <c r="B12"/>
  <c r="B13"/>
  <c r="B14"/>
  <c r="B15"/>
  <c r="B16"/>
  <c r="B17"/>
  <c r="B18"/>
  <c r="B19"/>
  <c r="B20"/>
  <c r="B21"/>
  <c r="B22"/>
  <c r="B23"/>
  <c r="B24"/>
  <c r="B25"/>
  <c r="B26"/>
  <c r="B2"/>
  <c r="B32"/>
  <c r="B33"/>
  <c r="B34"/>
  <c r="B35"/>
  <c r="W3" i="6"/>
  <c r="X3" s="1"/>
  <c r="G60" i="13"/>
  <c r="W4" i="6"/>
  <c r="X4" s="1"/>
  <c r="W5"/>
  <c r="X5" s="1"/>
  <c r="W6"/>
  <c r="X6" s="1"/>
  <c r="W7"/>
  <c r="X7" s="1"/>
  <c r="W8"/>
  <c r="X8" s="1"/>
  <c r="W9"/>
  <c r="X9" s="1"/>
  <c r="W10"/>
  <c r="X10" s="1"/>
  <c r="W11"/>
  <c r="X11" s="1"/>
  <c r="W12"/>
  <c r="X12" s="1"/>
  <c r="W13"/>
  <c r="X13" s="1"/>
  <c r="W14"/>
  <c r="X14" s="1"/>
  <c r="W15"/>
  <c r="X15" s="1"/>
  <c r="W16"/>
  <c r="X16" s="1"/>
  <c r="W17"/>
  <c r="X17" s="1"/>
  <c r="W18"/>
  <c r="X18" s="1"/>
  <c r="W19"/>
  <c r="X19" s="1"/>
  <c r="W20"/>
  <c r="X20" s="1"/>
  <c r="W21"/>
  <c r="X21" s="1"/>
  <c r="W22"/>
  <c r="X22" s="1"/>
  <c r="W23"/>
  <c r="X23" s="1"/>
  <c r="W24"/>
  <c r="X24" s="1"/>
  <c r="W25"/>
  <c r="X25" s="1"/>
  <c r="W26"/>
  <c r="X26" s="1"/>
  <c r="W27"/>
  <c r="X27" s="1"/>
  <c r="W28"/>
  <c r="X28" s="1"/>
  <c r="W29"/>
  <c r="X29" s="1"/>
  <c r="W30"/>
  <c r="X30" s="1"/>
  <c r="W31"/>
  <c r="X31" s="1"/>
  <c r="W32"/>
  <c r="X32" s="1"/>
  <c r="W33"/>
  <c r="X33" s="1"/>
  <c r="W34"/>
  <c r="X34" s="1"/>
  <c r="W35"/>
  <c r="X35" s="1"/>
  <c r="W36"/>
  <c r="X36" s="1"/>
  <c r="W37"/>
  <c r="X37" s="1"/>
  <c r="W38"/>
  <c r="X38" s="1"/>
  <c r="W39"/>
  <c r="X39" s="1"/>
  <c r="W40"/>
  <c r="X40" s="1"/>
  <c r="W41"/>
  <c r="X41" s="1"/>
  <c r="W42"/>
  <c r="X42" s="1"/>
  <c r="W43"/>
  <c r="X43" s="1"/>
  <c r="W44"/>
  <c r="X44" s="1"/>
  <c r="W45"/>
  <c r="X45" s="1"/>
  <c r="W46"/>
  <c r="X46" s="1"/>
  <c r="W47"/>
  <c r="X47" s="1"/>
  <c r="W48"/>
  <c r="X48" s="1"/>
  <c r="W49"/>
  <c r="X49" s="1"/>
  <c r="W50"/>
  <c r="X50" s="1"/>
  <c r="W51"/>
  <c r="X51" s="1"/>
  <c r="W52"/>
  <c r="X52" s="1"/>
  <c r="W53"/>
  <c r="X53" s="1"/>
  <c r="W54"/>
  <c r="X54" s="1"/>
  <c r="W55"/>
  <c r="X55" s="1"/>
  <c r="W56"/>
  <c r="X56" s="1"/>
  <c r="W57"/>
  <c r="X57" s="1"/>
  <c r="W58"/>
  <c r="X58" s="1"/>
  <c r="W59"/>
  <c r="X59" s="1"/>
  <c r="W60"/>
  <c r="X60" s="1"/>
  <c r="W61"/>
  <c r="X61" s="1"/>
  <c r="W62"/>
  <c r="X62" s="1"/>
  <c r="W63"/>
  <c r="X63" s="1"/>
  <c r="W64"/>
  <c r="X64" s="1"/>
  <c r="W65"/>
  <c r="X65" s="1"/>
  <c r="W66"/>
  <c r="X66" s="1"/>
  <c r="W67"/>
  <c r="X67" s="1"/>
  <c r="W68"/>
  <c r="X68" s="1"/>
  <c r="W69"/>
  <c r="X69" s="1"/>
  <c r="W70"/>
  <c r="X70" s="1"/>
  <c r="W71"/>
  <c r="X71" s="1"/>
  <c r="W72"/>
  <c r="X72" s="1"/>
  <c r="W73"/>
  <c r="X73" s="1"/>
  <c r="W74"/>
  <c r="X74" s="1"/>
  <c r="W75"/>
  <c r="X75" s="1"/>
  <c r="W76"/>
  <c r="X76" s="1"/>
  <c r="W77"/>
  <c r="X77" s="1"/>
  <c r="W78"/>
  <c r="X78" s="1"/>
  <c r="W79"/>
  <c r="X79" s="1"/>
  <c r="W80"/>
  <c r="X80" s="1"/>
  <c r="W81"/>
  <c r="X81" s="1"/>
  <c r="W82"/>
  <c r="X82" s="1"/>
  <c r="W83"/>
  <c r="X83" s="1"/>
  <c r="W84"/>
  <c r="X84" s="1"/>
  <c r="W85"/>
  <c r="X85" s="1"/>
  <c r="W86"/>
  <c r="X86" s="1"/>
  <c r="W87"/>
  <c r="X87" s="1"/>
  <c r="W88"/>
  <c r="X88" s="1"/>
  <c r="W89"/>
  <c r="X89" s="1"/>
  <c r="W90"/>
  <c r="X90" s="1"/>
  <c r="W91"/>
  <c r="X91" s="1"/>
  <c r="W92"/>
  <c r="X92" s="1"/>
  <c r="W93"/>
  <c r="X93" s="1"/>
  <c r="W94"/>
  <c r="X94" s="1"/>
  <c r="W95"/>
  <c r="X95" s="1"/>
  <c r="W96"/>
  <c r="X96" s="1"/>
  <c r="W97"/>
  <c r="X97" s="1"/>
  <c r="W98"/>
  <c r="X98" s="1"/>
  <c r="W99"/>
  <c r="X99" s="1"/>
  <c r="W100"/>
  <c r="X100" s="1"/>
  <c r="W101"/>
  <c r="X101" s="1"/>
  <c r="W102"/>
  <c r="X102" s="1"/>
  <c r="W103"/>
  <c r="X103" s="1"/>
  <c r="W104"/>
  <c r="X104" s="1"/>
  <c r="W105"/>
  <c r="X105" s="1"/>
  <c r="W106"/>
  <c r="X106" s="1"/>
  <c r="W107"/>
  <c r="X107" s="1"/>
  <c r="W108"/>
  <c r="X108" s="1"/>
  <c r="W109"/>
  <c r="X109" s="1"/>
  <c r="W110"/>
  <c r="X110" s="1"/>
  <c r="W111"/>
  <c r="X111" s="1"/>
  <c r="W112"/>
  <c r="X112" s="1"/>
  <c r="W113"/>
  <c r="X113" s="1"/>
  <c r="W114"/>
  <c r="X114" s="1"/>
  <c r="W115"/>
  <c r="X115" s="1"/>
  <c r="W116"/>
  <c r="X116" s="1"/>
  <c r="W117"/>
  <c r="X117" s="1"/>
  <c r="W118"/>
  <c r="X118" s="1"/>
  <c r="W119"/>
  <c r="X119" s="1"/>
  <c r="W120"/>
  <c r="X120" s="1"/>
  <c r="W121"/>
  <c r="X121" s="1"/>
  <c r="W122"/>
  <c r="X122" s="1"/>
  <c r="W123"/>
  <c r="X123" s="1"/>
  <c r="W124"/>
  <c r="X124" s="1"/>
  <c r="W125"/>
  <c r="X125" s="1"/>
  <c r="W126"/>
  <c r="X126" s="1"/>
  <c r="W127"/>
  <c r="X127" s="1"/>
  <c r="W128"/>
  <c r="X128" s="1"/>
  <c r="W129"/>
  <c r="X129" s="1"/>
  <c r="W130"/>
  <c r="X130" s="1"/>
  <c r="W131"/>
  <c r="X131" s="1"/>
  <c r="W132"/>
  <c r="X132" s="1"/>
  <c r="W133"/>
  <c r="X133" s="1"/>
  <c r="W134"/>
  <c r="X134" s="1"/>
  <c r="W135"/>
  <c r="X135" s="1"/>
  <c r="W136"/>
  <c r="X136" s="1"/>
  <c r="W137"/>
  <c r="X137" s="1"/>
  <c r="W138"/>
  <c r="X138" s="1"/>
  <c r="W139"/>
  <c r="X139" s="1"/>
  <c r="W140"/>
  <c r="X140" s="1"/>
  <c r="W141"/>
  <c r="X141" s="1"/>
  <c r="W142"/>
  <c r="X142" s="1"/>
  <c r="W143"/>
  <c r="X143" s="1"/>
  <c r="W144"/>
  <c r="X144" s="1"/>
  <c r="W145"/>
  <c r="X145" s="1"/>
  <c r="W146"/>
  <c r="X146" s="1"/>
  <c r="W147"/>
  <c r="X147" s="1"/>
  <c r="W148"/>
  <c r="X148" s="1"/>
  <c r="W149"/>
  <c r="X149" s="1"/>
  <c r="W150"/>
  <c r="X150" s="1"/>
  <c r="W151"/>
  <c r="X151" s="1"/>
  <c r="W152"/>
  <c r="X152" s="1"/>
  <c r="W153"/>
  <c r="X153" s="1"/>
  <c r="W154"/>
  <c r="X154" s="1"/>
  <c r="W155"/>
  <c r="X155" s="1"/>
  <c r="W156"/>
  <c r="X156" s="1"/>
  <c r="W157"/>
  <c r="X157" s="1"/>
  <c r="W158"/>
  <c r="X158" s="1"/>
  <c r="W159"/>
  <c r="X159" s="1"/>
  <c r="W160"/>
  <c r="X160" s="1"/>
  <c r="W161"/>
  <c r="X161" s="1"/>
  <c r="W162"/>
  <c r="X162" s="1"/>
  <c r="W163"/>
  <c r="X163" s="1"/>
  <c r="W164"/>
  <c r="X164" s="1"/>
  <c r="W165"/>
  <c r="X165" s="1"/>
  <c r="W166"/>
  <c r="X166" s="1"/>
  <c r="W167"/>
  <c r="X167" s="1"/>
  <c r="W168"/>
  <c r="X168" s="1"/>
  <c r="W169"/>
  <c r="X169" s="1"/>
  <c r="W170"/>
  <c r="X170" s="1"/>
  <c r="W171"/>
  <c r="X171" s="1"/>
  <c r="W172"/>
  <c r="X172" s="1"/>
  <c r="W173"/>
  <c r="X173" s="1"/>
  <c r="W174"/>
  <c r="X174" s="1"/>
  <c r="W175"/>
  <c r="X175" s="1"/>
  <c r="W176"/>
  <c r="X176" s="1"/>
  <c r="W177"/>
  <c r="X177" s="1"/>
  <c r="W178"/>
  <c r="X178" s="1"/>
  <c r="W179"/>
  <c r="X179" s="1"/>
  <c r="W180"/>
  <c r="X180" s="1"/>
  <c r="W181"/>
  <c r="X181" s="1"/>
  <c r="W182"/>
  <c r="X182" s="1"/>
  <c r="W183"/>
  <c r="X183" s="1"/>
  <c r="W184"/>
  <c r="X184" s="1"/>
  <c r="W185"/>
  <c r="X185" s="1"/>
  <c r="W186"/>
  <c r="X186" s="1"/>
  <c r="W187"/>
  <c r="X187" s="1"/>
  <c r="W188"/>
  <c r="X188" s="1"/>
  <c r="W189"/>
  <c r="X189" s="1"/>
  <c r="W190"/>
  <c r="X190" s="1"/>
  <c r="W191"/>
  <c r="X191" s="1"/>
  <c r="W192"/>
  <c r="X192" s="1"/>
  <c r="W193"/>
  <c r="X193" s="1"/>
  <c r="W194"/>
  <c r="X194" s="1"/>
  <c r="W195"/>
  <c r="X195" s="1"/>
  <c r="W196"/>
  <c r="X196" s="1"/>
  <c r="W197"/>
  <c r="X197" s="1"/>
  <c r="W198"/>
  <c r="X198" s="1"/>
  <c r="W199"/>
  <c r="X199" s="1"/>
  <c r="W200"/>
  <c r="X200" s="1"/>
  <c r="W201"/>
  <c r="X201" s="1"/>
  <c r="W202"/>
  <c r="X202" s="1"/>
  <c r="W203"/>
  <c r="X203" s="1"/>
  <c r="W204"/>
  <c r="X204" s="1"/>
  <c r="W205"/>
  <c r="X205" s="1"/>
  <c r="W206"/>
  <c r="X206" s="1"/>
  <c r="W207"/>
  <c r="X207" s="1"/>
  <c r="W208"/>
  <c r="X208" s="1"/>
  <c r="W209"/>
  <c r="X209" s="1"/>
  <c r="W210"/>
  <c r="X210" s="1"/>
  <c r="W211"/>
  <c r="X211" s="1"/>
  <c r="W212"/>
  <c r="X212" s="1"/>
  <c r="W213"/>
  <c r="X213" s="1"/>
  <c r="W214"/>
  <c r="X214" s="1"/>
  <c r="W215"/>
  <c r="X215" s="1"/>
  <c r="W216"/>
  <c r="X216" s="1"/>
  <c r="W217"/>
  <c r="X217" s="1"/>
  <c r="W218"/>
  <c r="X218" s="1"/>
  <c r="W219"/>
  <c r="X219" s="1"/>
  <c r="W220"/>
  <c r="X220" s="1"/>
  <c r="W221"/>
  <c r="X221" s="1"/>
  <c r="W222"/>
  <c r="X222" s="1"/>
  <c r="W223"/>
  <c r="X223" s="1"/>
  <c r="W224"/>
  <c r="X224" s="1"/>
  <c r="W225"/>
  <c r="X225" s="1"/>
  <c r="W226"/>
  <c r="X226" s="1"/>
  <c r="W227"/>
  <c r="X227" s="1"/>
  <c r="W228"/>
  <c r="X228" s="1"/>
  <c r="W229"/>
  <c r="X229" s="1"/>
  <c r="W230"/>
  <c r="X230" s="1"/>
  <c r="W231"/>
  <c r="X231" s="1"/>
  <c r="W232"/>
  <c r="X232" s="1"/>
  <c r="W233"/>
  <c r="X233" s="1"/>
  <c r="W234"/>
  <c r="X234" s="1"/>
  <c r="W235"/>
  <c r="X235" s="1"/>
  <c r="W236"/>
  <c r="X236" s="1"/>
  <c r="W237"/>
  <c r="X237" s="1"/>
  <c r="W238"/>
  <c r="X238" s="1"/>
  <c r="W239"/>
  <c r="X239" s="1"/>
  <c r="W240"/>
  <c r="X240" s="1"/>
  <c r="W241"/>
  <c r="X241" s="1"/>
  <c r="W242"/>
  <c r="X242" s="1"/>
  <c r="W243"/>
  <c r="X243" s="1"/>
  <c r="W244"/>
  <c r="X244" s="1"/>
  <c r="W245"/>
  <c r="X245" s="1"/>
  <c r="W246"/>
  <c r="X246" s="1"/>
  <c r="W247"/>
  <c r="X247" s="1"/>
  <c r="W248"/>
  <c r="X248" s="1"/>
  <c r="W249"/>
  <c r="X249" s="1"/>
  <c r="W250"/>
  <c r="X250" s="1"/>
  <c r="W251"/>
  <c r="X251" s="1"/>
  <c r="W252"/>
  <c r="X252" s="1"/>
  <c r="W253"/>
  <c r="X253" s="1"/>
  <c r="W254"/>
  <c r="X254" s="1"/>
  <c r="W255"/>
  <c r="X255" s="1"/>
  <c r="W256"/>
  <c r="X256" s="1"/>
  <c r="W257"/>
  <c r="X257" s="1"/>
  <c r="W258"/>
  <c r="X258" s="1"/>
  <c r="W259"/>
  <c r="X259" s="1"/>
  <c r="W260"/>
  <c r="X260" s="1"/>
  <c r="W261"/>
  <c r="X261" s="1"/>
  <c r="W262"/>
  <c r="X262" s="1"/>
  <c r="W263"/>
  <c r="X263" s="1"/>
  <c r="W264"/>
  <c r="X264" s="1"/>
  <c r="W265"/>
  <c r="X265" s="1"/>
  <c r="W266"/>
  <c r="X266" s="1"/>
  <c r="W267"/>
  <c r="X267" s="1"/>
  <c r="W268"/>
  <c r="X268" s="1"/>
  <c r="W269"/>
  <c r="X269" s="1"/>
  <c r="W270"/>
  <c r="X270" s="1"/>
  <c r="W271"/>
  <c r="X271" s="1"/>
  <c r="W272"/>
  <c r="X272" s="1"/>
  <c r="W273"/>
  <c r="X273" s="1"/>
  <c r="W274"/>
  <c r="X274" s="1"/>
  <c r="W275"/>
  <c r="X275" s="1"/>
  <c r="W276"/>
  <c r="X276" s="1"/>
  <c r="W277"/>
  <c r="X277" s="1"/>
  <c r="W278"/>
  <c r="X278" s="1"/>
  <c r="W279"/>
  <c r="X279" s="1"/>
  <c r="W280"/>
  <c r="X280" s="1"/>
  <c r="W281"/>
  <c r="X281" s="1"/>
  <c r="W282"/>
  <c r="X282" s="1"/>
  <c r="W283"/>
  <c r="X283" s="1"/>
  <c r="W284"/>
  <c r="X284" s="1"/>
  <c r="W285"/>
  <c r="X285" s="1"/>
  <c r="W286"/>
  <c r="X286" s="1"/>
  <c r="W287"/>
  <c r="X287" s="1"/>
  <c r="W288"/>
  <c r="X288" s="1"/>
  <c r="W289"/>
  <c r="X289" s="1"/>
  <c r="W290"/>
  <c r="X290" s="1"/>
  <c r="W291"/>
  <c r="X291" s="1"/>
  <c r="W292"/>
  <c r="X292" s="1"/>
  <c r="W293"/>
  <c r="X293" s="1"/>
  <c r="W294"/>
  <c r="X294" s="1"/>
  <c r="W295"/>
  <c r="X295" s="1"/>
  <c r="W296"/>
  <c r="X296" s="1"/>
  <c r="W297"/>
  <c r="X297" s="1"/>
  <c r="W298"/>
  <c r="X298" s="1"/>
  <c r="W299"/>
  <c r="X299" s="1"/>
  <c r="W300"/>
  <c r="X300" s="1"/>
  <c r="W301"/>
  <c r="X301" s="1"/>
  <c r="W302"/>
  <c r="X302" s="1"/>
  <c r="W303"/>
  <c r="X303" s="1"/>
  <c r="W304"/>
  <c r="X304" s="1"/>
  <c r="W305"/>
  <c r="X305" s="1"/>
  <c r="W306"/>
  <c r="X306" s="1"/>
  <c r="W307"/>
  <c r="X307" s="1"/>
  <c r="W308"/>
  <c r="X308" s="1"/>
  <c r="W309"/>
  <c r="X309" s="1"/>
  <c r="W310"/>
  <c r="X310" s="1"/>
  <c r="W311"/>
  <c r="X311" s="1"/>
  <c r="W312"/>
  <c r="X312" s="1"/>
  <c r="W313"/>
  <c r="X313" s="1"/>
  <c r="W314"/>
  <c r="X314" s="1"/>
  <c r="W315"/>
  <c r="X315" s="1"/>
  <c r="W316"/>
  <c r="X316" s="1"/>
  <c r="W317"/>
  <c r="X317" s="1"/>
  <c r="W318"/>
  <c r="X318" s="1"/>
  <c r="W319"/>
  <c r="X319" s="1"/>
  <c r="W320"/>
  <c r="X320" s="1"/>
  <c r="W321"/>
  <c r="X321" s="1"/>
  <c r="W322"/>
  <c r="X322" s="1"/>
  <c r="W323"/>
  <c r="X323" s="1"/>
  <c r="W324"/>
  <c r="X324" s="1"/>
  <c r="W325"/>
  <c r="X325" s="1"/>
  <c r="W326"/>
  <c r="X326" s="1"/>
  <c r="W327"/>
  <c r="X327" s="1"/>
  <c r="W328"/>
  <c r="X328" s="1"/>
  <c r="W329"/>
  <c r="X329" s="1"/>
  <c r="W330"/>
  <c r="X330" s="1"/>
  <c r="W331"/>
  <c r="X331" s="1"/>
  <c r="W332"/>
  <c r="X332" s="1"/>
  <c r="W333"/>
  <c r="X333" s="1"/>
  <c r="W334"/>
  <c r="X334" s="1"/>
  <c r="W335"/>
  <c r="X335" s="1"/>
  <c r="W336"/>
  <c r="X336" s="1"/>
  <c r="W337"/>
  <c r="X337" s="1"/>
  <c r="W338"/>
  <c r="X338" s="1"/>
  <c r="W339"/>
  <c r="X339" s="1"/>
  <c r="W340"/>
  <c r="X340" s="1"/>
  <c r="W341"/>
  <c r="X341" s="1"/>
  <c r="W342"/>
  <c r="X342" s="1"/>
  <c r="W343"/>
  <c r="X343" s="1"/>
  <c r="W344"/>
  <c r="X344" s="1"/>
  <c r="W345"/>
  <c r="X345" s="1"/>
  <c r="W346"/>
  <c r="X346" s="1"/>
  <c r="W347"/>
  <c r="X347" s="1"/>
  <c r="W348"/>
  <c r="X348" s="1"/>
  <c r="W349"/>
  <c r="X349" s="1"/>
  <c r="W350"/>
  <c r="X350" s="1"/>
  <c r="W351"/>
  <c r="X351" s="1"/>
  <c r="W352"/>
  <c r="X352" s="1"/>
  <c r="W353"/>
  <c r="X353" s="1"/>
  <c r="W354"/>
  <c r="X354" s="1"/>
  <c r="W355"/>
  <c r="X355" s="1"/>
  <c r="W356"/>
  <c r="X356" s="1"/>
  <c r="W357"/>
  <c r="X357" s="1"/>
  <c r="W358"/>
  <c r="X358" s="1"/>
  <c r="W359"/>
  <c r="X359" s="1"/>
  <c r="W360"/>
  <c r="X360" s="1"/>
  <c r="W361"/>
  <c r="X361" s="1"/>
  <c r="W362"/>
  <c r="X362" s="1"/>
  <c r="W363"/>
  <c r="X363" s="1"/>
  <c r="W364"/>
  <c r="X364" s="1"/>
  <c r="W365"/>
  <c r="X365" s="1"/>
  <c r="W366"/>
  <c r="X366" s="1"/>
  <c r="W367"/>
  <c r="X367" s="1"/>
  <c r="W368"/>
  <c r="X368" s="1"/>
  <c r="W369"/>
  <c r="X369" s="1"/>
  <c r="W370"/>
  <c r="X370" s="1"/>
  <c r="W371"/>
  <c r="X371" s="1"/>
  <c r="W372"/>
  <c r="X372" s="1"/>
  <c r="W373"/>
  <c r="X373" s="1"/>
  <c r="W374"/>
  <c r="X374" s="1"/>
  <c r="W375"/>
  <c r="X375" s="1"/>
  <c r="W376"/>
  <c r="X376" s="1"/>
  <c r="W377"/>
  <c r="X377" s="1"/>
  <c r="W378"/>
  <c r="X378" s="1"/>
  <c r="W379"/>
  <c r="X379" s="1"/>
  <c r="W380"/>
  <c r="X380" s="1"/>
  <c r="W381"/>
  <c r="X381" s="1"/>
  <c r="W382"/>
  <c r="X382" s="1"/>
  <c r="W383"/>
  <c r="X383" s="1"/>
  <c r="W384"/>
  <c r="X384" s="1"/>
  <c r="W385"/>
  <c r="X385" s="1"/>
  <c r="W386"/>
  <c r="X386" s="1"/>
  <c r="W387"/>
  <c r="X387" s="1"/>
  <c r="W388"/>
  <c r="X388" s="1"/>
  <c r="W389"/>
  <c r="X389" s="1"/>
  <c r="W390"/>
  <c r="X390" s="1"/>
  <c r="W391"/>
  <c r="X391" s="1"/>
  <c r="W392"/>
  <c r="X392" s="1"/>
  <c r="W393"/>
  <c r="X393" s="1"/>
  <c r="W394"/>
  <c r="X394" s="1"/>
  <c r="W395"/>
  <c r="X395" s="1"/>
  <c r="W396"/>
  <c r="X396" s="1"/>
  <c r="W397"/>
  <c r="X397" s="1"/>
  <c r="W398"/>
  <c r="X398" s="1"/>
  <c r="W399"/>
  <c r="X399" s="1"/>
  <c r="W400"/>
  <c r="X400" s="1"/>
  <c r="W401"/>
  <c r="X401" s="1"/>
  <c r="W402"/>
  <c r="X402" s="1"/>
  <c r="W403"/>
  <c r="X403" s="1"/>
  <c r="W404"/>
  <c r="X404" s="1"/>
  <c r="W405"/>
  <c r="X405" s="1"/>
  <c r="W406"/>
  <c r="X406" s="1"/>
  <c r="W407"/>
  <c r="X407" s="1"/>
  <c r="W408"/>
  <c r="X408" s="1"/>
  <c r="W409"/>
  <c r="X409" s="1"/>
  <c r="W410"/>
  <c r="X410" s="1"/>
  <c r="W411"/>
  <c r="X411" s="1"/>
  <c r="W412"/>
  <c r="X412" s="1"/>
  <c r="W413"/>
  <c r="X413" s="1"/>
  <c r="W414"/>
  <c r="X414" s="1"/>
  <c r="W415"/>
  <c r="X415" s="1"/>
  <c r="W416"/>
  <c r="X416" s="1"/>
  <c r="W417"/>
  <c r="X417" s="1"/>
  <c r="W418"/>
  <c r="X418" s="1"/>
  <c r="W419"/>
  <c r="X419" s="1"/>
  <c r="W420"/>
  <c r="X420" s="1"/>
  <c r="W421"/>
  <c r="X421" s="1"/>
  <c r="W422"/>
  <c r="X422" s="1"/>
  <c r="W423"/>
  <c r="X423" s="1"/>
  <c r="W424"/>
  <c r="X424" s="1"/>
  <c r="W425"/>
  <c r="X425" s="1"/>
  <c r="W426"/>
  <c r="X426" s="1"/>
  <c r="W427"/>
  <c r="X427" s="1"/>
  <c r="W428"/>
  <c r="X428" s="1"/>
  <c r="W429"/>
  <c r="X429" s="1"/>
  <c r="W430"/>
  <c r="X430" s="1"/>
  <c r="W431"/>
  <c r="X431" s="1"/>
  <c r="W432"/>
  <c r="X432" s="1"/>
  <c r="W433"/>
  <c r="X433" s="1"/>
  <c r="W434"/>
  <c r="X434" s="1"/>
  <c r="W435"/>
  <c r="X435" s="1"/>
  <c r="W436"/>
  <c r="X436" s="1"/>
  <c r="W437"/>
  <c r="X437" s="1"/>
  <c r="W438"/>
  <c r="X438" s="1"/>
  <c r="W439"/>
  <c r="X439" s="1"/>
  <c r="W440"/>
  <c r="X440" s="1"/>
  <c r="W441"/>
  <c r="X441" s="1"/>
  <c r="W442"/>
  <c r="X442" s="1"/>
  <c r="W443"/>
  <c r="X443" s="1"/>
  <c r="W444"/>
  <c r="X444" s="1"/>
  <c r="W445"/>
  <c r="X445" s="1"/>
  <c r="W446"/>
  <c r="X446" s="1"/>
  <c r="W447"/>
  <c r="X447" s="1"/>
  <c r="W448"/>
  <c r="X448" s="1"/>
  <c r="W449"/>
  <c r="X449" s="1"/>
  <c r="W450"/>
  <c r="X450" s="1"/>
  <c r="W451"/>
  <c r="X451" s="1"/>
  <c r="W452"/>
  <c r="X452" s="1"/>
  <c r="W453"/>
  <c r="X453" s="1"/>
  <c r="W454"/>
  <c r="X454" s="1"/>
  <c r="W455"/>
  <c r="X455" s="1"/>
  <c r="W456"/>
  <c r="X456" s="1"/>
  <c r="W457"/>
  <c r="X457" s="1"/>
  <c r="W458"/>
  <c r="X458" s="1"/>
  <c r="W459"/>
  <c r="X459" s="1"/>
  <c r="W460"/>
  <c r="X460" s="1"/>
  <c r="W461"/>
  <c r="X461" s="1"/>
  <c r="W462"/>
  <c r="X462" s="1"/>
  <c r="W463"/>
  <c r="X463" s="1"/>
  <c r="W464"/>
  <c r="X464" s="1"/>
  <c r="W465"/>
  <c r="X465" s="1"/>
  <c r="W466"/>
  <c r="X466" s="1"/>
  <c r="W467"/>
  <c r="X467" s="1"/>
  <c r="W468"/>
  <c r="X468" s="1"/>
  <c r="W469"/>
  <c r="X469" s="1"/>
  <c r="W470"/>
  <c r="X470" s="1"/>
  <c r="W471"/>
  <c r="X471" s="1"/>
  <c r="W472"/>
  <c r="X472" s="1"/>
  <c r="W473"/>
  <c r="X473" s="1"/>
  <c r="W474"/>
  <c r="X474" s="1"/>
  <c r="W475"/>
  <c r="X475" s="1"/>
  <c r="W476"/>
  <c r="X476" s="1"/>
  <c r="W477"/>
  <c r="X477" s="1"/>
  <c r="W478"/>
  <c r="X478" s="1"/>
  <c r="W479"/>
  <c r="X479" s="1"/>
  <c r="W480"/>
  <c r="X480" s="1"/>
  <c r="W481"/>
  <c r="X481" s="1"/>
  <c r="W482"/>
  <c r="X482" s="1"/>
  <c r="W483"/>
  <c r="X483" s="1"/>
  <c r="W484"/>
  <c r="X484" s="1"/>
  <c r="W485"/>
  <c r="X485" s="1"/>
  <c r="W486"/>
  <c r="X486" s="1"/>
  <c r="W487"/>
  <c r="X487" s="1"/>
  <c r="W488"/>
  <c r="X488" s="1"/>
  <c r="W489"/>
  <c r="X489" s="1"/>
  <c r="W490"/>
  <c r="X490" s="1"/>
  <c r="W491"/>
  <c r="X491" s="1"/>
  <c r="W492"/>
  <c r="X492" s="1"/>
  <c r="W493"/>
  <c r="X493" s="1"/>
  <c r="W494"/>
  <c r="X494" s="1"/>
  <c r="W495"/>
  <c r="X495" s="1"/>
  <c r="W496"/>
  <c r="X496" s="1"/>
  <c r="W497"/>
  <c r="X497" s="1"/>
  <c r="W498"/>
  <c r="X498" s="1"/>
  <c r="W499"/>
  <c r="X499" s="1"/>
  <c r="W500"/>
  <c r="X500" s="1"/>
  <c r="W501"/>
  <c r="X501" s="1"/>
  <c r="W502"/>
  <c r="X502" s="1"/>
  <c r="W503"/>
  <c r="X503" s="1"/>
  <c r="W504"/>
  <c r="X504" s="1"/>
  <c r="W505"/>
  <c r="X505" s="1"/>
  <c r="W506"/>
  <c r="X506" s="1"/>
  <c r="W507"/>
  <c r="X507" s="1"/>
  <c r="W508"/>
  <c r="X508" s="1"/>
  <c r="W509"/>
  <c r="X509" s="1"/>
  <c r="W510"/>
  <c r="X510" s="1"/>
  <c r="W511"/>
  <c r="X511" s="1"/>
  <c r="W512"/>
  <c r="X512" s="1"/>
  <c r="W513"/>
  <c r="X513" s="1"/>
  <c r="W514"/>
  <c r="X514" s="1"/>
  <c r="W515"/>
  <c r="X515" s="1"/>
  <c r="W516"/>
  <c r="X516" s="1"/>
  <c r="W517"/>
  <c r="X517" s="1"/>
  <c r="W518"/>
  <c r="X518" s="1"/>
  <c r="W519"/>
  <c r="X519" s="1"/>
  <c r="W520"/>
  <c r="X520" s="1"/>
  <c r="W521"/>
  <c r="X521" s="1"/>
  <c r="W522"/>
  <c r="X522" s="1"/>
  <c r="W523"/>
  <c r="X523" s="1"/>
  <c r="W524"/>
  <c r="X524" s="1"/>
  <c r="W525"/>
  <c r="X525" s="1"/>
  <c r="W526"/>
  <c r="X526" s="1"/>
  <c r="W527"/>
  <c r="X527" s="1"/>
  <c r="W528"/>
  <c r="X528" s="1"/>
  <c r="W529"/>
  <c r="X529" s="1"/>
  <c r="W530"/>
  <c r="X530" s="1"/>
  <c r="W531"/>
  <c r="X531" s="1"/>
  <c r="W532"/>
  <c r="X532" s="1"/>
  <c r="W533"/>
  <c r="X533" s="1"/>
  <c r="W534"/>
  <c r="X534" s="1"/>
  <c r="W535"/>
  <c r="X535" s="1"/>
  <c r="W536"/>
  <c r="X536" s="1"/>
  <c r="W537"/>
  <c r="X537" s="1"/>
  <c r="W538"/>
  <c r="X538" s="1"/>
  <c r="W539"/>
  <c r="X539" s="1"/>
  <c r="W540"/>
  <c r="X540" s="1"/>
  <c r="W541"/>
  <c r="X541" s="1"/>
  <c r="W542"/>
  <c r="X542" s="1"/>
  <c r="W543"/>
  <c r="X543" s="1"/>
  <c r="W544"/>
  <c r="X544" s="1"/>
  <c r="W545"/>
  <c r="X545" s="1"/>
  <c r="W546"/>
  <c r="X546" s="1"/>
  <c r="W547"/>
  <c r="X547" s="1"/>
  <c r="W548"/>
  <c r="X548" s="1"/>
  <c r="W549"/>
  <c r="X549" s="1"/>
  <c r="W550"/>
  <c r="X550" s="1"/>
  <c r="W551"/>
  <c r="X551" s="1"/>
  <c r="W552"/>
  <c r="X552" s="1"/>
  <c r="W553"/>
  <c r="X553" s="1"/>
  <c r="W554"/>
  <c r="X554" s="1"/>
  <c r="W555"/>
  <c r="X555" s="1"/>
  <c r="W556"/>
  <c r="X556" s="1"/>
  <c r="W557"/>
  <c r="X557" s="1"/>
  <c r="W558"/>
  <c r="X558" s="1"/>
  <c r="W559"/>
  <c r="X559" s="1"/>
  <c r="W560"/>
  <c r="X560" s="1"/>
  <c r="W561"/>
  <c r="X561" s="1"/>
  <c r="W562"/>
  <c r="X562" s="1"/>
  <c r="W563"/>
  <c r="X563" s="1"/>
  <c r="W564"/>
  <c r="X564" s="1"/>
  <c r="W565"/>
  <c r="X565" s="1"/>
  <c r="W566"/>
  <c r="X566" s="1"/>
  <c r="W567"/>
  <c r="X567" s="1"/>
  <c r="W568"/>
  <c r="X568" s="1"/>
  <c r="W569"/>
  <c r="X569" s="1"/>
  <c r="W570"/>
  <c r="X570" s="1"/>
  <c r="W571"/>
  <c r="X571" s="1"/>
  <c r="W572"/>
  <c r="X572" s="1"/>
  <c r="G52" i="13"/>
  <c r="G3"/>
  <c r="G4"/>
  <c r="G6"/>
  <c r="G7"/>
  <c r="G8"/>
  <c r="G10"/>
  <c r="G11"/>
  <c r="G12"/>
  <c r="G14"/>
  <c r="G15"/>
  <c r="G16"/>
  <c r="G18"/>
  <c r="G19"/>
  <c r="G20"/>
  <c r="G22"/>
  <c r="G23"/>
  <c r="G24"/>
  <c r="G26"/>
  <c r="G27"/>
  <c r="G28"/>
  <c r="G30"/>
  <c r="G32"/>
  <c r="G34"/>
  <c r="G36"/>
  <c r="G38"/>
  <c r="G39"/>
  <c r="G40"/>
  <c r="G42"/>
  <c r="G44"/>
  <c r="G46"/>
  <c r="G50"/>
  <c r="G51"/>
  <c r="G54"/>
  <c r="G56"/>
  <c r="G57"/>
  <c r="G58"/>
  <c r="G59"/>
  <c r="G61"/>
  <c r="G62"/>
  <c r="G63"/>
  <c r="G73"/>
  <c r="G74"/>
  <c r="G75"/>
  <c r="G76"/>
  <c r="G77"/>
  <c r="G78"/>
  <c r="G79"/>
  <c r="G86"/>
  <c r="G87"/>
  <c r="G88"/>
  <c r="G89"/>
  <c r="G90"/>
  <c r="G91"/>
  <c r="G92"/>
  <c r="G102"/>
  <c r="G103"/>
  <c r="G104"/>
  <c r="G106"/>
  <c r="G108"/>
  <c r="G115"/>
  <c r="G119"/>
  <c r="G124"/>
  <c r="G132"/>
  <c r="G133"/>
  <c r="G134"/>
  <c r="G140"/>
  <c r="G141"/>
  <c r="G142"/>
  <c r="G145"/>
  <c r="G147"/>
  <c r="G149"/>
  <c r="G151"/>
  <c r="G153"/>
  <c r="G154"/>
  <c r="G155"/>
  <c r="G156"/>
  <c r="G157"/>
  <c r="G158"/>
  <c r="G160"/>
  <c r="G161"/>
  <c r="G162"/>
  <c r="G163"/>
  <c r="G164"/>
  <c r="G165"/>
  <c r="G167"/>
  <c r="G168"/>
  <c r="G169"/>
  <c r="G170"/>
  <c r="G171"/>
  <c r="G172"/>
  <c r="G174"/>
  <c r="G176"/>
  <c r="G180"/>
  <c r="G182"/>
  <c r="G184"/>
  <c r="G185"/>
  <c r="G186"/>
  <c r="G187"/>
  <c r="G188"/>
  <c r="G189"/>
  <c r="G191"/>
  <c r="G192"/>
  <c r="G193"/>
  <c r="G194"/>
  <c r="G195"/>
  <c r="G196"/>
  <c r="G198"/>
  <c r="G199"/>
  <c r="G200"/>
  <c r="G202"/>
  <c r="G204"/>
  <c r="G205"/>
  <c r="G206"/>
  <c r="G207"/>
  <c r="G208"/>
  <c r="G209"/>
  <c r="G211"/>
  <c r="G213"/>
  <c r="G215"/>
  <c r="G220"/>
  <c r="G221"/>
  <c r="G223"/>
  <c r="G224"/>
  <c r="G226"/>
  <c r="G227"/>
  <c r="G228"/>
  <c r="G230"/>
  <c r="G231"/>
  <c r="G232"/>
  <c r="G234"/>
  <c r="G235"/>
  <c r="G236"/>
  <c r="G237"/>
  <c r="G239"/>
  <c r="G240"/>
  <c r="G241"/>
  <c r="G242"/>
  <c r="G244"/>
  <c r="G245"/>
  <c r="G246"/>
  <c r="G247"/>
  <c r="G249"/>
  <c r="G250"/>
  <c r="G251"/>
  <c r="G252"/>
  <c r="G254"/>
  <c r="G255"/>
  <c r="G256"/>
  <c r="G257"/>
  <c r="G264"/>
  <c r="G265"/>
  <c r="G266"/>
  <c r="G268"/>
  <c r="G269"/>
  <c r="G270"/>
  <c r="G272"/>
  <c r="G273"/>
  <c r="G274"/>
  <c r="G275"/>
  <c r="G277"/>
  <c r="G278"/>
  <c r="G279"/>
  <c r="G280"/>
  <c r="G282"/>
  <c r="G283"/>
  <c r="G284"/>
  <c r="G285"/>
  <c r="G286"/>
  <c r="G287"/>
  <c r="G289"/>
  <c r="G290"/>
  <c r="G291"/>
  <c r="G292"/>
  <c r="G293"/>
  <c r="G294"/>
  <c r="G296"/>
  <c r="G297"/>
  <c r="G298"/>
  <c r="G299"/>
  <c r="G300"/>
  <c r="G301"/>
  <c r="G304"/>
  <c r="G305"/>
  <c r="G306"/>
  <c r="G308"/>
  <c r="G310"/>
  <c r="G312"/>
  <c r="G315"/>
  <c r="G325"/>
  <c r="G327"/>
  <c r="G2"/>
  <c r="B8" i="5"/>
  <c r="B9"/>
  <c r="B10"/>
  <c r="B11"/>
  <c r="B12"/>
  <c r="B13"/>
  <c r="B14"/>
  <c r="B15"/>
  <c r="B16"/>
  <c r="C8"/>
  <c r="C9"/>
  <c r="C10"/>
  <c r="C11"/>
  <c r="C12"/>
  <c r="C13"/>
  <c r="C14"/>
  <c r="C15"/>
  <c r="C16"/>
  <c r="D8"/>
  <c r="D9"/>
  <c r="D10"/>
  <c r="D11"/>
  <c r="D12"/>
  <c r="D13"/>
  <c r="D14"/>
  <c r="D15"/>
  <c r="D16"/>
  <c r="D3"/>
  <c r="D4"/>
  <c r="D5"/>
  <c r="D6"/>
  <c r="D7"/>
  <c r="D2"/>
  <c r="C3"/>
  <c r="C4"/>
  <c r="C5"/>
  <c r="C6"/>
  <c r="C7"/>
  <c r="C2"/>
  <c r="B3"/>
  <c r="B4"/>
  <c r="B5"/>
  <c r="B6"/>
  <c r="B7"/>
  <c r="B2"/>
  <c r="B10" i="4"/>
  <c r="B11"/>
  <c r="B12"/>
  <c r="B13"/>
  <c r="B14"/>
  <c r="B15"/>
  <c r="B16"/>
  <c r="C10"/>
  <c r="C11"/>
  <c r="C12"/>
  <c r="C13"/>
  <c r="C14"/>
  <c r="C15"/>
  <c r="C16"/>
  <c r="D10"/>
  <c r="D11"/>
  <c r="D12"/>
  <c r="D13"/>
  <c r="D14"/>
  <c r="D15"/>
  <c r="D16"/>
  <c r="D3"/>
  <c r="D4"/>
  <c r="D5"/>
  <c r="D6"/>
  <c r="D7"/>
  <c r="D8"/>
  <c r="D9"/>
  <c r="D2"/>
  <c r="B9"/>
  <c r="C9"/>
  <c r="C3"/>
  <c r="C4"/>
  <c r="C5"/>
  <c r="C6"/>
  <c r="C7"/>
  <c r="C8"/>
  <c r="C2"/>
  <c r="B3"/>
  <c r="B4"/>
  <c r="B5"/>
  <c r="B6"/>
  <c r="B7"/>
  <c r="B8"/>
  <c r="B2"/>
  <c r="D155" i="18" l="1"/>
  <c r="F155" s="1"/>
  <c r="D202"/>
  <c r="F202" s="1"/>
  <c r="D157"/>
  <c r="F157" s="1"/>
  <c r="D154"/>
  <c r="F154" s="1"/>
  <c r="D286"/>
  <c r="F286" s="1"/>
  <c r="P17" i="23"/>
  <c r="O371"/>
  <c r="O571"/>
  <c r="D279" i="18"/>
  <c r="F279" s="1"/>
  <c r="D287"/>
  <c r="F287" s="1"/>
  <c r="D281"/>
  <c r="F281" s="1"/>
  <c r="D280"/>
  <c r="F280" s="1"/>
  <c r="L184" i="23"/>
  <c r="K184"/>
  <c r="D34" i="18"/>
  <c r="F34" s="1"/>
  <c r="D33"/>
  <c r="F33" s="1"/>
  <c r="D218"/>
  <c r="F218" s="1"/>
  <c r="D219"/>
  <c r="F219" s="1"/>
  <c r="D166"/>
  <c r="F166" s="1"/>
  <c r="D87"/>
  <c r="F87" s="1"/>
  <c r="D109"/>
  <c r="F109" s="1"/>
  <c r="D250"/>
  <c r="F250" s="1"/>
  <c r="D153"/>
  <c r="F153" s="1"/>
  <c r="D269"/>
  <c r="F269" s="1"/>
  <c r="D271"/>
  <c r="F271" s="1"/>
  <c r="D105"/>
  <c r="F105" s="1"/>
  <c r="D75"/>
  <c r="F75" s="1"/>
  <c r="D253"/>
  <c r="F253" s="1"/>
  <c r="D274"/>
  <c r="F274" s="1"/>
  <c r="D270"/>
  <c r="F270" s="1"/>
  <c r="D63"/>
  <c r="F63" s="1"/>
  <c r="D41"/>
  <c r="F41" s="1"/>
  <c r="D102"/>
  <c r="F102" s="1"/>
  <c r="D185"/>
  <c r="F185" s="1"/>
  <c r="D189"/>
  <c r="F189" s="1"/>
  <c r="D205"/>
  <c r="F205" s="1"/>
  <c r="D200"/>
  <c r="F200" s="1"/>
  <c r="D243"/>
  <c r="F243" s="1"/>
  <c r="D196"/>
  <c r="F196" s="1"/>
  <c r="D85"/>
  <c r="F85" s="1"/>
  <c r="D107"/>
  <c r="F107" s="1"/>
  <c r="D175"/>
  <c r="F175" s="1"/>
  <c r="D137"/>
  <c r="F137" s="1"/>
  <c r="D256"/>
  <c r="F256" s="1"/>
  <c r="D251"/>
  <c r="F251" s="1"/>
  <c r="D168"/>
  <c r="F168" s="1"/>
  <c r="D83"/>
  <c r="F83" s="1"/>
  <c r="D86"/>
  <c r="F86" s="1"/>
  <c r="D110"/>
  <c r="F110" s="1"/>
  <c r="D108"/>
  <c r="F108" s="1"/>
  <c r="D131"/>
  <c r="F131" s="1"/>
  <c r="D76"/>
  <c r="F76" s="1"/>
  <c r="D264"/>
  <c r="F264" s="1"/>
  <c r="D106"/>
  <c r="F106" s="1"/>
  <c r="D184"/>
  <c r="F184" s="1"/>
  <c r="D188"/>
  <c r="F188" s="1"/>
  <c r="D201"/>
  <c r="F201" s="1"/>
  <c r="D93"/>
  <c r="F93" s="1"/>
  <c r="P13" i="23"/>
  <c r="D266" i="18"/>
  <c r="F266" s="1"/>
  <c r="D275"/>
  <c r="F275" s="1"/>
  <c r="D267"/>
  <c r="F267" s="1"/>
  <c r="D260"/>
  <c r="F260" s="1"/>
  <c r="D263"/>
  <c r="F263" s="1"/>
  <c r="O33" i="23"/>
  <c r="P5"/>
  <c r="O21"/>
  <c r="P37"/>
  <c r="O189"/>
  <c r="T270"/>
  <c r="T238"/>
  <c r="S118" i="24"/>
  <c r="K19" i="23"/>
  <c r="P194"/>
  <c r="D249" i="18"/>
  <c r="F249" s="1"/>
  <c r="D255"/>
  <c r="F255" s="1"/>
  <c r="O197" i="23"/>
  <c r="P253"/>
  <c r="T472"/>
  <c r="T139"/>
  <c r="O193"/>
  <c r="O449"/>
  <c r="T414"/>
  <c r="T278"/>
  <c r="T274"/>
  <c r="O414"/>
  <c r="K146"/>
  <c r="K563"/>
  <c r="O237"/>
  <c r="O209"/>
  <c r="P229"/>
  <c r="P245"/>
  <c r="O116"/>
  <c r="M51" i="6"/>
  <c r="M43"/>
  <c r="M15"/>
  <c r="L62" i="23"/>
  <c r="D90" i="18"/>
  <c r="F90" s="1"/>
  <c r="P205" i="23"/>
  <c r="P221"/>
  <c r="O201"/>
  <c r="P217"/>
  <c r="O409"/>
  <c r="T464"/>
  <c r="T500"/>
  <c r="M89" i="6"/>
  <c r="M85"/>
  <c r="M81"/>
  <c r="M73"/>
  <c r="M69"/>
  <c r="M65"/>
  <c r="M61"/>
  <c r="M57"/>
  <c r="M49"/>
  <c r="M45"/>
  <c r="M41"/>
  <c r="M33"/>
  <c r="M29"/>
  <c r="M25"/>
  <c r="M17"/>
  <c r="M74"/>
  <c r="D81" i="18"/>
  <c r="F81" s="1"/>
  <c r="D88"/>
  <c r="F88" s="1"/>
  <c r="D89"/>
  <c r="F89" s="1"/>
  <c r="M472" i="23"/>
  <c r="M448"/>
  <c r="M416"/>
  <c r="M183"/>
  <c r="M171"/>
  <c r="M147"/>
  <c r="D192" i="18"/>
  <c r="F192" s="1"/>
  <c r="D193"/>
  <c r="F193" s="1"/>
  <c r="D195"/>
  <c r="F195" s="1"/>
  <c r="O165" i="23"/>
  <c r="O181"/>
  <c r="O202"/>
  <c r="D236" i="18"/>
  <c r="F236" s="1"/>
  <c r="D174"/>
  <c r="F174" s="1"/>
  <c r="L39" i="23"/>
  <c r="M39" s="1"/>
  <c r="K23"/>
  <c r="O185"/>
  <c r="O198"/>
  <c r="P370"/>
  <c r="L196"/>
  <c r="M196" s="1"/>
  <c r="O173"/>
  <c r="O318"/>
  <c r="P330"/>
  <c r="O358"/>
  <c r="O378"/>
  <c r="K27"/>
  <c r="L75"/>
  <c r="M75" s="1"/>
  <c r="L83"/>
  <c r="M83" s="1"/>
  <c r="K87"/>
  <c r="P56"/>
  <c r="O125"/>
  <c r="K43"/>
  <c r="L51"/>
  <c r="M51" s="1"/>
  <c r="L224"/>
  <c r="M224" s="1"/>
  <c r="P48"/>
  <c r="L107"/>
  <c r="P129"/>
  <c r="P149"/>
  <c r="O157"/>
  <c r="P286"/>
  <c r="L59"/>
  <c r="M59" s="1"/>
  <c r="L71"/>
  <c r="M71" s="1"/>
  <c r="K123"/>
  <c r="K204"/>
  <c r="O206"/>
  <c r="P258"/>
  <c r="P262"/>
  <c r="O266"/>
  <c r="P270"/>
  <c r="O274"/>
  <c r="O282"/>
  <c r="O346"/>
  <c r="T370"/>
  <c r="T262"/>
  <c r="T5"/>
  <c r="O60"/>
  <c r="M62"/>
  <c r="O133"/>
  <c r="O161"/>
  <c r="P169"/>
  <c r="O177"/>
  <c r="P214"/>
  <c r="L232"/>
  <c r="M232" s="1"/>
  <c r="L240"/>
  <c r="M240" s="1"/>
  <c r="P402"/>
  <c r="K448"/>
  <c r="K416"/>
  <c r="M195"/>
  <c r="M191"/>
  <c r="K263"/>
  <c r="K46"/>
  <c r="K74"/>
  <c r="P121"/>
  <c r="K54"/>
  <c r="P124"/>
  <c r="O128"/>
  <c r="O225"/>
  <c r="O241"/>
  <c r="O257"/>
  <c r="T536"/>
  <c r="K115"/>
  <c r="L436"/>
  <c r="M436" s="1"/>
  <c r="L452"/>
  <c r="M452" s="1"/>
  <c r="K460"/>
  <c r="K524"/>
  <c r="K91"/>
  <c r="O153"/>
  <c r="L220"/>
  <c r="M220" s="1"/>
  <c r="O366"/>
  <c r="O386"/>
  <c r="O418"/>
  <c r="L131"/>
  <c r="D146" i="18"/>
  <c r="F146" s="1"/>
  <c r="M567" i="23"/>
  <c r="M475"/>
  <c r="M186"/>
  <c r="K559"/>
  <c r="K399"/>
  <c r="L515"/>
  <c r="M515" s="1"/>
  <c r="L523"/>
  <c r="M523" s="1"/>
  <c r="O19"/>
  <c r="K94"/>
  <c r="P188"/>
  <c r="O233"/>
  <c r="L271"/>
  <c r="K323"/>
  <c r="T456"/>
  <c r="K483"/>
  <c r="K507"/>
  <c r="L511"/>
  <c r="M511" s="1"/>
  <c r="D259" i="18"/>
  <c r="F259" s="1"/>
  <c r="D258"/>
  <c r="F258" s="1"/>
  <c r="M479" i="23"/>
  <c r="M74"/>
  <c r="M50"/>
  <c r="M46"/>
  <c r="M42"/>
  <c r="O2"/>
  <c r="K42"/>
  <c r="L130"/>
  <c r="M130" s="1"/>
  <c r="K351"/>
  <c r="P433"/>
  <c r="L495"/>
  <c r="M495" s="1"/>
  <c r="L58"/>
  <c r="M58" s="1"/>
  <c r="K70"/>
  <c r="L110"/>
  <c r="M110" s="1"/>
  <c r="K138"/>
  <c r="K142"/>
  <c r="P249"/>
  <c r="P313"/>
  <c r="L431"/>
  <c r="M431" s="1"/>
  <c r="K455"/>
  <c r="O457"/>
  <c r="O465"/>
  <c r="P477"/>
  <c r="K487"/>
  <c r="K547"/>
  <c r="P113"/>
  <c r="D104" i="18"/>
  <c r="F104" s="1"/>
  <c r="L103" i="23"/>
  <c r="M103" s="1"/>
  <c r="M567" i="6"/>
  <c r="M555"/>
  <c r="M543"/>
  <c r="M531"/>
  <c r="M515"/>
  <c r="M503"/>
  <c r="M491"/>
  <c r="M479"/>
  <c r="M467"/>
  <c r="M451"/>
  <c r="M415"/>
  <c r="M403"/>
  <c r="M387"/>
  <c r="M375"/>
  <c r="M363"/>
  <c r="M351"/>
  <c r="M339"/>
  <c r="M323"/>
  <c r="M311"/>
  <c r="M299"/>
  <c r="M287"/>
  <c r="M275"/>
  <c r="M267"/>
  <c r="M243"/>
  <c r="M227"/>
  <c r="M215"/>
  <c r="M203"/>
  <c r="M191"/>
  <c r="M179"/>
  <c r="M159"/>
  <c r="M127"/>
  <c r="T374" i="23"/>
  <c r="T234"/>
  <c r="T202"/>
  <c r="T181"/>
  <c r="T101"/>
  <c r="T93"/>
  <c r="T55"/>
  <c r="T268"/>
  <c r="T300"/>
  <c r="T448"/>
  <c r="M570" i="6"/>
  <c r="M562"/>
  <c r="M550"/>
  <c r="M542"/>
  <c r="M534"/>
  <c r="M514"/>
  <c r="M502"/>
  <c r="M494"/>
  <c r="M478"/>
  <c r="M474"/>
  <c r="M458"/>
  <c r="M450"/>
  <c r="M438"/>
  <c r="M430"/>
  <c r="M410"/>
  <c r="M402"/>
  <c r="M398"/>
  <c r="M378"/>
  <c r="M362"/>
  <c r="M354"/>
  <c r="M342"/>
  <c r="M334"/>
  <c r="M322"/>
  <c r="M314"/>
  <c r="M306"/>
  <c r="M302"/>
  <c r="M294"/>
  <c r="M286"/>
  <c r="M282"/>
  <c r="M274"/>
  <c r="M266"/>
  <c r="M262"/>
  <c r="M246"/>
  <c r="M234"/>
  <c r="M226"/>
  <c r="M206"/>
  <c r="M198"/>
  <c r="M154"/>
  <c r="M122"/>
  <c r="M569"/>
  <c r="M561"/>
  <c r="M557"/>
  <c r="M553"/>
  <c r="M541"/>
  <c r="M537"/>
  <c r="M533"/>
  <c r="M525"/>
  <c r="M521"/>
  <c r="M509"/>
  <c r="M505"/>
  <c r="M501"/>
  <c r="M493"/>
  <c r="M489"/>
  <c r="M485"/>
  <c r="M481"/>
  <c r="M477"/>
  <c r="M473"/>
  <c r="M465"/>
  <c r="M461"/>
  <c r="M457"/>
  <c r="M453"/>
  <c r="M449"/>
  <c r="M445"/>
  <c r="M441"/>
  <c r="M433"/>
  <c r="M429"/>
  <c r="M425"/>
  <c r="M413"/>
  <c r="M409"/>
  <c r="M405"/>
  <c r="M397"/>
  <c r="M393"/>
  <c r="M381"/>
  <c r="M377"/>
  <c r="M373"/>
  <c r="M365"/>
  <c r="M361"/>
  <c r="M357"/>
  <c r="M353"/>
  <c r="M349"/>
  <c r="M345"/>
  <c r="M337"/>
  <c r="M333"/>
  <c r="M329"/>
  <c r="M325"/>
  <c r="M321"/>
  <c r="M317"/>
  <c r="M313"/>
  <c r="M305"/>
  <c r="M301"/>
  <c r="M297"/>
  <c r="M285"/>
  <c r="M281"/>
  <c r="M277"/>
  <c r="M269"/>
  <c r="M265"/>
  <c r="M253"/>
  <c r="M249"/>
  <c r="M245"/>
  <c r="M237"/>
  <c r="M233"/>
  <c r="M229"/>
  <c r="M225"/>
  <c r="M221"/>
  <c r="M217"/>
  <c r="M209"/>
  <c r="M205"/>
  <c r="M201"/>
  <c r="M197"/>
  <c r="M193"/>
  <c r="M189"/>
  <c r="M185"/>
  <c r="M177"/>
  <c r="M173"/>
  <c r="M169"/>
  <c r="M157"/>
  <c r="M153"/>
  <c r="M149"/>
  <c r="M141"/>
  <c r="M137"/>
  <c r="M125"/>
  <c r="M121"/>
  <c r="M117"/>
  <c r="M109"/>
  <c r="M105"/>
  <c r="M101"/>
  <c r="M97"/>
  <c r="M426" i="23"/>
  <c r="M21"/>
  <c r="M13"/>
  <c r="M93" i="6"/>
  <c r="M87" i="23"/>
  <c r="L55"/>
  <c r="M55" s="1"/>
  <c r="K228"/>
  <c r="P410"/>
  <c r="K420"/>
  <c r="P486"/>
  <c r="L516"/>
  <c r="M516" s="1"/>
  <c r="S517"/>
  <c r="S505"/>
  <c r="S385"/>
  <c r="S353"/>
  <c r="S337"/>
  <c r="S333"/>
  <c r="S321"/>
  <c r="S241"/>
  <c r="S233"/>
  <c r="S201"/>
  <c r="S180"/>
  <c r="S76"/>
  <c r="S72"/>
  <c r="S60"/>
  <c r="S56"/>
  <c r="S40"/>
  <c r="T421"/>
  <c r="T335"/>
  <c r="T79"/>
  <c r="P87"/>
  <c r="O159"/>
  <c r="P123"/>
  <c r="O147"/>
  <c r="P151"/>
  <c r="O175"/>
  <c r="O119"/>
  <c r="O155"/>
  <c r="L189"/>
  <c r="M189" s="1"/>
  <c r="P95"/>
  <c r="L105"/>
  <c r="M105" s="1"/>
  <c r="P111"/>
  <c r="O127"/>
  <c r="O171"/>
  <c r="O187"/>
  <c r="K346"/>
  <c r="O464"/>
  <c r="O204"/>
  <c r="O167"/>
  <c r="K93"/>
  <c r="K121"/>
  <c r="K129"/>
  <c r="P139"/>
  <c r="O163"/>
  <c r="P196"/>
  <c r="K322"/>
  <c r="K506"/>
  <c r="D98" i="18"/>
  <c r="F98" s="1"/>
  <c r="O80" i="23"/>
  <c r="L78"/>
  <c r="M78" s="1"/>
  <c r="M402"/>
  <c r="K254"/>
  <c r="K262"/>
  <c r="M467"/>
  <c r="T416"/>
  <c r="T143"/>
  <c r="T59"/>
  <c r="T43"/>
  <c r="T246"/>
  <c r="T177"/>
  <c r="T125"/>
  <c r="T45"/>
  <c r="L109"/>
  <c r="M109" s="1"/>
  <c r="M119"/>
  <c r="M155"/>
  <c r="M167"/>
  <c r="P179"/>
  <c r="L181"/>
  <c r="M181" s="1"/>
  <c r="M187"/>
  <c r="P208"/>
  <c r="L266"/>
  <c r="M266" s="1"/>
  <c r="K274"/>
  <c r="M280"/>
  <c r="M204"/>
  <c r="M159"/>
  <c r="M127"/>
  <c r="T302" i="6"/>
  <c r="M559" i="23"/>
  <c r="M535"/>
  <c r="M483"/>
  <c r="M451"/>
  <c r="M146"/>
  <c r="M142"/>
  <c r="M138"/>
  <c r="M82"/>
  <c r="M54"/>
  <c r="K82" i="6"/>
  <c r="L13"/>
  <c r="M13" s="1"/>
  <c r="T56" i="23"/>
  <c r="O40"/>
  <c r="K67"/>
  <c r="L86"/>
  <c r="M86" s="1"/>
  <c r="K102"/>
  <c r="K112"/>
  <c r="L114"/>
  <c r="L135"/>
  <c r="M135" s="1"/>
  <c r="L200"/>
  <c r="M200" s="1"/>
  <c r="L236"/>
  <c r="M236" s="1"/>
  <c r="K244"/>
  <c r="O278"/>
  <c r="O310"/>
  <c r="P326"/>
  <c r="O342"/>
  <c r="P406"/>
  <c r="L415"/>
  <c r="L419"/>
  <c r="O422"/>
  <c r="P441"/>
  <c r="L471"/>
  <c r="L476"/>
  <c r="M476" s="1"/>
  <c r="O490"/>
  <c r="P526"/>
  <c r="L539"/>
  <c r="M539" s="1"/>
  <c r="L552"/>
  <c r="M552" s="1"/>
  <c r="K274" i="6"/>
  <c r="L31"/>
  <c r="M31" s="1"/>
  <c r="S136" i="24"/>
  <c r="K49" i="6"/>
  <c r="M228" i="23"/>
  <c r="M179"/>
  <c r="M163"/>
  <c r="M151"/>
  <c r="M43"/>
  <c r="K544"/>
  <c r="M493"/>
  <c r="M373"/>
  <c r="M361"/>
  <c r="M345"/>
  <c r="M321"/>
  <c r="M289"/>
  <c r="M285"/>
  <c r="M273"/>
  <c r="M261"/>
  <c r="M205"/>
  <c r="M176"/>
  <c r="M128"/>
  <c r="M80"/>
  <c r="L480"/>
  <c r="L528"/>
  <c r="K65" i="6"/>
  <c r="L192" i="23"/>
  <c r="M192" s="1"/>
  <c r="L208"/>
  <c r="M208" s="1"/>
  <c r="K212"/>
  <c r="K216"/>
  <c r="K248"/>
  <c r="L428"/>
  <c r="M428" s="1"/>
  <c r="L508"/>
  <c r="L536"/>
  <c r="M536" s="1"/>
  <c r="M568"/>
  <c r="M544"/>
  <c r="M468"/>
  <c r="M460"/>
  <c r="M444"/>
  <c r="M420"/>
  <c r="M244"/>
  <c r="M216"/>
  <c r="M67"/>
  <c r="T551" i="6"/>
  <c r="T475"/>
  <c r="T395"/>
  <c r="T327"/>
  <c r="T502" i="23"/>
  <c r="T490"/>
  <c r="T410"/>
  <c r="T406"/>
  <c r="T402"/>
  <c r="T398"/>
  <c r="T390"/>
  <c r="T386"/>
  <c r="T378"/>
  <c r="T366"/>
  <c r="T358"/>
  <c r="T350"/>
  <c r="T346"/>
  <c r="T342"/>
  <c r="T334"/>
  <c r="T330"/>
  <c r="T326"/>
  <c r="T322"/>
  <c r="T318"/>
  <c r="T310"/>
  <c r="T298"/>
  <c r="T294"/>
  <c r="T286"/>
  <c r="T282"/>
  <c r="T266"/>
  <c r="T258"/>
  <c r="T254"/>
  <c r="T250"/>
  <c r="T242"/>
  <c r="T210"/>
  <c r="T206"/>
  <c r="T198"/>
  <c r="T194"/>
  <c r="T189"/>
  <c r="T185"/>
  <c r="T129"/>
  <c r="T121"/>
  <c r="T109"/>
  <c r="T77"/>
  <c r="T61"/>
  <c r="T37"/>
  <c r="T33"/>
  <c r="T29"/>
  <c r="T25"/>
  <c r="T21"/>
  <c r="T17"/>
  <c r="T13"/>
  <c r="T9"/>
  <c r="T353" i="6"/>
  <c r="T281"/>
  <c r="D96" i="18"/>
  <c r="F96" s="1"/>
  <c r="T564" i="23"/>
  <c r="T556"/>
  <c r="T552"/>
  <c r="T548"/>
  <c r="T540"/>
  <c r="T532"/>
  <c r="T496"/>
  <c r="T492"/>
  <c r="T484"/>
  <c r="T468"/>
  <c r="T460"/>
  <c r="T444"/>
  <c r="T440"/>
  <c r="T420"/>
  <c r="T408"/>
  <c r="T404"/>
  <c r="S376"/>
  <c r="T316"/>
  <c r="T308"/>
  <c r="S296"/>
  <c r="T288"/>
  <c r="T284"/>
  <c r="T276"/>
  <c r="T260"/>
  <c r="T252"/>
  <c r="T212"/>
  <c r="S196"/>
  <c r="T183"/>
  <c r="T179"/>
  <c r="T175"/>
  <c r="T167"/>
  <c r="T163"/>
  <c r="T159"/>
  <c r="T155"/>
  <c r="T151"/>
  <c r="T147"/>
  <c r="T83"/>
  <c r="T75"/>
  <c r="T71"/>
  <c r="T67"/>
  <c r="T51"/>
  <c r="T47"/>
  <c r="V83"/>
  <c r="V151"/>
  <c r="V155"/>
  <c r="P251"/>
  <c r="V316"/>
  <c r="S389"/>
  <c r="V440"/>
  <c r="P47"/>
  <c r="O55"/>
  <c r="V159"/>
  <c r="V179"/>
  <c r="V552"/>
  <c r="M29"/>
  <c r="T63"/>
  <c r="V71"/>
  <c r="P134"/>
  <c r="P146"/>
  <c r="V163"/>
  <c r="V167"/>
  <c r="T171"/>
  <c r="V183"/>
  <c r="T187"/>
  <c r="L188"/>
  <c r="M188" s="1"/>
  <c r="V196"/>
  <c r="Z201"/>
  <c r="V288"/>
  <c r="Z333"/>
  <c r="Z337"/>
  <c r="S393"/>
  <c r="V420"/>
  <c r="T424"/>
  <c r="T488"/>
  <c r="V496"/>
  <c r="O515"/>
  <c r="P563"/>
  <c r="M555"/>
  <c r="M547"/>
  <c r="M531"/>
  <c r="M519"/>
  <c r="M507"/>
  <c r="M487"/>
  <c r="M435"/>
  <c r="M427"/>
  <c r="M182"/>
  <c r="O15"/>
  <c r="O3"/>
  <c r="M33"/>
  <c r="P35"/>
  <c r="T39"/>
  <c r="P43"/>
  <c r="P59"/>
  <c r="O27"/>
  <c r="P327"/>
  <c r="O483"/>
  <c r="S533"/>
  <c r="O535"/>
  <c r="K299" i="6"/>
  <c r="K503"/>
  <c r="L231"/>
  <c r="M231" s="1"/>
  <c r="K159"/>
  <c r="L427"/>
  <c r="M427" s="1"/>
  <c r="K555"/>
  <c r="K351"/>
  <c r="K215"/>
  <c r="L475"/>
  <c r="M475" s="1"/>
  <c r="L283"/>
  <c r="M283" s="1"/>
  <c r="L87"/>
  <c r="K403"/>
  <c r="K267"/>
  <c r="L523"/>
  <c r="M523" s="1"/>
  <c r="L327"/>
  <c r="M327" s="1"/>
  <c r="L135"/>
  <c r="M135" s="1"/>
  <c r="K451"/>
  <c r="K7"/>
  <c r="L379"/>
  <c r="M379" s="1"/>
  <c r="L183"/>
  <c r="M66" i="23"/>
  <c r="M570"/>
  <c r="M558"/>
  <c r="M522"/>
  <c r="M514"/>
  <c r="M510"/>
  <c r="M382"/>
  <c r="M366"/>
  <c r="M346"/>
  <c r="M322"/>
  <c r="M282"/>
  <c r="M274"/>
  <c r="M262"/>
  <c r="M185"/>
  <c r="M129"/>
  <c r="M93"/>
  <c r="M17"/>
  <c r="M5"/>
  <c r="O3" i="6"/>
  <c r="M563" i="23"/>
  <c r="M554"/>
  <c r="M551"/>
  <c r="M530"/>
  <c r="M503"/>
  <c r="M401"/>
  <c r="M329"/>
  <c r="M317"/>
  <c r="M257"/>
  <c r="M254"/>
  <c r="M248"/>
  <c r="M206"/>
  <c r="M197"/>
  <c r="M194"/>
  <c r="M184"/>
  <c r="M178"/>
  <c r="M175"/>
  <c r="M133"/>
  <c r="M121"/>
  <c r="M112"/>
  <c r="M94"/>
  <c r="M70"/>
  <c r="M40"/>
  <c r="M37"/>
  <c r="M25"/>
  <c r="S104" i="24"/>
  <c r="S403"/>
  <c r="D47" i="18"/>
  <c r="F47" s="1"/>
  <c r="E17" i="5"/>
  <c r="S420" i="23"/>
  <c r="S416"/>
  <c r="S332"/>
  <c r="S232"/>
  <c r="S183"/>
  <c r="S179"/>
  <c r="S135"/>
  <c r="T571" i="6"/>
  <c r="T555"/>
  <c r="T535"/>
  <c r="T519"/>
  <c r="T511"/>
  <c r="T499"/>
  <c r="T495"/>
  <c r="T479"/>
  <c r="T463"/>
  <c r="T443"/>
  <c r="T439"/>
  <c r="T423"/>
  <c r="T419"/>
  <c r="T403"/>
  <c r="T383"/>
  <c r="T379"/>
  <c r="T367"/>
  <c r="T363"/>
  <c r="T351"/>
  <c r="T331"/>
  <c r="T315"/>
  <c r="T295"/>
  <c r="T283"/>
  <c r="T259"/>
  <c r="T537"/>
  <c r="T457"/>
  <c r="T369"/>
  <c r="T345"/>
  <c r="T313"/>
  <c r="T561" i="23"/>
  <c r="T553"/>
  <c r="T545"/>
  <c r="T529"/>
  <c r="T469"/>
  <c r="T453"/>
  <c r="T437"/>
  <c r="T417"/>
  <c r="T313"/>
  <c r="T301"/>
  <c r="T297"/>
  <c r="T273"/>
  <c r="T257"/>
  <c r="T253"/>
  <c r="T249"/>
  <c r="T245"/>
  <c r="T241"/>
  <c r="T237"/>
  <c r="T233"/>
  <c r="T229"/>
  <c r="T225"/>
  <c r="T221"/>
  <c r="T217"/>
  <c r="T213"/>
  <c r="T209"/>
  <c r="T205"/>
  <c r="T201"/>
  <c r="T176"/>
  <c r="T172"/>
  <c r="T168"/>
  <c r="T164"/>
  <c r="T160"/>
  <c r="T156"/>
  <c r="T152"/>
  <c r="T148"/>
  <c r="T144"/>
  <c r="T140"/>
  <c r="T136"/>
  <c r="T132"/>
  <c r="T128"/>
  <c r="T124"/>
  <c r="T112"/>
  <c r="T108"/>
  <c r="T96"/>
  <c r="T92"/>
  <c r="T72"/>
  <c r="T40"/>
  <c r="T36"/>
  <c r="T20"/>
  <c r="T555"/>
  <c r="T487"/>
  <c r="S471"/>
  <c r="S463"/>
  <c r="S447"/>
  <c r="S443"/>
  <c r="S439"/>
  <c r="T423"/>
  <c r="S399"/>
  <c r="T395"/>
  <c r="T379"/>
  <c r="T367"/>
  <c r="T363"/>
  <c r="T359"/>
  <c r="T351"/>
  <c r="T303"/>
  <c r="T283"/>
  <c r="T263"/>
  <c r="T259"/>
  <c r="T215"/>
  <c r="T146"/>
  <c r="T142"/>
  <c r="T138"/>
  <c r="T130"/>
  <c r="T126"/>
  <c r="T110"/>
  <c r="T94"/>
  <c r="T82"/>
  <c r="T18"/>
  <c r="K551" i="6"/>
  <c r="L551"/>
  <c r="M551" s="1"/>
  <c r="L459"/>
  <c r="M459" s="1"/>
  <c r="K459"/>
  <c r="L447"/>
  <c r="M447" s="1"/>
  <c r="K447"/>
  <c r="K431"/>
  <c r="L431"/>
  <c r="M431" s="1"/>
  <c r="K347"/>
  <c r="L347"/>
  <c r="M347" s="1"/>
  <c r="K295"/>
  <c r="L295"/>
  <c r="M295" s="1"/>
  <c r="L259"/>
  <c r="M259" s="1"/>
  <c r="K259"/>
  <c r="K239"/>
  <c r="L239"/>
  <c r="M239" s="1"/>
  <c r="K187"/>
  <c r="L187"/>
  <c r="M187" s="1"/>
  <c r="K175"/>
  <c r="L175"/>
  <c r="L147"/>
  <c r="M147" s="1"/>
  <c r="K147"/>
  <c r="K111"/>
  <c r="L111"/>
  <c r="M111" s="1"/>
  <c r="L95"/>
  <c r="K95"/>
  <c r="K79"/>
  <c r="L79"/>
  <c r="L67"/>
  <c r="M67" s="1"/>
  <c r="K67"/>
  <c r="K55"/>
  <c r="L55"/>
  <c r="L35"/>
  <c r="M35" s="1"/>
  <c r="K35"/>
  <c r="K481" i="23"/>
  <c r="L481"/>
  <c r="M481" s="1"/>
  <c r="K449"/>
  <c r="L449"/>
  <c r="L409"/>
  <c r="M409" s="1"/>
  <c r="K409"/>
  <c r="K333"/>
  <c r="L333"/>
  <c r="K172"/>
  <c r="L172"/>
  <c r="M172" s="1"/>
  <c r="K120"/>
  <c r="L120"/>
  <c r="M120" s="1"/>
  <c r="K108"/>
  <c r="L108"/>
  <c r="M108" s="1"/>
  <c r="L44"/>
  <c r="M44" s="1"/>
  <c r="K44"/>
  <c r="O547"/>
  <c r="P547"/>
  <c r="O531"/>
  <c r="P531"/>
  <c r="O427"/>
  <c r="P427"/>
  <c r="O411"/>
  <c r="P411"/>
  <c r="O319"/>
  <c r="P319"/>
  <c r="O122"/>
  <c r="P122"/>
  <c r="O106"/>
  <c r="P106"/>
  <c r="O34"/>
  <c r="P34"/>
  <c r="O22"/>
  <c r="P22"/>
  <c r="V559"/>
  <c r="T559"/>
  <c r="V543"/>
  <c r="T543"/>
  <c r="V515"/>
  <c r="T515"/>
  <c r="V319"/>
  <c r="T319"/>
  <c r="T122"/>
  <c r="V122"/>
  <c r="V90"/>
  <c r="T90"/>
  <c r="K571" i="6"/>
  <c r="L571"/>
  <c r="M571" s="1"/>
  <c r="L563"/>
  <c r="M563" s="1"/>
  <c r="K563"/>
  <c r="L535"/>
  <c r="M535" s="1"/>
  <c r="K535"/>
  <c r="K519"/>
  <c r="L519"/>
  <c r="M519" s="1"/>
  <c r="L435"/>
  <c r="M435" s="1"/>
  <c r="K435"/>
  <c r="L419"/>
  <c r="M419" s="1"/>
  <c r="K419"/>
  <c r="L407"/>
  <c r="M407" s="1"/>
  <c r="K407"/>
  <c r="L395"/>
  <c r="M395" s="1"/>
  <c r="K395"/>
  <c r="L331"/>
  <c r="M331" s="1"/>
  <c r="K331"/>
  <c r="K315"/>
  <c r="L315"/>
  <c r="M315" s="1"/>
  <c r="K271"/>
  <c r="L271"/>
  <c r="M271" s="1"/>
  <c r="K155"/>
  <c r="L155"/>
  <c r="M155" s="1"/>
  <c r="L83"/>
  <c r="M83" s="1"/>
  <c r="K83"/>
  <c r="L23"/>
  <c r="M23" s="1"/>
  <c r="K23"/>
  <c r="K11"/>
  <c r="L11"/>
  <c r="Z565" i="23"/>
  <c r="S565"/>
  <c r="S501"/>
  <c r="Z501"/>
  <c r="S489"/>
  <c r="Z489"/>
  <c r="S249"/>
  <c r="Z249"/>
  <c r="S184"/>
  <c r="Z184"/>
  <c r="L501"/>
  <c r="K501"/>
  <c r="K441"/>
  <c r="L441"/>
  <c r="M441" s="1"/>
  <c r="L393"/>
  <c r="K393"/>
  <c r="K180"/>
  <c r="L180"/>
  <c r="M180" s="1"/>
  <c r="K164"/>
  <c r="L164"/>
  <c r="M164" s="1"/>
  <c r="K148"/>
  <c r="L148"/>
  <c r="M148" s="1"/>
  <c r="K104"/>
  <c r="L104"/>
  <c r="M104" s="1"/>
  <c r="L92"/>
  <c r="M92" s="1"/>
  <c r="K92"/>
  <c r="L76"/>
  <c r="M76" s="1"/>
  <c r="K76"/>
  <c r="P507"/>
  <c r="O507"/>
  <c r="P491"/>
  <c r="O491"/>
  <c r="O359"/>
  <c r="P359"/>
  <c r="O343"/>
  <c r="P343"/>
  <c r="O114"/>
  <c r="P114"/>
  <c r="O78"/>
  <c r="P78"/>
  <c r="P62"/>
  <c r="O62"/>
  <c r="O50"/>
  <c r="P50"/>
  <c r="P18"/>
  <c r="O18"/>
  <c r="V567"/>
  <c r="S567"/>
  <c r="T499"/>
  <c r="V499"/>
  <c r="S499"/>
  <c r="T419"/>
  <c r="V419"/>
  <c r="T407"/>
  <c r="V407"/>
  <c r="T295"/>
  <c r="V295"/>
  <c r="V14"/>
  <c r="T14"/>
  <c r="S120" i="24"/>
  <c r="K567" i="6"/>
  <c r="K515"/>
  <c r="K467"/>
  <c r="K415"/>
  <c r="K363"/>
  <c r="K311"/>
  <c r="K227"/>
  <c r="K179"/>
  <c r="K107"/>
  <c r="K51"/>
  <c r="K15"/>
  <c r="L539"/>
  <c r="M539" s="1"/>
  <c r="L487"/>
  <c r="M487" s="1"/>
  <c r="L439"/>
  <c r="M439" s="1"/>
  <c r="L391"/>
  <c r="M391" s="1"/>
  <c r="L343"/>
  <c r="M343" s="1"/>
  <c r="L291"/>
  <c r="M291" s="1"/>
  <c r="L247"/>
  <c r="M247" s="1"/>
  <c r="L195"/>
  <c r="M195" s="1"/>
  <c r="L143"/>
  <c r="L99"/>
  <c r="M99" s="1"/>
  <c r="L47"/>
  <c r="V18" i="23"/>
  <c r="L48"/>
  <c r="M48" s="1"/>
  <c r="V82"/>
  <c r="K136"/>
  <c r="Z180"/>
  <c r="S205"/>
  <c r="S229"/>
  <c r="S245"/>
  <c r="L265"/>
  <c r="M265" s="1"/>
  <c r="V367"/>
  <c r="L369"/>
  <c r="M369" s="1"/>
  <c r="S381"/>
  <c r="O387"/>
  <c r="L405"/>
  <c r="M405" s="1"/>
  <c r="P423"/>
  <c r="V487"/>
  <c r="T531"/>
  <c r="P559"/>
  <c r="K507" i="6"/>
  <c r="L507"/>
  <c r="M507" s="1"/>
  <c r="K495"/>
  <c r="L495"/>
  <c r="M495" s="1"/>
  <c r="K443"/>
  <c r="L443"/>
  <c r="M443" s="1"/>
  <c r="L371"/>
  <c r="M371" s="1"/>
  <c r="K371"/>
  <c r="K359"/>
  <c r="L359"/>
  <c r="M359" s="1"/>
  <c r="L307"/>
  <c r="M307" s="1"/>
  <c r="K307"/>
  <c r="L279"/>
  <c r="M279" s="1"/>
  <c r="K279"/>
  <c r="K263"/>
  <c r="L263"/>
  <c r="M263" s="1"/>
  <c r="K251"/>
  <c r="L251"/>
  <c r="M251" s="1"/>
  <c r="K167"/>
  <c r="L167"/>
  <c r="M167" s="1"/>
  <c r="L151"/>
  <c r="M151" s="1"/>
  <c r="K151"/>
  <c r="K119"/>
  <c r="L119"/>
  <c r="M119" s="1"/>
  <c r="K91"/>
  <c r="L91"/>
  <c r="M91" s="1"/>
  <c r="L75"/>
  <c r="M75" s="1"/>
  <c r="K75"/>
  <c r="S361" i="23"/>
  <c r="Z361"/>
  <c r="Z349"/>
  <c r="S349"/>
  <c r="S341"/>
  <c r="Z341"/>
  <c r="S193"/>
  <c r="Z193"/>
  <c r="L309"/>
  <c r="M309" s="1"/>
  <c r="K309"/>
  <c r="K201"/>
  <c r="L201"/>
  <c r="M201" s="1"/>
  <c r="L168"/>
  <c r="M168" s="1"/>
  <c r="K168"/>
  <c r="K156"/>
  <c r="L156"/>
  <c r="M156" s="1"/>
  <c r="K96"/>
  <c r="L96"/>
  <c r="M96" s="1"/>
  <c r="L64"/>
  <c r="M64" s="1"/>
  <c r="K64"/>
  <c r="K56"/>
  <c r="L56"/>
  <c r="M56" s="1"/>
  <c r="O543"/>
  <c r="P543"/>
  <c r="O527"/>
  <c r="P527"/>
  <c r="O495"/>
  <c r="P495"/>
  <c r="P102"/>
  <c r="O102"/>
  <c r="O90"/>
  <c r="P90"/>
  <c r="P30"/>
  <c r="O30"/>
  <c r="P14"/>
  <c r="O14"/>
  <c r="T519"/>
  <c r="V519"/>
  <c r="T503"/>
  <c r="V503"/>
  <c r="T331"/>
  <c r="V331"/>
  <c r="T271"/>
  <c r="V271"/>
  <c r="T66"/>
  <c r="V66"/>
  <c r="T50"/>
  <c r="V50"/>
  <c r="K531" i="6"/>
  <c r="K479"/>
  <c r="K375"/>
  <c r="K323"/>
  <c r="K275"/>
  <c r="K243"/>
  <c r="K191"/>
  <c r="K127"/>
  <c r="K27"/>
  <c r="L547"/>
  <c r="M547" s="1"/>
  <c r="L399"/>
  <c r="M399" s="1"/>
  <c r="L355"/>
  <c r="M355" s="1"/>
  <c r="L303"/>
  <c r="M303" s="1"/>
  <c r="L255"/>
  <c r="M255" s="1"/>
  <c r="L207"/>
  <c r="M207" s="1"/>
  <c r="L63"/>
  <c r="O54" i="23"/>
  <c r="L60"/>
  <c r="M60" s="1"/>
  <c r="P118"/>
  <c r="K176"/>
  <c r="K197"/>
  <c r="Z233"/>
  <c r="Z241"/>
  <c r="Z321"/>
  <c r="S329"/>
  <c r="T339"/>
  <c r="Z353"/>
  <c r="V359"/>
  <c r="K377"/>
  <c r="L465"/>
  <c r="O499"/>
  <c r="Z505"/>
  <c r="Z517"/>
  <c r="O519"/>
  <c r="K527" i="6"/>
  <c r="L527"/>
  <c r="M527" s="1"/>
  <c r="L499"/>
  <c r="M499" s="1"/>
  <c r="K499"/>
  <c r="L483"/>
  <c r="M483" s="1"/>
  <c r="K483"/>
  <c r="L471"/>
  <c r="M471" s="1"/>
  <c r="K471"/>
  <c r="K455"/>
  <c r="L455"/>
  <c r="M455" s="1"/>
  <c r="K423"/>
  <c r="L423"/>
  <c r="M423" s="1"/>
  <c r="K411"/>
  <c r="L411"/>
  <c r="M411" s="1"/>
  <c r="L383"/>
  <c r="M383" s="1"/>
  <c r="K383"/>
  <c r="K367"/>
  <c r="L367"/>
  <c r="M367" s="1"/>
  <c r="K335"/>
  <c r="L335"/>
  <c r="M335" s="1"/>
  <c r="L235"/>
  <c r="M235" s="1"/>
  <c r="K235"/>
  <c r="L223"/>
  <c r="M223" s="1"/>
  <c r="K223"/>
  <c r="L211"/>
  <c r="M211" s="1"/>
  <c r="K211"/>
  <c r="K199"/>
  <c r="L199"/>
  <c r="M199" s="1"/>
  <c r="L163"/>
  <c r="K163"/>
  <c r="L131"/>
  <c r="M131" s="1"/>
  <c r="K131"/>
  <c r="L115"/>
  <c r="K115"/>
  <c r="K103"/>
  <c r="L103"/>
  <c r="M103" s="1"/>
  <c r="K59"/>
  <c r="L59"/>
  <c r="M59" s="1"/>
  <c r="Z569" i="23"/>
  <c r="S569"/>
  <c r="Z541"/>
  <c r="S541"/>
  <c r="S373"/>
  <c r="Z373"/>
  <c r="Z369"/>
  <c r="S369"/>
  <c r="Z357"/>
  <c r="S357"/>
  <c r="S345"/>
  <c r="Z345"/>
  <c r="S305"/>
  <c r="Z305"/>
  <c r="Z285"/>
  <c r="S285"/>
  <c r="S237"/>
  <c r="Z237"/>
  <c r="Z188"/>
  <c r="S188"/>
  <c r="K477"/>
  <c r="L477"/>
  <c r="K429"/>
  <c r="L429"/>
  <c r="K389"/>
  <c r="L389"/>
  <c r="M389" s="1"/>
  <c r="K281"/>
  <c r="L281"/>
  <c r="M281" s="1"/>
  <c r="L160"/>
  <c r="M160" s="1"/>
  <c r="K160"/>
  <c r="L152"/>
  <c r="M152" s="1"/>
  <c r="K152"/>
  <c r="L124"/>
  <c r="M124" s="1"/>
  <c r="K124"/>
  <c r="K88"/>
  <c r="L88"/>
  <c r="M88" s="1"/>
  <c r="O503"/>
  <c r="P503"/>
  <c r="P487"/>
  <c r="O487"/>
  <c r="O130"/>
  <c r="P130"/>
  <c r="P98"/>
  <c r="O98"/>
  <c r="P82"/>
  <c r="O82"/>
  <c r="P70"/>
  <c r="O70"/>
  <c r="T507"/>
  <c r="V507"/>
  <c r="T375"/>
  <c r="V375"/>
  <c r="T327"/>
  <c r="V327"/>
  <c r="T114"/>
  <c r="V114"/>
  <c r="K543" i="6"/>
  <c r="K491"/>
  <c r="K387"/>
  <c r="K339"/>
  <c r="K287"/>
  <c r="K203"/>
  <c r="K139"/>
  <c r="K43"/>
  <c r="L559"/>
  <c r="M559" s="1"/>
  <c r="L511"/>
  <c r="M511" s="1"/>
  <c r="L463"/>
  <c r="M463" s="1"/>
  <c r="L319"/>
  <c r="M319" s="1"/>
  <c r="L219"/>
  <c r="M219" s="1"/>
  <c r="L171"/>
  <c r="L123"/>
  <c r="L71"/>
  <c r="L19"/>
  <c r="M19" s="1"/>
  <c r="K40" i="23"/>
  <c r="O66"/>
  <c r="L72"/>
  <c r="M72" s="1"/>
  <c r="K80"/>
  <c r="P86"/>
  <c r="T106"/>
  <c r="O138"/>
  <c r="O142"/>
  <c r="L193"/>
  <c r="M193" s="1"/>
  <c r="S197"/>
  <c r="K205"/>
  <c r="S289"/>
  <c r="K301"/>
  <c r="T343"/>
  <c r="L349"/>
  <c r="Z385"/>
  <c r="L425"/>
  <c r="M425" s="1"/>
  <c r="L457"/>
  <c r="M457" s="1"/>
  <c r="S549"/>
  <c r="O551"/>
  <c r="O567"/>
  <c r="S483"/>
  <c r="S475"/>
  <c r="D82" i="18"/>
  <c r="F82" s="1"/>
  <c r="T226" i="6"/>
  <c r="L390"/>
  <c r="M390" s="1"/>
  <c r="L142"/>
  <c r="M142" s="1"/>
  <c r="S440" i="23"/>
  <c r="S456"/>
  <c r="L278" i="6"/>
  <c r="M278" s="1"/>
  <c r="K70"/>
  <c r="L350"/>
  <c r="M350" s="1"/>
  <c r="L214"/>
  <c r="M214" s="1"/>
  <c r="Z183" i="23"/>
  <c r="S256"/>
  <c r="K514" i="6"/>
  <c r="S424" i="23"/>
  <c r="S428"/>
  <c r="S560"/>
  <c r="K114" i="6"/>
  <c r="K42"/>
  <c r="L178"/>
  <c r="M178" s="1"/>
  <c r="S204" i="23"/>
  <c r="S312"/>
  <c r="K458" i="6"/>
  <c r="K410"/>
  <c r="L434"/>
  <c r="M434" s="1"/>
  <c r="L6"/>
  <c r="Z179" i="23"/>
  <c r="S392"/>
  <c r="K444"/>
  <c r="K568"/>
  <c r="D167" i="18"/>
  <c r="F167" s="1"/>
  <c r="T513" i="6"/>
  <c r="T505"/>
  <c r="T469"/>
  <c r="T449"/>
  <c r="T389"/>
  <c r="T377"/>
  <c r="T357"/>
  <c r="T325"/>
  <c r="T293"/>
  <c r="T289"/>
  <c r="T527"/>
  <c r="T507"/>
  <c r="T491"/>
  <c r="T483"/>
  <c r="T427"/>
  <c r="T411"/>
  <c r="T355"/>
  <c r="T343"/>
  <c r="T339"/>
  <c r="T319"/>
  <c r="T303"/>
  <c r="T279"/>
  <c r="T495" i="23"/>
  <c r="T491"/>
  <c r="T383"/>
  <c r="T355"/>
  <c r="T347"/>
  <c r="T323"/>
  <c r="T315"/>
  <c r="T311"/>
  <c r="T299"/>
  <c r="T287"/>
  <c r="T255"/>
  <c r="T537"/>
  <c r="T489"/>
  <c r="S557"/>
  <c r="S525"/>
  <c r="S493"/>
  <c r="T563" i="6"/>
  <c r="T539"/>
  <c r="T523"/>
  <c r="T467"/>
  <c r="T451"/>
  <c r="T407"/>
  <c r="T371"/>
  <c r="T291"/>
  <c r="T271"/>
  <c r="V527"/>
  <c r="V491"/>
  <c r="V411"/>
  <c r="O44" i="23"/>
  <c r="L335"/>
  <c r="L363"/>
  <c r="M363" s="1"/>
  <c r="L371"/>
  <c r="L379"/>
  <c r="M379" s="1"/>
  <c r="L395"/>
  <c r="M395" s="1"/>
  <c r="L403"/>
  <c r="M403" s="1"/>
  <c r="P429"/>
  <c r="K439"/>
  <c r="K447"/>
  <c r="S455"/>
  <c r="K463"/>
  <c r="Z475"/>
  <c r="L491"/>
  <c r="M491" s="1"/>
  <c r="L499"/>
  <c r="M499" s="1"/>
  <c r="O501"/>
  <c r="L527"/>
  <c r="M527" s="1"/>
  <c r="L543"/>
  <c r="M543" s="1"/>
  <c r="K555"/>
  <c r="T567" i="6"/>
  <c r="T547"/>
  <c r="T455"/>
  <c r="T435"/>
  <c r="T391"/>
  <c r="T307"/>
  <c r="K101"/>
  <c r="K85"/>
  <c r="L341"/>
  <c r="M341" s="1"/>
  <c r="S459" i="23"/>
  <c r="S491"/>
  <c r="L421" i="6"/>
  <c r="M421" s="1"/>
  <c r="S467" i="23"/>
  <c r="K286" i="6"/>
  <c r="K246"/>
  <c r="K126"/>
  <c r="K30"/>
  <c r="L318"/>
  <c r="M318" s="1"/>
  <c r="L254"/>
  <c r="M254" s="1"/>
  <c r="L54"/>
  <c r="Z232" i="23"/>
  <c r="S388"/>
  <c r="K398" i="6"/>
  <c r="L566"/>
  <c r="M566" s="1"/>
  <c r="L530"/>
  <c r="M530" s="1"/>
  <c r="L498"/>
  <c r="M498" s="1"/>
  <c r="D134" i="18"/>
  <c r="F134" s="1"/>
  <c r="D114"/>
  <c r="F114" s="1"/>
  <c r="D136"/>
  <c r="F136" s="1"/>
  <c r="T433" i="6"/>
  <c r="T273"/>
  <c r="T559"/>
  <c r="T543"/>
  <c r="T531"/>
  <c r="T515"/>
  <c r="T503"/>
  <c r="T487"/>
  <c r="T471"/>
  <c r="T459"/>
  <c r="T447"/>
  <c r="T431"/>
  <c r="T415"/>
  <c r="T399"/>
  <c r="T387"/>
  <c r="T375"/>
  <c r="T359"/>
  <c r="T311"/>
  <c r="T299"/>
  <c r="T287"/>
  <c r="K373"/>
  <c r="L309"/>
  <c r="M309" s="1"/>
  <c r="L293"/>
  <c r="M293" s="1"/>
  <c r="L437"/>
  <c r="M437" s="1"/>
  <c r="L369"/>
  <c r="M369" s="1"/>
  <c r="L241"/>
  <c r="M241" s="1"/>
  <c r="K209"/>
  <c r="K81"/>
  <c r="L469"/>
  <c r="M469" s="1"/>
  <c r="L133"/>
  <c r="M133" s="1"/>
  <c r="T347"/>
  <c r="T335"/>
  <c r="T323"/>
  <c r="T275"/>
  <c r="K485"/>
  <c r="K193"/>
  <c r="K177"/>
  <c r="K69"/>
  <c r="L517"/>
  <c r="M517" s="1"/>
  <c r="L417"/>
  <c r="M417" s="1"/>
  <c r="L401"/>
  <c r="M401" s="1"/>
  <c r="L37"/>
  <c r="M37" s="1"/>
  <c r="L21"/>
  <c r="M21" s="1"/>
  <c r="Z467" i="23"/>
  <c r="S495"/>
  <c r="D181" i="18"/>
  <c r="F181" s="1"/>
  <c r="D180"/>
  <c r="F180" s="1"/>
  <c r="D177"/>
  <c r="F177" s="1"/>
  <c r="D176"/>
  <c r="F176" s="1"/>
  <c r="D51"/>
  <c r="F51" s="1"/>
  <c r="K570" i="6"/>
  <c r="K342"/>
  <c r="L554"/>
  <c r="M554" s="1"/>
  <c r="L466"/>
  <c r="M466" s="1"/>
  <c r="L242"/>
  <c r="M242" s="1"/>
  <c r="L202"/>
  <c r="M202" s="1"/>
  <c r="L110"/>
  <c r="D60" i="18"/>
  <c r="F60" s="1"/>
  <c r="S568" i="23"/>
  <c r="S460"/>
  <c r="S444"/>
  <c r="S348"/>
  <c r="S316"/>
  <c r="S300"/>
  <c r="S268"/>
  <c r="S252"/>
  <c r="S212"/>
  <c r="S200"/>
  <c r="S192"/>
  <c r="S187"/>
  <c r="S175"/>
  <c r="T530" i="6"/>
  <c r="T486"/>
  <c r="T422"/>
  <c r="T358"/>
  <c r="T262"/>
  <c r="T98"/>
  <c r="T62"/>
  <c r="T408"/>
  <c r="T256"/>
  <c r="L462"/>
  <c r="M462" s="1"/>
  <c r="K462"/>
  <c r="L394"/>
  <c r="M394" s="1"/>
  <c r="K394"/>
  <c r="L330"/>
  <c r="M330" s="1"/>
  <c r="K330"/>
  <c r="K290"/>
  <c r="L290"/>
  <c r="M290" s="1"/>
  <c r="L250"/>
  <c r="M250" s="1"/>
  <c r="K250"/>
  <c r="L218"/>
  <c r="M218" s="1"/>
  <c r="K218"/>
  <c r="L118"/>
  <c r="K118"/>
  <c r="K46"/>
  <c r="L46"/>
  <c r="M46" s="1"/>
  <c r="S552" i="23"/>
  <c r="Z552"/>
  <c r="L518" i="6"/>
  <c r="M518" s="1"/>
  <c r="K518"/>
  <c r="L470"/>
  <c r="M470" s="1"/>
  <c r="K470"/>
  <c r="L338"/>
  <c r="M338" s="1"/>
  <c r="K338"/>
  <c r="L258"/>
  <c r="M258" s="1"/>
  <c r="K258"/>
  <c r="L166"/>
  <c r="M166" s="1"/>
  <c r="K166"/>
  <c r="K562"/>
  <c r="K534"/>
  <c r="K502"/>
  <c r="K474"/>
  <c r="K430"/>
  <c r="K402"/>
  <c r="K362"/>
  <c r="K314"/>
  <c r="K302"/>
  <c r="K262"/>
  <c r="K234"/>
  <c r="K206"/>
  <c r="K182"/>
  <c r="K154"/>
  <c r="K102"/>
  <c r="K74"/>
  <c r="K66"/>
  <c r="K22"/>
  <c r="L546"/>
  <c r="M546" s="1"/>
  <c r="L522"/>
  <c r="M522" s="1"/>
  <c r="L490"/>
  <c r="M490" s="1"/>
  <c r="L426"/>
  <c r="M426" s="1"/>
  <c r="L418"/>
  <c r="M418" s="1"/>
  <c r="L382"/>
  <c r="M382" s="1"/>
  <c r="L370"/>
  <c r="M370" s="1"/>
  <c r="L310"/>
  <c r="M310" s="1"/>
  <c r="L238"/>
  <c r="M238" s="1"/>
  <c r="L194"/>
  <c r="M194" s="1"/>
  <c r="L170"/>
  <c r="M170" s="1"/>
  <c r="L134"/>
  <c r="M134" s="1"/>
  <c r="L78"/>
  <c r="M78" s="1"/>
  <c r="L34"/>
  <c r="M34" s="1"/>
  <c r="L454"/>
  <c r="M454" s="1"/>
  <c r="K454"/>
  <c r="L422"/>
  <c r="M422" s="1"/>
  <c r="K422"/>
  <c r="L386"/>
  <c r="M386" s="1"/>
  <c r="K386"/>
  <c r="L298"/>
  <c r="M298" s="1"/>
  <c r="K298"/>
  <c r="L150"/>
  <c r="K150"/>
  <c r="L138"/>
  <c r="M138" s="1"/>
  <c r="K138"/>
  <c r="L90"/>
  <c r="K90"/>
  <c r="T512"/>
  <c r="V408"/>
  <c r="K550"/>
  <c r="K478"/>
  <c r="K450"/>
  <c r="K378"/>
  <c r="K334"/>
  <c r="K306"/>
  <c r="K266"/>
  <c r="K174"/>
  <c r="K146"/>
  <c r="K106"/>
  <c r="K98"/>
  <c r="K58"/>
  <c r="K14"/>
  <c r="L538"/>
  <c r="M538" s="1"/>
  <c r="L506"/>
  <c r="M506" s="1"/>
  <c r="L482"/>
  <c r="M482" s="1"/>
  <c r="L414"/>
  <c r="M414" s="1"/>
  <c r="L374"/>
  <c r="M374" s="1"/>
  <c r="L366"/>
  <c r="M366" s="1"/>
  <c r="L270"/>
  <c r="M270" s="1"/>
  <c r="L230"/>
  <c r="M230" s="1"/>
  <c r="L186"/>
  <c r="L162"/>
  <c r="M162" s="1"/>
  <c r="L130"/>
  <c r="M130" s="1"/>
  <c r="L94"/>
  <c r="M94" s="1"/>
  <c r="L26"/>
  <c r="M26" s="1"/>
  <c r="Z568" i="23"/>
  <c r="K558" i="6"/>
  <c r="L558"/>
  <c r="M558" s="1"/>
  <c r="L526"/>
  <c r="M526" s="1"/>
  <c r="K526"/>
  <c r="K510"/>
  <c r="L510"/>
  <c r="M510" s="1"/>
  <c r="L486"/>
  <c r="M486" s="1"/>
  <c r="K486"/>
  <c r="L446"/>
  <c r="M446" s="1"/>
  <c r="K446"/>
  <c r="L346"/>
  <c r="M346" s="1"/>
  <c r="K346"/>
  <c r="L158"/>
  <c r="K158"/>
  <c r="V256"/>
  <c r="K542"/>
  <c r="K494"/>
  <c r="K438"/>
  <c r="K354"/>
  <c r="K322"/>
  <c r="K294"/>
  <c r="K282"/>
  <c r="K226"/>
  <c r="K198"/>
  <c r="K190"/>
  <c r="K122"/>
  <c r="K86"/>
  <c r="K50"/>
  <c r="K38"/>
  <c r="L442"/>
  <c r="M442" s="1"/>
  <c r="L406"/>
  <c r="M406" s="1"/>
  <c r="L358"/>
  <c r="M358" s="1"/>
  <c r="L326"/>
  <c r="M326" s="1"/>
  <c r="L222"/>
  <c r="M222" s="1"/>
  <c r="L210"/>
  <c r="M210" s="1"/>
  <c r="L62"/>
  <c r="M62" s="1"/>
  <c r="L18"/>
  <c r="M18" s="1"/>
  <c r="S127" i="23"/>
  <c r="Z187"/>
  <c r="L464"/>
  <c r="M464" s="1"/>
  <c r="K468"/>
  <c r="L512"/>
  <c r="M512" s="1"/>
  <c r="L560"/>
  <c r="M560" s="1"/>
  <c r="S490"/>
  <c r="S378"/>
  <c r="S310"/>
  <c r="S270"/>
  <c r="S254"/>
  <c r="S121"/>
  <c r="S105"/>
  <c r="S101"/>
  <c r="S89"/>
  <c r="S81"/>
  <c r="K501" i="6"/>
  <c r="T565"/>
  <c r="T553"/>
  <c r="T509"/>
  <c r="T501"/>
  <c r="T497"/>
  <c r="T489"/>
  <c r="T481"/>
  <c r="T437"/>
  <c r="T425"/>
  <c r="T421"/>
  <c r="T417"/>
  <c r="T409"/>
  <c r="T385"/>
  <c r="T341"/>
  <c r="T329"/>
  <c r="T321"/>
  <c r="T309"/>
  <c r="T305"/>
  <c r="T297"/>
  <c r="T277"/>
  <c r="K561"/>
  <c r="K453"/>
  <c r="L545"/>
  <c r="M545" s="1"/>
  <c r="L529"/>
  <c r="M529" s="1"/>
  <c r="K465"/>
  <c r="K449"/>
  <c r="K433"/>
  <c r="K357"/>
  <c r="K325"/>
  <c r="K245"/>
  <c r="K25"/>
  <c r="L389"/>
  <c r="M389" s="1"/>
  <c r="L289"/>
  <c r="M289" s="1"/>
  <c r="L273"/>
  <c r="M273" s="1"/>
  <c r="L213"/>
  <c r="M213" s="1"/>
  <c r="L181"/>
  <c r="M181" s="1"/>
  <c r="L165"/>
  <c r="M165" s="1"/>
  <c r="L113"/>
  <c r="M113" s="1"/>
  <c r="K337"/>
  <c r="K321"/>
  <c r="K305"/>
  <c r="K229"/>
  <c r="K197"/>
  <c r="K117"/>
  <c r="L565"/>
  <c r="M565" s="1"/>
  <c r="L549"/>
  <c r="M549" s="1"/>
  <c r="L497"/>
  <c r="M497" s="1"/>
  <c r="L261"/>
  <c r="M261" s="1"/>
  <c r="L161"/>
  <c r="M161" s="1"/>
  <c r="L145"/>
  <c r="M145" s="1"/>
  <c r="L53"/>
  <c r="M53" s="1"/>
  <c r="D48" i="18"/>
  <c r="F48" s="1"/>
  <c r="L12" i="26"/>
  <c r="M12" s="1"/>
  <c r="K12"/>
  <c r="L6"/>
  <c r="M6" s="1"/>
  <c r="K6"/>
  <c r="L8"/>
  <c r="M8" s="1"/>
  <c r="K8"/>
  <c r="T572" i="6"/>
  <c r="T568"/>
  <c r="T564"/>
  <c r="T560"/>
  <c r="T556"/>
  <c r="T552"/>
  <c r="T548"/>
  <c r="T544"/>
  <c r="T540"/>
  <c r="T536"/>
  <c r="T532"/>
  <c r="T528"/>
  <c r="T524"/>
  <c r="T520"/>
  <c r="T516"/>
  <c r="T508"/>
  <c r="T504"/>
  <c r="T500"/>
  <c r="T496"/>
  <c r="T492"/>
  <c r="T488"/>
  <c r="T484"/>
  <c r="T480"/>
  <c r="T476"/>
  <c r="T472"/>
  <c r="T468"/>
  <c r="T464"/>
  <c r="T460"/>
  <c r="T456"/>
  <c r="T452"/>
  <c r="T448"/>
  <c r="T444"/>
  <c r="T440"/>
  <c r="T436"/>
  <c r="T432"/>
  <c r="T428"/>
  <c r="T424"/>
  <c r="T420"/>
  <c r="T416"/>
  <c r="T412"/>
  <c r="T404"/>
  <c r="T400"/>
  <c r="T396"/>
  <c r="T392"/>
  <c r="T388"/>
  <c r="T384"/>
  <c r="T380"/>
  <c r="T376"/>
  <c r="T372"/>
  <c r="T368"/>
  <c r="T364"/>
  <c r="T360"/>
  <c r="T356"/>
  <c r="T352"/>
  <c r="T348"/>
  <c r="T344"/>
  <c r="T340"/>
  <c r="T336"/>
  <c r="T332"/>
  <c r="T328"/>
  <c r="T324"/>
  <c r="T320"/>
  <c r="T316"/>
  <c r="T312"/>
  <c r="T308"/>
  <c r="T304"/>
  <c r="T300"/>
  <c r="T296"/>
  <c r="T292"/>
  <c r="T288"/>
  <c r="T284"/>
  <c r="T280"/>
  <c r="T276"/>
  <c r="T272"/>
  <c r="T268"/>
  <c r="T264"/>
  <c r="T260"/>
  <c r="T252"/>
  <c r="T248"/>
  <c r="T244"/>
  <c r="T240"/>
  <c r="T236"/>
  <c r="T232"/>
  <c r="T228"/>
  <c r="T224"/>
  <c r="T220"/>
  <c r="T216"/>
  <c r="T212"/>
  <c r="T208"/>
  <c r="T204"/>
  <c r="T200"/>
  <c r="T196"/>
  <c r="T172"/>
  <c r="T140"/>
  <c r="T108"/>
  <c r="T76"/>
  <c r="T56"/>
  <c r="T48"/>
  <c r="T40"/>
  <c r="T32"/>
  <c r="T16"/>
  <c r="T12"/>
  <c r="T4"/>
  <c r="T561"/>
  <c r="T521"/>
  <c r="T485"/>
  <c r="T473"/>
  <c r="T465"/>
  <c r="T453"/>
  <c r="T441"/>
  <c r="T405"/>
  <c r="T401"/>
  <c r="T393"/>
  <c r="T373"/>
  <c r="T361"/>
  <c r="T337"/>
  <c r="K533"/>
  <c r="K481"/>
  <c r="K405"/>
  <c r="K353"/>
  <c r="K277"/>
  <c r="K225"/>
  <c r="K149"/>
  <c r="K97"/>
  <c r="L513"/>
  <c r="M513" s="1"/>
  <c r="L385"/>
  <c r="M385" s="1"/>
  <c r="L257"/>
  <c r="M257" s="1"/>
  <c r="L129"/>
  <c r="M129" s="1"/>
  <c r="D164" i="18"/>
  <c r="F164" s="1"/>
  <c r="D163"/>
  <c r="F163" s="1"/>
  <c r="T562" i="6"/>
  <c r="T550"/>
  <c r="T494"/>
  <c r="T466"/>
  <c r="T430"/>
  <c r="T402"/>
  <c r="T366"/>
  <c r="T338"/>
  <c r="T274"/>
  <c r="T266"/>
  <c r="T258"/>
  <c r="T250"/>
  <c r="T234"/>
  <c r="T218"/>
  <c r="T210"/>
  <c r="T202"/>
  <c r="T194"/>
  <c r="T162"/>
  <c r="T130"/>
  <c r="T570" i="23"/>
  <c r="T566"/>
  <c r="T558"/>
  <c r="T550"/>
  <c r="T569" i="6"/>
  <c r="T557"/>
  <c r="T549"/>
  <c r="T545"/>
  <c r="T541"/>
  <c r="T533"/>
  <c r="T529"/>
  <c r="T525"/>
  <c r="T517"/>
  <c r="K3"/>
  <c r="K557"/>
  <c r="K541"/>
  <c r="K525"/>
  <c r="K509"/>
  <c r="K493"/>
  <c r="K477"/>
  <c r="K461"/>
  <c r="K445"/>
  <c r="K429"/>
  <c r="K413"/>
  <c r="K397"/>
  <c r="K381"/>
  <c r="K365"/>
  <c r="K349"/>
  <c r="K333"/>
  <c r="K317"/>
  <c r="K301"/>
  <c r="K285"/>
  <c r="K269"/>
  <c r="K253"/>
  <c r="K237"/>
  <c r="K221"/>
  <c r="K205"/>
  <c r="K189"/>
  <c r="K173"/>
  <c r="K157"/>
  <c r="K141"/>
  <c r="K125"/>
  <c r="K109"/>
  <c r="K93"/>
  <c r="K77"/>
  <c r="K61"/>
  <c r="K45"/>
  <c r="K33"/>
  <c r="K17"/>
  <c r="K569"/>
  <c r="K553"/>
  <c r="K537"/>
  <c r="K521"/>
  <c r="K505"/>
  <c r="K489"/>
  <c r="K473"/>
  <c r="K457"/>
  <c r="K441"/>
  <c r="K425"/>
  <c r="K409"/>
  <c r="K393"/>
  <c r="K377"/>
  <c r="K361"/>
  <c r="K345"/>
  <c r="K329"/>
  <c r="K313"/>
  <c r="K297"/>
  <c r="K281"/>
  <c r="K265"/>
  <c r="K249"/>
  <c r="K233"/>
  <c r="K217"/>
  <c r="K201"/>
  <c r="K185"/>
  <c r="K169"/>
  <c r="K153"/>
  <c r="K137"/>
  <c r="K121"/>
  <c r="K105"/>
  <c r="K89"/>
  <c r="K73"/>
  <c r="K57"/>
  <c r="K41"/>
  <c r="K29"/>
  <c r="K5"/>
  <c r="L568"/>
  <c r="M568" s="1"/>
  <c r="K568"/>
  <c r="L548"/>
  <c r="M548" s="1"/>
  <c r="K548"/>
  <c r="L532"/>
  <c r="M532" s="1"/>
  <c r="K532"/>
  <c r="L516"/>
  <c r="M516" s="1"/>
  <c r="K516"/>
  <c r="L504"/>
  <c r="M504" s="1"/>
  <c r="K504"/>
  <c r="L488"/>
  <c r="M488" s="1"/>
  <c r="K488"/>
  <c r="L468"/>
  <c r="M468" s="1"/>
  <c r="K468"/>
  <c r="L456"/>
  <c r="M456" s="1"/>
  <c r="K456"/>
  <c r="L436"/>
  <c r="M436" s="1"/>
  <c r="K436"/>
  <c r="L420"/>
  <c r="M420" s="1"/>
  <c r="K420"/>
  <c r="L408"/>
  <c r="M408" s="1"/>
  <c r="K408"/>
  <c r="L388"/>
  <c r="M388" s="1"/>
  <c r="K388"/>
  <c r="L376"/>
  <c r="M376" s="1"/>
  <c r="K376"/>
  <c r="K360"/>
  <c r="L360"/>
  <c r="M360" s="1"/>
  <c r="K344"/>
  <c r="L344"/>
  <c r="M344" s="1"/>
  <c r="K328"/>
  <c r="L328"/>
  <c r="M328" s="1"/>
  <c r="K312"/>
  <c r="L312"/>
  <c r="M312" s="1"/>
  <c r="K296"/>
  <c r="L296"/>
  <c r="M296" s="1"/>
  <c r="K280"/>
  <c r="L280"/>
  <c r="M280" s="1"/>
  <c r="K264"/>
  <c r="L264"/>
  <c r="K248"/>
  <c r="L248"/>
  <c r="M248" s="1"/>
  <c r="K232"/>
  <c r="L232"/>
  <c r="K216"/>
  <c r="L216"/>
  <c r="K196"/>
  <c r="L196"/>
  <c r="K184"/>
  <c r="L184"/>
  <c r="M184" s="1"/>
  <c r="K164"/>
  <c r="L164"/>
  <c r="K148"/>
  <c r="L148"/>
  <c r="M148" s="1"/>
  <c r="K136"/>
  <c r="L136"/>
  <c r="K116"/>
  <c r="L116"/>
  <c r="M116" s="1"/>
  <c r="K100"/>
  <c r="L100"/>
  <c r="K84"/>
  <c r="L84"/>
  <c r="M84" s="1"/>
  <c r="K72"/>
  <c r="L72"/>
  <c r="L52"/>
  <c r="M52" s="1"/>
  <c r="K28"/>
  <c r="L28"/>
  <c r="M28" s="1"/>
  <c r="K20"/>
  <c r="L20"/>
  <c r="M20" s="1"/>
  <c r="V570"/>
  <c r="T570"/>
  <c r="V514"/>
  <c r="T514"/>
  <c r="V502"/>
  <c r="T502"/>
  <c r="V470"/>
  <c r="T470"/>
  <c r="V438"/>
  <c r="T438"/>
  <c r="V406"/>
  <c r="T406"/>
  <c r="V370"/>
  <c r="T370"/>
  <c r="V342"/>
  <c r="T342"/>
  <c r="V310"/>
  <c r="T310"/>
  <c r="V278"/>
  <c r="T278"/>
  <c r="V246"/>
  <c r="T246"/>
  <c r="V230"/>
  <c r="T230"/>
  <c r="T178"/>
  <c r="V178"/>
  <c r="T166"/>
  <c r="V166"/>
  <c r="V114"/>
  <c r="T114"/>
  <c r="T102"/>
  <c r="V102"/>
  <c r="V86"/>
  <c r="T86"/>
  <c r="V46"/>
  <c r="T46"/>
  <c r="V38"/>
  <c r="T38"/>
  <c r="Z526" i="23"/>
  <c r="S526"/>
  <c r="S522"/>
  <c r="Z522"/>
  <c r="Z518"/>
  <c r="S518"/>
  <c r="S514"/>
  <c r="Z514"/>
  <c r="Z510"/>
  <c r="S510"/>
  <c r="S470"/>
  <c r="Z470"/>
  <c r="Z462"/>
  <c r="S462"/>
  <c r="Z454"/>
  <c r="S454"/>
  <c r="S438"/>
  <c r="Z438"/>
  <c r="S394"/>
  <c r="Z394"/>
  <c r="S386"/>
  <c r="Z386"/>
  <c r="S362"/>
  <c r="Z362"/>
  <c r="S358"/>
  <c r="Z358"/>
  <c r="S354"/>
  <c r="Z354"/>
  <c r="S350"/>
  <c r="Z350"/>
  <c r="S346"/>
  <c r="Z346"/>
  <c r="S342"/>
  <c r="Z342"/>
  <c r="S338"/>
  <c r="Z338"/>
  <c r="S334"/>
  <c r="Z334"/>
  <c r="Z330"/>
  <c r="S330"/>
  <c r="S326"/>
  <c r="Z326"/>
  <c r="S322"/>
  <c r="Z322"/>
  <c r="S318"/>
  <c r="Z318"/>
  <c r="Z314"/>
  <c r="S314"/>
  <c r="Z306"/>
  <c r="S306"/>
  <c r="S302"/>
  <c r="Z302"/>
  <c r="Z290"/>
  <c r="S290"/>
  <c r="S286"/>
  <c r="Z286"/>
  <c r="Z282"/>
  <c r="S282"/>
  <c r="Z274"/>
  <c r="S274"/>
  <c r="S250"/>
  <c r="Z250"/>
  <c r="Z246"/>
  <c r="S246"/>
  <c r="Z242"/>
  <c r="S242"/>
  <c r="S238"/>
  <c r="Z238"/>
  <c r="Z206"/>
  <c r="S206"/>
  <c r="Z202"/>
  <c r="S202"/>
  <c r="Z198"/>
  <c r="S198"/>
  <c r="Z194"/>
  <c r="S194"/>
  <c r="Z189"/>
  <c r="S189"/>
  <c r="Z185"/>
  <c r="S185"/>
  <c r="Z181"/>
  <c r="S181"/>
  <c r="Z177"/>
  <c r="S177"/>
  <c r="S145"/>
  <c r="Z145"/>
  <c r="S141"/>
  <c r="Z141"/>
  <c r="S137"/>
  <c r="Z137"/>
  <c r="Z133"/>
  <c r="S133"/>
  <c r="S97"/>
  <c r="Z97"/>
  <c r="L560" i="6"/>
  <c r="M560" s="1"/>
  <c r="K560"/>
  <c r="L540"/>
  <c r="M540" s="1"/>
  <c r="K540"/>
  <c r="L528"/>
  <c r="M528" s="1"/>
  <c r="K528"/>
  <c r="L508"/>
  <c r="M508" s="1"/>
  <c r="K508"/>
  <c r="L496"/>
  <c r="M496" s="1"/>
  <c r="K496"/>
  <c r="L480"/>
  <c r="M480" s="1"/>
  <c r="K480"/>
  <c r="L464"/>
  <c r="M464" s="1"/>
  <c r="K464"/>
  <c r="L448"/>
  <c r="M448" s="1"/>
  <c r="K448"/>
  <c r="L432"/>
  <c r="M432" s="1"/>
  <c r="K432"/>
  <c r="L416"/>
  <c r="M416" s="1"/>
  <c r="K416"/>
  <c r="L400"/>
  <c r="M400" s="1"/>
  <c r="K400"/>
  <c r="L380"/>
  <c r="M380" s="1"/>
  <c r="K380"/>
  <c r="L368"/>
  <c r="M368" s="1"/>
  <c r="K368"/>
  <c r="K348"/>
  <c r="L348"/>
  <c r="M348" s="1"/>
  <c r="K336"/>
  <c r="L336"/>
  <c r="M336" s="1"/>
  <c r="K320"/>
  <c r="L320"/>
  <c r="M320" s="1"/>
  <c r="K304"/>
  <c r="L304"/>
  <c r="M304" s="1"/>
  <c r="K288"/>
  <c r="L288"/>
  <c r="M288" s="1"/>
  <c r="K272"/>
  <c r="L272"/>
  <c r="M272" s="1"/>
  <c r="K256"/>
  <c r="L256"/>
  <c r="M256" s="1"/>
  <c r="K236"/>
  <c r="L236"/>
  <c r="M236" s="1"/>
  <c r="K220"/>
  <c r="L220"/>
  <c r="M220" s="1"/>
  <c r="K208"/>
  <c r="L208"/>
  <c r="M208" s="1"/>
  <c r="K188"/>
  <c r="L188"/>
  <c r="M188" s="1"/>
  <c r="K172"/>
  <c r="L172"/>
  <c r="M172" s="1"/>
  <c r="K156"/>
  <c r="L156"/>
  <c r="M156" s="1"/>
  <c r="K140"/>
  <c r="L140"/>
  <c r="M140" s="1"/>
  <c r="K124"/>
  <c r="L124"/>
  <c r="M124" s="1"/>
  <c r="K108"/>
  <c r="L108"/>
  <c r="M108" s="1"/>
  <c r="K92"/>
  <c r="L92"/>
  <c r="M92" s="1"/>
  <c r="K76"/>
  <c r="L76"/>
  <c r="M76" s="1"/>
  <c r="K60"/>
  <c r="L60"/>
  <c r="M60" s="1"/>
  <c r="K44"/>
  <c r="L44"/>
  <c r="M44" s="1"/>
  <c r="K36"/>
  <c r="L36"/>
  <c r="M36" s="1"/>
  <c r="K24"/>
  <c r="L24"/>
  <c r="M24" s="1"/>
  <c r="L8"/>
  <c r="K8"/>
  <c r="V566"/>
  <c r="T566"/>
  <c r="V554"/>
  <c r="T554"/>
  <c r="V522"/>
  <c r="T522"/>
  <c r="V506"/>
  <c r="T506"/>
  <c r="V478"/>
  <c r="T478"/>
  <c r="V442"/>
  <c r="T442"/>
  <c r="V414"/>
  <c r="T414"/>
  <c r="V378"/>
  <c r="T378"/>
  <c r="T346"/>
  <c r="V346"/>
  <c r="T334"/>
  <c r="V334"/>
  <c r="V318"/>
  <c r="T318"/>
  <c r="V286"/>
  <c r="T286"/>
  <c r="T186"/>
  <c r="V186"/>
  <c r="V134"/>
  <c r="T134"/>
  <c r="V118"/>
  <c r="T118"/>
  <c r="T82"/>
  <c r="V82"/>
  <c r="V70"/>
  <c r="T70"/>
  <c r="V54"/>
  <c r="T54"/>
  <c r="T42"/>
  <c r="V42"/>
  <c r="T14"/>
  <c r="V14"/>
  <c r="Z494" i="23"/>
  <c r="S494"/>
  <c r="T542" i="6"/>
  <c r="T418"/>
  <c r="T394"/>
  <c r="V466"/>
  <c r="V338"/>
  <c r="V258"/>
  <c r="V194"/>
  <c r="L564"/>
  <c r="M564" s="1"/>
  <c r="K564"/>
  <c r="L552"/>
  <c r="M552" s="1"/>
  <c r="K552"/>
  <c r="L536"/>
  <c r="M536" s="1"/>
  <c r="K536"/>
  <c r="L520"/>
  <c r="M520" s="1"/>
  <c r="K520"/>
  <c r="L500"/>
  <c r="M500" s="1"/>
  <c r="K500"/>
  <c r="L484"/>
  <c r="M484" s="1"/>
  <c r="K484"/>
  <c r="L472"/>
  <c r="M472" s="1"/>
  <c r="K472"/>
  <c r="L452"/>
  <c r="M452" s="1"/>
  <c r="K452"/>
  <c r="L440"/>
  <c r="M440" s="1"/>
  <c r="K440"/>
  <c r="L424"/>
  <c r="M424" s="1"/>
  <c r="K424"/>
  <c r="L404"/>
  <c r="M404" s="1"/>
  <c r="K404"/>
  <c r="L392"/>
  <c r="M392" s="1"/>
  <c r="K392"/>
  <c r="L372"/>
  <c r="M372" s="1"/>
  <c r="K372"/>
  <c r="K356"/>
  <c r="L356"/>
  <c r="M356" s="1"/>
  <c r="K340"/>
  <c r="L340"/>
  <c r="M340" s="1"/>
  <c r="K324"/>
  <c r="L324"/>
  <c r="M324" s="1"/>
  <c r="K308"/>
  <c r="L308"/>
  <c r="M308" s="1"/>
  <c r="K292"/>
  <c r="L292"/>
  <c r="M292" s="1"/>
  <c r="K276"/>
  <c r="L276"/>
  <c r="M276" s="1"/>
  <c r="K260"/>
  <c r="L260"/>
  <c r="M260" s="1"/>
  <c r="K244"/>
  <c r="L244"/>
  <c r="K228"/>
  <c r="L228"/>
  <c r="K212"/>
  <c r="L212"/>
  <c r="K200"/>
  <c r="L200"/>
  <c r="K180"/>
  <c r="L180"/>
  <c r="K168"/>
  <c r="L168"/>
  <c r="M168" s="1"/>
  <c r="K152"/>
  <c r="L152"/>
  <c r="K132"/>
  <c r="L132"/>
  <c r="K120"/>
  <c r="L120"/>
  <c r="K104"/>
  <c r="L104"/>
  <c r="M104" s="1"/>
  <c r="K88"/>
  <c r="L88"/>
  <c r="K68"/>
  <c r="L68"/>
  <c r="M68" s="1"/>
  <c r="K56"/>
  <c r="L56"/>
  <c r="K40"/>
  <c r="L40"/>
  <c r="M40" s="1"/>
  <c r="L16"/>
  <c r="M16" s="1"/>
  <c r="K16"/>
  <c r="V546"/>
  <c r="T546"/>
  <c r="V518"/>
  <c r="T518"/>
  <c r="V498"/>
  <c r="T498"/>
  <c r="T474"/>
  <c r="V474"/>
  <c r="T462"/>
  <c r="V462"/>
  <c r="V446"/>
  <c r="T446"/>
  <c r="V374"/>
  <c r="T374"/>
  <c r="V350"/>
  <c r="T350"/>
  <c r="V314"/>
  <c r="T314"/>
  <c r="V298"/>
  <c r="T298"/>
  <c r="T282"/>
  <c r="V282"/>
  <c r="V270"/>
  <c r="T270"/>
  <c r="T238"/>
  <c r="V238"/>
  <c r="T222"/>
  <c r="V222"/>
  <c r="T206"/>
  <c r="V206"/>
  <c r="T174"/>
  <c r="V174"/>
  <c r="V158"/>
  <c r="T158"/>
  <c r="T142"/>
  <c r="V142"/>
  <c r="V126"/>
  <c r="T126"/>
  <c r="T110"/>
  <c r="V110"/>
  <c r="V94"/>
  <c r="T94"/>
  <c r="T78"/>
  <c r="V78"/>
  <c r="V66"/>
  <c r="T66"/>
  <c r="V50"/>
  <c r="T50"/>
  <c r="V22"/>
  <c r="T22"/>
  <c r="T482"/>
  <c r="T458"/>
  <c r="T354"/>
  <c r="T330"/>
  <c r="T242"/>
  <c r="T150"/>
  <c r="V430"/>
  <c r="T538"/>
  <c r="T454"/>
  <c r="T390"/>
  <c r="T326"/>
  <c r="T290"/>
  <c r="T254"/>
  <c r="T198"/>
  <c r="V550"/>
  <c r="V250"/>
  <c r="V218"/>
  <c r="T146"/>
  <c r="Z490" i="23"/>
  <c r="L572" i="6"/>
  <c r="M572" s="1"/>
  <c r="K572"/>
  <c r="L556"/>
  <c r="M556" s="1"/>
  <c r="K556"/>
  <c r="L544"/>
  <c r="M544" s="1"/>
  <c r="K544"/>
  <c r="L524"/>
  <c r="M524" s="1"/>
  <c r="K524"/>
  <c r="L512"/>
  <c r="M512" s="1"/>
  <c r="K512"/>
  <c r="L492"/>
  <c r="M492" s="1"/>
  <c r="K492"/>
  <c r="L476"/>
  <c r="M476" s="1"/>
  <c r="K476"/>
  <c r="L460"/>
  <c r="M460" s="1"/>
  <c r="K460"/>
  <c r="L444"/>
  <c r="M444" s="1"/>
  <c r="K444"/>
  <c r="L428"/>
  <c r="M428" s="1"/>
  <c r="K428"/>
  <c r="L412"/>
  <c r="M412" s="1"/>
  <c r="K412"/>
  <c r="L396"/>
  <c r="M396" s="1"/>
  <c r="K396"/>
  <c r="L384"/>
  <c r="M384" s="1"/>
  <c r="K384"/>
  <c r="K364"/>
  <c r="L364"/>
  <c r="M364" s="1"/>
  <c r="K352"/>
  <c r="L352"/>
  <c r="M352" s="1"/>
  <c r="K332"/>
  <c r="L332"/>
  <c r="M332" s="1"/>
  <c r="K316"/>
  <c r="L316"/>
  <c r="M316" s="1"/>
  <c r="K300"/>
  <c r="L300"/>
  <c r="M300" s="1"/>
  <c r="K284"/>
  <c r="L284"/>
  <c r="M284" s="1"/>
  <c r="K268"/>
  <c r="L268"/>
  <c r="M268" s="1"/>
  <c r="K252"/>
  <c r="L252"/>
  <c r="M252" s="1"/>
  <c r="K240"/>
  <c r="L240"/>
  <c r="M240" s="1"/>
  <c r="K224"/>
  <c r="L224"/>
  <c r="M224" s="1"/>
  <c r="K204"/>
  <c r="L204"/>
  <c r="M204" s="1"/>
  <c r="K192"/>
  <c r="L192"/>
  <c r="M192" s="1"/>
  <c r="K176"/>
  <c r="L176"/>
  <c r="M176" s="1"/>
  <c r="K160"/>
  <c r="L160"/>
  <c r="M160" s="1"/>
  <c r="K144"/>
  <c r="L144"/>
  <c r="M144" s="1"/>
  <c r="K128"/>
  <c r="L128"/>
  <c r="M128" s="1"/>
  <c r="K112"/>
  <c r="L112"/>
  <c r="M112" s="1"/>
  <c r="K96"/>
  <c r="L96"/>
  <c r="M96" s="1"/>
  <c r="K80"/>
  <c r="L80"/>
  <c r="M80" s="1"/>
  <c r="K64"/>
  <c r="L64"/>
  <c r="M64" s="1"/>
  <c r="K48"/>
  <c r="L48"/>
  <c r="M48" s="1"/>
  <c r="K32"/>
  <c r="L32"/>
  <c r="M32" s="1"/>
  <c r="L12"/>
  <c r="M12" s="1"/>
  <c r="K12"/>
  <c r="K4"/>
  <c r="L4"/>
  <c r="M4" s="1"/>
  <c r="T558"/>
  <c r="V558"/>
  <c r="V526"/>
  <c r="T526"/>
  <c r="V510"/>
  <c r="T510"/>
  <c r="V434"/>
  <c r="T434"/>
  <c r="T410"/>
  <c r="V410"/>
  <c r="T398"/>
  <c r="V398"/>
  <c r="V382"/>
  <c r="T382"/>
  <c r="T306"/>
  <c r="V306"/>
  <c r="V294"/>
  <c r="T294"/>
  <c r="V214"/>
  <c r="T214"/>
  <c r="V182"/>
  <c r="T182"/>
  <c r="T170"/>
  <c r="V170"/>
  <c r="T154"/>
  <c r="V154"/>
  <c r="T138"/>
  <c r="V138"/>
  <c r="T122"/>
  <c r="V122"/>
  <c r="T90"/>
  <c r="V90"/>
  <c r="T74"/>
  <c r="V74"/>
  <c r="T58"/>
  <c r="V58"/>
  <c r="T34"/>
  <c r="V34"/>
  <c r="T26"/>
  <c r="V26"/>
  <c r="S506" i="23"/>
  <c r="Z506"/>
  <c r="T106" i="6"/>
  <c r="T534"/>
  <c r="T490"/>
  <c r="T450"/>
  <c r="T426"/>
  <c r="T386"/>
  <c r="T362"/>
  <c r="T322"/>
  <c r="V494"/>
  <c r="V402"/>
  <c r="V366"/>
  <c r="V274"/>
  <c r="V210"/>
  <c r="V130"/>
  <c r="T190"/>
  <c r="T30"/>
  <c r="S73" i="23"/>
  <c r="Z73"/>
  <c r="S65"/>
  <c r="Z65"/>
  <c r="S49"/>
  <c r="Z49"/>
  <c r="S41"/>
  <c r="Z41"/>
  <c r="L526"/>
  <c r="M526" s="1"/>
  <c r="K526"/>
  <c r="K518"/>
  <c r="L518"/>
  <c r="M518" s="1"/>
  <c r="K502"/>
  <c r="L502"/>
  <c r="M502" s="1"/>
  <c r="L490"/>
  <c r="M490" s="1"/>
  <c r="K490"/>
  <c r="K486"/>
  <c r="L486"/>
  <c r="M486" s="1"/>
  <c r="K482"/>
  <c r="L482"/>
  <c r="M482" s="1"/>
  <c r="L430"/>
  <c r="M430" s="1"/>
  <c r="K430"/>
  <c r="L418"/>
  <c r="M418" s="1"/>
  <c r="K418"/>
  <c r="K414"/>
  <c r="L414"/>
  <c r="M414" s="1"/>
  <c r="K398"/>
  <c r="L398"/>
  <c r="M398" s="1"/>
  <c r="L394"/>
  <c r="M394" s="1"/>
  <c r="K394"/>
  <c r="L390"/>
  <c r="K390"/>
  <c r="L374"/>
  <c r="K374"/>
  <c r="S85"/>
  <c r="Z85"/>
  <c r="S69"/>
  <c r="Z69"/>
  <c r="S53"/>
  <c r="Z53"/>
  <c r="Z81"/>
  <c r="S57"/>
  <c r="K370"/>
  <c r="L370"/>
  <c r="M370" s="1"/>
  <c r="K350"/>
  <c r="L350"/>
  <c r="M350" s="1"/>
  <c r="K113"/>
  <c r="L113"/>
  <c r="M113" s="1"/>
  <c r="K101"/>
  <c r="L101"/>
  <c r="M101" s="1"/>
  <c r="O560"/>
  <c r="P560"/>
  <c r="O552"/>
  <c r="P552"/>
  <c r="O528"/>
  <c r="P528"/>
  <c r="O516"/>
  <c r="P516"/>
  <c r="O508"/>
  <c r="P508"/>
  <c r="O460"/>
  <c r="P460"/>
  <c r="O448"/>
  <c r="P448"/>
  <c r="L149"/>
  <c r="M149" s="1"/>
  <c r="L157"/>
  <c r="M157" s="1"/>
  <c r="L165"/>
  <c r="M165" s="1"/>
  <c r="L173"/>
  <c r="M173" s="1"/>
  <c r="L202"/>
  <c r="M202" s="1"/>
  <c r="L210"/>
  <c r="M210" s="1"/>
  <c r="K282"/>
  <c r="L298"/>
  <c r="M298" s="1"/>
  <c r="L310"/>
  <c r="M310" s="1"/>
  <c r="L330"/>
  <c r="M330" s="1"/>
  <c r="L362"/>
  <c r="M362" s="1"/>
  <c r="P484"/>
  <c r="K185"/>
  <c r="K194"/>
  <c r="K206"/>
  <c r="L270"/>
  <c r="M270" s="1"/>
  <c r="O568"/>
  <c r="L89"/>
  <c r="M89" s="1"/>
  <c r="L97"/>
  <c r="M97" s="1"/>
  <c r="K133"/>
  <c r="L153"/>
  <c r="M153" s="1"/>
  <c r="L161"/>
  <c r="M161" s="1"/>
  <c r="L169"/>
  <c r="M169" s="1"/>
  <c r="L177"/>
  <c r="M177" s="1"/>
  <c r="L198"/>
  <c r="M198" s="1"/>
  <c r="L258"/>
  <c r="M258" s="1"/>
  <c r="L334"/>
  <c r="M334" s="1"/>
  <c r="O416"/>
  <c r="O7"/>
  <c r="O23"/>
  <c r="P31"/>
  <c r="O135"/>
  <c r="O143"/>
  <c r="O183"/>
  <c r="O192"/>
  <c r="O200"/>
  <c r="P272"/>
  <c r="D84" i="18"/>
  <c r="F84" s="1"/>
  <c r="M410" i="28"/>
  <c r="D165" i="18"/>
  <c r="F165" s="1"/>
  <c r="D111"/>
  <c r="F111" s="1"/>
  <c r="M185" i="26"/>
  <c r="M200" i="28"/>
  <c r="T335" i="27"/>
  <c r="M81" i="28"/>
  <c r="M108"/>
  <c r="S389" i="26"/>
  <c r="K162" i="27"/>
  <c r="O299"/>
  <c r="T117" i="24"/>
  <c r="T118"/>
  <c r="T156"/>
  <c r="T537" i="28"/>
  <c r="L311" i="26"/>
  <c r="M311" s="1"/>
  <c r="K326"/>
  <c r="M216" i="28"/>
  <c r="L305"/>
  <c r="M305" s="1"/>
  <c r="L309"/>
  <c r="M309" s="1"/>
  <c r="K39" i="6"/>
  <c r="O82" i="24"/>
  <c r="T545"/>
  <c r="M326" i="26"/>
  <c r="T95" i="27"/>
  <c r="S96"/>
  <c r="K369" i="28"/>
  <c r="L430"/>
  <c r="M430" s="1"/>
  <c r="M46"/>
  <c r="T61" i="26"/>
  <c r="T93"/>
  <c r="T196"/>
  <c r="S390"/>
  <c r="T448" i="27"/>
  <c r="T137" i="28"/>
  <c r="S245" i="26"/>
  <c r="T411" i="27"/>
  <c r="L49" i="28"/>
  <c r="M49" s="1"/>
  <c r="L53"/>
  <c r="M53" s="1"/>
  <c r="M128"/>
  <c r="M180"/>
  <c r="T427" i="24"/>
  <c r="T443"/>
  <c r="M215" i="26"/>
  <c r="M221" i="27"/>
  <c r="T280"/>
  <c r="M438"/>
  <c r="P26" i="28"/>
  <c r="P211" i="24"/>
  <c r="T378"/>
  <c r="T400"/>
  <c r="T419"/>
  <c r="T489"/>
  <c r="L156" i="25"/>
  <c r="M156" s="1"/>
  <c r="P168"/>
  <c r="K176"/>
  <c r="K291"/>
  <c r="K145" i="26"/>
  <c r="K189"/>
  <c r="S215"/>
  <c r="P276"/>
  <c r="O393"/>
  <c r="S403"/>
  <c r="O405"/>
  <c r="K428"/>
  <c r="K434"/>
  <c r="P498"/>
  <c r="P505"/>
  <c r="T515"/>
  <c r="T516"/>
  <c r="T372" i="27"/>
  <c r="T380"/>
  <c r="M28" i="28"/>
  <c r="M142"/>
  <c r="T157"/>
  <c r="M454"/>
  <c r="S191" i="25"/>
  <c r="M291"/>
  <c r="K361"/>
  <c r="K42" i="26"/>
  <c r="O46"/>
  <c r="M67"/>
  <c r="M68"/>
  <c r="O113"/>
  <c r="L164"/>
  <c r="M164" s="1"/>
  <c r="M165"/>
  <c r="M310"/>
  <c r="M389"/>
  <c r="P447" i="27"/>
  <c r="K534"/>
  <c r="L190" i="28"/>
  <c r="M190" s="1"/>
  <c r="P194"/>
  <c r="S362" i="24"/>
  <c r="O509"/>
  <c r="O23" i="25"/>
  <c r="K47"/>
  <c r="P49"/>
  <c r="T55"/>
  <c r="P397"/>
  <c r="M276" i="26"/>
  <c r="O361"/>
  <c r="P474"/>
  <c r="P379" i="27"/>
  <c r="O426"/>
  <c r="O46" i="23"/>
  <c r="S82" i="24"/>
  <c r="T82"/>
  <c r="T120"/>
  <c r="T211"/>
  <c r="T212"/>
  <c r="T238"/>
  <c r="T239"/>
  <c r="T255"/>
  <c r="T313"/>
  <c r="T462"/>
  <c r="O545"/>
  <c r="P550"/>
  <c r="T557"/>
  <c r="L144" i="25"/>
  <c r="M144" s="1"/>
  <c r="S146"/>
  <c r="P216"/>
  <c r="S218"/>
  <c r="L237"/>
  <c r="M237" s="1"/>
  <c r="O337"/>
  <c r="P93" i="26"/>
  <c r="K94"/>
  <c r="S96"/>
  <c r="T113"/>
  <c r="S172"/>
  <c r="L184"/>
  <c r="M184" s="1"/>
  <c r="T213"/>
  <c r="T338"/>
  <c r="K341"/>
  <c r="O350"/>
  <c r="L390"/>
  <c r="M390" s="1"/>
  <c r="K233" i="27"/>
  <c r="O268"/>
  <c r="L427"/>
  <c r="M427" s="1"/>
  <c r="L538"/>
  <c r="M538" s="1"/>
  <c r="M20" i="28"/>
  <c r="K28"/>
  <c r="M57"/>
  <c r="M141"/>
  <c r="O179"/>
  <c r="K180"/>
  <c r="L389"/>
  <c r="M389" s="1"/>
  <c r="O470"/>
  <c r="T84" i="24"/>
  <c r="M24" i="25"/>
  <c r="M40"/>
  <c r="M84"/>
  <c r="M124"/>
  <c r="M151"/>
  <c r="M253" i="26"/>
  <c r="M362"/>
  <c r="M442"/>
  <c r="M458"/>
  <c r="M57" i="27"/>
  <c r="M74"/>
  <c r="M544"/>
  <c r="M552"/>
  <c r="T85" i="24"/>
  <c r="T509"/>
  <c r="O87" i="25"/>
  <c r="L92"/>
  <c r="M92" s="1"/>
  <c r="L128"/>
  <c r="M128" s="1"/>
  <c r="P140"/>
  <c r="S170"/>
  <c r="L181"/>
  <c r="M181" s="1"/>
  <c r="P277"/>
  <c r="T290"/>
  <c r="K321"/>
  <c r="K349"/>
  <c r="M357"/>
  <c r="K385"/>
  <c r="M393"/>
  <c r="O32" i="26"/>
  <c r="M34"/>
  <c r="T55"/>
  <c r="P61"/>
  <c r="K62"/>
  <c r="T63"/>
  <c r="T79"/>
  <c r="L160"/>
  <c r="M160" s="1"/>
  <c r="K257"/>
  <c r="K275"/>
  <c r="T276"/>
  <c r="O281"/>
  <c r="L374"/>
  <c r="M374" s="1"/>
  <c r="M434"/>
  <c r="S466"/>
  <c r="T522"/>
  <c r="S535"/>
  <c r="O538"/>
  <c r="T41" i="27"/>
  <c r="L142"/>
  <c r="M142" s="1"/>
  <c r="T218"/>
  <c r="M275"/>
  <c r="M282"/>
  <c r="T299"/>
  <c r="L475"/>
  <c r="M475" s="1"/>
  <c r="L498"/>
  <c r="M498" s="1"/>
  <c r="T125" i="28"/>
  <c r="T344"/>
  <c r="T405"/>
  <c r="T417"/>
  <c r="T477"/>
  <c r="P85" i="24"/>
  <c r="O86"/>
  <c r="P89"/>
  <c r="O117"/>
  <c r="O163"/>
  <c r="T167"/>
  <c r="O171"/>
  <c r="P172"/>
  <c r="T186"/>
  <c r="T437"/>
  <c r="T442"/>
  <c r="P490"/>
  <c r="T524"/>
  <c r="O15" i="25"/>
  <c r="M67"/>
  <c r="M88"/>
  <c r="L188"/>
  <c r="M188" s="1"/>
  <c r="M296"/>
  <c r="M297"/>
  <c r="T75" i="26"/>
  <c r="P77"/>
  <c r="K78"/>
  <c r="K117"/>
  <c r="P129"/>
  <c r="T192"/>
  <c r="T200"/>
  <c r="O241"/>
  <c r="T248"/>
  <c r="K279"/>
  <c r="M283"/>
  <c r="T294"/>
  <c r="L307"/>
  <c r="M307" s="1"/>
  <c r="T310"/>
  <c r="M333"/>
  <c r="T358"/>
  <c r="T382"/>
  <c r="M446"/>
  <c r="M470"/>
  <c r="M569"/>
  <c r="L13" i="27"/>
  <c r="M13" s="1"/>
  <c r="L21"/>
  <c r="M21" s="1"/>
  <c r="S39"/>
  <c r="K110"/>
  <c r="P163"/>
  <c r="P222"/>
  <c r="O272"/>
  <c r="L327"/>
  <c r="M327" s="1"/>
  <c r="L335"/>
  <c r="M335" s="1"/>
  <c r="P339"/>
  <c r="K564"/>
  <c r="K18" i="28"/>
  <c r="T25"/>
  <c r="S38"/>
  <c r="P38"/>
  <c r="O53"/>
  <c r="S55"/>
  <c r="L86"/>
  <c r="M86" s="1"/>
  <c r="L90"/>
  <c r="M90" s="1"/>
  <c r="S118"/>
  <c r="T118"/>
  <c r="P186"/>
  <c r="L198"/>
  <c r="M198" s="1"/>
  <c r="S222"/>
  <c r="M228"/>
  <c r="S254"/>
  <c r="S259"/>
  <c r="M288"/>
  <c r="K410"/>
  <c r="O412"/>
  <c r="T415"/>
  <c r="L426"/>
  <c r="M426" s="1"/>
  <c r="O490"/>
  <c r="S494"/>
  <c r="P495"/>
  <c r="T18" i="6"/>
  <c r="V86" i="24"/>
  <c r="O108"/>
  <c r="S306"/>
  <c r="P346"/>
  <c r="P362"/>
  <c r="P371"/>
  <c r="S374"/>
  <c r="O442"/>
  <c r="T463"/>
  <c r="T504"/>
  <c r="O508"/>
  <c r="P510"/>
  <c r="T513"/>
  <c r="S182" i="25"/>
  <c r="S183"/>
  <c r="O187"/>
  <c r="T253"/>
  <c r="M301"/>
  <c r="M335"/>
  <c r="S18" i="26"/>
  <c r="T39"/>
  <c r="O54"/>
  <c r="M83"/>
  <c r="M84"/>
  <c r="T140"/>
  <c r="P173"/>
  <c r="L201"/>
  <c r="M201" s="1"/>
  <c r="O229"/>
  <c r="P233"/>
  <c r="M288"/>
  <c r="S290"/>
  <c r="P290"/>
  <c r="M292"/>
  <c r="S294"/>
  <c r="P294"/>
  <c r="L378"/>
  <c r="M378" s="1"/>
  <c r="S379"/>
  <c r="O382"/>
  <c r="M385"/>
  <c r="P387"/>
  <c r="L409"/>
  <c r="M409" s="1"/>
  <c r="M438"/>
  <c r="L450"/>
  <c r="M450" s="1"/>
  <c r="K454"/>
  <c r="K485"/>
  <c r="P521"/>
  <c r="M25" i="27"/>
  <c r="P30"/>
  <c r="L33"/>
  <c r="M33" s="1"/>
  <c r="S37"/>
  <c r="S48"/>
  <c r="M110"/>
  <c r="O112"/>
  <c r="P175"/>
  <c r="P275"/>
  <c r="M276"/>
  <c r="K298"/>
  <c r="K410"/>
  <c r="K415"/>
  <c r="O433"/>
  <c r="K438"/>
  <c r="T466"/>
  <c r="L522"/>
  <c r="M522" s="1"/>
  <c r="M564"/>
  <c r="P565"/>
  <c r="M568"/>
  <c r="O20" i="28"/>
  <c r="L42"/>
  <c r="M42" s="1"/>
  <c r="K46"/>
  <c r="K78"/>
  <c r="K81"/>
  <c r="O102"/>
  <c r="L138"/>
  <c r="M138" s="1"/>
  <c r="V74" i="24"/>
  <c r="O78"/>
  <c r="P118"/>
  <c r="T266"/>
  <c r="V346"/>
  <c r="S354"/>
  <c r="P375"/>
  <c r="O426"/>
  <c r="T447"/>
  <c r="S459"/>
  <c r="P266" i="25"/>
  <c r="O302"/>
  <c r="K313"/>
  <c r="O252" i="26"/>
  <c r="K442"/>
  <c r="K458"/>
  <c r="P486"/>
  <c r="L557"/>
  <c r="M557" s="1"/>
  <c r="O124" i="27"/>
  <c r="L147"/>
  <c r="M147" s="1"/>
  <c r="T147"/>
  <c r="O150"/>
  <c r="L321" i="28"/>
  <c r="M321" s="1"/>
  <c r="T323"/>
  <c r="O408"/>
  <c r="T414"/>
  <c r="P422"/>
  <c r="M424"/>
  <c r="M444"/>
  <c r="S460"/>
  <c r="M466"/>
  <c r="O474"/>
  <c r="K516"/>
  <c r="S526"/>
  <c r="T133" i="25"/>
  <c r="T140"/>
  <c r="T77" i="26"/>
  <c r="T188"/>
  <c r="T352" i="27"/>
  <c r="T501"/>
  <c r="T509"/>
  <c r="T517"/>
  <c r="T29" i="28"/>
  <c r="T78"/>
  <c r="M359"/>
  <c r="S394"/>
  <c r="K456"/>
  <c r="O468"/>
  <c r="S539"/>
  <c r="S548"/>
  <c r="S556"/>
  <c r="K560"/>
  <c r="P50" i="24"/>
  <c r="V102"/>
  <c r="O109"/>
  <c r="O110"/>
  <c r="P114"/>
  <c r="P133"/>
  <c r="T199"/>
  <c r="T273"/>
  <c r="S274"/>
  <c r="O305"/>
  <c r="O306"/>
  <c r="T346"/>
  <c r="T362"/>
  <c r="V386"/>
  <c r="P387"/>
  <c r="O434"/>
  <c r="S475"/>
  <c r="P486"/>
  <c r="T532"/>
  <c r="P534"/>
  <c r="M55" i="25"/>
  <c r="M104"/>
  <c r="T165"/>
  <c r="S187"/>
  <c r="M196"/>
  <c r="O200"/>
  <c r="S226"/>
  <c r="M256"/>
  <c r="M277"/>
  <c r="O297"/>
  <c r="M323"/>
  <c r="M329"/>
  <c r="M337"/>
  <c r="L346"/>
  <c r="M346" s="1"/>
  <c r="S347"/>
  <c r="M381"/>
  <c r="P425"/>
  <c r="L426"/>
  <c r="M426" s="1"/>
  <c r="O562"/>
  <c r="M564"/>
  <c r="K26" i="26"/>
  <c r="L29"/>
  <c r="M29" s="1"/>
  <c r="M30"/>
  <c r="O38"/>
  <c r="O48"/>
  <c r="M50"/>
  <c r="L53"/>
  <c r="M53" s="1"/>
  <c r="M75"/>
  <c r="M76"/>
  <c r="M91"/>
  <c r="M92"/>
  <c r="S94"/>
  <c r="M95"/>
  <c r="M96"/>
  <c r="O131"/>
  <c r="S152"/>
  <c r="K157"/>
  <c r="L161"/>
  <c r="M161" s="1"/>
  <c r="O171"/>
  <c r="M173"/>
  <c r="L181"/>
  <c r="M181" s="1"/>
  <c r="K185"/>
  <c r="M199"/>
  <c r="L208"/>
  <c r="M208" s="1"/>
  <c r="M251"/>
  <c r="S253"/>
  <c r="O253"/>
  <c r="O271"/>
  <c r="M272"/>
  <c r="O301"/>
  <c r="O305"/>
  <c r="M306"/>
  <c r="M309"/>
  <c r="O310"/>
  <c r="M313"/>
  <c r="O314"/>
  <c r="P323"/>
  <c r="P331"/>
  <c r="K357"/>
  <c r="K362"/>
  <c r="M370"/>
  <c r="S373"/>
  <c r="L391"/>
  <c r="M391" s="1"/>
  <c r="T401"/>
  <c r="P406"/>
  <c r="M430"/>
  <c r="S430"/>
  <c r="K438"/>
  <c r="P458"/>
  <c r="K478"/>
  <c r="K525"/>
  <c r="P526"/>
  <c r="S544"/>
  <c r="T550"/>
  <c r="O553"/>
  <c r="K558"/>
  <c r="S75" i="27"/>
  <c r="S76"/>
  <c r="M100"/>
  <c r="K158"/>
  <c r="M180"/>
  <c r="P183"/>
  <c r="M207"/>
  <c r="S216"/>
  <c r="P295"/>
  <c r="K299"/>
  <c r="O317"/>
  <c r="P323"/>
  <c r="M365"/>
  <c r="L406"/>
  <c r="M406" s="1"/>
  <c r="L426"/>
  <c r="M426" s="1"/>
  <c r="L447"/>
  <c r="M447" s="1"/>
  <c r="M451"/>
  <c r="O458"/>
  <c r="P462"/>
  <c r="M482"/>
  <c r="O522"/>
  <c r="L529"/>
  <c r="M529" s="1"/>
  <c r="M530"/>
  <c r="O564"/>
  <c r="M16" i="28"/>
  <c r="K26"/>
  <c r="O46"/>
  <c r="M52"/>
  <c r="M54"/>
  <c r="M120"/>
  <c r="M488"/>
  <c r="S564"/>
  <c r="K513" i="24"/>
  <c r="K245"/>
  <c r="K65" i="28"/>
  <c r="O100"/>
  <c r="K149"/>
  <c r="L181"/>
  <c r="M181" s="1"/>
  <c r="S247"/>
  <c r="K272"/>
  <c r="O276"/>
  <c r="K277"/>
  <c r="O287"/>
  <c r="S297"/>
  <c r="P329"/>
  <c r="L341"/>
  <c r="M341" s="1"/>
  <c r="P349"/>
  <c r="T352"/>
  <c r="O353"/>
  <c r="S362"/>
  <c r="S378"/>
  <c r="P380"/>
  <c r="P441"/>
  <c r="O448"/>
  <c r="P458"/>
  <c r="K466"/>
  <c r="P482"/>
  <c r="P491"/>
  <c r="S506"/>
  <c r="K321" i="24"/>
  <c r="S125"/>
  <c r="T125"/>
  <c r="T126"/>
  <c r="T164"/>
  <c r="T173"/>
  <c r="T344"/>
  <c r="T386"/>
  <c r="T415"/>
  <c r="T152" i="25"/>
  <c r="T421"/>
  <c r="T29" i="26"/>
  <c r="T69"/>
  <c r="T85"/>
  <c r="T128"/>
  <c r="T132"/>
  <c r="T204"/>
  <c r="T452"/>
  <c r="T456"/>
  <c r="T509"/>
  <c r="T547"/>
  <c r="T548"/>
  <c r="T558"/>
  <c r="T53" i="27"/>
  <c r="T63"/>
  <c r="T143"/>
  <c r="T179"/>
  <c r="T296"/>
  <c r="K385" i="24"/>
  <c r="T32" i="23"/>
  <c r="T28"/>
  <c r="T24"/>
  <c r="T26"/>
  <c r="S22"/>
  <c r="T10"/>
  <c r="P81" i="24"/>
  <c r="O102"/>
  <c r="T107"/>
  <c r="O125"/>
  <c r="O126"/>
  <c r="P129"/>
  <c r="S133"/>
  <c r="O147"/>
  <c r="P152"/>
  <c r="P386"/>
  <c r="S427"/>
  <c r="T436"/>
  <c r="T478"/>
  <c r="T486"/>
  <c r="T541"/>
  <c r="O143" i="25"/>
  <c r="K148"/>
  <c r="P152"/>
  <c r="L192"/>
  <c r="M192" s="1"/>
  <c r="O195"/>
  <c r="K196"/>
  <c r="M272"/>
  <c r="O281"/>
  <c r="T296"/>
  <c r="M313"/>
  <c r="P314"/>
  <c r="K315"/>
  <c r="M321"/>
  <c r="P322"/>
  <c r="K323"/>
  <c r="M331"/>
  <c r="T451"/>
  <c r="T461"/>
  <c r="T484"/>
  <c r="S26" i="26"/>
  <c r="M28"/>
  <c r="T47"/>
  <c r="K50"/>
  <c r="T67"/>
  <c r="P69"/>
  <c r="K70"/>
  <c r="T71"/>
  <c r="T83"/>
  <c r="P85"/>
  <c r="K86"/>
  <c r="T87"/>
  <c r="M104"/>
  <c r="T108"/>
  <c r="T130"/>
  <c r="L133"/>
  <c r="M133" s="1"/>
  <c r="T135"/>
  <c r="O147"/>
  <c r="L152"/>
  <c r="M152" s="1"/>
  <c r="T171"/>
  <c r="O177"/>
  <c r="T184"/>
  <c r="L196"/>
  <c r="M196" s="1"/>
  <c r="L205"/>
  <c r="M205" s="1"/>
  <c r="L245"/>
  <c r="M245" s="1"/>
  <c r="L260"/>
  <c r="M260" s="1"/>
  <c r="K265"/>
  <c r="M279"/>
  <c r="O280"/>
  <c r="M281"/>
  <c r="K298"/>
  <c r="K306"/>
  <c r="K309"/>
  <c r="K313"/>
  <c r="T314"/>
  <c r="O342"/>
  <c r="M350"/>
  <c r="L351"/>
  <c r="M351" s="1"/>
  <c r="P359"/>
  <c r="T385"/>
  <c r="M401"/>
  <c r="L413"/>
  <c r="M413" s="1"/>
  <c r="O416"/>
  <c r="P419"/>
  <c r="T428"/>
  <c r="K430"/>
  <c r="V430"/>
  <c r="S446"/>
  <c r="M454"/>
  <c r="S454"/>
  <c r="M460"/>
  <c r="S470"/>
  <c r="L486"/>
  <c r="M486" s="1"/>
  <c r="T488"/>
  <c r="O489"/>
  <c r="T57" i="27"/>
  <c r="P74"/>
  <c r="K86"/>
  <c r="T94"/>
  <c r="L98"/>
  <c r="M98" s="1"/>
  <c r="M102"/>
  <c r="O106"/>
  <c r="T109"/>
  <c r="P110"/>
  <c r="M118"/>
  <c r="K128"/>
  <c r="L163"/>
  <c r="M163" s="1"/>
  <c r="K201"/>
  <c r="M260"/>
  <c r="M268"/>
  <c r="T271"/>
  <c r="K272"/>
  <c r="T273"/>
  <c r="K275"/>
  <c r="T287"/>
  <c r="L288"/>
  <c r="M288" s="1"/>
  <c r="M315"/>
  <c r="L419"/>
  <c r="M419" s="1"/>
  <c r="K423"/>
  <c r="P427"/>
  <c r="M461"/>
  <c r="M478"/>
  <c r="M532"/>
  <c r="O538"/>
  <c r="O542"/>
  <c r="P546"/>
  <c r="M556"/>
  <c r="K20" i="28"/>
  <c r="O28"/>
  <c r="L33"/>
  <c r="M33" s="1"/>
  <c r="K60"/>
  <c r="T62"/>
  <c r="S70"/>
  <c r="P70"/>
  <c r="M94"/>
  <c r="S95"/>
  <c r="T97"/>
  <c r="P105"/>
  <c r="K144"/>
  <c r="O146"/>
  <c r="P149"/>
  <c r="P175"/>
  <c r="S227"/>
  <c r="S281"/>
  <c r="T335"/>
  <c r="S345"/>
  <c r="T360"/>
  <c r="O367"/>
  <c r="M369"/>
  <c r="T419"/>
  <c r="O432"/>
  <c r="K472"/>
  <c r="T500"/>
  <c r="P533"/>
  <c r="M536"/>
  <c r="M564"/>
  <c r="K449" i="24"/>
  <c r="V50"/>
  <c r="S44" i="23"/>
  <c r="P39"/>
  <c r="V22"/>
  <c r="V26"/>
  <c r="T22"/>
  <c r="S26"/>
  <c r="V10"/>
  <c r="O6"/>
  <c r="D21" i="18"/>
  <c r="F21" s="1"/>
  <c r="T24" i="6"/>
  <c r="V24"/>
  <c r="P267" i="26"/>
  <c r="O267"/>
  <c r="L466"/>
  <c r="M466" s="1"/>
  <c r="K466"/>
  <c r="P569"/>
  <c r="O569"/>
  <c r="T25" i="24"/>
  <c r="T29"/>
  <c r="T48"/>
  <c r="T49"/>
  <c r="T223"/>
  <c r="T280"/>
  <c r="T282"/>
  <c r="T298"/>
  <c r="T382"/>
  <c r="T459"/>
  <c r="T497"/>
  <c r="T525"/>
  <c r="T530"/>
  <c r="T61" i="25"/>
  <c r="T69"/>
  <c r="T93"/>
  <c r="T101"/>
  <c r="T104"/>
  <c r="L172"/>
  <c r="M172" s="1"/>
  <c r="M224"/>
  <c r="M265"/>
  <c r="M303"/>
  <c r="M307"/>
  <c r="M373"/>
  <c r="M398"/>
  <c r="M402"/>
  <c r="T420"/>
  <c r="M432"/>
  <c r="M485"/>
  <c r="T2" i="26"/>
  <c r="T40"/>
  <c r="T102"/>
  <c r="T234"/>
  <c r="T235"/>
  <c r="T280"/>
  <c r="T297"/>
  <c r="M315"/>
  <c r="M321"/>
  <c r="S323"/>
  <c r="M325"/>
  <c r="K273"/>
  <c r="L273"/>
  <c r="M273" s="1"/>
  <c r="O383"/>
  <c r="P383"/>
  <c r="P522"/>
  <c r="O522"/>
  <c r="K541"/>
  <c r="L541"/>
  <c r="M541" s="1"/>
  <c r="L37" i="27"/>
  <c r="M37" s="1"/>
  <c r="K37"/>
  <c r="L93"/>
  <c r="M93" s="1"/>
  <c r="K93"/>
  <c r="V20" i="24"/>
  <c r="V22"/>
  <c r="P29"/>
  <c r="V36"/>
  <c r="O52"/>
  <c r="P54"/>
  <c r="P57"/>
  <c r="O155"/>
  <c r="T159"/>
  <c r="T183"/>
  <c r="T194"/>
  <c r="S195"/>
  <c r="T202"/>
  <c r="T215"/>
  <c r="P216"/>
  <c r="T230"/>
  <c r="T231"/>
  <c r="T247"/>
  <c r="T250"/>
  <c r="T263"/>
  <c r="T270"/>
  <c r="P275"/>
  <c r="P282"/>
  <c r="S290"/>
  <c r="T314"/>
  <c r="O345"/>
  <c r="P406"/>
  <c r="T410"/>
  <c r="O414"/>
  <c r="O415"/>
  <c r="O418"/>
  <c r="T423"/>
  <c r="S443"/>
  <c r="O459"/>
  <c r="T481"/>
  <c r="T482"/>
  <c r="P497"/>
  <c r="O501"/>
  <c r="P529"/>
  <c r="P554"/>
  <c r="M23" i="25"/>
  <c r="P24"/>
  <c r="S82"/>
  <c r="M95"/>
  <c r="M103"/>
  <c r="P104"/>
  <c r="K111"/>
  <c r="P113"/>
  <c r="S122"/>
  <c r="P153"/>
  <c r="P157"/>
  <c r="O166"/>
  <c r="K167"/>
  <c r="O170"/>
  <c r="L197"/>
  <c r="M197" s="1"/>
  <c r="L204"/>
  <c r="M204" s="1"/>
  <c r="T209"/>
  <c r="O220"/>
  <c r="O228"/>
  <c r="O237"/>
  <c r="K249"/>
  <c r="K273"/>
  <c r="T275"/>
  <c r="K277"/>
  <c r="T277"/>
  <c r="T283"/>
  <c r="K285"/>
  <c r="M293"/>
  <c r="K297"/>
  <c r="M315"/>
  <c r="O321"/>
  <c r="M327"/>
  <c r="K337"/>
  <c r="P338"/>
  <c r="K339"/>
  <c r="M349"/>
  <c r="K353"/>
  <c r="M361"/>
  <c r="K365"/>
  <c r="K377"/>
  <c r="M389"/>
  <c r="O400"/>
  <c r="L406"/>
  <c r="M406" s="1"/>
  <c r="T447"/>
  <c r="T455"/>
  <c r="L495"/>
  <c r="M495" s="1"/>
  <c r="S563"/>
  <c r="K568"/>
  <c r="O2" i="26"/>
  <c r="T17"/>
  <c r="M38"/>
  <c r="O40"/>
  <c r="M42"/>
  <c r="L45"/>
  <c r="M45" s="1"/>
  <c r="M62"/>
  <c r="O64"/>
  <c r="M66"/>
  <c r="M70"/>
  <c r="O72"/>
  <c r="M74"/>
  <c r="M78"/>
  <c r="O80"/>
  <c r="M82"/>
  <c r="M86"/>
  <c r="O88"/>
  <c r="M90"/>
  <c r="L97"/>
  <c r="M97" s="1"/>
  <c r="M98"/>
  <c r="O102"/>
  <c r="T106"/>
  <c r="O107"/>
  <c r="M108"/>
  <c r="M117"/>
  <c r="T119"/>
  <c r="T121"/>
  <c r="S127"/>
  <c r="T143"/>
  <c r="S160"/>
  <c r="T164"/>
  <c r="P165"/>
  <c r="O169"/>
  <c r="L176"/>
  <c r="M176" s="1"/>
  <c r="P185"/>
  <c r="L197"/>
  <c r="M197" s="1"/>
  <c r="L200"/>
  <c r="M200" s="1"/>
  <c r="L204"/>
  <c r="M204" s="1"/>
  <c r="M207"/>
  <c r="T208"/>
  <c r="K216"/>
  <c r="K219"/>
  <c r="K225"/>
  <c r="P234"/>
  <c r="L236"/>
  <c r="M236" s="1"/>
  <c r="P248"/>
  <c r="T253"/>
  <c r="M257"/>
  <c r="T293"/>
  <c r="K294"/>
  <c r="T325"/>
  <c r="L240"/>
  <c r="M240" s="1"/>
  <c r="K240"/>
  <c r="K277"/>
  <c r="L277"/>
  <c r="M277" s="1"/>
  <c r="P353"/>
  <c r="O353"/>
  <c r="O414"/>
  <c r="P414"/>
  <c r="L462"/>
  <c r="M462" s="1"/>
  <c r="K462"/>
  <c r="O565"/>
  <c r="P565"/>
  <c r="V52" i="24"/>
  <c r="S117"/>
  <c r="P160"/>
  <c r="V220"/>
  <c r="O269"/>
  <c r="O270"/>
  <c r="O281"/>
  <c r="V282"/>
  <c r="P283"/>
  <c r="S298"/>
  <c r="S338"/>
  <c r="T361"/>
  <c r="S382"/>
  <c r="P407"/>
  <c r="O409"/>
  <c r="O410"/>
  <c r="S418"/>
  <c r="O423"/>
  <c r="O427"/>
  <c r="V435"/>
  <c r="V463"/>
  <c r="O466"/>
  <c r="P489"/>
  <c r="V501"/>
  <c r="M20" i="25"/>
  <c r="L28"/>
  <c r="M28" s="1"/>
  <c r="P60"/>
  <c r="M79"/>
  <c r="L93"/>
  <c r="M93" s="1"/>
  <c r="O96"/>
  <c r="L101"/>
  <c r="M101" s="1"/>
  <c r="M111"/>
  <c r="T111"/>
  <c r="K119"/>
  <c r="K124"/>
  <c r="M131"/>
  <c r="M139"/>
  <c r="M143"/>
  <c r="P165"/>
  <c r="M167"/>
  <c r="P181"/>
  <c r="M187"/>
  <c r="O192"/>
  <c r="P229"/>
  <c r="M249"/>
  <c r="S257"/>
  <c r="P258"/>
  <c r="K260"/>
  <c r="L266"/>
  <c r="M266" s="1"/>
  <c r="M273"/>
  <c r="L278"/>
  <c r="M278" s="1"/>
  <c r="M285"/>
  <c r="T298"/>
  <c r="O329"/>
  <c r="M365"/>
  <c r="K369"/>
  <c r="M377"/>
  <c r="K381"/>
  <c r="K393"/>
  <c r="L561"/>
  <c r="M561" s="1"/>
  <c r="M562"/>
  <c r="M568"/>
  <c r="O22" i="26"/>
  <c r="S41"/>
  <c r="S50"/>
  <c r="M51"/>
  <c r="M52"/>
  <c r="M54"/>
  <c r="S65"/>
  <c r="S73"/>
  <c r="S81"/>
  <c r="S89"/>
  <c r="K109"/>
  <c r="S123"/>
  <c r="L130"/>
  <c r="M130" s="1"/>
  <c r="K137"/>
  <c r="O149"/>
  <c r="L153"/>
  <c r="M153" s="1"/>
  <c r="K173"/>
  <c r="T180"/>
  <c r="O193"/>
  <c r="S207"/>
  <c r="L209"/>
  <c r="M209" s="1"/>
  <c r="M225"/>
  <c r="L228"/>
  <c r="M228" s="1"/>
  <c r="M255"/>
  <c r="K272"/>
  <c r="L293"/>
  <c r="M293" s="1"/>
  <c r="K293"/>
  <c r="P315"/>
  <c r="O315"/>
  <c r="L365"/>
  <c r="M365" s="1"/>
  <c r="K365"/>
  <c r="O442"/>
  <c r="P442"/>
  <c r="O537"/>
  <c r="P537"/>
  <c r="O542"/>
  <c r="P542"/>
  <c r="K17" i="27"/>
  <c r="L17"/>
  <c r="M17" s="1"/>
  <c r="Z29"/>
  <c r="S29"/>
  <c r="O62"/>
  <c r="P62"/>
  <c r="T342" i="26"/>
  <c r="S503"/>
  <c r="O506"/>
  <c r="P510"/>
  <c r="S519"/>
  <c r="T531"/>
  <c r="T532"/>
  <c r="K569"/>
  <c r="T570"/>
  <c r="T574"/>
  <c r="P26" i="27"/>
  <c r="S36"/>
  <c r="L38"/>
  <c r="M38" s="1"/>
  <c r="V41"/>
  <c r="T42"/>
  <c r="T45"/>
  <c r="K57"/>
  <c r="V57"/>
  <c r="T58"/>
  <c r="O61"/>
  <c r="O78"/>
  <c r="T83"/>
  <c r="P94"/>
  <c r="T127"/>
  <c r="L134"/>
  <c r="M134" s="1"/>
  <c r="K152"/>
  <c r="L155"/>
  <c r="M155" s="1"/>
  <c r="T155"/>
  <c r="T187"/>
  <c r="P206"/>
  <c r="T210"/>
  <c r="K225"/>
  <c r="T256"/>
  <c r="K259"/>
  <c r="T260"/>
  <c r="L284"/>
  <c r="M284" s="1"/>
  <c r="L291"/>
  <c r="M291" s="1"/>
  <c r="T301"/>
  <c r="L307"/>
  <c r="M307" s="1"/>
  <c r="O310"/>
  <c r="T312"/>
  <c r="T344"/>
  <c r="P347"/>
  <c r="T356"/>
  <c r="T388"/>
  <c r="M415"/>
  <c r="M423"/>
  <c r="T423"/>
  <c r="O425"/>
  <c r="T440"/>
  <c r="K451"/>
  <c r="T454"/>
  <c r="K470"/>
  <c r="K482"/>
  <c r="T487"/>
  <c r="L491"/>
  <c r="M491" s="1"/>
  <c r="T491"/>
  <c r="T493"/>
  <c r="T497"/>
  <c r="P514"/>
  <c r="T524"/>
  <c r="O528"/>
  <c r="P530"/>
  <c r="M534"/>
  <c r="O536"/>
  <c r="O544"/>
  <c r="K556"/>
  <c r="O568"/>
  <c r="O17" i="28"/>
  <c r="S31"/>
  <c r="K52"/>
  <c r="P54"/>
  <c r="M60"/>
  <c r="S63"/>
  <c r="S71"/>
  <c r="K73"/>
  <c r="O76"/>
  <c r="S79"/>
  <c r="T83"/>
  <c r="L85"/>
  <c r="M85" s="1"/>
  <c r="K94"/>
  <c r="K108"/>
  <c r="O109"/>
  <c r="P121"/>
  <c r="M137"/>
  <c r="K141"/>
  <c r="T143"/>
  <c r="L150"/>
  <c r="M150" s="1"/>
  <c r="T153"/>
  <c r="S163"/>
  <c r="L166"/>
  <c r="M166" s="1"/>
  <c r="T169"/>
  <c r="L176"/>
  <c r="M176" s="1"/>
  <c r="T197"/>
  <c r="T212"/>
  <c r="T220"/>
  <c r="T225"/>
  <c r="S258"/>
  <c r="L293"/>
  <c r="M293" s="1"/>
  <c r="P298"/>
  <c r="T336"/>
  <c r="O365"/>
  <c r="T411"/>
  <c r="L419"/>
  <c r="M419" s="1"/>
  <c r="T432"/>
  <c r="L433"/>
  <c r="M433" s="1"/>
  <c r="T433"/>
  <c r="K444"/>
  <c r="T445"/>
  <c r="T450"/>
  <c r="M452"/>
  <c r="P453"/>
  <c r="K454"/>
  <c r="L461"/>
  <c r="M461" s="1"/>
  <c r="T461"/>
  <c r="O464"/>
  <c r="M472"/>
  <c r="P473"/>
  <c r="K476"/>
  <c r="P483"/>
  <c r="S502"/>
  <c r="K512"/>
  <c r="K528"/>
  <c r="S535"/>
  <c r="P537"/>
  <c r="S542"/>
  <c r="S550"/>
  <c r="S558"/>
  <c r="K529" i="24"/>
  <c r="K465"/>
  <c r="K401"/>
  <c r="K337"/>
  <c r="K273"/>
  <c r="K53"/>
  <c r="M345" i="26"/>
  <c r="T350"/>
  <c r="T370"/>
  <c r="T383"/>
  <c r="M444"/>
  <c r="S498"/>
  <c r="S122" i="27"/>
  <c r="M146"/>
  <c r="S170"/>
  <c r="M176"/>
  <c r="M190"/>
  <c r="M213"/>
  <c r="M331"/>
  <c r="T364"/>
  <c r="M373"/>
  <c r="T376"/>
  <c r="P443"/>
  <c r="M508"/>
  <c r="L546"/>
  <c r="M546" s="1"/>
  <c r="M562"/>
  <c r="M24" i="28"/>
  <c r="P101"/>
  <c r="M136"/>
  <c r="M315"/>
  <c r="M327"/>
  <c r="M343"/>
  <c r="L361"/>
  <c r="M361" s="1"/>
  <c r="L373"/>
  <c r="M373" s="1"/>
  <c r="M436"/>
  <c r="P438"/>
  <c r="S444"/>
  <c r="P454"/>
  <c r="K545" i="24"/>
  <c r="K481"/>
  <c r="K417"/>
  <c r="K353"/>
  <c r="K289"/>
  <c r="K117"/>
  <c r="S257" i="26"/>
  <c r="M265"/>
  <c r="M298"/>
  <c r="M317"/>
  <c r="S343"/>
  <c r="S345"/>
  <c r="M386"/>
  <c r="S414"/>
  <c r="T416"/>
  <c r="T464"/>
  <c r="M478"/>
  <c r="M480"/>
  <c r="T505"/>
  <c r="S528"/>
  <c r="T538"/>
  <c r="T553"/>
  <c r="T556"/>
  <c r="S567"/>
  <c r="S568"/>
  <c r="T35" i="27"/>
  <c r="S54"/>
  <c r="M61"/>
  <c r="M78"/>
  <c r="M86"/>
  <c r="M94"/>
  <c r="T115"/>
  <c r="T116"/>
  <c r="L131"/>
  <c r="M131" s="1"/>
  <c r="K144"/>
  <c r="K154"/>
  <c r="M158"/>
  <c r="P159"/>
  <c r="M162"/>
  <c r="K170"/>
  <c r="M182"/>
  <c r="K194"/>
  <c r="M211"/>
  <c r="P214"/>
  <c r="S224"/>
  <c r="P238"/>
  <c r="M239"/>
  <c r="P242"/>
  <c r="P246"/>
  <c r="M247"/>
  <c r="P250"/>
  <c r="T254"/>
  <c r="M257"/>
  <c r="T259"/>
  <c r="K260"/>
  <c r="T261"/>
  <c r="M279"/>
  <c r="P284"/>
  <c r="T300"/>
  <c r="P311"/>
  <c r="M389"/>
  <c r="P395"/>
  <c r="P430"/>
  <c r="O457"/>
  <c r="O465"/>
  <c r="T467"/>
  <c r="M469"/>
  <c r="M473"/>
  <c r="O482"/>
  <c r="P491"/>
  <c r="P506"/>
  <c r="L514"/>
  <c r="M514" s="1"/>
  <c r="T516"/>
  <c r="P526"/>
  <c r="M528"/>
  <c r="K530"/>
  <c r="L533"/>
  <c r="M533" s="1"/>
  <c r="P534"/>
  <c r="M536"/>
  <c r="K544"/>
  <c r="P545"/>
  <c r="M548"/>
  <c r="K568"/>
  <c r="T569"/>
  <c r="M12" i="28"/>
  <c r="O25"/>
  <c r="M32"/>
  <c r="L38"/>
  <c r="M38" s="1"/>
  <c r="T38"/>
  <c r="O52"/>
  <c r="K54"/>
  <c r="K57"/>
  <c r="M65"/>
  <c r="P85"/>
  <c r="O92"/>
  <c r="O94"/>
  <c r="M104"/>
  <c r="L106"/>
  <c r="M106" s="1"/>
  <c r="O108"/>
  <c r="T110"/>
  <c r="M112"/>
  <c r="K124"/>
  <c r="K126"/>
  <c r="P133"/>
  <c r="O137"/>
  <c r="M144"/>
  <c r="S147"/>
  <c r="S155"/>
  <c r="L158"/>
  <c r="M158" s="1"/>
  <c r="T161"/>
  <c r="S171"/>
  <c r="O182"/>
  <c r="T189"/>
  <c r="S226"/>
  <c r="S242"/>
  <c r="M248"/>
  <c r="T252"/>
  <c r="T257"/>
  <c r="M260"/>
  <c r="M277"/>
  <c r="T277"/>
  <c r="K289"/>
  <c r="T292"/>
  <c r="P297"/>
  <c r="P301"/>
  <c r="T304"/>
  <c r="P313"/>
  <c r="P317"/>
  <c r="T320"/>
  <c r="S330"/>
  <c r="T332"/>
  <c r="S346"/>
  <c r="S350"/>
  <c r="O363"/>
  <c r="S370"/>
  <c r="T380"/>
  <c r="O400"/>
  <c r="O405"/>
  <c r="T413"/>
  <c r="S436"/>
  <c r="L445"/>
  <c r="M445" s="1"/>
  <c r="L449"/>
  <c r="M449" s="1"/>
  <c r="O452"/>
  <c r="M460"/>
  <c r="M464"/>
  <c r="L477"/>
  <c r="M477" s="1"/>
  <c r="T479"/>
  <c r="S486"/>
  <c r="T486"/>
  <c r="M516"/>
  <c r="P517"/>
  <c r="S522"/>
  <c r="M532"/>
  <c r="S538"/>
  <c r="S546"/>
  <c r="S554"/>
  <c r="M560"/>
  <c r="P561"/>
  <c r="K562"/>
  <c r="K561" i="24"/>
  <c r="K497"/>
  <c r="K433"/>
  <c r="K369"/>
  <c r="K305"/>
  <c r="K181"/>
  <c r="Z169" i="26"/>
  <c r="S169"/>
  <c r="O272"/>
  <c r="P272"/>
  <c r="K289"/>
  <c r="L289"/>
  <c r="M289" s="1"/>
  <c r="O18" i="24"/>
  <c r="S18"/>
  <c r="O20"/>
  <c r="V38"/>
  <c r="P65"/>
  <c r="V66"/>
  <c r="V70"/>
  <c r="P97"/>
  <c r="O100"/>
  <c r="T101"/>
  <c r="O140"/>
  <c r="S146"/>
  <c r="P148"/>
  <c r="P180"/>
  <c r="T184"/>
  <c r="P188"/>
  <c r="T191"/>
  <c r="O195"/>
  <c r="T200"/>
  <c r="P207"/>
  <c r="T210"/>
  <c r="O222"/>
  <c r="S222"/>
  <c r="P235"/>
  <c r="T281"/>
  <c r="O289"/>
  <c r="O290"/>
  <c r="T294"/>
  <c r="T310"/>
  <c r="P318"/>
  <c r="T326"/>
  <c r="T330"/>
  <c r="T337"/>
  <c r="P339"/>
  <c r="P347"/>
  <c r="O378"/>
  <c r="O382"/>
  <c r="P139" i="26"/>
  <c r="O139"/>
  <c r="S157"/>
  <c r="V157"/>
  <c r="P187"/>
  <c r="O187"/>
  <c r="P217"/>
  <c r="O217"/>
  <c r="L232"/>
  <c r="M232" s="1"/>
  <c r="K232"/>
  <c r="T444" i="24"/>
  <c r="T445"/>
  <c r="T446"/>
  <c r="S467"/>
  <c r="T467"/>
  <c r="T471"/>
  <c r="T549"/>
  <c r="T29" i="25"/>
  <c r="T37"/>
  <c r="T40"/>
  <c r="T76"/>
  <c r="T80"/>
  <c r="T108"/>
  <c r="T157"/>
  <c r="T434"/>
  <c r="T449"/>
  <c r="T469"/>
  <c r="T501"/>
  <c r="T509"/>
  <c r="T517"/>
  <c r="T525"/>
  <c r="T533"/>
  <c r="T541"/>
  <c r="T549"/>
  <c r="T556"/>
  <c r="T37" i="26"/>
  <c r="T48"/>
  <c r="T120"/>
  <c r="T131"/>
  <c r="T147"/>
  <c r="T229"/>
  <c r="L124"/>
  <c r="M124" s="1"/>
  <c r="K124"/>
  <c r="P155"/>
  <c r="O155"/>
  <c r="P221"/>
  <c r="O221"/>
  <c r="L256"/>
  <c r="M256" s="1"/>
  <c r="K256"/>
  <c r="T40" i="24"/>
  <c r="T66"/>
  <c r="T68"/>
  <c r="T69"/>
  <c r="S98"/>
  <c r="T99"/>
  <c r="T144"/>
  <c r="T145"/>
  <c r="S151"/>
  <c r="T175"/>
  <c r="T176"/>
  <c r="T222"/>
  <c r="T227"/>
  <c r="P234"/>
  <c r="T258"/>
  <c r="T297"/>
  <c r="P298"/>
  <c r="P315"/>
  <c r="T321"/>
  <c r="S322"/>
  <c r="T327"/>
  <c r="T334"/>
  <c r="T335"/>
  <c r="O337"/>
  <c r="O338"/>
  <c r="P350"/>
  <c r="T352"/>
  <c r="T354"/>
  <c r="P363"/>
  <c r="S366"/>
  <c r="T370"/>
  <c r="T390"/>
  <c r="P391"/>
  <c r="O395"/>
  <c r="O401"/>
  <c r="S422"/>
  <c r="T430"/>
  <c r="T434"/>
  <c r="S442"/>
  <c r="P446"/>
  <c r="P447"/>
  <c r="P450"/>
  <c r="O458"/>
  <c r="P467"/>
  <c r="S474"/>
  <c r="T475"/>
  <c r="P494"/>
  <c r="P502"/>
  <c r="P513"/>
  <c r="T515"/>
  <c r="P517"/>
  <c r="O524"/>
  <c r="T540"/>
  <c r="O549"/>
  <c r="O553"/>
  <c r="O557"/>
  <c r="O564"/>
  <c r="T565"/>
  <c r="T568"/>
  <c r="P569"/>
  <c r="M15" i="25"/>
  <c r="T16"/>
  <c r="M31"/>
  <c r="M39"/>
  <c r="P40"/>
  <c r="T44"/>
  <c r="M51"/>
  <c r="M63"/>
  <c r="M71"/>
  <c r="M115"/>
  <c r="T120"/>
  <c r="T126"/>
  <c r="M135"/>
  <c r="M176"/>
  <c r="P176"/>
  <c r="M241"/>
  <c r="M300"/>
  <c r="M305"/>
  <c r="M319"/>
  <c r="M401"/>
  <c r="M410"/>
  <c r="T413"/>
  <c r="T426"/>
  <c r="T453"/>
  <c r="M512"/>
  <c r="M528"/>
  <c r="M544"/>
  <c r="M552"/>
  <c r="T553"/>
  <c r="T20" i="26"/>
  <c r="T24"/>
  <c r="S34"/>
  <c r="M36"/>
  <c r="T45"/>
  <c r="T65"/>
  <c r="T73"/>
  <c r="T81"/>
  <c r="T89"/>
  <c r="T91"/>
  <c r="M94"/>
  <c r="S97"/>
  <c r="T98"/>
  <c r="K100"/>
  <c r="O104"/>
  <c r="T105"/>
  <c r="M109"/>
  <c r="O115"/>
  <c r="P120"/>
  <c r="T133"/>
  <c r="O141"/>
  <c r="L168"/>
  <c r="M168" s="1"/>
  <c r="O189"/>
  <c r="O157"/>
  <c r="P157"/>
  <c r="L247"/>
  <c r="M247" s="1"/>
  <c r="K247"/>
  <c r="O257"/>
  <c r="P257"/>
  <c r="K284"/>
  <c r="L284"/>
  <c r="M284" s="1"/>
  <c r="O306"/>
  <c r="P306"/>
  <c r="O26" i="24"/>
  <c r="O28"/>
  <c r="P37"/>
  <c r="P38"/>
  <c r="T41"/>
  <c r="O42"/>
  <c r="O44"/>
  <c r="V58"/>
  <c r="O62"/>
  <c r="O66"/>
  <c r="P69"/>
  <c r="O70"/>
  <c r="P73"/>
  <c r="V90"/>
  <c r="O94"/>
  <c r="P98"/>
  <c r="O101"/>
  <c r="O132"/>
  <c r="T133"/>
  <c r="O141"/>
  <c r="O142"/>
  <c r="P145"/>
  <c r="P151"/>
  <c r="S155"/>
  <c r="T168"/>
  <c r="P175"/>
  <c r="V196"/>
  <c r="T203"/>
  <c r="P204"/>
  <c r="T207"/>
  <c r="P242"/>
  <c r="P258"/>
  <c r="T269"/>
  <c r="T271"/>
  <c r="O273"/>
  <c r="O274"/>
  <c r="P286"/>
  <c r="T288"/>
  <c r="T290"/>
  <c r="P299"/>
  <c r="T305"/>
  <c r="P307"/>
  <c r="O313"/>
  <c r="P323"/>
  <c r="O329"/>
  <c r="O330"/>
  <c r="P334"/>
  <c r="T345"/>
  <c r="O353"/>
  <c r="O354"/>
  <c r="T358"/>
  <c r="P367"/>
  <c r="O374"/>
  <c r="P430"/>
  <c r="P431"/>
  <c r="O435"/>
  <c r="V447"/>
  <c r="S458"/>
  <c r="P462"/>
  <c r="O475"/>
  <c r="O504"/>
  <c r="O516"/>
  <c r="P518"/>
  <c r="P526"/>
  <c r="O532"/>
  <c r="O533"/>
  <c r="P558"/>
  <c r="T561"/>
  <c r="S18" i="25"/>
  <c r="L29"/>
  <c r="M29" s="1"/>
  <c r="O32"/>
  <c r="L37"/>
  <c r="M37" s="1"/>
  <c r="M47"/>
  <c r="T47"/>
  <c r="K55"/>
  <c r="T56"/>
  <c r="O79"/>
  <c r="M87"/>
  <c r="P88"/>
  <c r="M119"/>
  <c r="T119"/>
  <c r="O120"/>
  <c r="P129"/>
  <c r="M148"/>
  <c r="O151"/>
  <c r="S160"/>
  <c r="L163"/>
  <c r="M163" s="1"/>
  <c r="V165"/>
  <c r="M195"/>
  <c r="P196"/>
  <c r="S198"/>
  <c r="S199"/>
  <c r="P205"/>
  <c r="M216"/>
  <c r="L228"/>
  <c r="M228" s="1"/>
  <c r="L229"/>
  <c r="M229" s="1"/>
  <c r="S236"/>
  <c r="L245"/>
  <c r="M245" s="1"/>
  <c r="P265"/>
  <c r="K268"/>
  <c r="L302"/>
  <c r="M302" s="1"/>
  <c r="O303"/>
  <c r="K307"/>
  <c r="M311"/>
  <c r="O313"/>
  <c r="K329"/>
  <c r="P330"/>
  <c r="K331"/>
  <c r="M339"/>
  <c r="M353"/>
  <c r="K357"/>
  <c r="M369"/>
  <c r="K373"/>
  <c r="M385"/>
  <c r="K389"/>
  <c r="O402"/>
  <c r="M409"/>
  <c r="T417"/>
  <c r="M424"/>
  <c r="S480"/>
  <c r="T481"/>
  <c r="S490"/>
  <c r="T495"/>
  <c r="M556"/>
  <c r="O24" i="26"/>
  <c r="M26"/>
  <c r="O30"/>
  <c r="T32"/>
  <c r="K34"/>
  <c r="L37"/>
  <c r="M37" s="1"/>
  <c r="S42"/>
  <c r="M43"/>
  <c r="M44"/>
  <c r="M46"/>
  <c r="S49"/>
  <c r="T53"/>
  <c r="O60"/>
  <c r="S61"/>
  <c r="M63"/>
  <c r="M64"/>
  <c r="P65"/>
  <c r="K66"/>
  <c r="O68"/>
  <c r="S69"/>
  <c r="M71"/>
  <c r="M72"/>
  <c r="P73"/>
  <c r="K74"/>
  <c r="O76"/>
  <c r="S77"/>
  <c r="M79"/>
  <c r="M80"/>
  <c r="P81"/>
  <c r="K82"/>
  <c r="O84"/>
  <c r="S85"/>
  <c r="M87"/>
  <c r="M88"/>
  <c r="P89"/>
  <c r="K90"/>
  <c r="O92"/>
  <c r="S93"/>
  <c r="K96"/>
  <c r="O98"/>
  <c r="M100"/>
  <c r="L101"/>
  <c r="M101" s="1"/>
  <c r="M102"/>
  <c r="P105"/>
  <c r="L106"/>
  <c r="M106" s="1"/>
  <c r="T118"/>
  <c r="K165"/>
  <c r="L180"/>
  <c r="M180" s="1"/>
  <c r="O191"/>
  <c r="V421" i="27"/>
  <c r="L433"/>
  <c r="M433" s="1"/>
  <c r="K433"/>
  <c r="L462"/>
  <c r="M462" s="1"/>
  <c r="K462"/>
  <c r="K479"/>
  <c r="L479"/>
  <c r="M479" s="1"/>
  <c r="P532"/>
  <c r="O532"/>
  <c r="P556"/>
  <c r="O556"/>
  <c r="L89" i="28"/>
  <c r="M89" s="1"/>
  <c r="K89"/>
  <c r="L100"/>
  <c r="M100" s="1"/>
  <c r="K100"/>
  <c r="T244" i="26"/>
  <c r="T252"/>
  <c r="T256"/>
  <c r="T264"/>
  <c r="T271"/>
  <c r="T284"/>
  <c r="M294"/>
  <c r="T305"/>
  <c r="T318"/>
  <c r="T346"/>
  <c r="T356"/>
  <c r="T375"/>
  <c r="T376"/>
  <c r="T396"/>
  <c r="T402"/>
  <c r="T412"/>
  <c r="T418"/>
  <c r="T436"/>
  <c r="T440"/>
  <c r="T448"/>
  <c r="S450"/>
  <c r="T476"/>
  <c r="T495"/>
  <c r="T506"/>
  <c r="T523"/>
  <c r="T539"/>
  <c r="T561"/>
  <c r="T14" i="27"/>
  <c r="T18"/>
  <c r="T19"/>
  <c r="T34"/>
  <c r="T78"/>
  <c r="S106"/>
  <c r="T119"/>
  <c r="T120"/>
  <c r="T123"/>
  <c r="S128"/>
  <c r="T130"/>
  <c r="T139"/>
  <c r="T151"/>
  <c r="T195"/>
  <c r="T226"/>
  <c r="L263"/>
  <c r="M263" s="1"/>
  <c r="T264"/>
  <c r="M267"/>
  <c r="K271"/>
  <c r="T272"/>
  <c r="K276"/>
  <c r="T276"/>
  <c r="K279"/>
  <c r="O280"/>
  <c r="K286"/>
  <c r="K287"/>
  <c r="T289"/>
  <c r="O290"/>
  <c r="L300"/>
  <c r="M300" s="1"/>
  <c r="T303"/>
  <c r="T336"/>
  <c r="T348"/>
  <c r="T392"/>
  <c r="T399"/>
  <c r="T403"/>
  <c r="O409"/>
  <c r="T426"/>
  <c r="O451"/>
  <c r="O387"/>
  <c r="P387"/>
  <c r="P422"/>
  <c r="O422"/>
  <c r="L457"/>
  <c r="M457" s="1"/>
  <c r="K457"/>
  <c r="L465"/>
  <c r="M465" s="1"/>
  <c r="K465"/>
  <c r="O498"/>
  <c r="P498"/>
  <c r="K506"/>
  <c r="L506"/>
  <c r="M506" s="1"/>
  <c r="K526"/>
  <c r="L526"/>
  <c r="M526" s="1"/>
  <c r="K537"/>
  <c r="L537"/>
  <c r="M537" s="1"/>
  <c r="K545"/>
  <c r="L545"/>
  <c r="M545" s="1"/>
  <c r="P45" i="28"/>
  <c r="O45"/>
  <c r="O86"/>
  <c r="P86"/>
  <c r="O90"/>
  <c r="P90"/>
  <c r="K101"/>
  <c r="L101"/>
  <c r="M101" s="1"/>
  <c r="T139" i="26"/>
  <c r="T144"/>
  <c r="T155"/>
  <c r="M157"/>
  <c r="T187"/>
  <c r="M203"/>
  <c r="M211"/>
  <c r="T221"/>
  <c r="M224"/>
  <c r="T237"/>
  <c r="M239"/>
  <c r="T243"/>
  <c r="T257"/>
  <c r="M259"/>
  <c r="T261"/>
  <c r="T272"/>
  <c r="T306"/>
  <c r="T330"/>
  <c r="S331"/>
  <c r="L334"/>
  <c r="M334" s="1"/>
  <c r="M337"/>
  <c r="T362"/>
  <c r="T366"/>
  <c r="P370"/>
  <c r="T386"/>
  <c r="T399"/>
  <c r="S406"/>
  <c r="T410"/>
  <c r="T420"/>
  <c r="T432"/>
  <c r="S434"/>
  <c r="S438"/>
  <c r="T460"/>
  <c r="M464"/>
  <c r="L474"/>
  <c r="M474" s="1"/>
  <c r="S474"/>
  <c r="S478"/>
  <c r="L482"/>
  <c r="M482" s="1"/>
  <c r="T490"/>
  <c r="L509"/>
  <c r="M509" s="1"/>
  <c r="T525"/>
  <c r="T541"/>
  <c r="T552"/>
  <c r="T559"/>
  <c r="M562"/>
  <c r="T571"/>
  <c r="T21" i="27"/>
  <c r="S45"/>
  <c r="T46"/>
  <c r="T67"/>
  <c r="T70"/>
  <c r="T75"/>
  <c r="T80"/>
  <c r="T88"/>
  <c r="T93"/>
  <c r="T98"/>
  <c r="T126"/>
  <c r="T142"/>
  <c r="S152"/>
  <c r="T171"/>
  <c r="K178"/>
  <c r="P191"/>
  <c r="M192"/>
  <c r="M198"/>
  <c r="T202"/>
  <c r="K209"/>
  <c r="M223"/>
  <c r="M229"/>
  <c r="T234"/>
  <c r="M255"/>
  <c r="T257"/>
  <c r="P271"/>
  <c r="P287"/>
  <c r="M293"/>
  <c r="M302"/>
  <c r="O306"/>
  <c r="M310"/>
  <c r="T315"/>
  <c r="K316"/>
  <c r="L328"/>
  <c r="M328" s="1"/>
  <c r="T340"/>
  <c r="M357"/>
  <c r="T360"/>
  <c r="P363"/>
  <c r="T368"/>
  <c r="P371"/>
  <c r="S86" i="28"/>
  <c r="L425" i="27"/>
  <c r="M425" s="1"/>
  <c r="K425"/>
  <c r="O442"/>
  <c r="P442"/>
  <c r="K458"/>
  <c r="L458"/>
  <c r="M458" s="1"/>
  <c r="V546"/>
  <c r="K565"/>
  <c r="L565"/>
  <c r="M565" s="1"/>
  <c r="O57" i="28"/>
  <c r="P57"/>
  <c r="O69"/>
  <c r="P69"/>
  <c r="P93"/>
  <c r="O93"/>
  <c r="L102"/>
  <c r="M102" s="1"/>
  <c r="K102"/>
  <c r="T126" i="26"/>
  <c r="T127"/>
  <c r="S135"/>
  <c r="M137"/>
  <c r="S137"/>
  <c r="S143"/>
  <c r="M145"/>
  <c r="S145"/>
  <c r="S153"/>
  <c r="S165"/>
  <c r="S173"/>
  <c r="M189"/>
  <c r="T191"/>
  <c r="M195"/>
  <c r="S203"/>
  <c r="S211"/>
  <c r="T233"/>
  <c r="S239"/>
  <c r="M241"/>
  <c r="T267"/>
  <c r="T278"/>
  <c r="T290"/>
  <c r="T301"/>
  <c r="T312"/>
  <c r="L318"/>
  <c r="M318" s="1"/>
  <c r="L322"/>
  <c r="M322" s="1"/>
  <c r="T323"/>
  <c r="L327"/>
  <c r="M327" s="1"/>
  <c r="O330"/>
  <c r="L335"/>
  <c r="M335" s="1"/>
  <c r="T337"/>
  <c r="M342"/>
  <c r="S351"/>
  <c r="M357"/>
  <c r="T357"/>
  <c r="O358"/>
  <c r="T359"/>
  <c r="P362"/>
  <c r="O366"/>
  <c r="S370"/>
  <c r="L371"/>
  <c r="M371" s="1"/>
  <c r="S374"/>
  <c r="S377"/>
  <c r="S378"/>
  <c r="M381"/>
  <c r="T406"/>
  <c r="S410"/>
  <c r="P410"/>
  <c r="S424"/>
  <c r="T426"/>
  <c r="T444"/>
  <c r="K446"/>
  <c r="V446"/>
  <c r="M448"/>
  <c r="S458"/>
  <c r="S462"/>
  <c r="V466"/>
  <c r="T468"/>
  <c r="K470"/>
  <c r="T472"/>
  <c r="M476"/>
  <c r="T480"/>
  <c r="S482"/>
  <c r="P490"/>
  <c r="T494"/>
  <c r="T507"/>
  <c r="L510"/>
  <c r="M510" s="1"/>
  <c r="T521"/>
  <c r="T537"/>
  <c r="P557"/>
  <c r="L561"/>
  <c r="M561" s="1"/>
  <c r="T563"/>
  <c r="T4" i="27"/>
  <c r="T13"/>
  <c r="L14"/>
  <c r="M14" s="1"/>
  <c r="T17"/>
  <c r="L18"/>
  <c r="M18" s="1"/>
  <c r="T33"/>
  <c r="L34"/>
  <c r="M34" s="1"/>
  <c r="T38"/>
  <c r="P41"/>
  <c r="S42"/>
  <c r="P57"/>
  <c r="S58"/>
  <c r="S59"/>
  <c r="T61"/>
  <c r="S71"/>
  <c r="K74"/>
  <c r="T74"/>
  <c r="P79"/>
  <c r="T111"/>
  <c r="L113"/>
  <c r="M113" s="1"/>
  <c r="T122"/>
  <c r="O128"/>
  <c r="P131"/>
  <c r="K132"/>
  <c r="L135"/>
  <c r="M135" s="1"/>
  <c r="O142"/>
  <c r="T144"/>
  <c r="K146"/>
  <c r="T150"/>
  <c r="M154"/>
  <c r="M156"/>
  <c r="L159"/>
  <c r="M159" s="1"/>
  <c r="K166"/>
  <c r="S166"/>
  <c r="P167"/>
  <c r="M174"/>
  <c r="K186"/>
  <c r="M196"/>
  <c r="M205"/>
  <c r="K217"/>
  <c r="M227"/>
  <c r="P230"/>
  <c r="M237"/>
  <c r="M241"/>
  <c r="M245"/>
  <c r="M249"/>
  <c r="M253"/>
  <c r="M259"/>
  <c r="T263"/>
  <c r="L264"/>
  <c r="M264" s="1"/>
  <c r="O267"/>
  <c r="M269"/>
  <c r="P276"/>
  <c r="M277"/>
  <c r="L280"/>
  <c r="M280" s="1"/>
  <c r="M283"/>
  <c r="T294"/>
  <c r="O300"/>
  <c r="M304"/>
  <c r="L311"/>
  <c r="M311" s="1"/>
  <c r="K314"/>
  <c r="P315"/>
  <c r="M316"/>
  <c r="M349"/>
  <c r="P355"/>
  <c r="M403"/>
  <c r="P423"/>
  <c r="T435"/>
  <c r="L421"/>
  <c r="M421" s="1"/>
  <c r="K421"/>
  <c r="L430"/>
  <c r="M430" s="1"/>
  <c r="K430"/>
  <c r="P450"/>
  <c r="O450"/>
  <c r="L459"/>
  <c r="M459" s="1"/>
  <c r="K459"/>
  <c r="P475"/>
  <c r="O475"/>
  <c r="O18" i="28"/>
  <c r="P18"/>
  <c r="O42"/>
  <c r="P42"/>
  <c r="P60"/>
  <c r="O60"/>
  <c r="L76"/>
  <c r="M76" s="1"/>
  <c r="K76"/>
  <c r="S442" i="26"/>
  <c r="T479" i="27"/>
  <c r="T496"/>
  <c r="T500"/>
  <c r="T554"/>
  <c r="T557"/>
  <c r="T30" i="28"/>
  <c r="T35"/>
  <c r="T43"/>
  <c r="S56"/>
  <c r="T56"/>
  <c r="S58"/>
  <c r="T61"/>
  <c r="T64"/>
  <c r="T67"/>
  <c r="T80"/>
  <c r="T86"/>
  <c r="T91"/>
  <c r="T109"/>
  <c r="T123"/>
  <c r="T129"/>
  <c r="T151"/>
  <c r="T152"/>
  <c r="T178"/>
  <c r="T182"/>
  <c r="T185"/>
  <c r="T193"/>
  <c r="T201"/>
  <c r="T224"/>
  <c r="T229"/>
  <c r="T256"/>
  <c r="T261"/>
  <c r="T307"/>
  <c r="T316"/>
  <c r="T319"/>
  <c r="T328"/>
  <c r="T356"/>
  <c r="T383"/>
  <c r="T406"/>
  <c r="T425"/>
  <c r="T426"/>
  <c r="T437"/>
  <c r="T473"/>
  <c r="T504"/>
  <c r="T517"/>
  <c r="T561"/>
  <c r="S566"/>
  <c r="T566"/>
  <c r="K565" i="24"/>
  <c r="K549"/>
  <c r="K533"/>
  <c r="K517"/>
  <c r="K501"/>
  <c r="K485"/>
  <c r="K469"/>
  <c r="K453"/>
  <c r="K437"/>
  <c r="K421"/>
  <c r="K405"/>
  <c r="K389"/>
  <c r="K373"/>
  <c r="K357"/>
  <c r="K341"/>
  <c r="K325"/>
  <c r="K309"/>
  <c r="K293"/>
  <c r="K277"/>
  <c r="K261"/>
  <c r="K197"/>
  <c r="K133"/>
  <c r="K69"/>
  <c r="L12"/>
  <c r="M12" s="1"/>
  <c r="T417" i="27"/>
  <c r="T434"/>
  <c r="T437"/>
  <c r="M446"/>
  <c r="M449"/>
  <c r="T450"/>
  <c r="T469"/>
  <c r="T472"/>
  <c r="T475"/>
  <c r="M477"/>
  <c r="T508"/>
  <c r="M512"/>
  <c r="T542"/>
  <c r="M550"/>
  <c r="T561"/>
  <c r="T21" i="28"/>
  <c r="T32"/>
  <c r="T45"/>
  <c r="T53"/>
  <c r="M62"/>
  <c r="M84"/>
  <c r="T93"/>
  <c r="S104"/>
  <c r="T104"/>
  <c r="T112"/>
  <c r="T135"/>
  <c r="S136"/>
  <c r="T138"/>
  <c r="S158"/>
  <c r="T160"/>
  <c r="S166"/>
  <c r="T168"/>
  <c r="T172"/>
  <c r="S176"/>
  <c r="T177"/>
  <c r="S186"/>
  <c r="S188"/>
  <c r="T188"/>
  <c r="S194"/>
  <c r="S196"/>
  <c r="T196"/>
  <c r="M204"/>
  <c r="T208"/>
  <c r="M232"/>
  <c r="T236"/>
  <c r="T241"/>
  <c r="M244"/>
  <c r="M264"/>
  <c r="T268"/>
  <c r="T274"/>
  <c r="S289"/>
  <c r="T300"/>
  <c r="T303"/>
  <c r="M311"/>
  <c r="T312"/>
  <c r="S329"/>
  <c r="M347"/>
  <c r="T351"/>
  <c r="M355"/>
  <c r="L365"/>
  <c r="M365" s="1"/>
  <c r="P369"/>
  <c r="T371"/>
  <c r="T373"/>
  <c r="S383"/>
  <c r="S398"/>
  <c r="T398"/>
  <c r="T402"/>
  <c r="S408"/>
  <c r="T410"/>
  <c r="L414"/>
  <c r="M414" s="1"/>
  <c r="T421"/>
  <c r="P426"/>
  <c r="T428"/>
  <c r="P442"/>
  <c r="L450"/>
  <c r="M450" s="1"/>
  <c r="T457"/>
  <c r="S464"/>
  <c r="T469"/>
  <c r="L470"/>
  <c r="M470" s="1"/>
  <c r="T470"/>
  <c r="M480"/>
  <c r="T481"/>
  <c r="L486"/>
  <c r="M486" s="1"/>
  <c r="T493"/>
  <c r="M520"/>
  <c r="T521"/>
  <c r="M568"/>
  <c r="K569" i="24"/>
  <c r="K553"/>
  <c r="K537"/>
  <c r="K521"/>
  <c r="K505"/>
  <c r="K489"/>
  <c r="K473"/>
  <c r="K457"/>
  <c r="K441"/>
  <c r="K425"/>
  <c r="K409"/>
  <c r="K393"/>
  <c r="K377"/>
  <c r="K361"/>
  <c r="K345"/>
  <c r="K329"/>
  <c r="K313"/>
  <c r="K297"/>
  <c r="K281"/>
  <c r="K265"/>
  <c r="K213"/>
  <c r="K149"/>
  <c r="K85"/>
  <c r="K21"/>
  <c r="M381" i="27"/>
  <c r="T384"/>
  <c r="T407"/>
  <c r="T410"/>
  <c r="T429"/>
  <c r="M435"/>
  <c r="M441"/>
  <c r="T443"/>
  <c r="T458"/>
  <c r="T461"/>
  <c r="M467"/>
  <c r="M470"/>
  <c r="T513"/>
  <c r="T538"/>
  <c r="M554"/>
  <c r="M558"/>
  <c r="T560"/>
  <c r="T15" i="28"/>
  <c r="T23"/>
  <c r="M30"/>
  <c r="M36"/>
  <c r="M41"/>
  <c r="M44"/>
  <c r="T49"/>
  <c r="M68"/>
  <c r="M73"/>
  <c r="S74"/>
  <c r="S88"/>
  <c r="T88"/>
  <c r="T101"/>
  <c r="M105"/>
  <c r="M113"/>
  <c r="T115"/>
  <c r="O116"/>
  <c r="P122"/>
  <c r="M124"/>
  <c r="M126"/>
  <c r="T131"/>
  <c r="T132"/>
  <c r="K136"/>
  <c r="K142"/>
  <c r="L145"/>
  <c r="M145" s="1"/>
  <c r="S150"/>
  <c r="O172"/>
  <c r="K178"/>
  <c r="T213"/>
  <c r="S231"/>
  <c r="S238"/>
  <c r="T240"/>
  <c r="S243"/>
  <c r="T245"/>
  <c r="S263"/>
  <c r="M272"/>
  <c r="K275"/>
  <c r="S275"/>
  <c r="L286"/>
  <c r="M286" s="1"/>
  <c r="S287"/>
  <c r="M289"/>
  <c r="L294"/>
  <c r="M294" s="1"/>
  <c r="T296"/>
  <c r="T299"/>
  <c r="S313"/>
  <c r="L325"/>
  <c r="M325" s="1"/>
  <c r="M331"/>
  <c r="P333"/>
  <c r="S334"/>
  <c r="L337"/>
  <c r="M337" s="1"/>
  <c r="T339"/>
  <c r="P345"/>
  <c r="T348"/>
  <c r="O351"/>
  <c r="L356"/>
  <c r="M356" s="1"/>
  <c r="L360"/>
  <c r="M360" s="1"/>
  <c r="T363"/>
  <c r="S366"/>
  <c r="T367"/>
  <c r="O371"/>
  <c r="T376"/>
  <c r="K383"/>
  <c r="S404"/>
  <c r="M409"/>
  <c r="T412"/>
  <c r="O428"/>
  <c r="T430"/>
  <c r="S432"/>
  <c r="L437"/>
  <c r="M437" s="1"/>
  <c r="M440"/>
  <c r="T441"/>
  <c r="M448"/>
  <c r="S448"/>
  <c r="T453"/>
  <c r="T454"/>
  <c r="M456"/>
  <c r="P457"/>
  <c r="K460"/>
  <c r="L465"/>
  <c r="M465" s="1"/>
  <c r="T466"/>
  <c r="M468"/>
  <c r="P469"/>
  <c r="M476"/>
  <c r="S476"/>
  <c r="P481"/>
  <c r="T496"/>
  <c r="S510"/>
  <c r="S519"/>
  <c r="P521"/>
  <c r="S523"/>
  <c r="K532"/>
  <c r="T533"/>
  <c r="S544"/>
  <c r="S552"/>
  <c r="M562"/>
  <c r="S562"/>
  <c r="S568"/>
  <c r="T569"/>
  <c r="S570"/>
  <c r="T570"/>
  <c r="K557" i="24"/>
  <c r="K541"/>
  <c r="K525"/>
  <c r="K509"/>
  <c r="K493"/>
  <c r="K477"/>
  <c r="K461"/>
  <c r="K445"/>
  <c r="K429"/>
  <c r="K413"/>
  <c r="K397"/>
  <c r="K381"/>
  <c r="K365"/>
  <c r="K349"/>
  <c r="K333"/>
  <c r="K317"/>
  <c r="K301"/>
  <c r="K285"/>
  <c r="K269"/>
  <c r="K229"/>
  <c r="K165"/>
  <c r="K101"/>
  <c r="K37"/>
  <c r="O426" i="26"/>
  <c r="P426"/>
  <c r="S486"/>
  <c r="V486"/>
  <c r="K494"/>
  <c r="L494"/>
  <c r="M494" s="1"/>
  <c r="K513"/>
  <c r="L513"/>
  <c r="M513" s="1"/>
  <c r="K530"/>
  <c r="L530"/>
  <c r="M530" s="1"/>
  <c r="K54" i="27"/>
  <c r="L54"/>
  <c r="M54" s="1"/>
  <c r="T8" i="24"/>
  <c r="T26"/>
  <c r="T34"/>
  <c r="S62"/>
  <c r="T62"/>
  <c r="T64"/>
  <c r="T65"/>
  <c r="S78"/>
  <c r="T78"/>
  <c r="T80"/>
  <c r="T81"/>
  <c r="S94"/>
  <c r="T94"/>
  <c r="T96"/>
  <c r="T97"/>
  <c r="S114"/>
  <c r="T115"/>
  <c r="T123"/>
  <c r="T134"/>
  <c r="T136"/>
  <c r="S141"/>
  <c r="T141"/>
  <c r="T142"/>
  <c r="T163"/>
  <c r="T165"/>
  <c r="T171"/>
  <c r="T179"/>
  <c r="T180"/>
  <c r="T181"/>
  <c r="T189"/>
  <c r="T192"/>
  <c r="T218"/>
  <c r="T279"/>
  <c r="T286"/>
  <c r="T287"/>
  <c r="T296"/>
  <c r="T304"/>
  <c r="T306"/>
  <c r="S314"/>
  <c r="T343"/>
  <c r="T350"/>
  <c r="T351"/>
  <c r="T360"/>
  <c r="S370"/>
  <c r="T401"/>
  <c r="T426"/>
  <c r="T428"/>
  <c r="T429"/>
  <c r="S451"/>
  <c r="T451"/>
  <c r="T455"/>
  <c r="T479"/>
  <c r="T494"/>
  <c r="T503"/>
  <c r="T505"/>
  <c r="T514"/>
  <c r="T537"/>
  <c r="T539"/>
  <c r="T32" i="25"/>
  <c r="T48"/>
  <c r="T60"/>
  <c r="T72"/>
  <c r="T96"/>
  <c r="T112"/>
  <c r="T136"/>
  <c r="T149"/>
  <c r="T200"/>
  <c r="T202"/>
  <c r="T232"/>
  <c r="T257"/>
  <c r="S278"/>
  <c r="T282"/>
  <c r="S291"/>
  <c r="T291"/>
  <c r="T294"/>
  <c r="T295"/>
  <c r="T299"/>
  <c r="S306"/>
  <c r="T306"/>
  <c r="S346"/>
  <c r="T350"/>
  <c r="S351"/>
  <c r="T351"/>
  <c r="T354"/>
  <c r="T355"/>
  <c r="T358"/>
  <c r="S359"/>
  <c r="T359"/>
  <c r="T362"/>
  <c r="T363"/>
  <c r="T366"/>
  <c r="S367"/>
  <c r="T367"/>
  <c r="T370"/>
  <c r="T371"/>
  <c r="T374"/>
  <c r="S375"/>
  <c r="T375"/>
  <c r="T378"/>
  <c r="T379"/>
  <c r="T382"/>
  <c r="S383"/>
  <c r="T383"/>
  <c r="T386"/>
  <c r="T387"/>
  <c r="T390"/>
  <c r="S391"/>
  <c r="T391"/>
  <c r="T394"/>
  <c r="T395"/>
  <c r="T416"/>
  <c r="T442"/>
  <c r="T457"/>
  <c r="T557"/>
  <c r="T565"/>
  <c r="S568"/>
  <c r="T569"/>
  <c r="T16" i="26"/>
  <c r="T25"/>
  <c r="Z26"/>
  <c r="D94" i="18" s="1"/>
  <c r="F94" s="1"/>
  <c r="T33" i="26"/>
  <c r="Z34"/>
  <c r="T41"/>
  <c r="Z42"/>
  <c r="D194" i="18" s="1"/>
  <c r="F194" s="1"/>
  <c r="T49" i="26"/>
  <c r="Z50"/>
  <c r="D182" i="18" s="1"/>
  <c r="F182" s="1"/>
  <c r="Z94" i="26"/>
  <c r="T97"/>
  <c r="S98"/>
  <c r="S100"/>
  <c r="S101"/>
  <c r="T109"/>
  <c r="T117"/>
  <c r="T148"/>
  <c r="S149"/>
  <c r="T151"/>
  <c r="T159"/>
  <c r="T163"/>
  <c r="T183"/>
  <c r="T199"/>
  <c r="T203"/>
  <c r="T205"/>
  <c r="T207"/>
  <c r="T209"/>
  <c r="T228"/>
  <c r="T245"/>
  <c r="T268"/>
  <c r="T273"/>
  <c r="S277"/>
  <c r="T277"/>
  <c r="T295"/>
  <c r="T302"/>
  <c r="T307"/>
  <c r="S311"/>
  <c r="T311"/>
  <c r="T326"/>
  <c r="T331"/>
  <c r="T354"/>
  <c r="T368"/>
  <c r="T371"/>
  <c r="T390"/>
  <c r="T392"/>
  <c r="T394"/>
  <c r="T403"/>
  <c r="T411"/>
  <c r="T415"/>
  <c r="M436"/>
  <c r="P438"/>
  <c r="M452"/>
  <c r="P454"/>
  <c r="M468"/>
  <c r="P470"/>
  <c r="M484"/>
  <c r="L498"/>
  <c r="M498" s="1"/>
  <c r="S505"/>
  <c r="L526"/>
  <c r="M526" s="1"/>
  <c r="P554"/>
  <c r="M558"/>
  <c r="T30" i="27"/>
  <c r="T50"/>
  <c r="K426" i="26"/>
  <c r="L426"/>
  <c r="M426" s="1"/>
  <c r="K493"/>
  <c r="L493"/>
  <c r="M493" s="1"/>
  <c r="O509"/>
  <c r="P509"/>
  <c r="K529"/>
  <c r="L529"/>
  <c r="M529" s="1"/>
  <c r="K546"/>
  <c r="L546"/>
  <c r="M546" s="1"/>
  <c r="S15" i="27"/>
  <c r="V15"/>
  <c r="V25"/>
  <c r="S25"/>
  <c r="T25"/>
  <c r="L41"/>
  <c r="M41" s="1"/>
  <c r="K41"/>
  <c r="O42"/>
  <c r="P42"/>
  <c r="O58"/>
  <c r="P58"/>
  <c r="T571" i="23"/>
  <c r="S563"/>
  <c r="T551"/>
  <c r="S547"/>
  <c r="T539"/>
  <c r="T535"/>
  <c r="T527"/>
  <c r="T24" i="24"/>
  <c r="T32"/>
  <c r="T33"/>
  <c r="P34"/>
  <c r="V34"/>
  <c r="T45"/>
  <c r="T55"/>
  <c r="T58"/>
  <c r="T60"/>
  <c r="T61"/>
  <c r="T74"/>
  <c r="T76"/>
  <c r="T77"/>
  <c r="T90"/>
  <c r="T92"/>
  <c r="T93"/>
  <c r="T112"/>
  <c r="T113"/>
  <c r="S130"/>
  <c r="T131"/>
  <c r="S134"/>
  <c r="P134"/>
  <c r="T139"/>
  <c r="T155"/>
  <c r="P179"/>
  <c r="V179"/>
  <c r="T187"/>
  <c r="T195"/>
  <c r="T196"/>
  <c r="T197"/>
  <c r="T213"/>
  <c r="T221"/>
  <c r="T243"/>
  <c r="T295"/>
  <c r="T302"/>
  <c r="T303"/>
  <c r="T312"/>
  <c r="P314"/>
  <c r="T320"/>
  <c r="T322"/>
  <c r="S330"/>
  <c r="T359"/>
  <c r="T366"/>
  <c r="P370"/>
  <c r="S378"/>
  <c r="T395"/>
  <c r="T403"/>
  <c r="T404"/>
  <c r="T422"/>
  <c r="T435"/>
  <c r="T439"/>
  <c r="P451"/>
  <c r="T466"/>
  <c r="T468"/>
  <c r="T469"/>
  <c r="T474"/>
  <c r="T476"/>
  <c r="T477"/>
  <c r="T498"/>
  <c r="P505"/>
  <c r="T521"/>
  <c r="T523"/>
  <c r="T533"/>
  <c r="T538"/>
  <c r="O541"/>
  <c r="T13" i="25"/>
  <c r="T21"/>
  <c r="M27"/>
  <c r="L44"/>
  <c r="M44" s="1"/>
  <c r="T77"/>
  <c r="T85"/>
  <c r="M91"/>
  <c r="L108"/>
  <c r="M108" s="1"/>
  <c r="T124"/>
  <c r="M127"/>
  <c r="T141"/>
  <c r="M147"/>
  <c r="M155"/>
  <c r="T164"/>
  <c r="T192"/>
  <c r="T213"/>
  <c r="T239"/>
  <c r="T245"/>
  <c r="T255"/>
  <c r="V257"/>
  <c r="M276"/>
  <c r="M284"/>
  <c r="P291"/>
  <c r="T301"/>
  <c r="T307"/>
  <c r="M309"/>
  <c r="T310"/>
  <c r="S311"/>
  <c r="T311"/>
  <c r="S313"/>
  <c r="M316"/>
  <c r="M317"/>
  <c r="T318"/>
  <c r="T319"/>
  <c r="S321"/>
  <c r="M325"/>
  <c r="T326"/>
  <c r="S327"/>
  <c r="T327"/>
  <c r="S329"/>
  <c r="M332"/>
  <c r="M333"/>
  <c r="T334"/>
  <c r="T335"/>
  <c r="S337"/>
  <c r="M341"/>
  <c r="T342"/>
  <c r="T343"/>
  <c r="T347"/>
  <c r="P403"/>
  <c r="S405"/>
  <c r="O406"/>
  <c r="P433"/>
  <c r="L434"/>
  <c r="M434" s="1"/>
  <c r="T459"/>
  <c r="T463"/>
  <c r="T465"/>
  <c r="T472"/>
  <c r="M476"/>
  <c r="M481"/>
  <c r="K484"/>
  <c r="S484"/>
  <c r="O485"/>
  <c r="K486"/>
  <c r="M500"/>
  <c r="S502"/>
  <c r="T504"/>
  <c r="S510"/>
  <c r="T512"/>
  <c r="M516"/>
  <c r="S518"/>
  <c r="T520"/>
  <c r="S526"/>
  <c r="T528"/>
  <c r="M532"/>
  <c r="S534"/>
  <c r="T536"/>
  <c r="S542"/>
  <c r="T544"/>
  <c r="M548"/>
  <c r="S550"/>
  <c r="T552"/>
  <c r="M560"/>
  <c r="P561"/>
  <c r="K562"/>
  <c r="S562"/>
  <c r="S14" i="26"/>
  <c r="M20"/>
  <c r="T21"/>
  <c r="S22"/>
  <c r="T28"/>
  <c r="S30"/>
  <c r="T36"/>
  <c r="S37"/>
  <c r="S38"/>
  <c r="T43"/>
  <c r="T44"/>
  <c r="S45"/>
  <c r="S46"/>
  <c r="T51"/>
  <c r="T52"/>
  <c r="S53"/>
  <c r="S54"/>
  <c r="O62"/>
  <c r="O66"/>
  <c r="O70"/>
  <c r="O74"/>
  <c r="O78"/>
  <c r="O82"/>
  <c r="O86"/>
  <c r="O90"/>
  <c r="T94"/>
  <c r="O96"/>
  <c r="P97"/>
  <c r="K98"/>
  <c r="M99"/>
  <c r="T101"/>
  <c r="S102"/>
  <c r="K104"/>
  <c r="S104"/>
  <c r="L105"/>
  <c r="M105" s="1"/>
  <c r="S105"/>
  <c r="M107"/>
  <c r="O109"/>
  <c r="P110"/>
  <c r="M115"/>
  <c r="K116"/>
  <c r="O117"/>
  <c r="P118"/>
  <c r="K119"/>
  <c r="S119"/>
  <c r="S121"/>
  <c r="O121"/>
  <c r="T124"/>
  <c r="P130"/>
  <c r="L134"/>
  <c r="M134" s="1"/>
  <c r="L140"/>
  <c r="M140" s="1"/>
  <c r="P145"/>
  <c r="O151"/>
  <c r="P153"/>
  <c r="V153"/>
  <c r="L156"/>
  <c r="M156" s="1"/>
  <c r="O159"/>
  <c r="P161"/>
  <c r="O163"/>
  <c r="T167"/>
  <c r="S168"/>
  <c r="L169"/>
  <c r="M169" s="1"/>
  <c r="T175"/>
  <c r="S176"/>
  <c r="L177"/>
  <c r="M177" s="1"/>
  <c r="T179"/>
  <c r="P181"/>
  <c r="O183"/>
  <c r="M191"/>
  <c r="L192"/>
  <c r="M192" s="1"/>
  <c r="L193"/>
  <c r="M193" s="1"/>
  <c r="T195"/>
  <c r="P197"/>
  <c r="O199"/>
  <c r="P201"/>
  <c r="O203"/>
  <c r="P205"/>
  <c r="O207"/>
  <c r="P209"/>
  <c r="P211"/>
  <c r="P213"/>
  <c r="M216"/>
  <c r="L217"/>
  <c r="M217" s="1"/>
  <c r="T217"/>
  <c r="T219"/>
  <c r="O220"/>
  <c r="M223"/>
  <c r="O225"/>
  <c r="P228"/>
  <c r="M231"/>
  <c r="L233"/>
  <c r="M233" s="1"/>
  <c r="S233"/>
  <c r="L237"/>
  <c r="M237" s="1"/>
  <c r="K241"/>
  <c r="S243"/>
  <c r="O244"/>
  <c r="P245"/>
  <c r="L248"/>
  <c r="M248" s="1"/>
  <c r="O255"/>
  <c r="P256"/>
  <c r="S258"/>
  <c r="T260"/>
  <c r="L261"/>
  <c r="M261" s="1"/>
  <c r="S262"/>
  <c r="O264"/>
  <c r="O265"/>
  <c r="P273"/>
  <c r="M275"/>
  <c r="P277"/>
  <c r="K281"/>
  <c r="T283"/>
  <c r="T288"/>
  <c r="T289"/>
  <c r="L290"/>
  <c r="M290" s="1"/>
  <c r="P293"/>
  <c r="K296"/>
  <c r="O297"/>
  <c r="O298"/>
  <c r="P307"/>
  <c r="P311"/>
  <c r="K315"/>
  <c r="T317"/>
  <c r="T321"/>
  <c r="T322"/>
  <c r="L323"/>
  <c r="M323" s="1"/>
  <c r="P326"/>
  <c r="K329"/>
  <c r="T334"/>
  <c r="T339"/>
  <c r="M341"/>
  <c r="T341"/>
  <c r="K342"/>
  <c r="L346"/>
  <c r="M346" s="1"/>
  <c r="T347"/>
  <c r="K349"/>
  <c r="M353"/>
  <c r="S353"/>
  <c r="S359"/>
  <c r="T365"/>
  <c r="T367"/>
  <c r="K369"/>
  <c r="P371"/>
  <c r="T374"/>
  <c r="L375"/>
  <c r="M375" s="1"/>
  <c r="O377"/>
  <c r="T380"/>
  <c r="P386"/>
  <c r="P390"/>
  <c r="M393"/>
  <c r="S393"/>
  <c r="S394"/>
  <c r="S397"/>
  <c r="T400"/>
  <c r="P402"/>
  <c r="V406"/>
  <c r="K408"/>
  <c r="L410"/>
  <c r="M410" s="1"/>
  <c r="P411"/>
  <c r="L414"/>
  <c r="M414" s="1"/>
  <c r="V438"/>
  <c r="M440"/>
  <c r="V442"/>
  <c r="V454"/>
  <c r="M456"/>
  <c r="V458"/>
  <c r="V470"/>
  <c r="M472"/>
  <c r="V474"/>
  <c r="S521"/>
  <c r="L542"/>
  <c r="M542" s="1"/>
  <c r="L424"/>
  <c r="M424" s="1"/>
  <c r="K424"/>
  <c r="O525"/>
  <c r="P525"/>
  <c r="K545"/>
  <c r="L545"/>
  <c r="M545" s="1"/>
  <c r="O558"/>
  <c r="P558"/>
  <c r="O574"/>
  <c r="P574"/>
  <c r="K50" i="27"/>
  <c r="L50"/>
  <c r="M50" s="1"/>
  <c r="K53"/>
  <c r="L53"/>
  <c r="M53" s="1"/>
  <c r="T16" i="24"/>
  <c r="T18"/>
  <c r="P21"/>
  <c r="P22"/>
  <c r="O36"/>
  <c r="T42"/>
  <c r="P45"/>
  <c r="T50"/>
  <c r="P53"/>
  <c r="T56"/>
  <c r="T57"/>
  <c r="O58"/>
  <c r="P61"/>
  <c r="T70"/>
  <c r="T72"/>
  <c r="T73"/>
  <c r="O74"/>
  <c r="P77"/>
  <c r="T86"/>
  <c r="T88"/>
  <c r="T89"/>
  <c r="O90"/>
  <c r="P93"/>
  <c r="S101"/>
  <c r="T102"/>
  <c r="T104"/>
  <c r="S109"/>
  <c r="T109"/>
  <c r="T110"/>
  <c r="P113"/>
  <c r="O116"/>
  <c r="O124"/>
  <c r="T128"/>
  <c r="T129"/>
  <c r="P130"/>
  <c r="T147"/>
  <c r="T152"/>
  <c r="O187"/>
  <c r="P191"/>
  <c r="P196"/>
  <c r="T205"/>
  <c r="T208"/>
  <c r="T214"/>
  <c r="O221"/>
  <c r="O226"/>
  <c r="T234"/>
  <c r="P250"/>
  <c r="T267"/>
  <c r="T272"/>
  <c r="T274"/>
  <c r="T278"/>
  <c r="T289"/>
  <c r="P291"/>
  <c r="O297"/>
  <c r="P302"/>
  <c r="T311"/>
  <c r="T318"/>
  <c r="T319"/>
  <c r="O321"/>
  <c r="O322"/>
  <c r="T328"/>
  <c r="T329"/>
  <c r="P331"/>
  <c r="T336"/>
  <c r="T338"/>
  <c r="T342"/>
  <c r="T353"/>
  <c r="P355"/>
  <c r="O361"/>
  <c r="O366"/>
  <c r="T374"/>
  <c r="P379"/>
  <c r="P383"/>
  <c r="T391"/>
  <c r="T414"/>
  <c r="T418"/>
  <c r="O419"/>
  <c r="O422"/>
  <c r="S426"/>
  <c r="T431"/>
  <c r="O443"/>
  <c r="T450"/>
  <c r="T452"/>
  <c r="T453"/>
  <c r="T458"/>
  <c r="T460"/>
  <c r="T461"/>
  <c r="P463"/>
  <c r="O474"/>
  <c r="P478"/>
  <c r="T490"/>
  <c r="T501"/>
  <c r="T506"/>
  <c r="T508"/>
  <c r="V513"/>
  <c r="T516"/>
  <c r="T517"/>
  <c r="T522"/>
  <c r="O525"/>
  <c r="T529"/>
  <c r="T531"/>
  <c r="O540"/>
  <c r="P542"/>
  <c r="P546"/>
  <c r="T553"/>
  <c r="T566"/>
  <c r="T567"/>
  <c r="T569"/>
  <c r="T570"/>
  <c r="T2" i="25"/>
  <c r="T24"/>
  <c r="T30"/>
  <c r="T38"/>
  <c r="S42"/>
  <c r="T46"/>
  <c r="T54"/>
  <c r="M56"/>
  <c r="T62"/>
  <c r="L64"/>
  <c r="M64" s="1"/>
  <c r="K68"/>
  <c r="T70"/>
  <c r="M72"/>
  <c r="P73"/>
  <c r="M75"/>
  <c r="T88"/>
  <c r="T94"/>
  <c r="T102"/>
  <c r="S106"/>
  <c r="T110"/>
  <c r="T118"/>
  <c r="M120"/>
  <c r="P124"/>
  <c r="T127"/>
  <c r="K132"/>
  <c r="T134"/>
  <c r="M136"/>
  <c r="P137"/>
  <c r="M152"/>
  <c r="T155"/>
  <c r="T160"/>
  <c r="O164"/>
  <c r="K166"/>
  <c r="T167"/>
  <c r="L168"/>
  <c r="M168" s="1"/>
  <c r="S175"/>
  <c r="T176"/>
  <c r="T178"/>
  <c r="T184"/>
  <c r="P197"/>
  <c r="S203"/>
  <c r="T204"/>
  <c r="L205"/>
  <c r="M205" s="1"/>
  <c r="S206"/>
  <c r="S207"/>
  <c r="K216"/>
  <c r="T217"/>
  <c r="T228"/>
  <c r="T230"/>
  <c r="M232"/>
  <c r="T236"/>
  <c r="T237"/>
  <c r="S244"/>
  <c r="O245"/>
  <c r="S248"/>
  <c r="M253"/>
  <c r="L258"/>
  <c r="M258" s="1"/>
  <c r="T258"/>
  <c r="O261"/>
  <c r="K265"/>
  <c r="T265"/>
  <c r="P278"/>
  <c r="M295"/>
  <c r="M299"/>
  <c r="K303"/>
  <c r="O307"/>
  <c r="L314"/>
  <c r="M314" s="1"/>
  <c r="S314"/>
  <c r="O315"/>
  <c r="M320"/>
  <c r="L322"/>
  <c r="M322" s="1"/>
  <c r="S322"/>
  <c r="O323"/>
  <c r="L330"/>
  <c r="M330" s="1"/>
  <c r="S330"/>
  <c r="O331"/>
  <c r="M336"/>
  <c r="L338"/>
  <c r="M338" s="1"/>
  <c r="S338"/>
  <c r="O339"/>
  <c r="M345"/>
  <c r="P346"/>
  <c r="O349"/>
  <c r="M351"/>
  <c r="O353"/>
  <c r="M355"/>
  <c r="O357"/>
  <c r="M359"/>
  <c r="O361"/>
  <c r="M363"/>
  <c r="O365"/>
  <c r="M367"/>
  <c r="O369"/>
  <c r="M371"/>
  <c r="O373"/>
  <c r="M375"/>
  <c r="O377"/>
  <c r="M379"/>
  <c r="O381"/>
  <c r="M383"/>
  <c r="O385"/>
  <c r="M387"/>
  <c r="O389"/>
  <c r="M391"/>
  <c r="O393"/>
  <c r="M395"/>
  <c r="M400"/>
  <c r="S400"/>
  <c r="K402"/>
  <c r="T439"/>
  <c r="P441"/>
  <c r="L442"/>
  <c r="M442" s="1"/>
  <c r="T467"/>
  <c r="T475"/>
  <c r="M486"/>
  <c r="P495"/>
  <c r="S515"/>
  <c r="S523"/>
  <c r="S531"/>
  <c r="S539"/>
  <c r="S547"/>
  <c r="S554"/>
  <c r="M558"/>
  <c r="M566"/>
  <c r="S567"/>
  <c r="O568"/>
  <c r="S571"/>
  <c r="M16" i="26"/>
  <c r="M24"/>
  <c r="L25"/>
  <c r="M25" s="1"/>
  <c r="O26"/>
  <c r="O28"/>
  <c r="K30"/>
  <c r="M32"/>
  <c r="L33"/>
  <c r="M33" s="1"/>
  <c r="O34"/>
  <c r="O36"/>
  <c r="K38"/>
  <c r="M39"/>
  <c r="M40"/>
  <c r="L41"/>
  <c r="M41" s="1"/>
  <c r="O42"/>
  <c r="O44"/>
  <c r="K46"/>
  <c r="M47"/>
  <c r="M48"/>
  <c r="L49"/>
  <c r="M49" s="1"/>
  <c r="O50"/>
  <c r="O52"/>
  <c r="K54"/>
  <c r="M55"/>
  <c r="M60"/>
  <c r="L61"/>
  <c r="M61" s="1"/>
  <c r="S62"/>
  <c r="K64"/>
  <c r="L65"/>
  <c r="M65" s="1"/>
  <c r="S66"/>
  <c r="K68"/>
  <c r="L69"/>
  <c r="M69" s="1"/>
  <c r="S70"/>
  <c r="K72"/>
  <c r="L73"/>
  <c r="M73" s="1"/>
  <c r="S74"/>
  <c r="K76"/>
  <c r="L77"/>
  <c r="M77" s="1"/>
  <c r="S78"/>
  <c r="K80"/>
  <c r="L81"/>
  <c r="M81" s="1"/>
  <c r="S82"/>
  <c r="K84"/>
  <c r="L85"/>
  <c r="M85" s="1"/>
  <c r="S86"/>
  <c r="K88"/>
  <c r="L89"/>
  <c r="M89" s="1"/>
  <c r="S90"/>
  <c r="K92"/>
  <c r="L93"/>
  <c r="M93" s="1"/>
  <c r="O94"/>
  <c r="V96"/>
  <c r="O100"/>
  <c r="P101"/>
  <c r="K102"/>
  <c r="M103"/>
  <c r="S109"/>
  <c r="M116"/>
  <c r="S117"/>
  <c r="L120"/>
  <c r="M120" s="1"/>
  <c r="P124"/>
  <c r="S125"/>
  <c r="T134"/>
  <c r="T136"/>
  <c r="L141"/>
  <c r="M141" s="1"/>
  <c r="V145"/>
  <c r="L148"/>
  <c r="M148" s="1"/>
  <c r="S156"/>
  <c r="O167"/>
  <c r="L172"/>
  <c r="M172" s="1"/>
  <c r="O175"/>
  <c r="O179"/>
  <c r="L188"/>
  <c r="M188" s="1"/>
  <c r="O195"/>
  <c r="V203"/>
  <c r="V207"/>
  <c r="S212"/>
  <c r="S223"/>
  <c r="K224"/>
  <c r="S225"/>
  <c r="K227"/>
  <c r="S227"/>
  <c r="L249"/>
  <c r="M249" s="1"/>
  <c r="O251"/>
  <c r="K253"/>
  <c r="K259"/>
  <c r="P260"/>
  <c r="O263"/>
  <c r="M267"/>
  <c r="L268"/>
  <c r="M268" s="1"/>
  <c r="M271"/>
  <c r="S273"/>
  <c r="K276"/>
  <c r="O283"/>
  <c r="O288"/>
  <c r="P289"/>
  <c r="K292"/>
  <c r="M296"/>
  <c r="M301"/>
  <c r="L302"/>
  <c r="M302" s="1"/>
  <c r="M305"/>
  <c r="S307"/>
  <c r="K310"/>
  <c r="O317"/>
  <c r="O321"/>
  <c r="P322"/>
  <c r="K325"/>
  <c r="M329"/>
  <c r="T329"/>
  <c r="O333"/>
  <c r="P334"/>
  <c r="K337"/>
  <c r="O338"/>
  <c r="P339"/>
  <c r="L343"/>
  <c r="M343" s="1"/>
  <c r="O345"/>
  <c r="P347"/>
  <c r="M349"/>
  <c r="T349"/>
  <c r="K350"/>
  <c r="L354"/>
  <c r="M354" s="1"/>
  <c r="M361"/>
  <c r="L363"/>
  <c r="M363" s="1"/>
  <c r="M369"/>
  <c r="T369"/>
  <c r="P374"/>
  <c r="K385"/>
  <c r="S386"/>
  <c r="L394"/>
  <c r="M394" s="1"/>
  <c r="K401"/>
  <c r="S402"/>
  <c r="L406"/>
  <c r="M406" s="1"/>
  <c r="L407"/>
  <c r="M407" s="1"/>
  <c r="M408"/>
  <c r="S408"/>
  <c r="P430"/>
  <c r="P434"/>
  <c r="P446"/>
  <c r="P450"/>
  <c r="P462"/>
  <c r="P466"/>
  <c r="P478"/>
  <c r="P482"/>
  <c r="S537"/>
  <c r="K417"/>
  <c r="L417"/>
  <c r="M417" s="1"/>
  <c r="K427"/>
  <c r="L427"/>
  <c r="M427" s="1"/>
  <c r="O494"/>
  <c r="P494"/>
  <c r="K514"/>
  <c r="L514"/>
  <c r="M514" s="1"/>
  <c r="O541"/>
  <c r="P541"/>
  <c r="K566"/>
  <c r="L566"/>
  <c r="M566" s="1"/>
  <c r="O21" i="27"/>
  <c r="P21"/>
  <c r="O25"/>
  <c r="P25"/>
  <c r="T554" i="26"/>
  <c r="T557"/>
  <c r="P77" i="28"/>
  <c r="O77"/>
  <c r="L116"/>
  <c r="M116" s="1"/>
  <c r="K116"/>
  <c r="L121"/>
  <c r="M121" s="1"/>
  <c r="K121"/>
  <c r="K129"/>
  <c r="L129"/>
  <c r="M129" s="1"/>
  <c r="L140"/>
  <c r="M140" s="1"/>
  <c r="K140"/>
  <c r="V148"/>
  <c r="S148"/>
  <c r="V165"/>
  <c r="T165"/>
  <c r="S174"/>
  <c r="V174"/>
  <c r="O290"/>
  <c r="P290"/>
  <c r="K313"/>
  <c r="L313"/>
  <c r="M313" s="1"/>
  <c r="O321"/>
  <c r="P321"/>
  <c r="S341"/>
  <c r="V341"/>
  <c r="K364"/>
  <c r="L364"/>
  <c r="M364" s="1"/>
  <c r="O377"/>
  <c r="P377"/>
  <c r="L70" i="27"/>
  <c r="M70" s="1"/>
  <c r="V83"/>
  <c r="P86"/>
  <c r="P97"/>
  <c r="L106"/>
  <c r="M106" s="1"/>
  <c r="S116"/>
  <c r="P146"/>
  <c r="L150"/>
  <c r="M150" s="1"/>
  <c r="P154"/>
  <c r="P158"/>
  <c r="P162"/>
  <c r="M184"/>
  <c r="M199"/>
  <c r="M215"/>
  <c r="M231"/>
  <c r="M243"/>
  <c r="M251"/>
  <c r="P256"/>
  <c r="V256"/>
  <c r="M273"/>
  <c r="V276"/>
  <c r="P279"/>
  <c r="P283"/>
  <c r="M289"/>
  <c r="M294"/>
  <c r="L295"/>
  <c r="M295" s="1"/>
  <c r="P316"/>
  <c r="L323"/>
  <c r="M323" s="1"/>
  <c r="P343"/>
  <c r="P351"/>
  <c r="P359"/>
  <c r="P367"/>
  <c r="P375"/>
  <c r="P383"/>
  <c r="P391"/>
  <c r="M401"/>
  <c r="L407"/>
  <c r="M407" s="1"/>
  <c r="P418"/>
  <c r="M429"/>
  <c r="M437"/>
  <c r="L443"/>
  <c r="M443" s="1"/>
  <c r="L454"/>
  <c r="M454" s="1"/>
  <c r="P459"/>
  <c r="P474"/>
  <c r="M480"/>
  <c r="L490"/>
  <c r="M490" s="1"/>
  <c r="M500"/>
  <c r="M516"/>
  <c r="L542"/>
  <c r="M542" s="1"/>
  <c r="M560"/>
  <c r="M568" i="24"/>
  <c r="M552"/>
  <c r="M536"/>
  <c r="M520"/>
  <c r="M504"/>
  <c r="M488"/>
  <c r="M472"/>
  <c r="M456"/>
  <c r="M440"/>
  <c r="M424"/>
  <c r="M408"/>
  <c r="M392"/>
  <c r="M376"/>
  <c r="M360"/>
  <c r="M344"/>
  <c r="M328"/>
  <c r="M312"/>
  <c r="M296"/>
  <c r="M280"/>
  <c r="M264"/>
  <c r="P78" i="28"/>
  <c r="O78"/>
  <c r="O89"/>
  <c r="P89"/>
  <c r="L110"/>
  <c r="M110" s="1"/>
  <c r="K110"/>
  <c r="K117"/>
  <c r="L117"/>
  <c r="M117" s="1"/>
  <c r="P124"/>
  <c r="O124"/>
  <c r="K133"/>
  <c r="L133"/>
  <c r="M133" s="1"/>
  <c r="V140"/>
  <c r="S140"/>
  <c r="P144"/>
  <c r="O144"/>
  <c r="L175"/>
  <c r="M175" s="1"/>
  <c r="K175"/>
  <c r="O190"/>
  <c r="P190"/>
  <c r="O198"/>
  <c r="P198"/>
  <c r="V269"/>
  <c r="T269"/>
  <c r="K297"/>
  <c r="L297"/>
  <c r="M297" s="1"/>
  <c r="O305"/>
  <c r="P305"/>
  <c r="S325"/>
  <c r="V325"/>
  <c r="V340"/>
  <c r="T340"/>
  <c r="P355"/>
  <c r="O355"/>
  <c r="V364"/>
  <c r="T364"/>
  <c r="T414" i="26"/>
  <c r="S416"/>
  <c r="S418"/>
  <c r="S420"/>
  <c r="S426"/>
  <c r="S428"/>
  <c r="T430"/>
  <c r="T431"/>
  <c r="S436"/>
  <c r="T438"/>
  <c r="T439"/>
  <c r="S444"/>
  <c r="T446"/>
  <c r="T447"/>
  <c r="S452"/>
  <c r="T454"/>
  <c r="T455"/>
  <c r="S460"/>
  <c r="T462"/>
  <c r="T463"/>
  <c r="S468"/>
  <c r="T470"/>
  <c r="T471"/>
  <c r="S476"/>
  <c r="T478"/>
  <c r="T479"/>
  <c r="S484"/>
  <c r="T486"/>
  <c r="S494"/>
  <c r="T502"/>
  <c r="T511"/>
  <c r="T514"/>
  <c r="T518"/>
  <c r="T520"/>
  <c r="T527"/>
  <c r="T530"/>
  <c r="T534"/>
  <c r="T536"/>
  <c r="T543"/>
  <c r="T546"/>
  <c r="S551"/>
  <c r="T562"/>
  <c r="T565"/>
  <c r="T566"/>
  <c r="M573"/>
  <c r="S576"/>
  <c r="S16" i="27"/>
  <c r="T22"/>
  <c r="T26"/>
  <c r="M29"/>
  <c r="T31"/>
  <c r="T37"/>
  <c r="S38"/>
  <c r="M45"/>
  <c r="T47"/>
  <c r="T49"/>
  <c r="T51"/>
  <c r="S53"/>
  <c r="S55"/>
  <c r="S65"/>
  <c r="T66"/>
  <c r="L67"/>
  <c r="M67" s="1"/>
  <c r="T68"/>
  <c r="S70"/>
  <c r="L71"/>
  <c r="M71" s="1"/>
  <c r="S72"/>
  <c r="P75"/>
  <c r="S81"/>
  <c r="T82"/>
  <c r="L83"/>
  <c r="M83" s="1"/>
  <c r="T84"/>
  <c r="L89"/>
  <c r="M89" s="1"/>
  <c r="P93"/>
  <c r="T96"/>
  <c r="T97"/>
  <c r="K108"/>
  <c r="T110"/>
  <c r="T112"/>
  <c r="T113"/>
  <c r="O120"/>
  <c r="O122"/>
  <c r="P123"/>
  <c r="L126"/>
  <c r="M126" s="1"/>
  <c r="L127"/>
  <c r="M127" s="1"/>
  <c r="P130"/>
  <c r="K136"/>
  <c r="K140"/>
  <c r="L143"/>
  <c r="M143" s="1"/>
  <c r="T148"/>
  <c r="O156"/>
  <c r="O160"/>
  <c r="O164"/>
  <c r="M166"/>
  <c r="K174"/>
  <c r="T175"/>
  <c r="M178"/>
  <c r="P179"/>
  <c r="K190"/>
  <c r="T191"/>
  <c r="M194"/>
  <c r="P195"/>
  <c r="K205"/>
  <c r="T206"/>
  <c r="M209"/>
  <c r="P210"/>
  <c r="S212"/>
  <c r="K221"/>
  <c r="T222"/>
  <c r="M225"/>
  <c r="P226"/>
  <c r="K237"/>
  <c r="T238"/>
  <c r="K245"/>
  <c r="T246"/>
  <c r="K253"/>
  <c r="P254"/>
  <c r="P259"/>
  <c r="P260"/>
  <c r="T266"/>
  <c r="T268"/>
  <c r="M271"/>
  <c r="T274"/>
  <c r="T275"/>
  <c r="K282"/>
  <c r="T283"/>
  <c r="M286"/>
  <c r="M287"/>
  <c r="T290"/>
  <c r="T295"/>
  <c r="L296"/>
  <c r="M296" s="1"/>
  <c r="M299"/>
  <c r="K302"/>
  <c r="O303"/>
  <c r="O304"/>
  <c r="T305"/>
  <c r="P312"/>
  <c r="M314"/>
  <c r="K315"/>
  <c r="T317"/>
  <c r="T319"/>
  <c r="L320"/>
  <c r="M320" s="1"/>
  <c r="V321"/>
  <c r="T323"/>
  <c r="P324"/>
  <c r="V325"/>
  <c r="T332"/>
  <c r="L336"/>
  <c r="M336" s="1"/>
  <c r="T337"/>
  <c r="L339"/>
  <c r="M339" s="1"/>
  <c r="T339"/>
  <c r="P340"/>
  <c r="L344"/>
  <c r="M344" s="1"/>
  <c r="T345"/>
  <c r="L347"/>
  <c r="M347" s="1"/>
  <c r="T347"/>
  <c r="P348"/>
  <c r="L352"/>
  <c r="M352" s="1"/>
  <c r="T353"/>
  <c r="L355"/>
  <c r="M355" s="1"/>
  <c r="T355"/>
  <c r="P356"/>
  <c r="L360"/>
  <c r="M360" s="1"/>
  <c r="T361"/>
  <c r="L363"/>
  <c r="M363" s="1"/>
  <c r="T363"/>
  <c r="P364"/>
  <c r="L368"/>
  <c r="M368" s="1"/>
  <c r="T369"/>
  <c r="L371"/>
  <c r="M371" s="1"/>
  <c r="T371"/>
  <c r="P372"/>
  <c r="L376"/>
  <c r="M376" s="1"/>
  <c r="T377"/>
  <c r="L379"/>
  <c r="M379" s="1"/>
  <c r="T379"/>
  <c r="P380"/>
  <c r="L384"/>
  <c r="M384" s="1"/>
  <c r="T385"/>
  <c r="L387"/>
  <c r="M387" s="1"/>
  <c r="T387"/>
  <c r="P388"/>
  <c r="L392"/>
  <c r="M392" s="1"/>
  <c r="T393"/>
  <c r="L395"/>
  <c r="M395" s="1"/>
  <c r="T395"/>
  <c r="T396"/>
  <c r="T397"/>
  <c r="K403"/>
  <c r="T405"/>
  <c r="T408"/>
  <c r="M410"/>
  <c r="O411"/>
  <c r="T413"/>
  <c r="T415"/>
  <c r="T422"/>
  <c r="V423"/>
  <c r="T427"/>
  <c r="P431"/>
  <c r="K435"/>
  <c r="K441"/>
  <c r="L442"/>
  <c r="M442" s="1"/>
  <c r="T442"/>
  <c r="T445"/>
  <c r="K446"/>
  <c r="O449"/>
  <c r="T451"/>
  <c r="T453"/>
  <c r="L463"/>
  <c r="M463" s="1"/>
  <c r="T464"/>
  <c r="O466"/>
  <c r="O467"/>
  <c r="T470"/>
  <c r="O473"/>
  <c r="P478"/>
  <c r="T482"/>
  <c r="P483"/>
  <c r="K484"/>
  <c r="P487"/>
  <c r="P489"/>
  <c r="L494"/>
  <c r="M494" s="1"/>
  <c r="L495"/>
  <c r="M495" s="1"/>
  <c r="T495"/>
  <c r="P502"/>
  <c r="T504"/>
  <c r="T505"/>
  <c r="V506"/>
  <c r="L510"/>
  <c r="M510" s="1"/>
  <c r="P518"/>
  <c r="T520"/>
  <c r="T521"/>
  <c r="M524"/>
  <c r="L525"/>
  <c r="M525" s="1"/>
  <c r="T525"/>
  <c r="T528"/>
  <c r="T532"/>
  <c r="T536"/>
  <c r="O540"/>
  <c r="P541"/>
  <c r="T546"/>
  <c r="K548"/>
  <c r="L549"/>
  <c r="M549" s="1"/>
  <c r="O550"/>
  <c r="T553"/>
  <c r="L557"/>
  <c r="M557" s="1"/>
  <c r="O558"/>
  <c r="V564"/>
  <c r="T570"/>
  <c r="T13" i="28"/>
  <c r="K14"/>
  <c r="K16"/>
  <c r="T17"/>
  <c r="T19"/>
  <c r="O21"/>
  <c r="P22"/>
  <c r="O24"/>
  <c r="K30"/>
  <c r="K36"/>
  <c r="L37"/>
  <c r="M37" s="1"/>
  <c r="T37"/>
  <c r="S39"/>
  <c r="S40"/>
  <c r="T40"/>
  <c r="K41"/>
  <c r="S42"/>
  <c r="O44"/>
  <c r="T46"/>
  <c r="S47"/>
  <c r="T48"/>
  <c r="L58"/>
  <c r="M58" s="1"/>
  <c r="T59"/>
  <c r="O61"/>
  <c r="O62"/>
  <c r="T65"/>
  <c r="O68"/>
  <c r="S72"/>
  <c r="T72"/>
  <c r="P74"/>
  <c r="T77"/>
  <c r="T85"/>
  <c r="S87"/>
  <c r="T94"/>
  <c r="T107"/>
  <c r="T113"/>
  <c r="L118"/>
  <c r="M118" s="1"/>
  <c r="L122"/>
  <c r="M122" s="1"/>
  <c r="P84"/>
  <c r="O84"/>
  <c r="L92"/>
  <c r="M92" s="1"/>
  <c r="K92"/>
  <c r="S164"/>
  <c r="V164"/>
  <c r="K172"/>
  <c r="L172"/>
  <c r="M172" s="1"/>
  <c r="O272"/>
  <c r="P272"/>
  <c r="O284"/>
  <c r="P284"/>
  <c r="P289"/>
  <c r="O289"/>
  <c r="O293"/>
  <c r="P293"/>
  <c r="S309"/>
  <c r="V309"/>
  <c r="V324"/>
  <c r="T324"/>
  <c r="K345"/>
  <c r="L345"/>
  <c r="M345" s="1"/>
  <c r="K353"/>
  <c r="L353"/>
  <c r="M353" s="1"/>
  <c r="O357"/>
  <c r="P357"/>
  <c r="S61" i="27"/>
  <c r="S78"/>
  <c r="P37" i="28"/>
  <c r="M56"/>
  <c r="M64"/>
  <c r="L70"/>
  <c r="M70" s="1"/>
  <c r="M80"/>
  <c r="L97"/>
  <c r="M97" s="1"/>
  <c r="P117"/>
  <c r="K74"/>
  <c r="L74"/>
  <c r="M74" s="1"/>
  <c r="O106"/>
  <c r="P106"/>
  <c r="K134"/>
  <c r="L134"/>
  <c r="M134" s="1"/>
  <c r="V141"/>
  <c r="T141"/>
  <c r="P145"/>
  <c r="O145"/>
  <c r="Z178"/>
  <c r="S178"/>
  <c r="K186"/>
  <c r="L186"/>
  <c r="M186" s="1"/>
  <c r="K194"/>
  <c r="L194"/>
  <c r="M194" s="1"/>
  <c r="O294"/>
  <c r="P294"/>
  <c r="K298"/>
  <c r="L298"/>
  <c r="M298" s="1"/>
  <c r="V308"/>
  <c r="T308"/>
  <c r="K329"/>
  <c r="L329"/>
  <c r="M329" s="1"/>
  <c r="O337"/>
  <c r="P337"/>
  <c r="S422" i="26"/>
  <c r="S432"/>
  <c r="T434"/>
  <c r="T435"/>
  <c r="S440"/>
  <c r="T442"/>
  <c r="T443"/>
  <c r="S448"/>
  <c r="T450"/>
  <c r="T451"/>
  <c r="S456"/>
  <c r="T458"/>
  <c r="T459"/>
  <c r="S464"/>
  <c r="T466"/>
  <c r="T467"/>
  <c r="S472"/>
  <c r="T474"/>
  <c r="T475"/>
  <c r="S480"/>
  <c r="T482"/>
  <c r="T483"/>
  <c r="T487"/>
  <c r="T496"/>
  <c r="T498"/>
  <c r="T510"/>
  <c r="T513"/>
  <c r="T524"/>
  <c r="M525"/>
  <c r="T526"/>
  <c r="T529"/>
  <c r="T540"/>
  <c r="T542"/>
  <c r="T545"/>
  <c r="T555"/>
  <c r="S560"/>
  <c r="T564"/>
  <c r="P566"/>
  <c r="T572"/>
  <c r="T573"/>
  <c r="L574"/>
  <c r="M574" s="1"/>
  <c r="T575"/>
  <c r="S21" i="27"/>
  <c r="L22"/>
  <c r="M22" s="1"/>
  <c r="S23"/>
  <c r="K25"/>
  <c r="S27"/>
  <c r="O29"/>
  <c r="V37"/>
  <c r="V39"/>
  <c r="S43"/>
  <c r="O45"/>
  <c r="P46"/>
  <c r="S52"/>
  <c r="T62"/>
  <c r="S69"/>
  <c r="T79"/>
  <c r="S86"/>
  <c r="S88"/>
  <c r="S92"/>
  <c r="S94"/>
  <c r="S98"/>
  <c r="L99"/>
  <c r="M99" s="1"/>
  <c r="S100"/>
  <c r="P103"/>
  <c r="K104"/>
  <c r="T107"/>
  <c r="S118"/>
  <c r="P126"/>
  <c r="P127"/>
  <c r="L130"/>
  <c r="M130" s="1"/>
  <c r="L139"/>
  <c r="M139" s="1"/>
  <c r="T140"/>
  <c r="T146"/>
  <c r="K148"/>
  <c r="L151"/>
  <c r="M151" s="1"/>
  <c r="T154"/>
  <c r="K156"/>
  <c r="K160"/>
  <c r="K164"/>
  <c r="T167"/>
  <c r="M170"/>
  <c r="P171"/>
  <c r="M172"/>
  <c r="K182"/>
  <c r="T183"/>
  <c r="M186"/>
  <c r="P187"/>
  <c r="M188"/>
  <c r="K198"/>
  <c r="M201"/>
  <c r="P202"/>
  <c r="M203"/>
  <c r="K213"/>
  <c r="T214"/>
  <c r="M217"/>
  <c r="P218"/>
  <c r="M219"/>
  <c r="S220"/>
  <c r="K229"/>
  <c r="T230"/>
  <c r="M233"/>
  <c r="P234"/>
  <c r="M235"/>
  <c r="K241"/>
  <c r="T242"/>
  <c r="K249"/>
  <c r="T250"/>
  <c r="T270"/>
  <c r="M272"/>
  <c r="T279"/>
  <c r="K283"/>
  <c r="T285"/>
  <c r="P296"/>
  <c r="M298"/>
  <c r="K304"/>
  <c r="M305"/>
  <c r="T306"/>
  <c r="M309"/>
  <c r="T310"/>
  <c r="T311"/>
  <c r="L312"/>
  <c r="M312" s="1"/>
  <c r="T316"/>
  <c r="V317"/>
  <c r="L319"/>
  <c r="M319" s="1"/>
  <c r="K322"/>
  <c r="L324"/>
  <c r="M324" s="1"/>
  <c r="V329"/>
  <c r="T331"/>
  <c r="L332"/>
  <c r="M332" s="1"/>
  <c r="P336"/>
  <c r="L340"/>
  <c r="M340" s="1"/>
  <c r="T341"/>
  <c r="L343"/>
  <c r="M343" s="1"/>
  <c r="T343"/>
  <c r="P344"/>
  <c r="M345"/>
  <c r="L348"/>
  <c r="M348" s="1"/>
  <c r="T349"/>
  <c r="L351"/>
  <c r="M351" s="1"/>
  <c r="T351"/>
  <c r="P352"/>
  <c r="M353"/>
  <c r="L356"/>
  <c r="M356" s="1"/>
  <c r="T357"/>
  <c r="L359"/>
  <c r="M359" s="1"/>
  <c r="T359"/>
  <c r="P360"/>
  <c r="M361"/>
  <c r="L364"/>
  <c r="M364" s="1"/>
  <c r="T365"/>
  <c r="L367"/>
  <c r="M367" s="1"/>
  <c r="T367"/>
  <c r="P368"/>
  <c r="M369"/>
  <c r="L372"/>
  <c r="M372" s="1"/>
  <c r="T373"/>
  <c r="L375"/>
  <c r="M375" s="1"/>
  <c r="T375"/>
  <c r="P376"/>
  <c r="M377"/>
  <c r="L380"/>
  <c r="M380" s="1"/>
  <c r="T381"/>
  <c r="L383"/>
  <c r="M383" s="1"/>
  <c r="T383"/>
  <c r="P384"/>
  <c r="M385"/>
  <c r="L388"/>
  <c r="M388" s="1"/>
  <c r="T389"/>
  <c r="L391"/>
  <c r="M391" s="1"/>
  <c r="T391"/>
  <c r="P392"/>
  <c r="M393"/>
  <c r="O399"/>
  <c r="O403"/>
  <c r="T404"/>
  <c r="K405"/>
  <c r="L418"/>
  <c r="M418" s="1"/>
  <c r="T418"/>
  <c r="L431"/>
  <c r="M431" s="1"/>
  <c r="T432"/>
  <c r="O434"/>
  <c r="O435"/>
  <c r="T438"/>
  <c r="O441"/>
  <c r="M445"/>
  <c r="P446"/>
  <c r="K449"/>
  <c r="M453"/>
  <c r="T456"/>
  <c r="T459"/>
  <c r="P463"/>
  <c r="K467"/>
  <c r="K473"/>
  <c r="L474"/>
  <c r="M474" s="1"/>
  <c r="T474"/>
  <c r="T477"/>
  <c r="K478"/>
  <c r="L483"/>
  <c r="M483" s="1"/>
  <c r="T488"/>
  <c r="T492"/>
  <c r="P494"/>
  <c r="P495"/>
  <c r="V498"/>
  <c r="L502"/>
  <c r="M502" s="1"/>
  <c r="M504"/>
  <c r="P510"/>
  <c r="T512"/>
  <c r="V514"/>
  <c r="L518"/>
  <c r="M518" s="1"/>
  <c r="M520"/>
  <c r="O524"/>
  <c r="V536"/>
  <c r="M540"/>
  <c r="L541"/>
  <c r="M541" s="1"/>
  <c r="V544"/>
  <c r="O548"/>
  <c r="P549"/>
  <c r="K550"/>
  <c r="T552"/>
  <c r="P557"/>
  <c r="K558"/>
  <c r="T562"/>
  <c r="T566"/>
  <c r="P14" i="28"/>
  <c r="O16"/>
  <c r="K22"/>
  <c r="K24"/>
  <c r="T27"/>
  <c r="O29"/>
  <c r="O30"/>
  <c r="T33"/>
  <c r="O36"/>
  <c r="M40"/>
  <c r="P41"/>
  <c r="K44"/>
  <c r="M48"/>
  <c r="T51"/>
  <c r="S54"/>
  <c r="T54"/>
  <c r="P58"/>
  <c r="K62"/>
  <c r="K68"/>
  <c r="L69"/>
  <c r="M69" s="1"/>
  <c r="T69"/>
  <c r="T70"/>
  <c r="M72"/>
  <c r="P73"/>
  <c r="M78"/>
  <c r="K84"/>
  <c r="S90"/>
  <c r="T96"/>
  <c r="S103"/>
  <c r="K105"/>
  <c r="S106"/>
  <c r="O110"/>
  <c r="S111"/>
  <c r="K113"/>
  <c r="O118"/>
  <c r="O125"/>
  <c r="O126"/>
  <c r="M13" i="24"/>
  <c r="M9"/>
  <c r="M5"/>
  <c r="K5"/>
  <c r="L556"/>
  <c r="M556" s="1"/>
  <c r="L540"/>
  <c r="M540" s="1"/>
  <c r="L524"/>
  <c r="M524" s="1"/>
  <c r="L508"/>
  <c r="M508" s="1"/>
  <c r="L492"/>
  <c r="M492" s="1"/>
  <c r="L476"/>
  <c r="M476" s="1"/>
  <c r="L460"/>
  <c r="M460" s="1"/>
  <c r="L444"/>
  <c r="M444" s="1"/>
  <c r="L428"/>
  <c r="M428" s="1"/>
  <c r="L412"/>
  <c r="M412" s="1"/>
  <c r="L396"/>
  <c r="M396" s="1"/>
  <c r="L380"/>
  <c r="M380" s="1"/>
  <c r="L364"/>
  <c r="M364" s="1"/>
  <c r="L348"/>
  <c r="M348" s="1"/>
  <c r="L332"/>
  <c r="M332" s="1"/>
  <c r="L316"/>
  <c r="M316" s="1"/>
  <c r="L300"/>
  <c r="M300" s="1"/>
  <c r="L284"/>
  <c r="M284" s="1"/>
  <c r="L268"/>
  <c r="M268" s="1"/>
  <c r="L252"/>
  <c r="M252" s="1"/>
  <c r="L236"/>
  <c r="M236" s="1"/>
  <c r="L220"/>
  <c r="M220" s="1"/>
  <c r="L204"/>
  <c r="M204" s="1"/>
  <c r="L188"/>
  <c r="M188" s="1"/>
  <c r="L172"/>
  <c r="M172" s="1"/>
  <c r="L156"/>
  <c r="M156" s="1"/>
  <c r="L140"/>
  <c r="M140" s="1"/>
  <c r="L124"/>
  <c r="M124" s="1"/>
  <c r="L108"/>
  <c r="M108" s="1"/>
  <c r="L92"/>
  <c r="M92" s="1"/>
  <c r="L76"/>
  <c r="M76" s="1"/>
  <c r="L60"/>
  <c r="M60" s="1"/>
  <c r="L44"/>
  <c r="M44" s="1"/>
  <c r="L28"/>
  <c r="M28" s="1"/>
  <c r="L14"/>
  <c r="M14" s="1"/>
  <c r="K14"/>
  <c r="L10"/>
  <c r="M10" s="1"/>
  <c r="K10"/>
  <c r="L6"/>
  <c r="M6" s="1"/>
  <c r="K6"/>
  <c r="T134" i="28"/>
  <c r="P138"/>
  <c r="T140"/>
  <c r="T148"/>
  <c r="T164"/>
  <c r="T173"/>
  <c r="S182"/>
  <c r="T184"/>
  <c r="S190"/>
  <c r="T192"/>
  <c r="S198"/>
  <c r="T200"/>
  <c r="T205"/>
  <c r="M208"/>
  <c r="S208"/>
  <c r="T209"/>
  <c r="M212"/>
  <c r="S212"/>
  <c r="T217"/>
  <c r="M220"/>
  <c r="T228"/>
  <c r="T233"/>
  <c r="M236"/>
  <c r="T244"/>
  <c r="T249"/>
  <c r="M252"/>
  <c r="T260"/>
  <c r="T265"/>
  <c r="M268"/>
  <c r="S293"/>
  <c r="S305"/>
  <c r="M307"/>
  <c r="T315"/>
  <c r="S321"/>
  <c r="M323"/>
  <c r="T331"/>
  <c r="S337"/>
  <c r="M339"/>
  <c r="T347"/>
  <c r="L357"/>
  <c r="M357" s="1"/>
  <c r="T359"/>
  <c r="P361"/>
  <c r="P373"/>
  <c r="T375"/>
  <c r="T379"/>
  <c r="T391"/>
  <c r="L398"/>
  <c r="M398" s="1"/>
  <c r="T404"/>
  <c r="L406"/>
  <c r="M406" s="1"/>
  <c r="T409"/>
  <c r="P410"/>
  <c r="P414"/>
  <c r="L418"/>
  <c r="M418" s="1"/>
  <c r="T418"/>
  <c r="S424"/>
  <c r="P430"/>
  <c r="L434"/>
  <c r="M434" s="1"/>
  <c r="T434"/>
  <c r="T436"/>
  <c r="S440"/>
  <c r="L446"/>
  <c r="M446" s="1"/>
  <c r="T446"/>
  <c r="P450"/>
  <c r="S456"/>
  <c r="L462"/>
  <c r="M462" s="1"/>
  <c r="T462"/>
  <c r="P466"/>
  <c r="S472"/>
  <c r="L478"/>
  <c r="M478" s="1"/>
  <c r="T478"/>
  <c r="S480"/>
  <c r="P486"/>
  <c r="L489"/>
  <c r="M489" s="1"/>
  <c r="T492"/>
  <c r="T497"/>
  <c r="M500"/>
  <c r="T513"/>
  <c r="T529"/>
  <c r="S560"/>
  <c r="T571"/>
  <c r="M569" i="24"/>
  <c r="M565"/>
  <c r="M561"/>
  <c r="M557"/>
  <c r="M553"/>
  <c r="M549"/>
  <c r="M545"/>
  <c r="M541"/>
  <c r="M537"/>
  <c r="M533"/>
  <c r="M529"/>
  <c r="M525"/>
  <c r="M521"/>
  <c r="M517"/>
  <c r="M513"/>
  <c r="M509"/>
  <c r="M505"/>
  <c r="M501"/>
  <c r="M497"/>
  <c r="M493"/>
  <c r="M489"/>
  <c r="M485"/>
  <c r="M481"/>
  <c r="M477"/>
  <c r="M473"/>
  <c r="M469"/>
  <c r="M465"/>
  <c r="M461"/>
  <c r="M457"/>
  <c r="M453"/>
  <c r="M449"/>
  <c r="M445"/>
  <c r="M441"/>
  <c r="M437"/>
  <c r="M433"/>
  <c r="M429"/>
  <c r="M425"/>
  <c r="M421"/>
  <c r="M417"/>
  <c r="M413"/>
  <c r="M409"/>
  <c r="M405"/>
  <c r="M401"/>
  <c r="M397"/>
  <c r="M393"/>
  <c r="M389"/>
  <c r="M385"/>
  <c r="M381"/>
  <c r="M377"/>
  <c r="M373"/>
  <c r="M369"/>
  <c r="M365"/>
  <c r="M361"/>
  <c r="M357"/>
  <c r="M353"/>
  <c r="M349"/>
  <c r="M345"/>
  <c r="M341"/>
  <c r="M337"/>
  <c r="M333"/>
  <c r="M329"/>
  <c r="M325"/>
  <c r="M321"/>
  <c r="M317"/>
  <c r="M313"/>
  <c r="M309"/>
  <c r="M305"/>
  <c r="M301"/>
  <c r="M297"/>
  <c r="M293"/>
  <c r="M289"/>
  <c r="M285"/>
  <c r="M281"/>
  <c r="M277"/>
  <c r="M273"/>
  <c r="M269"/>
  <c r="M265"/>
  <c r="M261"/>
  <c r="M257"/>
  <c r="M253"/>
  <c r="M249"/>
  <c r="M245"/>
  <c r="M241"/>
  <c r="M237"/>
  <c r="M233"/>
  <c r="M229"/>
  <c r="M225"/>
  <c r="M221"/>
  <c r="M217"/>
  <c r="M213"/>
  <c r="M209"/>
  <c r="M205"/>
  <c r="M201"/>
  <c r="M197"/>
  <c r="M193"/>
  <c r="M189"/>
  <c r="M185"/>
  <c r="M181"/>
  <c r="M177"/>
  <c r="M173"/>
  <c r="M169"/>
  <c r="M165"/>
  <c r="M161"/>
  <c r="M157"/>
  <c r="M153"/>
  <c r="M149"/>
  <c r="M145"/>
  <c r="M141"/>
  <c r="M137"/>
  <c r="M133"/>
  <c r="M129"/>
  <c r="M125"/>
  <c r="M121"/>
  <c r="M117"/>
  <c r="M113"/>
  <c r="M109"/>
  <c r="M105"/>
  <c r="M101"/>
  <c r="M97"/>
  <c r="M93"/>
  <c r="M89"/>
  <c r="M85"/>
  <c r="M81"/>
  <c r="M77"/>
  <c r="M73"/>
  <c r="M69"/>
  <c r="M65"/>
  <c r="M61"/>
  <c r="M57"/>
  <c r="M53"/>
  <c r="M49"/>
  <c r="M45"/>
  <c r="M41"/>
  <c r="M37"/>
  <c r="M33"/>
  <c r="M29"/>
  <c r="M25"/>
  <c r="M21"/>
  <c r="M17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370"/>
  <c r="K366"/>
  <c r="K362"/>
  <c r="K358"/>
  <c r="K354"/>
  <c r="K350"/>
  <c r="K346"/>
  <c r="K342"/>
  <c r="K338"/>
  <c r="K334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49"/>
  <c r="K233"/>
  <c r="K217"/>
  <c r="K201"/>
  <c r="K185"/>
  <c r="K169"/>
  <c r="K153"/>
  <c r="K137"/>
  <c r="K121"/>
  <c r="K105"/>
  <c r="K89"/>
  <c r="K73"/>
  <c r="K57"/>
  <c r="K41"/>
  <c r="K25"/>
  <c r="K9"/>
  <c r="L560"/>
  <c r="M560" s="1"/>
  <c r="L544"/>
  <c r="M544" s="1"/>
  <c r="L528"/>
  <c r="M528" s="1"/>
  <c r="L512"/>
  <c r="M512" s="1"/>
  <c r="L496"/>
  <c r="M496" s="1"/>
  <c r="L480"/>
  <c r="M480" s="1"/>
  <c r="L464"/>
  <c r="M464" s="1"/>
  <c r="L448"/>
  <c r="M448" s="1"/>
  <c r="L432"/>
  <c r="M432" s="1"/>
  <c r="L416"/>
  <c r="M416" s="1"/>
  <c r="L400"/>
  <c r="M400" s="1"/>
  <c r="L384"/>
  <c r="M384" s="1"/>
  <c r="L368"/>
  <c r="M368" s="1"/>
  <c r="L352"/>
  <c r="M352" s="1"/>
  <c r="L336"/>
  <c r="M336" s="1"/>
  <c r="L320"/>
  <c r="M320" s="1"/>
  <c r="L304"/>
  <c r="M304" s="1"/>
  <c r="L288"/>
  <c r="M288" s="1"/>
  <c r="L272"/>
  <c r="M272" s="1"/>
  <c r="L256"/>
  <c r="M256" s="1"/>
  <c r="L240"/>
  <c r="M240" s="1"/>
  <c r="L224"/>
  <c r="M224" s="1"/>
  <c r="L208"/>
  <c r="M208" s="1"/>
  <c r="L192"/>
  <c r="M192" s="1"/>
  <c r="L176"/>
  <c r="M176" s="1"/>
  <c r="L160"/>
  <c r="M160" s="1"/>
  <c r="L144"/>
  <c r="M144" s="1"/>
  <c r="L128"/>
  <c r="M128" s="1"/>
  <c r="L112"/>
  <c r="M112" s="1"/>
  <c r="L96"/>
  <c r="M96" s="1"/>
  <c r="L80"/>
  <c r="M80" s="1"/>
  <c r="L64"/>
  <c r="M64" s="1"/>
  <c r="L48"/>
  <c r="M48" s="1"/>
  <c r="L32"/>
  <c r="M32" s="1"/>
  <c r="L16"/>
  <c r="M16" s="1"/>
  <c r="L11"/>
  <c r="M11" s="1"/>
  <c r="K11"/>
  <c r="L7"/>
  <c r="M7" s="1"/>
  <c r="K7"/>
  <c r="L258"/>
  <c r="M258" s="1"/>
  <c r="K258"/>
  <c r="L254"/>
  <c r="M254" s="1"/>
  <c r="K254"/>
  <c r="L250"/>
  <c r="M250" s="1"/>
  <c r="K250"/>
  <c r="L246"/>
  <c r="M246" s="1"/>
  <c r="K246"/>
  <c r="L242"/>
  <c r="M242" s="1"/>
  <c r="K242"/>
  <c r="L238"/>
  <c r="M238" s="1"/>
  <c r="K238"/>
  <c r="L234"/>
  <c r="M234" s="1"/>
  <c r="K234"/>
  <c r="L230"/>
  <c r="M230" s="1"/>
  <c r="K230"/>
  <c r="L226"/>
  <c r="M226" s="1"/>
  <c r="K226"/>
  <c r="L222"/>
  <c r="M222" s="1"/>
  <c r="K222"/>
  <c r="L218"/>
  <c r="M218" s="1"/>
  <c r="K218"/>
  <c r="L214"/>
  <c r="M214" s="1"/>
  <c r="K214"/>
  <c r="L210"/>
  <c r="M210" s="1"/>
  <c r="K210"/>
  <c r="L206"/>
  <c r="M206" s="1"/>
  <c r="K206"/>
  <c r="L202"/>
  <c r="M202" s="1"/>
  <c r="K202"/>
  <c r="L198"/>
  <c r="M198" s="1"/>
  <c r="K198"/>
  <c r="L194"/>
  <c r="M194" s="1"/>
  <c r="K194"/>
  <c r="L190"/>
  <c r="M190" s="1"/>
  <c r="K190"/>
  <c r="L186"/>
  <c r="M186" s="1"/>
  <c r="K186"/>
  <c r="L182"/>
  <c r="M182" s="1"/>
  <c r="K182"/>
  <c r="L178"/>
  <c r="M178" s="1"/>
  <c r="K178"/>
  <c r="L174"/>
  <c r="M174" s="1"/>
  <c r="K174"/>
  <c r="L170"/>
  <c r="M170" s="1"/>
  <c r="K170"/>
  <c r="L166"/>
  <c r="M166" s="1"/>
  <c r="K166"/>
  <c r="L162"/>
  <c r="M162" s="1"/>
  <c r="K162"/>
  <c r="L158"/>
  <c r="M158" s="1"/>
  <c r="K158"/>
  <c r="L154"/>
  <c r="M154" s="1"/>
  <c r="K154"/>
  <c r="L150"/>
  <c r="M150" s="1"/>
  <c r="K150"/>
  <c r="L146"/>
  <c r="M146" s="1"/>
  <c r="K146"/>
  <c r="L142"/>
  <c r="M142" s="1"/>
  <c r="K142"/>
  <c r="L138"/>
  <c r="M138" s="1"/>
  <c r="K138"/>
  <c r="L134"/>
  <c r="M134" s="1"/>
  <c r="K134"/>
  <c r="L130"/>
  <c r="M130" s="1"/>
  <c r="K130"/>
  <c r="L126"/>
  <c r="M126" s="1"/>
  <c r="K126"/>
  <c r="L122"/>
  <c r="M122" s="1"/>
  <c r="K122"/>
  <c r="L118"/>
  <c r="M118" s="1"/>
  <c r="K118"/>
  <c r="L114"/>
  <c r="M114" s="1"/>
  <c r="K114"/>
  <c r="L110"/>
  <c r="M110" s="1"/>
  <c r="K110"/>
  <c r="L106"/>
  <c r="M106" s="1"/>
  <c r="K106"/>
  <c r="L102"/>
  <c r="M102" s="1"/>
  <c r="K102"/>
  <c r="L98"/>
  <c r="M98" s="1"/>
  <c r="K98"/>
  <c r="L94"/>
  <c r="M94" s="1"/>
  <c r="K94"/>
  <c r="L90"/>
  <c r="M90" s="1"/>
  <c r="K90"/>
  <c r="L86"/>
  <c r="M86" s="1"/>
  <c r="K86"/>
  <c r="L82"/>
  <c r="M82" s="1"/>
  <c r="K82"/>
  <c r="L78"/>
  <c r="M78" s="1"/>
  <c r="K78"/>
  <c r="L74"/>
  <c r="M74" s="1"/>
  <c r="K74"/>
  <c r="L70"/>
  <c r="M70" s="1"/>
  <c r="K70"/>
  <c r="L66"/>
  <c r="M66" s="1"/>
  <c r="K66"/>
  <c r="L62"/>
  <c r="M62" s="1"/>
  <c r="K62"/>
  <c r="L58"/>
  <c r="M58" s="1"/>
  <c r="K58"/>
  <c r="L54"/>
  <c r="M54" s="1"/>
  <c r="K54"/>
  <c r="L50"/>
  <c r="M50" s="1"/>
  <c r="K50"/>
  <c r="L46"/>
  <c r="M46" s="1"/>
  <c r="K46"/>
  <c r="L42"/>
  <c r="M42" s="1"/>
  <c r="K42"/>
  <c r="L38"/>
  <c r="M38" s="1"/>
  <c r="K38"/>
  <c r="L34"/>
  <c r="M34" s="1"/>
  <c r="K34"/>
  <c r="L30"/>
  <c r="M30" s="1"/>
  <c r="K30"/>
  <c r="L26"/>
  <c r="M26" s="1"/>
  <c r="K26"/>
  <c r="L22"/>
  <c r="M22" s="1"/>
  <c r="K22"/>
  <c r="L18"/>
  <c r="M18" s="1"/>
  <c r="K18"/>
  <c r="T75" i="28"/>
  <c r="T81"/>
  <c r="M88"/>
  <c r="M96"/>
  <c r="T99"/>
  <c r="S102"/>
  <c r="T102"/>
  <c r="T117"/>
  <c r="S119"/>
  <c r="S120"/>
  <c r="T120"/>
  <c r="S122"/>
  <c r="T126"/>
  <c r="S127"/>
  <c r="T128"/>
  <c r="S132"/>
  <c r="S134"/>
  <c r="K137"/>
  <c r="T139"/>
  <c r="O141"/>
  <c r="T150"/>
  <c r="Z150"/>
  <c r="T156"/>
  <c r="P158"/>
  <c r="P166"/>
  <c r="P176"/>
  <c r="T180"/>
  <c r="T183"/>
  <c r="T204"/>
  <c r="T216"/>
  <c r="S219"/>
  <c r="T221"/>
  <c r="M224"/>
  <c r="S230"/>
  <c r="T232"/>
  <c r="S235"/>
  <c r="T237"/>
  <c r="M240"/>
  <c r="S246"/>
  <c r="T248"/>
  <c r="S251"/>
  <c r="T253"/>
  <c r="M256"/>
  <c r="S262"/>
  <c r="T264"/>
  <c r="S267"/>
  <c r="O269"/>
  <c r="T270"/>
  <c r="T275"/>
  <c r="L278"/>
  <c r="M278" s="1"/>
  <c r="T284"/>
  <c r="K285"/>
  <c r="T288"/>
  <c r="T289"/>
  <c r="T295"/>
  <c r="V297"/>
  <c r="L301"/>
  <c r="M301" s="1"/>
  <c r="S301"/>
  <c r="M303"/>
  <c r="P309"/>
  <c r="T311"/>
  <c r="V313"/>
  <c r="L317"/>
  <c r="M317" s="1"/>
  <c r="S317"/>
  <c r="M319"/>
  <c r="P325"/>
  <c r="S326"/>
  <c r="T327"/>
  <c r="V329"/>
  <c r="L333"/>
  <c r="M333" s="1"/>
  <c r="S333"/>
  <c r="M335"/>
  <c r="P341"/>
  <c r="S342"/>
  <c r="T343"/>
  <c r="V345"/>
  <c r="L349"/>
  <c r="M349" s="1"/>
  <c r="M351"/>
  <c r="L352"/>
  <c r="M352" s="1"/>
  <c r="T355"/>
  <c r="S358"/>
  <c r="O359"/>
  <c r="M367"/>
  <c r="L368"/>
  <c r="M368" s="1"/>
  <c r="M371"/>
  <c r="L372"/>
  <c r="M372" s="1"/>
  <c r="T377"/>
  <c r="T381"/>
  <c r="P384"/>
  <c r="K387"/>
  <c r="S387"/>
  <c r="T392"/>
  <c r="T393"/>
  <c r="K395"/>
  <c r="O397"/>
  <c r="P409"/>
  <c r="K416"/>
  <c r="P418"/>
  <c r="L422"/>
  <c r="M422" s="1"/>
  <c r="T422"/>
  <c r="T424"/>
  <c r="L425"/>
  <c r="M425" s="1"/>
  <c r="M428"/>
  <c r="S428"/>
  <c r="P434"/>
  <c r="O436"/>
  <c r="L438"/>
  <c r="M438" s="1"/>
  <c r="T438"/>
  <c r="L441"/>
  <c r="M441" s="1"/>
  <c r="L442"/>
  <c r="M442" s="1"/>
  <c r="T442"/>
  <c r="O444"/>
  <c r="P446"/>
  <c r="P449"/>
  <c r="K452"/>
  <c r="S452"/>
  <c r="L457"/>
  <c r="M457" s="1"/>
  <c r="L458"/>
  <c r="M458" s="1"/>
  <c r="T458"/>
  <c r="O460"/>
  <c r="P462"/>
  <c r="P465"/>
  <c r="K468"/>
  <c r="S468"/>
  <c r="L473"/>
  <c r="M473" s="1"/>
  <c r="L474"/>
  <c r="M474" s="1"/>
  <c r="T474"/>
  <c r="O476"/>
  <c r="P478"/>
  <c r="M481"/>
  <c r="L482"/>
  <c r="M482" s="1"/>
  <c r="T482"/>
  <c r="L487"/>
  <c r="M487" s="1"/>
  <c r="L490"/>
  <c r="M490" s="1"/>
  <c r="T490"/>
  <c r="T491"/>
  <c r="L495"/>
  <c r="M495" s="1"/>
  <c r="T501"/>
  <c r="M504"/>
  <c r="T505"/>
  <c r="M508"/>
  <c r="T509"/>
  <c r="M512"/>
  <c r="P513"/>
  <c r="S515"/>
  <c r="S518"/>
  <c r="K524"/>
  <c r="T525"/>
  <c r="M528"/>
  <c r="P529"/>
  <c r="S531"/>
  <c r="S534"/>
  <c r="K540"/>
  <c r="T541"/>
  <c r="K544"/>
  <c r="T545"/>
  <c r="T546"/>
  <c r="K548"/>
  <c r="T549"/>
  <c r="T550"/>
  <c r="K552"/>
  <c r="T553"/>
  <c r="T554"/>
  <c r="K556"/>
  <c r="T557"/>
  <c r="T558"/>
  <c r="L561"/>
  <c r="M561" s="1"/>
  <c r="O562"/>
  <c r="S563"/>
  <c r="T564"/>
  <c r="M566"/>
  <c r="M570" i="24"/>
  <c r="M566"/>
  <c r="M562"/>
  <c r="M558"/>
  <c r="M554"/>
  <c r="M550"/>
  <c r="M546"/>
  <c r="M542"/>
  <c r="M538"/>
  <c r="M534"/>
  <c r="M530"/>
  <c r="M526"/>
  <c r="M522"/>
  <c r="M518"/>
  <c r="M514"/>
  <c r="M510"/>
  <c r="M506"/>
  <c r="M502"/>
  <c r="M498"/>
  <c r="M494"/>
  <c r="M490"/>
  <c r="M486"/>
  <c r="M482"/>
  <c r="M478"/>
  <c r="M474"/>
  <c r="M470"/>
  <c r="M466"/>
  <c r="M462"/>
  <c r="M458"/>
  <c r="M454"/>
  <c r="M450"/>
  <c r="M446"/>
  <c r="M442"/>
  <c r="M438"/>
  <c r="M434"/>
  <c r="M430"/>
  <c r="M426"/>
  <c r="M422"/>
  <c r="M418"/>
  <c r="M414"/>
  <c r="M410"/>
  <c r="M406"/>
  <c r="M402"/>
  <c r="M398"/>
  <c r="M394"/>
  <c r="M390"/>
  <c r="M386"/>
  <c r="M382"/>
  <c r="M378"/>
  <c r="M374"/>
  <c r="M370"/>
  <c r="M366"/>
  <c r="M362"/>
  <c r="M358"/>
  <c r="M354"/>
  <c r="M350"/>
  <c r="M346"/>
  <c r="M342"/>
  <c r="M338"/>
  <c r="M334"/>
  <c r="M330"/>
  <c r="M326"/>
  <c r="M322"/>
  <c r="M318"/>
  <c r="M314"/>
  <c r="M310"/>
  <c r="M306"/>
  <c r="M302"/>
  <c r="M298"/>
  <c r="M294"/>
  <c r="M290"/>
  <c r="M286"/>
  <c r="M282"/>
  <c r="M278"/>
  <c r="M274"/>
  <c r="M270"/>
  <c r="M266"/>
  <c r="M262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3"/>
  <c r="K237"/>
  <c r="K221"/>
  <c r="K205"/>
  <c r="K189"/>
  <c r="K173"/>
  <c r="K157"/>
  <c r="K141"/>
  <c r="K125"/>
  <c r="K109"/>
  <c r="K93"/>
  <c r="K77"/>
  <c r="K61"/>
  <c r="K45"/>
  <c r="K29"/>
  <c r="K13"/>
  <c r="L564"/>
  <c r="M564" s="1"/>
  <c r="L548"/>
  <c r="M548" s="1"/>
  <c r="L532"/>
  <c r="M532" s="1"/>
  <c r="L516"/>
  <c r="M516" s="1"/>
  <c r="L500"/>
  <c r="M500" s="1"/>
  <c r="L484"/>
  <c r="M484" s="1"/>
  <c r="L468"/>
  <c r="M468" s="1"/>
  <c r="L452"/>
  <c r="M452" s="1"/>
  <c r="L436"/>
  <c r="M436" s="1"/>
  <c r="L420"/>
  <c r="M420" s="1"/>
  <c r="L404"/>
  <c r="M404" s="1"/>
  <c r="L388"/>
  <c r="M388" s="1"/>
  <c r="L372"/>
  <c r="M372" s="1"/>
  <c r="L356"/>
  <c r="M356" s="1"/>
  <c r="L340"/>
  <c r="M340" s="1"/>
  <c r="L324"/>
  <c r="M324" s="1"/>
  <c r="L308"/>
  <c r="M308" s="1"/>
  <c r="L292"/>
  <c r="M292" s="1"/>
  <c r="L276"/>
  <c r="M276" s="1"/>
  <c r="L260"/>
  <c r="M260" s="1"/>
  <c r="L244"/>
  <c r="M244" s="1"/>
  <c r="L228"/>
  <c r="M228" s="1"/>
  <c r="L212"/>
  <c r="M212" s="1"/>
  <c r="L196"/>
  <c r="M196" s="1"/>
  <c r="L180"/>
  <c r="M180" s="1"/>
  <c r="L164"/>
  <c r="M164" s="1"/>
  <c r="L148"/>
  <c r="M148" s="1"/>
  <c r="L132"/>
  <c r="M132" s="1"/>
  <c r="L116"/>
  <c r="M116" s="1"/>
  <c r="L100"/>
  <c r="M100" s="1"/>
  <c r="L84"/>
  <c r="M84" s="1"/>
  <c r="L68"/>
  <c r="M68" s="1"/>
  <c r="L52"/>
  <c r="M52" s="1"/>
  <c r="L36"/>
  <c r="M36" s="1"/>
  <c r="L20"/>
  <c r="M20" s="1"/>
  <c r="L259"/>
  <c r="M259" s="1"/>
  <c r="K259"/>
  <c r="L255"/>
  <c r="M255" s="1"/>
  <c r="K255"/>
  <c r="L251"/>
  <c r="M251" s="1"/>
  <c r="K251"/>
  <c r="L247"/>
  <c r="M247" s="1"/>
  <c r="K247"/>
  <c r="L243"/>
  <c r="M243" s="1"/>
  <c r="K243"/>
  <c r="L239"/>
  <c r="M239" s="1"/>
  <c r="K239"/>
  <c r="L235"/>
  <c r="M235" s="1"/>
  <c r="K235"/>
  <c r="L231"/>
  <c r="M231" s="1"/>
  <c r="K231"/>
  <c r="L227"/>
  <c r="M227" s="1"/>
  <c r="K227"/>
  <c r="L223"/>
  <c r="M223" s="1"/>
  <c r="K223"/>
  <c r="L219"/>
  <c r="M219" s="1"/>
  <c r="K219"/>
  <c r="L215"/>
  <c r="M215" s="1"/>
  <c r="K215"/>
  <c r="L211"/>
  <c r="M211" s="1"/>
  <c r="K211"/>
  <c r="L207"/>
  <c r="M207" s="1"/>
  <c r="K207"/>
  <c r="L203"/>
  <c r="M203" s="1"/>
  <c r="K203"/>
  <c r="L199"/>
  <c r="M199" s="1"/>
  <c r="K199"/>
  <c r="L195"/>
  <c r="M195" s="1"/>
  <c r="K195"/>
  <c r="L191"/>
  <c r="M191" s="1"/>
  <c r="K191"/>
  <c r="L187"/>
  <c r="M187" s="1"/>
  <c r="K187"/>
  <c r="L183"/>
  <c r="M183" s="1"/>
  <c r="K183"/>
  <c r="L179"/>
  <c r="M179" s="1"/>
  <c r="K179"/>
  <c r="L175"/>
  <c r="M175" s="1"/>
  <c r="K175"/>
  <c r="L171"/>
  <c r="M171" s="1"/>
  <c r="K171"/>
  <c r="L167"/>
  <c r="M167" s="1"/>
  <c r="K167"/>
  <c r="L163"/>
  <c r="M163" s="1"/>
  <c r="K163"/>
  <c r="L159"/>
  <c r="M159" s="1"/>
  <c r="K159"/>
  <c r="L155"/>
  <c r="M155" s="1"/>
  <c r="K155"/>
  <c r="L151"/>
  <c r="M151" s="1"/>
  <c r="K151"/>
  <c r="L147"/>
  <c r="M147" s="1"/>
  <c r="K147"/>
  <c r="L143"/>
  <c r="M143" s="1"/>
  <c r="K143"/>
  <c r="L139"/>
  <c r="M139" s="1"/>
  <c r="K139"/>
  <c r="L135"/>
  <c r="M135" s="1"/>
  <c r="K135"/>
  <c r="L131"/>
  <c r="M131" s="1"/>
  <c r="K131"/>
  <c r="L127"/>
  <c r="M127" s="1"/>
  <c r="K127"/>
  <c r="L123"/>
  <c r="M123" s="1"/>
  <c r="K123"/>
  <c r="L119"/>
  <c r="M119" s="1"/>
  <c r="K119"/>
  <c r="L115"/>
  <c r="M115" s="1"/>
  <c r="K115"/>
  <c r="L111"/>
  <c r="M111" s="1"/>
  <c r="K111"/>
  <c r="L107"/>
  <c r="M107" s="1"/>
  <c r="K107"/>
  <c r="L103"/>
  <c r="M103" s="1"/>
  <c r="K103"/>
  <c r="L99"/>
  <c r="M99" s="1"/>
  <c r="K99"/>
  <c r="L95"/>
  <c r="M95" s="1"/>
  <c r="K95"/>
  <c r="L91"/>
  <c r="M91" s="1"/>
  <c r="K91"/>
  <c r="L87"/>
  <c r="M87" s="1"/>
  <c r="K87"/>
  <c r="L83"/>
  <c r="M83" s="1"/>
  <c r="K83"/>
  <c r="L79"/>
  <c r="M79" s="1"/>
  <c r="K79"/>
  <c r="L75"/>
  <c r="M75" s="1"/>
  <c r="K75"/>
  <c r="L71"/>
  <c r="M71" s="1"/>
  <c r="K71"/>
  <c r="L67"/>
  <c r="M67" s="1"/>
  <c r="K67"/>
  <c r="L63"/>
  <c r="M63" s="1"/>
  <c r="K63"/>
  <c r="L59"/>
  <c r="M59" s="1"/>
  <c r="K59"/>
  <c r="L55"/>
  <c r="M55" s="1"/>
  <c r="K55"/>
  <c r="L51"/>
  <c r="M51" s="1"/>
  <c r="K51"/>
  <c r="L47"/>
  <c r="M47" s="1"/>
  <c r="K47"/>
  <c r="L43"/>
  <c r="M43" s="1"/>
  <c r="K43"/>
  <c r="L39"/>
  <c r="M39" s="1"/>
  <c r="K39"/>
  <c r="L35"/>
  <c r="M35" s="1"/>
  <c r="K35"/>
  <c r="L31"/>
  <c r="M31" s="1"/>
  <c r="K31"/>
  <c r="L27"/>
  <c r="M27" s="1"/>
  <c r="K27"/>
  <c r="L23"/>
  <c r="M23" s="1"/>
  <c r="K23"/>
  <c r="L19"/>
  <c r="M19" s="1"/>
  <c r="K19"/>
  <c r="L15"/>
  <c r="M15" s="1"/>
  <c r="K15"/>
  <c r="M146" i="28"/>
  <c r="M149"/>
  <c r="S159"/>
  <c r="S167"/>
  <c r="S223"/>
  <c r="S234"/>
  <c r="S239"/>
  <c r="S250"/>
  <c r="S255"/>
  <c r="S266"/>
  <c r="S273"/>
  <c r="S283"/>
  <c r="M285"/>
  <c r="T285"/>
  <c r="M287"/>
  <c r="S322"/>
  <c r="S338"/>
  <c r="S354"/>
  <c r="M363"/>
  <c r="P381"/>
  <c r="S382"/>
  <c r="T384"/>
  <c r="M387"/>
  <c r="T388"/>
  <c r="P392"/>
  <c r="M395"/>
  <c r="L399"/>
  <c r="M399" s="1"/>
  <c r="S402"/>
  <c r="P403"/>
  <c r="L407"/>
  <c r="M407" s="1"/>
  <c r="L413"/>
  <c r="M413" s="1"/>
  <c r="L415"/>
  <c r="M415" s="1"/>
  <c r="K420"/>
  <c r="O424"/>
  <c r="L429"/>
  <c r="M429" s="1"/>
  <c r="T429"/>
  <c r="M432"/>
  <c r="O440"/>
  <c r="P445"/>
  <c r="K448"/>
  <c r="T449"/>
  <c r="L453"/>
  <c r="M453" s="1"/>
  <c r="O456"/>
  <c r="P461"/>
  <c r="K464"/>
  <c r="T465"/>
  <c r="L469"/>
  <c r="M469" s="1"/>
  <c r="O472"/>
  <c r="P477"/>
  <c r="O480"/>
  <c r="S485"/>
  <c r="O488"/>
  <c r="K492"/>
  <c r="S498"/>
  <c r="P505"/>
  <c r="P509"/>
  <c r="S511"/>
  <c r="S514"/>
  <c r="K520"/>
  <c r="M524"/>
  <c r="P525"/>
  <c r="S527"/>
  <c r="S530"/>
  <c r="K536"/>
  <c r="M540"/>
  <c r="P541"/>
  <c r="M544"/>
  <c r="P545"/>
  <c r="M548"/>
  <c r="P549"/>
  <c r="M552"/>
  <c r="P553"/>
  <c r="M556"/>
  <c r="P557"/>
  <c r="O560"/>
  <c r="V562"/>
  <c r="T565"/>
  <c r="K568"/>
  <c r="M571" i="24"/>
  <c r="M567"/>
  <c r="M563"/>
  <c r="M559"/>
  <c r="M555"/>
  <c r="M551"/>
  <c r="M547"/>
  <c r="M543"/>
  <c r="M539"/>
  <c r="M535"/>
  <c r="M531"/>
  <c r="M527"/>
  <c r="M523"/>
  <c r="M519"/>
  <c r="M515"/>
  <c r="M511"/>
  <c r="M507"/>
  <c r="M503"/>
  <c r="M499"/>
  <c r="M495"/>
  <c r="M491"/>
  <c r="M487"/>
  <c r="M483"/>
  <c r="M479"/>
  <c r="M475"/>
  <c r="M471"/>
  <c r="M467"/>
  <c r="M463"/>
  <c r="M459"/>
  <c r="M455"/>
  <c r="M451"/>
  <c r="M447"/>
  <c r="M443"/>
  <c r="M439"/>
  <c r="M435"/>
  <c r="M431"/>
  <c r="M427"/>
  <c r="M423"/>
  <c r="M419"/>
  <c r="M415"/>
  <c r="M411"/>
  <c r="M407"/>
  <c r="M403"/>
  <c r="M399"/>
  <c r="M395"/>
  <c r="M391"/>
  <c r="M387"/>
  <c r="M383"/>
  <c r="M379"/>
  <c r="M375"/>
  <c r="M371"/>
  <c r="M367"/>
  <c r="M363"/>
  <c r="M359"/>
  <c r="M355"/>
  <c r="M351"/>
  <c r="M347"/>
  <c r="M343"/>
  <c r="M339"/>
  <c r="M335"/>
  <c r="M331"/>
  <c r="M327"/>
  <c r="M323"/>
  <c r="M319"/>
  <c r="M315"/>
  <c r="M311"/>
  <c r="M307"/>
  <c r="M303"/>
  <c r="M299"/>
  <c r="M295"/>
  <c r="M291"/>
  <c r="M287"/>
  <c r="M283"/>
  <c r="M279"/>
  <c r="M275"/>
  <c r="M271"/>
  <c r="M267"/>
  <c r="M263"/>
  <c r="K568"/>
  <c r="K552"/>
  <c r="K536"/>
  <c r="K520"/>
  <c r="K504"/>
  <c r="K488"/>
  <c r="K472"/>
  <c r="K456"/>
  <c r="K440"/>
  <c r="K424"/>
  <c r="K408"/>
  <c r="K392"/>
  <c r="K376"/>
  <c r="K360"/>
  <c r="K344"/>
  <c r="K328"/>
  <c r="K312"/>
  <c r="K296"/>
  <c r="K280"/>
  <c r="K264"/>
  <c r="K257"/>
  <c r="K241"/>
  <c r="K225"/>
  <c r="K209"/>
  <c r="K193"/>
  <c r="K177"/>
  <c r="K161"/>
  <c r="K145"/>
  <c r="K129"/>
  <c r="K113"/>
  <c r="K97"/>
  <c r="K81"/>
  <c r="K65"/>
  <c r="K49"/>
  <c r="K33"/>
  <c r="K17"/>
  <c r="L248"/>
  <c r="M248" s="1"/>
  <c r="L232"/>
  <c r="M232" s="1"/>
  <c r="L216"/>
  <c r="M216" s="1"/>
  <c r="L200"/>
  <c r="M200" s="1"/>
  <c r="L184"/>
  <c r="M184" s="1"/>
  <c r="L168"/>
  <c r="M168" s="1"/>
  <c r="L152"/>
  <c r="M152" s="1"/>
  <c r="L136"/>
  <c r="M136" s="1"/>
  <c r="L120"/>
  <c r="M120" s="1"/>
  <c r="L104"/>
  <c r="M104" s="1"/>
  <c r="L88"/>
  <c r="M88" s="1"/>
  <c r="L72"/>
  <c r="M72" s="1"/>
  <c r="L56"/>
  <c r="M56" s="1"/>
  <c r="L40"/>
  <c r="M40" s="1"/>
  <c r="L24"/>
  <c r="M24" s="1"/>
  <c r="L8"/>
  <c r="M8" s="1"/>
  <c r="T3" i="28"/>
  <c r="T9"/>
  <c r="M5" i="27"/>
  <c r="S2" i="26"/>
  <c r="O6"/>
  <c r="M11" i="25"/>
  <c r="K4" i="24"/>
  <c r="D37" i="18"/>
  <c r="F37" s="1"/>
  <c r="T17" i="24"/>
  <c r="T6" i="23"/>
  <c r="T9" i="27"/>
  <c r="T11" i="28"/>
  <c r="T9" i="24"/>
  <c r="K9" i="27"/>
  <c r="M8" i="28"/>
  <c r="O2" i="24"/>
  <c r="P6"/>
  <c r="S11" i="27"/>
  <c r="P6" i="28"/>
  <c r="O8"/>
  <c r="D18" i="18"/>
  <c r="F18" s="1"/>
  <c r="D278"/>
  <c r="F278" s="1"/>
  <c r="T10" i="24"/>
  <c r="K3" i="25"/>
  <c r="P5"/>
  <c r="L10" i="26"/>
  <c r="M10" s="1"/>
  <c r="O2" i="27"/>
  <c r="T10"/>
  <c r="T5" i="28"/>
  <c r="K6"/>
  <c r="K8"/>
  <c r="O13"/>
  <c r="O10" i="24"/>
  <c r="M7" i="25"/>
  <c r="S4" i="26"/>
  <c r="T6"/>
  <c r="S10"/>
  <c r="T11"/>
  <c r="S2" i="27"/>
  <c r="L6"/>
  <c r="M6" s="1"/>
  <c r="M4" i="28"/>
  <c r="O5"/>
  <c r="P10" i="27"/>
  <c r="V11"/>
  <c r="S12"/>
  <c r="P2" i="28"/>
  <c r="O4"/>
  <c r="K10"/>
  <c r="K12"/>
  <c r="M279"/>
  <c r="E9" i="4"/>
  <c r="F9" i="5" s="1"/>
  <c r="G25" i="15"/>
  <c r="E25" i="21" s="1"/>
  <c r="S4" i="24"/>
  <c r="S5"/>
  <c r="S13"/>
  <c r="T10" i="26"/>
  <c r="T13"/>
  <c r="E14" i="4"/>
  <c r="F14" i="5" s="1"/>
  <c r="S6" i="24"/>
  <c r="O12"/>
  <c r="T13"/>
  <c r="M3" i="25"/>
  <c r="T3"/>
  <c r="T4"/>
  <c r="T12"/>
  <c r="S6" i="26"/>
  <c r="P10"/>
  <c r="V10"/>
  <c r="M2" i="27"/>
  <c r="O5"/>
  <c r="M8"/>
  <c r="M9"/>
  <c r="P9"/>
  <c r="L10"/>
  <c r="M10" s="1"/>
  <c r="K2" i="28"/>
  <c r="K4"/>
  <c r="T7"/>
  <c r="O9"/>
  <c r="P10"/>
  <c r="O12"/>
  <c r="E15" i="4"/>
  <c r="F15" i="5" s="1"/>
  <c r="G9" i="15"/>
  <c r="E9" i="21" s="1"/>
  <c r="L2" i="24"/>
  <c r="M2" s="1"/>
  <c r="T2"/>
  <c r="O4"/>
  <c r="P5"/>
  <c r="P13"/>
  <c r="K4" i="26"/>
  <c r="T7"/>
  <c r="T8"/>
  <c r="T12"/>
  <c r="S3" i="27"/>
  <c r="S5"/>
  <c r="S8"/>
  <c r="E16" i="4"/>
  <c r="F16" i="5" s="1"/>
  <c r="M400" i="28"/>
  <c r="M484" i="27"/>
  <c r="S138" i="28"/>
  <c r="Z138"/>
  <c r="P140"/>
  <c r="O140"/>
  <c r="L148"/>
  <c r="M148" s="1"/>
  <c r="K148"/>
  <c r="L156"/>
  <c r="M156" s="1"/>
  <c r="K156"/>
  <c r="K157"/>
  <c r="L157"/>
  <c r="M157" s="1"/>
  <c r="P160"/>
  <c r="O160"/>
  <c r="O161"/>
  <c r="P161"/>
  <c r="L182"/>
  <c r="M182" s="1"/>
  <c r="K182"/>
  <c r="P184"/>
  <c r="O184"/>
  <c r="K189"/>
  <c r="L189"/>
  <c r="M189" s="1"/>
  <c r="P192"/>
  <c r="O192"/>
  <c r="K197"/>
  <c r="L197"/>
  <c r="M197" s="1"/>
  <c r="P200"/>
  <c r="O200"/>
  <c r="O202"/>
  <c r="P202"/>
  <c r="K206"/>
  <c r="L206"/>
  <c r="M206" s="1"/>
  <c r="K209"/>
  <c r="L209"/>
  <c r="M209" s="1"/>
  <c r="S210"/>
  <c r="V210"/>
  <c r="P216"/>
  <c r="O216"/>
  <c r="O218"/>
  <c r="P218"/>
  <c r="T4"/>
  <c r="T8"/>
  <c r="T12"/>
  <c r="T16"/>
  <c r="T20"/>
  <c r="T24"/>
  <c r="T28"/>
  <c r="O32"/>
  <c r="T34"/>
  <c r="S35"/>
  <c r="S36"/>
  <c r="T39"/>
  <c r="K40"/>
  <c r="Z40"/>
  <c r="T41"/>
  <c r="T44"/>
  <c r="O48"/>
  <c r="T50"/>
  <c r="S51"/>
  <c r="S52"/>
  <c r="T55"/>
  <c r="K56"/>
  <c r="Z56"/>
  <c r="T57"/>
  <c r="T60"/>
  <c r="O64"/>
  <c r="T66"/>
  <c r="S67"/>
  <c r="S68"/>
  <c r="T71"/>
  <c r="K72"/>
  <c r="Z72"/>
  <c r="T73"/>
  <c r="T76"/>
  <c r="O80"/>
  <c r="T82"/>
  <c r="S83"/>
  <c r="S84"/>
  <c r="T87"/>
  <c r="K88"/>
  <c r="Z88"/>
  <c r="T89"/>
  <c r="T92"/>
  <c r="O96"/>
  <c r="T98"/>
  <c r="S99"/>
  <c r="S100"/>
  <c r="T103"/>
  <c r="K104"/>
  <c r="Z104"/>
  <c r="T105"/>
  <c r="T108"/>
  <c r="O112"/>
  <c r="T114"/>
  <c r="S115"/>
  <c r="S116"/>
  <c r="T119"/>
  <c r="K120"/>
  <c r="Z120"/>
  <c r="T121"/>
  <c r="T124"/>
  <c r="O128"/>
  <c r="T130"/>
  <c r="S131"/>
  <c r="O132"/>
  <c r="Z136"/>
  <c r="S139"/>
  <c r="O142"/>
  <c r="T144"/>
  <c r="T149"/>
  <c r="P150"/>
  <c r="L154"/>
  <c r="M154" s="1"/>
  <c r="S154"/>
  <c r="S156"/>
  <c r="V158"/>
  <c r="P162"/>
  <c r="L170"/>
  <c r="M170" s="1"/>
  <c r="S170"/>
  <c r="T175"/>
  <c r="P180"/>
  <c r="Z188"/>
  <c r="V190"/>
  <c r="Z196"/>
  <c r="V198"/>
  <c r="S204"/>
  <c r="L160"/>
  <c r="M160" s="1"/>
  <c r="K160"/>
  <c r="K161"/>
  <c r="L161"/>
  <c r="M161" s="1"/>
  <c r="P164"/>
  <c r="O164"/>
  <c r="O165"/>
  <c r="P165"/>
  <c r="V179"/>
  <c r="S179"/>
  <c r="L184"/>
  <c r="M184" s="1"/>
  <c r="K184"/>
  <c r="O185"/>
  <c r="P185"/>
  <c r="L192"/>
  <c r="M192" s="1"/>
  <c r="K192"/>
  <c r="O193"/>
  <c r="P193"/>
  <c r="K202"/>
  <c r="L202"/>
  <c r="M202" s="1"/>
  <c r="K205"/>
  <c r="L205"/>
  <c r="M205" s="1"/>
  <c r="S206"/>
  <c r="V206"/>
  <c r="P212"/>
  <c r="O212"/>
  <c r="O214"/>
  <c r="P214"/>
  <c r="K218"/>
  <c r="L218"/>
  <c r="M218" s="1"/>
  <c r="L5"/>
  <c r="M5" s="1"/>
  <c r="L9"/>
  <c r="M9" s="1"/>
  <c r="L13"/>
  <c r="M13" s="1"/>
  <c r="L17"/>
  <c r="M17" s="1"/>
  <c r="L21"/>
  <c r="M21" s="1"/>
  <c r="L25"/>
  <c r="M25" s="1"/>
  <c r="L29"/>
  <c r="M29" s="1"/>
  <c r="S32"/>
  <c r="P33"/>
  <c r="S34"/>
  <c r="L34"/>
  <c r="M34" s="1"/>
  <c r="P34"/>
  <c r="Z42"/>
  <c r="L45"/>
  <c r="M45" s="1"/>
  <c r="S48"/>
  <c r="P49"/>
  <c r="S50"/>
  <c r="L50"/>
  <c r="M50" s="1"/>
  <c r="P50"/>
  <c r="Z58"/>
  <c r="L61"/>
  <c r="M61" s="1"/>
  <c r="S64"/>
  <c r="P65"/>
  <c r="S66"/>
  <c r="L66"/>
  <c r="M66" s="1"/>
  <c r="P66"/>
  <c r="Z74"/>
  <c r="L77"/>
  <c r="M77" s="1"/>
  <c r="S80"/>
  <c r="P81"/>
  <c r="S82"/>
  <c r="L82"/>
  <c r="M82" s="1"/>
  <c r="P82"/>
  <c r="Z90"/>
  <c r="L93"/>
  <c r="M93" s="1"/>
  <c r="S96"/>
  <c r="P97"/>
  <c r="S98"/>
  <c r="L98"/>
  <c r="M98" s="1"/>
  <c r="P98"/>
  <c r="Z106"/>
  <c r="L109"/>
  <c r="M109" s="1"/>
  <c r="S112"/>
  <c r="P113"/>
  <c r="S114"/>
  <c r="L114"/>
  <c r="M114" s="1"/>
  <c r="P114"/>
  <c r="Z122"/>
  <c r="L125"/>
  <c r="M125" s="1"/>
  <c r="S128"/>
  <c r="P129"/>
  <c r="S130"/>
  <c r="L130"/>
  <c r="M130" s="1"/>
  <c r="P130"/>
  <c r="S160"/>
  <c r="S184"/>
  <c r="S192"/>
  <c r="S200"/>
  <c r="S216"/>
  <c r="L132"/>
  <c r="M132" s="1"/>
  <c r="K132"/>
  <c r="P152"/>
  <c r="O152"/>
  <c r="O153"/>
  <c r="P153"/>
  <c r="L164"/>
  <c r="M164" s="1"/>
  <c r="K164"/>
  <c r="K165"/>
  <c r="L165"/>
  <c r="M165" s="1"/>
  <c r="P168"/>
  <c r="O168"/>
  <c r="O169"/>
  <c r="P169"/>
  <c r="P174"/>
  <c r="O174"/>
  <c r="K185"/>
  <c r="L185"/>
  <c r="M185" s="1"/>
  <c r="P188"/>
  <c r="O188"/>
  <c r="K193"/>
  <c r="L193"/>
  <c r="M193" s="1"/>
  <c r="P196"/>
  <c r="O196"/>
  <c r="K201"/>
  <c r="L201"/>
  <c r="M201" s="1"/>
  <c r="S202"/>
  <c r="V202"/>
  <c r="P208"/>
  <c r="O208"/>
  <c r="O210"/>
  <c r="P210"/>
  <c r="K214"/>
  <c r="L214"/>
  <c r="M214" s="1"/>
  <c r="K217"/>
  <c r="L217"/>
  <c r="M217" s="1"/>
  <c r="S218"/>
  <c r="V218"/>
  <c r="S2"/>
  <c r="T2"/>
  <c r="S3"/>
  <c r="S4"/>
  <c r="S6"/>
  <c r="T6"/>
  <c r="S7"/>
  <c r="S8"/>
  <c r="S10"/>
  <c r="M10"/>
  <c r="S11"/>
  <c r="S12"/>
  <c r="S14"/>
  <c r="M14"/>
  <c r="S15"/>
  <c r="S16"/>
  <c r="S18"/>
  <c r="M18"/>
  <c r="S19"/>
  <c r="S20"/>
  <c r="S22"/>
  <c r="M22"/>
  <c r="S23"/>
  <c r="S24"/>
  <c r="S26"/>
  <c r="M26"/>
  <c r="S27"/>
  <c r="S28"/>
  <c r="S30"/>
  <c r="T31"/>
  <c r="K32"/>
  <c r="T36"/>
  <c r="Z38"/>
  <c r="O40"/>
  <c r="T42"/>
  <c r="S43"/>
  <c r="S44"/>
  <c r="S46"/>
  <c r="T47"/>
  <c r="K48"/>
  <c r="T52"/>
  <c r="Z54"/>
  <c r="O56"/>
  <c r="T58"/>
  <c r="S59"/>
  <c r="S60"/>
  <c r="S62"/>
  <c r="T63"/>
  <c r="K64"/>
  <c r="T68"/>
  <c r="Z70"/>
  <c r="O72"/>
  <c r="T74"/>
  <c r="S75"/>
  <c r="S76"/>
  <c r="S78"/>
  <c r="T79"/>
  <c r="K80"/>
  <c r="T84"/>
  <c r="Z86"/>
  <c r="O88"/>
  <c r="T90"/>
  <c r="S91"/>
  <c r="S92"/>
  <c r="S94"/>
  <c r="T95"/>
  <c r="K96"/>
  <c r="T100"/>
  <c r="Z102"/>
  <c r="O104"/>
  <c r="T106"/>
  <c r="S107"/>
  <c r="S108"/>
  <c r="S110"/>
  <c r="T111"/>
  <c r="K112"/>
  <c r="T116"/>
  <c r="Z118"/>
  <c r="O120"/>
  <c r="T122"/>
  <c r="S123"/>
  <c r="S124"/>
  <c r="S126"/>
  <c r="T127"/>
  <c r="K128"/>
  <c r="T133"/>
  <c r="P134"/>
  <c r="S135"/>
  <c r="O136"/>
  <c r="S142"/>
  <c r="T145"/>
  <c r="K146"/>
  <c r="T146"/>
  <c r="O148"/>
  <c r="P154"/>
  <c r="L162"/>
  <c r="M162" s="1"/>
  <c r="S162"/>
  <c r="V166"/>
  <c r="P170"/>
  <c r="V176"/>
  <c r="V186"/>
  <c r="V194"/>
  <c r="V144"/>
  <c r="S144"/>
  <c r="L152"/>
  <c r="M152" s="1"/>
  <c r="K152"/>
  <c r="K153"/>
  <c r="L153"/>
  <c r="M153" s="1"/>
  <c r="P156"/>
  <c r="O156"/>
  <c r="O157"/>
  <c r="P157"/>
  <c r="L168"/>
  <c r="M168" s="1"/>
  <c r="K168"/>
  <c r="K169"/>
  <c r="L169"/>
  <c r="M169" s="1"/>
  <c r="K173"/>
  <c r="L173"/>
  <c r="M173" s="1"/>
  <c r="O177"/>
  <c r="P177"/>
  <c r="L188"/>
  <c r="M188" s="1"/>
  <c r="K188"/>
  <c r="O189"/>
  <c r="P189"/>
  <c r="L196"/>
  <c r="M196" s="1"/>
  <c r="K196"/>
  <c r="O197"/>
  <c r="P197"/>
  <c r="P204"/>
  <c r="O204"/>
  <c r="O206"/>
  <c r="P206"/>
  <c r="K210"/>
  <c r="L210"/>
  <c r="M210" s="1"/>
  <c r="K213"/>
  <c r="L213"/>
  <c r="M213" s="1"/>
  <c r="S214"/>
  <c r="V214"/>
  <c r="S152"/>
  <c r="S168"/>
  <c r="P375"/>
  <c r="O375"/>
  <c r="K384"/>
  <c r="L384"/>
  <c r="M384" s="1"/>
  <c r="P391"/>
  <c r="O391"/>
  <c r="K393"/>
  <c r="L393"/>
  <c r="M393" s="1"/>
  <c r="S393"/>
  <c r="V393"/>
  <c r="P395"/>
  <c r="O395"/>
  <c r="L222"/>
  <c r="M222" s="1"/>
  <c r="P222"/>
  <c r="V222"/>
  <c r="L226"/>
  <c r="M226" s="1"/>
  <c r="P226"/>
  <c r="V226"/>
  <c r="L230"/>
  <c r="M230" s="1"/>
  <c r="P230"/>
  <c r="V230"/>
  <c r="L234"/>
  <c r="M234" s="1"/>
  <c r="P234"/>
  <c r="V234"/>
  <c r="L238"/>
  <c r="M238" s="1"/>
  <c r="P238"/>
  <c r="V238"/>
  <c r="L242"/>
  <c r="M242" s="1"/>
  <c r="P242"/>
  <c r="V242"/>
  <c r="L246"/>
  <c r="M246" s="1"/>
  <c r="P246"/>
  <c r="V246"/>
  <c r="L250"/>
  <c r="M250" s="1"/>
  <c r="P250"/>
  <c r="V250"/>
  <c r="L254"/>
  <c r="M254" s="1"/>
  <c r="P254"/>
  <c r="V254"/>
  <c r="L258"/>
  <c r="M258" s="1"/>
  <c r="P258"/>
  <c r="V258"/>
  <c r="L262"/>
  <c r="M262" s="1"/>
  <c r="P262"/>
  <c r="V262"/>
  <c r="L266"/>
  <c r="M266" s="1"/>
  <c r="P266"/>
  <c r="V266"/>
  <c r="L269"/>
  <c r="M269" s="1"/>
  <c r="L273"/>
  <c r="M273" s="1"/>
  <c r="P273"/>
  <c r="V273"/>
  <c r="P277"/>
  <c r="V277"/>
  <c r="L280"/>
  <c r="M280" s="1"/>
  <c r="L281"/>
  <c r="M281" s="1"/>
  <c r="P281"/>
  <c r="V281"/>
  <c r="V283"/>
  <c r="P285"/>
  <c r="V285"/>
  <c r="T286"/>
  <c r="S303"/>
  <c r="S307"/>
  <c r="S311"/>
  <c r="S315"/>
  <c r="S319"/>
  <c r="S323"/>
  <c r="S327"/>
  <c r="S331"/>
  <c r="S335"/>
  <c r="S339"/>
  <c r="S343"/>
  <c r="S347"/>
  <c r="S351"/>
  <c r="S355"/>
  <c r="S359"/>
  <c r="S363"/>
  <c r="S367"/>
  <c r="S371"/>
  <c r="S374"/>
  <c r="P376"/>
  <c r="K379"/>
  <c r="S379"/>
  <c r="S381"/>
  <c r="M383"/>
  <c r="Z383"/>
  <c r="L385"/>
  <c r="M385" s="1"/>
  <c r="T385"/>
  <c r="T387"/>
  <c r="P389"/>
  <c r="S390"/>
  <c r="K380"/>
  <c r="L380"/>
  <c r="M380" s="1"/>
  <c r="P387"/>
  <c r="O387"/>
  <c r="T136"/>
  <c r="T142"/>
  <c r="S143"/>
  <c r="S146"/>
  <c r="T147"/>
  <c r="T154"/>
  <c r="T158"/>
  <c r="T162"/>
  <c r="T166"/>
  <c r="T170"/>
  <c r="O220"/>
  <c r="L221"/>
  <c r="M221" s="1"/>
  <c r="O224"/>
  <c r="L225"/>
  <c r="M225" s="1"/>
  <c r="O228"/>
  <c r="L229"/>
  <c r="M229" s="1"/>
  <c r="O232"/>
  <c r="L233"/>
  <c r="M233" s="1"/>
  <c r="O236"/>
  <c r="L237"/>
  <c r="M237" s="1"/>
  <c r="O240"/>
  <c r="L241"/>
  <c r="M241" s="1"/>
  <c r="O244"/>
  <c r="L245"/>
  <c r="M245" s="1"/>
  <c r="O248"/>
  <c r="L249"/>
  <c r="M249" s="1"/>
  <c r="O252"/>
  <c r="L253"/>
  <c r="M253" s="1"/>
  <c r="O256"/>
  <c r="L257"/>
  <c r="M257" s="1"/>
  <c r="O260"/>
  <c r="L261"/>
  <c r="M261" s="1"/>
  <c r="O264"/>
  <c r="L265"/>
  <c r="M265" s="1"/>
  <c r="O268"/>
  <c r="L270"/>
  <c r="M270" s="1"/>
  <c r="O271"/>
  <c r="T272"/>
  <c r="S279"/>
  <c r="T282"/>
  <c r="K283"/>
  <c r="L284"/>
  <c r="M284" s="1"/>
  <c r="V287"/>
  <c r="K288"/>
  <c r="T290"/>
  <c r="K291"/>
  <c r="S291"/>
  <c r="O292"/>
  <c r="T293"/>
  <c r="O295"/>
  <c r="T297"/>
  <c r="O299"/>
  <c r="T301"/>
  <c r="K303"/>
  <c r="P304"/>
  <c r="T305"/>
  <c r="K307"/>
  <c r="P308"/>
  <c r="T309"/>
  <c r="K311"/>
  <c r="P312"/>
  <c r="T313"/>
  <c r="K315"/>
  <c r="P316"/>
  <c r="T317"/>
  <c r="K319"/>
  <c r="P320"/>
  <c r="T321"/>
  <c r="K323"/>
  <c r="P324"/>
  <c r="T325"/>
  <c r="K327"/>
  <c r="P328"/>
  <c r="T329"/>
  <c r="K331"/>
  <c r="P332"/>
  <c r="T333"/>
  <c r="K335"/>
  <c r="P336"/>
  <c r="T337"/>
  <c r="K339"/>
  <c r="P340"/>
  <c r="T341"/>
  <c r="K343"/>
  <c r="P344"/>
  <c r="T345"/>
  <c r="K347"/>
  <c r="P348"/>
  <c r="T349"/>
  <c r="K351"/>
  <c r="P352"/>
  <c r="T353"/>
  <c r="K355"/>
  <c r="P356"/>
  <c r="T357"/>
  <c r="K359"/>
  <c r="P360"/>
  <c r="T361"/>
  <c r="K363"/>
  <c r="P364"/>
  <c r="T365"/>
  <c r="K367"/>
  <c r="P368"/>
  <c r="T369"/>
  <c r="K371"/>
  <c r="P372"/>
  <c r="K375"/>
  <c r="S375"/>
  <c r="S377"/>
  <c r="M379"/>
  <c r="L381"/>
  <c r="M381" s="1"/>
  <c r="P385"/>
  <c r="S386"/>
  <c r="P388"/>
  <c r="K391"/>
  <c r="S391"/>
  <c r="S395"/>
  <c r="K376"/>
  <c r="L376"/>
  <c r="M376" s="1"/>
  <c r="P383"/>
  <c r="O383"/>
  <c r="K392"/>
  <c r="L392"/>
  <c r="M392" s="1"/>
  <c r="O393"/>
  <c r="P393"/>
  <c r="S220"/>
  <c r="S224"/>
  <c r="S228"/>
  <c r="S232"/>
  <c r="S236"/>
  <c r="S240"/>
  <c r="S244"/>
  <c r="S248"/>
  <c r="S252"/>
  <c r="S256"/>
  <c r="S260"/>
  <c r="S264"/>
  <c r="S268"/>
  <c r="S295"/>
  <c r="S299"/>
  <c r="T368"/>
  <c r="T372"/>
  <c r="M375"/>
  <c r="L377"/>
  <c r="M377" s="1"/>
  <c r="S389"/>
  <c r="M391"/>
  <c r="K396"/>
  <c r="S396"/>
  <c r="P379"/>
  <c r="O379"/>
  <c r="K388"/>
  <c r="L388"/>
  <c r="M388" s="1"/>
  <c r="O398"/>
  <c r="P398"/>
  <c r="S151"/>
  <c r="M174"/>
  <c r="T176"/>
  <c r="S180"/>
  <c r="T186"/>
  <c r="T190"/>
  <c r="T194"/>
  <c r="T198"/>
  <c r="K200"/>
  <c r="P201"/>
  <c r="T202"/>
  <c r="K204"/>
  <c r="P205"/>
  <c r="T206"/>
  <c r="K208"/>
  <c r="P209"/>
  <c r="T210"/>
  <c r="K212"/>
  <c r="P213"/>
  <c r="T214"/>
  <c r="K216"/>
  <c r="P217"/>
  <c r="T218"/>
  <c r="K220"/>
  <c r="P221"/>
  <c r="T222"/>
  <c r="K224"/>
  <c r="P225"/>
  <c r="T226"/>
  <c r="K228"/>
  <c r="P229"/>
  <c r="T230"/>
  <c r="K232"/>
  <c r="P233"/>
  <c r="T234"/>
  <c r="K236"/>
  <c r="P237"/>
  <c r="T238"/>
  <c r="K240"/>
  <c r="P241"/>
  <c r="T242"/>
  <c r="K244"/>
  <c r="P245"/>
  <c r="T246"/>
  <c r="K248"/>
  <c r="P249"/>
  <c r="T250"/>
  <c r="K252"/>
  <c r="P253"/>
  <c r="T254"/>
  <c r="K256"/>
  <c r="P257"/>
  <c r="T258"/>
  <c r="K260"/>
  <c r="P261"/>
  <c r="T262"/>
  <c r="K264"/>
  <c r="P265"/>
  <c r="T266"/>
  <c r="K268"/>
  <c r="M271"/>
  <c r="S271"/>
  <c r="T273"/>
  <c r="P274"/>
  <c r="S276"/>
  <c r="S277"/>
  <c r="O279"/>
  <c r="T281"/>
  <c r="P282"/>
  <c r="T283"/>
  <c r="P288"/>
  <c r="T291"/>
  <c r="K295"/>
  <c r="K299"/>
  <c r="O303"/>
  <c r="L304"/>
  <c r="M304" s="1"/>
  <c r="O307"/>
  <c r="L308"/>
  <c r="M308" s="1"/>
  <c r="O311"/>
  <c r="L312"/>
  <c r="M312" s="1"/>
  <c r="O315"/>
  <c r="L316"/>
  <c r="M316" s="1"/>
  <c r="O319"/>
  <c r="L320"/>
  <c r="M320" s="1"/>
  <c r="O323"/>
  <c r="L324"/>
  <c r="M324" s="1"/>
  <c r="O327"/>
  <c r="L328"/>
  <c r="M328" s="1"/>
  <c r="O331"/>
  <c r="L332"/>
  <c r="M332" s="1"/>
  <c r="O335"/>
  <c r="L336"/>
  <c r="M336" s="1"/>
  <c r="O339"/>
  <c r="L340"/>
  <c r="M340" s="1"/>
  <c r="O343"/>
  <c r="L344"/>
  <c r="M344" s="1"/>
  <c r="O347"/>
  <c r="L348"/>
  <c r="M348" s="1"/>
  <c r="S349"/>
  <c r="S353"/>
  <c r="S357"/>
  <c r="S361"/>
  <c r="S365"/>
  <c r="S369"/>
  <c r="S373"/>
  <c r="S385"/>
  <c r="T389"/>
  <c r="S397"/>
  <c r="T395"/>
  <c r="T396"/>
  <c r="L401"/>
  <c r="M401" s="1"/>
  <c r="L402"/>
  <c r="M402" s="1"/>
  <c r="P402"/>
  <c r="V402"/>
  <c r="V404"/>
  <c r="P406"/>
  <c r="T407"/>
  <c r="S410"/>
  <c r="S412"/>
  <c r="S414"/>
  <c r="S418"/>
  <c r="S422"/>
  <c r="V424"/>
  <c r="S426"/>
  <c r="V428"/>
  <c r="S430"/>
  <c r="V432"/>
  <c r="S434"/>
  <c r="V436"/>
  <c r="S438"/>
  <c r="V440"/>
  <c r="S442"/>
  <c r="V444"/>
  <c r="S446"/>
  <c r="V448"/>
  <c r="S450"/>
  <c r="V452"/>
  <c r="S454"/>
  <c r="V456"/>
  <c r="S458"/>
  <c r="V460"/>
  <c r="S462"/>
  <c r="V464"/>
  <c r="S466"/>
  <c r="V468"/>
  <c r="S470"/>
  <c r="V472"/>
  <c r="S474"/>
  <c r="V476"/>
  <c r="S478"/>
  <c r="S482"/>
  <c r="S488"/>
  <c r="S490"/>
  <c r="S492"/>
  <c r="L494"/>
  <c r="M494" s="1"/>
  <c r="P494"/>
  <c r="V494"/>
  <c r="S496"/>
  <c r="L498"/>
  <c r="M498" s="1"/>
  <c r="P498"/>
  <c r="V498"/>
  <c r="L502"/>
  <c r="M502" s="1"/>
  <c r="P502"/>
  <c r="V502"/>
  <c r="L506"/>
  <c r="M506" s="1"/>
  <c r="P506"/>
  <c r="V506"/>
  <c r="T508"/>
  <c r="L510"/>
  <c r="M510" s="1"/>
  <c r="P510"/>
  <c r="V510"/>
  <c r="T512"/>
  <c r="L514"/>
  <c r="M514" s="1"/>
  <c r="P514"/>
  <c r="V514"/>
  <c r="T516"/>
  <c r="L518"/>
  <c r="M518" s="1"/>
  <c r="P518"/>
  <c r="V518"/>
  <c r="T520"/>
  <c r="L522"/>
  <c r="M522" s="1"/>
  <c r="P522"/>
  <c r="V522"/>
  <c r="T524"/>
  <c r="L526"/>
  <c r="M526" s="1"/>
  <c r="P526"/>
  <c r="V526"/>
  <c r="T528"/>
  <c r="L530"/>
  <c r="M530" s="1"/>
  <c r="P530"/>
  <c r="V530"/>
  <c r="T532"/>
  <c r="L534"/>
  <c r="M534" s="1"/>
  <c r="P534"/>
  <c r="V534"/>
  <c r="T536"/>
  <c r="L538"/>
  <c r="M538" s="1"/>
  <c r="P538"/>
  <c r="V538"/>
  <c r="T540"/>
  <c r="L542"/>
  <c r="M542" s="1"/>
  <c r="P542"/>
  <c r="V542"/>
  <c r="T544"/>
  <c r="L546"/>
  <c r="M546" s="1"/>
  <c r="P546"/>
  <c r="V546"/>
  <c r="T548"/>
  <c r="L550"/>
  <c r="M550" s="1"/>
  <c r="P550"/>
  <c r="V550"/>
  <c r="T552"/>
  <c r="L554"/>
  <c r="M554" s="1"/>
  <c r="P554"/>
  <c r="V554"/>
  <c r="T556"/>
  <c r="L558"/>
  <c r="M558" s="1"/>
  <c r="P558"/>
  <c r="V558"/>
  <c r="T560"/>
  <c r="O564"/>
  <c r="V564"/>
  <c r="L565"/>
  <c r="M565" s="1"/>
  <c r="K566"/>
  <c r="Z566"/>
  <c r="T568"/>
  <c r="P569"/>
  <c r="Z570"/>
  <c r="S400"/>
  <c r="T403"/>
  <c r="K404"/>
  <c r="L405"/>
  <c r="M405" s="1"/>
  <c r="V408"/>
  <c r="K409"/>
  <c r="K412"/>
  <c r="P415"/>
  <c r="T416"/>
  <c r="P419"/>
  <c r="T420"/>
  <c r="S435"/>
  <c r="S439"/>
  <c r="S443"/>
  <c r="S447"/>
  <c r="S451"/>
  <c r="S455"/>
  <c r="S459"/>
  <c r="S463"/>
  <c r="S467"/>
  <c r="S471"/>
  <c r="S475"/>
  <c r="V480"/>
  <c r="K481"/>
  <c r="T483"/>
  <c r="K484"/>
  <c r="S484"/>
  <c r="O485"/>
  <c r="K496"/>
  <c r="O500"/>
  <c r="L501"/>
  <c r="M501" s="1"/>
  <c r="O504"/>
  <c r="L505"/>
  <c r="M505" s="1"/>
  <c r="O508"/>
  <c r="L509"/>
  <c r="M509" s="1"/>
  <c r="O512"/>
  <c r="L513"/>
  <c r="M513" s="1"/>
  <c r="O516"/>
  <c r="L517"/>
  <c r="M517" s="1"/>
  <c r="O520"/>
  <c r="L521"/>
  <c r="M521" s="1"/>
  <c r="O524"/>
  <c r="L525"/>
  <c r="M525" s="1"/>
  <c r="O528"/>
  <c r="L529"/>
  <c r="M529" s="1"/>
  <c r="O532"/>
  <c r="L533"/>
  <c r="M533" s="1"/>
  <c r="O536"/>
  <c r="L537"/>
  <c r="M537" s="1"/>
  <c r="O540"/>
  <c r="L541"/>
  <c r="M541" s="1"/>
  <c r="O544"/>
  <c r="V544"/>
  <c r="L545"/>
  <c r="M545" s="1"/>
  <c r="O548"/>
  <c r="V548"/>
  <c r="L549"/>
  <c r="M549" s="1"/>
  <c r="O552"/>
  <c r="V552"/>
  <c r="L553"/>
  <c r="M553" s="1"/>
  <c r="O556"/>
  <c r="V556"/>
  <c r="L557"/>
  <c r="M557" s="1"/>
  <c r="V560"/>
  <c r="S567"/>
  <c r="O568"/>
  <c r="V568"/>
  <c r="S571"/>
  <c r="M408"/>
  <c r="P411"/>
  <c r="O416"/>
  <c r="O420"/>
  <c r="K424"/>
  <c r="P425"/>
  <c r="K428"/>
  <c r="P429"/>
  <c r="K432"/>
  <c r="P433"/>
  <c r="K436"/>
  <c r="P437"/>
  <c r="K440"/>
  <c r="S500"/>
  <c r="S504"/>
  <c r="S508"/>
  <c r="S512"/>
  <c r="S516"/>
  <c r="S520"/>
  <c r="S524"/>
  <c r="S528"/>
  <c r="S532"/>
  <c r="S536"/>
  <c r="S540"/>
  <c r="S543"/>
  <c r="S547"/>
  <c r="S551"/>
  <c r="S555"/>
  <c r="S559"/>
  <c r="T562"/>
  <c r="K564"/>
  <c r="P565"/>
  <c r="O566"/>
  <c r="L569"/>
  <c r="M569" s="1"/>
  <c r="S416"/>
  <c r="S420"/>
  <c r="T440"/>
  <c r="T444"/>
  <c r="T448"/>
  <c r="T452"/>
  <c r="T456"/>
  <c r="T460"/>
  <c r="T464"/>
  <c r="T468"/>
  <c r="T472"/>
  <c r="T476"/>
  <c r="T484"/>
  <c r="T494"/>
  <c r="O496"/>
  <c r="T498"/>
  <c r="K500"/>
  <c r="P501"/>
  <c r="T502"/>
  <c r="K504"/>
  <c r="T506"/>
  <c r="K508"/>
  <c r="T510"/>
  <c r="T514"/>
  <c r="T518"/>
  <c r="T522"/>
  <c r="T526"/>
  <c r="T530"/>
  <c r="T534"/>
  <c r="T538"/>
  <c r="T542"/>
  <c r="S187"/>
  <c r="T187"/>
  <c r="V187"/>
  <c r="S191"/>
  <c r="T191"/>
  <c r="V191"/>
  <c r="S195"/>
  <c r="T195"/>
  <c r="V195"/>
  <c r="S199"/>
  <c r="T199"/>
  <c r="V199"/>
  <c r="S203"/>
  <c r="T203"/>
  <c r="V203"/>
  <c r="S207"/>
  <c r="T207"/>
  <c r="V207"/>
  <c r="S211"/>
  <c r="T211"/>
  <c r="V211"/>
  <c r="S215"/>
  <c r="T215"/>
  <c r="V215"/>
  <c r="M2"/>
  <c r="S177"/>
  <c r="S183"/>
  <c r="V183"/>
  <c r="M6"/>
  <c r="V3"/>
  <c r="S5"/>
  <c r="V7"/>
  <c r="S9"/>
  <c r="T10"/>
  <c r="V11"/>
  <c r="S13"/>
  <c r="T14"/>
  <c r="V15"/>
  <c r="S17"/>
  <c r="T18"/>
  <c r="V19"/>
  <c r="S21"/>
  <c r="T22"/>
  <c r="V23"/>
  <c r="S25"/>
  <c r="T26"/>
  <c r="V27"/>
  <c r="S29"/>
  <c r="V31"/>
  <c r="S33"/>
  <c r="V35"/>
  <c r="S37"/>
  <c r="V39"/>
  <c r="S41"/>
  <c r="V43"/>
  <c r="S45"/>
  <c r="V47"/>
  <c r="S49"/>
  <c r="V51"/>
  <c r="S53"/>
  <c r="V55"/>
  <c r="S57"/>
  <c r="V59"/>
  <c r="S61"/>
  <c r="V63"/>
  <c r="S65"/>
  <c r="V67"/>
  <c r="S69"/>
  <c r="V71"/>
  <c r="S73"/>
  <c r="V75"/>
  <c r="S77"/>
  <c r="V79"/>
  <c r="S81"/>
  <c r="V83"/>
  <c r="S85"/>
  <c r="V87"/>
  <c r="S89"/>
  <c r="V91"/>
  <c r="S93"/>
  <c r="V95"/>
  <c r="S97"/>
  <c r="V99"/>
  <c r="S101"/>
  <c r="V103"/>
  <c r="S105"/>
  <c r="V107"/>
  <c r="S109"/>
  <c r="V111"/>
  <c r="S113"/>
  <c r="V115"/>
  <c r="S117"/>
  <c r="V119"/>
  <c r="S121"/>
  <c r="V123"/>
  <c r="S125"/>
  <c r="V127"/>
  <c r="S129"/>
  <c r="V131"/>
  <c r="S133"/>
  <c r="V135"/>
  <c r="S137"/>
  <c r="V139"/>
  <c r="S141"/>
  <c r="V143"/>
  <c r="S145"/>
  <c r="V147"/>
  <c r="S149"/>
  <c r="V151"/>
  <c r="S153"/>
  <c r="V155"/>
  <c r="S157"/>
  <c r="V159"/>
  <c r="S161"/>
  <c r="V163"/>
  <c r="S165"/>
  <c r="V167"/>
  <c r="S169"/>
  <c r="V171"/>
  <c r="S172"/>
  <c r="S173"/>
  <c r="S175"/>
  <c r="L177"/>
  <c r="M177" s="1"/>
  <c r="M178"/>
  <c r="Z180"/>
  <c r="P181"/>
  <c r="L183"/>
  <c r="M183" s="1"/>
  <c r="O187"/>
  <c r="P187"/>
  <c r="O191"/>
  <c r="P191"/>
  <c r="O195"/>
  <c r="P195"/>
  <c r="O199"/>
  <c r="P199"/>
  <c r="O203"/>
  <c r="P203"/>
  <c r="O207"/>
  <c r="P207"/>
  <c r="O211"/>
  <c r="P211"/>
  <c r="O215"/>
  <c r="P215"/>
  <c r="L3"/>
  <c r="M3" s="1"/>
  <c r="P3"/>
  <c r="L7"/>
  <c r="M7" s="1"/>
  <c r="P7"/>
  <c r="L11"/>
  <c r="M11" s="1"/>
  <c r="P11"/>
  <c r="L15"/>
  <c r="M15" s="1"/>
  <c r="P15"/>
  <c r="L19"/>
  <c r="M19" s="1"/>
  <c r="P19"/>
  <c r="L23"/>
  <c r="M23" s="1"/>
  <c r="P23"/>
  <c r="L27"/>
  <c r="M27" s="1"/>
  <c r="P27"/>
  <c r="L31"/>
  <c r="M31" s="1"/>
  <c r="P31"/>
  <c r="L35"/>
  <c r="M35" s="1"/>
  <c r="P35"/>
  <c r="L39"/>
  <c r="M39" s="1"/>
  <c r="P39"/>
  <c r="L43"/>
  <c r="M43" s="1"/>
  <c r="P43"/>
  <c r="L47"/>
  <c r="M47" s="1"/>
  <c r="P47"/>
  <c r="L51"/>
  <c r="M51" s="1"/>
  <c r="P51"/>
  <c r="L55"/>
  <c r="M55" s="1"/>
  <c r="P55"/>
  <c r="L59"/>
  <c r="M59" s="1"/>
  <c r="P59"/>
  <c r="L63"/>
  <c r="M63" s="1"/>
  <c r="P63"/>
  <c r="L67"/>
  <c r="M67" s="1"/>
  <c r="P67"/>
  <c r="L71"/>
  <c r="M71" s="1"/>
  <c r="P71"/>
  <c r="L75"/>
  <c r="M75" s="1"/>
  <c r="P75"/>
  <c r="L79"/>
  <c r="M79" s="1"/>
  <c r="P79"/>
  <c r="L83"/>
  <c r="M83" s="1"/>
  <c r="P83"/>
  <c r="L87"/>
  <c r="M87" s="1"/>
  <c r="P87"/>
  <c r="L91"/>
  <c r="M91" s="1"/>
  <c r="P91"/>
  <c r="L95"/>
  <c r="M95" s="1"/>
  <c r="P95"/>
  <c r="L99"/>
  <c r="M99" s="1"/>
  <c r="P99"/>
  <c r="L103"/>
  <c r="M103" s="1"/>
  <c r="P103"/>
  <c r="L107"/>
  <c r="M107" s="1"/>
  <c r="P107"/>
  <c r="L111"/>
  <c r="M111" s="1"/>
  <c r="P111"/>
  <c r="L115"/>
  <c r="M115" s="1"/>
  <c r="P115"/>
  <c r="L119"/>
  <c r="M119" s="1"/>
  <c r="P119"/>
  <c r="L123"/>
  <c r="M123" s="1"/>
  <c r="P123"/>
  <c r="L127"/>
  <c r="M127" s="1"/>
  <c r="P127"/>
  <c r="L131"/>
  <c r="M131" s="1"/>
  <c r="P131"/>
  <c r="L135"/>
  <c r="M135" s="1"/>
  <c r="P135"/>
  <c r="L139"/>
  <c r="M139" s="1"/>
  <c r="P139"/>
  <c r="L143"/>
  <c r="M143" s="1"/>
  <c r="P143"/>
  <c r="L147"/>
  <c r="M147" s="1"/>
  <c r="P147"/>
  <c r="L151"/>
  <c r="M151" s="1"/>
  <c r="P151"/>
  <c r="L155"/>
  <c r="M155" s="1"/>
  <c r="P155"/>
  <c r="T155"/>
  <c r="L159"/>
  <c r="M159" s="1"/>
  <c r="P159"/>
  <c r="T159"/>
  <c r="L163"/>
  <c r="M163" s="1"/>
  <c r="P163"/>
  <c r="T163"/>
  <c r="L167"/>
  <c r="M167" s="1"/>
  <c r="P167"/>
  <c r="T167"/>
  <c r="L171"/>
  <c r="M171" s="1"/>
  <c r="P171"/>
  <c r="T171"/>
  <c r="V177"/>
  <c r="L179"/>
  <c r="M179" s="1"/>
  <c r="T181"/>
  <c r="K187"/>
  <c r="L187"/>
  <c r="M187" s="1"/>
  <c r="K191"/>
  <c r="L191"/>
  <c r="M191" s="1"/>
  <c r="K195"/>
  <c r="L195"/>
  <c r="M195" s="1"/>
  <c r="K199"/>
  <c r="L199"/>
  <c r="M199" s="1"/>
  <c r="K203"/>
  <c r="L203"/>
  <c r="M203" s="1"/>
  <c r="K207"/>
  <c r="L207"/>
  <c r="M207" s="1"/>
  <c r="K211"/>
  <c r="L211"/>
  <c r="M211" s="1"/>
  <c r="K215"/>
  <c r="L215"/>
  <c r="M215" s="1"/>
  <c r="K219"/>
  <c r="L219"/>
  <c r="M219" s="1"/>
  <c r="P173"/>
  <c r="V173"/>
  <c r="K174"/>
  <c r="T174"/>
  <c r="O178"/>
  <c r="T179"/>
  <c r="S181"/>
  <c r="P183"/>
  <c r="S294"/>
  <c r="V294"/>
  <c r="S298"/>
  <c r="V298"/>
  <c r="O302"/>
  <c r="P302"/>
  <c r="O306"/>
  <c r="P306"/>
  <c r="O310"/>
  <c r="P310"/>
  <c r="O314"/>
  <c r="P314"/>
  <c r="O318"/>
  <c r="P318"/>
  <c r="O322"/>
  <c r="P322"/>
  <c r="S274"/>
  <c r="S290"/>
  <c r="V292"/>
  <c r="S292"/>
  <c r="V296"/>
  <c r="S296"/>
  <c r="V300"/>
  <c r="S300"/>
  <c r="K302"/>
  <c r="L302"/>
  <c r="M302" s="1"/>
  <c r="K306"/>
  <c r="L306"/>
  <c r="M306" s="1"/>
  <c r="K310"/>
  <c r="L310"/>
  <c r="M310" s="1"/>
  <c r="K314"/>
  <c r="L314"/>
  <c r="M314" s="1"/>
  <c r="K318"/>
  <c r="L318"/>
  <c r="M318" s="1"/>
  <c r="K322"/>
  <c r="L322"/>
  <c r="M322" s="1"/>
  <c r="S185"/>
  <c r="S189"/>
  <c r="S193"/>
  <c r="S197"/>
  <c r="S201"/>
  <c r="S205"/>
  <c r="S209"/>
  <c r="S213"/>
  <c r="S217"/>
  <c r="V219"/>
  <c r="S221"/>
  <c r="V223"/>
  <c r="S225"/>
  <c r="V227"/>
  <c r="S229"/>
  <c r="V231"/>
  <c r="S233"/>
  <c r="V235"/>
  <c r="S237"/>
  <c r="V239"/>
  <c r="S241"/>
  <c r="V243"/>
  <c r="S245"/>
  <c r="V247"/>
  <c r="S249"/>
  <c r="V251"/>
  <c r="S253"/>
  <c r="V255"/>
  <c r="S257"/>
  <c r="V259"/>
  <c r="S261"/>
  <c r="V263"/>
  <c r="S265"/>
  <c r="V267"/>
  <c r="S269"/>
  <c r="S270"/>
  <c r="S272"/>
  <c r="L274"/>
  <c r="M274" s="1"/>
  <c r="M275"/>
  <c r="Z277"/>
  <c r="P278"/>
  <c r="K279"/>
  <c r="T279"/>
  <c r="O283"/>
  <c r="S285"/>
  <c r="S286"/>
  <c r="S288"/>
  <c r="L290"/>
  <c r="M290" s="1"/>
  <c r="M291"/>
  <c r="L296"/>
  <c r="M296" s="1"/>
  <c r="L300"/>
  <c r="M300" s="1"/>
  <c r="S302"/>
  <c r="T302"/>
  <c r="V302"/>
  <c r="S306"/>
  <c r="T306"/>
  <c r="V306"/>
  <c r="S310"/>
  <c r="T310"/>
  <c r="V310"/>
  <c r="S314"/>
  <c r="T314"/>
  <c r="V314"/>
  <c r="S318"/>
  <c r="T318"/>
  <c r="V318"/>
  <c r="P219"/>
  <c r="T219"/>
  <c r="L223"/>
  <c r="M223" s="1"/>
  <c r="P223"/>
  <c r="T223"/>
  <c r="L227"/>
  <c r="M227" s="1"/>
  <c r="P227"/>
  <c r="T227"/>
  <c r="L231"/>
  <c r="M231" s="1"/>
  <c r="P231"/>
  <c r="T231"/>
  <c r="L235"/>
  <c r="M235" s="1"/>
  <c r="P235"/>
  <c r="T235"/>
  <c r="L239"/>
  <c r="M239" s="1"/>
  <c r="P239"/>
  <c r="T239"/>
  <c r="L243"/>
  <c r="M243" s="1"/>
  <c r="P243"/>
  <c r="T243"/>
  <c r="L247"/>
  <c r="M247" s="1"/>
  <c r="P247"/>
  <c r="T247"/>
  <c r="L251"/>
  <c r="M251" s="1"/>
  <c r="P251"/>
  <c r="T251"/>
  <c r="L255"/>
  <c r="M255" s="1"/>
  <c r="P255"/>
  <c r="T255"/>
  <c r="L259"/>
  <c r="M259" s="1"/>
  <c r="P259"/>
  <c r="T259"/>
  <c r="L263"/>
  <c r="M263" s="1"/>
  <c r="P263"/>
  <c r="T263"/>
  <c r="L267"/>
  <c r="M267" s="1"/>
  <c r="P267"/>
  <c r="T267"/>
  <c r="V274"/>
  <c r="L276"/>
  <c r="M276" s="1"/>
  <c r="T278"/>
  <c r="V279"/>
  <c r="P280"/>
  <c r="T280"/>
  <c r="S282"/>
  <c r="S284"/>
  <c r="V290"/>
  <c r="L292"/>
  <c r="M292" s="1"/>
  <c r="P270"/>
  <c r="V270"/>
  <c r="K271"/>
  <c r="T271"/>
  <c r="O275"/>
  <c r="T276"/>
  <c r="S278"/>
  <c r="S280"/>
  <c r="L282"/>
  <c r="M282" s="1"/>
  <c r="M283"/>
  <c r="P286"/>
  <c r="V286"/>
  <c r="K287"/>
  <c r="T287"/>
  <c r="O291"/>
  <c r="T294"/>
  <c r="M295"/>
  <c r="P296"/>
  <c r="T298"/>
  <c r="M299"/>
  <c r="P300"/>
  <c r="V413"/>
  <c r="S413"/>
  <c r="V417"/>
  <c r="S417"/>
  <c r="V421"/>
  <c r="S421"/>
  <c r="K423"/>
  <c r="L423"/>
  <c r="M423" s="1"/>
  <c r="K427"/>
  <c r="L427"/>
  <c r="M427" s="1"/>
  <c r="K431"/>
  <c r="L431"/>
  <c r="M431" s="1"/>
  <c r="K435"/>
  <c r="L435"/>
  <c r="M435" s="1"/>
  <c r="S304"/>
  <c r="S308"/>
  <c r="S312"/>
  <c r="S316"/>
  <c r="S320"/>
  <c r="V322"/>
  <c r="S324"/>
  <c r="V326"/>
  <c r="S328"/>
  <c r="V330"/>
  <c r="S332"/>
  <c r="V334"/>
  <c r="S336"/>
  <c r="V338"/>
  <c r="S340"/>
  <c r="V342"/>
  <c r="S344"/>
  <c r="V346"/>
  <c r="S348"/>
  <c r="V350"/>
  <c r="S352"/>
  <c r="V354"/>
  <c r="S356"/>
  <c r="V358"/>
  <c r="S360"/>
  <c r="V362"/>
  <c r="S364"/>
  <c r="V366"/>
  <c r="S368"/>
  <c r="V370"/>
  <c r="S372"/>
  <c r="V374"/>
  <c r="S376"/>
  <c r="V378"/>
  <c r="S380"/>
  <c r="V382"/>
  <c r="S384"/>
  <c r="V386"/>
  <c r="S388"/>
  <c r="V390"/>
  <c r="S392"/>
  <c r="V394"/>
  <c r="M396"/>
  <c r="Z398"/>
  <c r="P399"/>
  <c r="K400"/>
  <c r="T400"/>
  <c r="O404"/>
  <c r="S406"/>
  <c r="S407"/>
  <c r="S409"/>
  <c r="L411"/>
  <c r="M411" s="1"/>
  <c r="L417"/>
  <c r="M417" s="1"/>
  <c r="L421"/>
  <c r="M421" s="1"/>
  <c r="S423"/>
  <c r="T423"/>
  <c r="V423"/>
  <c r="S427"/>
  <c r="T427"/>
  <c r="V427"/>
  <c r="S431"/>
  <c r="T431"/>
  <c r="V431"/>
  <c r="T322"/>
  <c r="L326"/>
  <c r="M326" s="1"/>
  <c r="P326"/>
  <c r="T326"/>
  <c r="L330"/>
  <c r="M330" s="1"/>
  <c r="P330"/>
  <c r="T330"/>
  <c r="L334"/>
  <c r="M334" s="1"/>
  <c r="P334"/>
  <c r="T334"/>
  <c r="L338"/>
  <c r="M338" s="1"/>
  <c r="P338"/>
  <c r="T338"/>
  <c r="L342"/>
  <c r="M342" s="1"/>
  <c r="P342"/>
  <c r="T342"/>
  <c r="L346"/>
  <c r="M346" s="1"/>
  <c r="P346"/>
  <c r="T346"/>
  <c r="L350"/>
  <c r="M350" s="1"/>
  <c r="P350"/>
  <c r="T350"/>
  <c r="L354"/>
  <c r="M354" s="1"/>
  <c r="P354"/>
  <c r="T354"/>
  <c r="L358"/>
  <c r="M358" s="1"/>
  <c r="P358"/>
  <c r="T358"/>
  <c r="L362"/>
  <c r="M362" s="1"/>
  <c r="P362"/>
  <c r="T362"/>
  <c r="L366"/>
  <c r="M366" s="1"/>
  <c r="P366"/>
  <c r="T366"/>
  <c r="L370"/>
  <c r="M370" s="1"/>
  <c r="P370"/>
  <c r="T370"/>
  <c r="L374"/>
  <c r="M374" s="1"/>
  <c r="P374"/>
  <c r="T374"/>
  <c r="L378"/>
  <c r="M378" s="1"/>
  <c r="P378"/>
  <c r="T378"/>
  <c r="L382"/>
  <c r="M382" s="1"/>
  <c r="P382"/>
  <c r="T382"/>
  <c r="L386"/>
  <c r="M386" s="1"/>
  <c r="P386"/>
  <c r="T386"/>
  <c r="L390"/>
  <c r="M390" s="1"/>
  <c r="P390"/>
  <c r="T390"/>
  <c r="L394"/>
  <c r="M394" s="1"/>
  <c r="P394"/>
  <c r="T394"/>
  <c r="L397"/>
  <c r="M397" s="1"/>
  <c r="T399"/>
  <c r="V400"/>
  <c r="P401"/>
  <c r="T401"/>
  <c r="S403"/>
  <c r="S405"/>
  <c r="O396"/>
  <c r="T397"/>
  <c r="S399"/>
  <c r="S401"/>
  <c r="L403"/>
  <c r="M403" s="1"/>
  <c r="M404"/>
  <c r="P407"/>
  <c r="V407"/>
  <c r="K408"/>
  <c r="T408"/>
  <c r="M412"/>
  <c r="P413"/>
  <c r="M416"/>
  <c r="P417"/>
  <c r="M420"/>
  <c r="P421"/>
  <c r="S411"/>
  <c r="V411"/>
  <c r="S415"/>
  <c r="V415"/>
  <c r="S419"/>
  <c r="V419"/>
  <c r="O423"/>
  <c r="P423"/>
  <c r="O427"/>
  <c r="P427"/>
  <c r="O431"/>
  <c r="P431"/>
  <c r="O435"/>
  <c r="P435"/>
  <c r="S495"/>
  <c r="V495"/>
  <c r="O499"/>
  <c r="P499"/>
  <c r="O503"/>
  <c r="P503"/>
  <c r="O507"/>
  <c r="P507"/>
  <c r="S483"/>
  <c r="V493"/>
  <c r="S493"/>
  <c r="V497"/>
  <c r="S497"/>
  <c r="K499"/>
  <c r="L499"/>
  <c r="M499" s="1"/>
  <c r="K503"/>
  <c r="L503"/>
  <c r="M503" s="1"/>
  <c r="K507"/>
  <c r="L507"/>
  <c r="M507" s="1"/>
  <c r="S425"/>
  <c r="S429"/>
  <c r="S433"/>
  <c r="V435"/>
  <c r="S437"/>
  <c r="V439"/>
  <c r="S441"/>
  <c r="V443"/>
  <c r="S445"/>
  <c r="V447"/>
  <c r="S449"/>
  <c r="V451"/>
  <c r="S453"/>
  <c r="V455"/>
  <c r="S457"/>
  <c r="V459"/>
  <c r="S461"/>
  <c r="V463"/>
  <c r="S465"/>
  <c r="V467"/>
  <c r="S469"/>
  <c r="V471"/>
  <c r="S473"/>
  <c r="V475"/>
  <c r="S477"/>
  <c r="S479"/>
  <c r="S481"/>
  <c r="L483"/>
  <c r="M483" s="1"/>
  <c r="M484"/>
  <c r="Z486"/>
  <c r="P487"/>
  <c r="K488"/>
  <c r="T488"/>
  <c r="O492"/>
  <c r="L493"/>
  <c r="M493" s="1"/>
  <c r="L497"/>
  <c r="M497" s="1"/>
  <c r="S499"/>
  <c r="T499"/>
  <c r="V499"/>
  <c r="S503"/>
  <c r="T503"/>
  <c r="V503"/>
  <c r="S507"/>
  <c r="T507"/>
  <c r="V507"/>
  <c r="T435"/>
  <c r="L439"/>
  <c r="M439" s="1"/>
  <c r="P439"/>
  <c r="T439"/>
  <c r="L443"/>
  <c r="M443" s="1"/>
  <c r="P443"/>
  <c r="T443"/>
  <c r="L447"/>
  <c r="M447" s="1"/>
  <c r="P447"/>
  <c r="T447"/>
  <c r="L451"/>
  <c r="M451" s="1"/>
  <c r="P451"/>
  <c r="T451"/>
  <c r="L455"/>
  <c r="M455" s="1"/>
  <c r="P455"/>
  <c r="T455"/>
  <c r="L459"/>
  <c r="M459" s="1"/>
  <c r="P459"/>
  <c r="T459"/>
  <c r="L463"/>
  <c r="M463" s="1"/>
  <c r="P463"/>
  <c r="T463"/>
  <c r="L467"/>
  <c r="M467" s="1"/>
  <c r="P467"/>
  <c r="T467"/>
  <c r="L471"/>
  <c r="M471" s="1"/>
  <c r="P471"/>
  <c r="T471"/>
  <c r="L475"/>
  <c r="M475" s="1"/>
  <c r="P475"/>
  <c r="T475"/>
  <c r="L479"/>
  <c r="M479" s="1"/>
  <c r="V483"/>
  <c r="L485"/>
  <c r="M485" s="1"/>
  <c r="T487"/>
  <c r="V488"/>
  <c r="P489"/>
  <c r="T489"/>
  <c r="S491"/>
  <c r="P479"/>
  <c r="V479"/>
  <c r="K480"/>
  <c r="T480"/>
  <c r="O484"/>
  <c r="T485"/>
  <c r="S487"/>
  <c r="S489"/>
  <c r="L491"/>
  <c r="M491" s="1"/>
  <c r="M492"/>
  <c r="P493"/>
  <c r="T495"/>
  <c r="M496"/>
  <c r="P497"/>
  <c r="S501"/>
  <c r="S505"/>
  <c r="S509"/>
  <c r="V511"/>
  <c r="S513"/>
  <c r="V515"/>
  <c r="S517"/>
  <c r="V519"/>
  <c r="S521"/>
  <c r="V523"/>
  <c r="S525"/>
  <c r="V527"/>
  <c r="S529"/>
  <c r="V531"/>
  <c r="S533"/>
  <c r="V535"/>
  <c r="S537"/>
  <c r="V539"/>
  <c r="S541"/>
  <c r="V543"/>
  <c r="S545"/>
  <c r="V547"/>
  <c r="S549"/>
  <c r="V551"/>
  <c r="S553"/>
  <c r="V555"/>
  <c r="S557"/>
  <c r="V559"/>
  <c r="S561"/>
  <c r="V563"/>
  <c r="S565"/>
  <c r="V567"/>
  <c r="S569"/>
  <c r="L570"/>
  <c r="M570" s="1"/>
  <c r="P570"/>
  <c r="V571"/>
  <c r="L511"/>
  <c r="M511" s="1"/>
  <c r="P511"/>
  <c r="T511"/>
  <c r="L515"/>
  <c r="M515" s="1"/>
  <c r="P515"/>
  <c r="T515"/>
  <c r="L519"/>
  <c r="M519" s="1"/>
  <c r="P519"/>
  <c r="T519"/>
  <c r="L523"/>
  <c r="M523" s="1"/>
  <c r="P523"/>
  <c r="T523"/>
  <c r="L527"/>
  <c r="M527" s="1"/>
  <c r="P527"/>
  <c r="T527"/>
  <c r="L531"/>
  <c r="M531" s="1"/>
  <c r="P531"/>
  <c r="T531"/>
  <c r="L535"/>
  <c r="M535" s="1"/>
  <c r="P535"/>
  <c r="T535"/>
  <c r="L539"/>
  <c r="M539" s="1"/>
  <c r="P539"/>
  <c r="T539"/>
  <c r="L543"/>
  <c r="M543" s="1"/>
  <c r="P543"/>
  <c r="T543"/>
  <c r="L547"/>
  <c r="M547" s="1"/>
  <c r="P547"/>
  <c r="T547"/>
  <c r="L551"/>
  <c r="M551" s="1"/>
  <c r="P551"/>
  <c r="T551"/>
  <c r="L555"/>
  <c r="M555" s="1"/>
  <c r="P555"/>
  <c r="T555"/>
  <c r="L559"/>
  <c r="M559" s="1"/>
  <c r="P559"/>
  <c r="T559"/>
  <c r="L563"/>
  <c r="M563" s="1"/>
  <c r="P563"/>
  <c r="T563"/>
  <c r="L567"/>
  <c r="M567" s="1"/>
  <c r="P567"/>
  <c r="T567"/>
  <c r="L571"/>
  <c r="M571" s="1"/>
  <c r="P571"/>
  <c r="M7" i="27"/>
  <c r="L124"/>
  <c r="M124" s="1"/>
  <c r="K124"/>
  <c r="O143"/>
  <c r="P143"/>
  <c r="O147"/>
  <c r="P147"/>
  <c r="O155"/>
  <c r="P155"/>
  <c r="P168"/>
  <c r="O168"/>
  <c r="K2"/>
  <c r="T2"/>
  <c r="O4"/>
  <c r="S4"/>
  <c r="K5"/>
  <c r="S7"/>
  <c r="K8"/>
  <c r="O13"/>
  <c r="S13"/>
  <c r="O17"/>
  <c r="S17"/>
  <c r="P18"/>
  <c r="L26"/>
  <c r="M26" s="1"/>
  <c r="V27"/>
  <c r="K29"/>
  <c r="T29"/>
  <c r="S31"/>
  <c r="O33"/>
  <c r="S33"/>
  <c r="P34"/>
  <c r="S40"/>
  <c r="L42"/>
  <c r="M42" s="1"/>
  <c r="V43"/>
  <c r="K45"/>
  <c r="S47"/>
  <c r="O49"/>
  <c r="S49"/>
  <c r="P50"/>
  <c r="T54"/>
  <c r="S56"/>
  <c r="L58"/>
  <c r="M58" s="1"/>
  <c r="V59"/>
  <c r="K61"/>
  <c r="S63"/>
  <c r="O66"/>
  <c r="S66"/>
  <c r="P67"/>
  <c r="T71"/>
  <c r="S73"/>
  <c r="L75"/>
  <c r="M75" s="1"/>
  <c r="V76"/>
  <c r="K78"/>
  <c r="S80"/>
  <c r="O82"/>
  <c r="S82"/>
  <c r="P83"/>
  <c r="P87"/>
  <c r="O90"/>
  <c r="T90"/>
  <c r="T91"/>
  <c r="V92"/>
  <c r="K94"/>
  <c r="K102"/>
  <c r="O102"/>
  <c r="S102"/>
  <c r="T103"/>
  <c r="S104"/>
  <c r="T105"/>
  <c r="O108"/>
  <c r="L109"/>
  <c r="M109" s="1"/>
  <c r="P111"/>
  <c r="S114"/>
  <c r="O116"/>
  <c r="O118"/>
  <c r="P119"/>
  <c r="K122"/>
  <c r="S130"/>
  <c r="S132"/>
  <c r="T135"/>
  <c r="O136"/>
  <c r="P138"/>
  <c r="P139"/>
  <c r="Z170"/>
  <c r="K115"/>
  <c r="L115"/>
  <c r="M115" s="1"/>
  <c r="P140"/>
  <c r="O140"/>
  <c r="P144"/>
  <c r="O144"/>
  <c r="P148"/>
  <c r="O148"/>
  <c r="Z150"/>
  <c r="S150"/>
  <c r="V156"/>
  <c r="S156"/>
  <c r="Z158"/>
  <c r="D32" i="18" s="1"/>
  <c r="F32" s="1"/>
  <c r="S158" i="27"/>
  <c r="V160"/>
  <c r="S160"/>
  <c r="Z162"/>
  <c r="S162"/>
  <c r="V164"/>
  <c r="S164"/>
  <c r="P166"/>
  <c r="O166"/>
  <c r="L168"/>
  <c r="M168" s="1"/>
  <c r="K168"/>
  <c r="S108"/>
  <c r="S134"/>
  <c r="S136"/>
  <c r="T159"/>
  <c r="T163"/>
  <c r="L116"/>
  <c r="M116" s="1"/>
  <c r="K116"/>
  <c r="K119"/>
  <c r="L119"/>
  <c r="M119" s="1"/>
  <c r="O151"/>
  <c r="P151"/>
  <c r="V168"/>
  <c r="S168"/>
  <c r="P170"/>
  <c r="O170"/>
  <c r="T27"/>
  <c r="P37"/>
  <c r="S41"/>
  <c r="V42"/>
  <c r="T43"/>
  <c r="L49"/>
  <c r="M49" s="1"/>
  <c r="S50"/>
  <c r="P53"/>
  <c r="S57"/>
  <c r="V58"/>
  <c r="T59"/>
  <c r="L66"/>
  <c r="M66" s="1"/>
  <c r="S67"/>
  <c r="P70"/>
  <c r="S74"/>
  <c r="V75"/>
  <c r="T76"/>
  <c r="L82"/>
  <c r="M82" s="1"/>
  <c r="S83"/>
  <c r="Z86"/>
  <c r="D101" i="18" s="1"/>
  <c r="F101" s="1"/>
  <c r="L90" i="27"/>
  <c r="M90" s="1"/>
  <c r="T92"/>
  <c r="V96"/>
  <c r="S97"/>
  <c r="P98"/>
  <c r="T102"/>
  <c r="T104"/>
  <c r="S110"/>
  <c r="S112"/>
  <c r="L114"/>
  <c r="M114" s="1"/>
  <c r="T114"/>
  <c r="S120"/>
  <c r="S124"/>
  <c r="V128"/>
  <c r="T134"/>
  <c r="S138"/>
  <c r="M140"/>
  <c r="S140"/>
  <c r="S142"/>
  <c r="S144"/>
  <c r="S146"/>
  <c r="S148"/>
  <c r="L120"/>
  <c r="M120" s="1"/>
  <c r="K120"/>
  <c r="K123"/>
  <c r="L123"/>
  <c r="M123" s="1"/>
  <c r="P152"/>
  <c r="O152"/>
  <c r="K167"/>
  <c r="L167"/>
  <c r="M167" s="1"/>
  <c r="T3"/>
  <c r="T5"/>
  <c r="V7"/>
  <c r="T11"/>
  <c r="M12"/>
  <c r="P14"/>
  <c r="T15"/>
  <c r="M16"/>
  <c r="S19"/>
  <c r="P22"/>
  <c r="T23"/>
  <c r="L30"/>
  <c r="M30" s="1"/>
  <c r="V31"/>
  <c r="S35"/>
  <c r="P38"/>
  <c r="V38"/>
  <c r="T39"/>
  <c r="S44"/>
  <c r="L46"/>
  <c r="M46" s="1"/>
  <c r="S46"/>
  <c r="V47"/>
  <c r="S51"/>
  <c r="P54"/>
  <c r="V54"/>
  <c r="T55"/>
  <c r="S60"/>
  <c r="L62"/>
  <c r="M62" s="1"/>
  <c r="S62"/>
  <c r="V63"/>
  <c r="S68"/>
  <c r="P71"/>
  <c r="V71"/>
  <c r="T72"/>
  <c r="S77"/>
  <c r="L79"/>
  <c r="M79" s="1"/>
  <c r="S79"/>
  <c r="V80"/>
  <c r="S84"/>
  <c r="T86"/>
  <c r="K88"/>
  <c r="O92"/>
  <c r="T101"/>
  <c r="O104"/>
  <c r="L105"/>
  <c r="M105" s="1"/>
  <c r="T106"/>
  <c r="P107"/>
  <c r="T108"/>
  <c r="K112"/>
  <c r="O114"/>
  <c r="P115"/>
  <c r="K118"/>
  <c r="T118"/>
  <c r="M122"/>
  <c r="S126"/>
  <c r="V130"/>
  <c r="T131"/>
  <c r="O132"/>
  <c r="P134"/>
  <c r="P135"/>
  <c r="L138"/>
  <c r="M138" s="1"/>
  <c r="T138"/>
  <c r="O291"/>
  <c r="P291"/>
  <c r="K308"/>
  <c r="L308"/>
  <c r="M308" s="1"/>
  <c r="O319"/>
  <c r="P319"/>
  <c r="T324"/>
  <c r="T124"/>
  <c r="T128"/>
  <c r="T132"/>
  <c r="T136"/>
  <c r="T158"/>
  <c r="T162"/>
  <c r="L171"/>
  <c r="M171" s="1"/>
  <c r="K172"/>
  <c r="O172"/>
  <c r="S172"/>
  <c r="O174"/>
  <c r="L175"/>
  <c r="M175" s="1"/>
  <c r="K176"/>
  <c r="O176"/>
  <c r="S176"/>
  <c r="O178"/>
  <c r="L179"/>
  <c r="M179" s="1"/>
  <c r="K180"/>
  <c r="O180"/>
  <c r="S180"/>
  <c r="O182"/>
  <c r="L183"/>
  <c r="M183" s="1"/>
  <c r="K184"/>
  <c r="O184"/>
  <c r="S184"/>
  <c r="O186"/>
  <c r="L187"/>
  <c r="M187" s="1"/>
  <c r="K188"/>
  <c r="O188"/>
  <c r="S188"/>
  <c r="O190"/>
  <c r="L191"/>
  <c r="M191" s="1"/>
  <c r="K192"/>
  <c r="O192"/>
  <c r="S192"/>
  <c r="O194"/>
  <c r="L195"/>
  <c r="M195" s="1"/>
  <c r="K196"/>
  <c r="O196"/>
  <c r="S196"/>
  <c r="O198"/>
  <c r="K199"/>
  <c r="O199"/>
  <c r="S199"/>
  <c r="O201"/>
  <c r="L202"/>
  <c r="M202" s="1"/>
  <c r="K203"/>
  <c r="O203"/>
  <c r="S203"/>
  <c r="O205"/>
  <c r="L206"/>
  <c r="M206" s="1"/>
  <c r="K207"/>
  <c r="O207"/>
  <c r="S207"/>
  <c r="O209"/>
  <c r="L210"/>
  <c r="M210" s="1"/>
  <c r="K211"/>
  <c r="O211"/>
  <c r="S211"/>
  <c r="O213"/>
  <c r="L214"/>
  <c r="M214" s="1"/>
  <c r="K215"/>
  <c r="O215"/>
  <c r="S215"/>
  <c r="O217"/>
  <c r="L218"/>
  <c r="M218" s="1"/>
  <c r="K219"/>
  <c r="O219"/>
  <c r="S219"/>
  <c r="O221"/>
  <c r="L222"/>
  <c r="M222" s="1"/>
  <c r="K223"/>
  <c r="O223"/>
  <c r="S223"/>
  <c r="O225"/>
  <c r="L226"/>
  <c r="M226" s="1"/>
  <c r="K227"/>
  <c r="O227"/>
  <c r="O229"/>
  <c r="L230"/>
  <c r="M230" s="1"/>
  <c r="K231"/>
  <c r="O231"/>
  <c r="O233"/>
  <c r="L234"/>
  <c r="M234" s="1"/>
  <c r="K235"/>
  <c r="O235"/>
  <c r="O237"/>
  <c r="L238"/>
  <c r="M238" s="1"/>
  <c r="K239"/>
  <c r="O239"/>
  <c r="O241"/>
  <c r="L242"/>
  <c r="M242" s="1"/>
  <c r="K243"/>
  <c r="O243"/>
  <c r="O245"/>
  <c r="L246"/>
  <c r="M246" s="1"/>
  <c r="K247"/>
  <c r="O247"/>
  <c r="O249"/>
  <c r="L250"/>
  <c r="M250" s="1"/>
  <c r="K251"/>
  <c r="O251"/>
  <c r="O253"/>
  <c r="L254"/>
  <c r="M254" s="1"/>
  <c r="K255"/>
  <c r="O255"/>
  <c r="O263"/>
  <c r="O264"/>
  <c r="M265"/>
  <c r="V265"/>
  <c r="K267"/>
  <c r="T267"/>
  <c r="K268"/>
  <c r="T282"/>
  <c r="Z284"/>
  <c r="M285"/>
  <c r="T286"/>
  <c r="P288"/>
  <c r="T292"/>
  <c r="T307"/>
  <c r="T320"/>
  <c r="T327"/>
  <c r="P286"/>
  <c r="O286"/>
  <c r="L290"/>
  <c r="M290" s="1"/>
  <c r="K290"/>
  <c r="O292"/>
  <c r="P292"/>
  <c r="O307"/>
  <c r="P307"/>
  <c r="P314"/>
  <c r="O314"/>
  <c r="O327"/>
  <c r="P327"/>
  <c r="S174"/>
  <c r="S178"/>
  <c r="S182"/>
  <c r="S186"/>
  <c r="S190"/>
  <c r="S194"/>
  <c r="S198"/>
  <c r="S201"/>
  <c r="S205"/>
  <c r="S209"/>
  <c r="S213"/>
  <c r="S217"/>
  <c r="S221"/>
  <c r="S225"/>
  <c r="T277"/>
  <c r="Z280"/>
  <c r="M281"/>
  <c r="O282"/>
  <c r="T284"/>
  <c r="O294"/>
  <c r="T328"/>
  <c r="Z296"/>
  <c r="P298"/>
  <c r="O298"/>
  <c r="Z300"/>
  <c r="V302"/>
  <c r="L306"/>
  <c r="M306" s="1"/>
  <c r="K306"/>
  <c r="L317"/>
  <c r="M317" s="1"/>
  <c r="K317"/>
  <c r="V319"/>
  <c r="Z322"/>
  <c r="T156"/>
  <c r="T160"/>
  <c r="T164"/>
  <c r="T168"/>
  <c r="T172"/>
  <c r="T176"/>
  <c r="T180"/>
  <c r="T184"/>
  <c r="T188"/>
  <c r="T192"/>
  <c r="T196"/>
  <c r="T199"/>
  <c r="T203"/>
  <c r="T207"/>
  <c r="T211"/>
  <c r="T215"/>
  <c r="T219"/>
  <c r="T223"/>
  <c r="T227"/>
  <c r="T231"/>
  <c r="T235"/>
  <c r="T239"/>
  <c r="T243"/>
  <c r="T247"/>
  <c r="T251"/>
  <c r="T255"/>
  <c r="T258"/>
  <c r="T265"/>
  <c r="K292"/>
  <c r="L292"/>
  <c r="M292" s="1"/>
  <c r="K303"/>
  <c r="L303"/>
  <c r="M303" s="1"/>
  <c r="O308"/>
  <c r="P308"/>
  <c r="V327"/>
  <c r="T152"/>
  <c r="S154"/>
  <c r="T166"/>
  <c r="T170"/>
  <c r="T174"/>
  <c r="T178"/>
  <c r="T182"/>
  <c r="T186"/>
  <c r="T190"/>
  <c r="T194"/>
  <c r="T198"/>
  <c r="T201"/>
  <c r="T205"/>
  <c r="T209"/>
  <c r="T213"/>
  <c r="T217"/>
  <c r="T221"/>
  <c r="T225"/>
  <c r="T229"/>
  <c r="T233"/>
  <c r="T237"/>
  <c r="T241"/>
  <c r="T245"/>
  <c r="T249"/>
  <c r="T253"/>
  <c r="M261"/>
  <c r="V261"/>
  <c r="T262"/>
  <c r="T269"/>
  <c r="T278"/>
  <c r="T281"/>
  <c r="T291"/>
  <c r="T288"/>
  <c r="T293"/>
  <c r="K294"/>
  <c r="T298"/>
  <c r="M301"/>
  <c r="O302"/>
  <c r="T304"/>
  <c r="T309"/>
  <c r="K310"/>
  <c r="Z310"/>
  <c r="T314"/>
  <c r="K318"/>
  <c r="P320"/>
  <c r="M322"/>
  <c r="T325"/>
  <c r="M326"/>
  <c r="P328"/>
  <c r="T329"/>
  <c r="M330"/>
  <c r="K331"/>
  <c r="P331"/>
  <c r="P332"/>
  <c r="T333"/>
  <c r="O335"/>
  <c r="V336"/>
  <c r="V344"/>
  <c r="V348"/>
  <c r="V352"/>
  <c r="V356"/>
  <c r="V360"/>
  <c r="V364"/>
  <c r="V368"/>
  <c r="V372"/>
  <c r="V376"/>
  <c r="V380"/>
  <c r="V384"/>
  <c r="V388"/>
  <c r="V392"/>
  <c r="P398"/>
  <c r="T398"/>
  <c r="L399"/>
  <c r="M399" s="1"/>
  <c r="P407"/>
  <c r="L411"/>
  <c r="M411" s="1"/>
  <c r="P414"/>
  <c r="T414"/>
  <c r="P415"/>
  <c r="P419"/>
  <c r="L422"/>
  <c r="M422" s="1"/>
  <c r="Z431"/>
  <c r="L434"/>
  <c r="M434" s="1"/>
  <c r="P438"/>
  <c r="L439"/>
  <c r="M439" s="1"/>
  <c r="P439"/>
  <c r="Z447"/>
  <c r="L450"/>
  <c r="M450" s="1"/>
  <c r="P454"/>
  <c r="L455"/>
  <c r="M455" s="1"/>
  <c r="P455"/>
  <c r="Z463"/>
  <c r="L466"/>
  <c r="M466" s="1"/>
  <c r="P470"/>
  <c r="L471"/>
  <c r="M471" s="1"/>
  <c r="P471"/>
  <c r="L485"/>
  <c r="M485" s="1"/>
  <c r="L486"/>
  <c r="M486" s="1"/>
  <c r="P486"/>
  <c r="L489"/>
  <c r="M489" s="1"/>
  <c r="P490"/>
  <c r="T550"/>
  <c r="K552"/>
  <c r="P553"/>
  <c r="O554"/>
  <c r="T556"/>
  <c r="O560"/>
  <c r="L561"/>
  <c r="M561" s="1"/>
  <c r="K562"/>
  <c r="Z566"/>
  <c r="T568"/>
  <c r="P569"/>
  <c r="Z570"/>
  <c r="M297"/>
  <c r="Z312"/>
  <c r="M313"/>
  <c r="M318"/>
  <c r="L400"/>
  <c r="M400" s="1"/>
  <c r="M402"/>
  <c r="P404"/>
  <c r="V409"/>
  <c r="V416"/>
  <c r="O417"/>
  <c r="T424"/>
  <c r="T425"/>
  <c r="Z427"/>
  <c r="O429"/>
  <c r="T431"/>
  <c r="T436"/>
  <c r="K437"/>
  <c r="T441"/>
  <c r="Z443"/>
  <c r="O445"/>
  <c r="T447"/>
  <c r="T452"/>
  <c r="K453"/>
  <c r="T457"/>
  <c r="Z459"/>
  <c r="O461"/>
  <c r="T463"/>
  <c r="T468"/>
  <c r="K469"/>
  <c r="T473"/>
  <c r="Z475"/>
  <c r="O477"/>
  <c r="O481"/>
  <c r="K488"/>
  <c r="O492"/>
  <c r="T494"/>
  <c r="O496"/>
  <c r="T498"/>
  <c r="K500"/>
  <c r="P501"/>
  <c r="T502"/>
  <c r="K504"/>
  <c r="P505"/>
  <c r="T506"/>
  <c r="K508"/>
  <c r="P509"/>
  <c r="T510"/>
  <c r="K512"/>
  <c r="P513"/>
  <c r="T514"/>
  <c r="K516"/>
  <c r="P517"/>
  <c r="T518"/>
  <c r="K520"/>
  <c r="P521"/>
  <c r="T522"/>
  <c r="K524"/>
  <c r="P525"/>
  <c r="T526"/>
  <c r="K528"/>
  <c r="P529"/>
  <c r="T530"/>
  <c r="K532"/>
  <c r="P533"/>
  <c r="T534"/>
  <c r="K536"/>
  <c r="P537"/>
  <c r="K540"/>
  <c r="V550"/>
  <c r="V556"/>
  <c r="V568"/>
  <c r="T529"/>
  <c r="T533"/>
  <c r="T537"/>
  <c r="T540"/>
  <c r="T541"/>
  <c r="T544"/>
  <c r="T545"/>
  <c r="T548"/>
  <c r="T549"/>
  <c r="O552"/>
  <c r="L553"/>
  <c r="M553" s="1"/>
  <c r="K554"/>
  <c r="T558"/>
  <c r="K560"/>
  <c r="P561"/>
  <c r="O562"/>
  <c r="T564"/>
  <c r="T565"/>
  <c r="O566"/>
  <c r="L569"/>
  <c r="M569" s="1"/>
  <c r="T571"/>
  <c r="T297"/>
  <c r="T302"/>
  <c r="T308"/>
  <c r="T313"/>
  <c r="T409"/>
  <c r="P410"/>
  <c r="T412"/>
  <c r="T416"/>
  <c r="M417"/>
  <c r="T419"/>
  <c r="V420"/>
  <c r="V424"/>
  <c r="T428"/>
  <c r="K429"/>
  <c r="T430"/>
  <c r="T433"/>
  <c r="O437"/>
  <c r="T439"/>
  <c r="T444"/>
  <c r="K445"/>
  <c r="T446"/>
  <c r="T449"/>
  <c r="O453"/>
  <c r="T455"/>
  <c r="T460"/>
  <c r="K461"/>
  <c r="T462"/>
  <c r="T465"/>
  <c r="O469"/>
  <c r="T471"/>
  <c r="T476"/>
  <c r="K477"/>
  <c r="T478"/>
  <c r="P479"/>
  <c r="K480"/>
  <c r="O484"/>
  <c r="T486"/>
  <c r="O488"/>
  <c r="T489"/>
  <c r="T490"/>
  <c r="K492"/>
  <c r="K496"/>
  <c r="O500"/>
  <c r="L501"/>
  <c r="M501" s="1"/>
  <c r="O504"/>
  <c r="L505"/>
  <c r="M505" s="1"/>
  <c r="O508"/>
  <c r="L509"/>
  <c r="M509" s="1"/>
  <c r="O512"/>
  <c r="L513"/>
  <c r="M513" s="1"/>
  <c r="O516"/>
  <c r="L517"/>
  <c r="M517" s="1"/>
  <c r="O520"/>
  <c r="L521"/>
  <c r="M521" s="1"/>
  <c r="K24"/>
  <c r="L24"/>
  <c r="M24" s="1"/>
  <c r="K32"/>
  <c r="L32"/>
  <c r="M32" s="1"/>
  <c r="K3"/>
  <c r="L4"/>
  <c r="M4" s="1"/>
  <c r="T6"/>
  <c r="T7"/>
  <c r="S10"/>
  <c r="S14"/>
  <c r="O7"/>
  <c r="P7"/>
  <c r="O11"/>
  <c r="P11"/>
  <c r="O15"/>
  <c r="P15"/>
  <c r="O20"/>
  <c r="P20"/>
  <c r="S24"/>
  <c r="T24"/>
  <c r="V24"/>
  <c r="O28"/>
  <c r="P28"/>
  <c r="S32"/>
  <c r="T32"/>
  <c r="V32"/>
  <c r="O3"/>
  <c r="S6"/>
  <c r="O8"/>
  <c r="O12"/>
  <c r="O16"/>
  <c r="S18"/>
  <c r="S26"/>
  <c r="S34"/>
  <c r="K20"/>
  <c r="L20"/>
  <c r="M20" s="1"/>
  <c r="K28"/>
  <c r="L28"/>
  <c r="M28" s="1"/>
  <c r="T8"/>
  <c r="V8"/>
  <c r="K11"/>
  <c r="L11"/>
  <c r="M11" s="1"/>
  <c r="T12"/>
  <c r="V12"/>
  <c r="K15"/>
  <c r="L15"/>
  <c r="M15" s="1"/>
  <c r="T16"/>
  <c r="V16"/>
  <c r="S20"/>
  <c r="T20"/>
  <c r="V20"/>
  <c r="O24"/>
  <c r="P24"/>
  <c r="S28"/>
  <c r="T28"/>
  <c r="V28"/>
  <c r="O32"/>
  <c r="P32"/>
  <c r="M3"/>
  <c r="P6"/>
  <c r="V6"/>
  <c r="K7"/>
  <c r="S9"/>
  <c r="K12"/>
  <c r="K16"/>
  <c r="S22"/>
  <c r="S30"/>
  <c r="K117"/>
  <c r="L117"/>
  <c r="M117" s="1"/>
  <c r="S121"/>
  <c r="T121"/>
  <c r="V121"/>
  <c r="O129"/>
  <c r="P129"/>
  <c r="K133"/>
  <c r="L133"/>
  <c r="M133" s="1"/>
  <c r="S137"/>
  <c r="T137"/>
  <c r="V137"/>
  <c r="O145"/>
  <c r="P145"/>
  <c r="K149"/>
  <c r="L149"/>
  <c r="M149" s="1"/>
  <c r="S153"/>
  <c r="T153"/>
  <c r="V153"/>
  <c r="O161"/>
  <c r="P161"/>
  <c r="K165"/>
  <c r="L165"/>
  <c r="M165" s="1"/>
  <c r="K169"/>
  <c r="L169"/>
  <c r="M169" s="1"/>
  <c r="K173"/>
  <c r="L173"/>
  <c r="M173" s="1"/>
  <c r="K177"/>
  <c r="L177"/>
  <c r="M177" s="1"/>
  <c r="K181"/>
  <c r="L181"/>
  <c r="M181" s="1"/>
  <c r="K185"/>
  <c r="L185"/>
  <c r="M185" s="1"/>
  <c r="K189"/>
  <c r="L189"/>
  <c r="M189" s="1"/>
  <c r="K193"/>
  <c r="L193"/>
  <c r="M193" s="1"/>
  <c r="K197"/>
  <c r="L197"/>
  <c r="M197" s="1"/>
  <c r="K200"/>
  <c r="L200"/>
  <c r="M200" s="1"/>
  <c r="K204"/>
  <c r="L204"/>
  <c r="M204" s="1"/>
  <c r="K208"/>
  <c r="L208"/>
  <c r="M208" s="1"/>
  <c r="L19"/>
  <c r="M19" s="1"/>
  <c r="P19"/>
  <c r="L23"/>
  <c r="M23" s="1"/>
  <c r="P23"/>
  <c r="L27"/>
  <c r="M27" s="1"/>
  <c r="P27"/>
  <c r="L31"/>
  <c r="M31" s="1"/>
  <c r="P31"/>
  <c r="L35"/>
  <c r="M35" s="1"/>
  <c r="P35"/>
  <c r="V36"/>
  <c r="L39"/>
  <c r="M39" s="1"/>
  <c r="P39"/>
  <c r="V40"/>
  <c r="L43"/>
  <c r="M43" s="1"/>
  <c r="P43"/>
  <c r="V44"/>
  <c r="L47"/>
  <c r="M47" s="1"/>
  <c r="P47"/>
  <c r="V48"/>
  <c r="L51"/>
  <c r="M51" s="1"/>
  <c r="P51"/>
  <c r="V52"/>
  <c r="L55"/>
  <c r="M55" s="1"/>
  <c r="P55"/>
  <c r="V56"/>
  <c r="L59"/>
  <c r="M59" s="1"/>
  <c r="P59"/>
  <c r="V60"/>
  <c r="L63"/>
  <c r="M63" s="1"/>
  <c r="P63"/>
  <c r="V65"/>
  <c r="L68"/>
  <c r="M68" s="1"/>
  <c r="P68"/>
  <c r="V69"/>
  <c r="L72"/>
  <c r="M72" s="1"/>
  <c r="P72"/>
  <c r="V73"/>
  <c r="L76"/>
  <c r="M76" s="1"/>
  <c r="P76"/>
  <c r="V77"/>
  <c r="L80"/>
  <c r="M80" s="1"/>
  <c r="P80"/>
  <c r="V81"/>
  <c r="L84"/>
  <c r="M84" s="1"/>
  <c r="P84"/>
  <c r="T87"/>
  <c r="O88"/>
  <c r="V88"/>
  <c r="P89"/>
  <c r="T89"/>
  <c r="S90"/>
  <c r="S91"/>
  <c r="S93"/>
  <c r="L95"/>
  <c r="M95" s="1"/>
  <c r="M96"/>
  <c r="P99"/>
  <c r="K100"/>
  <c r="T100"/>
  <c r="L101"/>
  <c r="M101" s="1"/>
  <c r="M136"/>
  <c r="M152"/>
  <c r="S117"/>
  <c r="T117"/>
  <c r="V117"/>
  <c r="O125"/>
  <c r="P125"/>
  <c r="K129"/>
  <c r="L129"/>
  <c r="M129" s="1"/>
  <c r="S133"/>
  <c r="T133"/>
  <c r="V133"/>
  <c r="O141"/>
  <c r="P141"/>
  <c r="K145"/>
  <c r="L145"/>
  <c r="M145" s="1"/>
  <c r="S149"/>
  <c r="T149"/>
  <c r="V149"/>
  <c r="O157"/>
  <c r="P157"/>
  <c r="K161"/>
  <c r="L161"/>
  <c r="M161" s="1"/>
  <c r="S165"/>
  <c r="T165"/>
  <c r="V165"/>
  <c r="S169"/>
  <c r="T169"/>
  <c r="V169"/>
  <c r="S173"/>
  <c r="T173"/>
  <c r="V173"/>
  <c r="S177"/>
  <c r="T177"/>
  <c r="V177"/>
  <c r="S181"/>
  <c r="T181"/>
  <c r="V181"/>
  <c r="S185"/>
  <c r="T185"/>
  <c r="V185"/>
  <c r="S189"/>
  <c r="T189"/>
  <c r="V189"/>
  <c r="S193"/>
  <c r="T193"/>
  <c r="V193"/>
  <c r="S197"/>
  <c r="T197"/>
  <c r="V197"/>
  <c r="S200"/>
  <c r="T200"/>
  <c r="V200"/>
  <c r="S204"/>
  <c r="T204"/>
  <c r="V204"/>
  <c r="S208"/>
  <c r="T208"/>
  <c r="V208"/>
  <c r="L36"/>
  <c r="M36" s="1"/>
  <c r="P36"/>
  <c r="T36"/>
  <c r="L40"/>
  <c r="M40" s="1"/>
  <c r="P40"/>
  <c r="T40"/>
  <c r="L44"/>
  <c r="M44" s="1"/>
  <c r="P44"/>
  <c r="T44"/>
  <c r="L48"/>
  <c r="M48" s="1"/>
  <c r="P48"/>
  <c r="T48"/>
  <c r="L52"/>
  <c r="M52" s="1"/>
  <c r="P52"/>
  <c r="T52"/>
  <c r="L56"/>
  <c r="M56" s="1"/>
  <c r="P56"/>
  <c r="T56"/>
  <c r="L60"/>
  <c r="M60" s="1"/>
  <c r="P60"/>
  <c r="T60"/>
  <c r="L65"/>
  <c r="M65" s="1"/>
  <c r="P65"/>
  <c r="T65"/>
  <c r="L69"/>
  <c r="M69" s="1"/>
  <c r="P69"/>
  <c r="T69"/>
  <c r="L73"/>
  <c r="M73" s="1"/>
  <c r="P73"/>
  <c r="T73"/>
  <c r="L77"/>
  <c r="M77" s="1"/>
  <c r="P77"/>
  <c r="T77"/>
  <c r="L81"/>
  <c r="M81" s="1"/>
  <c r="P81"/>
  <c r="T81"/>
  <c r="L85"/>
  <c r="M85" s="1"/>
  <c r="P85"/>
  <c r="T85"/>
  <c r="S87"/>
  <c r="S89"/>
  <c r="L91"/>
  <c r="M91" s="1"/>
  <c r="M92"/>
  <c r="P95"/>
  <c r="V95"/>
  <c r="K96"/>
  <c r="L97"/>
  <c r="M97" s="1"/>
  <c r="T99"/>
  <c r="O100"/>
  <c r="V100"/>
  <c r="P101"/>
  <c r="M104"/>
  <c r="P105"/>
  <c r="M108"/>
  <c r="P109"/>
  <c r="M112"/>
  <c r="P113"/>
  <c r="M132"/>
  <c r="M148"/>
  <c r="M164"/>
  <c r="V103"/>
  <c r="S103"/>
  <c r="V107"/>
  <c r="S107"/>
  <c r="V111"/>
  <c r="S111"/>
  <c r="O121"/>
  <c r="P121"/>
  <c r="K125"/>
  <c r="L125"/>
  <c r="M125" s="1"/>
  <c r="S129"/>
  <c r="T129"/>
  <c r="V129"/>
  <c r="O137"/>
  <c r="P137"/>
  <c r="K141"/>
  <c r="L141"/>
  <c r="M141" s="1"/>
  <c r="S145"/>
  <c r="T145"/>
  <c r="V145"/>
  <c r="O153"/>
  <c r="P153"/>
  <c r="K157"/>
  <c r="L157"/>
  <c r="M157" s="1"/>
  <c r="S161"/>
  <c r="T161"/>
  <c r="V161"/>
  <c r="S85"/>
  <c r="L87"/>
  <c r="M87" s="1"/>
  <c r="M88"/>
  <c r="P91"/>
  <c r="K92"/>
  <c r="O96"/>
  <c r="S99"/>
  <c r="L103"/>
  <c r="M103" s="1"/>
  <c r="L107"/>
  <c r="M107" s="1"/>
  <c r="L111"/>
  <c r="M111" s="1"/>
  <c r="M128"/>
  <c r="M144"/>
  <c r="M160"/>
  <c r="S101"/>
  <c r="V101"/>
  <c r="S105"/>
  <c r="V105"/>
  <c r="S109"/>
  <c r="V109"/>
  <c r="S113"/>
  <c r="V113"/>
  <c r="O117"/>
  <c r="P117"/>
  <c r="K121"/>
  <c r="L121"/>
  <c r="M121" s="1"/>
  <c r="S125"/>
  <c r="T125"/>
  <c r="V125"/>
  <c r="O133"/>
  <c r="P133"/>
  <c r="K137"/>
  <c r="L137"/>
  <c r="M137" s="1"/>
  <c r="S141"/>
  <c r="T141"/>
  <c r="V141"/>
  <c r="O149"/>
  <c r="P149"/>
  <c r="K153"/>
  <c r="L153"/>
  <c r="M153" s="1"/>
  <c r="S157"/>
  <c r="T157"/>
  <c r="V157"/>
  <c r="O165"/>
  <c r="P165"/>
  <c r="O169"/>
  <c r="P169"/>
  <c r="O173"/>
  <c r="P173"/>
  <c r="O177"/>
  <c r="P177"/>
  <c r="O181"/>
  <c r="P181"/>
  <c r="O185"/>
  <c r="P185"/>
  <c r="O189"/>
  <c r="P189"/>
  <c r="O193"/>
  <c r="P193"/>
  <c r="O197"/>
  <c r="P197"/>
  <c r="O200"/>
  <c r="P200"/>
  <c r="O204"/>
  <c r="P204"/>
  <c r="O208"/>
  <c r="P208"/>
  <c r="S95"/>
  <c r="P321"/>
  <c r="O321"/>
  <c r="P325"/>
  <c r="O325"/>
  <c r="P329"/>
  <c r="O329"/>
  <c r="P333"/>
  <c r="O333"/>
  <c r="V334"/>
  <c r="T334"/>
  <c r="O342"/>
  <c r="P342"/>
  <c r="K346"/>
  <c r="L346"/>
  <c r="M346" s="1"/>
  <c r="K257"/>
  <c r="O257"/>
  <c r="L258"/>
  <c r="M258" s="1"/>
  <c r="P258"/>
  <c r="K261"/>
  <c r="O261"/>
  <c r="L262"/>
  <c r="M262" s="1"/>
  <c r="P262"/>
  <c r="K265"/>
  <c r="O265"/>
  <c r="L266"/>
  <c r="M266" s="1"/>
  <c r="P266"/>
  <c r="K269"/>
  <c r="O269"/>
  <c r="L270"/>
  <c r="M270" s="1"/>
  <c r="P270"/>
  <c r="K273"/>
  <c r="O273"/>
  <c r="L274"/>
  <c r="M274" s="1"/>
  <c r="P274"/>
  <c r="K277"/>
  <c r="O277"/>
  <c r="L278"/>
  <c r="M278" s="1"/>
  <c r="P278"/>
  <c r="Z279"/>
  <c r="K281"/>
  <c r="O281"/>
  <c r="Z283"/>
  <c r="K285"/>
  <c r="O285"/>
  <c r="Z287"/>
  <c r="K289"/>
  <c r="O289"/>
  <c r="Z291"/>
  <c r="K293"/>
  <c r="O293"/>
  <c r="Z295"/>
  <c r="K297"/>
  <c r="O297"/>
  <c r="Z299"/>
  <c r="K301"/>
  <c r="O301"/>
  <c r="Z303"/>
  <c r="K305"/>
  <c r="O305"/>
  <c r="Z307"/>
  <c r="K309"/>
  <c r="O309"/>
  <c r="Z311"/>
  <c r="K313"/>
  <c r="O313"/>
  <c r="Z315"/>
  <c r="O318"/>
  <c r="O322"/>
  <c r="O326"/>
  <c r="O330"/>
  <c r="M337"/>
  <c r="O338"/>
  <c r="P338"/>
  <c r="K342"/>
  <c r="L342"/>
  <c r="M342" s="1"/>
  <c r="S115"/>
  <c r="S119"/>
  <c r="S123"/>
  <c r="S127"/>
  <c r="S131"/>
  <c r="S135"/>
  <c r="S139"/>
  <c r="S143"/>
  <c r="S147"/>
  <c r="S151"/>
  <c r="S155"/>
  <c r="S159"/>
  <c r="S163"/>
  <c r="S167"/>
  <c r="S171"/>
  <c r="S175"/>
  <c r="S179"/>
  <c r="S183"/>
  <c r="S187"/>
  <c r="S191"/>
  <c r="S195"/>
  <c r="S202"/>
  <c r="S206"/>
  <c r="S210"/>
  <c r="V212"/>
  <c r="S214"/>
  <c r="V216"/>
  <c r="S218"/>
  <c r="V220"/>
  <c r="S222"/>
  <c r="V224"/>
  <c r="S226"/>
  <c r="V228"/>
  <c r="V232"/>
  <c r="V236"/>
  <c r="V240"/>
  <c r="V244"/>
  <c r="V248"/>
  <c r="V252"/>
  <c r="Z256"/>
  <c r="Z260"/>
  <c r="Z264"/>
  <c r="Z268"/>
  <c r="Z272"/>
  <c r="D284" i="18" s="1"/>
  <c r="F284" s="1"/>
  <c r="Z276" i="27"/>
  <c r="V318"/>
  <c r="T318"/>
  <c r="L321"/>
  <c r="M321" s="1"/>
  <c r="K321"/>
  <c r="V322"/>
  <c r="T322"/>
  <c r="L325"/>
  <c r="M325" s="1"/>
  <c r="K325"/>
  <c r="V326"/>
  <c r="T326"/>
  <c r="L329"/>
  <c r="M329" s="1"/>
  <c r="K329"/>
  <c r="V330"/>
  <c r="T330"/>
  <c r="L333"/>
  <c r="M333" s="1"/>
  <c r="K333"/>
  <c r="O334"/>
  <c r="P334"/>
  <c r="K338"/>
  <c r="L338"/>
  <c r="M338" s="1"/>
  <c r="V342"/>
  <c r="T342"/>
  <c r="L212"/>
  <c r="M212" s="1"/>
  <c r="P212"/>
  <c r="T212"/>
  <c r="L216"/>
  <c r="M216" s="1"/>
  <c r="P216"/>
  <c r="T216"/>
  <c r="L220"/>
  <c r="M220" s="1"/>
  <c r="P220"/>
  <c r="T220"/>
  <c r="L224"/>
  <c r="M224" s="1"/>
  <c r="P224"/>
  <c r="T224"/>
  <c r="L228"/>
  <c r="M228" s="1"/>
  <c r="P228"/>
  <c r="T228"/>
  <c r="L232"/>
  <c r="M232" s="1"/>
  <c r="P232"/>
  <c r="T232"/>
  <c r="L236"/>
  <c r="M236" s="1"/>
  <c r="P236"/>
  <c r="T236"/>
  <c r="L240"/>
  <c r="M240" s="1"/>
  <c r="P240"/>
  <c r="T240"/>
  <c r="L244"/>
  <c r="M244" s="1"/>
  <c r="P244"/>
  <c r="T244"/>
  <c r="L248"/>
  <c r="M248" s="1"/>
  <c r="P248"/>
  <c r="T248"/>
  <c r="L252"/>
  <c r="M252" s="1"/>
  <c r="P252"/>
  <c r="T252"/>
  <c r="L256"/>
  <c r="M256" s="1"/>
  <c r="Z316"/>
  <c r="K326"/>
  <c r="K330"/>
  <c r="K334"/>
  <c r="L334"/>
  <c r="M334" s="1"/>
  <c r="V338"/>
  <c r="T338"/>
  <c r="T321"/>
  <c r="M341"/>
  <c r="K416"/>
  <c r="L416"/>
  <c r="M416" s="1"/>
  <c r="O420"/>
  <c r="P420"/>
  <c r="K424"/>
  <c r="L424"/>
  <c r="M424" s="1"/>
  <c r="O428"/>
  <c r="P428"/>
  <c r="K432"/>
  <c r="L432"/>
  <c r="M432" s="1"/>
  <c r="K337"/>
  <c r="O337"/>
  <c r="K341"/>
  <c r="O341"/>
  <c r="K345"/>
  <c r="O345"/>
  <c r="P346"/>
  <c r="T346"/>
  <c r="K349"/>
  <c r="O349"/>
  <c r="L350"/>
  <c r="M350" s="1"/>
  <c r="P350"/>
  <c r="T350"/>
  <c r="K353"/>
  <c r="O353"/>
  <c r="L354"/>
  <c r="M354" s="1"/>
  <c r="P354"/>
  <c r="T354"/>
  <c r="K357"/>
  <c r="O357"/>
  <c r="L358"/>
  <c r="M358" s="1"/>
  <c r="P358"/>
  <c r="T358"/>
  <c r="K361"/>
  <c r="O361"/>
  <c r="L362"/>
  <c r="M362" s="1"/>
  <c r="P362"/>
  <c r="T362"/>
  <c r="K365"/>
  <c r="O365"/>
  <c r="L366"/>
  <c r="M366" s="1"/>
  <c r="P366"/>
  <c r="T366"/>
  <c r="K369"/>
  <c r="O369"/>
  <c r="L370"/>
  <c r="M370" s="1"/>
  <c r="P370"/>
  <c r="T370"/>
  <c r="K373"/>
  <c r="O373"/>
  <c r="L374"/>
  <c r="M374" s="1"/>
  <c r="P374"/>
  <c r="T374"/>
  <c r="K377"/>
  <c r="O377"/>
  <c r="L378"/>
  <c r="M378" s="1"/>
  <c r="P378"/>
  <c r="T378"/>
  <c r="K381"/>
  <c r="O381"/>
  <c r="L382"/>
  <c r="M382" s="1"/>
  <c r="P382"/>
  <c r="T382"/>
  <c r="K385"/>
  <c r="O385"/>
  <c r="L386"/>
  <c r="M386" s="1"/>
  <c r="P386"/>
  <c r="T386"/>
  <c r="K389"/>
  <c r="O389"/>
  <c r="L390"/>
  <c r="M390" s="1"/>
  <c r="P390"/>
  <c r="T390"/>
  <c r="K393"/>
  <c r="O393"/>
  <c r="L394"/>
  <c r="M394" s="1"/>
  <c r="P394"/>
  <c r="T394"/>
  <c r="P396"/>
  <c r="V396"/>
  <c r="K397"/>
  <c r="L398"/>
  <c r="M398" s="1"/>
  <c r="T400"/>
  <c r="O401"/>
  <c r="V401"/>
  <c r="K402"/>
  <c r="P402"/>
  <c r="T402"/>
  <c r="O406"/>
  <c r="L408"/>
  <c r="M408" s="1"/>
  <c r="M409"/>
  <c r="Z411"/>
  <c r="P412"/>
  <c r="V412"/>
  <c r="K413"/>
  <c r="L414"/>
  <c r="M414" s="1"/>
  <c r="Z415"/>
  <c r="K417"/>
  <c r="O421"/>
  <c r="Z423"/>
  <c r="K428"/>
  <c r="L428"/>
  <c r="M428" s="1"/>
  <c r="Z430"/>
  <c r="V432"/>
  <c r="O397"/>
  <c r="L404"/>
  <c r="M404" s="1"/>
  <c r="M405"/>
  <c r="Z407"/>
  <c r="P408"/>
  <c r="K409"/>
  <c r="O413"/>
  <c r="O416"/>
  <c r="P416"/>
  <c r="K420"/>
  <c r="L420"/>
  <c r="M420" s="1"/>
  <c r="O424"/>
  <c r="P424"/>
  <c r="Z426"/>
  <c r="V428"/>
  <c r="Z419"/>
  <c r="O432"/>
  <c r="P432"/>
  <c r="L396"/>
  <c r="M396" s="1"/>
  <c r="M397"/>
  <c r="P400"/>
  <c r="V400"/>
  <c r="K401"/>
  <c r="T401"/>
  <c r="O405"/>
  <c r="T406"/>
  <c r="L412"/>
  <c r="M412" s="1"/>
  <c r="M413"/>
  <c r="T420"/>
  <c r="T421"/>
  <c r="T499"/>
  <c r="V499"/>
  <c r="T503"/>
  <c r="V503"/>
  <c r="T507"/>
  <c r="V507"/>
  <c r="L436"/>
  <c r="M436" s="1"/>
  <c r="P436"/>
  <c r="L440"/>
  <c r="M440" s="1"/>
  <c r="P440"/>
  <c r="L444"/>
  <c r="M444" s="1"/>
  <c r="P444"/>
  <c r="L448"/>
  <c r="M448" s="1"/>
  <c r="P448"/>
  <c r="L452"/>
  <c r="M452" s="1"/>
  <c r="P452"/>
  <c r="L456"/>
  <c r="M456" s="1"/>
  <c r="P456"/>
  <c r="L460"/>
  <c r="M460" s="1"/>
  <c r="P460"/>
  <c r="L464"/>
  <c r="M464" s="1"/>
  <c r="P464"/>
  <c r="L468"/>
  <c r="M468" s="1"/>
  <c r="P468"/>
  <c r="L472"/>
  <c r="M472" s="1"/>
  <c r="P472"/>
  <c r="L476"/>
  <c r="M476" s="1"/>
  <c r="P476"/>
  <c r="V479"/>
  <c r="T480"/>
  <c r="L481"/>
  <c r="M481" s="1"/>
  <c r="T483"/>
  <c r="V484"/>
  <c r="P485"/>
  <c r="T485"/>
  <c r="Z434"/>
  <c r="Z438"/>
  <c r="Z442"/>
  <c r="Z446"/>
  <c r="Z450"/>
  <c r="Z454"/>
  <c r="Z458"/>
  <c r="Z462"/>
  <c r="Z466"/>
  <c r="Z470"/>
  <c r="Z474"/>
  <c r="Z478"/>
  <c r="O480"/>
  <c r="T481"/>
  <c r="L487"/>
  <c r="M487" s="1"/>
  <c r="M488"/>
  <c r="M492"/>
  <c r="P493"/>
  <c r="M496"/>
  <c r="P497"/>
  <c r="V491"/>
  <c r="V495"/>
  <c r="O499"/>
  <c r="P499"/>
  <c r="O503"/>
  <c r="P503"/>
  <c r="O507"/>
  <c r="P507"/>
  <c r="V493"/>
  <c r="K499"/>
  <c r="L499"/>
  <c r="M499" s="1"/>
  <c r="K503"/>
  <c r="L503"/>
  <c r="M503" s="1"/>
  <c r="K507"/>
  <c r="L507"/>
  <c r="M507" s="1"/>
  <c r="T484"/>
  <c r="L493"/>
  <c r="M493" s="1"/>
  <c r="L497"/>
  <c r="M497" s="1"/>
  <c r="V511"/>
  <c r="V515"/>
  <c r="V519"/>
  <c r="V523"/>
  <c r="V527"/>
  <c r="V531"/>
  <c r="V535"/>
  <c r="V539"/>
  <c r="V543"/>
  <c r="V547"/>
  <c r="V551"/>
  <c r="V555"/>
  <c r="V559"/>
  <c r="V563"/>
  <c r="L566"/>
  <c r="M566" s="1"/>
  <c r="V567"/>
  <c r="L570"/>
  <c r="M570" s="1"/>
  <c r="P570"/>
  <c r="V571"/>
  <c r="L511"/>
  <c r="M511" s="1"/>
  <c r="P511"/>
  <c r="T511"/>
  <c r="L515"/>
  <c r="M515" s="1"/>
  <c r="P515"/>
  <c r="T515"/>
  <c r="L519"/>
  <c r="M519" s="1"/>
  <c r="P519"/>
  <c r="T519"/>
  <c r="L523"/>
  <c r="M523" s="1"/>
  <c r="P523"/>
  <c r="T523"/>
  <c r="L527"/>
  <c r="M527" s="1"/>
  <c r="P527"/>
  <c r="T527"/>
  <c r="L531"/>
  <c r="M531" s="1"/>
  <c r="P531"/>
  <c r="T531"/>
  <c r="L535"/>
  <c r="M535" s="1"/>
  <c r="P535"/>
  <c r="T535"/>
  <c r="L539"/>
  <c r="M539" s="1"/>
  <c r="P539"/>
  <c r="T539"/>
  <c r="L543"/>
  <c r="M543" s="1"/>
  <c r="P543"/>
  <c r="T543"/>
  <c r="L547"/>
  <c r="M547" s="1"/>
  <c r="P547"/>
  <c r="T547"/>
  <c r="L551"/>
  <c r="M551" s="1"/>
  <c r="P551"/>
  <c r="T551"/>
  <c r="L555"/>
  <c r="M555" s="1"/>
  <c r="P555"/>
  <c r="T555"/>
  <c r="L559"/>
  <c r="M559" s="1"/>
  <c r="P559"/>
  <c r="T559"/>
  <c r="L563"/>
  <c r="M563" s="1"/>
  <c r="P563"/>
  <c r="T563"/>
  <c r="L567"/>
  <c r="M567" s="1"/>
  <c r="P567"/>
  <c r="T567"/>
  <c r="L571"/>
  <c r="M571" s="1"/>
  <c r="P571"/>
  <c r="M404" i="26"/>
  <c r="M162" i="25"/>
  <c r="M174"/>
  <c r="L127" i="26"/>
  <c r="M127" s="1"/>
  <c r="K127"/>
  <c r="L143"/>
  <c r="M143" s="1"/>
  <c r="K143"/>
  <c r="O148"/>
  <c r="P148"/>
  <c r="L159"/>
  <c r="M159" s="1"/>
  <c r="K159"/>
  <c r="O164"/>
  <c r="P164"/>
  <c r="L175"/>
  <c r="M175" s="1"/>
  <c r="K175"/>
  <c r="O180"/>
  <c r="P180"/>
  <c r="L183"/>
  <c r="M183" s="1"/>
  <c r="K183"/>
  <c r="Z185"/>
  <c r="S185"/>
  <c r="S8"/>
  <c r="S12"/>
  <c r="S16"/>
  <c r="S20"/>
  <c r="S24"/>
  <c r="S28"/>
  <c r="S32"/>
  <c r="S36"/>
  <c r="S40"/>
  <c r="S44"/>
  <c r="S48"/>
  <c r="S52"/>
  <c r="S60"/>
  <c r="S64"/>
  <c r="S68"/>
  <c r="S72"/>
  <c r="S76"/>
  <c r="S80"/>
  <c r="S84"/>
  <c r="S88"/>
  <c r="S92"/>
  <c r="T95"/>
  <c r="T99"/>
  <c r="T103"/>
  <c r="K108"/>
  <c r="T110"/>
  <c r="K111"/>
  <c r="S111"/>
  <c r="O112"/>
  <c r="T114"/>
  <c r="M123"/>
  <c r="T125"/>
  <c r="P126"/>
  <c r="L129"/>
  <c r="M129" s="1"/>
  <c r="T129"/>
  <c r="S131"/>
  <c r="S133"/>
  <c r="O135"/>
  <c r="L136"/>
  <c r="M136" s="1"/>
  <c r="S139"/>
  <c r="T160"/>
  <c r="T176"/>
  <c r="L131"/>
  <c r="M131" s="1"/>
  <c r="K131"/>
  <c r="L139"/>
  <c r="M139" s="1"/>
  <c r="K139"/>
  <c r="O144"/>
  <c r="P144"/>
  <c r="O152"/>
  <c r="P152"/>
  <c r="L163"/>
  <c r="M163" s="1"/>
  <c r="O168"/>
  <c r="P168"/>
  <c r="L179"/>
  <c r="M179" s="1"/>
  <c r="K179"/>
  <c r="Z181"/>
  <c r="S181"/>
  <c r="T4"/>
  <c r="P9"/>
  <c r="P13"/>
  <c r="T14"/>
  <c r="K16"/>
  <c r="P17"/>
  <c r="T18"/>
  <c r="K20"/>
  <c r="P21"/>
  <c r="T22"/>
  <c r="K24"/>
  <c r="P25"/>
  <c r="T26"/>
  <c r="K28"/>
  <c r="P29"/>
  <c r="T30"/>
  <c r="K32"/>
  <c r="P33"/>
  <c r="T34"/>
  <c r="K36"/>
  <c r="P37"/>
  <c r="T38"/>
  <c r="K40"/>
  <c r="P41"/>
  <c r="T42"/>
  <c r="K44"/>
  <c r="P45"/>
  <c r="T46"/>
  <c r="K48"/>
  <c r="P49"/>
  <c r="T50"/>
  <c r="K52"/>
  <c r="P53"/>
  <c r="T54"/>
  <c r="K60"/>
  <c r="T62"/>
  <c r="T66"/>
  <c r="T70"/>
  <c r="T74"/>
  <c r="T78"/>
  <c r="T82"/>
  <c r="T86"/>
  <c r="T90"/>
  <c r="S107"/>
  <c r="S112"/>
  <c r="L113"/>
  <c r="M113" s="1"/>
  <c r="L121"/>
  <c r="M121" s="1"/>
  <c r="L125"/>
  <c r="M125" s="1"/>
  <c r="P125"/>
  <c r="V125"/>
  <c r="P137"/>
  <c r="V137"/>
  <c r="S141"/>
  <c r="L149"/>
  <c r="M149" s="1"/>
  <c r="L135"/>
  <c r="M135" s="1"/>
  <c r="K135"/>
  <c r="O140"/>
  <c r="P140"/>
  <c r="L151"/>
  <c r="M151" s="1"/>
  <c r="K151"/>
  <c r="O156"/>
  <c r="P156"/>
  <c r="L167"/>
  <c r="M167" s="1"/>
  <c r="K167"/>
  <c r="O172"/>
  <c r="P172"/>
  <c r="O188"/>
  <c r="P188"/>
  <c r="L2"/>
  <c r="M2" s="1"/>
  <c r="L3"/>
  <c r="M3" s="1"/>
  <c r="O4"/>
  <c r="V4"/>
  <c r="L5"/>
  <c r="M5" s="1"/>
  <c r="P7"/>
  <c r="L14"/>
  <c r="M14" s="1"/>
  <c r="P14"/>
  <c r="V14"/>
  <c r="L18"/>
  <c r="M18" s="1"/>
  <c r="P18"/>
  <c r="V18"/>
  <c r="L22"/>
  <c r="M22" s="1"/>
  <c r="T60"/>
  <c r="T64"/>
  <c r="T68"/>
  <c r="T72"/>
  <c r="T76"/>
  <c r="T80"/>
  <c r="T84"/>
  <c r="T88"/>
  <c r="T92"/>
  <c r="T96"/>
  <c r="T100"/>
  <c r="T104"/>
  <c r="P108"/>
  <c r="T111"/>
  <c r="M112"/>
  <c r="L114"/>
  <c r="M114" s="1"/>
  <c r="V118"/>
  <c r="L122"/>
  <c r="M122" s="1"/>
  <c r="T122"/>
  <c r="O123"/>
  <c r="O127"/>
  <c r="P133"/>
  <c r="P134"/>
  <c r="O143"/>
  <c r="L144"/>
  <c r="M144" s="1"/>
  <c r="S147"/>
  <c r="S148"/>
  <c r="T152"/>
  <c r="S161"/>
  <c r="S164"/>
  <c r="T168"/>
  <c r="S177"/>
  <c r="O136"/>
  <c r="P136"/>
  <c r="L147"/>
  <c r="M147" s="1"/>
  <c r="K147"/>
  <c r="L155"/>
  <c r="M155" s="1"/>
  <c r="K155"/>
  <c r="O160"/>
  <c r="P160"/>
  <c r="L171"/>
  <c r="M171" s="1"/>
  <c r="K171"/>
  <c r="O176"/>
  <c r="P176"/>
  <c r="O184"/>
  <c r="P184"/>
  <c r="L187"/>
  <c r="M187" s="1"/>
  <c r="K187"/>
  <c r="Z189"/>
  <c r="S189"/>
  <c r="T5"/>
  <c r="O8"/>
  <c r="L9"/>
  <c r="M9" s="1"/>
  <c r="T9"/>
  <c r="O12"/>
  <c r="L13"/>
  <c r="M13" s="1"/>
  <c r="O16"/>
  <c r="L17"/>
  <c r="M17" s="1"/>
  <c r="O20"/>
  <c r="L21"/>
  <c r="M21" s="1"/>
  <c r="S129"/>
  <c r="T156"/>
  <c r="T172"/>
  <c r="L373"/>
  <c r="M373" s="1"/>
  <c r="K373"/>
  <c r="L377"/>
  <c r="M377" s="1"/>
  <c r="K377"/>
  <c r="O378"/>
  <c r="P378"/>
  <c r="T387"/>
  <c r="L397"/>
  <c r="M397" s="1"/>
  <c r="K397"/>
  <c r="S259"/>
  <c r="S275"/>
  <c r="S292"/>
  <c r="S309"/>
  <c r="S325"/>
  <c r="S341"/>
  <c r="S349"/>
  <c r="S369"/>
  <c r="K381"/>
  <c r="K367"/>
  <c r="L367"/>
  <c r="M367" s="1"/>
  <c r="T381"/>
  <c r="S381"/>
  <c r="P385"/>
  <c r="O385"/>
  <c r="O398"/>
  <c r="P398"/>
  <c r="S180"/>
  <c r="S184"/>
  <c r="S188"/>
  <c r="S192"/>
  <c r="S193"/>
  <c r="S196"/>
  <c r="S197"/>
  <c r="S200"/>
  <c r="S201"/>
  <c r="S204"/>
  <c r="S205"/>
  <c r="S208"/>
  <c r="S209"/>
  <c r="T212"/>
  <c r="S217"/>
  <c r="S219"/>
  <c r="S231"/>
  <c r="S249"/>
  <c r="T249"/>
  <c r="S261"/>
  <c r="T262"/>
  <c r="T269"/>
  <c r="S271"/>
  <c r="T274"/>
  <c r="T279"/>
  <c r="T286"/>
  <c r="S288"/>
  <c r="T291"/>
  <c r="T296"/>
  <c r="T303"/>
  <c r="S305"/>
  <c r="T308"/>
  <c r="T313"/>
  <c r="T319"/>
  <c r="S321"/>
  <c r="T324"/>
  <c r="S327"/>
  <c r="S333"/>
  <c r="S335"/>
  <c r="T340"/>
  <c r="T343"/>
  <c r="T351"/>
  <c r="S355"/>
  <c r="S361"/>
  <c r="S363"/>
  <c r="T384"/>
  <c r="O379"/>
  <c r="P379"/>
  <c r="K382"/>
  <c r="L382"/>
  <c r="M382" s="1"/>
  <c r="K383"/>
  <c r="L383"/>
  <c r="M383" s="1"/>
  <c r="T391"/>
  <c r="S395"/>
  <c r="V395"/>
  <c r="S151"/>
  <c r="S155"/>
  <c r="S159"/>
  <c r="S163"/>
  <c r="S167"/>
  <c r="S171"/>
  <c r="S175"/>
  <c r="S179"/>
  <c r="S183"/>
  <c r="S187"/>
  <c r="S191"/>
  <c r="S195"/>
  <c r="S199"/>
  <c r="V211"/>
  <c r="V212"/>
  <c r="L214"/>
  <c r="M214" s="1"/>
  <c r="O215"/>
  <c r="T218"/>
  <c r="L220"/>
  <c r="M220" s="1"/>
  <c r="L221"/>
  <c r="M221" s="1"/>
  <c r="O223"/>
  <c r="T225"/>
  <c r="P226"/>
  <c r="T227"/>
  <c r="S229"/>
  <c r="L229"/>
  <c r="M229" s="1"/>
  <c r="K235"/>
  <c r="P237"/>
  <c r="O239"/>
  <c r="T241"/>
  <c r="K243"/>
  <c r="L244"/>
  <c r="M244" s="1"/>
  <c r="O247"/>
  <c r="P249"/>
  <c r="S250"/>
  <c r="S251"/>
  <c r="L252"/>
  <c r="M252" s="1"/>
  <c r="S254"/>
  <c r="P261"/>
  <c r="M263"/>
  <c r="L264"/>
  <c r="M264" s="1"/>
  <c r="T265"/>
  <c r="S267"/>
  <c r="P268"/>
  <c r="S269"/>
  <c r="L269"/>
  <c r="M269" s="1"/>
  <c r="P269"/>
  <c r="T270"/>
  <c r="K271"/>
  <c r="T275"/>
  <c r="Z277"/>
  <c r="O279"/>
  <c r="L280"/>
  <c r="M280" s="1"/>
  <c r="T281"/>
  <c r="S283"/>
  <c r="P284"/>
  <c r="S286"/>
  <c r="L286"/>
  <c r="M286" s="1"/>
  <c r="P286"/>
  <c r="T287"/>
  <c r="K288"/>
  <c r="T292"/>
  <c r="Z294"/>
  <c r="D139" i="18" s="1"/>
  <c r="F139" s="1"/>
  <c r="O296" i="26"/>
  <c r="L297"/>
  <c r="M297" s="1"/>
  <c r="T298"/>
  <c r="S301"/>
  <c r="P302"/>
  <c r="S303"/>
  <c r="L303"/>
  <c r="M303" s="1"/>
  <c r="P303"/>
  <c r="K305"/>
  <c r="T309"/>
  <c r="Z311"/>
  <c r="O313"/>
  <c r="L314"/>
  <c r="M314" s="1"/>
  <c r="T315"/>
  <c r="S317"/>
  <c r="P318"/>
  <c r="S319"/>
  <c r="L319"/>
  <c r="M319" s="1"/>
  <c r="P319"/>
  <c r="K321"/>
  <c r="T327"/>
  <c r="O329"/>
  <c r="L330"/>
  <c r="M330" s="1"/>
  <c r="V331"/>
  <c r="K333"/>
  <c r="T333"/>
  <c r="T335"/>
  <c r="O337"/>
  <c r="L338"/>
  <c r="M338" s="1"/>
  <c r="S339"/>
  <c r="P343"/>
  <c r="P346"/>
  <c r="L347"/>
  <c r="M347" s="1"/>
  <c r="S347"/>
  <c r="P351"/>
  <c r="P354"/>
  <c r="L355"/>
  <c r="M355" s="1"/>
  <c r="T355"/>
  <c r="O357"/>
  <c r="L358"/>
  <c r="M358" s="1"/>
  <c r="V359"/>
  <c r="K361"/>
  <c r="T361"/>
  <c r="T363"/>
  <c r="O365"/>
  <c r="L366"/>
  <c r="M366" s="1"/>
  <c r="O373"/>
  <c r="S385"/>
  <c r="K386"/>
  <c r="S371"/>
  <c r="V371"/>
  <c r="S375"/>
  <c r="V375"/>
  <c r="P389"/>
  <c r="O389"/>
  <c r="T398"/>
  <c r="V398"/>
  <c r="T137"/>
  <c r="T141"/>
  <c r="T145"/>
  <c r="T149"/>
  <c r="T153"/>
  <c r="T157"/>
  <c r="T161"/>
  <c r="T165"/>
  <c r="T169"/>
  <c r="T173"/>
  <c r="T177"/>
  <c r="T181"/>
  <c r="T185"/>
  <c r="T189"/>
  <c r="K191"/>
  <c r="P192"/>
  <c r="T193"/>
  <c r="K195"/>
  <c r="P196"/>
  <c r="T197"/>
  <c r="K199"/>
  <c r="P200"/>
  <c r="T201"/>
  <c r="K203"/>
  <c r="P204"/>
  <c r="K207"/>
  <c r="P208"/>
  <c r="K211"/>
  <c r="K212"/>
  <c r="L213"/>
  <c r="M213" s="1"/>
  <c r="P218"/>
  <c r="L222"/>
  <c r="M222" s="1"/>
  <c r="L230"/>
  <c r="M230" s="1"/>
  <c r="O231"/>
  <c r="S235"/>
  <c r="L238"/>
  <c r="M238" s="1"/>
  <c r="S241"/>
  <c r="P242"/>
  <c r="S246"/>
  <c r="K251"/>
  <c r="K255"/>
  <c r="O259"/>
  <c r="S265"/>
  <c r="K267"/>
  <c r="Z273"/>
  <c r="D225" i="18" s="1"/>
  <c r="F225" s="1"/>
  <c r="O275" i="26"/>
  <c r="S279"/>
  <c r="S281"/>
  <c r="K283"/>
  <c r="Z290"/>
  <c r="O292"/>
  <c r="S296"/>
  <c r="S298"/>
  <c r="K301"/>
  <c r="Z307"/>
  <c r="O309"/>
  <c r="S313"/>
  <c r="S315"/>
  <c r="K317"/>
  <c r="Z323"/>
  <c r="O325"/>
  <c r="P327"/>
  <c r="S329"/>
  <c r="L331"/>
  <c r="M331" s="1"/>
  <c r="P335"/>
  <c r="S337"/>
  <c r="L339"/>
  <c r="M339" s="1"/>
  <c r="O341"/>
  <c r="V343"/>
  <c r="K345"/>
  <c r="T345"/>
  <c r="O349"/>
  <c r="V351"/>
  <c r="K353"/>
  <c r="T353"/>
  <c r="P355"/>
  <c r="S357"/>
  <c r="L359"/>
  <c r="M359" s="1"/>
  <c r="P363"/>
  <c r="S365"/>
  <c r="P367"/>
  <c r="O369"/>
  <c r="T378"/>
  <c r="V379"/>
  <c r="L387"/>
  <c r="M387" s="1"/>
  <c r="S367"/>
  <c r="T372"/>
  <c r="T373"/>
  <c r="P375"/>
  <c r="L379"/>
  <c r="M379" s="1"/>
  <c r="T379"/>
  <c r="O381"/>
  <c r="S382"/>
  <c r="S383"/>
  <c r="T388"/>
  <c r="K389"/>
  <c r="T389"/>
  <c r="P391"/>
  <c r="P394"/>
  <c r="L395"/>
  <c r="M395" s="1"/>
  <c r="T395"/>
  <c r="O397"/>
  <c r="S398"/>
  <c r="L398"/>
  <c r="M398" s="1"/>
  <c r="S399"/>
  <c r="S404"/>
  <c r="S405"/>
  <c r="K412"/>
  <c r="S412"/>
  <c r="T417"/>
  <c r="L418"/>
  <c r="M418" s="1"/>
  <c r="P418"/>
  <c r="V418"/>
  <c r="O420"/>
  <c r="V420"/>
  <c r="L421"/>
  <c r="M421" s="1"/>
  <c r="T422"/>
  <c r="P423"/>
  <c r="T424"/>
  <c r="O428"/>
  <c r="V428"/>
  <c r="P431"/>
  <c r="O432"/>
  <c r="V432"/>
  <c r="P435"/>
  <c r="O436"/>
  <c r="V436"/>
  <c r="P439"/>
  <c r="O440"/>
  <c r="V440"/>
  <c r="P443"/>
  <c r="O444"/>
  <c r="V444"/>
  <c r="P447"/>
  <c r="O448"/>
  <c r="V448"/>
  <c r="P451"/>
  <c r="O452"/>
  <c r="V452"/>
  <c r="P455"/>
  <c r="O456"/>
  <c r="V456"/>
  <c r="P459"/>
  <c r="O460"/>
  <c r="V460"/>
  <c r="P463"/>
  <c r="O464"/>
  <c r="V464"/>
  <c r="P467"/>
  <c r="O468"/>
  <c r="V468"/>
  <c r="P471"/>
  <c r="O472"/>
  <c r="V472"/>
  <c r="P475"/>
  <c r="O476"/>
  <c r="V476"/>
  <c r="P479"/>
  <c r="O480"/>
  <c r="V480"/>
  <c r="P483"/>
  <c r="O484"/>
  <c r="M485"/>
  <c r="K488"/>
  <c r="S488"/>
  <c r="T491"/>
  <c r="M492"/>
  <c r="L501"/>
  <c r="M501" s="1"/>
  <c r="L502"/>
  <c r="M502" s="1"/>
  <c r="T503"/>
  <c r="S507"/>
  <c r="S509"/>
  <c r="P513"/>
  <c r="P514"/>
  <c r="S516"/>
  <c r="L517"/>
  <c r="M517" s="1"/>
  <c r="L518"/>
  <c r="M518" s="1"/>
  <c r="T519"/>
  <c r="S523"/>
  <c r="S525"/>
  <c r="T528"/>
  <c r="P529"/>
  <c r="P530"/>
  <c r="S532"/>
  <c r="L533"/>
  <c r="M533" s="1"/>
  <c r="L534"/>
  <c r="M534" s="1"/>
  <c r="T535"/>
  <c r="S539"/>
  <c r="S541"/>
  <c r="T544"/>
  <c r="P545"/>
  <c r="P546"/>
  <c r="S548"/>
  <c r="L549"/>
  <c r="M549" s="1"/>
  <c r="L550"/>
  <c r="M550" s="1"/>
  <c r="T551"/>
  <c r="S555"/>
  <c r="S557"/>
  <c r="T560"/>
  <c r="P561"/>
  <c r="K562"/>
  <c r="P562"/>
  <c r="S564"/>
  <c r="T567"/>
  <c r="P570"/>
  <c r="S572"/>
  <c r="O573"/>
  <c r="T377"/>
  <c r="S387"/>
  <c r="K393"/>
  <c r="T393"/>
  <c r="P395"/>
  <c r="L399"/>
  <c r="M399" s="1"/>
  <c r="O401"/>
  <c r="L402"/>
  <c r="M402" s="1"/>
  <c r="P407"/>
  <c r="Z410"/>
  <c r="P413"/>
  <c r="K416"/>
  <c r="T419"/>
  <c r="T421"/>
  <c r="L422"/>
  <c r="M422" s="1"/>
  <c r="P422"/>
  <c r="V422"/>
  <c r="O424"/>
  <c r="V424"/>
  <c r="P427"/>
  <c r="L489"/>
  <c r="M489" s="1"/>
  <c r="L490"/>
  <c r="M490" s="1"/>
  <c r="K496"/>
  <c r="S496"/>
  <c r="O497"/>
  <c r="S499"/>
  <c r="P501"/>
  <c r="T501"/>
  <c r="P502"/>
  <c r="V502"/>
  <c r="L505"/>
  <c r="M505" s="1"/>
  <c r="L506"/>
  <c r="M506" s="1"/>
  <c r="S511"/>
  <c r="S513"/>
  <c r="P517"/>
  <c r="T517"/>
  <c r="P518"/>
  <c r="V518"/>
  <c r="S520"/>
  <c r="L521"/>
  <c r="M521" s="1"/>
  <c r="L522"/>
  <c r="M522" s="1"/>
  <c r="S527"/>
  <c r="S529"/>
  <c r="P533"/>
  <c r="T533"/>
  <c r="P534"/>
  <c r="V534"/>
  <c r="S536"/>
  <c r="L537"/>
  <c r="M537" s="1"/>
  <c r="L538"/>
  <c r="M538" s="1"/>
  <c r="S543"/>
  <c r="S545"/>
  <c r="P549"/>
  <c r="T549"/>
  <c r="P550"/>
  <c r="V550"/>
  <c r="S552"/>
  <c r="L553"/>
  <c r="M553" s="1"/>
  <c r="L554"/>
  <c r="M554" s="1"/>
  <c r="S559"/>
  <c r="S561"/>
  <c r="L565"/>
  <c r="M565" s="1"/>
  <c r="V566"/>
  <c r="T569"/>
  <c r="S573"/>
  <c r="S391"/>
  <c r="T397"/>
  <c r="P399"/>
  <c r="S401"/>
  <c r="L403"/>
  <c r="M403" s="1"/>
  <c r="O412"/>
  <c r="T413"/>
  <c r="K420"/>
  <c r="T423"/>
  <c r="T427"/>
  <c r="M428"/>
  <c r="L431"/>
  <c r="M431" s="1"/>
  <c r="K432"/>
  <c r="S433"/>
  <c r="L435"/>
  <c r="M435" s="1"/>
  <c r="K436"/>
  <c r="S437"/>
  <c r="L439"/>
  <c r="M439" s="1"/>
  <c r="K440"/>
  <c r="S441"/>
  <c r="L443"/>
  <c r="M443" s="1"/>
  <c r="K444"/>
  <c r="S445"/>
  <c r="L447"/>
  <c r="M447" s="1"/>
  <c r="K448"/>
  <c r="S449"/>
  <c r="L451"/>
  <c r="M451" s="1"/>
  <c r="K452"/>
  <c r="S453"/>
  <c r="L455"/>
  <c r="M455" s="1"/>
  <c r="K456"/>
  <c r="S457"/>
  <c r="L459"/>
  <c r="M459" s="1"/>
  <c r="K460"/>
  <c r="S461"/>
  <c r="L463"/>
  <c r="M463" s="1"/>
  <c r="K464"/>
  <c r="S465"/>
  <c r="L467"/>
  <c r="M467" s="1"/>
  <c r="K468"/>
  <c r="S469"/>
  <c r="L471"/>
  <c r="M471" s="1"/>
  <c r="K472"/>
  <c r="S473"/>
  <c r="L475"/>
  <c r="M475" s="1"/>
  <c r="K476"/>
  <c r="S477"/>
  <c r="L479"/>
  <c r="M479" s="1"/>
  <c r="K480"/>
  <c r="S481"/>
  <c r="L483"/>
  <c r="M483" s="1"/>
  <c r="K484"/>
  <c r="P487"/>
  <c r="L491"/>
  <c r="M491" s="1"/>
  <c r="O492"/>
  <c r="P495"/>
  <c r="T497"/>
  <c r="S501"/>
  <c r="V503"/>
  <c r="S515"/>
  <c r="S517"/>
  <c r="V519"/>
  <c r="S524"/>
  <c r="S531"/>
  <c r="S533"/>
  <c r="V535"/>
  <c r="S540"/>
  <c r="S547"/>
  <c r="S549"/>
  <c r="V551"/>
  <c r="S556"/>
  <c r="S563"/>
  <c r="V567"/>
  <c r="T568"/>
  <c r="S569"/>
  <c r="L570"/>
  <c r="M570" s="1"/>
  <c r="S571"/>
  <c r="K573"/>
  <c r="S575"/>
  <c r="T576"/>
  <c r="S553"/>
  <c r="S565"/>
  <c r="L15"/>
  <c r="M15" s="1"/>
  <c r="K15"/>
  <c r="L19"/>
  <c r="M19" s="1"/>
  <c r="K19"/>
  <c r="L23"/>
  <c r="M23" s="1"/>
  <c r="K23"/>
  <c r="L27"/>
  <c r="M27" s="1"/>
  <c r="K27"/>
  <c r="L31"/>
  <c r="M31" s="1"/>
  <c r="K31"/>
  <c r="L35"/>
  <c r="M35" s="1"/>
  <c r="K35"/>
  <c r="P3"/>
  <c r="P11"/>
  <c r="S13"/>
  <c r="S17"/>
  <c r="S21"/>
  <c r="S25"/>
  <c r="S29"/>
  <c r="S33"/>
  <c r="T15"/>
  <c r="V15"/>
  <c r="S15"/>
  <c r="T19"/>
  <c r="V19"/>
  <c r="S19"/>
  <c r="T23"/>
  <c r="V23"/>
  <c r="S23"/>
  <c r="T27"/>
  <c r="V27"/>
  <c r="S27"/>
  <c r="T31"/>
  <c r="V31"/>
  <c r="S31"/>
  <c r="T35"/>
  <c r="V35"/>
  <c r="S35"/>
  <c r="T3"/>
  <c r="M4"/>
  <c r="P5"/>
  <c r="V3"/>
  <c r="S3"/>
  <c r="V7"/>
  <c r="S7"/>
  <c r="V11"/>
  <c r="S11"/>
  <c r="L7"/>
  <c r="M7" s="1"/>
  <c r="L11"/>
  <c r="M11" s="1"/>
  <c r="S5"/>
  <c r="V5"/>
  <c r="S9"/>
  <c r="V9"/>
  <c r="P15"/>
  <c r="O15"/>
  <c r="P19"/>
  <c r="O19"/>
  <c r="P23"/>
  <c r="O23"/>
  <c r="P27"/>
  <c r="O27"/>
  <c r="P31"/>
  <c r="O31"/>
  <c r="P35"/>
  <c r="O35"/>
  <c r="V13"/>
  <c r="V17"/>
  <c r="V21"/>
  <c r="V25"/>
  <c r="V29"/>
  <c r="V33"/>
  <c r="V37"/>
  <c r="K39"/>
  <c r="O39"/>
  <c r="S39"/>
  <c r="V41"/>
  <c r="K43"/>
  <c r="O43"/>
  <c r="S43"/>
  <c r="V45"/>
  <c r="K47"/>
  <c r="O47"/>
  <c r="S47"/>
  <c r="V49"/>
  <c r="K51"/>
  <c r="O51"/>
  <c r="S51"/>
  <c r="V53"/>
  <c r="K55"/>
  <c r="O55"/>
  <c r="S55"/>
  <c r="V61"/>
  <c r="K63"/>
  <c r="O63"/>
  <c r="S63"/>
  <c r="V65"/>
  <c r="K67"/>
  <c r="O67"/>
  <c r="S67"/>
  <c r="V69"/>
  <c r="K71"/>
  <c r="O71"/>
  <c r="S71"/>
  <c r="V73"/>
  <c r="K75"/>
  <c r="O75"/>
  <c r="S75"/>
  <c r="V77"/>
  <c r="K79"/>
  <c r="O79"/>
  <c r="S79"/>
  <c r="V81"/>
  <c r="K83"/>
  <c r="O83"/>
  <c r="S83"/>
  <c r="V85"/>
  <c r="K87"/>
  <c r="O87"/>
  <c r="S87"/>
  <c r="V89"/>
  <c r="K91"/>
  <c r="O91"/>
  <c r="S91"/>
  <c r="V93"/>
  <c r="K95"/>
  <c r="O95"/>
  <c r="S95"/>
  <c r="V97"/>
  <c r="K99"/>
  <c r="O99"/>
  <c r="S99"/>
  <c r="V101"/>
  <c r="K103"/>
  <c r="O103"/>
  <c r="S103"/>
  <c r="V105"/>
  <c r="P106"/>
  <c r="K107"/>
  <c r="T107"/>
  <c r="O111"/>
  <c r="K112"/>
  <c r="T112"/>
  <c r="S113"/>
  <c r="S114"/>
  <c r="S115"/>
  <c r="O116"/>
  <c r="S116"/>
  <c r="L118"/>
  <c r="M118" s="1"/>
  <c r="M119"/>
  <c r="Z121"/>
  <c r="P122"/>
  <c r="K123"/>
  <c r="T123"/>
  <c r="P128"/>
  <c r="P132"/>
  <c r="V126"/>
  <c r="S126"/>
  <c r="V130"/>
  <c r="S130"/>
  <c r="V134"/>
  <c r="S134"/>
  <c r="O138"/>
  <c r="P138"/>
  <c r="O142"/>
  <c r="P142"/>
  <c r="S110"/>
  <c r="S128"/>
  <c r="V128"/>
  <c r="S132"/>
  <c r="V132"/>
  <c r="K138"/>
  <c r="L138"/>
  <c r="M138" s="1"/>
  <c r="K142"/>
  <c r="L142"/>
  <c r="M142" s="1"/>
  <c r="K146"/>
  <c r="L146"/>
  <c r="M146" s="1"/>
  <c r="V39"/>
  <c r="V43"/>
  <c r="V47"/>
  <c r="V51"/>
  <c r="V55"/>
  <c r="V63"/>
  <c r="V67"/>
  <c r="V71"/>
  <c r="V75"/>
  <c r="V79"/>
  <c r="V83"/>
  <c r="V87"/>
  <c r="V91"/>
  <c r="V95"/>
  <c r="V99"/>
  <c r="V103"/>
  <c r="S106"/>
  <c r="S108"/>
  <c r="L110"/>
  <c r="M110" s="1"/>
  <c r="M111"/>
  <c r="P114"/>
  <c r="K115"/>
  <c r="T115"/>
  <c r="O119"/>
  <c r="S122"/>
  <c r="S124"/>
  <c r="L126"/>
  <c r="M126" s="1"/>
  <c r="L128"/>
  <c r="M128" s="1"/>
  <c r="L132"/>
  <c r="M132" s="1"/>
  <c r="S136"/>
  <c r="S140"/>
  <c r="S144"/>
  <c r="V138"/>
  <c r="S138"/>
  <c r="T138"/>
  <c r="V142"/>
  <c r="S142"/>
  <c r="T142"/>
  <c r="V110"/>
  <c r="T116"/>
  <c r="S118"/>
  <c r="S120"/>
  <c r="O246"/>
  <c r="P246"/>
  <c r="K250"/>
  <c r="L250"/>
  <c r="M250" s="1"/>
  <c r="O254"/>
  <c r="P254"/>
  <c r="K258"/>
  <c r="L258"/>
  <c r="M258" s="1"/>
  <c r="O262"/>
  <c r="P262"/>
  <c r="S264"/>
  <c r="Z264"/>
  <c r="V266"/>
  <c r="S266"/>
  <c r="O274"/>
  <c r="P274"/>
  <c r="K278"/>
  <c r="L278"/>
  <c r="M278" s="1"/>
  <c r="S280"/>
  <c r="Z280"/>
  <c r="D54" i="18" s="1"/>
  <c r="F54" s="1"/>
  <c r="V282" i="26"/>
  <c r="S282"/>
  <c r="O291"/>
  <c r="P291"/>
  <c r="K295"/>
  <c r="L295"/>
  <c r="M295" s="1"/>
  <c r="S297"/>
  <c r="Z297"/>
  <c r="V299"/>
  <c r="S299"/>
  <c r="O308"/>
  <c r="P308"/>
  <c r="K312"/>
  <c r="L312"/>
  <c r="M312" s="1"/>
  <c r="S314"/>
  <c r="Z314"/>
  <c r="D39" i="18" s="1"/>
  <c r="F39" s="1"/>
  <c r="V316" i="26"/>
  <c r="S316"/>
  <c r="O324"/>
  <c r="P324"/>
  <c r="V328"/>
  <c r="S328"/>
  <c r="K332"/>
  <c r="L332"/>
  <c r="M332" s="1"/>
  <c r="S334"/>
  <c r="Z334"/>
  <c r="O336"/>
  <c r="P336"/>
  <c r="V344"/>
  <c r="S344"/>
  <c r="K348"/>
  <c r="L348"/>
  <c r="M348" s="1"/>
  <c r="S350"/>
  <c r="Z350"/>
  <c r="O352"/>
  <c r="P352"/>
  <c r="V360"/>
  <c r="S360"/>
  <c r="K364"/>
  <c r="L364"/>
  <c r="M364" s="1"/>
  <c r="S366"/>
  <c r="Z366"/>
  <c r="D159" i="18" s="1"/>
  <c r="F159" s="1"/>
  <c r="O368" i="26"/>
  <c r="P368"/>
  <c r="P146"/>
  <c r="T146"/>
  <c r="L150"/>
  <c r="M150" s="1"/>
  <c r="P150"/>
  <c r="T150"/>
  <c r="L154"/>
  <c r="M154" s="1"/>
  <c r="P154"/>
  <c r="T154"/>
  <c r="L158"/>
  <c r="M158" s="1"/>
  <c r="P158"/>
  <c r="T158"/>
  <c r="L162"/>
  <c r="M162" s="1"/>
  <c r="P162"/>
  <c r="T162"/>
  <c r="L166"/>
  <c r="M166" s="1"/>
  <c r="P166"/>
  <c r="T166"/>
  <c r="L170"/>
  <c r="M170" s="1"/>
  <c r="P170"/>
  <c r="T170"/>
  <c r="L174"/>
  <c r="M174" s="1"/>
  <c r="P174"/>
  <c r="T174"/>
  <c r="L178"/>
  <c r="M178" s="1"/>
  <c r="P178"/>
  <c r="T178"/>
  <c r="L182"/>
  <c r="M182" s="1"/>
  <c r="P182"/>
  <c r="T182"/>
  <c r="L186"/>
  <c r="M186" s="1"/>
  <c r="P186"/>
  <c r="T186"/>
  <c r="L190"/>
  <c r="M190" s="1"/>
  <c r="P190"/>
  <c r="T190"/>
  <c r="L194"/>
  <c r="M194" s="1"/>
  <c r="P194"/>
  <c r="T194"/>
  <c r="L198"/>
  <c r="M198" s="1"/>
  <c r="P198"/>
  <c r="T198"/>
  <c r="L202"/>
  <c r="M202" s="1"/>
  <c r="P202"/>
  <c r="T202"/>
  <c r="L206"/>
  <c r="M206" s="1"/>
  <c r="P206"/>
  <c r="T206"/>
  <c r="L210"/>
  <c r="M210" s="1"/>
  <c r="P210"/>
  <c r="T210"/>
  <c r="S213"/>
  <c r="T222"/>
  <c r="V223"/>
  <c r="P224"/>
  <c r="T224"/>
  <c r="S226"/>
  <c r="S228"/>
  <c r="T238"/>
  <c r="V239"/>
  <c r="P240"/>
  <c r="T240"/>
  <c r="S242"/>
  <c r="S244"/>
  <c r="Z249"/>
  <c r="S252"/>
  <c r="Z257"/>
  <c r="S260"/>
  <c r="T304"/>
  <c r="T320"/>
  <c r="O270"/>
  <c r="P270"/>
  <c r="K274"/>
  <c r="L274"/>
  <c r="M274" s="1"/>
  <c r="S276"/>
  <c r="Z276"/>
  <c r="V278"/>
  <c r="S278"/>
  <c r="O287"/>
  <c r="P287"/>
  <c r="K291"/>
  <c r="L291"/>
  <c r="M291" s="1"/>
  <c r="S293"/>
  <c r="Z293"/>
  <c r="V295"/>
  <c r="S295"/>
  <c r="O304"/>
  <c r="P304"/>
  <c r="K308"/>
  <c r="L308"/>
  <c r="M308" s="1"/>
  <c r="S310"/>
  <c r="Z310"/>
  <c r="V312"/>
  <c r="S312"/>
  <c r="O320"/>
  <c r="P320"/>
  <c r="K324"/>
  <c r="L324"/>
  <c r="M324" s="1"/>
  <c r="V332"/>
  <c r="S332"/>
  <c r="K336"/>
  <c r="L336"/>
  <c r="M336" s="1"/>
  <c r="S338"/>
  <c r="Z338"/>
  <c r="D148" i="18" s="1"/>
  <c r="F148" s="1"/>
  <c r="O340" i="26"/>
  <c r="P340"/>
  <c r="V348"/>
  <c r="S348"/>
  <c r="K352"/>
  <c r="L352"/>
  <c r="M352" s="1"/>
  <c r="S354"/>
  <c r="Z354"/>
  <c r="D227" i="18" s="1"/>
  <c r="F227" s="1"/>
  <c r="O356" i="26"/>
  <c r="P356"/>
  <c r="V364"/>
  <c r="S364"/>
  <c r="K368"/>
  <c r="L368"/>
  <c r="M368" s="1"/>
  <c r="V136"/>
  <c r="V140"/>
  <c r="V144"/>
  <c r="S146"/>
  <c r="V148"/>
  <c r="S150"/>
  <c r="V152"/>
  <c r="S154"/>
  <c r="V156"/>
  <c r="S158"/>
  <c r="V160"/>
  <c r="S162"/>
  <c r="V164"/>
  <c r="S166"/>
  <c r="V168"/>
  <c r="S170"/>
  <c r="V172"/>
  <c r="S174"/>
  <c r="V176"/>
  <c r="S178"/>
  <c r="V180"/>
  <c r="S182"/>
  <c r="V184"/>
  <c r="S186"/>
  <c r="V188"/>
  <c r="S190"/>
  <c r="V192"/>
  <c r="S194"/>
  <c r="V196"/>
  <c r="S198"/>
  <c r="V200"/>
  <c r="S202"/>
  <c r="V204"/>
  <c r="S206"/>
  <c r="V208"/>
  <c r="S210"/>
  <c r="M212"/>
  <c r="P214"/>
  <c r="K215"/>
  <c r="T215"/>
  <c r="O219"/>
  <c r="T220"/>
  <c r="S221"/>
  <c r="S222"/>
  <c r="S224"/>
  <c r="L226"/>
  <c r="M226" s="1"/>
  <c r="M227"/>
  <c r="Z229"/>
  <c r="D187" i="18" s="1"/>
  <c r="F187" s="1"/>
  <c r="P230" i="26"/>
  <c r="K231"/>
  <c r="T231"/>
  <c r="O235"/>
  <c r="V235"/>
  <c r="P236"/>
  <c r="T236"/>
  <c r="S237"/>
  <c r="S238"/>
  <c r="S240"/>
  <c r="L242"/>
  <c r="M242" s="1"/>
  <c r="M243"/>
  <c r="V246"/>
  <c r="S247"/>
  <c r="T250"/>
  <c r="T251"/>
  <c r="V254"/>
  <c r="S255"/>
  <c r="T258"/>
  <c r="T259"/>
  <c r="V262"/>
  <c r="S263"/>
  <c r="T266"/>
  <c r="T282"/>
  <c r="T299"/>
  <c r="T316"/>
  <c r="T328"/>
  <c r="T344"/>
  <c r="T360"/>
  <c r="K246"/>
  <c r="L246"/>
  <c r="M246" s="1"/>
  <c r="O250"/>
  <c r="P250"/>
  <c r="K254"/>
  <c r="L254"/>
  <c r="M254" s="1"/>
  <c r="O258"/>
  <c r="P258"/>
  <c r="K262"/>
  <c r="L262"/>
  <c r="M262" s="1"/>
  <c r="O266"/>
  <c r="P266"/>
  <c r="K270"/>
  <c r="L270"/>
  <c r="M270" s="1"/>
  <c r="S272"/>
  <c r="Z272"/>
  <c r="D224" i="18" s="1"/>
  <c r="F224" s="1"/>
  <c r="V274" i="26"/>
  <c r="S274"/>
  <c r="O282"/>
  <c r="P282"/>
  <c r="K287"/>
  <c r="L287"/>
  <c r="M287" s="1"/>
  <c r="S289"/>
  <c r="Z289"/>
  <c r="V291"/>
  <c r="S291"/>
  <c r="O299"/>
  <c r="P299"/>
  <c r="K304"/>
  <c r="L304"/>
  <c r="M304" s="1"/>
  <c r="S306"/>
  <c r="Z306"/>
  <c r="V308"/>
  <c r="S308"/>
  <c r="O316"/>
  <c r="P316"/>
  <c r="K320"/>
  <c r="L320"/>
  <c r="M320" s="1"/>
  <c r="S322"/>
  <c r="Z322"/>
  <c r="V324"/>
  <c r="S324"/>
  <c r="S326"/>
  <c r="Z326"/>
  <c r="D62" i="18" s="1"/>
  <c r="F62" s="1"/>
  <c r="O328" i="26"/>
  <c r="P328"/>
  <c r="V336"/>
  <c r="S336"/>
  <c r="K340"/>
  <c r="L340"/>
  <c r="M340" s="1"/>
  <c r="S342"/>
  <c r="Z342"/>
  <c r="D149" i="18" s="1"/>
  <c r="F149" s="1"/>
  <c r="O344" i="26"/>
  <c r="P344"/>
  <c r="V352"/>
  <c r="S352"/>
  <c r="K356"/>
  <c r="L356"/>
  <c r="M356" s="1"/>
  <c r="S358"/>
  <c r="Z358"/>
  <c r="D229" i="18" s="1"/>
  <c r="F229" s="1"/>
  <c r="O360" i="26"/>
  <c r="P360"/>
  <c r="T214"/>
  <c r="V215"/>
  <c r="P216"/>
  <c r="T216"/>
  <c r="S218"/>
  <c r="S220"/>
  <c r="T230"/>
  <c r="V231"/>
  <c r="P232"/>
  <c r="T232"/>
  <c r="S234"/>
  <c r="S236"/>
  <c r="Z245"/>
  <c r="D183" i="18" s="1"/>
  <c r="F183" s="1"/>
  <c r="S248" i="26"/>
  <c r="Z253"/>
  <c r="S256"/>
  <c r="Z261"/>
  <c r="D92" i="18" s="1"/>
  <c r="F92" s="1"/>
  <c r="K263" i="26"/>
  <c r="T332"/>
  <c r="T348"/>
  <c r="T364"/>
  <c r="K266"/>
  <c r="L266"/>
  <c r="M266" s="1"/>
  <c r="S268"/>
  <c r="Z268"/>
  <c r="V270"/>
  <c r="S270"/>
  <c r="O278"/>
  <c r="P278"/>
  <c r="K282"/>
  <c r="L282"/>
  <c r="M282" s="1"/>
  <c r="S284"/>
  <c r="Z284"/>
  <c r="V287"/>
  <c r="S287"/>
  <c r="O295"/>
  <c r="P295"/>
  <c r="K299"/>
  <c r="L299"/>
  <c r="M299" s="1"/>
  <c r="S302"/>
  <c r="Z302"/>
  <c r="D172" i="18" s="1"/>
  <c r="F172" s="1"/>
  <c r="V304" i="26"/>
  <c r="S304"/>
  <c r="O312"/>
  <c r="P312"/>
  <c r="K316"/>
  <c r="L316"/>
  <c r="M316" s="1"/>
  <c r="S318"/>
  <c r="Z318"/>
  <c r="D46" i="18" s="1"/>
  <c r="F46" s="1"/>
  <c r="V320" i="26"/>
  <c r="S320"/>
  <c r="K328"/>
  <c r="L328"/>
  <c r="M328" s="1"/>
  <c r="S330"/>
  <c r="Z330"/>
  <c r="O332"/>
  <c r="P332"/>
  <c r="V340"/>
  <c r="S340"/>
  <c r="K344"/>
  <c r="L344"/>
  <c r="M344" s="1"/>
  <c r="S346"/>
  <c r="Z346"/>
  <c r="D231" i="18" s="1"/>
  <c r="F231" s="1"/>
  <c r="O348" i="26"/>
  <c r="P348"/>
  <c r="V356"/>
  <c r="S356"/>
  <c r="K360"/>
  <c r="L360"/>
  <c r="M360" s="1"/>
  <c r="S362"/>
  <c r="Z362"/>
  <c r="D158" i="18" s="1"/>
  <c r="F158" s="1"/>
  <c r="O364" i="26"/>
  <c r="P364"/>
  <c r="T211"/>
  <c r="O212"/>
  <c r="S214"/>
  <c r="S216"/>
  <c r="L218"/>
  <c r="M218" s="1"/>
  <c r="M219"/>
  <c r="P222"/>
  <c r="K223"/>
  <c r="T223"/>
  <c r="T226"/>
  <c r="O227"/>
  <c r="S230"/>
  <c r="S232"/>
  <c r="L234"/>
  <c r="M234" s="1"/>
  <c r="M235"/>
  <c r="P238"/>
  <c r="K239"/>
  <c r="T239"/>
  <c r="T242"/>
  <c r="O243"/>
  <c r="T246"/>
  <c r="T247"/>
  <c r="V250"/>
  <c r="T254"/>
  <c r="T255"/>
  <c r="T263"/>
  <c r="T336"/>
  <c r="T352"/>
  <c r="S425"/>
  <c r="T425"/>
  <c r="V425"/>
  <c r="V325"/>
  <c r="V329"/>
  <c r="V333"/>
  <c r="V337"/>
  <c r="V341"/>
  <c r="V345"/>
  <c r="V349"/>
  <c r="V353"/>
  <c r="V357"/>
  <c r="V361"/>
  <c r="V365"/>
  <c r="V369"/>
  <c r="L372"/>
  <c r="M372" s="1"/>
  <c r="P372"/>
  <c r="V373"/>
  <c r="L376"/>
  <c r="M376" s="1"/>
  <c r="P376"/>
  <c r="V377"/>
  <c r="L380"/>
  <c r="M380" s="1"/>
  <c r="P380"/>
  <c r="V381"/>
  <c r="L384"/>
  <c r="M384" s="1"/>
  <c r="P384"/>
  <c r="V385"/>
  <c r="L388"/>
  <c r="M388" s="1"/>
  <c r="P388"/>
  <c r="V389"/>
  <c r="L392"/>
  <c r="M392" s="1"/>
  <c r="P392"/>
  <c r="V393"/>
  <c r="L396"/>
  <c r="M396" s="1"/>
  <c r="P396"/>
  <c r="V397"/>
  <c r="L400"/>
  <c r="M400" s="1"/>
  <c r="P400"/>
  <c r="V401"/>
  <c r="P403"/>
  <c r="V403"/>
  <c r="K404"/>
  <c r="T404"/>
  <c r="L405"/>
  <c r="M405" s="1"/>
  <c r="T407"/>
  <c r="O408"/>
  <c r="V408"/>
  <c r="P409"/>
  <c r="T409"/>
  <c r="S411"/>
  <c r="S413"/>
  <c r="L415"/>
  <c r="M415" s="1"/>
  <c r="M416"/>
  <c r="P417"/>
  <c r="M420"/>
  <c r="P421"/>
  <c r="V419"/>
  <c r="S419"/>
  <c r="V423"/>
  <c r="S423"/>
  <c r="O429"/>
  <c r="P429"/>
  <c r="S368"/>
  <c r="Z370"/>
  <c r="S372"/>
  <c r="Z374"/>
  <c r="S376"/>
  <c r="Z378"/>
  <c r="S380"/>
  <c r="Z382"/>
  <c r="S384"/>
  <c r="Z386"/>
  <c r="S388"/>
  <c r="Z390"/>
  <c r="S392"/>
  <c r="Z394"/>
  <c r="S396"/>
  <c r="Z398"/>
  <c r="S400"/>
  <c r="Z402"/>
  <c r="O404"/>
  <c r="T405"/>
  <c r="S407"/>
  <c r="S409"/>
  <c r="L411"/>
  <c r="M411" s="1"/>
  <c r="M412"/>
  <c r="Z414"/>
  <c r="P415"/>
  <c r="L419"/>
  <c r="M419" s="1"/>
  <c r="L423"/>
  <c r="M423" s="1"/>
  <c r="S417"/>
  <c r="V417"/>
  <c r="S421"/>
  <c r="V421"/>
  <c r="O425"/>
  <c r="P425"/>
  <c r="K429"/>
  <c r="L429"/>
  <c r="M429" s="1"/>
  <c r="M432"/>
  <c r="K425"/>
  <c r="L425"/>
  <c r="M425" s="1"/>
  <c r="S429"/>
  <c r="T429"/>
  <c r="V429"/>
  <c r="T408"/>
  <c r="S415"/>
  <c r="S427"/>
  <c r="S431"/>
  <c r="V433"/>
  <c r="S435"/>
  <c r="V437"/>
  <c r="S439"/>
  <c r="V441"/>
  <c r="S443"/>
  <c r="V445"/>
  <c r="S447"/>
  <c r="V449"/>
  <c r="S451"/>
  <c r="V453"/>
  <c r="S455"/>
  <c r="V457"/>
  <c r="S459"/>
  <c r="V461"/>
  <c r="S463"/>
  <c r="V465"/>
  <c r="S467"/>
  <c r="V469"/>
  <c r="S471"/>
  <c r="V473"/>
  <c r="S475"/>
  <c r="V477"/>
  <c r="S479"/>
  <c r="V481"/>
  <c r="S483"/>
  <c r="T484"/>
  <c r="O488"/>
  <c r="T489"/>
  <c r="S490"/>
  <c r="S491"/>
  <c r="S492"/>
  <c r="O493"/>
  <c r="S493"/>
  <c r="L495"/>
  <c r="M495" s="1"/>
  <c r="M496"/>
  <c r="V499"/>
  <c r="T500"/>
  <c r="T504"/>
  <c r="T508"/>
  <c r="T512"/>
  <c r="K499"/>
  <c r="L499"/>
  <c r="M499" s="1"/>
  <c r="O500"/>
  <c r="P500"/>
  <c r="O504"/>
  <c r="P504"/>
  <c r="O508"/>
  <c r="P508"/>
  <c r="O512"/>
  <c r="P512"/>
  <c r="L433"/>
  <c r="M433" s="1"/>
  <c r="P433"/>
  <c r="T433"/>
  <c r="L437"/>
  <c r="M437" s="1"/>
  <c r="P437"/>
  <c r="T437"/>
  <c r="L441"/>
  <c r="M441" s="1"/>
  <c r="P441"/>
  <c r="T441"/>
  <c r="L445"/>
  <c r="M445" s="1"/>
  <c r="P445"/>
  <c r="T445"/>
  <c r="L449"/>
  <c r="M449" s="1"/>
  <c r="P449"/>
  <c r="T449"/>
  <c r="L453"/>
  <c r="M453" s="1"/>
  <c r="P453"/>
  <c r="T453"/>
  <c r="L457"/>
  <c r="M457" s="1"/>
  <c r="P457"/>
  <c r="T457"/>
  <c r="L461"/>
  <c r="M461" s="1"/>
  <c r="P461"/>
  <c r="T461"/>
  <c r="L465"/>
  <c r="M465" s="1"/>
  <c r="P465"/>
  <c r="T465"/>
  <c r="L469"/>
  <c r="M469" s="1"/>
  <c r="P469"/>
  <c r="T469"/>
  <c r="L473"/>
  <c r="M473" s="1"/>
  <c r="P473"/>
  <c r="T473"/>
  <c r="L477"/>
  <c r="M477" s="1"/>
  <c r="P477"/>
  <c r="T477"/>
  <c r="L481"/>
  <c r="M481" s="1"/>
  <c r="P481"/>
  <c r="T481"/>
  <c r="V484"/>
  <c r="P485"/>
  <c r="T485"/>
  <c r="S487"/>
  <c r="S489"/>
  <c r="L497"/>
  <c r="M497" s="1"/>
  <c r="Z498"/>
  <c r="K500"/>
  <c r="L500"/>
  <c r="M500" s="1"/>
  <c r="K504"/>
  <c r="L504"/>
  <c r="M504" s="1"/>
  <c r="K508"/>
  <c r="L508"/>
  <c r="M508" s="1"/>
  <c r="K512"/>
  <c r="L512"/>
  <c r="M512" s="1"/>
  <c r="S485"/>
  <c r="L487"/>
  <c r="M487" s="1"/>
  <c r="M488"/>
  <c r="P491"/>
  <c r="K492"/>
  <c r="T492"/>
  <c r="O496"/>
  <c r="T499"/>
  <c r="O499"/>
  <c r="P499"/>
  <c r="S500"/>
  <c r="V500"/>
  <c r="Z502"/>
  <c r="S502"/>
  <c r="S504"/>
  <c r="V504"/>
  <c r="Z506"/>
  <c r="S506"/>
  <c r="S508"/>
  <c r="V508"/>
  <c r="Z510"/>
  <c r="S510"/>
  <c r="S512"/>
  <c r="V512"/>
  <c r="T493"/>
  <c r="S495"/>
  <c r="S497"/>
  <c r="L503"/>
  <c r="M503" s="1"/>
  <c r="P503"/>
  <c r="L507"/>
  <c r="M507" s="1"/>
  <c r="P507"/>
  <c r="L511"/>
  <c r="M511" s="1"/>
  <c r="P511"/>
  <c r="S514"/>
  <c r="L515"/>
  <c r="M515" s="1"/>
  <c r="P515"/>
  <c r="V516"/>
  <c r="S518"/>
  <c r="L519"/>
  <c r="M519" s="1"/>
  <c r="P519"/>
  <c r="V520"/>
  <c r="S522"/>
  <c r="L523"/>
  <c r="M523" s="1"/>
  <c r="P523"/>
  <c r="V524"/>
  <c r="S526"/>
  <c r="L527"/>
  <c r="M527" s="1"/>
  <c r="P527"/>
  <c r="V528"/>
  <c r="S530"/>
  <c r="L531"/>
  <c r="M531" s="1"/>
  <c r="P531"/>
  <c r="V532"/>
  <c r="S534"/>
  <c r="L535"/>
  <c r="M535" s="1"/>
  <c r="P535"/>
  <c r="V536"/>
  <c r="S538"/>
  <c r="L539"/>
  <c r="M539" s="1"/>
  <c r="P539"/>
  <c r="V540"/>
  <c r="S542"/>
  <c r="L543"/>
  <c r="M543" s="1"/>
  <c r="P543"/>
  <c r="V544"/>
  <c r="S546"/>
  <c r="L547"/>
  <c r="M547" s="1"/>
  <c r="P547"/>
  <c r="V548"/>
  <c r="S550"/>
  <c r="L551"/>
  <c r="M551" s="1"/>
  <c r="P551"/>
  <c r="V552"/>
  <c r="S554"/>
  <c r="L555"/>
  <c r="M555" s="1"/>
  <c r="P555"/>
  <c r="V556"/>
  <c r="S558"/>
  <c r="L559"/>
  <c r="M559" s="1"/>
  <c r="P559"/>
  <c r="V560"/>
  <c r="S562"/>
  <c r="L563"/>
  <c r="M563" s="1"/>
  <c r="P563"/>
  <c r="V564"/>
  <c r="S566"/>
  <c r="L567"/>
  <c r="M567" s="1"/>
  <c r="P567"/>
  <c r="V568"/>
  <c r="S570"/>
  <c r="L571"/>
  <c r="M571" s="1"/>
  <c r="P571"/>
  <c r="V572"/>
  <c r="S574"/>
  <c r="L575"/>
  <c r="M575" s="1"/>
  <c r="P575"/>
  <c r="V576"/>
  <c r="L516"/>
  <c r="M516" s="1"/>
  <c r="P516"/>
  <c r="L520"/>
  <c r="M520" s="1"/>
  <c r="P520"/>
  <c r="L524"/>
  <c r="M524" s="1"/>
  <c r="P524"/>
  <c r="L528"/>
  <c r="M528" s="1"/>
  <c r="P528"/>
  <c r="L532"/>
  <c r="M532" s="1"/>
  <c r="P532"/>
  <c r="L536"/>
  <c r="M536" s="1"/>
  <c r="P536"/>
  <c r="L540"/>
  <c r="M540" s="1"/>
  <c r="P540"/>
  <c r="L544"/>
  <c r="M544" s="1"/>
  <c r="P544"/>
  <c r="L548"/>
  <c r="M548" s="1"/>
  <c r="P548"/>
  <c r="L552"/>
  <c r="M552" s="1"/>
  <c r="P552"/>
  <c r="L556"/>
  <c r="M556" s="1"/>
  <c r="P556"/>
  <c r="L560"/>
  <c r="M560" s="1"/>
  <c r="P560"/>
  <c r="L564"/>
  <c r="M564" s="1"/>
  <c r="P564"/>
  <c r="L568"/>
  <c r="M568" s="1"/>
  <c r="P568"/>
  <c r="L572"/>
  <c r="M572" s="1"/>
  <c r="P572"/>
  <c r="L576"/>
  <c r="M576" s="1"/>
  <c r="P576"/>
  <c r="V174" i="25"/>
  <c r="S174"/>
  <c r="L180"/>
  <c r="M180" s="1"/>
  <c r="K180"/>
  <c r="P184"/>
  <c r="O184"/>
  <c r="P203"/>
  <c r="O203"/>
  <c r="P208"/>
  <c r="O208"/>
  <c r="T125"/>
  <c r="T144"/>
  <c r="T156"/>
  <c r="L160"/>
  <c r="M160" s="1"/>
  <c r="P160"/>
  <c r="V160"/>
  <c r="L4"/>
  <c r="M4" s="1"/>
  <c r="K8"/>
  <c r="P9"/>
  <c r="L12"/>
  <c r="M12" s="1"/>
  <c r="L13"/>
  <c r="M13" s="1"/>
  <c r="T14"/>
  <c r="O16"/>
  <c r="L21"/>
  <c r="M21" s="1"/>
  <c r="T22"/>
  <c r="S26"/>
  <c r="T28"/>
  <c r="K31"/>
  <c r="T31"/>
  <c r="P33"/>
  <c r="M35"/>
  <c r="K39"/>
  <c r="T39"/>
  <c r="P44"/>
  <c r="T45"/>
  <c r="L48"/>
  <c r="M48" s="1"/>
  <c r="K52"/>
  <c r="T53"/>
  <c r="P57"/>
  <c r="M59"/>
  <c r="O63"/>
  <c r="T64"/>
  <c r="S66"/>
  <c r="M68"/>
  <c r="O71"/>
  <c r="P72"/>
  <c r="L76"/>
  <c r="M76" s="1"/>
  <c r="L77"/>
  <c r="M77" s="1"/>
  <c r="T78"/>
  <c r="O80"/>
  <c r="L85"/>
  <c r="M85" s="1"/>
  <c r="T86"/>
  <c r="S90"/>
  <c r="T92"/>
  <c r="K95"/>
  <c r="T95"/>
  <c r="P97"/>
  <c r="M99"/>
  <c r="K103"/>
  <c r="T103"/>
  <c r="P108"/>
  <c r="T109"/>
  <c r="L112"/>
  <c r="M112" s="1"/>
  <c r="K116"/>
  <c r="T117"/>
  <c r="P121"/>
  <c r="M123"/>
  <c r="O127"/>
  <c r="T128"/>
  <c r="S130"/>
  <c r="M132"/>
  <c r="O135"/>
  <c r="P136"/>
  <c r="L140"/>
  <c r="M140" s="1"/>
  <c r="L141"/>
  <c r="M141" s="1"/>
  <c r="T142"/>
  <c r="O144"/>
  <c r="L149"/>
  <c r="M149" s="1"/>
  <c r="T150"/>
  <c r="S154"/>
  <c r="P156"/>
  <c r="L164"/>
  <c r="M164" s="1"/>
  <c r="T169"/>
  <c r="T172"/>
  <c r="T173"/>
  <c r="S195"/>
  <c r="O189"/>
  <c r="P189"/>
  <c r="O3"/>
  <c r="S6"/>
  <c r="M8"/>
  <c r="S10"/>
  <c r="K15"/>
  <c r="T15"/>
  <c r="P17"/>
  <c r="M19"/>
  <c r="K23"/>
  <c r="T23"/>
  <c r="P28"/>
  <c r="L32"/>
  <c r="M32" s="1"/>
  <c r="K36"/>
  <c r="P41"/>
  <c r="M43"/>
  <c r="O47"/>
  <c r="S50"/>
  <c r="M52"/>
  <c r="O55"/>
  <c r="P56"/>
  <c r="V56"/>
  <c r="L60"/>
  <c r="M60" s="1"/>
  <c r="L61"/>
  <c r="M61" s="1"/>
  <c r="O64"/>
  <c r="L69"/>
  <c r="M69" s="1"/>
  <c r="S74"/>
  <c r="K79"/>
  <c r="T79"/>
  <c r="P81"/>
  <c r="M83"/>
  <c r="K87"/>
  <c r="T87"/>
  <c r="P92"/>
  <c r="L96"/>
  <c r="M96" s="1"/>
  <c r="K100"/>
  <c r="P105"/>
  <c r="M107"/>
  <c r="O111"/>
  <c r="S114"/>
  <c r="M116"/>
  <c r="O119"/>
  <c r="L125"/>
  <c r="M125" s="1"/>
  <c r="O128"/>
  <c r="L133"/>
  <c r="M133" s="1"/>
  <c r="S138"/>
  <c r="K143"/>
  <c r="T143"/>
  <c r="P145"/>
  <c r="K151"/>
  <c r="T151"/>
  <c r="L157"/>
  <c r="M157" s="1"/>
  <c r="S158"/>
  <c r="O159"/>
  <c r="O172"/>
  <c r="P172"/>
  <c r="P179"/>
  <c r="O179"/>
  <c r="O180"/>
  <c r="P180"/>
  <c r="K189"/>
  <c r="L189"/>
  <c r="M189" s="1"/>
  <c r="T196"/>
  <c r="V196"/>
  <c r="O4"/>
  <c r="L9"/>
  <c r="M9" s="1"/>
  <c r="S9"/>
  <c r="P12"/>
  <c r="L16"/>
  <c r="M16" s="1"/>
  <c r="K20"/>
  <c r="P25"/>
  <c r="O31"/>
  <c r="S34"/>
  <c r="M36"/>
  <c r="O39"/>
  <c r="L45"/>
  <c r="M45" s="1"/>
  <c r="O48"/>
  <c r="L53"/>
  <c r="M53" s="1"/>
  <c r="S58"/>
  <c r="K63"/>
  <c r="T63"/>
  <c r="P65"/>
  <c r="K71"/>
  <c r="T71"/>
  <c r="P76"/>
  <c r="L80"/>
  <c r="M80" s="1"/>
  <c r="K84"/>
  <c r="P89"/>
  <c r="O95"/>
  <c r="S98"/>
  <c r="M100"/>
  <c r="O103"/>
  <c r="L109"/>
  <c r="M109" s="1"/>
  <c r="O112"/>
  <c r="L117"/>
  <c r="M117" s="1"/>
  <c r="K127"/>
  <c r="K135"/>
  <c r="T135"/>
  <c r="K162"/>
  <c r="S162"/>
  <c r="T168"/>
  <c r="S176"/>
  <c r="S166"/>
  <c r="M179"/>
  <c r="S179"/>
  <c r="T186"/>
  <c r="T188"/>
  <c r="T194"/>
  <c r="S210"/>
  <c r="O212"/>
  <c r="L213"/>
  <c r="M213" s="1"/>
  <c r="T214"/>
  <c r="S220"/>
  <c r="L221"/>
  <c r="M221" s="1"/>
  <c r="T221"/>
  <c r="T222"/>
  <c r="K224"/>
  <c r="S224"/>
  <c r="K232"/>
  <c r="S234"/>
  <c r="O236"/>
  <c r="K241"/>
  <c r="T241"/>
  <c r="L242"/>
  <c r="M242" s="1"/>
  <c r="S243"/>
  <c r="O244"/>
  <c r="T249"/>
  <c r="L250"/>
  <c r="M250" s="1"/>
  <c r="S251"/>
  <c r="O252"/>
  <c r="K253"/>
  <c r="T254"/>
  <c r="M264"/>
  <c r="O269"/>
  <c r="S271"/>
  <c r="P274"/>
  <c r="O276"/>
  <c r="M280"/>
  <c r="K284"/>
  <c r="T284"/>
  <c r="P286"/>
  <c r="M288"/>
  <c r="O289"/>
  <c r="K293"/>
  <c r="S293"/>
  <c r="L294"/>
  <c r="M294" s="1"/>
  <c r="S294"/>
  <c r="O295"/>
  <c r="S298"/>
  <c r="O298"/>
  <c r="O299"/>
  <c r="T303"/>
  <c r="O305"/>
  <c r="S307"/>
  <c r="O309"/>
  <c r="P310"/>
  <c r="K311"/>
  <c r="Z311"/>
  <c r="M312"/>
  <c r="T314"/>
  <c r="S315"/>
  <c r="K317"/>
  <c r="S317"/>
  <c r="L318"/>
  <c r="M318" s="1"/>
  <c r="S318"/>
  <c r="O319"/>
  <c r="V321"/>
  <c r="T323"/>
  <c r="O325"/>
  <c r="P326"/>
  <c r="K327"/>
  <c r="Z327"/>
  <c r="M328"/>
  <c r="T330"/>
  <c r="S331"/>
  <c r="K333"/>
  <c r="S333"/>
  <c r="L334"/>
  <c r="M334" s="1"/>
  <c r="S334"/>
  <c r="O335"/>
  <c r="V337"/>
  <c r="T339"/>
  <c r="O341"/>
  <c r="P342"/>
  <c r="O345"/>
  <c r="T346"/>
  <c r="O347"/>
  <c r="P350"/>
  <c r="K351"/>
  <c r="Z351"/>
  <c r="L354"/>
  <c r="M354" s="1"/>
  <c r="S354"/>
  <c r="O355"/>
  <c r="P358"/>
  <c r="K359"/>
  <c r="Z359"/>
  <c r="L362"/>
  <c r="M362" s="1"/>
  <c r="S362"/>
  <c r="O363"/>
  <c r="P366"/>
  <c r="K367"/>
  <c r="Z367"/>
  <c r="L370"/>
  <c r="M370" s="1"/>
  <c r="S370"/>
  <c r="O371"/>
  <c r="P374"/>
  <c r="K375"/>
  <c r="Z375"/>
  <c r="L378"/>
  <c r="M378" s="1"/>
  <c r="S378"/>
  <c r="O379"/>
  <c r="P382"/>
  <c r="K383"/>
  <c r="Z383"/>
  <c r="L386"/>
  <c r="M386" s="1"/>
  <c r="S386"/>
  <c r="O387"/>
  <c r="P390"/>
  <c r="K391"/>
  <c r="Z391"/>
  <c r="L394"/>
  <c r="M394" s="1"/>
  <c r="S394"/>
  <c r="O395"/>
  <c r="T397"/>
  <c r="K398"/>
  <c r="T401"/>
  <c r="T402"/>
  <c r="T406"/>
  <c r="L407"/>
  <c r="M407" s="1"/>
  <c r="M408"/>
  <c r="T411"/>
  <c r="S412"/>
  <c r="L413"/>
  <c r="M413" s="1"/>
  <c r="P414"/>
  <c r="P415"/>
  <c r="L418"/>
  <c r="M418" s="1"/>
  <c r="S418"/>
  <c r="L419"/>
  <c r="M419" s="1"/>
  <c r="T419"/>
  <c r="P422"/>
  <c r="T424"/>
  <c r="K428"/>
  <c r="S428"/>
  <c r="T429"/>
  <c r="P430"/>
  <c r="T433"/>
  <c r="T436"/>
  <c r="K444"/>
  <c r="S444"/>
  <c r="T445"/>
  <c r="P446"/>
  <c r="L450"/>
  <c r="M450" s="1"/>
  <c r="S450"/>
  <c r="S452"/>
  <c r="T452"/>
  <c r="P454"/>
  <c r="L458"/>
  <c r="M458" s="1"/>
  <c r="S458"/>
  <c r="S460"/>
  <c r="T460"/>
  <c r="P462"/>
  <c r="L466"/>
  <c r="M466" s="1"/>
  <c r="S466"/>
  <c r="S468"/>
  <c r="T468"/>
  <c r="T471"/>
  <c r="T473"/>
  <c r="S476"/>
  <c r="T477"/>
  <c r="V480"/>
  <c r="K481"/>
  <c r="T486"/>
  <c r="L487"/>
  <c r="M487" s="1"/>
  <c r="M488"/>
  <c r="T493"/>
  <c r="T496"/>
  <c r="S498"/>
  <c r="T500"/>
  <c r="T505"/>
  <c r="M508"/>
  <c r="S514"/>
  <c r="T516"/>
  <c r="S519"/>
  <c r="T521"/>
  <c r="M524"/>
  <c r="S530"/>
  <c r="T532"/>
  <c r="S535"/>
  <c r="T537"/>
  <c r="M540"/>
  <c r="S546"/>
  <c r="T548"/>
  <c r="S551"/>
  <c r="S555"/>
  <c r="O560"/>
  <c r="T561"/>
  <c r="V562"/>
  <c r="T564"/>
  <c r="S570"/>
  <c r="T570"/>
  <c r="S319"/>
  <c r="S335"/>
  <c r="S355"/>
  <c r="S363"/>
  <c r="S371"/>
  <c r="S379"/>
  <c r="S387"/>
  <c r="S395"/>
  <c r="T180"/>
  <c r="M203"/>
  <c r="L208"/>
  <c r="M208" s="1"/>
  <c r="T208"/>
  <c r="L212"/>
  <c r="M212" s="1"/>
  <c r="T212"/>
  <c r="P213"/>
  <c r="T216"/>
  <c r="T220"/>
  <c r="P221"/>
  <c r="T225"/>
  <c r="T229"/>
  <c r="P232"/>
  <c r="T233"/>
  <c r="T238"/>
  <c r="S239"/>
  <c r="P241"/>
  <c r="P242"/>
  <c r="M244"/>
  <c r="T247"/>
  <c r="P250"/>
  <c r="M252"/>
  <c r="P253"/>
  <c r="P254"/>
  <c r="S256"/>
  <c r="O257"/>
  <c r="V258"/>
  <c r="T261"/>
  <c r="S263"/>
  <c r="V265"/>
  <c r="L269"/>
  <c r="M269" s="1"/>
  <c r="T269"/>
  <c r="T273"/>
  <c r="L274"/>
  <c r="M274" s="1"/>
  <c r="K276"/>
  <c r="V277"/>
  <c r="T281"/>
  <c r="O284"/>
  <c r="T285"/>
  <c r="L286"/>
  <c r="M286" s="1"/>
  <c r="S286"/>
  <c r="L289"/>
  <c r="M289" s="1"/>
  <c r="T289"/>
  <c r="T292"/>
  <c r="O293"/>
  <c r="P294"/>
  <c r="K295"/>
  <c r="K299"/>
  <c r="S302"/>
  <c r="T302"/>
  <c r="K305"/>
  <c r="K309"/>
  <c r="S309"/>
  <c r="L310"/>
  <c r="M310" s="1"/>
  <c r="S310"/>
  <c r="O311"/>
  <c r="V313"/>
  <c r="T315"/>
  <c r="O317"/>
  <c r="P318"/>
  <c r="K319"/>
  <c r="T322"/>
  <c r="S323"/>
  <c r="K325"/>
  <c r="S325"/>
  <c r="L326"/>
  <c r="M326" s="1"/>
  <c r="S326"/>
  <c r="O327"/>
  <c r="V329"/>
  <c r="T331"/>
  <c r="O333"/>
  <c r="P334"/>
  <c r="K335"/>
  <c r="T338"/>
  <c r="S339"/>
  <c r="K341"/>
  <c r="S341"/>
  <c r="L342"/>
  <c r="M342" s="1"/>
  <c r="S342"/>
  <c r="S343"/>
  <c r="K345"/>
  <c r="L350"/>
  <c r="M350" s="1"/>
  <c r="S350"/>
  <c r="O351"/>
  <c r="P354"/>
  <c r="K355"/>
  <c r="L358"/>
  <c r="M358" s="1"/>
  <c r="S358"/>
  <c r="O359"/>
  <c r="P362"/>
  <c r="K363"/>
  <c r="L366"/>
  <c r="M366" s="1"/>
  <c r="S366"/>
  <c r="O367"/>
  <c r="P370"/>
  <c r="K371"/>
  <c r="L374"/>
  <c r="M374" s="1"/>
  <c r="S374"/>
  <c r="O375"/>
  <c r="P378"/>
  <c r="K379"/>
  <c r="L382"/>
  <c r="M382" s="1"/>
  <c r="S382"/>
  <c r="O383"/>
  <c r="P386"/>
  <c r="K387"/>
  <c r="L390"/>
  <c r="M390" s="1"/>
  <c r="S390"/>
  <c r="O391"/>
  <c r="P394"/>
  <c r="K395"/>
  <c r="L399"/>
  <c r="M399" s="1"/>
  <c r="S402"/>
  <c r="T407"/>
  <c r="P411"/>
  <c r="L414"/>
  <c r="M414" s="1"/>
  <c r="S414"/>
  <c r="L415"/>
  <c r="M415" s="1"/>
  <c r="T415"/>
  <c r="P418"/>
  <c r="P419"/>
  <c r="L422"/>
  <c r="M422" s="1"/>
  <c r="S422"/>
  <c r="T425"/>
  <c r="T428"/>
  <c r="K436"/>
  <c r="S436"/>
  <c r="T437"/>
  <c r="P438"/>
  <c r="M440"/>
  <c r="T441"/>
  <c r="T444"/>
  <c r="T448"/>
  <c r="P450"/>
  <c r="L454"/>
  <c r="M454" s="1"/>
  <c r="S454"/>
  <c r="T456"/>
  <c r="P458"/>
  <c r="L462"/>
  <c r="M462" s="1"/>
  <c r="S462"/>
  <c r="T464"/>
  <c r="P466"/>
  <c r="T476"/>
  <c r="M479"/>
  <c r="P481"/>
  <c r="S482"/>
  <c r="T483"/>
  <c r="T487"/>
  <c r="T492"/>
  <c r="S494"/>
  <c r="T497"/>
  <c r="S506"/>
  <c r="T508"/>
  <c r="S511"/>
  <c r="T513"/>
  <c r="S522"/>
  <c r="T524"/>
  <c r="S527"/>
  <c r="T529"/>
  <c r="S538"/>
  <c r="T540"/>
  <c r="S543"/>
  <c r="T545"/>
  <c r="T558"/>
  <c r="K560"/>
  <c r="S560"/>
  <c r="S566"/>
  <c r="T566"/>
  <c r="M304"/>
  <c r="M324"/>
  <c r="M340"/>
  <c r="M472"/>
  <c r="M504"/>
  <c r="M520"/>
  <c r="M536"/>
  <c r="S157"/>
  <c r="V157"/>
  <c r="O167"/>
  <c r="P167"/>
  <c r="K173"/>
  <c r="L173"/>
  <c r="M173" s="1"/>
  <c r="O177"/>
  <c r="P177"/>
  <c r="K184"/>
  <c r="L184"/>
  <c r="M184" s="1"/>
  <c r="K185"/>
  <c r="L185"/>
  <c r="M185" s="1"/>
  <c r="S190"/>
  <c r="V190"/>
  <c r="T6"/>
  <c r="K7"/>
  <c r="T7"/>
  <c r="O8"/>
  <c r="T8"/>
  <c r="O11"/>
  <c r="S13"/>
  <c r="T18"/>
  <c r="K19"/>
  <c r="T19"/>
  <c r="O20"/>
  <c r="T20"/>
  <c r="P21"/>
  <c r="S22"/>
  <c r="S23"/>
  <c r="K24"/>
  <c r="L25"/>
  <c r="M25" s="1"/>
  <c r="T25"/>
  <c r="O27"/>
  <c r="S29"/>
  <c r="T34"/>
  <c r="K35"/>
  <c r="T35"/>
  <c r="O36"/>
  <c r="T36"/>
  <c r="P37"/>
  <c r="S38"/>
  <c r="S39"/>
  <c r="K40"/>
  <c r="L41"/>
  <c r="M41" s="1"/>
  <c r="T41"/>
  <c r="O43"/>
  <c r="S45"/>
  <c r="T50"/>
  <c r="K51"/>
  <c r="T51"/>
  <c r="O52"/>
  <c r="T52"/>
  <c r="P53"/>
  <c r="S54"/>
  <c r="S55"/>
  <c r="K56"/>
  <c r="L57"/>
  <c r="M57" s="1"/>
  <c r="T57"/>
  <c r="O59"/>
  <c r="S61"/>
  <c r="T66"/>
  <c r="K67"/>
  <c r="T67"/>
  <c r="O68"/>
  <c r="T68"/>
  <c r="P69"/>
  <c r="S70"/>
  <c r="S71"/>
  <c r="K72"/>
  <c r="L73"/>
  <c r="M73" s="1"/>
  <c r="T73"/>
  <c r="O75"/>
  <c r="S77"/>
  <c r="T82"/>
  <c r="K83"/>
  <c r="T83"/>
  <c r="O84"/>
  <c r="T84"/>
  <c r="P85"/>
  <c r="S86"/>
  <c r="S87"/>
  <c r="K88"/>
  <c r="L89"/>
  <c r="M89" s="1"/>
  <c r="T89"/>
  <c r="O91"/>
  <c r="S93"/>
  <c r="T98"/>
  <c r="K99"/>
  <c r="T99"/>
  <c r="O100"/>
  <c r="T100"/>
  <c r="P101"/>
  <c r="S102"/>
  <c r="S103"/>
  <c r="K104"/>
  <c r="L105"/>
  <c r="M105" s="1"/>
  <c r="T105"/>
  <c r="O107"/>
  <c r="S109"/>
  <c r="T114"/>
  <c r="K115"/>
  <c r="T115"/>
  <c r="O116"/>
  <c r="T116"/>
  <c r="P117"/>
  <c r="S118"/>
  <c r="S119"/>
  <c r="K120"/>
  <c r="L121"/>
  <c r="M121" s="1"/>
  <c r="T121"/>
  <c r="O123"/>
  <c r="S125"/>
  <c r="T130"/>
  <c r="K131"/>
  <c r="T131"/>
  <c r="O132"/>
  <c r="T132"/>
  <c r="P133"/>
  <c r="S134"/>
  <c r="S135"/>
  <c r="K136"/>
  <c r="L137"/>
  <c r="M137" s="1"/>
  <c r="T137"/>
  <c r="O139"/>
  <c r="S141"/>
  <c r="T146"/>
  <c r="K147"/>
  <c r="T147"/>
  <c r="O148"/>
  <c r="T148"/>
  <c r="P149"/>
  <c r="S150"/>
  <c r="S151"/>
  <c r="K152"/>
  <c r="L153"/>
  <c r="M153" s="1"/>
  <c r="T153"/>
  <c r="O155"/>
  <c r="S159"/>
  <c r="L161"/>
  <c r="M161" s="1"/>
  <c r="V166"/>
  <c r="V170"/>
  <c r="O171"/>
  <c r="T171"/>
  <c r="L159"/>
  <c r="M159" s="1"/>
  <c r="K159"/>
  <c r="K177"/>
  <c r="L177"/>
  <c r="M177" s="1"/>
  <c r="O188"/>
  <c r="P188"/>
  <c r="S5"/>
  <c r="S11"/>
  <c r="S17"/>
  <c r="S27"/>
  <c r="S33"/>
  <c r="S43"/>
  <c r="S49"/>
  <c r="S59"/>
  <c r="S65"/>
  <c r="S75"/>
  <c r="S81"/>
  <c r="S91"/>
  <c r="S97"/>
  <c r="S107"/>
  <c r="S113"/>
  <c r="S123"/>
  <c r="S129"/>
  <c r="S139"/>
  <c r="S145"/>
  <c r="S155"/>
  <c r="S172"/>
  <c r="S164"/>
  <c r="Z164"/>
  <c r="D261" i="18" s="1"/>
  <c r="F261" s="1"/>
  <c r="L171" i="25"/>
  <c r="M171" s="1"/>
  <c r="K171"/>
  <c r="P191"/>
  <c r="O191"/>
  <c r="S2"/>
  <c r="S3"/>
  <c r="L5"/>
  <c r="M5" s="1"/>
  <c r="T5"/>
  <c r="O7"/>
  <c r="V9"/>
  <c r="T10"/>
  <c r="K11"/>
  <c r="T11"/>
  <c r="P13"/>
  <c r="S14"/>
  <c r="S15"/>
  <c r="L17"/>
  <c r="M17" s="1"/>
  <c r="T17"/>
  <c r="O19"/>
  <c r="S21"/>
  <c r="T26"/>
  <c r="K27"/>
  <c r="T27"/>
  <c r="P29"/>
  <c r="S30"/>
  <c r="S31"/>
  <c r="L33"/>
  <c r="M33" s="1"/>
  <c r="T33"/>
  <c r="O35"/>
  <c r="S37"/>
  <c r="T42"/>
  <c r="K43"/>
  <c r="T43"/>
  <c r="P45"/>
  <c r="S46"/>
  <c r="S47"/>
  <c r="L49"/>
  <c r="M49" s="1"/>
  <c r="T49"/>
  <c r="O51"/>
  <c r="S53"/>
  <c r="T58"/>
  <c r="K59"/>
  <c r="T59"/>
  <c r="P61"/>
  <c r="S62"/>
  <c r="S63"/>
  <c r="L65"/>
  <c r="M65" s="1"/>
  <c r="T65"/>
  <c r="O67"/>
  <c r="S69"/>
  <c r="T74"/>
  <c r="K75"/>
  <c r="T75"/>
  <c r="P77"/>
  <c r="S78"/>
  <c r="S79"/>
  <c r="L81"/>
  <c r="M81" s="1"/>
  <c r="T81"/>
  <c r="O83"/>
  <c r="S85"/>
  <c r="T90"/>
  <c r="K91"/>
  <c r="T91"/>
  <c r="P93"/>
  <c r="S94"/>
  <c r="S95"/>
  <c r="L97"/>
  <c r="M97" s="1"/>
  <c r="T97"/>
  <c r="O99"/>
  <c r="S101"/>
  <c r="T106"/>
  <c r="K107"/>
  <c r="T107"/>
  <c r="P109"/>
  <c r="S110"/>
  <c r="S111"/>
  <c r="L113"/>
  <c r="M113" s="1"/>
  <c r="T113"/>
  <c r="O115"/>
  <c r="S117"/>
  <c r="T122"/>
  <c r="K123"/>
  <c r="T123"/>
  <c r="P125"/>
  <c r="S126"/>
  <c r="S127"/>
  <c r="L129"/>
  <c r="M129" s="1"/>
  <c r="T129"/>
  <c r="O131"/>
  <c r="S133"/>
  <c r="T138"/>
  <c r="K139"/>
  <c r="T139"/>
  <c r="P141"/>
  <c r="S142"/>
  <c r="S143"/>
  <c r="L145"/>
  <c r="M145" s="1"/>
  <c r="T145"/>
  <c r="O147"/>
  <c r="S149"/>
  <c r="T154"/>
  <c r="K155"/>
  <c r="T170"/>
  <c r="V180"/>
  <c r="O161"/>
  <c r="P161"/>
  <c r="P175"/>
  <c r="O175"/>
  <c r="S7"/>
  <c r="S19"/>
  <c r="S25"/>
  <c r="S35"/>
  <c r="S41"/>
  <c r="S51"/>
  <c r="S57"/>
  <c r="S67"/>
  <c r="S73"/>
  <c r="S83"/>
  <c r="S89"/>
  <c r="S99"/>
  <c r="S105"/>
  <c r="S115"/>
  <c r="S121"/>
  <c r="S131"/>
  <c r="S137"/>
  <c r="S147"/>
  <c r="S153"/>
  <c r="V172"/>
  <c r="P428"/>
  <c r="O428"/>
  <c r="K437"/>
  <c r="L437"/>
  <c r="M437" s="1"/>
  <c r="P444"/>
  <c r="O444"/>
  <c r="P448"/>
  <c r="O448"/>
  <c r="K453"/>
  <c r="L453"/>
  <c r="M453" s="1"/>
  <c r="P456"/>
  <c r="O456"/>
  <c r="K461"/>
  <c r="L461"/>
  <c r="M461" s="1"/>
  <c r="P464"/>
  <c r="O464"/>
  <c r="K469"/>
  <c r="L469"/>
  <c r="M469" s="1"/>
  <c r="S470"/>
  <c r="V470"/>
  <c r="P476"/>
  <c r="O476"/>
  <c r="O478"/>
  <c r="P478"/>
  <c r="V182"/>
  <c r="O183"/>
  <c r="P185"/>
  <c r="S186"/>
  <c r="T190"/>
  <c r="M191"/>
  <c r="L193"/>
  <c r="M193" s="1"/>
  <c r="V198"/>
  <c r="O199"/>
  <c r="P201"/>
  <c r="S202"/>
  <c r="T206"/>
  <c r="M207"/>
  <c r="L209"/>
  <c r="M209" s="1"/>
  <c r="S209"/>
  <c r="V210"/>
  <c r="S214"/>
  <c r="S216"/>
  <c r="P217"/>
  <c r="T218"/>
  <c r="V224"/>
  <c r="L225"/>
  <c r="M225" s="1"/>
  <c r="V226"/>
  <c r="S230"/>
  <c r="S232"/>
  <c r="P233"/>
  <c r="T234"/>
  <c r="O240"/>
  <c r="L246"/>
  <c r="M246" s="1"/>
  <c r="M248"/>
  <c r="T251"/>
  <c r="S253"/>
  <c r="M260"/>
  <c r="P262"/>
  <c r="K264"/>
  <c r="S267"/>
  <c r="L270"/>
  <c r="M270" s="1"/>
  <c r="T276"/>
  <c r="T278"/>
  <c r="O280"/>
  <c r="P282"/>
  <c r="S284"/>
  <c r="V286"/>
  <c r="T287"/>
  <c r="K288"/>
  <c r="T288"/>
  <c r="L290"/>
  <c r="M290" s="1"/>
  <c r="S290"/>
  <c r="T297"/>
  <c r="O301"/>
  <c r="T305"/>
  <c r="P306"/>
  <c r="T308"/>
  <c r="T312"/>
  <c r="T316"/>
  <c r="T320"/>
  <c r="T324"/>
  <c r="T328"/>
  <c r="T332"/>
  <c r="T336"/>
  <c r="T340"/>
  <c r="T344"/>
  <c r="S345"/>
  <c r="T348"/>
  <c r="S349"/>
  <c r="T352"/>
  <c r="S353"/>
  <c r="T356"/>
  <c r="S357"/>
  <c r="T360"/>
  <c r="S361"/>
  <c r="T364"/>
  <c r="S365"/>
  <c r="T368"/>
  <c r="S369"/>
  <c r="T372"/>
  <c r="S373"/>
  <c r="T376"/>
  <c r="S377"/>
  <c r="T380"/>
  <c r="S381"/>
  <c r="T384"/>
  <c r="S385"/>
  <c r="T388"/>
  <c r="S389"/>
  <c r="T392"/>
  <c r="S393"/>
  <c r="K396"/>
  <c r="S396"/>
  <c r="L397"/>
  <c r="M397" s="1"/>
  <c r="O398"/>
  <c r="T398"/>
  <c r="V400"/>
  <c r="K401"/>
  <c r="T403"/>
  <c r="K404"/>
  <c r="S404"/>
  <c r="O405"/>
  <c r="K409"/>
  <c r="K410"/>
  <c r="O410"/>
  <c r="V411"/>
  <c r="T412"/>
  <c r="T414"/>
  <c r="O416"/>
  <c r="T418"/>
  <c r="O420"/>
  <c r="T422"/>
  <c r="K424"/>
  <c r="P426"/>
  <c r="P429"/>
  <c r="K432"/>
  <c r="S432"/>
  <c r="S434"/>
  <c r="M436"/>
  <c r="L438"/>
  <c r="M438" s="1"/>
  <c r="T438"/>
  <c r="T440"/>
  <c r="P442"/>
  <c r="T443"/>
  <c r="P445"/>
  <c r="Z452"/>
  <c r="V454"/>
  <c r="Z460"/>
  <c r="V462"/>
  <c r="Z468"/>
  <c r="K433"/>
  <c r="L433"/>
  <c r="M433" s="1"/>
  <c r="P440"/>
  <c r="O440"/>
  <c r="L448"/>
  <c r="M448" s="1"/>
  <c r="K448"/>
  <c r="O449"/>
  <c r="P449"/>
  <c r="L456"/>
  <c r="M456" s="1"/>
  <c r="K456"/>
  <c r="O457"/>
  <c r="P457"/>
  <c r="L464"/>
  <c r="M464" s="1"/>
  <c r="K464"/>
  <c r="O465"/>
  <c r="P465"/>
  <c r="P472"/>
  <c r="O472"/>
  <c r="O474"/>
  <c r="P474"/>
  <c r="K478"/>
  <c r="L478"/>
  <c r="M478" s="1"/>
  <c r="L200"/>
  <c r="M200" s="1"/>
  <c r="P204"/>
  <c r="S212"/>
  <c r="L220"/>
  <c r="M220" s="1"/>
  <c r="P224"/>
  <c r="T224"/>
  <c r="S228"/>
  <c r="L236"/>
  <c r="M236" s="1"/>
  <c r="P249"/>
  <c r="S252"/>
  <c r="L257"/>
  <c r="M257" s="1"/>
  <c r="L261"/>
  <c r="M261" s="1"/>
  <c r="P273"/>
  <c r="S280"/>
  <c r="L281"/>
  <c r="M281" s="1"/>
  <c r="P285"/>
  <c r="L298"/>
  <c r="M298" s="1"/>
  <c r="S301"/>
  <c r="S416"/>
  <c r="S420"/>
  <c r="S430"/>
  <c r="S446"/>
  <c r="S448"/>
  <c r="S456"/>
  <c r="S464"/>
  <c r="K429"/>
  <c r="L429"/>
  <c r="M429" s="1"/>
  <c r="P436"/>
  <c r="O436"/>
  <c r="K445"/>
  <c r="L445"/>
  <c r="M445" s="1"/>
  <c r="K449"/>
  <c r="L449"/>
  <c r="M449" s="1"/>
  <c r="P452"/>
  <c r="O452"/>
  <c r="K457"/>
  <c r="L457"/>
  <c r="M457" s="1"/>
  <c r="P460"/>
  <c r="O460"/>
  <c r="K465"/>
  <c r="L465"/>
  <c r="M465" s="1"/>
  <c r="P468"/>
  <c r="O468"/>
  <c r="O470"/>
  <c r="P470"/>
  <c r="K474"/>
  <c r="L474"/>
  <c r="M474" s="1"/>
  <c r="K477"/>
  <c r="L477"/>
  <c r="M477" s="1"/>
  <c r="S478"/>
  <c r="V478"/>
  <c r="T158"/>
  <c r="T166"/>
  <c r="S178"/>
  <c r="T182"/>
  <c r="M183"/>
  <c r="P193"/>
  <c r="S194"/>
  <c r="T198"/>
  <c r="M199"/>
  <c r="L201"/>
  <c r="M201" s="1"/>
  <c r="V206"/>
  <c r="O207"/>
  <c r="P209"/>
  <c r="V209"/>
  <c r="T210"/>
  <c r="L217"/>
  <c r="M217" s="1"/>
  <c r="S217"/>
  <c r="V218"/>
  <c r="S222"/>
  <c r="P225"/>
  <c r="T226"/>
  <c r="L233"/>
  <c r="M233" s="1"/>
  <c r="V234"/>
  <c r="O239"/>
  <c r="M240"/>
  <c r="S240"/>
  <c r="T243"/>
  <c r="P246"/>
  <c r="S247"/>
  <c r="O248"/>
  <c r="L254"/>
  <c r="M254" s="1"/>
  <c r="S255"/>
  <c r="S259"/>
  <c r="L262"/>
  <c r="M262" s="1"/>
  <c r="M268"/>
  <c r="P270"/>
  <c r="K272"/>
  <c r="S276"/>
  <c r="V278"/>
  <c r="T279"/>
  <c r="K280"/>
  <c r="T280"/>
  <c r="L282"/>
  <c r="M282" s="1"/>
  <c r="S282"/>
  <c r="T286"/>
  <c r="O288"/>
  <c r="P290"/>
  <c r="Z291"/>
  <c r="M292"/>
  <c r="T293"/>
  <c r="S295"/>
  <c r="S297"/>
  <c r="S299"/>
  <c r="T300"/>
  <c r="K301"/>
  <c r="S303"/>
  <c r="T304"/>
  <c r="S305"/>
  <c r="L306"/>
  <c r="M306" s="1"/>
  <c r="Z307"/>
  <c r="M308"/>
  <c r="T309"/>
  <c r="T313"/>
  <c r="T317"/>
  <c r="T321"/>
  <c r="T325"/>
  <c r="T329"/>
  <c r="T333"/>
  <c r="T337"/>
  <c r="T341"/>
  <c r="L343"/>
  <c r="M343" s="1"/>
  <c r="P343"/>
  <c r="V343"/>
  <c r="T345"/>
  <c r="L347"/>
  <c r="M347" s="1"/>
  <c r="T349"/>
  <c r="T353"/>
  <c r="T357"/>
  <c r="T361"/>
  <c r="T365"/>
  <c r="T369"/>
  <c r="T373"/>
  <c r="T377"/>
  <c r="T381"/>
  <c r="T385"/>
  <c r="T389"/>
  <c r="T393"/>
  <c r="T396"/>
  <c r="S398"/>
  <c r="P401"/>
  <c r="T404"/>
  <c r="M405"/>
  <c r="O408"/>
  <c r="T410"/>
  <c r="K412"/>
  <c r="K416"/>
  <c r="K420"/>
  <c r="O424"/>
  <c r="S426"/>
  <c r="M428"/>
  <c r="L430"/>
  <c r="M430" s="1"/>
  <c r="T430"/>
  <c r="T432"/>
  <c r="P434"/>
  <c r="T435"/>
  <c r="P437"/>
  <c r="K440"/>
  <c r="S440"/>
  <c r="S442"/>
  <c r="M444"/>
  <c r="L446"/>
  <c r="M446" s="1"/>
  <c r="T446"/>
  <c r="V450"/>
  <c r="V458"/>
  <c r="V466"/>
  <c r="S472"/>
  <c r="K425"/>
  <c r="L425"/>
  <c r="M425" s="1"/>
  <c r="P432"/>
  <c r="O432"/>
  <c r="K441"/>
  <c r="L441"/>
  <c r="M441" s="1"/>
  <c r="L452"/>
  <c r="M452" s="1"/>
  <c r="K452"/>
  <c r="O453"/>
  <c r="P453"/>
  <c r="L460"/>
  <c r="M460" s="1"/>
  <c r="K460"/>
  <c r="O461"/>
  <c r="P461"/>
  <c r="L468"/>
  <c r="M468" s="1"/>
  <c r="K468"/>
  <c r="K470"/>
  <c r="L470"/>
  <c r="M470" s="1"/>
  <c r="K473"/>
  <c r="L473"/>
  <c r="M473" s="1"/>
  <c r="S474"/>
  <c r="V474"/>
  <c r="S288"/>
  <c r="M344"/>
  <c r="M348"/>
  <c r="M352"/>
  <c r="M356"/>
  <c r="M360"/>
  <c r="M364"/>
  <c r="M368"/>
  <c r="M372"/>
  <c r="M376"/>
  <c r="M380"/>
  <c r="M384"/>
  <c r="M388"/>
  <c r="M392"/>
  <c r="T399"/>
  <c r="S410"/>
  <c r="S424"/>
  <c r="S438"/>
  <c r="T450"/>
  <c r="T454"/>
  <c r="T458"/>
  <c r="T462"/>
  <c r="T466"/>
  <c r="P469"/>
  <c r="T470"/>
  <c r="K472"/>
  <c r="P473"/>
  <c r="T474"/>
  <c r="K476"/>
  <c r="P477"/>
  <c r="T478"/>
  <c r="M480"/>
  <c r="T482"/>
  <c r="P483"/>
  <c r="S485"/>
  <c r="O488"/>
  <c r="T490"/>
  <c r="P491"/>
  <c r="O492"/>
  <c r="T494"/>
  <c r="O496"/>
  <c r="T498"/>
  <c r="K500"/>
  <c r="P501"/>
  <c r="T502"/>
  <c r="K504"/>
  <c r="P505"/>
  <c r="T506"/>
  <c r="K508"/>
  <c r="P509"/>
  <c r="T510"/>
  <c r="K512"/>
  <c r="P513"/>
  <c r="T514"/>
  <c r="K516"/>
  <c r="P517"/>
  <c r="T518"/>
  <c r="K520"/>
  <c r="P521"/>
  <c r="T522"/>
  <c r="K524"/>
  <c r="P525"/>
  <c r="T526"/>
  <c r="K528"/>
  <c r="P529"/>
  <c r="T530"/>
  <c r="K532"/>
  <c r="P533"/>
  <c r="T534"/>
  <c r="K536"/>
  <c r="P537"/>
  <c r="T538"/>
  <c r="K540"/>
  <c r="P541"/>
  <c r="T542"/>
  <c r="K544"/>
  <c r="P545"/>
  <c r="T546"/>
  <c r="K548"/>
  <c r="P549"/>
  <c r="T550"/>
  <c r="K552"/>
  <c r="P553"/>
  <c r="T554"/>
  <c r="K556"/>
  <c r="P557"/>
  <c r="O558"/>
  <c r="T560"/>
  <c r="O564"/>
  <c r="L565"/>
  <c r="M565" s="1"/>
  <c r="K566"/>
  <c r="Z566"/>
  <c r="T568"/>
  <c r="P569"/>
  <c r="Z570"/>
  <c r="L482"/>
  <c r="M482" s="1"/>
  <c r="P482"/>
  <c r="V482"/>
  <c r="P486"/>
  <c r="L489"/>
  <c r="M489" s="1"/>
  <c r="L490"/>
  <c r="M490" s="1"/>
  <c r="P490"/>
  <c r="V490"/>
  <c r="S492"/>
  <c r="L494"/>
  <c r="M494" s="1"/>
  <c r="P494"/>
  <c r="V494"/>
  <c r="S496"/>
  <c r="L498"/>
  <c r="M498" s="1"/>
  <c r="P498"/>
  <c r="V498"/>
  <c r="L502"/>
  <c r="M502" s="1"/>
  <c r="P502"/>
  <c r="V502"/>
  <c r="L506"/>
  <c r="M506" s="1"/>
  <c r="P506"/>
  <c r="V506"/>
  <c r="L510"/>
  <c r="M510" s="1"/>
  <c r="P510"/>
  <c r="V510"/>
  <c r="L514"/>
  <c r="M514" s="1"/>
  <c r="P514"/>
  <c r="V514"/>
  <c r="L518"/>
  <c r="M518" s="1"/>
  <c r="P518"/>
  <c r="V518"/>
  <c r="L522"/>
  <c r="M522" s="1"/>
  <c r="P522"/>
  <c r="V522"/>
  <c r="L526"/>
  <c r="M526" s="1"/>
  <c r="P526"/>
  <c r="V526"/>
  <c r="L530"/>
  <c r="M530" s="1"/>
  <c r="P530"/>
  <c r="V530"/>
  <c r="L534"/>
  <c r="M534" s="1"/>
  <c r="P534"/>
  <c r="V534"/>
  <c r="L538"/>
  <c r="M538" s="1"/>
  <c r="P538"/>
  <c r="V538"/>
  <c r="L542"/>
  <c r="M542" s="1"/>
  <c r="P542"/>
  <c r="V542"/>
  <c r="L546"/>
  <c r="M546" s="1"/>
  <c r="P546"/>
  <c r="V546"/>
  <c r="L550"/>
  <c r="M550" s="1"/>
  <c r="P550"/>
  <c r="V550"/>
  <c r="L554"/>
  <c r="M554" s="1"/>
  <c r="P554"/>
  <c r="V554"/>
  <c r="S558"/>
  <c r="V560"/>
  <c r="S564"/>
  <c r="V568"/>
  <c r="S437"/>
  <c r="M439"/>
  <c r="S441"/>
  <c r="M443"/>
  <c r="S445"/>
  <c r="M447"/>
  <c r="S449"/>
  <c r="M451"/>
  <c r="S453"/>
  <c r="M455"/>
  <c r="S457"/>
  <c r="M459"/>
  <c r="S461"/>
  <c r="M463"/>
  <c r="S465"/>
  <c r="M467"/>
  <c r="S469"/>
  <c r="M471"/>
  <c r="S473"/>
  <c r="M475"/>
  <c r="S477"/>
  <c r="T479"/>
  <c r="O480"/>
  <c r="T491"/>
  <c r="K492"/>
  <c r="K496"/>
  <c r="O500"/>
  <c r="L501"/>
  <c r="M501" s="1"/>
  <c r="O504"/>
  <c r="L505"/>
  <c r="M505" s="1"/>
  <c r="O508"/>
  <c r="L509"/>
  <c r="M509" s="1"/>
  <c r="O512"/>
  <c r="L513"/>
  <c r="M513" s="1"/>
  <c r="O516"/>
  <c r="L517"/>
  <c r="M517" s="1"/>
  <c r="O520"/>
  <c r="L521"/>
  <c r="M521" s="1"/>
  <c r="O524"/>
  <c r="L525"/>
  <c r="M525" s="1"/>
  <c r="O528"/>
  <c r="L529"/>
  <c r="M529" s="1"/>
  <c r="O532"/>
  <c r="L533"/>
  <c r="M533" s="1"/>
  <c r="O536"/>
  <c r="L537"/>
  <c r="M537" s="1"/>
  <c r="O540"/>
  <c r="L541"/>
  <c r="M541" s="1"/>
  <c r="O544"/>
  <c r="L545"/>
  <c r="M545" s="1"/>
  <c r="O548"/>
  <c r="L549"/>
  <c r="M549" s="1"/>
  <c r="O552"/>
  <c r="L553"/>
  <c r="M553" s="1"/>
  <c r="O556"/>
  <c r="L557"/>
  <c r="M557" s="1"/>
  <c r="K558"/>
  <c r="S559"/>
  <c r="T562"/>
  <c r="K564"/>
  <c r="P565"/>
  <c r="O566"/>
  <c r="L569"/>
  <c r="M569" s="1"/>
  <c r="T571"/>
  <c r="S500"/>
  <c r="S504"/>
  <c r="S508"/>
  <c r="S512"/>
  <c r="S516"/>
  <c r="S520"/>
  <c r="S524"/>
  <c r="S528"/>
  <c r="S532"/>
  <c r="S536"/>
  <c r="S540"/>
  <c r="S544"/>
  <c r="S548"/>
  <c r="S552"/>
  <c r="S556"/>
  <c r="K211"/>
  <c r="L211"/>
  <c r="M211" s="1"/>
  <c r="K219"/>
  <c r="L219"/>
  <c r="M219" s="1"/>
  <c r="K227"/>
  <c r="L227"/>
  <c r="M227" s="1"/>
  <c r="K235"/>
  <c r="L235"/>
  <c r="M235" s="1"/>
  <c r="Z237"/>
  <c r="S237"/>
  <c r="L239"/>
  <c r="M239" s="1"/>
  <c r="K239"/>
  <c r="T242"/>
  <c r="V2"/>
  <c r="S8"/>
  <c r="T9"/>
  <c r="S12"/>
  <c r="V14"/>
  <c r="S16"/>
  <c r="V18"/>
  <c r="S20"/>
  <c r="S24"/>
  <c r="V26"/>
  <c r="S28"/>
  <c r="V30"/>
  <c r="S32"/>
  <c r="V34"/>
  <c r="S36"/>
  <c r="V38"/>
  <c r="S40"/>
  <c r="V42"/>
  <c r="S44"/>
  <c r="V46"/>
  <c r="S48"/>
  <c r="V50"/>
  <c r="S52"/>
  <c r="V54"/>
  <c r="S56"/>
  <c r="V58"/>
  <c r="S60"/>
  <c r="V62"/>
  <c r="S64"/>
  <c r="V66"/>
  <c r="S68"/>
  <c r="V70"/>
  <c r="S72"/>
  <c r="V74"/>
  <c r="S76"/>
  <c r="V78"/>
  <c r="S80"/>
  <c r="V82"/>
  <c r="S84"/>
  <c r="V86"/>
  <c r="S88"/>
  <c r="V90"/>
  <c r="S92"/>
  <c r="V94"/>
  <c r="S96"/>
  <c r="V98"/>
  <c r="S100"/>
  <c r="V102"/>
  <c r="S104"/>
  <c r="V106"/>
  <c r="S108"/>
  <c r="V110"/>
  <c r="S112"/>
  <c r="V114"/>
  <c r="S116"/>
  <c r="V118"/>
  <c r="S120"/>
  <c r="V122"/>
  <c r="S124"/>
  <c r="V126"/>
  <c r="S128"/>
  <c r="V130"/>
  <c r="S132"/>
  <c r="V134"/>
  <c r="S136"/>
  <c r="V138"/>
  <c r="S140"/>
  <c r="V142"/>
  <c r="S144"/>
  <c r="V146"/>
  <c r="S148"/>
  <c r="V150"/>
  <c r="S152"/>
  <c r="V154"/>
  <c r="S156"/>
  <c r="V158"/>
  <c r="T162"/>
  <c r="S168"/>
  <c r="S169"/>
  <c r="S171"/>
  <c r="K178"/>
  <c r="L178"/>
  <c r="M178" s="1"/>
  <c r="T179"/>
  <c r="V179"/>
  <c r="K182"/>
  <c r="L182"/>
  <c r="M182" s="1"/>
  <c r="T183"/>
  <c r="V183"/>
  <c r="K186"/>
  <c r="L186"/>
  <c r="M186" s="1"/>
  <c r="T187"/>
  <c r="V187"/>
  <c r="K190"/>
  <c r="L190"/>
  <c r="M190" s="1"/>
  <c r="T191"/>
  <c r="V191"/>
  <c r="K194"/>
  <c r="L194"/>
  <c r="M194" s="1"/>
  <c r="T195"/>
  <c r="V195"/>
  <c r="K198"/>
  <c r="L198"/>
  <c r="M198" s="1"/>
  <c r="T199"/>
  <c r="V199"/>
  <c r="K202"/>
  <c r="L202"/>
  <c r="M202" s="1"/>
  <c r="T203"/>
  <c r="V203"/>
  <c r="K206"/>
  <c r="L206"/>
  <c r="M206" s="1"/>
  <c r="T207"/>
  <c r="V207"/>
  <c r="S211"/>
  <c r="T211"/>
  <c r="V211"/>
  <c r="O215"/>
  <c r="P215"/>
  <c r="S219"/>
  <c r="T219"/>
  <c r="V219"/>
  <c r="O223"/>
  <c r="P223"/>
  <c r="S227"/>
  <c r="T227"/>
  <c r="V227"/>
  <c r="O231"/>
  <c r="P231"/>
  <c r="S235"/>
  <c r="T235"/>
  <c r="V235"/>
  <c r="S4"/>
  <c r="V6"/>
  <c r="L2"/>
  <c r="M2" s="1"/>
  <c r="P2"/>
  <c r="V3"/>
  <c r="L6"/>
  <c r="M6" s="1"/>
  <c r="P6"/>
  <c r="V7"/>
  <c r="L10"/>
  <c r="M10" s="1"/>
  <c r="P10"/>
  <c r="V11"/>
  <c r="L14"/>
  <c r="M14" s="1"/>
  <c r="P14"/>
  <c r="V15"/>
  <c r="L18"/>
  <c r="M18" s="1"/>
  <c r="P18"/>
  <c r="V19"/>
  <c r="L22"/>
  <c r="M22" s="1"/>
  <c r="P22"/>
  <c r="V23"/>
  <c r="L26"/>
  <c r="M26" s="1"/>
  <c r="P26"/>
  <c r="V27"/>
  <c r="L30"/>
  <c r="M30" s="1"/>
  <c r="P30"/>
  <c r="V31"/>
  <c r="L34"/>
  <c r="M34" s="1"/>
  <c r="P34"/>
  <c r="V35"/>
  <c r="L38"/>
  <c r="M38" s="1"/>
  <c r="P38"/>
  <c r="V39"/>
  <c r="L42"/>
  <c r="M42" s="1"/>
  <c r="P42"/>
  <c r="V43"/>
  <c r="L46"/>
  <c r="M46" s="1"/>
  <c r="P46"/>
  <c r="V47"/>
  <c r="L50"/>
  <c r="M50" s="1"/>
  <c r="P50"/>
  <c r="V51"/>
  <c r="L54"/>
  <c r="M54" s="1"/>
  <c r="P54"/>
  <c r="V55"/>
  <c r="L58"/>
  <c r="M58" s="1"/>
  <c r="P58"/>
  <c r="V59"/>
  <c r="L62"/>
  <c r="M62" s="1"/>
  <c r="P62"/>
  <c r="V63"/>
  <c r="L66"/>
  <c r="M66" s="1"/>
  <c r="P66"/>
  <c r="V67"/>
  <c r="L70"/>
  <c r="M70" s="1"/>
  <c r="P70"/>
  <c r="V71"/>
  <c r="L74"/>
  <c r="M74" s="1"/>
  <c r="P74"/>
  <c r="V75"/>
  <c r="L78"/>
  <c r="M78" s="1"/>
  <c r="P78"/>
  <c r="V79"/>
  <c r="L82"/>
  <c r="M82" s="1"/>
  <c r="P82"/>
  <c r="V83"/>
  <c r="L86"/>
  <c r="M86" s="1"/>
  <c r="P86"/>
  <c r="V87"/>
  <c r="L90"/>
  <c r="M90" s="1"/>
  <c r="P90"/>
  <c r="V91"/>
  <c r="L94"/>
  <c r="M94" s="1"/>
  <c r="P94"/>
  <c r="V95"/>
  <c r="L98"/>
  <c r="M98" s="1"/>
  <c r="P98"/>
  <c r="V99"/>
  <c r="L102"/>
  <c r="M102" s="1"/>
  <c r="P102"/>
  <c r="V103"/>
  <c r="L106"/>
  <c r="M106" s="1"/>
  <c r="P106"/>
  <c r="V107"/>
  <c r="L110"/>
  <c r="M110" s="1"/>
  <c r="P110"/>
  <c r="V111"/>
  <c r="L114"/>
  <c r="M114" s="1"/>
  <c r="P114"/>
  <c r="V115"/>
  <c r="L118"/>
  <c r="M118" s="1"/>
  <c r="P118"/>
  <c r="V119"/>
  <c r="L122"/>
  <c r="M122" s="1"/>
  <c r="P122"/>
  <c r="V123"/>
  <c r="L126"/>
  <c r="M126" s="1"/>
  <c r="P126"/>
  <c r="V127"/>
  <c r="L130"/>
  <c r="M130" s="1"/>
  <c r="P130"/>
  <c r="V131"/>
  <c r="L134"/>
  <c r="M134" s="1"/>
  <c r="P134"/>
  <c r="V135"/>
  <c r="L138"/>
  <c r="M138" s="1"/>
  <c r="P138"/>
  <c r="V139"/>
  <c r="L142"/>
  <c r="M142" s="1"/>
  <c r="P142"/>
  <c r="V143"/>
  <c r="L146"/>
  <c r="M146" s="1"/>
  <c r="P146"/>
  <c r="V147"/>
  <c r="L150"/>
  <c r="M150" s="1"/>
  <c r="P150"/>
  <c r="V151"/>
  <c r="L154"/>
  <c r="M154" s="1"/>
  <c r="P154"/>
  <c r="V155"/>
  <c r="L158"/>
  <c r="M158" s="1"/>
  <c r="P158"/>
  <c r="T161"/>
  <c r="O162"/>
  <c r="V162"/>
  <c r="P163"/>
  <c r="T163"/>
  <c r="S165"/>
  <c r="S167"/>
  <c r="L169"/>
  <c r="M169" s="1"/>
  <c r="M170"/>
  <c r="P173"/>
  <c r="K174"/>
  <c r="T174"/>
  <c r="L175"/>
  <c r="M175" s="1"/>
  <c r="T177"/>
  <c r="K179"/>
  <c r="S180"/>
  <c r="T181"/>
  <c r="K183"/>
  <c r="S184"/>
  <c r="T185"/>
  <c r="K187"/>
  <c r="S188"/>
  <c r="T189"/>
  <c r="K191"/>
  <c r="S192"/>
  <c r="T193"/>
  <c r="K195"/>
  <c r="S196"/>
  <c r="T197"/>
  <c r="K199"/>
  <c r="S200"/>
  <c r="T201"/>
  <c r="K203"/>
  <c r="S204"/>
  <c r="T205"/>
  <c r="K207"/>
  <c r="S208"/>
  <c r="S213"/>
  <c r="S221"/>
  <c r="S229"/>
  <c r="K215"/>
  <c r="L215"/>
  <c r="M215" s="1"/>
  <c r="K223"/>
  <c r="L223"/>
  <c r="M223" s="1"/>
  <c r="K231"/>
  <c r="L231"/>
  <c r="M231" s="1"/>
  <c r="O238"/>
  <c r="P238"/>
  <c r="Z241"/>
  <c r="S241"/>
  <c r="V10"/>
  <c r="V22"/>
  <c r="T159"/>
  <c r="S161"/>
  <c r="S163"/>
  <c r="L165"/>
  <c r="M165" s="1"/>
  <c r="M166"/>
  <c r="P169"/>
  <c r="V169"/>
  <c r="K170"/>
  <c r="O174"/>
  <c r="T175"/>
  <c r="S177"/>
  <c r="S181"/>
  <c r="S185"/>
  <c r="S189"/>
  <c r="S193"/>
  <c r="S197"/>
  <c r="S201"/>
  <c r="S205"/>
  <c r="O178"/>
  <c r="P178"/>
  <c r="O182"/>
  <c r="P182"/>
  <c r="O186"/>
  <c r="P186"/>
  <c r="O190"/>
  <c r="P190"/>
  <c r="O194"/>
  <c r="P194"/>
  <c r="O198"/>
  <c r="P198"/>
  <c r="O202"/>
  <c r="P202"/>
  <c r="O206"/>
  <c r="P206"/>
  <c r="O211"/>
  <c r="P211"/>
  <c r="S215"/>
  <c r="T215"/>
  <c r="V215"/>
  <c r="O219"/>
  <c r="P219"/>
  <c r="S223"/>
  <c r="T223"/>
  <c r="V223"/>
  <c r="O227"/>
  <c r="P227"/>
  <c r="S231"/>
  <c r="T231"/>
  <c r="V231"/>
  <c r="O235"/>
  <c r="P235"/>
  <c r="O243"/>
  <c r="P243"/>
  <c r="Z245"/>
  <c r="S245"/>
  <c r="S173"/>
  <c r="S225"/>
  <c r="S233"/>
  <c r="O247"/>
  <c r="P247"/>
  <c r="O251"/>
  <c r="P251"/>
  <c r="K259"/>
  <c r="L259"/>
  <c r="M259" s="1"/>
  <c r="T260"/>
  <c r="V260"/>
  <c r="K263"/>
  <c r="L263"/>
  <c r="M263" s="1"/>
  <c r="K267"/>
  <c r="L267"/>
  <c r="M267" s="1"/>
  <c r="K271"/>
  <c r="L271"/>
  <c r="M271" s="1"/>
  <c r="K275"/>
  <c r="L275"/>
  <c r="M275" s="1"/>
  <c r="K283"/>
  <c r="L283"/>
  <c r="M283" s="1"/>
  <c r="S254"/>
  <c r="O255"/>
  <c r="P255"/>
  <c r="S275"/>
  <c r="V275"/>
  <c r="Z277"/>
  <c r="S277"/>
  <c r="O279"/>
  <c r="P279"/>
  <c r="S283"/>
  <c r="V283"/>
  <c r="Z285"/>
  <c r="S285"/>
  <c r="O287"/>
  <c r="P287"/>
  <c r="L210"/>
  <c r="M210" s="1"/>
  <c r="P210"/>
  <c r="L214"/>
  <c r="M214" s="1"/>
  <c r="P214"/>
  <c r="L218"/>
  <c r="M218" s="1"/>
  <c r="P218"/>
  <c r="L222"/>
  <c r="M222" s="1"/>
  <c r="P222"/>
  <c r="L226"/>
  <c r="M226" s="1"/>
  <c r="P226"/>
  <c r="L230"/>
  <c r="M230" s="1"/>
  <c r="P230"/>
  <c r="L234"/>
  <c r="M234" s="1"/>
  <c r="P234"/>
  <c r="S238"/>
  <c r="V239"/>
  <c r="V243"/>
  <c r="V247"/>
  <c r="V251"/>
  <c r="O256"/>
  <c r="S258"/>
  <c r="T259"/>
  <c r="S261"/>
  <c r="T262"/>
  <c r="T263"/>
  <c r="T264"/>
  <c r="S265"/>
  <c r="T266"/>
  <c r="T267"/>
  <c r="T268"/>
  <c r="S269"/>
  <c r="T270"/>
  <c r="T271"/>
  <c r="T272"/>
  <c r="S273"/>
  <c r="T274"/>
  <c r="T240"/>
  <c r="V240"/>
  <c r="K243"/>
  <c r="L243"/>
  <c r="M243" s="1"/>
  <c r="T244"/>
  <c r="V244"/>
  <c r="K247"/>
  <c r="L247"/>
  <c r="M247" s="1"/>
  <c r="T248"/>
  <c r="V248"/>
  <c r="K251"/>
  <c r="L251"/>
  <c r="M251" s="1"/>
  <c r="T252"/>
  <c r="V252"/>
  <c r="O259"/>
  <c r="P259"/>
  <c r="O263"/>
  <c r="P263"/>
  <c r="O267"/>
  <c r="P267"/>
  <c r="O271"/>
  <c r="P271"/>
  <c r="K279"/>
  <c r="L279"/>
  <c r="M279" s="1"/>
  <c r="K287"/>
  <c r="L287"/>
  <c r="M287" s="1"/>
  <c r="L238"/>
  <c r="M238" s="1"/>
  <c r="K240"/>
  <c r="K244"/>
  <c r="T246"/>
  <c r="K248"/>
  <c r="S249"/>
  <c r="T250"/>
  <c r="K252"/>
  <c r="V255"/>
  <c r="O260"/>
  <c r="S262"/>
  <c r="O264"/>
  <c r="S266"/>
  <c r="O268"/>
  <c r="S270"/>
  <c r="O272"/>
  <c r="S274"/>
  <c r="K255"/>
  <c r="L255"/>
  <c r="M255" s="1"/>
  <c r="T256"/>
  <c r="V256"/>
  <c r="O275"/>
  <c r="P275"/>
  <c r="S279"/>
  <c r="V279"/>
  <c r="Z281"/>
  <c r="S281"/>
  <c r="O283"/>
  <c r="P283"/>
  <c r="S287"/>
  <c r="V287"/>
  <c r="Z289"/>
  <c r="S289"/>
  <c r="S242"/>
  <c r="S246"/>
  <c r="S250"/>
  <c r="K256"/>
  <c r="V259"/>
  <c r="S260"/>
  <c r="V263"/>
  <c r="S264"/>
  <c r="V267"/>
  <c r="S268"/>
  <c r="V271"/>
  <c r="S272"/>
  <c r="V290"/>
  <c r="K292"/>
  <c r="O292"/>
  <c r="S292"/>
  <c r="V294"/>
  <c r="K296"/>
  <c r="O296"/>
  <c r="S296"/>
  <c r="Z298"/>
  <c r="K300"/>
  <c r="O300"/>
  <c r="S300"/>
  <c r="Z302"/>
  <c r="K304"/>
  <c r="O304"/>
  <c r="S304"/>
  <c r="Z306"/>
  <c r="K308"/>
  <c r="O308"/>
  <c r="S308"/>
  <c r="V310"/>
  <c r="K312"/>
  <c r="O312"/>
  <c r="S312"/>
  <c r="V314"/>
  <c r="K316"/>
  <c r="O316"/>
  <c r="S316"/>
  <c r="V318"/>
  <c r="K320"/>
  <c r="O320"/>
  <c r="S320"/>
  <c r="V322"/>
  <c r="K324"/>
  <c r="O324"/>
  <c r="S324"/>
  <c r="V326"/>
  <c r="K328"/>
  <c r="O328"/>
  <c r="S328"/>
  <c r="V330"/>
  <c r="K332"/>
  <c r="O332"/>
  <c r="S332"/>
  <c r="V334"/>
  <c r="K336"/>
  <c r="O336"/>
  <c r="S336"/>
  <c r="V338"/>
  <c r="K340"/>
  <c r="O340"/>
  <c r="S340"/>
  <c r="V342"/>
  <c r="K344"/>
  <c r="O344"/>
  <c r="S344"/>
  <c r="V346"/>
  <c r="K348"/>
  <c r="O348"/>
  <c r="S348"/>
  <c r="V350"/>
  <c r="K352"/>
  <c r="O352"/>
  <c r="S352"/>
  <c r="V354"/>
  <c r="K356"/>
  <c r="O356"/>
  <c r="S356"/>
  <c r="V358"/>
  <c r="K360"/>
  <c r="O360"/>
  <c r="S360"/>
  <c r="V362"/>
  <c r="K364"/>
  <c r="O364"/>
  <c r="S364"/>
  <c r="V366"/>
  <c r="K368"/>
  <c r="O368"/>
  <c r="S368"/>
  <c r="V370"/>
  <c r="K372"/>
  <c r="O372"/>
  <c r="S372"/>
  <c r="V374"/>
  <c r="K376"/>
  <c r="O376"/>
  <c r="S376"/>
  <c r="V378"/>
  <c r="K380"/>
  <c r="O380"/>
  <c r="S380"/>
  <c r="V382"/>
  <c r="K384"/>
  <c r="O384"/>
  <c r="S384"/>
  <c r="V386"/>
  <c r="K388"/>
  <c r="O388"/>
  <c r="S388"/>
  <c r="V390"/>
  <c r="K392"/>
  <c r="O392"/>
  <c r="S392"/>
  <c r="V394"/>
  <c r="M396"/>
  <c r="Z398"/>
  <c r="P399"/>
  <c r="K400"/>
  <c r="T400"/>
  <c r="O404"/>
  <c r="K405"/>
  <c r="T405"/>
  <c r="S406"/>
  <c r="S407"/>
  <c r="S408"/>
  <c r="O409"/>
  <c r="S409"/>
  <c r="L411"/>
  <c r="M411" s="1"/>
  <c r="M412"/>
  <c r="P413"/>
  <c r="M416"/>
  <c r="P417"/>
  <c r="M420"/>
  <c r="P421"/>
  <c r="V415"/>
  <c r="S415"/>
  <c r="V419"/>
  <c r="S419"/>
  <c r="P423"/>
  <c r="O423"/>
  <c r="P427"/>
  <c r="O427"/>
  <c r="P431"/>
  <c r="O431"/>
  <c r="S403"/>
  <c r="S413"/>
  <c r="V413"/>
  <c r="S417"/>
  <c r="V417"/>
  <c r="L423"/>
  <c r="M423" s="1"/>
  <c r="K423"/>
  <c r="L427"/>
  <c r="M427" s="1"/>
  <c r="K427"/>
  <c r="L431"/>
  <c r="M431" s="1"/>
  <c r="K431"/>
  <c r="L435"/>
  <c r="M435" s="1"/>
  <c r="K435"/>
  <c r="V280"/>
  <c r="V284"/>
  <c r="V288"/>
  <c r="V292"/>
  <c r="V296"/>
  <c r="V312"/>
  <c r="V316"/>
  <c r="V320"/>
  <c r="V324"/>
  <c r="V328"/>
  <c r="V332"/>
  <c r="V336"/>
  <c r="V340"/>
  <c r="V344"/>
  <c r="V348"/>
  <c r="V352"/>
  <c r="V356"/>
  <c r="V360"/>
  <c r="V364"/>
  <c r="V368"/>
  <c r="V372"/>
  <c r="V376"/>
  <c r="V380"/>
  <c r="V384"/>
  <c r="V388"/>
  <c r="V392"/>
  <c r="O396"/>
  <c r="S399"/>
  <c r="S401"/>
  <c r="L403"/>
  <c r="M403" s="1"/>
  <c r="M404"/>
  <c r="P407"/>
  <c r="K408"/>
  <c r="T408"/>
  <c r="O412"/>
  <c r="L417"/>
  <c r="M417" s="1"/>
  <c r="L421"/>
  <c r="M421" s="1"/>
  <c r="S421"/>
  <c r="S425"/>
  <c r="S429"/>
  <c r="S433"/>
  <c r="T423"/>
  <c r="V423"/>
  <c r="S423"/>
  <c r="T427"/>
  <c r="V427"/>
  <c r="S427"/>
  <c r="T431"/>
  <c r="V431"/>
  <c r="S431"/>
  <c r="S397"/>
  <c r="V403"/>
  <c r="T409"/>
  <c r="S411"/>
  <c r="V421"/>
  <c r="V425"/>
  <c r="V429"/>
  <c r="V433"/>
  <c r="O435"/>
  <c r="S435"/>
  <c r="V437"/>
  <c r="K439"/>
  <c r="O439"/>
  <c r="S439"/>
  <c r="V441"/>
  <c r="K443"/>
  <c r="O443"/>
  <c r="S443"/>
  <c r="V445"/>
  <c r="K447"/>
  <c r="O447"/>
  <c r="S447"/>
  <c r="V449"/>
  <c r="K451"/>
  <c r="O451"/>
  <c r="S451"/>
  <c r="V453"/>
  <c r="K455"/>
  <c r="O455"/>
  <c r="S455"/>
  <c r="V457"/>
  <c r="K459"/>
  <c r="O459"/>
  <c r="S459"/>
  <c r="V461"/>
  <c r="K463"/>
  <c r="O463"/>
  <c r="S463"/>
  <c r="V465"/>
  <c r="K467"/>
  <c r="O467"/>
  <c r="S467"/>
  <c r="V469"/>
  <c r="K471"/>
  <c r="O471"/>
  <c r="S471"/>
  <c r="V473"/>
  <c r="K475"/>
  <c r="O475"/>
  <c r="S475"/>
  <c r="V477"/>
  <c r="K479"/>
  <c r="P479"/>
  <c r="K480"/>
  <c r="T480"/>
  <c r="O484"/>
  <c r="K485"/>
  <c r="T485"/>
  <c r="S486"/>
  <c r="S487"/>
  <c r="S488"/>
  <c r="O489"/>
  <c r="S489"/>
  <c r="L491"/>
  <c r="M491" s="1"/>
  <c r="M492"/>
  <c r="P493"/>
  <c r="M496"/>
  <c r="P497"/>
  <c r="S495"/>
  <c r="V495"/>
  <c r="O499"/>
  <c r="P499"/>
  <c r="O503"/>
  <c r="P503"/>
  <c r="O507"/>
  <c r="P507"/>
  <c r="S483"/>
  <c r="V493"/>
  <c r="S493"/>
  <c r="V497"/>
  <c r="S497"/>
  <c r="K499"/>
  <c r="L499"/>
  <c r="M499" s="1"/>
  <c r="K503"/>
  <c r="L503"/>
  <c r="M503" s="1"/>
  <c r="K507"/>
  <c r="L507"/>
  <c r="M507" s="1"/>
  <c r="V435"/>
  <c r="V439"/>
  <c r="V443"/>
  <c r="V447"/>
  <c r="V451"/>
  <c r="V455"/>
  <c r="V459"/>
  <c r="V463"/>
  <c r="V467"/>
  <c r="V471"/>
  <c r="V475"/>
  <c r="S479"/>
  <c r="S481"/>
  <c r="L483"/>
  <c r="M483" s="1"/>
  <c r="M484"/>
  <c r="P487"/>
  <c r="K488"/>
  <c r="T488"/>
  <c r="L493"/>
  <c r="M493" s="1"/>
  <c r="L497"/>
  <c r="M497" s="1"/>
  <c r="S499"/>
  <c r="T499"/>
  <c r="V499"/>
  <c r="S503"/>
  <c r="T503"/>
  <c r="V503"/>
  <c r="S507"/>
  <c r="T507"/>
  <c r="V507"/>
  <c r="V483"/>
  <c r="T489"/>
  <c r="S491"/>
  <c r="S501"/>
  <c r="S505"/>
  <c r="S509"/>
  <c r="V511"/>
  <c r="S513"/>
  <c r="V515"/>
  <c r="S517"/>
  <c r="V519"/>
  <c r="S521"/>
  <c r="V523"/>
  <c r="S525"/>
  <c r="V527"/>
  <c r="S529"/>
  <c r="V531"/>
  <c r="S533"/>
  <c r="V535"/>
  <c r="S537"/>
  <c r="V539"/>
  <c r="S541"/>
  <c r="V543"/>
  <c r="S545"/>
  <c r="V547"/>
  <c r="S549"/>
  <c r="V551"/>
  <c r="S553"/>
  <c r="V555"/>
  <c r="S557"/>
  <c r="V559"/>
  <c r="S561"/>
  <c r="V563"/>
  <c r="S565"/>
  <c r="V567"/>
  <c r="S569"/>
  <c r="L570"/>
  <c r="M570" s="1"/>
  <c r="P570"/>
  <c r="V571"/>
  <c r="L511"/>
  <c r="M511" s="1"/>
  <c r="P511"/>
  <c r="T511"/>
  <c r="L515"/>
  <c r="M515" s="1"/>
  <c r="P515"/>
  <c r="T515"/>
  <c r="L519"/>
  <c r="M519" s="1"/>
  <c r="P519"/>
  <c r="T519"/>
  <c r="L523"/>
  <c r="M523" s="1"/>
  <c r="P523"/>
  <c r="T523"/>
  <c r="L527"/>
  <c r="M527" s="1"/>
  <c r="P527"/>
  <c r="T527"/>
  <c r="L531"/>
  <c r="M531" s="1"/>
  <c r="P531"/>
  <c r="T531"/>
  <c r="L535"/>
  <c r="M535" s="1"/>
  <c r="P535"/>
  <c r="T535"/>
  <c r="L539"/>
  <c r="M539" s="1"/>
  <c r="P539"/>
  <c r="T539"/>
  <c r="L543"/>
  <c r="M543" s="1"/>
  <c r="P543"/>
  <c r="T543"/>
  <c r="L547"/>
  <c r="M547" s="1"/>
  <c r="P547"/>
  <c r="T547"/>
  <c r="L551"/>
  <c r="M551" s="1"/>
  <c r="P551"/>
  <c r="T551"/>
  <c r="L555"/>
  <c r="M555" s="1"/>
  <c r="P555"/>
  <c r="T555"/>
  <c r="L559"/>
  <c r="M559" s="1"/>
  <c r="P559"/>
  <c r="T559"/>
  <c r="L563"/>
  <c r="M563" s="1"/>
  <c r="P563"/>
  <c r="T563"/>
  <c r="L567"/>
  <c r="M567" s="1"/>
  <c r="P567"/>
  <c r="T567"/>
  <c r="L571"/>
  <c r="M571" s="1"/>
  <c r="P571"/>
  <c r="S213" i="24"/>
  <c r="V213"/>
  <c r="O231"/>
  <c r="P231"/>
  <c r="O239"/>
  <c r="P239"/>
  <c r="V242"/>
  <c r="S242"/>
  <c r="O246"/>
  <c r="P246"/>
  <c r="O254"/>
  <c r="P254"/>
  <c r="O262"/>
  <c r="P262"/>
  <c r="T4"/>
  <c r="T5"/>
  <c r="T6"/>
  <c r="P9"/>
  <c r="S12"/>
  <c r="O14"/>
  <c r="S14"/>
  <c r="O16"/>
  <c r="S17"/>
  <c r="T20"/>
  <c r="T21"/>
  <c r="T22"/>
  <c r="P25"/>
  <c r="S28"/>
  <c r="O30"/>
  <c r="S30"/>
  <c r="O32"/>
  <c r="S33"/>
  <c r="T36"/>
  <c r="T37"/>
  <c r="T38"/>
  <c r="P41"/>
  <c r="S44"/>
  <c r="O46"/>
  <c r="S46"/>
  <c r="O48"/>
  <c r="S49"/>
  <c r="T52"/>
  <c r="T53"/>
  <c r="S54"/>
  <c r="T54"/>
  <c r="O56"/>
  <c r="S57"/>
  <c r="Z58"/>
  <c r="O60"/>
  <c r="S61"/>
  <c r="Z62"/>
  <c r="D24" i="18" s="1"/>
  <c r="F24" s="1"/>
  <c r="O64" i="24"/>
  <c r="S65"/>
  <c r="Z66"/>
  <c r="O68"/>
  <c r="S69"/>
  <c r="Z70"/>
  <c r="O72"/>
  <c r="S73"/>
  <c r="Z74"/>
  <c r="O76"/>
  <c r="S77"/>
  <c r="Z78"/>
  <c r="O80"/>
  <c r="S81"/>
  <c r="Z82"/>
  <c r="O84"/>
  <c r="S85"/>
  <c r="Z86"/>
  <c r="O88"/>
  <c r="S89"/>
  <c r="Z90"/>
  <c r="O92"/>
  <c r="S93"/>
  <c r="Z94"/>
  <c r="O96"/>
  <c r="S97"/>
  <c r="T98"/>
  <c r="S100"/>
  <c r="T103"/>
  <c r="Z104"/>
  <c r="O105"/>
  <c r="T105"/>
  <c r="O106"/>
  <c r="T108"/>
  <c r="O112"/>
  <c r="S113"/>
  <c r="T114"/>
  <c r="S116"/>
  <c r="T119"/>
  <c r="Z120"/>
  <c r="O121"/>
  <c r="T121"/>
  <c r="O122"/>
  <c r="T124"/>
  <c r="O128"/>
  <c r="S129"/>
  <c r="T130"/>
  <c r="S132"/>
  <c r="T135"/>
  <c r="Z136"/>
  <c r="O137"/>
  <c r="T137"/>
  <c r="O138"/>
  <c r="T140"/>
  <c r="O144"/>
  <c r="S145"/>
  <c r="O149"/>
  <c r="T151"/>
  <c r="S153"/>
  <c r="P156"/>
  <c r="O159"/>
  <c r="S159"/>
  <c r="T160"/>
  <c r="O167"/>
  <c r="S167"/>
  <c r="P168"/>
  <c r="T169"/>
  <c r="T172"/>
  <c r="V175"/>
  <c r="V177"/>
  <c r="S181"/>
  <c r="O183"/>
  <c r="S183"/>
  <c r="P184"/>
  <c r="T185"/>
  <c r="T188"/>
  <c r="T190"/>
  <c r="V191"/>
  <c r="S192"/>
  <c r="V193"/>
  <c r="S197"/>
  <c r="O199"/>
  <c r="S199"/>
  <c r="P200"/>
  <c r="T201"/>
  <c r="T204"/>
  <c r="T206"/>
  <c r="V207"/>
  <c r="S208"/>
  <c r="V209"/>
  <c r="P212"/>
  <c r="S218"/>
  <c r="V230"/>
  <c r="S230"/>
  <c r="S238"/>
  <c r="V238"/>
  <c r="P241"/>
  <c r="O241"/>
  <c r="P245"/>
  <c r="O245"/>
  <c r="T251"/>
  <c r="P253"/>
  <c r="O253"/>
  <c r="T259"/>
  <c r="P261"/>
  <c r="O261"/>
  <c r="S2"/>
  <c r="S16"/>
  <c r="S32"/>
  <c r="S48"/>
  <c r="S56"/>
  <c r="S60"/>
  <c r="S64"/>
  <c r="S68"/>
  <c r="S72"/>
  <c r="S76"/>
  <c r="S80"/>
  <c r="S84"/>
  <c r="S88"/>
  <c r="S92"/>
  <c r="S96"/>
  <c r="S112"/>
  <c r="S128"/>
  <c r="S144"/>
  <c r="S226"/>
  <c r="S246"/>
  <c r="T246"/>
  <c r="V246"/>
  <c r="S254"/>
  <c r="T254"/>
  <c r="V254"/>
  <c r="S262"/>
  <c r="T262"/>
  <c r="V262"/>
  <c r="O8"/>
  <c r="S9"/>
  <c r="T12"/>
  <c r="T14"/>
  <c r="P17"/>
  <c r="O24"/>
  <c r="S25"/>
  <c r="T28"/>
  <c r="T30"/>
  <c r="P33"/>
  <c r="O40"/>
  <c r="S41"/>
  <c r="T44"/>
  <c r="T46"/>
  <c r="P49"/>
  <c r="T59"/>
  <c r="T63"/>
  <c r="T67"/>
  <c r="T71"/>
  <c r="T75"/>
  <c r="T79"/>
  <c r="T83"/>
  <c r="T87"/>
  <c r="T91"/>
  <c r="T95"/>
  <c r="T100"/>
  <c r="Z102"/>
  <c r="O104"/>
  <c r="S105"/>
  <c r="T106"/>
  <c r="S108"/>
  <c r="S110"/>
  <c r="T111"/>
  <c r="T116"/>
  <c r="Z118"/>
  <c r="O120"/>
  <c r="S121"/>
  <c r="T122"/>
  <c r="S124"/>
  <c r="S126"/>
  <c r="T127"/>
  <c r="T132"/>
  <c r="Z134"/>
  <c r="O136"/>
  <c r="S137"/>
  <c r="T138"/>
  <c r="S140"/>
  <c r="S142"/>
  <c r="T143"/>
  <c r="O146"/>
  <c r="S147"/>
  <c r="S149"/>
  <c r="V157"/>
  <c r="V159"/>
  <c r="S161"/>
  <c r="P164"/>
  <c r="S165"/>
  <c r="V167"/>
  <c r="V169"/>
  <c r="S173"/>
  <c r="P176"/>
  <c r="T177"/>
  <c r="V183"/>
  <c r="S184"/>
  <c r="V185"/>
  <c r="S189"/>
  <c r="P192"/>
  <c r="V192"/>
  <c r="T193"/>
  <c r="T198"/>
  <c r="V199"/>
  <c r="S200"/>
  <c r="P203"/>
  <c r="S205"/>
  <c r="P208"/>
  <c r="V208"/>
  <c r="T209"/>
  <c r="S211"/>
  <c r="O215"/>
  <c r="V215"/>
  <c r="V216"/>
  <c r="P217"/>
  <c r="P218"/>
  <c r="V218"/>
  <c r="S221"/>
  <c r="O243"/>
  <c r="P243"/>
  <c r="O247"/>
  <c r="P247"/>
  <c r="O255"/>
  <c r="P255"/>
  <c r="O263"/>
  <c r="P263"/>
  <c r="S8"/>
  <c r="S10"/>
  <c r="S24"/>
  <c r="S26"/>
  <c r="S40"/>
  <c r="S42"/>
  <c r="Z98"/>
  <c r="S106"/>
  <c r="Z114"/>
  <c r="S122"/>
  <c r="Z130"/>
  <c r="S138"/>
  <c r="Z151"/>
  <c r="S163"/>
  <c r="S166"/>
  <c r="S171"/>
  <c r="S187"/>
  <c r="V188"/>
  <c r="S201"/>
  <c r="S203"/>
  <c r="V204"/>
  <c r="T217"/>
  <c r="P223"/>
  <c r="S224"/>
  <c r="T226"/>
  <c r="P227"/>
  <c r="P230"/>
  <c r="S234"/>
  <c r="T235"/>
  <c r="P238"/>
  <c r="T242"/>
  <c r="V406"/>
  <c r="T406"/>
  <c r="S212"/>
  <c r="T216"/>
  <c r="T219"/>
  <c r="T220"/>
  <c r="S228"/>
  <c r="S237"/>
  <c r="S245"/>
  <c r="O249"/>
  <c r="S250"/>
  <c r="P251"/>
  <c r="S253"/>
  <c r="O257"/>
  <c r="S258"/>
  <c r="P259"/>
  <c r="S261"/>
  <c r="O265"/>
  <c r="S267"/>
  <c r="P271"/>
  <c r="S273"/>
  <c r="T275"/>
  <c r="O277"/>
  <c r="S278"/>
  <c r="S279"/>
  <c r="T284"/>
  <c r="T285"/>
  <c r="P287"/>
  <c r="S289"/>
  <c r="T291"/>
  <c r="O293"/>
  <c r="S294"/>
  <c r="S295"/>
  <c r="T300"/>
  <c r="T301"/>
  <c r="P303"/>
  <c r="S305"/>
  <c r="T307"/>
  <c r="O309"/>
  <c r="S310"/>
  <c r="S311"/>
  <c r="T316"/>
  <c r="T317"/>
  <c r="P319"/>
  <c r="S321"/>
  <c r="T323"/>
  <c r="O325"/>
  <c r="S326"/>
  <c r="S327"/>
  <c r="T332"/>
  <c r="T333"/>
  <c r="P335"/>
  <c r="S337"/>
  <c r="T339"/>
  <c r="O341"/>
  <c r="S342"/>
  <c r="S343"/>
  <c r="T348"/>
  <c r="T349"/>
  <c r="P351"/>
  <c r="S353"/>
  <c r="T355"/>
  <c r="O357"/>
  <c r="S358"/>
  <c r="S359"/>
  <c r="T364"/>
  <c r="T365"/>
  <c r="T367"/>
  <c r="O369"/>
  <c r="T372"/>
  <c r="T373"/>
  <c r="T375"/>
  <c r="O377"/>
  <c r="T380"/>
  <c r="T381"/>
  <c r="T383"/>
  <c r="O385"/>
  <c r="T388"/>
  <c r="S393"/>
  <c r="T399"/>
  <c r="P403"/>
  <c r="P411"/>
  <c r="S412"/>
  <c r="V412"/>
  <c r="S420"/>
  <c r="V420"/>
  <c r="S265"/>
  <c r="P266"/>
  <c r="V266"/>
  <c r="S277"/>
  <c r="P278"/>
  <c r="V278"/>
  <c r="S283"/>
  <c r="S293"/>
  <c r="P294"/>
  <c r="V294"/>
  <c r="S299"/>
  <c r="S309"/>
  <c r="P310"/>
  <c r="V310"/>
  <c r="S315"/>
  <c r="S325"/>
  <c r="P326"/>
  <c r="V326"/>
  <c r="S331"/>
  <c r="S341"/>
  <c r="P342"/>
  <c r="V342"/>
  <c r="S347"/>
  <c r="S357"/>
  <c r="P358"/>
  <c r="V358"/>
  <c r="S363"/>
  <c r="S369"/>
  <c r="S371"/>
  <c r="S377"/>
  <c r="S379"/>
  <c r="S385"/>
  <c r="S387"/>
  <c r="S391"/>
  <c r="O399"/>
  <c r="O405"/>
  <c r="S414"/>
  <c r="S395"/>
  <c r="Z395"/>
  <c r="O400"/>
  <c r="P400"/>
  <c r="S416"/>
  <c r="V416"/>
  <c r="S236"/>
  <c r="S241"/>
  <c r="S249"/>
  <c r="S257"/>
  <c r="T265"/>
  <c r="P267"/>
  <c r="S269"/>
  <c r="S271"/>
  <c r="T276"/>
  <c r="T277"/>
  <c r="P279"/>
  <c r="S281"/>
  <c r="T283"/>
  <c r="O285"/>
  <c r="S286"/>
  <c r="S287"/>
  <c r="T292"/>
  <c r="T293"/>
  <c r="P295"/>
  <c r="S297"/>
  <c r="T299"/>
  <c r="O301"/>
  <c r="S302"/>
  <c r="S303"/>
  <c r="T308"/>
  <c r="T309"/>
  <c r="P311"/>
  <c r="S313"/>
  <c r="T315"/>
  <c r="O317"/>
  <c r="S318"/>
  <c r="S319"/>
  <c r="T324"/>
  <c r="T325"/>
  <c r="P327"/>
  <c r="S329"/>
  <c r="T331"/>
  <c r="O333"/>
  <c r="S334"/>
  <c r="S335"/>
  <c r="T340"/>
  <c r="T341"/>
  <c r="P343"/>
  <c r="S345"/>
  <c r="T347"/>
  <c r="O349"/>
  <c r="S350"/>
  <c r="S351"/>
  <c r="T356"/>
  <c r="T357"/>
  <c r="P359"/>
  <c r="S361"/>
  <c r="T363"/>
  <c r="O365"/>
  <c r="T368"/>
  <c r="T369"/>
  <c r="T371"/>
  <c r="O373"/>
  <c r="T376"/>
  <c r="T377"/>
  <c r="T379"/>
  <c r="O381"/>
  <c r="T384"/>
  <c r="T385"/>
  <c r="T387"/>
  <c r="O389"/>
  <c r="O390"/>
  <c r="P396"/>
  <c r="V405"/>
  <c r="T407"/>
  <c r="S275"/>
  <c r="S285"/>
  <c r="S291"/>
  <c r="S301"/>
  <c r="S307"/>
  <c r="S317"/>
  <c r="S323"/>
  <c r="S333"/>
  <c r="S339"/>
  <c r="S349"/>
  <c r="S355"/>
  <c r="S365"/>
  <c r="S367"/>
  <c r="S373"/>
  <c r="S375"/>
  <c r="S381"/>
  <c r="S383"/>
  <c r="S389"/>
  <c r="S407"/>
  <c r="T408"/>
  <c r="T412"/>
  <c r="T416"/>
  <c r="T420"/>
  <c r="T424"/>
  <c r="S428"/>
  <c r="S430"/>
  <c r="V432"/>
  <c r="T433"/>
  <c r="S439"/>
  <c r="T440"/>
  <c r="S444"/>
  <c r="S446"/>
  <c r="V448"/>
  <c r="T449"/>
  <c r="S455"/>
  <c r="T456"/>
  <c r="S460"/>
  <c r="S462"/>
  <c r="V464"/>
  <c r="T465"/>
  <c r="S471"/>
  <c r="T472"/>
  <c r="S476"/>
  <c r="S478"/>
  <c r="O479"/>
  <c r="S481"/>
  <c r="P482"/>
  <c r="V485"/>
  <c r="S487"/>
  <c r="S489"/>
  <c r="V493"/>
  <c r="S495"/>
  <c r="S497"/>
  <c r="P498"/>
  <c r="S504"/>
  <c r="S506"/>
  <c r="T511"/>
  <c r="T512"/>
  <c r="P514"/>
  <c r="S515"/>
  <c r="S516"/>
  <c r="T518"/>
  <c r="O520"/>
  <c r="S522"/>
  <c r="T527"/>
  <c r="T528"/>
  <c r="P530"/>
  <c r="S531"/>
  <c r="S532"/>
  <c r="T534"/>
  <c r="O536"/>
  <c r="S538"/>
  <c r="T543"/>
  <c r="T544"/>
  <c r="T546"/>
  <c r="O548"/>
  <c r="T551"/>
  <c r="T552"/>
  <c r="T554"/>
  <c r="O556"/>
  <c r="T559"/>
  <c r="T560"/>
  <c r="T562"/>
  <c r="P565"/>
  <c r="S567"/>
  <c r="O568"/>
  <c r="S434"/>
  <c r="P438"/>
  <c r="T438"/>
  <c r="P439"/>
  <c r="S450"/>
  <c r="P454"/>
  <c r="T454"/>
  <c r="P455"/>
  <c r="S466"/>
  <c r="P470"/>
  <c r="T470"/>
  <c r="P471"/>
  <c r="P481"/>
  <c r="S484"/>
  <c r="P485"/>
  <c r="T485"/>
  <c r="P493"/>
  <c r="T493"/>
  <c r="S500"/>
  <c r="S510"/>
  <c r="S520"/>
  <c r="P521"/>
  <c r="S526"/>
  <c r="S536"/>
  <c r="P537"/>
  <c r="S542"/>
  <c r="S548"/>
  <c r="S550"/>
  <c r="S556"/>
  <c r="S558"/>
  <c r="P561"/>
  <c r="V561"/>
  <c r="T564"/>
  <c r="S568"/>
  <c r="T389"/>
  <c r="S397"/>
  <c r="S399"/>
  <c r="T405"/>
  <c r="T409"/>
  <c r="S411"/>
  <c r="T411"/>
  <c r="T413"/>
  <c r="T417"/>
  <c r="T421"/>
  <c r="V424"/>
  <c r="T425"/>
  <c r="S431"/>
  <c r="T432"/>
  <c r="S436"/>
  <c r="S438"/>
  <c r="V440"/>
  <c r="T441"/>
  <c r="S447"/>
  <c r="T448"/>
  <c r="S452"/>
  <c r="S454"/>
  <c r="V456"/>
  <c r="T457"/>
  <c r="S463"/>
  <c r="T464"/>
  <c r="S468"/>
  <c r="S470"/>
  <c r="V472"/>
  <c r="T473"/>
  <c r="S488"/>
  <c r="S491"/>
  <c r="S496"/>
  <c r="T502"/>
  <c r="P506"/>
  <c r="S508"/>
  <c r="T510"/>
  <c r="O512"/>
  <c r="S514"/>
  <c r="T519"/>
  <c r="T520"/>
  <c r="P522"/>
  <c r="S523"/>
  <c r="S524"/>
  <c r="T526"/>
  <c r="O528"/>
  <c r="S530"/>
  <c r="T535"/>
  <c r="T536"/>
  <c r="P538"/>
  <c r="S539"/>
  <c r="S540"/>
  <c r="T542"/>
  <c r="O544"/>
  <c r="T547"/>
  <c r="T548"/>
  <c r="T550"/>
  <c r="O552"/>
  <c r="T555"/>
  <c r="T556"/>
  <c r="T558"/>
  <c r="O560"/>
  <c r="V562"/>
  <c r="T563"/>
  <c r="S564"/>
  <c r="S566"/>
  <c r="S570"/>
  <c r="T571"/>
  <c r="S512"/>
  <c r="S518"/>
  <c r="S528"/>
  <c r="S534"/>
  <c r="S544"/>
  <c r="S546"/>
  <c r="S552"/>
  <c r="S554"/>
  <c r="S560"/>
  <c r="L3"/>
  <c r="M3" s="1"/>
  <c r="P3"/>
  <c r="T3"/>
  <c r="P7"/>
  <c r="T7"/>
  <c r="P11"/>
  <c r="T11"/>
  <c r="P15"/>
  <c r="T15"/>
  <c r="P19"/>
  <c r="T19"/>
  <c r="P23"/>
  <c r="T23"/>
  <c r="P27"/>
  <c r="T27"/>
  <c r="P31"/>
  <c r="T31"/>
  <c r="P35"/>
  <c r="T35"/>
  <c r="P39"/>
  <c r="T39"/>
  <c r="P43"/>
  <c r="T43"/>
  <c r="P47"/>
  <c r="T47"/>
  <c r="P51"/>
  <c r="T51"/>
  <c r="P55"/>
  <c r="P59"/>
  <c r="P63"/>
  <c r="P67"/>
  <c r="P71"/>
  <c r="P75"/>
  <c r="P79"/>
  <c r="P83"/>
  <c r="P87"/>
  <c r="P91"/>
  <c r="P95"/>
  <c r="P99"/>
  <c r="P103"/>
  <c r="P107"/>
  <c r="P111"/>
  <c r="P115"/>
  <c r="P119"/>
  <c r="P123"/>
  <c r="P127"/>
  <c r="P131"/>
  <c r="P135"/>
  <c r="P139"/>
  <c r="P143"/>
  <c r="T148"/>
  <c r="V149"/>
  <c r="P150"/>
  <c r="T150"/>
  <c r="S152"/>
  <c r="T153"/>
  <c r="S156"/>
  <c r="T157"/>
  <c r="S160"/>
  <c r="T161"/>
  <c r="S164"/>
  <c r="O153"/>
  <c r="P153"/>
  <c r="O157"/>
  <c r="P157"/>
  <c r="O161"/>
  <c r="P161"/>
  <c r="O165"/>
  <c r="P165"/>
  <c r="P170"/>
  <c r="O170"/>
  <c r="T174"/>
  <c r="V174"/>
  <c r="S174"/>
  <c r="P178"/>
  <c r="O178"/>
  <c r="T182"/>
  <c r="V182"/>
  <c r="S182"/>
  <c r="M4"/>
  <c r="S3"/>
  <c r="V5"/>
  <c r="S7"/>
  <c r="V9"/>
  <c r="S11"/>
  <c r="V13"/>
  <c r="S15"/>
  <c r="V17"/>
  <c r="S19"/>
  <c r="V21"/>
  <c r="S23"/>
  <c r="V25"/>
  <c r="S27"/>
  <c r="V29"/>
  <c r="S31"/>
  <c r="V33"/>
  <c r="S35"/>
  <c r="V37"/>
  <c r="S39"/>
  <c r="V41"/>
  <c r="S43"/>
  <c r="V45"/>
  <c r="S47"/>
  <c r="V49"/>
  <c r="S51"/>
  <c r="V53"/>
  <c r="S55"/>
  <c r="Z57"/>
  <c r="S59"/>
  <c r="Z61"/>
  <c r="S63"/>
  <c r="Z65"/>
  <c r="S67"/>
  <c r="Z69"/>
  <c r="S71"/>
  <c r="Z73"/>
  <c r="S75"/>
  <c r="Z77"/>
  <c r="S79"/>
  <c r="Z81"/>
  <c r="S83"/>
  <c r="Z85"/>
  <c r="S87"/>
  <c r="Z89"/>
  <c r="S91"/>
  <c r="Z93"/>
  <c r="S95"/>
  <c r="Z97"/>
  <c r="S99"/>
  <c r="Z101"/>
  <c r="S103"/>
  <c r="Z105"/>
  <c r="S107"/>
  <c r="Z109"/>
  <c r="S111"/>
  <c r="Z113"/>
  <c r="S115"/>
  <c r="Z117"/>
  <c r="S119"/>
  <c r="Z121"/>
  <c r="S123"/>
  <c r="Z125"/>
  <c r="S127"/>
  <c r="Z129"/>
  <c r="S131"/>
  <c r="Z133"/>
  <c r="S135"/>
  <c r="Z137"/>
  <c r="S139"/>
  <c r="Z141"/>
  <c r="S143"/>
  <c r="T146"/>
  <c r="S148"/>
  <c r="S150"/>
  <c r="O154"/>
  <c r="O158"/>
  <c r="O162"/>
  <c r="O166"/>
  <c r="S168"/>
  <c r="S176"/>
  <c r="Z145"/>
  <c r="T154"/>
  <c r="V154"/>
  <c r="T158"/>
  <c r="V158"/>
  <c r="T162"/>
  <c r="V162"/>
  <c r="T166"/>
  <c r="V166"/>
  <c r="T170"/>
  <c r="V170"/>
  <c r="S170"/>
  <c r="P174"/>
  <c r="O174"/>
  <c r="T178"/>
  <c r="V178"/>
  <c r="S178"/>
  <c r="P182"/>
  <c r="O182"/>
  <c r="T149"/>
  <c r="S172"/>
  <c r="S180"/>
  <c r="S270"/>
  <c r="Z270"/>
  <c r="O272"/>
  <c r="P272"/>
  <c r="O186"/>
  <c r="S186"/>
  <c r="O190"/>
  <c r="S190"/>
  <c r="O194"/>
  <c r="S194"/>
  <c r="O198"/>
  <c r="S198"/>
  <c r="O202"/>
  <c r="S202"/>
  <c r="O206"/>
  <c r="S206"/>
  <c r="O210"/>
  <c r="S210"/>
  <c r="O214"/>
  <c r="S214"/>
  <c r="O220"/>
  <c r="V224"/>
  <c r="V228"/>
  <c r="V232"/>
  <c r="V236"/>
  <c r="V240"/>
  <c r="V244"/>
  <c r="V248"/>
  <c r="V252"/>
  <c r="V256"/>
  <c r="V260"/>
  <c r="V264"/>
  <c r="T225"/>
  <c r="V225"/>
  <c r="T229"/>
  <c r="V229"/>
  <c r="T233"/>
  <c r="V233"/>
  <c r="T237"/>
  <c r="V237"/>
  <c r="T241"/>
  <c r="V241"/>
  <c r="T245"/>
  <c r="V245"/>
  <c r="T249"/>
  <c r="V249"/>
  <c r="T253"/>
  <c r="V253"/>
  <c r="T257"/>
  <c r="V257"/>
  <c r="T261"/>
  <c r="V261"/>
  <c r="V268"/>
  <c r="S268"/>
  <c r="S219"/>
  <c r="P169"/>
  <c r="P173"/>
  <c r="P177"/>
  <c r="P181"/>
  <c r="P185"/>
  <c r="V186"/>
  <c r="P189"/>
  <c r="V190"/>
  <c r="P193"/>
  <c r="V194"/>
  <c r="P197"/>
  <c r="V198"/>
  <c r="P201"/>
  <c r="V202"/>
  <c r="P205"/>
  <c r="V206"/>
  <c r="P209"/>
  <c r="V210"/>
  <c r="P213"/>
  <c r="V214"/>
  <c r="S217"/>
  <c r="S223"/>
  <c r="T224"/>
  <c r="S227"/>
  <c r="T228"/>
  <c r="S231"/>
  <c r="T232"/>
  <c r="S235"/>
  <c r="T236"/>
  <c r="S239"/>
  <c r="T240"/>
  <c r="S243"/>
  <c r="T244"/>
  <c r="S247"/>
  <c r="T248"/>
  <c r="S251"/>
  <c r="T252"/>
  <c r="S255"/>
  <c r="T256"/>
  <c r="S259"/>
  <c r="T260"/>
  <c r="S263"/>
  <c r="T264"/>
  <c r="T268"/>
  <c r="O224"/>
  <c r="P224"/>
  <c r="O228"/>
  <c r="P228"/>
  <c r="O232"/>
  <c r="P232"/>
  <c r="O236"/>
  <c r="P236"/>
  <c r="O240"/>
  <c r="P240"/>
  <c r="O244"/>
  <c r="P244"/>
  <c r="O248"/>
  <c r="P248"/>
  <c r="O252"/>
  <c r="P252"/>
  <c r="O256"/>
  <c r="P256"/>
  <c r="O260"/>
  <c r="P260"/>
  <c r="O264"/>
  <c r="P264"/>
  <c r="S266"/>
  <c r="Z266"/>
  <c r="O268"/>
  <c r="P268"/>
  <c r="P219"/>
  <c r="V219"/>
  <c r="O225"/>
  <c r="O229"/>
  <c r="O233"/>
  <c r="O237"/>
  <c r="V265"/>
  <c r="V269"/>
  <c r="V273"/>
  <c r="P276"/>
  <c r="V277"/>
  <c r="P280"/>
  <c r="V281"/>
  <c r="P284"/>
  <c r="V285"/>
  <c r="P288"/>
  <c r="V289"/>
  <c r="P292"/>
  <c r="V293"/>
  <c r="P296"/>
  <c r="V297"/>
  <c r="P300"/>
  <c r="V301"/>
  <c r="P304"/>
  <c r="V305"/>
  <c r="P308"/>
  <c r="V309"/>
  <c r="P312"/>
  <c r="V313"/>
  <c r="P316"/>
  <c r="V317"/>
  <c r="P320"/>
  <c r="V321"/>
  <c r="P324"/>
  <c r="V325"/>
  <c r="P328"/>
  <c r="V329"/>
  <c r="P332"/>
  <c r="V333"/>
  <c r="P336"/>
  <c r="V337"/>
  <c r="P340"/>
  <c r="V341"/>
  <c r="P344"/>
  <c r="V345"/>
  <c r="P348"/>
  <c r="V349"/>
  <c r="P352"/>
  <c r="V353"/>
  <c r="P356"/>
  <c r="V357"/>
  <c r="P360"/>
  <c r="V361"/>
  <c r="P364"/>
  <c r="V365"/>
  <c r="P368"/>
  <c r="V369"/>
  <c r="P372"/>
  <c r="V373"/>
  <c r="P376"/>
  <c r="V377"/>
  <c r="P380"/>
  <c r="V381"/>
  <c r="P384"/>
  <c r="V385"/>
  <c r="P388"/>
  <c r="V389"/>
  <c r="P392"/>
  <c r="T393"/>
  <c r="T396"/>
  <c r="O397"/>
  <c r="V397"/>
  <c r="P398"/>
  <c r="T398"/>
  <c r="S400"/>
  <c r="S401"/>
  <c r="O402"/>
  <c r="S402"/>
  <c r="V408"/>
  <c r="S409"/>
  <c r="V413"/>
  <c r="S413"/>
  <c r="S415"/>
  <c r="Z415"/>
  <c r="V417"/>
  <c r="S417"/>
  <c r="S419"/>
  <c r="Z419"/>
  <c r="V421"/>
  <c r="S421"/>
  <c r="S423"/>
  <c r="Z423"/>
  <c r="V425"/>
  <c r="S425"/>
  <c r="S272"/>
  <c r="Z274"/>
  <c r="S276"/>
  <c r="Z278"/>
  <c r="S280"/>
  <c r="Z282"/>
  <c r="S284"/>
  <c r="Z286"/>
  <c r="S288"/>
  <c r="Z290"/>
  <c r="S292"/>
  <c r="Z294"/>
  <c r="S296"/>
  <c r="Z298"/>
  <c r="S300"/>
  <c r="Z302"/>
  <c r="S304"/>
  <c r="Z306"/>
  <c r="S308"/>
  <c r="Z310"/>
  <c r="S312"/>
  <c r="Z314"/>
  <c r="S316"/>
  <c r="Z318"/>
  <c r="S320"/>
  <c r="Z322"/>
  <c r="S324"/>
  <c r="Z326"/>
  <c r="S328"/>
  <c r="Z330"/>
  <c r="S332"/>
  <c r="Z334"/>
  <c r="S336"/>
  <c r="Z338"/>
  <c r="S340"/>
  <c r="Z342"/>
  <c r="S344"/>
  <c r="Z346"/>
  <c r="S348"/>
  <c r="Z350"/>
  <c r="S352"/>
  <c r="Z354"/>
  <c r="S356"/>
  <c r="Z358"/>
  <c r="S360"/>
  <c r="Z362"/>
  <c r="S364"/>
  <c r="Z366"/>
  <c r="S368"/>
  <c r="Z370"/>
  <c r="S372"/>
  <c r="Z374"/>
  <c r="S376"/>
  <c r="Z378"/>
  <c r="S380"/>
  <c r="Z382"/>
  <c r="S384"/>
  <c r="Z386"/>
  <c r="S388"/>
  <c r="T392"/>
  <c r="O393"/>
  <c r="V393"/>
  <c r="P394"/>
  <c r="T394"/>
  <c r="S396"/>
  <c r="S398"/>
  <c r="Z403"/>
  <c r="P404"/>
  <c r="Z407"/>
  <c r="S410"/>
  <c r="S392"/>
  <c r="S394"/>
  <c r="P408"/>
  <c r="O408"/>
  <c r="O413"/>
  <c r="P413"/>
  <c r="O417"/>
  <c r="P417"/>
  <c r="O421"/>
  <c r="P421"/>
  <c r="O425"/>
  <c r="P425"/>
  <c r="S390"/>
  <c r="T397"/>
  <c r="T402"/>
  <c r="S404"/>
  <c r="S406"/>
  <c r="Z411"/>
  <c r="O483"/>
  <c r="P483"/>
  <c r="O487"/>
  <c r="P487"/>
  <c r="O491"/>
  <c r="P491"/>
  <c r="O495"/>
  <c r="P495"/>
  <c r="O499"/>
  <c r="P499"/>
  <c r="Z505"/>
  <c r="S505"/>
  <c r="O507"/>
  <c r="P507"/>
  <c r="O412"/>
  <c r="O416"/>
  <c r="O420"/>
  <c r="O424"/>
  <c r="O428"/>
  <c r="P429"/>
  <c r="O432"/>
  <c r="P433"/>
  <c r="O436"/>
  <c r="P437"/>
  <c r="O440"/>
  <c r="P441"/>
  <c r="O444"/>
  <c r="P445"/>
  <c r="O448"/>
  <c r="P449"/>
  <c r="O452"/>
  <c r="P453"/>
  <c r="O456"/>
  <c r="P457"/>
  <c r="O460"/>
  <c r="P461"/>
  <c r="O464"/>
  <c r="P465"/>
  <c r="O468"/>
  <c r="P469"/>
  <c r="O472"/>
  <c r="P473"/>
  <c r="O476"/>
  <c r="P477"/>
  <c r="S479"/>
  <c r="O480"/>
  <c r="S480"/>
  <c r="O484"/>
  <c r="O488"/>
  <c r="O492"/>
  <c r="O496"/>
  <c r="O500"/>
  <c r="S503"/>
  <c r="V503"/>
  <c r="Z427"/>
  <c r="S429"/>
  <c r="Z431"/>
  <c r="S433"/>
  <c r="Z435"/>
  <c r="S437"/>
  <c r="Z439"/>
  <c r="S441"/>
  <c r="Z443"/>
  <c r="S445"/>
  <c r="Z447"/>
  <c r="S449"/>
  <c r="Z451"/>
  <c r="S453"/>
  <c r="Z455"/>
  <c r="S457"/>
  <c r="Z459"/>
  <c r="S461"/>
  <c r="Z463"/>
  <c r="S465"/>
  <c r="Z467"/>
  <c r="S469"/>
  <c r="Z471"/>
  <c r="S473"/>
  <c r="Z475"/>
  <c r="S477"/>
  <c r="Z481"/>
  <c r="V483"/>
  <c r="V487"/>
  <c r="V491"/>
  <c r="V495"/>
  <c r="V499"/>
  <c r="T484"/>
  <c r="V484"/>
  <c r="T488"/>
  <c r="V488"/>
  <c r="T492"/>
  <c r="V492"/>
  <c r="T496"/>
  <c r="V496"/>
  <c r="T500"/>
  <c r="V500"/>
  <c r="S507"/>
  <c r="V507"/>
  <c r="O503"/>
  <c r="P503"/>
  <c r="T480"/>
  <c r="S482"/>
  <c r="T483"/>
  <c r="S486"/>
  <c r="T487"/>
  <c r="S490"/>
  <c r="T491"/>
  <c r="S494"/>
  <c r="T495"/>
  <c r="S498"/>
  <c r="T499"/>
  <c r="S502"/>
  <c r="T507"/>
  <c r="S509"/>
  <c r="V511"/>
  <c r="S513"/>
  <c r="V515"/>
  <c r="S517"/>
  <c r="V519"/>
  <c r="S521"/>
  <c r="V523"/>
  <c r="S525"/>
  <c r="V527"/>
  <c r="S529"/>
  <c r="V531"/>
  <c r="S533"/>
  <c r="V535"/>
  <c r="S537"/>
  <c r="V539"/>
  <c r="S541"/>
  <c r="V543"/>
  <c r="S545"/>
  <c r="V547"/>
  <c r="S549"/>
  <c r="V551"/>
  <c r="S553"/>
  <c r="V555"/>
  <c r="S557"/>
  <c r="V559"/>
  <c r="S561"/>
  <c r="P562"/>
  <c r="V563"/>
  <c r="S565"/>
  <c r="P566"/>
  <c r="V567"/>
  <c r="S569"/>
  <c r="P570"/>
  <c r="V571"/>
  <c r="V504"/>
  <c r="V508"/>
  <c r="P511"/>
  <c r="V512"/>
  <c r="P515"/>
  <c r="V516"/>
  <c r="P519"/>
  <c r="V520"/>
  <c r="P523"/>
  <c r="V524"/>
  <c r="P527"/>
  <c r="V528"/>
  <c r="P531"/>
  <c r="V532"/>
  <c r="P535"/>
  <c r="V536"/>
  <c r="P539"/>
  <c r="V540"/>
  <c r="P543"/>
  <c r="V544"/>
  <c r="P547"/>
  <c r="V548"/>
  <c r="P551"/>
  <c r="V552"/>
  <c r="P555"/>
  <c r="V556"/>
  <c r="P559"/>
  <c r="V560"/>
  <c r="P563"/>
  <c r="P567"/>
  <c r="P571"/>
  <c r="S535" i="23"/>
  <c r="S551"/>
  <c r="T563"/>
  <c r="T567"/>
  <c r="T547"/>
  <c r="V571"/>
  <c r="T2"/>
  <c r="O296"/>
  <c r="P420"/>
  <c r="P444"/>
  <c r="P456"/>
  <c r="P544"/>
  <c r="P424"/>
  <c r="P440"/>
  <c r="P472"/>
  <c r="P512"/>
  <c r="P524"/>
  <c r="P536"/>
  <c r="L2"/>
  <c r="M2" s="1"/>
  <c r="O11"/>
  <c r="O9"/>
  <c r="M264"/>
  <c r="O10"/>
  <c r="L10" i="6"/>
  <c r="M10" s="1"/>
  <c r="T10"/>
  <c r="K10"/>
  <c r="M9" i="23"/>
  <c r="M5" i="6"/>
  <c r="M497" i="23"/>
  <c r="M115"/>
  <c r="M99"/>
  <c r="M304"/>
  <c r="V5"/>
  <c r="S5"/>
  <c r="V9"/>
  <c r="S9"/>
  <c r="V13"/>
  <c r="S13"/>
  <c r="V17"/>
  <c r="S17"/>
  <c r="V21"/>
  <c r="S21"/>
  <c r="V25"/>
  <c r="S25"/>
  <c r="V29"/>
  <c r="S29"/>
  <c r="K5"/>
  <c r="L6"/>
  <c r="M6" s="1"/>
  <c r="K9"/>
  <c r="L10"/>
  <c r="M10" s="1"/>
  <c r="K13"/>
  <c r="L14"/>
  <c r="M14" s="1"/>
  <c r="K17"/>
  <c r="L18"/>
  <c r="M18" s="1"/>
  <c r="K21"/>
  <c r="L22"/>
  <c r="M22" s="1"/>
  <c r="K25"/>
  <c r="L26"/>
  <c r="M26" s="1"/>
  <c r="K29"/>
  <c r="T30"/>
  <c r="K31"/>
  <c r="K30"/>
  <c r="L30"/>
  <c r="M30" s="1"/>
  <c r="V33"/>
  <c r="S33"/>
  <c r="P42"/>
  <c r="O42"/>
  <c r="K33"/>
  <c r="T34"/>
  <c r="K35"/>
  <c r="O38"/>
  <c r="K34"/>
  <c r="L34"/>
  <c r="M34" s="1"/>
  <c r="V37"/>
  <c r="S37"/>
  <c r="O26"/>
  <c r="K37"/>
  <c r="T38"/>
  <c r="S42"/>
  <c r="K38"/>
  <c r="L38"/>
  <c r="M38" s="1"/>
  <c r="K3"/>
  <c r="K7"/>
  <c r="S10"/>
  <c r="K11"/>
  <c r="K15"/>
  <c r="P212"/>
  <c r="O212"/>
  <c r="K233"/>
  <c r="L233"/>
  <c r="M233" s="1"/>
  <c r="O234"/>
  <c r="P234"/>
  <c r="P264"/>
  <c r="O264"/>
  <c r="S58"/>
  <c r="S74"/>
  <c r="S87"/>
  <c r="S91"/>
  <c r="S107"/>
  <c r="S131"/>
  <c r="T180"/>
  <c r="T184"/>
  <c r="T188"/>
  <c r="T192"/>
  <c r="T193"/>
  <c r="T196"/>
  <c r="T197"/>
  <c r="T200"/>
  <c r="T204"/>
  <c r="T208"/>
  <c r="P210"/>
  <c r="T211"/>
  <c r="P213"/>
  <c r="S216"/>
  <c r="T218"/>
  <c r="S220"/>
  <c r="T222"/>
  <c r="S224"/>
  <c r="T226"/>
  <c r="S228"/>
  <c r="T230"/>
  <c r="T235"/>
  <c r="K217"/>
  <c r="L217"/>
  <c r="M217" s="1"/>
  <c r="O218"/>
  <c r="P218"/>
  <c r="K221"/>
  <c r="L221"/>
  <c r="M221" s="1"/>
  <c r="O222"/>
  <c r="P222"/>
  <c r="K225"/>
  <c r="L225"/>
  <c r="M225" s="1"/>
  <c r="O226"/>
  <c r="P226"/>
  <c r="K229"/>
  <c r="L229"/>
  <c r="M229" s="1"/>
  <c r="O230"/>
  <c r="P230"/>
  <c r="P236"/>
  <c r="O236"/>
  <c r="S244"/>
  <c r="V244"/>
  <c r="O259"/>
  <c r="P259"/>
  <c r="V261"/>
  <c r="S261"/>
  <c r="T41"/>
  <c r="T46"/>
  <c r="T52"/>
  <c r="S54"/>
  <c r="T57"/>
  <c r="T62"/>
  <c r="T68"/>
  <c r="S70"/>
  <c r="T73"/>
  <c r="T78"/>
  <c r="T84"/>
  <c r="S86"/>
  <c r="S96"/>
  <c r="S103"/>
  <c r="S113"/>
  <c r="T117"/>
  <c r="S123"/>
  <c r="T135"/>
  <c r="T137"/>
  <c r="T141"/>
  <c r="T145"/>
  <c r="S149"/>
  <c r="S153"/>
  <c r="S157"/>
  <c r="S161"/>
  <c r="S165"/>
  <c r="S169"/>
  <c r="S173"/>
  <c r="M199"/>
  <c r="V200"/>
  <c r="M203"/>
  <c r="V204"/>
  <c r="M207"/>
  <c r="S214"/>
  <c r="T231"/>
  <c r="S258"/>
  <c r="S266"/>
  <c r="K213"/>
  <c r="L213"/>
  <c r="M213" s="1"/>
  <c r="P232"/>
  <c r="O232"/>
  <c r="K234"/>
  <c r="L234"/>
  <c r="M234" s="1"/>
  <c r="S234"/>
  <c r="V234"/>
  <c r="S30"/>
  <c r="S34"/>
  <c r="S38"/>
  <c r="T42"/>
  <c r="Z44"/>
  <c r="L47"/>
  <c r="M47" s="1"/>
  <c r="T48"/>
  <c r="S50"/>
  <c r="P51"/>
  <c r="S52"/>
  <c r="L52"/>
  <c r="M52" s="1"/>
  <c r="P52"/>
  <c r="T53"/>
  <c r="T58"/>
  <c r="Z60"/>
  <c r="L63"/>
  <c r="M63" s="1"/>
  <c r="T64"/>
  <c r="S66"/>
  <c r="P67"/>
  <c r="S68"/>
  <c r="L68"/>
  <c r="M68" s="1"/>
  <c r="P68"/>
  <c r="T69"/>
  <c r="T74"/>
  <c r="Z76"/>
  <c r="L79"/>
  <c r="M79" s="1"/>
  <c r="T80"/>
  <c r="S82"/>
  <c r="P83"/>
  <c r="S84"/>
  <c r="L84"/>
  <c r="M84" s="1"/>
  <c r="P84"/>
  <c r="T85"/>
  <c r="Z89"/>
  <c r="T91"/>
  <c r="P93"/>
  <c r="T97"/>
  <c r="S99"/>
  <c r="S100"/>
  <c r="Z105"/>
  <c r="T107"/>
  <c r="P109"/>
  <c r="S117"/>
  <c r="L117"/>
  <c r="M117" s="1"/>
  <c r="P117"/>
  <c r="S119"/>
  <c r="L125"/>
  <c r="M125" s="1"/>
  <c r="S129"/>
  <c r="T131"/>
  <c r="T133"/>
  <c r="V135"/>
  <c r="M136"/>
  <c r="L137"/>
  <c r="M137" s="1"/>
  <c r="P137"/>
  <c r="V137"/>
  <c r="S139"/>
  <c r="L141"/>
  <c r="M141" s="1"/>
  <c r="P141"/>
  <c r="V141"/>
  <c r="S143"/>
  <c r="L145"/>
  <c r="M145" s="1"/>
  <c r="P145"/>
  <c r="V145"/>
  <c r="S147"/>
  <c r="S151"/>
  <c r="S155"/>
  <c r="S159"/>
  <c r="S163"/>
  <c r="S167"/>
  <c r="S171"/>
  <c r="T178"/>
  <c r="T182"/>
  <c r="T186"/>
  <c r="T191"/>
  <c r="T195"/>
  <c r="T199"/>
  <c r="T203"/>
  <c r="T207"/>
  <c r="S208"/>
  <c r="S210"/>
  <c r="M212"/>
  <c r="L214"/>
  <c r="M214" s="1"/>
  <c r="T214"/>
  <c r="T219"/>
  <c r="T223"/>
  <c r="T227"/>
  <c r="S236"/>
  <c r="K209"/>
  <c r="L209"/>
  <c r="M209" s="1"/>
  <c r="P216"/>
  <c r="O216"/>
  <c r="K218"/>
  <c r="L218"/>
  <c r="M218" s="1"/>
  <c r="S218"/>
  <c r="V218"/>
  <c r="P220"/>
  <c r="O220"/>
  <c r="K222"/>
  <c r="L222"/>
  <c r="M222" s="1"/>
  <c r="S222"/>
  <c r="V222"/>
  <c r="P224"/>
  <c r="O224"/>
  <c r="K226"/>
  <c r="L226"/>
  <c r="M226" s="1"/>
  <c r="S226"/>
  <c r="V226"/>
  <c r="P228"/>
  <c r="O228"/>
  <c r="K230"/>
  <c r="L230"/>
  <c r="M230" s="1"/>
  <c r="S230"/>
  <c r="V230"/>
  <c r="K237"/>
  <c r="L237"/>
  <c r="M237" s="1"/>
  <c r="S240"/>
  <c r="V240"/>
  <c r="S248"/>
  <c r="V248"/>
  <c r="S3"/>
  <c r="T3"/>
  <c r="S7"/>
  <c r="T7"/>
  <c r="S8"/>
  <c r="S11"/>
  <c r="M11"/>
  <c r="S12"/>
  <c r="S15"/>
  <c r="T15"/>
  <c r="S16"/>
  <c r="S19"/>
  <c r="T19"/>
  <c r="S23"/>
  <c r="T23"/>
  <c r="S27"/>
  <c r="T27"/>
  <c r="S31"/>
  <c r="T31"/>
  <c r="S35"/>
  <c r="T35"/>
  <c r="Z40"/>
  <c r="T44"/>
  <c r="S45"/>
  <c r="S46"/>
  <c r="S48"/>
  <c r="T49"/>
  <c r="K50"/>
  <c r="T54"/>
  <c r="Z56"/>
  <c r="O58"/>
  <c r="T60"/>
  <c r="S61"/>
  <c r="S62"/>
  <c r="S64"/>
  <c r="T65"/>
  <c r="K66"/>
  <c r="T70"/>
  <c r="Z72"/>
  <c r="O74"/>
  <c r="T76"/>
  <c r="S77"/>
  <c r="S78"/>
  <c r="S80"/>
  <c r="T81"/>
  <c r="K82"/>
  <c r="T86"/>
  <c r="T89"/>
  <c r="O91"/>
  <c r="M95"/>
  <c r="S95"/>
  <c r="L98"/>
  <c r="M98" s="1"/>
  <c r="T98"/>
  <c r="K99"/>
  <c r="Z101"/>
  <c r="M102"/>
  <c r="O103"/>
  <c r="T105"/>
  <c r="O107"/>
  <c r="M111"/>
  <c r="S111"/>
  <c r="T113"/>
  <c r="M114"/>
  <c r="S115"/>
  <c r="S116"/>
  <c r="L118"/>
  <c r="M118" s="1"/>
  <c r="K119"/>
  <c r="Z121"/>
  <c r="T123"/>
  <c r="L126"/>
  <c r="M126" s="1"/>
  <c r="V127"/>
  <c r="K128"/>
  <c r="O131"/>
  <c r="L132"/>
  <c r="M132" s="1"/>
  <c r="L134"/>
  <c r="M134" s="1"/>
  <c r="T134"/>
  <c r="K139"/>
  <c r="K143"/>
  <c r="K147"/>
  <c r="P148"/>
  <c r="T149"/>
  <c r="K151"/>
  <c r="P152"/>
  <c r="T153"/>
  <c r="K155"/>
  <c r="P156"/>
  <c r="T157"/>
  <c r="K159"/>
  <c r="P160"/>
  <c r="T161"/>
  <c r="K163"/>
  <c r="P164"/>
  <c r="T165"/>
  <c r="K167"/>
  <c r="P168"/>
  <c r="T169"/>
  <c r="K171"/>
  <c r="P172"/>
  <c r="T173"/>
  <c r="K175"/>
  <c r="P176"/>
  <c r="K179"/>
  <c r="P180"/>
  <c r="K183"/>
  <c r="P184"/>
  <c r="K187"/>
  <c r="L365"/>
  <c r="M365" s="1"/>
  <c r="K365"/>
  <c r="K367"/>
  <c r="L367"/>
  <c r="M367" s="1"/>
  <c r="M371"/>
  <c r="T371"/>
  <c r="S384"/>
  <c r="V384"/>
  <c r="T403"/>
  <c r="V409"/>
  <c r="S409"/>
  <c r="K411"/>
  <c r="L411"/>
  <c r="M411" s="1"/>
  <c r="P413"/>
  <c r="O413"/>
  <c r="O417"/>
  <c r="P417"/>
  <c r="L432"/>
  <c r="M432" s="1"/>
  <c r="K432"/>
  <c r="O437"/>
  <c r="P437"/>
  <c r="L440"/>
  <c r="M440" s="1"/>
  <c r="K440"/>
  <c r="L443"/>
  <c r="M443" s="1"/>
  <c r="K443"/>
  <c r="T445"/>
  <c r="T452"/>
  <c r="V452"/>
  <c r="S452"/>
  <c r="T216"/>
  <c r="T220"/>
  <c r="T224"/>
  <c r="T228"/>
  <c r="T232"/>
  <c r="T236"/>
  <c r="L238"/>
  <c r="M238" s="1"/>
  <c r="P238"/>
  <c r="V238"/>
  <c r="T240"/>
  <c r="L242"/>
  <c r="M242" s="1"/>
  <c r="P242"/>
  <c r="V242"/>
  <c r="T244"/>
  <c r="L246"/>
  <c r="M246" s="1"/>
  <c r="P246"/>
  <c r="V246"/>
  <c r="T248"/>
  <c r="L250"/>
  <c r="M250" s="1"/>
  <c r="P250"/>
  <c r="V250"/>
  <c r="V252"/>
  <c r="P254"/>
  <c r="L255"/>
  <c r="M255" s="1"/>
  <c r="O256"/>
  <c r="T267"/>
  <c r="K268"/>
  <c r="L269"/>
  <c r="M269" s="1"/>
  <c r="K273"/>
  <c r="T275"/>
  <c r="K276"/>
  <c r="S276"/>
  <c r="O277"/>
  <c r="T279"/>
  <c r="T290"/>
  <c r="P291"/>
  <c r="T292"/>
  <c r="L293"/>
  <c r="M293" s="1"/>
  <c r="S294"/>
  <c r="L294"/>
  <c r="M294" s="1"/>
  <c r="P294"/>
  <c r="V296"/>
  <c r="L297"/>
  <c r="M297" s="1"/>
  <c r="P298"/>
  <c r="M301"/>
  <c r="P301"/>
  <c r="L302"/>
  <c r="M302" s="1"/>
  <c r="V302"/>
  <c r="L303"/>
  <c r="M303" s="1"/>
  <c r="T306"/>
  <c r="P307"/>
  <c r="O312"/>
  <c r="L314"/>
  <c r="M314" s="1"/>
  <c r="V314"/>
  <c r="K317"/>
  <c r="P322"/>
  <c r="M323"/>
  <c r="S324"/>
  <c r="K325"/>
  <c r="P331"/>
  <c r="M333"/>
  <c r="P334"/>
  <c r="M335"/>
  <c r="S336"/>
  <c r="K337"/>
  <c r="L338"/>
  <c r="M338" s="1"/>
  <c r="V338"/>
  <c r="L339"/>
  <c r="M339" s="1"/>
  <c r="P347"/>
  <c r="M349"/>
  <c r="P350"/>
  <c r="M351"/>
  <c r="S352"/>
  <c r="K353"/>
  <c r="L354"/>
  <c r="M354" s="1"/>
  <c r="V354"/>
  <c r="L355"/>
  <c r="M355" s="1"/>
  <c r="T362"/>
  <c r="P363"/>
  <c r="V363"/>
  <c r="S366"/>
  <c r="P374"/>
  <c r="L375"/>
  <c r="M375" s="1"/>
  <c r="S377"/>
  <c r="K382"/>
  <c r="P383"/>
  <c r="M390"/>
  <c r="S390"/>
  <c r="V392"/>
  <c r="T394"/>
  <c r="P395"/>
  <c r="V395"/>
  <c r="K397"/>
  <c r="P398"/>
  <c r="P399"/>
  <c r="L410"/>
  <c r="M410" s="1"/>
  <c r="S422"/>
  <c r="S435"/>
  <c r="O391"/>
  <c r="P391"/>
  <c r="P401"/>
  <c r="O401"/>
  <c r="L413"/>
  <c r="M413" s="1"/>
  <c r="K413"/>
  <c r="L423"/>
  <c r="M423" s="1"/>
  <c r="K423"/>
  <c r="V423"/>
  <c r="S423"/>
  <c r="P436"/>
  <c r="O436"/>
  <c r="O453"/>
  <c r="P453"/>
  <c r="L456"/>
  <c r="M456" s="1"/>
  <c r="K456"/>
  <c r="L459"/>
  <c r="M459" s="1"/>
  <c r="K459"/>
  <c r="S209"/>
  <c r="M211"/>
  <c r="S213"/>
  <c r="M215"/>
  <c r="S217"/>
  <c r="M219"/>
  <c r="S221"/>
  <c r="M223"/>
  <c r="S225"/>
  <c r="M227"/>
  <c r="M231"/>
  <c r="M235"/>
  <c r="M239"/>
  <c r="O240"/>
  <c r="L241"/>
  <c r="M241" s="1"/>
  <c r="M243"/>
  <c r="O244"/>
  <c r="L245"/>
  <c r="M245" s="1"/>
  <c r="M247"/>
  <c r="O248"/>
  <c r="L249"/>
  <c r="M249" s="1"/>
  <c r="T251"/>
  <c r="K252"/>
  <c r="L253"/>
  <c r="M253" s="1"/>
  <c r="V256"/>
  <c r="K257"/>
  <c r="K260"/>
  <c r="S260"/>
  <c r="O261"/>
  <c r="P269"/>
  <c r="M271"/>
  <c r="M272"/>
  <c r="S272"/>
  <c r="P275"/>
  <c r="S277"/>
  <c r="L278"/>
  <c r="M278" s="1"/>
  <c r="O280"/>
  <c r="P283"/>
  <c r="S284"/>
  <c r="L286"/>
  <c r="M286" s="1"/>
  <c r="L287"/>
  <c r="M287" s="1"/>
  <c r="S288"/>
  <c r="L290"/>
  <c r="M290" s="1"/>
  <c r="P290"/>
  <c r="V290"/>
  <c r="K296"/>
  <c r="S301"/>
  <c r="P302"/>
  <c r="T302"/>
  <c r="S304"/>
  <c r="L306"/>
  <c r="M306" s="1"/>
  <c r="P306"/>
  <c r="V306"/>
  <c r="M308"/>
  <c r="V311"/>
  <c r="V312"/>
  <c r="L313"/>
  <c r="M313" s="1"/>
  <c r="P314"/>
  <c r="T314"/>
  <c r="P317"/>
  <c r="T317"/>
  <c r="L318"/>
  <c r="M318" s="1"/>
  <c r="L319"/>
  <c r="M319" s="1"/>
  <c r="P323"/>
  <c r="V323"/>
  <c r="M325"/>
  <c r="S325"/>
  <c r="L326"/>
  <c r="M326" s="1"/>
  <c r="L327"/>
  <c r="M327" s="1"/>
  <c r="P335"/>
  <c r="V335"/>
  <c r="M337"/>
  <c r="P338"/>
  <c r="T338"/>
  <c r="S340"/>
  <c r="K341"/>
  <c r="L342"/>
  <c r="M342" s="1"/>
  <c r="L343"/>
  <c r="M343" s="1"/>
  <c r="P351"/>
  <c r="V351"/>
  <c r="M353"/>
  <c r="P354"/>
  <c r="T354"/>
  <c r="S356"/>
  <c r="K357"/>
  <c r="L358"/>
  <c r="M358" s="1"/>
  <c r="L359"/>
  <c r="M359" s="1"/>
  <c r="O362"/>
  <c r="V362"/>
  <c r="S365"/>
  <c r="S370"/>
  <c r="S372"/>
  <c r="K373"/>
  <c r="L378"/>
  <c r="M378" s="1"/>
  <c r="P382"/>
  <c r="T382"/>
  <c r="K385"/>
  <c r="L386"/>
  <c r="M386" s="1"/>
  <c r="L387"/>
  <c r="M387" s="1"/>
  <c r="O394"/>
  <c r="V394"/>
  <c r="M397"/>
  <c r="V399"/>
  <c r="P403"/>
  <c r="O405"/>
  <c r="L406"/>
  <c r="M406" s="1"/>
  <c r="S413"/>
  <c r="M415"/>
  <c r="L424"/>
  <c r="M424" s="1"/>
  <c r="P428"/>
  <c r="S451"/>
  <c r="S368"/>
  <c r="V368"/>
  <c r="L381"/>
  <c r="M381" s="1"/>
  <c r="K381"/>
  <c r="K383"/>
  <c r="L383"/>
  <c r="M383" s="1"/>
  <c r="T387"/>
  <c r="O407"/>
  <c r="P407"/>
  <c r="S418"/>
  <c r="V418"/>
  <c r="O419"/>
  <c r="P419"/>
  <c r="V426"/>
  <c r="S426"/>
  <c r="V433"/>
  <c r="T433"/>
  <c r="K445"/>
  <c r="L445"/>
  <c r="M445" s="1"/>
  <c r="Z448"/>
  <c r="S448"/>
  <c r="P452"/>
  <c r="O452"/>
  <c r="T239"/>
  <c r="T243"/>
  <c r="T247"/>
  <c r="M256"/>
  <c r="P267"/>
  <c r="T269"/>
  <c r="P273"/>
  <c r="M277"/>
  <c r="L279"/>
  <c r="M279" s="1"/>
  <c r="V283"/>
  <c r="P287"/>
  <c r="K292"/>
  <c r="P297"/>
  <c r="K308"/>
  <c r="K312"/>
  <c r="S317"/>
  <c r="S320"/>
  <c r="K321"/>
  <c r="S328"/>
  <c r="K329"/>
  <c r="L331"/>
  <c r="M331" s="1"/>
  <c r="V332"/>
  <c r="P339"/>
  <c r="M341"/>
  <c r="S344"/>
  <c r="K345"/>
  <c r="L347"/>
  <c r="M347" s="1"/>
  <c r="V348"/>
  <c r="P355"/>
  <c r="M357"/>
  <c r="S360"/>
  <c r="K361"/>
  <c r="K366"/>
  <c r="P367"/>
  <c r="M374"/>
  <c r="S374"/>
  <c r="V376"/>
  <c r="P379"/>
  <c r="S382"/>
  <c r="M385"/>
  <c r="V388"/>
  <c r="P390"/>
  <c r="L391"/>
  <c r="M391" s="1"/>
  <c r="T391"/>
  <c r="K401"/>
  <c r="S401"/>
  <c r="K402"/>
  <c r="S405"/>
  <c r="V428"/>
  <c r="O375"/>
  <c r="P375"/>
  <c r="K407"/>
  <c r="L407"/>
  <c r="M407" s="1"/>
  <c r="S411"/>
  <c r="V411"/>
  <c r="V427"/>
  <c r="S427"/>
  <c r="P432"/>
  <c r="O432"/>
  <c r="T436"/>
  <c r="V436"/>
  <c r="S436"/>
  <c r="S446"/>
  <c r="V446"/>
  <c r="V449"/>
  <c r="T449"/>
  <c r="S407"/>
  <c r="T412"/>
  <c r="M419"/>
  <c r="T422"/>
  <c r="T425"/>
  <c r="T429"/>
  <c r="M439"/>
  <c r="S442"/>
  <c r="V444"/>
  <c r="M455"/>
  <c r="S458"/>
  <c r="V460"/>
  <c r="L461"/>
  <c r="M461" s="1"/>
  <c r="V462"/>
  <c r="T465"/>
  <c r="O468"/>
  <c r="S468"/>
  <c r="P469"/>
  <c r="M471"/>
  <c r="K472"/>
  <c r="L473"/>
  <c r="M473" s="1"/>
  <c r="O476"/>
  <c r="T476"/>
  <c r="T477"/>
  <c r="O479"/>
  <c r="T483"/>
  <c r="O485"/>
  <c r="T486"/>
  <c r="S487"/>
  <c r="V491"/>
  <c r="L492"/>
  <c r="M492" s="1"/>
  <c r="O494"/>
  <c r="L496"/>
  <c r="M496" s="1"/>
  <c r="K497"/>
  <c r="L498"/>
  <c r="M498" s="1"/>
  <c r="P500"/>
  <c r="V501"/>
  <c r="K503"/>
  <c r="L504"/>
  <c r="M504" s="1"/>
  <c r="V505"/>
  <c r="T508"/>
  <c r="O511"/>
  <c r="T511"/>
  <c r="S513"/>
  <c r="K514"/>
  <c r="K519"/>
  <c r="L520"/>
  <c r="M520" s="1"/>
  <c r="O523"/>
  <c r="T523"/>
  <c r="M524"/>
  <c r="V525"/>
  <c r="S529"/>
  <c r="K530"/>
  <c r="K531"/>
  <c r="L532"/>
  <c r="M532" s="1"/>
  <c r="S532"/>
  <c r="V533"/>
  <c r="K535"/>
  <c r="S537"/>
  <c r="O539"/>
  <c r="S539"/>
  <c r="P540"/>
  <c r="T541"/>
  <c r="T544"/>
  <c r="V547"/>
  <c r="L548"/>
  <c r="M548" s="1"/>
  <c r="S548"/>
  <c r="V549"/>
  <c r="K551"/>
  <c r="S553"/>
  <c r="O555"/>
  <c r="S555"/>
  <c r="P556"/>
  <c r="T557"/>
  <c r="T560"/>
  <c r="T562"/>
  <c r="V563"/>
  <c r="L564"/>
  <c r="M564" s="1"/>
  <c r="S564"/>
  <c r="V565"/>
  <c r="K567"/>
  <c r="T568"/>
  <c r="T569"/>
  <c r="S479"/>
  <c r="L571"/>
  <c r="M571" s="1"/>
  <c r="S364"/>
  <c r="M377"/>
  <c r="S380"/>
  <c r="M393"/>
  <c r="S396"/>
  <c r="T399"/>
  <c r="S403"/>
  <c r="T411"/>
  <c r="M412"/>
  <c r="S414"/>
  <c r="Z416"/>
  <c r="T418"/>
  <c r="T428"/>
  <c r="T432"/>
  <c r="S434"/>
  <c r="K435"/>
  <c r="L437"/>
  <c r="M437" s="1"/>
  <c r="V438"/>
  <c r="T441"/>
  <c r="P445"/>
  <c r="M447"/>
  <c r="M449"/>
  <c r="S450"/>
  <c r="K451"/>
  <c r="L453"/>
  <c r="M453" s="1"/>
  <c r="V454"/>
  <c r="T457"/>
  <c r="P461"/>
  <c r="M463"/>
  <c r="M465"/>
  <c r="S466"/>
  <c r="K467"/>
  <c r="V468"/>
  <c r="L469"/>
  <c r="M469" s="1"/>
  <c r="V470"/>
  <c r="P473"/>
  <c r="S474"/>
  <c r="K475"/>
  <c r="K479"/>
  <c r="P480"/>
  <c r="K485"/>
  <c r="S485"/>
  <c r="O489"/>
  <c r="M494"/>
  <c r="P496"/>
  <c r="Z499"/>
  <c r="T501"/>
  <c r="P502"/>
  <c r="P504"/>
  <c r="M506"/>
  <c r="M508"/>
  <c r="S509"/>
  <c r="K510"/>
  <c r="T512"/>
  <c r="V517"/>
  <c r="P520"/>
  <c r="S521"/>
  <c r="K522"/>
  <c r="M528"/>
  <c r="O530"/>
  <c r="P532"/>
  <c r="V532"/>
  <c r="T533"/>
  <c r="V539"/>
  <c r="L540"/>
  <c r="M540" s="1"/>
  <c r="S540"/>
  <c r="V541"/>
  <c r="S545"/>
  <c r="P548"/>
  <c r="V548"/>
  <c r="T549"/>
  <c r="M550"/>
  <c r="T554"/>
  <c r="V555"/>
  <c r="L556"/>
  <c r="M556" s="1"/>
  <c r="S556"/>
  <c r="V557"/>
  <c r="S561"/>
  <c r="P564"/>
  <c r="V564"/>
  <c r="T565"/>
  <c r="M566"/>
  <c r="V569"/>
  <c r="S572"/>
  <c r="S432"/>
  <c r="T461"/>
  <c r="S464"/>
  <c r="Z483"/>
  <c r="T504"/>
  <c r="S507"/>
  <c r="S530"/>
  <c r="S543"/>
  <c r="S559"/>
  <c r="V560"/>
  <c r="M562"/>
  <c r="S132"/>
  <c r="V132"/>
  <c r="S136"/>
  <c r="V136"/>
  <c r="S140"/>
  <c r="V140"/>
  <c r="S144"/>
  <c r="V144"/>
  <c r="L150"/>
  <c r="M150" s="1"/>
  <c r="K150"/>
  <c r="L154"/>
  <c r="M154" s="1"/>
  <c r="K154"/>
  <c r="L158"/>
  <c r="M158" s="1"/>
  <c r="K158"/>
  <c r="L162"/>
  <c r="M162" s="1"/>
  <c r="K162"/>
  <c r="L166"/>
  <c r="M166" s="1"/>
  <c r="K166"/>
  <c r="L170"/>
  <c r="M170" s="1"/>
  <c r="K170"/>
  <c r="L174"/>
  <c r="M174" s="1"/>
  <c r="K174"/>
  <c r="M7"/>
  <c r="S2"/>
  <c r="T11"/>
  <c r="V16"/>
  <c r="L4"/>
  <c r="M4" s="1"/>
  <c r="P4"/>
  <c r="T4"/>
  <c r="L8"/>
  <c r="M8" s="1"/>
  <c r="P8"/>
  <c r="T8"/>
  <c r="L12"/>
  <c r="M12" s="1"/>
  <c r="P12"/>
  <c r="T12"/>
  <c r="L16"/>
  <c r="M16" s="1"/>
  <c r="P16"/>
  <c r="T16"/>
  <c r="L20"/>
  <c r="M20" s="1"/>
  <c r="P20"/>
  <c r="L24"/>
  <c r="M24" s="1"/>
  <c r="P24"/>
  <c r="L28"/>
  <c r="M28" s="1"/>
  <c r="P28"/>
  <c r="L32"/>
  <c r="M32" s="1"/>
  <c r="P32"/>
  <c r="L36"/>
  <c r="M36" s="1"/>
  <c r="P36"/>
  <c r="S39"/>
  <c r="V41"/>
  <c r="S43"/>
  <c r="V45"/>
  <c r="S47"/>
  <c r="V49"/>
  <c r="S51"/>
  <c r="V53"/>
  <c r="S55"/>
  <c r="V57"/>
  <c r="S59"/>
  <c r="V61"/>
  <c r="S63"/>
  <c r="V65"/>
  <c r="S67"/>
  <c r="V69"/>
  <c r="S71"/>
  <c r="V73"/>
  <c r="S75"/>
  <c r="V77"/>
  <c r="S79"/>
  <c r="V81"/>
  <c r="S83"/>
  <c r="V85"/>
  <c r="T87"/>
  <c r="S93"/>
  <c r="S94"/>
  <c r="T103"/>
  <c r="S109"/>
  <c r="S110"/>
  <c r="S112"/>
  <c r="T119"/>
  <c r="S125"/>
  <c r="S126"/>
  <c r="S128"/>
  <c r="L140"/>
  <c r="M140" s="1"/>
  <c r="L144"/>
  <c r="M144" s="1"/>
  <c r="S148"/>
  <c r="S152"/>
  <c r="S156"/>
  <c r="S160"/>
  <c r="S164"/>
  <c r="S168"/>
  <c r="S172"/>
  <c r="S176"/>
  <c r="T150"/>
  <c r="V150"/>
  <c r="S150"/>
  <c r="T154"/>
  <c r="V154"/>
  <c r="S154"/>
  <c r="T158"/>
  <c r="V158"/>
  <c r="S158"/>
  <c r="T162"/>
  <c r="V162"/>
  <c r="S162"/>
  <c r="T166"/>
  <c r="V166"/>
  <c r="S166"/>
  <c r="T170"/>
  <c r="V170"/>
  <c r="S170"/>
  <c r="T174"/>
  <c r="V174"/>
  <c r="S174"/>
  <c r="M3"/>
  <c r="M15"/>
  <c r="M19"/>
  <c r="M31"/>
  <c r="S6"/>
  <c r="V8"/>
  <c r="V12"/>
  <c r="S14"/>
  <c r="S18"/>
  <c r="S4"/>
  <c r="Z10"/>
  <c r="D2" i="18" s="1"/>
  <c r="F2" s="1"/>
  <c r="S20" i="23"/>
  <c r="Z22"/>
  <c r="S24"/>
  <c r="Z26"/>
  <c r="S28"/>
  <c r="Z30"/>
  <c r="S32"/>
  <c r="Z34"/>
  <c r="S36"/>
  <c r="Z38"/>
  <c r="L41"/>
  <c r="M41" s="1"/>
  <c r="P41"/>
  <c r="L45"/>
  <c r="M45" s="1"/>
  <c r="P45"/>
  <c r="L49"/>
  <c r="M49" s="1"/>
  <c r="P49"/>
  <c r="L53"/>
  <c r="M53" s="1"/>
  <c r="P53"/>
  <c r="L57"/>
  <c r="M57" s="1"/>
  <c r="P57"/>
  <c r="L61"/>
  <c r="M61" s="1"/>
  <c r="P61"/>
  <c r="L65"/>
  <c r="M65" s="1"/>
  <c r="P65"/>
  <c r="L69"/>
  <c r="M69" s="1"/>
  <c r="P69"/>
  <c r="L73"/>
  <c r="M73" s="1"/>
  <c r="P73"/>
  <c r="L77"/>
  <c r="M77" s="1"/>
  <c r="P77"/>
  <c r="L81"/>
  <c r="M81" s="1"/>
  <c r="P81"/>
  <c r="L85"/>
  <c r="M85" s="1"/>
  <c r="P85"/>
  <c r="V87"/>
  <c r="P88"/>
  <c r="T88"/>
  <c r="S90"/>
  <c r="S92"/>
  <c r="T99"/>
  <c r="L100"/>
  <c r="M100" s="1"/>
  <c r="T102"/>
  <c r="V103"/>
  <c r="P104"/>
  <c r="T104"/>
  <c r="S106"/>
  <c r="S108"/>
  <c r="T115"/>
  <c r="L116"/>
  <c r="M116" s="1"/>
  <c r="T118"/>
  <c r="V119"/>
  <c r="P120"/>
  <c r="T120"/>
  <c r="S122"/>
  <c r="S124"/>
  <c r="S88"/>
  <c r="L90"/>
  <c r="M90" s="1"/>
  <c r="M91"/>
  <c r="P94"/>
  <c r="V94"/>
  <c r="K95"/>
  <c r="T95"/>
  <c r="O99"/>
  <c r="T100"/>
  <c r="S102"/>
  <c r="S104"/>
  <c r="L106"/>
  <c r="M106" s="1"/>
  <c r="M107"/>
  <c r="P110"/>
  <c r="V110"/>
  <c r="K111"/>
  <c r="T111"/>
  <c r="O115"/>
  <c r="T116"/>
  <c r="S118"/>
  <c r="S120"/>
  <c r="L122"/>
  <c r="M122" s="1"/>
  <c r="M123"/>
  <c r="P126"/>
  <c r="V126"/>
  <c r="K127"/>
  <c r="T127"/>
  <c r="M131"/>
  <c r="P132"/>
  <c r="P136"/>
  <c r="M139"/>
  <c r="P140"/>
  <c r="M143"/>
  <c r="P144"/>
  <c r="V130"/>
  <c r="S130"/>
  <c r="V134"/>
  <c r="S134"/>
  <c r="V138"/>
  <c r="S138"/>
  <c r="V142"/>
  <c r="S142"/>
  <c r="V146"/>
  <c r="S146"/>
  <c r="P150"/>
  <c r="O150"/>
  <c r="P154"/>
  <c r="O154"/>
  <c r="P158"/>
  <c r="O158"/>
  <c r="P162"/>
  <c r="O162"/>
  <c r="P166"/>
  <c r="O166"/>
  <c r="P170"/>
  <c r="O170"/>
  <c r="P174"/>
  <c r="O174"/>
  <c r="M23"/>
  <c r="M27"/>
  <c r="M35"/>
  <c r="S98"/>
  <c r="S114"/>
  <c r="O284"/>
  <c r="P284"/>
  <c r="O288"/>
  <c r="P288"/>
  <c r="S292"/>
  <c r="V292"/>
  <c r="K295"/>
  <c r="L295"/>
  <c r="M295" s="1"/>
  <c r="T296"/>
  <c r="M296"/>
  <c r="O299"/>
  <c r="P299"/>
  <c r="K305"/>
  <c r="L305"/>
  <c r="M305" s="1"/>
  <c r="V305"/>
  <c r="T305"/>
  <c r="S315"/>
  <c r="V315"/>
  <c r="L316"/>
  <c r="M316" s="1"/>
  <c r="K316"/>
  <c r="L320"/>
  <c r="M320" s="1"/>
  <c r="K320"/>
  <c r="L324"/>
  <c r="M324" s="1"/>
  <c r="K324"/>
  <c r="V148"/>
  <c r="V152"/>
  <c r="V156"/>
  <c r="V160"/>
  <c r="V164"/>
  <c r="V168"/>
  <c r="V172"/>
  <c r="V176"/>
  <c r="K178"/>
  <c r="O178"/>
  <c r="S178"/>
  <c r="V180"/>
  <c r="K182"/>
  <c r="O182"/>
  <c r="S182"/>
  <c r="V184"/>
  <c r="K186"/>
  <c r="O186"/>
  <c r="S186"/>
  <c r="V188"/>
  <c r="K191"/>
  <c r="O191"/>
  <c r="S191"/>
  <c r="V193"/>
  <c r="K195"/>
  <c r="O195"/>
  <c r="S195"/>
  <c r="V197"/>
  <c r="K199"/>
  <c r="O199"/>
  <c r="S199"/>
  <c r="V201"/>
  <c r="K203"/>
  <c r="O203"/>
  <c r="S203"/>
  <c r="V205"/>
  <c r="K207"/>
  <c r="O207"/>
  <c r="S207"/>
  <c r="V209"/>
  <c r="K211"/>
  <c r="O211"/>
  <c r="S211"/>
  <c r="V213"/>
  <c r="K215"/>
  <c r="O215"/>
  <c r="S215"/>
  <c r="V217"/>
  <c r="K219"/>
  <c r="O219"/>
  <c r="S219"/>
  <c r="V221"/>
  <c r="K223"/>
  <c r="O223"/>
  <c r="S223"/>
  <c r="V225"/>
  <c r="K227"/>
  <c r="O227"/>
  <c r="S227"/>
  <c r="V229"/>
  <c r="K231"/>
  <c r="O231"/>
  <c r="S231"/>
  <c r="V233"/>
  <c r="K235"/>
  <c r="O235"/>
  <c r="S235"/>
  <c r="V237"/>
  <c r="K239"/>
  <c r="O239"/>
  <c r="S239"/>
  <c r="V241"/>
  <c r="K243"/>
  <c r="O243"/>
  <c r="S243"/>
  <c r="V245"/>
  <c r="K247"/>
  <c r="O247"/>
  <c r="S247"/>
  <c r="V249"/>
  <c r="L251"/>
  <c r="M251" s="1"/>
  <c r="M252"/>
  <c r="Z254"/>
  <c r="P255"/>
  <c r="K256"/>
  <c r="T256"/>
  <c r="O260"/>
  <c r="K261"/>
  <c r="T261"/>
  <c r="S262"/>
  <c r="M263"/>
  <c r="S263"/>
  <c r="S264"/>
  <c r="O265"/>
  <c r="S265"/>
  <c r="L267"/>
  <c r="M267" s="1"/>
  <c r="M268"/>
  <c r="Z270"/>
  <c r="P271"/>
  <c r="K272"/>
  <c r="T272"/>
  <c r="O276"/>
  <c r="K277"/>
  <c r="T277"/>
  <c r="S278"/>
  <c r="S279"/>
  <c r="S280"/>
  <c r="O281"/>
  <c r="S281"/>
  <c r="L283"/>
  <c r="M283" s="1"/>
  <c r="O285"/>
  <c r="O289"/>
  <c r="L291"/>
  <c r="M291" s="1"/>
  <c r="Z294"/>
  <c r="O300"/>
  <c r="P311"/>
  <c r="T291"/>
  <c r="V293"/>
  <c r="S293"/>
  <c r="T293"/>
  <c r="O309"/>
  <c r="P309"/>
  <c r="V321"/>
  <c r="T321"/>
  <c r="V325"/>
  <c r="T325"/>
  <c r="S259"/>
  <c r="S275"/>
  <c r="K284"/>
  <c r="L284"/>
  <c r="M284" s="1"/>
  <c r="T285"/>
  <c r="V285"/>
  <c r="K288"/>
  <c r="L288"/>
  <c r="M288" s="1"/>
  <c r="V289"/>
  <c r="T289"/>
  <c r="S299"/>
  <c r="V299"/>
  <c r="L300"/>
  <c r="M300" s="1"/>
  <c r="K300"/>
  <c r="S303"/>
  <c r="V303"/>
  <c r="P304"/>
  <c r="O304"/>
  <c r="S308"/>
  <c r="V308"/>
  <c r="K311"/>
  <c r="L311"/>
  <c r="M311" s="1"/>
  <c r="T312"/>
  <c r="M312"/>
  <c r="O315"/>
  <c r="P315"/>
  <c r="V178"/>
  <c r="V182"/>
  <c r="V186"/>
  <c r="V191"/>
  <c r="V195"/>
  <c r="V199"/>
  <c r="V203"/>
  <c r="V207"/>
  <c r="V211"/>
  <c r="V215"/>
  <c r="V219"/>
  <c r="V223"/>
  <c r="V227"/>
  <c r="V231"/>
  <c r="V235"/>
  <c r="V239"/>
  <c r="V243"/>
  <c r="V247"/>
  <c r="O252"/>
  <c r="S255"/>
  <c r="S257"/>
  <c r="L259"/>
  <c r="M259" s="1"/>
  <c r="M260"/>
  <c r="P263"/>
  <c r="K264"/>
  <c r="T264"/>
  <c r="O268"/>
  <c r="S271"/>
  <c r="S273"/>
  <c r="L275"/>
  <c r="M275" s="1"/>
  <c r="M276"/>
  <c r="P279"/>
  <c r="K280"/>
  <c r="T280"/>
  <c r="K285"/>
  <c r="K289"/>
  <c r="P295"/>
  <c r="O305"/>
  <c r="L307"/>
  <c r="M307" s="1"/>
  <c r="Z310"/>
  <c r="O316"/>
  <c r="O293"/>
  <c r="P293"/>
  <c r="T307"/>
  <c r="V309"/>
  <c r="S309"/>
  <c r="T309"/>
  <c r="P321"/>
  <c r="O321"/>
  <c r="P325"/>
  <c r="O325"/>
  <c r="P329"/>
  <c r="O329"/>
  <c r="P333"/>
  <c r="O333"/>
  <c r="P337"/>
  <c r="O337"/>
  <c r="P341"/>
  <c r="O341"/>
  <c r="S251"/>
  <c r="S253"/>
  <c r="V259"/>
  <c r="T265"/>
  <c r="S267"/>
  <c r="S269"/>
  <c r="V275"/>
  <c r="T281"/>
  <c r="S283"/>
  <c r="S287"/>
  <c r="M292"/>
  <c r="S298"/>
  <c r="L328"/>
  <c r="M328" s="1"/>
  <c r="K328"/>
  <c r="V329"/>
  <c r="T329"/>
  <c r="L332"/>
  <c r="M332" s="1"/>
  <c r="K332"/>
  <c r="V333"/>
  <c r="T333"/>
  <c r="L336"/>
  <c r="M336" s="1"/>
  <c r="K336"/>
  <c r="V337"/>
  <c r="T337"/>
  <c r="L340"/>
  <c r="M340" s="1"/>
  <c r="K340"/>
  <c r="V341"/>
  <c r="T341"/>
  <c r="L344"/>
  <c r="M344" s="1"/>
  <c r="K344"/>
  <c r="V345"/>
  <c r="T345"/>
  <c r="L348"/>
  <c r="M348" s="1"/>
  <c r="K348"/>
  <c r="V349"/>
  <c r="T349"/>
  <c r="L352"/>
  <c r="M352" s="1"/>
  <c r="K352"/>
  <c r="V353"/>
  <c r="T353"/>
  <c r="L356"/>
  <c r="M356" s="1"/>
  <c r="K356"/>
  <c r="V357"/>
  <c r="T357"/>
  <c r="L360"/>
  <c r="M360" s="1"/>
  <c r="K360"/>
  <c r="V361"/>
  <c r="T361"/>
  <c r="L364"/>
  <c r="M364" s="1"/>
  <c r="K364"/>
  <c r="V365"/>
  <c r="T365"/>
  <c r="L368"/>
  <c r="M368" s="1"/>
  <c r="K368"/>
  <c r="V369"/>
  <c r="T369"/>
  <c r="L372"/>
  <c r="M372" s="1"/>
  <c r="K372"/>
  <c r="V373"/>
  <c r="T373"/>
  <c r="L376"/>
  <c r="M376" s="1"/>
  <c r="K376"/>
  <c r="V377"/>
  <c r="T377"/>
  <c r="L380"/>
  <c r="M380" s="1"/>
  <c r="K380"/>
  <c r="V381"/>
  <c r="T381"/>
  <c r="L384"/>
  <c r="M384" s="1"/>
  <c r="K384"/>
  <c r="V385"/>
  <c r="T385"/>
  <c r="L388"/>
  <c r="M388" s="1"/>
  <c r="K388"/>
  <c r="V389"/>
  <c r="T389"/>
  <c r="L392"/>
  <c r="M392" s="1"/>
  <c r="K392"/>
  <c r="V393"/>
  <c r="T393"/>
  <c r="L396"/>
  <c r="M396" s="1"/>
  <c r="K396"/>
  <c r="V397"/>
  <c r="T397"/>
  <c r="V400"/>
  <c r="S400"/>
  <c r="L404"/>
  <c r="M404" s="1"/>
  <c r="K404"/>
  <c r="S406"/>
  <c r="Z406"/>
  <c r="P408"/>
  <c r="O408"/>
  <c r="V404"/>
  <c r="S404"/>
  <c r="L408"/>
  <c r="M408" s="1"/>
  <c r="K408"/>
  <c r="S410"/>
  <c r="Z410"/>
  <c r="O292"/>
  <c r="S295"/>
  <c r="S297"/>
  <c r="L299"/>
  <c r="M299" s="1"/>
  <c r="P303"/>
  <c r="K304"/>
  <c r="T304"/>
  <c r="O308"/>
  <c r="S311"/>
  <c r="S313"/>
  <c r="L315"/>
  <c r="M315" s="1"/>
  <c r="S319"/>
  <c r="T320"/>
  <c r="S323"/>
  <c r="T324"/>
  <c r="S327"/>
  <c r="T328"/>
  <c r="S331"/>
  <c r="T332"/>
  <c r="S335"/>
  <c r="T336"/>
  <c r="S339"/>
  <c r="T340"/>
  <c r="S343"/>
  <c r="T344"/>
  <c r="S347"/>
  <c r="T348"/>
  <c r="S351"/>
  <c r="T352"/>
  <c r="S355"/>
  <c r="T356"/>
  <c r="S359"/>
  <c r="T360"/>
  <c r="S363"/>
  <c r="T364"/>
  <c r="S367"/>
  <c r="T368"/>
  <c r="S371"/>
  <c r="T372"/>
  <c r="S375"/>
  <c r="T376"/>
  <c r="S379"/>
  <c r="T380"/>
  <c r="S383"/>
  <c r="T384"/>
  <c r="S387"/>
  <c r="T388"/>
  <c r="S391"/>
  <c r="T392"/>
  <c r="S395"/>
  <c r="T396"/>
  <c r="T400"/>
  <c r="P320"/>
  <c r="O320"/>
  <c r="P324"/>
  <c r="O324"/>
  <c r="P328"/>
  <c r="O328"/>
  <c r="P332"/>
  <c r="O332"/>
  <c r="P336"/>
  <c r="O336"/>
  <c r="P340"/>
  <c r="O340"/>
  <c r="P344"/>
  <c r="O344"/>
  <c r="P348"/>
  <c r="O348"/>
  <c r="P352"/>
  <c r="O352"/>
  <c r="P356"/>
  <c r="O356"/>
  <c r="P360"/>
  <c r="O360"/>
  <c r="P364"/>
  <c r="O364"/>
  <c r="P368"/>
  <c r="O368"/>
  <c r="P372"/>
  <c r="O372"/>
  <c r="P376"/>
  <c r="O376"/>
  <c r="P380"/>
  <c r="O380"/>
  <c r="P384"/>
  <c r="O384"/>
  <c r="P388"/>
  <c r="O388"/>
  <c r="P392"/>
  <c r="O392"/>
  <c r="P396"/>
  <c r="O396"/>
  <c r="S398"/>
  <c r="Z398"/>
  <c r="P400"/>
  <c r="O400"/>
  <c r="V408"/>
  <c r="S408"/>
  <c r="S291"/>
  <c r="S307"/>
  <c r="O345"/>
  <c r="O349"/>
  <c r="O353"/>
  <c r="O357"/>
  <c r="O361"/>
  <c r="O365"/>
  <c r="O369"/>
  <c r="O373"/>
  <c r="O377"/>
  <c r="O381"/>
  <c r="O385"/>
  <c r="O389"/>
  <c r="O393"/>
  <c r="O397"/>
  <c r="M399"/>
  <c r="L400"/>
  <c r="M400" s="1"/>
  <c r="K400"/>
  <c r="S402"/>
  <c r="Z402"/>
  <c r="P404"/>
  <c r="O404"/>
  <c r="V396"/>
  <c r="S397"/>
  <c r="P434"/>
  <c r="O434"/>
  <c r="P438"/>
  <c r="O438"/>
  <c r="P442"/>
  <c r="O442"/>
  <c r="P446"/>
  <c r="O446"/>
  <c r="P450"/>
  <c r="O450"/>
  <c r="P454"/>
  <c r="O454"/>
  <c r="P458"/>
  <c r="O458"/>
  <c r="P462"/>
  <c r="O462"/>
  <c r="P466"/>
  <c r="O466"/>
  <c r="P470"/>
  <c r="O470"/>
  <c r="P474"/>
  <c r="O474"/>
  <c r="L478"/>
  <c r="M478" s="1"/>
  <c r="K478"/>
  <c r="P482"/>
  <c r="O482"/>
  <c r="T401"/>
  <c r="T405"/>
  <c r="T409"/>
  <c r="K412"/>
  <c r="O412"/>
  <c r="S412"/>
  <c r="T413"/>
  <c r="Z414"/>
  <c r="O415"/>
  <c r="S415"/>
  <c r="L417"/>
  <c r="M417" s="1"/>
  <c r="Z420"/>
  <c r="P421"/>
  <c r="K422"/>
  <c r="O426"/>
  <c r="K427"/>
  <c r="T427"/>
  <c r="M429"/>
  <c r="S429"/>
  <c r="S430"/>
  <c r="O431"/>
  <c r="S431"/>
  <c r="L433"/>
  <c r="M433" s="1"/>
  <c r="O435"/>
  <c r="O439"/>
  <c r="O443"/>
  <c r="O447"/>
  <c r="O451"/>
  <c r="O455"/>
  <c r="O459"/>
  <c r="O463"/>
  <c r="O467"/>
  <c r="O471"/>
  <c r="O475"/>
  <c r="V478"/>
  <c r="S478"/>
  <c r="T480"/>
  <c r="M480"/>
  <c r="V481"/>
  <c r="S481"/>
  <c r="S425"/>
  <c r="L434"/>
  <c r="M434" s="1"/>
  <c r="K434"/>
  <c r="V435"/>
  <c r="T435"/>
  <c r="L438"/>
  <c r="M438" s="1"/>
  <c r="K438"/>
  <c r="V439"/>
  <c r="T439"/>
  <c r="L442"/>
  <c r="M442" s="1"/>
  <c r="K442"/>
  <c r="V443"/>
  <c r="T443"/>
  <c r="L446"/>
  <c r="M446" s="1"/>
  <c r="K446"/>
  <c r="V447"/>
  <c r="T447"/>
  <c r="L450"/>
  <c r="M450" s="1"/>
  <c r="K450"/>
  <c r="V451"/>
  <c r="T451"/>
  <c r="L454"/>
  <c r="M454" s="1"/>
  <c r="K454"/>
  <c r="V455"/>
  <c r="T455"/>
  <c r="L458"/>
  <c r="M458" s="1"/>
  <c r="K458"/>
  <c r="V459"/>
  <c r="T459"/>
  <c r="L462"/>
  <c r="M462" s="1"/>
  <c r="K462"/>
  <c r="V463"/>
  <c r="T463"/>
  <c r="L466"/>
  <c r="M466" s="1"/>
  <c r="K466"/>
  <c r="V467"/>
  <c r="T467"/>
  <c r="L470"/>
  <c r="M470" s="1"/>
  <c r="K470"/>
  <c r="V471"/>
  <c r="T471"/>
  <c r="L474"/>
  <c r="M474" s="1"/>
  <c r="K474"/>
  <c r="V475"/>
  <c r="T475"/>
  <c r="V482"/>
  <c r="T482"/>
  <c r="S482"/>
  <c r="S421"/>
  <c r="T430"/>
  <c r="S472"/>
  <c r="T473"/>
  <c r="S476"/>
  <c r="T478"/>
  <c r="P478"/>
  <c r="O478"/>
  <c r="K484"/>
  <c r="L484"/>
  <c r="M484" s="1"/>
  <c r="T485"/>
  <c r="M485"/>
  <c r="T415"/>
  <c r="S417"/>
  <c r="S419"/>
  <c r="L421"/>
  <c r="M421" s="1"/>
  <c r="M422"/>
  <c r="P425"/>
  <c r="V425"/>
  <c r="K426"/>
  <c r="T426"/>
  <c r="O430"/>
  <c r="T431"/>
  <c r="S433"/>
  <c r="T434"/>
  <c r="S437"/>
  <c r="T438"/>
  <c r="S441"/>
  <c r="T442"/>
  <c r="S445"/>
  <c r="T446"/>
  <c r="S449"/>
  <c r="T450"/>
  <c r="S453"/>
  <c r="T454"/>
  <c r="S457"/>
  <c r="T458"/>
  <c r="S461"/>
  <c r="T462"/>
  <c r="S465"/>
  <c r="T466"/>
  <c r="S469"/>
  <c r="T470"/>
  <c r="S473"/>
  <c r="T474"/>
  <c r="M477"/>
  <c r="S477"/>
  <c r="O505"/>
  <c r="P505"/>
  <c r="O509"/>
  <c r="P509"/>
  <c r="O513"/>
  <c r="P513"/>
  <c r="O517"/>
  <c r="P517"/>
  <c r="O521"/>
  <c r="P521"/>
  <c r="O525"/>
  <c r="P525"/>
  <c r="O529"/>
  <c r="P529"/>
  <c r="P534"/>
  <c r="O534"/>
  <c r="T538"/>
  <c r="V538"/>
  <c r="S538"/>
  <c r="P542"/>
  <c r="O542"/>
  <c r="T546"/>
  <c r="V546"/>
  <c r="S546"/>
  <c r="T479"/>
  <c r="S480"/>
  <c r="Z487"/>
  <c r="P488"/>
  <c r="K489"/>
  <c r="O493"/>
  <c r="K494"/>
  <c r="T494"/>
  <c r="S496"/>
  <c r="S497"/>
  <c r="O498"/>
  <c r="S498"/>
  <c r="L500"/>
  <c r="M500" s="1"/>
  <c r="M501"/>
  <c r="O506"/>
  <c r="O510"/>
  <c r="O514"/>
  <c r="O518"/>
  <c r="O522"/>
  <c r="L534"/>
  <c r="M534" s="1"/>
  <c r="K534"/>
  <c r="L542"/>
  <c r="M542" s="1"/>
  <c r="K542"/>
  <c r="S492"/>
  <c r="K505"/>
  <c r="L505"/>
  <c r="M505" s="1"/>
  <c r="T506"/>
  <c r="V506"/>
  <c r="K509"/>
  <c r="L509"/>
  <c r="M509" s="1"/>
  <c r="T510"/>
  <c r="V510"/>
  <c r="K513"/>
  <c r="L513"/>
  <c r="M513" s="1"/>
  <c r="T514"/>
  <c r="V514"/>
  <c r="K517"/>
  <c r="L517"/>
  <c r="M517" s="1"/>
  <c r="T518"/>
  <c r="V518"/>
  <c r="K521"/>
  <c r="L521"/>
  <c r="M521" s="1"/>
  <c r="T522"/>
  <c r="V522"/>
  <c r="K525"/>
  <c r="L525"/>
  <c r="M525" s="1"/>
  <c r="T526"/>
  <c r="V526"/>
  <c r="K529"/>
  <c r="L529"/>
  <c r="M529" s="1"/>
  <c r="T530"/>
  <c r="V530"/>
  <c r="T534"/>
  <c r="V534"/>
  <c r="S534"/>
  <c r="P538"/>
  <c r="O538"/>
  <c r="T542"/>
  <c r="V542"/>
  <c r="S542"/>
  <c r="P546"/>
  <c r="O546"/>
  <c r="T481"/>
  <c r="S488"/>
  <c r="T497"/>
  <c r="S503"/>
  <c r="S511"/>
  <c r="S515"/>
  <c r="T516"/>
  <c r="S519"/>
  <c r="T520"/>
  <c r="S523"/>
  <c r="T524"/>
  <c r="S527"/>
  <c r="T528"/>
  <c r="S531"/>
  <c r="S536"/>
  <c r="S544"/>
  <c r="L538"/>
  <c r="M538" s="1"/>
  <c r="K538"/>
  <c r="L546"/>
  <c r="M546" s="1"/>
  <c r="K546"/>
  <c r="O481"/>
  <c r="S484"/>
  <c r="S486"/>
  <c r="L488"/>
  <c r="M488" s="1"/>
  <c r="M489"/>
  <c r="P492"/>
  <c r="V492"/>
  <c r="K493"/>
  <c r="T493"/>
  <c r="O497"/>
  <c r="T498"/>
  <c r="S500"/>
  <c r="S502"/>
  <c r="S504"/>
  <c r="T505"/>
  <c r="S508"/>
  <c r="T509"/>
  <c r="S512"/>
  <c r="T513"/>
  <c r="S516"/>
  <c r="T517"/>
  <c r="S520"/>
  <c r="T521"/>
  <c r="S524"/>
  <c r="T525"/>
  <c r="S528"/>
  <c r="K550"/>
  <c r="O550"/>
  <c r="S550"/>
  <c r="K554"/>
  <c r="O554"/>
  <c r="S554"/>
  <c r="K558"/>
  <c r="O558"/>
  <c r="S558"/>
  <c r="K562"/>
  <c r="O562"/>
  <c r="S562"/>
  <c r="K566"/>
  <c r="O566"/>
  <c r="S566"/>
  <c r="V568"/>
  <c r="K570"/>
  <c r="O570"/>
  <c r="S570"/>
  <c r="V572"/>
  <c r="S571"/>
  <c r="L572"/>
  <c r="M572" s="1"/>
  <c r="P572"/>
  <c r="T572"/>
  <c r="L533"/>
  <c r="M533" s="1"/>
  <c r="P533"/>
  <c r="L537"/>
  <c r="M537" s="1"/>
  <c r="P537"/>
  <c r="L541"/>
  <c r="M541" s="1"/>
  <c r="P541"/>
  <c r="L545"/>
  <c r="M545" s="1"/>
  <c r="P545"/>
  <c r="L549"/>
  <c r="M549" s="1"/>
  <c r="P549"/>
  <c r="V550"/>
  <c r="L553"/>
  <c r="M553" s="1"/>
  <c r="P553"/>
  <c r="V554"/>
  <c r="L557"/>
  <c r="M557" s="1"/>
  <c r="P557"/>
  <c r="V558"/>
  <c r="L561"/>
  <c r="M561" s="1"/>
  <c r="P561"/>
  <c r="V562"/>
  <c r="L565"/>
  <c r="M565" s="1"/>
  <c r="P565"/>
  <c r="V566"/>
  <c r="L569"/>
  <c r="M569" s="1"/>
  <c r="P569"/>
  <c r="V570"/>
  <c r="K9" i="6"/>
  <c r="L9"/>
  <c r="M9" s="1"/>
  <c r="M190"/>
  <c r="M186"/>
  <c r="M182"/>
  <c r="M158"/>
  <c r="M150"/>
  <c r="M146"/>
  <c r="M126"/>
  <c r="M118"/>
  <c r="M114"/>
  <c r="M110"/>
  <c r="M106"/>
  <c r="M98"/>
  <c r="M90"/>
  <c r="M86"/>
  <c r="M66"/>
  <c r="M58"/>
  <c r="M54"/>
  <c r="M42"/>
  <c r="M38"/>
  <c r="M22"/>
  <c r="M6"/>
  <c r="M183"/>
  <c r="M175"/>
  <c r="M171"/>
  <c r="M163"/>
  <c r="M143"/>
  <c r="M139"/>
  <c r="M123"/>
  <c r="M115"/>
  <c r="M95"/>
  <c r="M87"/>
  <c r="M79"/>
  <c r="M71"/>
  <c r="M63"/>
  <c r="M55"/>
  <c r="M39"/>
  <c r="M27"/>
  <c r="M11"/>
  <c r="M244"/>
  <c r="M228"/>
  <c r="M212"/>
  <c r="M196"/>
  <c r="M180"/>
  <c r="M164"/>
  <c r="M136"/>
  <c r="M132"/>
  <c r="M120"/>
  <c r="M100"/>
  <c r="M88"/>
  <c r="M72"/>
  <c r="M56"/>
  <c r="T8"/>
  <c r="T188"/>
  <c r="T164"/>
  <c r="T156"/>
  <c r="T132"/>
  <c r="T124"/>
  <c r="T100"/>
  <c r="T92"/>
  <c r="T68"/>
  <c r="T60"/>
  <c r="T52"/>
  <c r="T44"/>
  <c r="T36"/>
  <c r="T28"/>
  <c r="T20"/>
  <c r="M174"/>
  <c r="M102"/>
  <c r="M82"/>
  <c r="M70"/>
  <c r="M50"/>
  <c r="M14"/>
  <c r="T180"/>
  <c r="T148"/>
  <c r="T116"/>
  <c r="T84"/>
  <c r="V188"/>
  <c r="V164"/>
  <c r="V156"/>
  <c r="V132"/>
  <c r="V124"/>
  <c r="V100"/>
  <c r="V92"/>
  <c r="V20"/>
  <c r="M30"/>
  <c r="T192"/>
  <c r="T184"/>
  <c r="T176"/>
  <c r="T168"/>
  <c r="T160"/>
  <c r="T152"/>
  <c r="T144"/>
  <c r="T136"/>
  <c r="T128"/>
  <c r="T120"/>
  <c r="T112"/>
  <c r="T104"/>
  <c r="T96"/>
  <c r="T88"/>
  <c r="T80"/>
  <c r="T72"/>
  <c r="T64"/>
  <c r="M107"/>
  <c r="M47"/>
  <c r="T265"/>
  <c r="T261"/>
  <c r="T255"/>
  <c r="T251"/>
  <c r="T247"/>
  <c r="T239"/>
  <c r="T235"/>
  <c r="T231"/>
  <c r="T223"/>
  <c r="T219"/>
  <c r="T215"/>
  <c r="T207"/>
  <c r="T203"/>
  <c r="T199"/>
  <c r="T191"/>
  <c r="T187"/>
  <c r="M264"/>
  <c r="M232"/>
  <c r="M216"/>
  <c r="M200"/>
  <c r="M152"/>
  <c r="T183"/>
  <c r="T175"/>
  <c r="T171"/>
  <c r="T167"/>
  <c r="T159"/>
  <c r="T155"/>
  <c r="T151"/>
  <c r="T143"/>
  <c r="T139"/>
  <c r="T135"/>
  <c r="T127"/>
  <c r="T123"/>
  <c r="T119"/>
  <c r="T111"/>
  <c r="T107"/>
  <c r="M77"/>
  <c r="T103"/>
  <c r="T95"/>
  <c r="T91"/>
  <c r="T87"/>
  <c r="T79"/>
  <c r="T75"/>
  <c r="T71"/>
  <c r="V255"/>
  <c r="T131"/>
  <c r="V127"/>
  <c r="T195"/>
  <c r="V191"/>
  <c r="T67"/>
  <c r="T63"/>
  <c r="T59"/>
  <c r="T55"/>
  <c r="T47"/>
  <c r="T43"/>
  <c r="T39"/>
  <c r="T31"/>
  <c r="T27"/>
  <c r="T23"/>
  <c r="T15"/>
  <c r="T11"/>
  <c r="T211"/>
  <c r="T147"/>
  <c r="T83"/>
  <c r="V207"/>
  <c r="V143"/>
  <c r="V79"/>
  <c r="T267"/>
  <c r="T227"/>
  <c r="T163"/>
  <c r="T99"/>
  <c r="T35"/>
  <c r="V223"/>
  <c r="V159"/>
  <c r="V95"/>
  <c r="V31"/>
  <c r="T263"/>
  <c r="T243"/>
  <c r="T179"/>
  <c r="T115"/>
  <c r="T51"/>
  <c r="V239"/>
  <c r="V175"/>
  <c r="V111"/>
  <c r="V47"/>
  <c r="V15"/>
  <c r="T19"/>
  <c r="T7"/>
  <c r="V251"/>
  <c r="V235"/>
  <c r="V219"/>
  <c r="V203"/>
  <c r="V187"/>
  <c r="V171"/>
  <c r="V155"/>
  <c r="V139"/>
  <c r="V123"/>
  <c r="V107"/>
  <c r="V91"/>
  <c r="V75"/>
  <c r="V59"/>
  <c r="V43"/>
  <c r="V27"/>
  <c r="V11"/>
  <c r="V247"/>
  <c r="V231"/>
  <c r="V215"/>
  <c r="V199"/>
  <c r="V183"/>
  <c r="V167"/>
  <c r="V151"/>
  <c r="V135"/>
  <c r="V119"/>
  <c r="V103"/>
  <c r="V87"/>
  <c r="V71"/>
  <c r="V55"/>
  <c r="V39"/>
  <c r="V23"/>
  <c r="Y6"/>
  <c r="T6"/>
  <c r="O565"/>
  <c r="O549"/>
  <c r="O533"/>
  <c r="O517"/>
  <c r="O501"/>
  <c r="O485"/>
  <c r="O469"/>
  <c r="O453"/>
  <c r="O437"/>
  <c r="O411"/>
  <c r="O367"/>
  <c r="O323"/>
  <c r="O283"/>
  <c r="P543"/>
  <c r="P499"/>
  <c r="P459"/>
  <c r="P415"/>
  <c r="P371"/>
  <c r="P331"/>
  <c r="P287"/>
  <c r="O567"/>
  <c r="O551"/>
  <c r="O535"/>
  <c r="O519"/>
  <c r="O503"/>
  <c r="O487"/>
  <c r="O471"/>
  <c r="O455"/>
  <c r="O439"/>
  <c r="P547"/>
  <c r="P507"/>
  <c r="P463"/>
  <c r="P419"/>
  <c r="P379"/>
  <c r="P335"/>
  <c r="P291"/>
  <c r="O557"/>
  <c r="O541"/>
  <c r="O525"/>
  <c r="O509"/>
  <c r="O493"/>
  <c r="O477"/>
  <c r="O461"/>
  <c r="O445"/>
  <c r="O429"/>
  <c r="O387"/>
  <c r="O347"/>
  <c r="O303"/>
  <c r="P563"/>
  <c r="P523"/>
  <c r="P479"/>
  <c r="P435"/>
  <c r="P395"/>
  <c r="P351"/>
  <c r="P307"/>
  <c r="O559"/>
  <c r="O527"/>
  <c r="O511"/>
  <c r="O495"/>
  <c r="O447"/>
  <c r="O431"/>
  <c r="P571"/>
  <c r="P483"/>
  <c r="P443"/>
  <c r="P399"/>
  <c r="P355"/>
  <c r="P315"/>
  <c r="P271"/>
  <c r="O569"/>
  <c r="O561"/>
  <c r="O553"/>
  <c r="O545"/>
  <c r="O537"/>
  <c r="O529"/>
  <c r="O521"/>
  <c r="O513"/>
  <c r="O505"/>
  <c r="O497"/>
  <c r="O489"/>
  <c r="O481"/>
  <c r="O473"/>
  <c r="O465"/>
  <c r="O457"/>
  <c r="O449"/>
  <c r="O441"/>
  <c r="O433"/>
  <c r="P555"/>
  <c r="P531"/>
  <c r="P491"/>
  <c r="P467"/>
  <c r="P427"/>
  <c r="P403"/>
  <c r="P383"/>
  <c r="P363"/>
  <c r="P339"/>
  <c r="P319"/>
  <c r="P299"/>
  <c r="P275"/>
  <c r="O539"/>
  <c r="O515"/>
  <c r="O475"/>
  <c r="O451"/>
  <c r="M3"/>
  <c r="O255"/>
  <c r="O235"/>
  <c r="O211"/>
  <c r="O191"/>
  <c r="O171"/>
  <c r="O147"/>
  <c r="O127"/>
  <c r="O107"/>
  <c r="O83"/>
  <c r="O63"/>
  <c r="O259"/>
  <c r="O239"/>
  <c r="O219"/>
  <c r="O195"/>
  <c r="O175"/>
  <c r="O155"/>
  <c r="O131"/>
  <c r="O111"/>
  <c r="O91"/>
  <c r="O67"/>
  <c r="O267"/>
  <c r="O243"/>
  <c r="O223"/>
  <c r="O203"/>
  <c r="O179"/>
  <c r="O159"/>
  <c r="O139"/>
  <c r="O115"/>
  <c r="O95"/>
  <c r="O75"/>
  <c r="O251"/>
  <c r="O227"/>
  <c r="O207"/>
  <c r="O187"/>
  <c r="O163"/>
  <c r="O143"/>
  <c r="O123"/>
  <c r="O99"/>
  <c r="O79"/>
  <c r="O422"/>
  <c r="O416"/>
  <c r="O406"/>
  <c r="O400"/>
  <c r="O390"/>
  <c r="O384"/>
  <c r="O374"/>
  <c r="O368"/>
  <c r="O358"/>
  <c r="O352"/>
  <c r="O342"/>
  <c r="O336"/>
  <c r="O326"/>
  <c r="O320"/>
  <c r="O310"/>
  <c r="O304"/>
  <c r="O294"/>
  <c r="O288"/>
  <c r="O278"/>
  <c r="O272"/>
  <c r="O262"/>
  <c r="O256"/>
  <c r="O246"/>
  <c r="O240"/>
  <c r="O230"/>
  <c r="O224"/>
  <c r="O214"/>
  <c r="O208"/>
  <c r="O198"/>
  <c r="O192"/>
  <c r="O182"/>
  <c r="O176"/>
  <c r="O166"/>
  <c r="O160"/>
  <c r="O150"/>
  <c r="O144"/>
  <c r="O134"/>
  <c r="O128"/>
  <c r="O118"/>
  <c r="O112"/>
  <c r="O102"/>
  <c r="O96"/>
  <c r="O86"/>
  <c r="O80"/>
  <c r="O70"/>
  <c r="O64"/>
  <c r="P566"/>
  <c r="P560"/>
  <c r="P550"/>
  <c r="P544"/>
  <c r="P534"/>
  <c r="P528"/>
  <c r="P518"/>
  <c r="P512"/>
  <c r="P502"/>
  <c r="P496"/>
  <c r="P486"/>
  <c r="P480"/>
  <c r="P470"/>
  <c r="P464"/>
  <c r="P454"/>
  <c r="P448"/>
  <c r="P438"/>
  <c r="P432"/>
  <c r="S567"/>
  <c r="S551"/>
  <c r="S535"/>
  <c r="S519"/>
  <c r="S503"/>
  <c r="S487"/>
  <c r="S471"/>
  <c r="S455"/>
  <c r="S439"/>
  <c r="S423"/>
  <c r="S407"/>
  <c r="S391"/>
  <c r="S375"/>
  <c r="S359"/>
  <c r="S343"/>
  <c r="S327"/>
  <c r="S311"/>
  <c r="S295"/>
  <c r="S279"/>
  <c r="S263"/>
  <c r="S247"/>
  <c r="S231"/>
  <c r="S215"/>
  <c r="S199"/>
  <c r="S183"/>
  <c r="S167"/>
  <c r="S151"/>
  <c r="S135"/>
  <c r="S119"/>
  <c r="S103"/>
  <c r="S87"/>
  <c r="S71"/>
  <c r="S55"/>
  <c r="S39"/>
  <c r="S23"/>
  <c r="S7"/>
  <c r="O572"/>
  <c r="O568"/>
  <c r="O564"/>
  <c r="O556"/>
  <c r="O552"/>
  <c r="O548"/>
  <c r="O540"/>
  <c r="O536"/>
  <c r="O532"/>
  <c r="O524"/>
  <c r="O520"/>
  <c r="O516"/>
  <c r="O508"/>
  <c r="O504"/>
  <c r="O500"/>
  <c r="O492"/>
  <c r="O488"/>
  <c r="O484"/>
  <c r="O476"/>
  <c r="O472"/>
  <c r="O468"/>
  <c r="O460"/>
  <c r="O456"/>
  <c r="O452"/>
  <c r="O444"/>
  <c r="O440"/>
  <c r="O436"/>
  <c r="O428"/>
  <c r="O423"/>
  <c r="O418"/>
  <c r="O412"/>
  <c r="O407"/>
  <c r="O402"/>
  <c r="O396"/>
  <c r="O391"/>
  <c r="O386"/>
  <c r="O380"/>
  <c r="O375"/>
  <c r="O370"/>
  <c r="O364"/>
  <c r="O359"/>
  <c r="O354"/>
  <c r="O348"/>
  <c r="O343"/>
  <c r="O338"/>
  <c r="O332"/>
  <c r="O327"/>
  <c r="O322"/>
  <c r="O316"/>
  <c r="O311"/>
  <c r="O306"/>
  <c r="O300"/>
  <c r="O295"/>
  <c r="O290"/>
  <c r="O284"/>
  <c r="O279"/>
  <c r="O274"/>
  <c r="O268"/>
  <c r="O263"/>
  <c r="O258"/>
  <c r="O252"/>
  <c r="O247"/>
  <c r="O242"/>
  <c r="O236"/>
  <c r="O231"/>
  <c r="O226"/>
  <c r="O220"/>
  <c r="O215"/>
  <c r="O210"/>
  <c r="O204"/>
  <c r="O199"/>
  <c r="O194"/>
  <c r="O188"/>
  <c r="O183"/>
  <c r="O178"/>
  <c r="O172"/>
  <c r="O167"/>
  <c r="O162"/>
  <c r="O156"/>
  <c r="O151"/>
  <c r="O146"/>
  <c r="O140"/>
  <c r="O135"/>
  <c r="O130"/>
  <c r="O124"/>
  <c r="O119"/>
  <c r="O114"/>
  <c r="O108"/>
  <c r="O103"/>
  <c r="O98"/>
  <c r="O92"/>
  <c r="O87"/>
  <c r="O82"/>
  <c r="O76"/>
  <c r="O71"/>
  <c r="O66"/>
  <c r="P562"/>
  <c r="P546"/>
  <c r="P530"/>
  <c r="P514"/>
  <c r="P498"/>
  <c r="P482"/>
  <c r="P466"/>
  <c r="P450"/>
  <c r="P434"/>
  <c r="T257"/>
  <c r="T253"/>
  <c r="T249"/>
  <c r="T245"/>
  <c r="T241"/>
  <c r="T237"/>
  <c r="T233"/>
  <c r="T229"/>
  <c r="T225"/>
  <c r="T221"/>
  <c r="T217"/>
  <c r="T213"/>
  <c r="T209"/>
  <c r="T205"/>
  <c r="T201"/>
  <c r="T197"/>
  <c r="T193"/>
  <c r="T189"/>
  <c r="T185"/>
  <c r="T181"/>
  <c r="T177"/>
  <c r="T173"/>
  <c r="T169"/>
  <c r="T165"/>
  <c r="S571"/>
  <c r="S555"/>
  <c r="S539"/>
  <c r="S523"/>
  <c r="S507"/>
  <c r="S491"/>
  <c r="S475"/>
  <c r="S459"/>
  <c r="S443"/>
  <c r="S427"/>
  <c r="S411"/>
  <c r="S395"/>
  <c r="S379"/>
  <c r="S363"/>
  <c r="S347"/>
  <c r="S331"/>
  <c r="S315"/>
  <c r="S299"/>
  <c r="S283"/>
  <c r="S267"/>
  <c r="S251"/>
  <c r="S235"/>
  <c r="S219"/>
  <c r="S203"/>
  <c r="S187"/>
  <c r="S171"/>
  <c r="S155"/>
  <c r="S139"/>
  <c r="S123"/>
  <c r="S107"/>
  <c r="S91"/>
  <c r="S75"/>
  <c r="S59"/>
  <c r="S43"/>
  <c r="S27"/>
  <c r="S11"/>
  <c r="O424"/>
  <c r="O414"/>
  <c r="O408"/>
  <c r="O398"/>
  <c r="O392"/>
  <c r="O382"/>
  <c r="O376"/>
  <c r="O366"/>
  <c r="O360"/>
  <c r="O350"/>
  <c r="O344"/>
  <c r="O334"/>
  <c r="O328"/>
  <c r="O318"/>
  <c r="O312"/>
  <c r="O302"/>
  <c r="O296"/>
  <c r="O286"/>
  <c r="O280"/>
  <c r="O270"/>
  <c r="O264"/>
  <c r="O254"/>
  <c r="O248"/>
  <c r="O238"/>
  <c r="O232"/>
  <c r="O222"/>
  <c r="O216"/>
  <c r="O206"/>
  <c r="O200"/>
  <c r="O190"/>
  <c r="O184"/>
  <c r="O174"/>
  <c r="O168"/>
  <c r="O158"/>
  <c r="O152"/>
  <c r="O142"/>
  <c r="O136"/>
  <c r="O126"/>
  <c r="O120"/>
  <c r="O110"/>
  <c r="O104"/>
  <c r="O94"/>
  <c r="O88"/>
  <c r="O78"/>
  <c r="O72"/>
  <c r="O62"/>
  <c r="P558"/>
  <c r="P542"/>
  <c r="P526"/>
  <c r="P510"/>
  <c r="P494"/>
  <c r="P478"/>
  <c r="P462"/>
  <c r="P446"/>
  <c r="P430"/>
  <c r="S560"/>
  <c r="S544"/>
  <c r="S528"/>
  <c r="S512"/>
  <c r="S496"/>
  <c r="S480"/>
  <c r="S464"/>
  <c r="S448"/>
  <c r="S432"/>
  <c r="S416"/>
  <c r="S400"/>
  <c r="S384"/>
  <c r="S368"/>
  <c r="S352"/>
  <c r="S336"/>
  <c r="S320"/>
  <c r="S304"/>
  <c r="S288"/>
  <c r="S272"/>
  <c r="S256"/>
  <c r="S240"/>
  <c r="S224"/>
  <c r="S208"/>
  <c r="S192"/>
  <c r="S176"/>
  <c r="S160"/>
  <c r="S144"/>
  <c r="S128"/>
  <c r="S112"/>
  <c r="S96"/>
  <c r="S80"/>
  <c r="S64"/>
  <c r="S48"/>
  <c r="S32"/>
  <c r="S16"/>
  <c r="S559"/>
  <c r="S543"/>
  <c r="S527"/>
  <c r="S511"/>
  <c r="S495"/>
  <c r="S479"/>
  <c r="S463"/>
  <c r="S447"/>
  <c r="S431"/>
  <c r="S415"/>
  <c r="S399"/>
  <c r="S383"/>
  <c r="S367"/>
  <c r="S351"/>
  <c r="S335"/>
  <c r="S319"/>
  <c r="S303"/>
  <c r="S287"/>
  <c r="S271"/>
  <c r="S255"/>
  <c r="S239"/>
  <c r="S223"/>
  <c r="S207"/>
  <c r="S191"/>
  <c r="S175"/>
  <c r="S159"/>
  <c r="S143"/>
  <c r="S127"/>
  <c r="S111"/>
  <c r="S95"/>
  <c r="S79"/>
  <c r="S63"/>
  <c r="S47"/>
  <c r="S31"/>
  <c r="S15"/>
  <c r="P425"/>
  <c r="O425"/>
  <c r="P421"/>
  <c r="O421"/>
  <c r="P417"/>
  <c r="O417"/>
  <c r="P413"/>
  <c r="O413"/>
  <c r="P409"/>
  <c r="O409"/>
  <c r="P405"/>
  <c r="O405"/>
  <c r="P401"/>
  <c r="O401"/>
  <c r="P397"/>
  <c r="O397"/>
  <c r="P393"/>
  <c r="O393"/>
  <c r="P389"/>
  <c r="O389"/>
  <c r="P385"/>
  <c r="O385"/>
  <c r="P381"/>
  <c r="O381"/>
  <c r="P377"/>
  <c r="O377"/>
  <c r="P373"/>
  <c r="O373"/>
  <c r="P369"/>
  <c r="O369"/>
  <c r="P365"/>
  <c r="O365"/>
  <c r="P361"/>
  <c r="O361"/>
  <c r="P357"/>
  <c r="O357"/>
  <c r="P353"/>
  <c r="O353"/>
  <c r="P349"/>
  <c r="O349"/>
  <c r="P345"/>
  <c r="O345"/>
  <c r="P341"/>
  <c r="O341"/>
  <c r="P337"/>
  <c r="O337"/>
  <c r="P333"/>
  <c r="O333"/>
  <c r="P329"/>
  <c r="O329"/>
  <c r="P325"/>
  <c r="O325"/>
  <c r="P321"/>
  <c r="O321"/>
  <c r="P317"/>
  <c r="O317"/>
  <c r="P313"/>
  <c r="O313"/>
  <c r="P309"/>
  <c r="O309"/>
  <c r="P305"/>
  <c r="O305"/>
  <c r="P301"/>
  <c r="O301"/>
  <c r="P297"/>
  <c r="O297"/>
  <c r="P293"/>
  <c r="O293"/>
  <c r="P289"/>
  <c r="O289"/>
  <c r="P285"/>
  <c r="O285"/>
  <c r="P281"/>
  <c r="O281"/>
  <c r="P277"/>
  <c r="O277"/>
  <c r="P273"/>
  <c r="O273"/>
  <c r="P269"/>
  <c r="O269"/>
  <c r="P265"/>
  <c r="O265"/>
  <c r="P261"/>
  <c r="O261"/>
  <c r="P257"/>
  <c r="O257"/>
  <c r="P253"/>
  <c r="O253"/>
  <c r="P249"/>
  <c r="O249"/>
  <c r="P245"/>
  <c r="O245"/>
  <c r="P241"/>
  <c r="O241"/>
  <c r="P237"/>
  <c r="O237"/>
  <c r="P233"/>
  <c r="O233"/>
  <c r="P229"/>
  <c r="O229"/>
  <c r="P225"/>
  <c r="O225"/>
  <c r="P221"/>
  <c r="O221"/>
  <c r="P217"/>
  <c r="O217"/>
  <c r="P213"/>
  <c r="O213"/>
  <c r="P209"/>
  <c r="O209"/>
  <c r="P205"/>
  <c r="O205"/>
  <c r="P201"/>
  <c r="O201"/>
  <c r="P197"/>
  <c r="O197"/>
  <c r="P193"/>
  <c r="O193"/>
  <c r="P189"/>
  <c r="O189"/>
  <c r="P185"/>
  <c r="O185"/>
  <c r="P181"/>
  <c r="O181"/>
  <c r="P177"/>
  <c r="O177"/>
  <c r="P173"/>
  <c r="O173"/>
  <c r="P169"/>
  <c r="O169"/>
  <c r="P165"/>
  <c r="O165"/>
  <c r="P161"/>
  <c r="O161"/>
  <c r="P157"/>
  <c r="O157"/>
  <c r="P153"/>
  <c r="O153"/>
  <c r="P149"/>
  <c r="O149"/>
  <c r="P145"/>
  <c r="O145"/>
  <c r="P141"/>
  <c r="O141"/>
  <c r="P137"/>
  <c r="O137"/>
  <c r="P133"/>
  <c r="O133"/>
  <c r="P129"/>
  <c r="O129"/>
  <c r="P125"/>
  <c r="O125"/>
  <c r="P121"/>
  <c r="O121"/>
  <c r="P117"/>
  <c r="O117"/>
  <c r="P113"/>
  <c r="O113"/>
  <c r="P109"/>
  <c r="O109"/>
  <c r="P105"/>
  <c r="O105"/>
  <c r="P101"/>
  <c r="O101"/>
  <c r="P97"/>
  <c r="O97"/>
  <c r="P93"/>
  <c r="O93"/>
  <c r="P89"/>
  <c r="O89"/>
  <c r="P85"/>
  <c r="O85"/>
  <c r="P81"/>
  <c r="O81"/>
  <c r="P77"/>
  <c r="O77"/>
  <c r="P73"/>
  <c r="O73"/>
  <c r="P69"/>
  <c r="O69"/>
  <c r="P65"/>
  <c r="O65"/>
  <c r="P61"/>
  <c r="O61"/>
  <c r="V3"/>
  <c r="S3"/>
  <c r="V569"/>
  <c r="S569"/>
  <c r="V565"/>
  <c r="S565"/>
  <c r="V561"/>
  <c r="S561"/>
  <c r="V557"/>
  <c r="S557"/>
  <c r="V553"/>
  <c r="S553"/>
  <c r="V549"/>
  <c r="S549"/>
  <c r="V545"/>
  <c r="S545"/>
  <c r="V541"/>
  <c r="S541"/>
  <c r="V537"/>
  <c r="S537"/>
  <c r="V533"/>
  <c r="S533"/>
  <c r="V529"/>
  <c r="S529"/>
  <c r="V525"/>
  <c r="S525"/>
  <c r="V521"/>
  <c r="S521"/>
  <c r="V517"/>
  <c r="S517"/>
  <c r="V513"/>
  <c r="S513"/>
  <c r="V509"/>
  <c r="S509"/>
  <c r="V505"/>
  <c r="S505"/>
  <c r="V501"/>
  <c r="S501"/>
  <c r="V497"/>
  <c r="S497"/>
  <c r="V493"/>
  <c r="S493"/>
  <c r="V489"/>
  <c r="S489"/>
  <c r="V485"/>
  <c r="S485"/>
  <c r="V481"/>
  <c r="S481"/>
  <c r="V477"/>
  <c r="S477"/>
  <c r="V473"/>
  <c r="S473"/>
  <c r="V469"/>
  <c r="S469"/>
  <c r="V465"/>
  <c r="S465"/>
  <c r="V461"/>
  <c r="S461"/>
  <c r="V457"/>
  <c r="S457"/>
  <c r="V453"/>
  <c r="S453"/>
  <c r="V449"/>
  <c r="S449"/>
  <c r="V445"/>
  <c r="S445"/>
  <c r="V441"/>
  <c r="S441"/>
  <c r="V437"/>
  <c r="S437"/>
  <c r="V433"/>
  <c r="S433"/>
  <c r="V429"/>
  <c r="S429"/>
  <c r="V425"/>
  <c r="S425"/>
  <c r="V421"/>
  <c r="S421"/>
  <c r="V417"/>
  <c r="S417"/>
  <c r="V413"/>
  <c r="S413"/>
  <c r="V409"/>
  <c r="S409"/>
  <c r="V405"/>
  <c r="S405"/>
  <c r="V401"/>
  <c r="S401"/>
  <c r="V397"/>
  <c r="S397"/>
  <c r="V393"/>
  <c r="S393"/>
  <c r="V389"/>
  <c r="S389"/>
  <c r="V385"/>
  <c r="S385"/>
  <c r="V381"/>
  <c r="S381"/>
  <c r="V377"/>
  <c r="S377"/>
  <c r="V373"/>
  <c r="S373"/>
  <c r="V369"/>
  <c r="S369"/>
  <c r="V365"/>
  <c r="S365"/>
  <c r="V361"/>
  <c r="S361"/>
  <c r="V357"/>
  <c r="S357"/>
  <c r="V353"/>
  <c r="S353"/>
  <c r="V349"/>
  <c r="S349"/>
  <c r="V345"/>
  <c r="S345"/>
  <c r="V341"/>
  <c r="S341"/>
  <c r="V337"/>
  <c r="S337"/>
  <c r="V333"/>
  <c r="S333"/>
  <c r="V329"/>
  <c r="S329"/>
  <c r="V325"/>
  <c r="S325"/>
  <c r="V321"/>
  <c r="S321"/>
  <c r="V317"/>
  <c r="S317"/>
  <c r="V313"/>
  <c r="S313"/>
  <c r="V309"/>
  <c r="S309"/>
  <c r="V305"/>
  <c r="S305"/>
  <c r="V301"/>
  <c r="S301"/>
  <c r="V297"/>
  <c r="S297"/>
  <c r="V293"/>
  <c r="S293"/>
  <c r="V289"/>
  <c r="S289"/>
  <c r="V285"/>
  <c r="S285"/>
  <c r="V281"/>
  <c r="S281"/>
  <c r="V277"/>
  <c r="S277"/>
  <c r="V273"/>
  <c r="S273"/>
  <c r="V269"/>
  <c r="S269"/>
  <c r="V265"/>
  <c r="S265"/>
  <c r="V261"/>
  <c r="S261"/>
  <c r="V257"/>
  <c r="S257"/>
  <c r="V253"/>
  <c r="S253"/>
  <c r="V249"/>
  <c r="S249"/>
  <c r="V245"/>
  <c r="S245"/>
  <c r="V241"/>
  <c r="S241"/>
  <c r="V237"/>
  <c r="S237"/>
  <c r="V233"/>
  <c r="S233"/>
  <c r="V229"/>
  <c r="S229"/>
  <c r="V225"/>
  <c r="S225"/>
  <c r="V221"/>
  <c r="S221"/>
  <c r="V217"/>
  <c r="S217"/>
  <c r="V213"/>
  <c r="S213"/>
  <c r="V209"/>
  <c r="S209"/>
  <c r="V205"/>
  <c r="S205"/>
  <c r="V201"/>
  <c r="S201"/>
  <c r="V197"/>
  <c r="S197"/>
  <c r="V193"/>
  <c r="S193"/>
  <c r="V189"/>
  <c r="S189"/>
  <c r="V185"/>
  <c r="S185"/>
  <c r="V181"/>
  <c r="S181"/>
  <c r="V177"/>
  <c r="S177"/>
  <c r="V173"/>
  <c r="S173"/>
  <c r="V169"/>
  <c r="S169"/>
  <c r="V165"/>
  <c r="S165"/>
  <c r="V161"/>
  <c r="S161"/>
  <c r="V157"/>
  <c r="S157"/>
  <c r="V153"/>
  <c r="S153"/>
  <c r="V149"/>
  <c r="S149"/>
  <c r="V145"/>
  <c r="S145"/>
  <c r="V141"/>
  <c r="S141"/>
  <c r="V137"/>
  <c r="S137"/>
  <c r="V133"/>
  <c r="S133"/>
  <c r="V129"/>
  <c r="S129"/>
  <c r="V125"/>
  <c r="S125"/>
  <c r="V121"/>
  <c r="S121"/>
  <c r="V117"/>
  <c r="S117"/>
  <c r="V113"/>
  <c r="S113"/>
  <c r="V109"/>
  <c r="S109"/>
  <c r="V105"/>
  <c r="S105"/>
  <c r="V101"/>
  <c r="S101"/>
  <c r="V97"/>
  <c r="S97"/>
  <c r="V93"/>
  <c r="S93"/>
  <c r="V89"/>
  <c r="S89"/>
  <c r="V85"/>
  <c r="S85"/>
  <c r="V81"/>
  <c r="S81"/>
  <c r="V77"/>
  <c r="S77"/>
  <c r="V73"/>
  <c r="S73"/>
  <c r="V69"/>
  <c r="S69"/>
  <c r="V65"/>
  <c r="S65"/>
  <c r="V61"/>
  <c r="S61"/>
  <c r="V57"/>
  <c r="S57"/>
  <c r="V53"/>
  <c r="S53"/>
  <c r="V49"/>
  <c r="S49"/>
  <c r="V45"/>
  <c r="S45"/>
  <c r="V41"/>
  <c r="S41"/>
  <c r="V37"/>
  <c r="S37"/>
  <c r="V33"/>
  <c r="S33"/>
  <c r="V29"/>
  <c r="S29"/>
  <c r="V25"/>
  <c r="S25"/>
  <c r="V21"/>
  <c r="S21"/>
  <c r="V17"/>
  <c r="S17"/>
  <c r="V13"/>
  <c r="S13"/>
  <c r="V9"/>
  <c r="S9"/>
  <c r="V5"/>
  <c r="S5"/>
  <c r="O570"/>
  <c r="O554"/>
  <c r="O538"/>
  <c r="O522"/>
  <c r="O506"/>
  <c r="O490"/>
  <c r="O474"/>
  <c r="O458"/>
  <c r="O442"/>
  <c r="O426"/>
  <c r="O420"/>
  <c r="O410"/>
  <c r="O404"/>
  <c r="O394"/>
  <c r="O388"/>
  <c r="O378"/>
  <c r="O372"/>
  <c r="O362"/>
  <c r="O356"/>
  <c r="O346"/>
  <c r="O340"/>
  <c r="O330"/>
  <c r="O324"/>
  <c r="O314"/>
  <c r="O308"/>
  <c r="O298"/>
  <c r="O292"/>
  <c r="O282"/>
  <c r="O276"/>
  <c r="O266"/>
  <c r="O260"/>
  <c r="O250"/>
  <c r="O244"/>
  <c r="O234"/>
  <c r="O228"/>
  <c r="O218"/>
  <c r="O212"/>
  <c r="O202"/>
  <c r="O196"/>
  <c r="O186"/>
  <c r="O180"/>
  <c r="O170"/>
  <c r="O164"/>
  <c r="O154"/>
  <c r="O148"/>
  <c r="O138"/>
  <c r="O132"/>
  <c r="O122"/>
  <c r="O116"/>
  <c r="O106"/>
  <c r="O100"/>
  <c r="O90"/>
  <c r="O84"/>
  <c r="O74"/>
  <c r="O68"/>
  <c r="S563"/>
  <c r="S547"/>
  <c r="S531"/>
  <c r="S515"/>
  <c r="S499"/>
  <c r="S483"/>
  <c r="S467"/>
  <c r="S451"/>
  <c r="S435"/>
  <c r="S419"/>
  <c r="S403"/>
  <c r="S387"/>
  <c r="S371"/>
  <c r="S355"/>
  <c r="S339"/>
  <c r="S323"/>
  <c r="S307"/>
  <c r="S291"/>
  <c r="S275"/>
  <c r="S259"/>
  <c r="S243"/>
  <c r="S227"/>
  <c r="S211"/>
  <c r="S195"/>
  <c r="S179"/>
  <c r="S163"/>
  <c r="S147"/>
  <c r="S131"/>
  <c r="S115"/>
  <c r="S99"/>
  <c r="S83"/>
  <c r="S67"/>
  <c r="S51"/>
  <c r="S35"/>
  <c r="S19"/>
  <c r="T3"/>
  <c r="T493"/>
  <c r="T477"/>
  <c r="T461"/>
  <c r="T445"/>
  <c r="T429"/>
  <c r="T413"/>
  <c r="T397"/>
  <c r="T381"/>
  <c r="T365"/>
  <c r="T349"/>
  <c r="T333"/>
  <c r="T317"/>
  <c r="T301"/>
  <c r="T285"/>
  <c r="T269"/>
  <c r="S572"/>
  <c r="S568"/>
  <c r="S564"/>
  <c r="S556"/>
  <c r="S552"/>
  <c r="S548"/>
  <c r="S540"/>
  <c r="S536"/>
  <c r="S532"/>
  <c r="S524"/>
  <c r="S520"/>
  <c r="S516"/>
  <c r="S508"/>
  <c r="S504"/>
  <c r="S500"/>
  <c r="S492"/>
  <c r="S488"/>
  <c r="S484"/>
  <c r="S476"/>
  <c r="S472"/>
  <c r="S468"/>
  <c r="S460"/>
  <c r="S456"/>
  <c r="S452"/>
  <c r="S444"/>
  <c r="S440"/>
  <c r="S436"/>
  <c r="S428"/>
  <c r="S424"/>
  <c r="S420"/>
  <c r="S412"/>
  <c r="S408"/>
  <c r="S404"/>
  <c r="S396"/>
  <c r="S392"/>
  <c r="S388"/>
  <c r="S380"/>
  <c r="S376"/>
  <c r="S372"/>
  <c r="S364"/>
  <c r="S360"/>
  <c r="S356"/>
  <c r="S348"/>
  <c r="S344"/>
  <c r="S340"/>
  <c r="S332"/>
  <c r="S328"/>
  <c r="S324"/>
  <c r="S316"/>
  <c r="S312"/>
  <c r="S308"/>
  <c r="S300"/>
  <c r="S296"/>
  <c r="S292"/>
  <c r="S284"/>
  <c r="S280"/>
  <c r="S276"/>
  <c r="S268"/>
  <c r="S264"/>
  <c r="S260"/>
  <c r="S252"/>
  <c r="S248"/>
  <c r="S244"/>
  <c r="S236"/>
  <c r="S232"/>
  <c r="S228"/>
  <c r="S220"/>
  <c r="S216"/>
  <c r="S212"/>
  <c r="S204"/>
  <c r="S200"/>
  <c r="S196"/>
  <c r="S188"/>
  <c r="S184"/>
  <c r="S180"/>
  <c r="S172"/>
  <c r="S168"/>
  <c r="S164"/>
  <c r="S156"/>
  <c r="S152"/>
  <c r="S148"/>
  <c r="S140"/>
  <c r="S136"/>
  <c r="S132"/>
  <c r="S124"/>
  <c r="S120"/>
  <c r="S116"/>
  <c r="S108"/>
  <c r="S104"/>
  <c r="S100"/>
  <c r="S92"/>
  <c r="S88"/>
  <c r="S84"/>
  <c r="S76"/>
  <c r="S72"/>
  <c r="S68"/>
  <c r="S60"/>
  <c r="S56"/>
  <c r="S52"/>
  <c r="S44"/>
  <c r="S40"/>
  <c r="S36"/>
  <c r="S28"/>
  <c r="S24"/>
  <c r="S20"/>
  <c r="S12"/>
  <c r="S8"/>
  <c r="S4"/>
  <c r="T161"/>
  <c r="T157"/>
  <c r="T153"/>
  <c r="T149"/>
  <c r="T145"/>
  <c r="T141"/>
  <c r="T137"/>
  <c r="T133"/>
  <c r="T129"/>
  <c r="T125"/>
  <c r="T121"/>
  <c r="T117"/>
  <c r="T113"/>
  <c r="T109"/>
  <c r="T105"/>
  <c r="T101"/>
  <c r="T97"/>
  <c r="T93"/>
  <c r="T89"/>
  <c r="T85"/>
  <c r="T81"/>
  <c r="T77"/>
  <c r="T73"/>
  <c r="T69"/>
  <c r="T65"/>
  <c r="T61"/>
  <c r="T57"/>
  <c r="T53"/>
  <c r="T49"/>
  <c r="T45"/>
  <c r="T41"/>
  <c r="T37"/>
  <c r="T33"/>
  <c r="T29"/>
  <c r="T25"/>
  <c r="T21"/>
  <c r="T17"/>
  <c r="T13"/>
  <c r="T9"/>
  <c r="T5"/>
  <c r="S570"/>
  <c r="S566"/>
  <c r="S562"/>
  <c r="S558"/>
  <c r="S554"/>
  <c r="S550"/>
  <c r="S546"/>
  <c r="S542"/>
  <c r="S538"/>
  <c r="S534"/>
  <c r="S530"/>
  <c r="S526"/>
  <c r="S522"/>
  <c r="S518"/>
  <c r="S514"/>
  <c r="S510"/>
  <c r="S506"/>
  <c r="S502"/>
  <c r="S498"/>
  <c r="S494"/>
  <c r="S490"/>
  <c r="S486"/>
  <c r="S482"/>
  <c r="S478"/>
  <c r="S474"/>
  <c r="S470"/>
  <c r="S466"/>
  <c r="S462"/>
  <c r="S458"/>
  <c r="S454"/>
  <c r="S450"/>
  <c r="S446"/>
  <c r="S442"/>
  <c r="S438"/>
  <c r="S434"/>
  <c r="S430"/>
  <c r="S426"/>
  <c r="S422"/>
  <c r="S418"/>
  <c r="S414"/>
  <c r="S410"/>
  <c r="S406"/>
  <c r="S402"/>
  <c r="S398"/>
  <c r="S394"/>
  <c r="S390"/>
  <c r="S386"/>
  <c r="S382"/>
  <c r="S378"/>
  <c r="S374"/>
  <c r="S370"/>
  <c r="S366"/>
  <c r="S362"/>
  <c r="S358"/>
  <c r="S354"/>
  <c r="S350"/>
  <c r="S346"/>
  <c r="S342"/>
  <c r="S338"/>
  <c r="S334"/>
  <c r="S330"/>
  <c r="S326"/>
  <c r="S322"/>
  <c r="S318"/>
  <c r="S314"/>
  <c r="S310"/>
  <c r="S306"/>
  <c r="S302"/>
  <c r="S298"/>
  <c r="S294"/>
  <c r="S290"/>
  <c r="S286"/>
  <c r="S282"/>
  <c r="S278"/>
  <c r="S274"/>
  <c r="S270"/>
  <c r="S266"/>
  <c r="S262"/>
  <c r="S258"/>
  <c r="S254"/>
  <c r="S250"/>
  <c r="S246"/>
  <c r="S242"/>
  <c r="S238"/>
  <c r="S234"/>
  <c r="S230"/>
  <c r="S226"/>
  <c r="S222"/>
  <c r="S218"/>
  <c r="S214"/>
  <c r="S210"/>
  <c r="S206"/>
  <c r="S202"/>
  <c r="S198"/>
  <c r="S194"/>
  <c r="S190"/>
  <c r="S186"/>
  <c r="S182"/>
  <c r="S178"/>
  <c r="S174"/>
  <c r="S170"/>
  <c r="S166"/>
  <c r="S162"/>
  <c r="S158"/>
  <c r="S154"/>
  <c r="S150"/>
  <c r="S146"/>
  <c r="S142"/>
  <c r="S138"/>
  <c r="S134"/>
  <c r="S130"/>
  <c r="S126"/>
  <c r="S122"/>
  <c r="S118"/>
  <c r="S114"/>
  <c r="S110"/>
  <c r="S106"/>
  <c r="S102"/>
  <c r="S98"/>
  <c r="S94"/>
  <c r="S90"/>
  <c r="S86"/>
  <c r="S82"/>
  <c r="S78"/>
  <c r="S74"/>
  <c r="S70"/>
  <c r="S66"/>
  <c r="S62"/>
  <c r="S58"/>
  <c r="S54"/>
  <c r="S50"/>
  <c r="S46"/>
  <c r="S42"/>
  <c r="S38"/>
  <c r="S34"/>
  <c r="S30"/>
  <c r="S26"/>
  <c r="S22"/>
  <c r="S18"/>
  <c r="S14"/>
  <c r="S10"/>
  <c r="S6"/>
  <c r="O57"/>
  <c r="O58"/>
  <c r="O59"/>
  <c r="O60"/>
  <c r="P55"/>
  <c r="P56"/>
  <c r="O53"/>
  <c r="P51"/>
  <c r="O54"/>
  <c r="P52"/>
  <c r="O49"/>
  <c r="O50"/>
  <c r="P47"/>
  <c r="P48"/>
  <c r="O45"/>
  <c r="O46"/>
  <c r="P43"/>
  <c r="P44"/>
  <c r="P42"/>
  <c r="O41"/>
  <c r="P39"/>
  <c r="P40"/>
  <c r="O37"/>
  <c r="O38"/>
  <c r="P35"/>
  <c r="P36"/>
  <c r="O33"/>
  <c r="O34"/>
  <c r="P31"/>
  <c r="P32"/>
  <c r="O29"/>
  <c r="P27"/>
  <c r="O30"/>
  <c r="P28"/>
  <c r="O25"/>
  <c r="P23"/>
  <c r="O26"/>
  <c r="P24"/>
  <c r="P22"/>
  <c r="O21"/>
  <c r="P19"/>
  <c r="P20"/>
  <c r="P18"/>
  <c r="O17"/>
  <c r="P15"/>
  <c r="P16"/>
  <c r="O13"/>
  <c r="P11"/>
  <c r="O14"/>
  <c r="P12"/>
  <c r="O9"/>
  <c r="O10"/>
  <c r="P7"/>
  <c r="P8"/>
  <c r="O5"/>
  <c r="O6"/>
  <c r="P4"/>
  <c r="P3"/>
  <c r="E9" i="5"/>
  <c r="E15"/>
  <c r="E10"/>
  <c r="E16"/>
  <c r="E12"/>
  <c r="E8"/>
  <c r="E11"/>
  <c r="E13"/>
  <c r="E14"/>
  <c r="D206" i="18" l="1"/>
  <c r="F206" s="1"/>
  <c r="D204"/>
  <c r="F204" s="1"/>
  <c r="D285"/>
  <c r="F285" s="1"/>
  <c r="D228"/>
  <c r="F228" s="1"/>
  <c r="D145"/>
  <c r="F145" s="1"/>
  <c r="D4"/>
  <c r="F4" s="1"/>
  <c r="D288"/>
  <c r="F288" s="1"/>
  <c r="D91"/>
  <c r="F91" s="1"/>
  <c r="D3"/>
  <c r="F3" s="1"/>
  <c r="E7" i="4"/>
  <c r="F7" i="5" s="1"/>
  <c r="D50" i="18"/>
  <c r="F50" s="1"/>
  <c r="D42"/>
  <c r="F42" s="1"/>
  <c r="D147"/>
  <c r="F147" s="1"/>
  <c r="E6" i="4"/>
  <c r="F6" i="5" s="1"/>
  <c r="D173" i="18"/>
  <c r="F173" s="1"/>
  <c r="D40"/>
  <c r="F40" s="1"/>
  <c r="D226"/>
  <c r="F226" s="1"/>
  <c r="D191"/>
  <c r="F191" s="1"/>
  <c r="D199"/>
  <c r="F199" s="1"/>
  <c r="D103"/>
  <c r="F103" s="1"/>
  <c r="D144"/>
  <c r="F144" s="1"/>
  <c r="E10" i="4"/>
  <c r="F10" i="5" s="1"/>
  <c r="G10" s="1"/>
  <c r="H10" s="1"/>
  <c r="D36" i="18"/>
  <c r="F36" s="1"/>
  <c r="D35"/>
  <c r="F35" s="1"/>
  <c r="D49"/>
  <c r="F49" s="1"/>
  <c r="D179"/>
  <c r="F179" s="1"/>
  <c r="E8" i="4"/>
  <c r="F8" i="5" s="1"/>
  <c r="G8" s="1"/>
  <c r="H8" s="1"/>
  <c r="D20" i="18"/>
  <c r="F20" s="1"/>
  <c r="D23"/>
  <c r="F23" s="1"/>
  <c r="G8" i="15"/>
  <c r="E8" i="21" s="1"/>
  <c r="G24" i="15"/>
  <c r="E24" i="21" s="1"/>
  <c r="D53" i="18"/>
  <c r="F53" s="1"/>
  <c r="G14" i="15"/>
  <c r="E14" i="21" s="1"/>
  <c r="D45" i="18"/>
  <c r="F45" s="1"/>
  <c r="G11" i="15"/>
  <c r="E11" i="21" s="1"/>
  <c r="D26" i="18"/>
  <c r="F26" s="1"/>
  <c r="D95"/>
  <c r="F95" s="1"/>
  <c r="G4" i="15"/>
  <c r="E4" i="21" s="1"/>
  <c r="G10" i="15"/>
  <c r="E10" i="21" s="1"/>
  <c r="G13" i="15"/>
  <c r="E13" i="21" s="1"/>
  <c r="E17" i="4"/>
  <c r="F17" i="5" s="1"/>
  <c r="G17" s="1"/>
  <c r="H17" s="1"/>
  <c r="G15" i="15"/>
  <c r="E15" i="21" s="1"/>
  <c r="D7" i="18"/>
  <c r="F7" s="1"/>
  <c r="D19"/>
  <c r="F19" s="1"/>
  <c r="D17"/>
  <c r="F17" s="1"/>
  <c r="G16" i="15"/>
  <c r="E16" i="21" s="1"/>
  <c r="G3" i="15"/>
  <c r="E3" i="21" s="1"/>
  <c r="G7" i="15"/>
  <c r="E7" i="21" s="1"/>
  <c r="G26" i="15"/>
  <c r="E26" i="21" s="1"/>
  <c r="G6" i="15"/>
  <c r="E6" i="21" s="1"/>
  <c r="D113" i="18"/>
  <c r="F113" s="1"/>
  <c r="D142"/>
  <c r="F142" s="1"/>
  <c r="G5" i="15"/>
  <c r="E5" i="21" s="1"/>
  <c r="E13" i="4"/>
  <c r="F13" i="5" s="1"/>
  <c r="G13" s="1"/>
  <c r="H13" s="1"/>
  <c r="E12" i="4"/>
  <c r="F12" i="5" s="1"/>
  <c r="G12" s="1"/>
  <c r="H12" s="1"/>
  <c r="D178" i="18"/>
  <c r="F178" s="1"/>
  <c r="D97"/>
  <c r="F97" s="1"/>
  <c r="D100"/>
  <c r="F100" s="1"/>
  <c r="G21" i="15"/>
  <c r="E21" i="21" s="1"/>
  <c r="G19" i="15"/>
  <c r="E19" i="21" s="1"/>
  <c r="E2" i="4"/>
  <c r="F2" i="5" s="1"/>
  <c r="E11" i="4"/>
  <c r="F11" i="5" s="1"/>
  <c r="G11" s="1"/>
  <c r="H11" s="1"/>
  <c r="D6" i="18"/>
  <c r="F6" s="1"/>
  <c r="D5"/>
  <c r="F5" s="1"/>
  <c r="D22"/>
  <c r="F22" s="1"/>
  <c r="E5" i="4"/>
  <c r="F5" i="5" s="1"/>
  <c r="G23" i="15"/>
  <c r="E23" i="21" s="1"/>
  <c r="E3" i="4"/>
  <c r="F3" i="5" s="1"/>
  <c r="E4" i="4"/>
  <c r="G17" i="15"/>
  <c r="E17" i="21" s="1"/>
  <c r="G29" i="15"/>
  <c r="E29" i="21" s="1"/>
  <c r="G33" i="15"/>
  <c r="G37"/>
  <c r="G41"/>
  <c r="G45"/>
  <c r="G49"/>
  <c r="G20"/>
  <c r="E20" i="21" s="1"/>
  <c r="G28" i="15"/>
  <c r="F30" i="21" s="1"/>
  <c r="G30" s="1"/>
  <c r="G32" i="15"/>
  <c r="G36"/>
  <c r="G40"/>
  <c r="G44"/>
  <c r="G48"/>
  <c r="G27"/>
  <c r="E27" i="21" s="1"/>
  <c r="G31" i="15"/>
  <c r="G35"/>
  <c r="G39"/>
  <c r="G43"/>
  <c r="G47"/>
  <c r="G18"/>
  <c r="E18" i="21" s="1"/>
  <c r="G22" i="15"/>
  <c r="E22" i="21" s="1"/>
  <c r="G30" i="15"/>
  <c r="F28" i="21" s="1"/>
  <c r="G28" s="1"/>
  <c r="G34" i="15"/>
  <c r="G38"/>
  <c r="G42"/>
  <c r="G46"/>
  <c r="G9" i="5"/>
  <c r="H9" s="1"/>
  <c r="G16"/>
  <c r="H16" s="1"/>
  <c r="G14"/>
  <c r="H14" s="1"/>
  <c r="G15"/>
  <c r="H15" s="1"/>
  <c r="E6"/>
  <c r="E4"/>
  <c r="E3"/>
  <c r="E5"/>
  <c r="E7"/>
  <c r="E2"/>
  <c r="E31" i="21" l="1"/>
  <c r="F31" s="1"/>
  <c r="G31" s="1"/>
  <c r="F29"/>
  <c r="G29" s="1"/>
  <c r="G3" i="5"/>
  <c r="H3" s="1"/>
  <c r="G5"/>
  <c r="H5" s="1"/>
  <c r="G7"/>
  <c r="H7" s="1"/>
  <c r="G6"/>
  <c r="H6" s="1"/>
  <c r="G2"/>
  <c r="H2" s="1"/>
  <c r="F4" l="1"/>
  <c r="G4" s="1"/>
  <c r="H4" s="1"/>
  <c r="F18" i="21"/>
  <c r="G18" s="1"/>
  <c r="F21"/>
  <c r="G21" s="1"/>
  <c r="F11"/>
  <c r="G11" s="1"/>
  <c r="F23"/>
  <c r="G23" s="1"/>
  <c r="F19"/>
  <c r="G19" s="1"/>
  <c r="M8" i="6"/>
  <c r="G12" i="15" s="1"/>
  <c r="E12" i="21" s="1"/>
  <c r="M7" i="6"/>
  <c r="G2" i="15" s="1"/>
  <c r="E2" i="21" s="1"/>
  <c r="F13" l="1"/>
  <c r="G13" s="1"/>
  <c r="F15"/>
  <c r="G15" s="1"/>
  <c r="F10"/>
  <c r="G10" s="1"/>
  <c r="F12"/>
  <c r="G12" s="1"/>
  <c r="F26"/>
  <c r="G26" s="1"/>
  <c r="F25"/>
  <c r="G25" s="1"/>
  <c r="F3"/>
  <c r="G3" s="1"/>
  <c r="F27"/>
  <c r="G27" s="1"/>
  <c r="F7"/>
  <c r="G7" s="1"/>
  <c r="F5"/>
  <c r="G5" s="1"/>
  <c r="F20"/>
  <c r="G20" s="1"/>
  <c r="F24"/>
  <c r="G24" s="1"/>
  <c r="F16"/>
  <c r="G16" s="1"/>
  <c r="F14"/>
  <c r="G14" s="1"/>
  <c r="F22"/>
  <c r="G22" s="1"/>
  <c r="F4"/>
  <c r="G4" s="1"/>
  <c r="F17"/>
  <c r="G17" s="1"/>
  <c r="F6"/>
  <c r="G6" s="1"/>
  <c r="F8"/>
  <c r="G8" s="1"/>
  <c r="F9"/>
  <c r="G9" s="1"/>
  <c r="F2" l="1"/>
</calcChain>
</file>

<file path=xl/sharedStrings.xml><?xml version="1.0" encoding="utf-8"?>
<sst xmlns="http://schemas.openxmlformats.org/spreadsheetml/2006/main" count="6492" uniqueCount="591">
  <si>
    <t>ÜRÜN KODU</t>
  </si>
  <si>
    <t>ÜRÜN ADI</t>
  </si>
  <si>
    <t>TARİH</t>
  </si>
  <si>
    <t>PERSONEL ADI</t>
  </si>
  <si>
    <t>BAŞLAMA ZAMANI</t>
  </si>
  <si>
    <t>BİTİŞ ZAMANI</t>
  </si>
  <si>
    <t>KALIP GÖZ ADEDİ</t>
  </si>
  <si>
    <t>ÇEVRİM SÜRESİ</t>
  </si>
  <si>
    <t>BASKI SAYISI</t>
  </si>
  <si>
    <t>BOYA KODU</t>
  </si>
  <si>
    <t>RENK</t>
  </si>
  <si>
    <t>BOYA ORANI</t>
  </si>
  <si>
    <t>KULLANILAN BOYA MİKTARI GRAM</t>
  </si>
  <si>
    <t>HAMMADDE KODU</t>
  </si>
  <si>
    <t>MALZEME
ADI</t>
  </si>
  <si>
    <t>MALZEME TEDARİKÇİSİ</t>
  </si>
  <si>
    <t>BASKI GRAMI</t>
  </si>
  <si>
    <t>YOLLUK HARİÇ BASKI GRAMI</t>
  </si>
  <si>
    <t>ADET GRAMI</t>
  </si>
  <si>
    <t xml:space="preserve">YOLLUK GRAMI </t>
  </si>
  <si>
    <t>FİRE 
(kg)</t>
  </si>
  <si>
    <t>HAMMADDE TÜKETİM KG</t>
  </si>
  <si>
    <t>TOPLAM MESAİ SAATİ</t>
  </si>
  <si>
    <t>SAAT</t>
  </si>
  <si>
    <t>BASKIYA EŞİT ÇALIŞMA SAATİ</t>
  </si>
  <si>
    <t>TOPLAM BASKI ADEDİ</t>
  </si>
  <si>
    <t>YM 004</t>
  </si>
  <si>
    <t>HÜSEYİN</t>
  </si>
  <si>
    <t>YM 021</t>
  </si>
  <si>
    <t>MURAT</t>
  </si>
  <si>
    <t>ÖTKIR</t>
  </si>
  <si>
    <t>YM 002</t>
  </si>
  <si>
    <t>YM 026</t>
  </si>
  <si>
    <t>ÖTKİR</t>
  </si>
  <si>
    <t>YM 020</t>
  </si>
  <si>
    <t>ONUR</t>
  </si>
  <si>
    <t>KAAN</t>
  </si>
  <si>
    <t>YASİN</t>
  </si>
  <si>
    <t>HM 016</t>
  </si>
  <si>
    <t>YM 006</t>
  </si>
  <si>
    <t>ENES</t>
  </si>
  <si>
    <t>YM 027</t>
  </si>
  <si>
    <t>YM 005</t>
  </si>
  <si>
    <t>YM 025</t>
  </si>
  <si>
    <t>HUSEYIN</t>
  </si>
  <si>
    <t>UTKIR</t>
  </si>
  <si>
    <t>YM 022</t>
  </si>
  <si>
    <t>GÖRKEM</t>
  </si>
  <si>
    <t xml:space="preserve">MURAT </t>
  </si>
  <si>
    <t>BARIŞ</t>
  </si>
  <si>
    <t>YM 034T</t>
  </si>
  <si>
    <t>YM 034P</t>
  </si>
  <si>
    <t>YM 034M</t>
  </si>
  <si>
    <t>YM 029</t>
  </si>
  <si>
    <t>SB005T</t>
  </si>
  <si>
    <t>YM 074</t>
  </si>
  <si>
    <t>YM 061TY</t>
  </si>
  <si>
    <t>YM 123P</t>
  </si>
  <si>
    <t>YM 124P</t>
  </si>
  <si>
    <t>YM 123M</t>
  </si>
  <si>
    <t>YM 123</t>
  </si>
  <si>
    <t>YM 124</t>
  </si>
  <si>
    <t>YM 124M</t>
  </si>
  <si>
    <t>YM 061T</t>
  </si>
  <si>
    <t>YM 061TM</t>
  </si>
  <si>
    <t>SİNAN</t>
  </si>
  <si>
    <t>YM 061TK</t>
  </si>
  <si>
    <t>YM 061TV</t>
  </si>
  <si>
    <t>YM 061TS</t>
  </si>
  <si>
    <t>YM 061BP</t>
  </si>
  <si>
    <t>YM 061M</t>
  </si>
  <si>
    <t>YM 156TY</t>
  </si>
  <si>
    <t>YM 157TY</t>
  </si>
  <si>
    <t>YM 156TV</t>
  </si>
  <si>
    <t>YM 157TV</t>
  </si>
  <si>
    <t>YM 073B</t>
  </si>
  <si>
    <t>YM 073P</t>
  </si>
  <si>
    <t>YM 073M</t>
  </si>
  <si>
    <t>YM 073K</t>
  </si>
  <si>
    <t>Y.E.T.</t>
  </si>
  <si>
    <t>YM 103</t>
  </si>
  <si>
    <t>YM 084P</t>
  </si>
  <si>
    <t>YM 084M</t>
  </si>
  <si>
    <t>YM 061S</t>
  </si>
  <si>
    <t>YM 061P</t>
  </si>
  <si>
    <t>YM 061L</t>
  </si>
  <si>
    <t>YM 061K</t>
  </si>
  <si>
    <t>YM 158S</t>
  </si>
  <si>
    <t>YM 152TY</t>
  </si>
  <si>
    <t>YM 155TP</t>
  </si>
  <si>
    <t>YM 155TY</t>
  </si>
  <si>
    <t>YM 155TM</t>
  </si>
  <si>
    <t>YM 155V</t>
  </si>
  <si>
    <t>YM 155P</t>
  </si>
  <si>
    <t>YM 155M</t>
  </si>
  <si>
    <t>YM 155L</t>
  </si>
  <si>
    <t>YM 155K</t>
  </si>
  <si>
    <t>YM 114</t>
  </si>
  <si>
    <t>YM 156TP</t>
  </si>
  <si>
    <t>YM 157TP</t>
  </si>
  <si>
    <t xml:space="preserve">YM 156TM </t>
  </si>
  <si>
    <t xml:space="preserve">YM 157TM </t>
  </si>
  <si>
    <t>YM 156V</t>
  </si>
  <si>
    <t>YM 157V</t>
  </si>
  <si>
    <t>YM 156M</t>
  </si>
  <si>
    <t>YM 157M</t>
  </si>
  <si>
    <t>YM 156P</t>
  </si>
  <si>
    <t>YM 157P</t>
  </si>
  <si>
    <t>YM 156L</t>
  </si>
  <si>
    <t>YM 157L</t>
  </si>
  <si>
    <t>YM 156K</t>
  </si>
  <si>
    <t>YM 157K</t>
  </si>
  <si>
    <t>YM 152B</t>
  </si>
  <si>
    <t>BEYAZ</t>
  </si>
  <si>
    <t>HM 010</t>
  </si>
  <si>
    <t>YM 158B</t>
  </si>
  <si>
    <t>YM 084B</t>
  </si>
  <si>
    <t>YM 084S</t>
  </si>
  <si>
    <t>YM 084L</t>
  </si>
  <si>
    <t>YM 084K</t>
  </si>
  <si>
    <t xml:space="preserve">GÖRKEM </t>
  </si>
  <si>
    <t>YM 152P</t>
  </si>
  <si>
    <t>YM 152M</t>
  </si>
  <si>
    <t>YM 152K</t>
  </si>
  <si>
    <t>YM 050TM</t>
  </si>
  <si>
    <t>YM 050TS</t>
  </si>
  <si>
    <t>YM 050TK</t>
  </si>
  <si>
    <t>YM 050TV</t>
  </si>
  <si>
    <t>YM 050TP</t>
  </si>
  <si>
    <t>YM 071M</t>
  </si>
  <si>
    <t>YM 071BP</t>
  </si>
  <si>
    <t>YM 071S</t>
  </si>
  <si>
    <t>YM 070Y</t>
  </si>
  <si>
    <t>YM 070BP</t>
  </si>
  <si>
    <t>YM 070L</t>
  </si>
  <si>
    <t>YM 051T</t>
  </si>
  <si>
    <t>YM 071B</t>
  </si>
  <si>
    <t>YM 050B</t>
  </si>
  <si>
    <t>YM 126P</t>
  </si>
  <si>
    <t>YM 126M</t>
  </si>
  <si>
    <t>YM 127B-HALKA</t>
  </si>
  <si>
    <t>HM 012</t>
  </si>
  <si>
    <t>YM 127B-MAYMUN</t>
  </si>
  <si>
    <t>YM 127B-FİL</t>
  </si>
  <si>
    <t>YM 127B-AYI</t>
  </si>
  <si>
    <t>YM 127P-HALKA</t>
  </si>
  <si>
    <t>YM 127P-MAYMUN</t>
  </si>
  <si>
    <t>YM 127P-FİL</t>
  </si>
  <si>
    <t>YM 127P-AYI</t>
  </si>
  <si>
    <t>YM 127M-HALKA</t>
  </si>
  <si>
    <t>YM 127M-MAYMUN</t>
  </si>
  <si>
    <t>YM 127M-FİL</t>
  </si>
  <si>
    <t>YM 127M-AYI</t>
  </si>
  <si>
    <t>YM 127L-HALKA</t>
  </si>
  <si>
    <t>YM 127L-MAYMUN</t>
  </si>
  <si>
    <t>YM 127L-FİL</t>
  </si>
  <si>
    <t>YM 127L-AYI</t>
  </si>
  <si>
    <t>YM 127K-HALKA</t>
  </si>
  <si>
    <t>YM 127K-MAYMUN</t>
  </si>
  <si>
    <t>YM 127K-FİL</t>
  </si>
  <si>
    <t>YM 127K-AYI</t>
  </si>
  <si>
    <t>YM 071Y</t>
  </si>
  <si>
    <t>YM 050TY</t>
  </si>
  <si>
    <t>YM 050T</t>
  </si>
  <si>
    <t>YM 052T</t>
  </si>
  <si>
    <t>YM 085</t>
  </si>
  <si>
    <t>YM 050M</t>
  </si>
  <si>
    <t>YM 050K</t>
  </si>
  <si>
    <t>YM 050BP</t>
  </si>
  <si>
    <t>YM 050P</t>
  </si>
  <si>
    <t>YM 072LC</t>
  </si>
  <si>
    <t>SERVET</t>
  </si>
  <si>
    <t>YM 072V</t>
  </si>
  <si>
    <t>YM 072P</t>
  </si>
  <si>
    <t>YM 072M</t>
  </si>
  <si>
    <t>YM 072K</t>
  </si>
  <si>
    <t>YM 080</t>
  </si>
  <si>
    <t>YM 052S</t>
  </si>
  <si>
    <t>YM 126K</t>
  </si>
  <si>
    <t>ym 127p-halka</t>
  </si>
  <si>
    <t>ym 127p-ayı</t>
  </si>
  <si>
    <t>ym 127p-maymun</t>
  </si>
  <si>
    <t>ym 127p-fil</t>
  </si>
  <si>
    <t>HM 002</t>
  </si>
  <si>
    <t>ym 127b-halka</t>
  </si>
  <si>
    <t>ym 127b-ayı</t>
  </si>
  <si>
    <t>ym 127b-maymun</t>
  </si>
  <si>
    <t>ym 127b-fil</t>
  </si>
  <si>
    <t>YM 052SH</t>
  </si>
  <si>
    <t>YM 127Y-HALKA</t>
  </si>
  <si>
    <t>YM 127Y-MAYMUN</t>
  </si>
  <si>
    <t>YM 127Y-FİL</t>
  </si>
  <si>
    <t>YM 127Y-AYI</t>
  </si>
  <si>
    <t>YM 070B</t>
  </si>
  <si>
    <t>YM 141B</t>
  </si>
  <si>
    <t>YM 141S</t>
  </si>
  <si>
    <t>YM 141P</t>
  </si>
  <si>
    <t>YM 141M</t>
  </si>
  <si>
    <t>YM 141L</t>
  </si>
  <si>
    <t>YM 141K</t>
  </si>
  <si>
    <t>YM 051B</t>
  </si>
  <si>
    <t>YM 050S</t>
  </si>
  <si>
    <t>YM 111B</t>
  </si>
  <si>
    <t>YM 111S</t>
  </si>
  <si>
    <t>YM 111L</t>
  </si>
  <si>
    <t>YM 110P</t>
  </si>
  <si>
    <t>YM 110M</t>
  </si>
  <si>
    <t>YM 110K</t>
  </si>
  <si>
    <t>KULLANILAN  BOYA MİKTARI GRAM</t>
  </si>
  <si>
    <t>YM 102</t>
  </si>
  <si>
    <t>YM 111P</t>
  </si>
  <si>
    <t>YM 111M</t>
  </si>
  <si>
    <t>YM 111K</t>
  </si>
  <si>
    <t>YM 081</t>
  </si>
  <si>
    <t>YM 086</t>
  </si>
  <si>
    <t>YM 062B</t>
  </si>
  <si>
    <t>YM 062P</t>
  </si>
  <si>
    <t>YM 062M</t>
  </si>
  <si>
    <t>YM142MAX</t>
  </si>
  <si>
    <t>YM 142P</t>
  </si>
  <si>
    <t>YM 071K</t>
  </si>
  <si>
    <t>YM 071L</t>
  </si>
  <si>
    <t>Y.E.K.</t>
  </si>
  <si>
    <t>YM 150B</t>
  </si>
  <si>
    <t>YM 151B</t>
  </si>
  <si>
    <t>YM 122</t>
  </si>
  <si>
    <t>YM 128P</t>
  </si>
  <si>
    <t>YM 129P</t>
  </si>
  <si>
    <t>YM 128M</t>
  </si>
  <si>
    <t>YM 129M</t>
  </si>
  <si>
    <t>YM 128K</t>
  </si>
  <si>
    <t>YM 129K</t>
  </si>
  <si>
    <t>YM 153TP</t>
  </si>
  <si>
    <t>YM 153TM</t>
  </si>
  <si>
    <t>YM 153TY</t>
  </si>
  <si>
    <t>YM 153V</t>
  </si>
  <si>
    <t>YM 153B</t>
  </si>
  <si>
    <t>YM 115P</t>
  </si>
  <si>
    <t>YM 115M</t>
  </si>
  <si>
    <t>YM 115K</t>
  </si>
  <si>
    <t>YM 033</t>
  </si>
  <si>
    <t>YM 142K</t>
  </si>
  <si>
    <t>YM 142M</t>
  </si>
  <si>
    <t>YM 142B</t>
  </si>
  <si>
    <t>YM 115L</t>
  </si>
  <si>
    <t>YM 115S</t>
  </si>
  <si>
    <t>YM 153P</t>
  </si>
  <si>
    <t>YM 153M</t>
  </si>
  <si>
    <t>YM 153L</t>
  </si>
  <si>
    <t>YM 153K</t>
  </si>
  <si>
    <t xml:space="preserve"> ÜRÜN KODU</t>
  </si>
  <si>
    <t>SEVK EDİLEN ÜRÜN ADI</t>
  </si>
  <si>
    <t>SEVK TARİHİ</t>
  </si>
  <si>
    <t>SEVK ADEDİ</t>
  </si>
  <si>
    <t>AY</t>
  </si>
  <si>
    <t>OCAK</t>
  </si>
  <si>
    <t>ŞUBAT</t>
  </si>
  <si>
    <t>MART</t>
  </si>
  <si>
    <t>NİSAN</t>
  </si>
  <si>
    <t>MAYIS</t>
  </si>
  <si>
    <t>HAZIRAN</t>
  </si>
  <si>
    <t>TEMMUZ</t>
  </si>
  <si>
    <t>AĞUSTOS</t>
  </si>
  <si>
    <t>YM 156TK</t>
  </si>
  <si>
    <t>YM 157TK</t>
  </si>
  <si>
    <t>EYLÜL</t>
  </si>
  <si>
    <t>YM 141k</t>
  </si>
  <si>
    <t>EKİM</t>
  </si>
  <si>
    <t>2020 YILI TOPLAM SEVK ADEDİ</t>
  </si>
  <si>
    <t>2020 YILI TOPLAM ÜRETİLEN ÜRÜN ADEDİ</t>
  </si>
  <si>
    <t>GERİ İADE ÜRÜN</t>
  </si>
  <si>
    <t>TOPLAM FARK</t>
  </si>
  <si>
    <t>YM 001</t>
  </si>
  <si>
    <t>YM 003</t>
  </si>
  <si>
    <t>YM 007B</t>
  </si>
  <si>
    <t>YM 007M</t>
  </si>
  <si>
    <t>YM 007P</t>
  </si>
  <si>
    <t>YM 008B</t>
  </si>
  <si>
    <t>YM 008M</t>
  </si>
  <si>
    <t>YM 008P</t>
  </si>
  <si>
    <t>YM 009B</t>
  </si>
  <si>
    <t>YM 009M</t>
  </si>
  <si>
    <t>YM 009P</t>
  </si>
  <si>
    <t>YM 023</t>
  </si>
  <si>
    <t>YM 024</t>
  </si>
  <si>
    <t>YM 028</t>
  </si>
  <si>
    <t>YM 030T</t>
  </si>
  <si>
    <t>YM 030TM</t>
  </si>
  <si>
    <t>YM 030TP</t>
  </si>
  <si>
    <t>YM 031</t>
  </si>
  <si>
    <t>YM 032</t>
  </si>
  <si>
    <t>YM 035</t>
  </si>
  <si>
    <t>YM 050L</t>
  </si>
  <si>
    <t>YM 050V</t>
  </si>
  <si>
    <t>YM 050LC</t>
  </si>
  <si>
    <t>YM 051M</t>
  </si>
  <si>
    <t>YM 051K</t>
  </si>
  <si>
    <t>YM 051S</t>
  </si>
  <si>
    <t>YM 051P</t>
  </si>
  <si>
    <t>YM 051L</t>
  </si>
  <si>
    <t>YM 060B</t>
  </si>
  <si>
    <t>YM 060M</t>
  </si>
  <si>
    <t>YM 060K</t>
  </si>
  <si>
    <t>YM 060S</t>
  </si>
  <si>
    <t>YM 060P</t>
  </si>
  <si>
    <t>YM 060L</t>
  </si>
  <si>
    <t>YM 060T</t>
  </si>
  <si>
    <t>YM 061B</t>
  </si>
  <si>
    <t>YM 075</t>
  </si>
  <si>
    <t>YM 082B</t>
  </si>
  <si>
    <t>YM 082M</t>
  </si>
  <si>
    <t>YM 082K</t>
  </si>
  <si>
    <t>YM 082S</t>
  </si>
  <si>
    <t>YM 082P</t>
  </si>
  <si>
    <t>YM 082L</t>
  </si>
  <si>
    <t>YM 083B</t>
  </si>
  <si>
    <t>YM 083M</t>
  </si>
  <si>
    <t>YM 083K</t>
  </si>
  <si>
    <t>YM 083S</t>
  </si>
  <si>
    <t>YM 083P</t>
  </si>
  <si>
    <t>YM 083L</t>
  </si>
  <si>
    <t>YM 110B</t>
  </si>
  <si>
    <t>YM 110S</t>
  </si>
  <si>
    <t>YM 110L</t>
  </si>
  <si>
    <t>YM 112B</t>
  </si>
  <si>
    <t>YM 112M</t>
  </si>
  <si>
    <t>YM 112K</t>
  </si>
  <si>
    <t>YM 115B</t>
  </si>
  <si>
    <t>YM 120</t>
  </si>
  <si>
    <t>YM 121</t>
  </si>
  <si>
    <t>YM 125M</t>
  </si>
  <si>
    <t>YM 125K</t>
  </si>
  <si>
    <t>YM 125P</t>
  </si>
  <si>
    <t>YM 130B</t>
  </si>
  <si>
    <t>YM 130M</t>
  </si>
  <si>
    <t>YM 130K</t>
  </si>
  <si>
    <t>YM 130P</t>
  </si>
  <si>
    <t>YM 131B</t>
  </si>
  <si>
    <t>YM 131M</t>
  </si>
  <si>
    <t>YM 131K</t>
  </si>
  <si>
    <t>YM 131P</t>
  </si>
  <si>
    <t>YM 140 B</t>
  </si>
  <si>
    <t>YM 140M</t>
  </si>
  <si>
    <t>YM 140K</t>
  </si>
  <si>
    <t>YM 140S</t>
  </si>
  <si>
    <t>YM 140P</t>
  </si>
  <si>
    <t>YM 140L</t>
  </si>
  <si>
    <t>YM 142S</t>
  </si>
  <si>
    <t>YM 142L</t>
  </si>
  <si>
    <t>YM 143B</t>
  </si>
  <si>
    <t>YM 143M</t>
  </si>
  <si>
    <t>YM 143K</t>
  </si>
  <si>
    <t>YM152B</t>
  </si>
  <si>
    <t>YM 154</t>
  </si>
  <si>
    <t>YM 155B</t>
  </si>
  <si>
    <t>YM 156B</t>
  </si>
  <si>
    <t>YM 157B</t>
  </si>
  <si>
    <t>ÜRÜN CİNSİ</t>
  </si>
  <si>
    <t>TEDARİKÇİ FİRMA</t>
  </si>
  <si>
    <t>HM 001</t>
  </si>
  <si>
    <t>RANDUM</t>
  </si>
  <si>
    <t>CAPILENE</t>
  </si>
  <si>
    <t>PİNHAS</t>
  </si>
  <si>
    <t>POLİKARBONAT</t>
  </si>
  <si>
    <t>NOVAREX</t>
  </si>
  <si>
    <t>HM 003</t>
  </si>
  <si>
    <t>SİLİKON 45 SHOR</t>
  </si>
  <si>
    <t>LSR 45</t>
  </si>
  <si>
    <t>SETA</t>
  </si>
  <si>
    <t>HM 004</t>
  </si>
  <si>
    <t>SİLİKON 50 SHOR</t>
  </si>
  <si>
    <t>LSR 50</t>
  </si>
  <si>
    <t>TERRA</t>
  </si>
  <si>
    <t>HM 005</t>
  </si>
  <si>
    <t>SİLİKON 70 SHOR</t>
  </si>
  <si>
    <t>LSR 70</t>
  </si>
  <si>
    <t>HM 006</t>
  </si>
  <si>
    <t>TRITAN</t>
  </si>
  <si>
    <t>XXX</t>
  </si>
  <si>
    <t>HM 007</t>
  </si>
  <si>
    <t>ABS</t>
  </si>
  <si>
    <t>HM 008</t>
  </si>
  <si>
    <t>SAN</t>
  </si>
  <si>
    <t>HM 009</t>
  </si>
  <si>
    <t>T.P.E.</t>
  </si>
  <si>
    <t>2.KALİTE P.P.</t>
  </si>
  <si>
    <t>KIRMA PP</t>
  </si>
  <si>
    <t>KIRMA</t>
  </si>
  <si>
    <t>HM 011</t>
  </si>
  <si>
    <t>2.KALİTE P.C.</t>
  </si>
  <si>
    <t>KIRMA PC</t>
  </si>
  <si>
    <t>2.KALİTE TRITAN</t>
  </si>
  <si>
    <t>KIRMA TRITAN</t>
  </si>
  <si>
    <t>HM 013</t>
  </si>
  <si>
    <t>2.KALİTE ABS</t>
  </si>
  <si>
    <t>KIRMA ABS</t>
  </si>
  <si>
    <t>HM 014</t>
  </si>
  <si>
    <t>2.KALİTE SAN</t>
  </si>
  <si>
    <t xml:space="preserve">KIRMA SAN </t>
  </si>
  <si>
    <t>HM 015</t>
  </si>
  <si>
    <t>2.KALİTE T.P.E.</t>
  </si>
  <si>
    <t>KIRMA TPE</t>
  </si>
  <si>
    <t>SİLİKON 52 SHOR</t>
  </si>
  <si>
    <t>KCC</t>
  </si>
  <si>
    <t>ALINAN KG</t>
  </si>
  <si>
    <t>TÜKETİLEN KG</t>
  </si>
  <si>
    <t>KULLANILAN KG</t>
  </si>
  <si>
    <t>STOK</t>
  </si>
  <si>
    <t>HATIRLATICI</t>
  </si>
  <si>
    <t>ALINAN GR</t>
  </si>
  <si>
    <t>9134A</t>
  </si>
  <si>
    <t>(Max) 4118</t>
  </si>
  <si>
    <t>5249A</t>
  </si>
  <si>
    <t>3407A</t>
  </si>
  <si>
    <t>708GN0539G</t>
  </si>
  <si>
    <t>708PK532G</t>
  </si>
  <si>
    <t>5139C</t>
  </si>
  <si>
    <t>708VI0502G</t>
  </si>
  <si>
    <t>708OE0506G.20</t>
  </si>
  <si>
    <t>287-1019905</t>
  </si>
  <si>
    <t>287-1019904</t>
  </si>
  <si>
    <t>(Max) 4119</t>
  </si>
  <si>
    <t>281-6059</t>
  </si>
  <si>
    <t>MAX 3600</t>
  </si>
  <si>
    <t>REDF 3565A</t>
  </si>
  <si>
    <t>2D KİMYA</t>
  </si>
  <si>
    <t>PEMBE</t>
  </si>
  <si>
    <t>BLUEF 5386A</t>
  </si>
  <si>
    <t>MAVİ</t>
  </si>
  <si>
    <t>1950C</t>
  </si>
  <si>
    <t>AYDIN BOYA</t>
  </si>
  <si>
    <t>SİYAH</t>
  </si>
  <si>
    <t>Boya Kodu</t>
  </si>
  <si>
    <t>KULLANILAN HAMMADDE</t>
  </si>
  <si>
    <t>Renk</t>
  </si>
  <si>
    <t>TİP</t>
  </si>
  <si>
    <t>Tüketim
GRAM</t>
  </si>
  <si>
    <t>P.C/P.P</t>
  </si>
  <si>
    <t>OPAK</t>
  </si>
  <si>
    <t>P.P</t>
  </si>
  <si>
    <t>SARI</t>
  </si>
  <si>
    <t>P.C/P.P/T.P.E.</t>
  </si>
  <si>
    <t>YEŞİL</t>
  </si>
  <si>
    <t>LİLA</t>
  </si>
  <si>
    <t>KIRMIZI</t>
  </si>
  <si>
    <t>P.C.</t>
  </si>
  <si>
    <t>E.PEMBE</t>
  </si>
  <si>
    <t>T.SARI</t>
  </si>
  <si>
    <t>TRANS</t>
  </si>
  <si>
    <t>polytrend</t>
  </si>
  <si>
    <t>T.YEŞİL</t>
  </si>
  <si>
    <t>T.PEMBE</t>
  </si>
  <si>
    <t>T.MAVİ</t>
  </si>
  <si>
    <t>T.VİOLET</t>
  </si>
  <si>
    <t>T.KIRMIZI</t>
  </si>
  <si>
    <t>T.ORANJ</t>
  </si>
  <si>
    <t>GO-CHEM</t>
  </si>
  <si>
    <t>LSR</t>
  </si>
  <si>
    <t>ORANJ</t>
  </si>
  <si>
    <t>TAYF</t>
  </si>
  <si>
    <t>P.P.</t>
  </si>
  <si>
    <t>TURUNCU</t>
  </si>
  <si>
    <t>KULLANILAN HAMMADDE TÜRÜ</t>
  </si>
  <si>
    <t>KULLANILAN GR</t>
  </si>
  <si>
    <t>HATIRLATICI
KG</t>
  </si>
  <si>
    <t>YM KODU</t>
  </si>
  <si>
    <t>GÖZ ADEDİ</t>
  </si>
  <si>
    <t xml:space="preserve">BASKI GRAMI </t>
  </si>
  <si>
    <t>BİRİM GRAMI</t>
  </si>
  <si>
    <t>MALZEME</t>
  </si>
  <si>
    <t>Sütun3</t>
  </si>
  <si>
    <t>KLASİK EMZİK UÇ NO 1</t>
  </si>
  <si>
    <t>Şeffaf</t>
  </si>
  <si>
    <t>KLASİK EMZİK UÇ NO 2</t>
  </si>
  <si>
    <t>KLASİK EMZİK UÇ NO 3</t>
  </si>
  <si>
    <t>DAMAK EMZİK UCU 1 NO</t>
  </si>
  <si>
    <t>DAMAK EMZİK UCU 2 NO</t>
  </si>
  <si>
    <t>DAMAK EMZİK UCU 3 NO</t>
  </si>
  <si>
    <t>KOMPLE SİLİKON DAMAK EMZİK 1 NO</t>
  </si>
  <si>
    <t>KOMPLE SİLİKON DAMAK EMZİK 2 NO</t>
  </si>
  <si>
    <t>KOM. SİL. KLASİK PRAMATÜRE EMZİK</t>
  </si>
  <si>
    <t>BİBERON KLASİK  UC 1 NO</t>
  </si>
  <si>
    <t>BİBERON KLASİK  UC 2 NO</t>
  </si>
  <si>
    <t>BİBERON KLASİK  UC 3 NO</t>
  </si>
  <si>
    <t>BİBERON DAMAK UC 1 NO</t>
  </si>
  <si>
    <t>BİBERON DAMAK UC 2 NO</t>
  </si>
  <si>
    <t>BİBERON DAMAK UC 3 NO</t>
  </si>
  <si>
    <t>GENİŞ AĞIZ BİBERON UCU</t>
  </si>
  <si>
    <t>AKITMAZ BİBERON UCU</t>
  </si>
  <si>
    <t>PRAMATÜRE BİBERON UCU</t>
  </si>
  <si>
    <t xml:space="preserve">SİLİKON MAMA KAŞIĞI UCU </t>
  </si>
  <si>
    <t>SİLİKON DİŞ KAŞIYICI AYI + FİL</t>
  </si>
  <si>
    <t>SİLİKON GÖĞÜS KORUYUCU</t>
  </si>
  <si>
    <t>SİLİKON  MEMBRAN TİRLE</t>
  </si>
  <si>
    <t xml:space="preserve">TİRLE POMPA </t>
  </si>
  <si>
    <t>BURUN POMPASI</t>
  </si>
  <si>
    <t>KOMP.SİL. BİBERON ŞİŞESİ 120ml</t>
  </si>
  <si>
    <t>DAMAK EMZİK GÖVDE</t>
  </si>
  <si>
    <t>DAMAK EMZİK UYKU GÖVDE</t>
  </si>
  <si>
    <t>KLASİK EMZİK GÖVDE</t>
  </si>
  <si>
    <t>YENİ DAMAK GÖVDE</t>
  </si>
  <si>
    <t>KLASİK EMZİK SAP</t>
  </si>
  <si>
    <t>DAMAK EMZİK SAP</t>
  </si>
  <si>
    <t>MAMA KAŞIĞI SAP</t>
  </si>
  <si>
    <t>KİRAZ EMZİK TIPA</t>
  </si>
  <si>
    <t>DAMAK EMZİK TIPA</t>
  </si>
  <si>
    <t>UYKU EMZİK TIPA</t>
  </si>
  <si>
    <t>YENİ EMZİK TIPASI</t>
  </si>
  <si>
    <t>MAMA KAŞIĞI TIPA</t>
  </si>
  <si>
    <t>BİBERON SEYAHAT TIPASI</t>
  </si>
  <si>
    <t>BURUN POMPASI TIPASI</t>
  </si>
  <si>
    <t>BOYASIZ</t>
  </si>
  <si>
    <t xml:space="preserve">BİBERON KAPAĞI </t>
  </si>
  <si>
    <t>GENİŞ AĞIZ BİBERON KAPAĞI</t>
  </si>
  <si>
    <t>SULUK 125ml KAPAK</t>
  </si>
  <si>
    <t>SULUK 60ml KAPAK</t>
  </si>
  <si>
    <t>SULUK 30ml KAPAK</t>
  </si>
  <si>
    <t>MAMA TABAĞI KAPAĞI</t>
  </si>
  <si>
    <t>EMZİK KAPAĞI</t>
  </si>
  <si>
    <t>YENİ EMZİK KAPAĞI</t>
  </si>
  <si>
    <t>125 ml BARDAK SULUK</t>
  </si>
  <si>
    <t>60 ml BARDAK SULUK</t>
  </si>
  <si>
    <t>KULPLU BİBERON VİDA</t>
  </si>
  <si>
    <t xml:space="preserve"> BİBERON VİDA</t>
  </si>
  <si>
    <t>KOMP.SİL. BİBERON İÇ VİDA</t>
  </si>
  <si>
    <t>TİRLE VİDA</t>
  </si>
  <si>
    <t>GENİŞ AĞIZ BİBERON VİDA</t>
  </si>
  <si>
    <t>TİRLE CONTA</t>
  </si>
  <si>
    <t>TİRLE HUNİ</t>
  </si>
  <si>
    <t>TİRLE ZURNA</t>
  </si>
  <si>
    <t>EMZİK SAKLAMA KUTUSU ÜST</t>
  </si>
  <si>
    <t>EMZİK SAKLAMA KUTUSU ALT</t>
  </si>
  <si>
    <t>MAMA TABAĞI</t>
  </si>
  <si>
    <t>KURBAĞA DİŞ KAŞIYICI TUTACAK</t>
  </si>
  <si>
    <t>NEŞELİ ÇINGIRAK</t>
  </si>
  <si>
    <t>SAÇ FIRÇASI</t>
  </si>
  <si>
    <t>SAÇ TARAĞI</t>
  </si>
  <si>
    <t>ÇATAL</t>
  </si>
  <si>
    <t>KAŞIK</t>
  </si>
  <si>
    <t>125 ml BOMBELİ BİBERON KULP</t>
  </si>
  <si>
    <t>250 ml BOMBELİ BİBERON KULP</t>
  </si>
  <si>
    <t>GENİŞ AĞIZ BİBERON KULP</t>
  </si>
  <si>
    <t>KOMPLE SİLİKON BİBERON HALKA</t>
  </si>
  <si>
    <t>EMZİK ASKISI YUVARLAK GÖVDE</t>
  </si>
  <si>
    <t>EMZİK ASKISI YUVARLAK MANDAL</t>
  </si>
  <si>
    <t>EMZİK ASKISI KANCA</t>
  </si>
  <si>
    <t>EMZİK ASKISI ZİNCİR</t>
  </si>
  <si>
    <t>EMZİK ASKI TIPA DÜZ KAFA</t>
  </si>
  <si>
    <t>EMZİK ASKI TIPA ÖRDEK</t>
  </si>
  <si>
    <t>EMZİK ASKISI KISKAÇ ERKEK</t>
  </si>
  <si>
    <t>EMZİK ASKISI KISKAÇ DİŞİ</t>
  </si>
  <si>
    <t>EMZİK ASKISI MANDAL</t>
  </si>
  <si>
    <t>980</t>
  </si>
  <si>
    <t>YM 061TP</t>
  </si>
  <si>
    <t>YM 060TK</t>
  </si>
  <si>
    <t>K-SAK-1</t>
  </si>
  <si>
    <t>K-SAK-2</t>
  </si>
  <si>
    <t>Y-SAK-1</t>
  </si>
  <si>
    <t>Y-SAK-2</t>
  </si>
  <si>
    <t>Y-SAK-3</t>
  </si>
  <si>
    <t>Y-SAK-KPK-1</t>
  </si>
  <si>
    <t>Y-SAK-KPK-2</t>
  </si>
  <si>
    <t>Y-SAK-KPK-3</t>
  </si>
  <si>
    <t>KARE SAKLAMA KABI NO 1</t>
  </si>
  <si>
    <t>KARE SAKLAMA KABI NO 2</t>
  </si>
  <si>
    <t>YUVARLAK SAKLAMA KABI NO 1</t>
  </si>
  <si>
    <t>YUVARLAK SAKLAMA KABI NO 2</t>
  </si>
  <si>
    <t>YUVARLAK SAKLAMA KABI NO 3</t>
  </si>
  <si>
    <t>YUVARLAK SAKLAMA KABI KAPAĞI 1</t>
  </si>
  <si>
    <t>YUVARLAK SAKLAMA KABI KAPAĞI 2</t>
  </si>
  <si>
    <t>YUVARLAK SAKLAMA KABI KAPAĞI 3</t>
  </si>
  <si>
    <t>YM 033P</t>
  </si>
  <si>
    <t>YM 033M</t>
  </si>
  <si>
    <t>K-SAK-KPK</t>
  </si>
  <si>
    <t>KARE SAKLAMA KABI KAPAĞI</t>
  </si>
  <si>
    <t>ERDEM</t>
  </si>
  <si>
    <t>YM 060TY</t>
  </si>
  <si>
    <t>YM 051TY</t>
  </si>
  <si>
    <t>YM 051TK</t>
  </si>
  <si>
    <t xml:space="preserve"> </t>
  </si>
  <si>
    <t>ELASTRON KİMYA</t>
  </si>
  <si>
    <t>KARE SAKLAMA KAPAĞI CONTASI</t>
  </si>
  <si>
    <t>YM 061Y</t>
  </si>
  <si>
    <t>YM 140B</t>
  </si>
  <si>
    <t>KASIM</t>
  </si>
  <si>
    <t>silikomat</t>
  </si>
  <si>
    <t>ALDOĞ</t>
  </si>
  <si>
    <t>NISAN</t>
  </si>
  <si>
    <t>EKIM</t>
  </si>
  <si>
    <t>ARALIK</t>
  </si>
  <si>
    <t>YHOSONG</t>
  </si>
</sst>
</file>

<file path=xl/styles.xml><?xml version="1.0" encoding="utf-8"?>
<styleSheet xmlns="http://schemas.openxmlformats.org/spreadsheetml/2006/main">
  <numFmts count="1">
    <numFmt numFmtId="164" formatCode="[$-F400]h:mm:ss\ AM/PM"/>
  </numFmts>
  <fonts count="7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b/>
      <sz val="10"/>
      <color theme="1"/>
      <name val="Calibri"/>
      <family val="2"/>
      <charset val="162"/>
      <scheme val="minor"/>
    </font>
    <font>
      <sz val="11"/>
      <name val="Calibri"/>
      <family val="2"/>
      <charset val="162"/>
      <scheme val="minor"/>
    </font>
    <font>
      <b/>
      <sz val="12"/>
      <color theme="1"/>
      <name val="Calibri"/>
      <family val="2"/>
      <charset val="162"/>
      <scheme val="minor"/>
    </font>
    <font>
      <b/>
      <sz val="11"/>
      <color theme="1" tint="4.9989318521683403E-2"/>
      <name val="Calibri"/>
      <family val="2"/>
      <charset val="162"/>
      <scheme val="minor"/>
    </font>
    <font>
      <b/>
      <sz val="11"/>
      <color theme="1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</borders>
  <cellStyleXfs count="1">
    <xf numFmtId="0" fontId="0" fillId="0" borderId="0"/>
  </cellStyleXfs>
  <cellXfs count="170">
    <xf numFmtId="0" fontId="0" fillId="0" borderId="0" xfId="0"/>
    <xf numFmtId="0" fontId="0" fillId="0" borderId="0" xfId="0" applyBorder="1"/>
    <xf numFmtId="0" fontId="1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1" xfId="0" applyFont="1" applyFill="1" applyBorder="1" applyAlignment="1">
      <alignment horizontal="left" vertical="center"/>
    </xf>
    <xf numFmtId="0" fontId="1" fillId="0" borderId="8" xfId="0" applyFont="1" applyBorder="1" applyAlignment="1">
      <alignment horizontal="left" vertical="center"/>
    </xf>
    <xf numFmtId="0" fontId="1" fillId="0" borderId="10" xfId="0" applyFont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4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1" fillId="0" borderId="3" xfId="0" applyFont="1" applyBorder="1" applyAlignment="1">
      <alignment horizontal="left" vertical="center"/>
    </xf>
    <xf numFmtId="0" fontId="1" fillId="0" borderId="2" xfId="0" applyFont="1" applyFill="1" applyBorder="1" applyAlignment="1">
      <alignment horizontal="center" vertical="center"/>
    </xf>
    <xf numFmtId="2" fontId="1" fillId="0" borderId="1" xfId="0" applyNumberFormat="1" applyFont="1" applyBorder="1" applyAlignment="1">
      <alignment horizontal="center" vertical="center"/>
    </xf>
    <xf numFmtId="0" fontId="1" fillId="0" borderId="4" xfId="0" applyFont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/>
    </xf>
    <xf numFmtId="0" fontId="1" fillId="0" borderId="3" xfId="0" applyFont="1" applyFill="1" applyBorder="1" applyAlignment="1">
      <alignment horizontal="left" vertical="center"/>
    </xf>
    <xf numFmtId="0" fontId="1" fillId="0" borderId="7" xfId="0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0" fontId="1" fillId="0" borderId="0" xfId="0" applyFont="1" applyBorder="1" applyAlignment="1" applyProtection="1">
      <alignment horizontal="left" vertical="center"/>
      <protection hidden="1"/>
    </xf>
    <xf numFmtId="14" fontId="1" fillId="0" borderId="0" xfId="0" applyNumberFormat="1" applyFont="1" applyBorder="1" applyAlignment="1" applyProtection="1">
      <alignment horizontal="center" vertical="center"/>
      <protection hidden="1"/>
    </xf>
    <xf numFmtId="0" fontId="1" fillId="0" borderId="0" xfId="0" applyFont="1" applyBorder="1" applyAlignment="1" applyProtection="1">
      <alignment horizontal="center" vertical="center"/>
      <protection hidden="1"/>
    </xf>
    <xf numFmtId="164" fontId="1" fillId="0" borderId="0" xfId="0" applyNumberFormat="1" applyFont="1" applyBorder="1" applyAlignment="1" applyProtection="1">
      <alignment horizontal="center" vertical="center"/>
      <protection hidden="1"/>
    </xf>
    <xf numFmtId="0" fontId="1" fillId="0" borderId="0" xfId="0" applyNumberFormat="1" applyFont="1" applyBorder="1" applyAlignment="1" applyProtection="1">
      <alignment horizontal="center" vertical="center"/>
      <protection hidden="1"/>
    </xf>
    <xf numFmtId="0" fontId="1" fillId="0" borderId="0" xfId="0" applyFont="1" applyBorder="1" applyAlignment="1" applyProtection="1">
      <alignment horizontal="center" vertical="center" wrapText="1"/>
      <protection hidden="1"/>
    </xf>
    <xf numFmtId="0" fontId="1" fillId="0" borderId="0" xfId="0" applyFont="1" applyBorder="1" applyAlignment="1" applyProtection="1">
      <alignment horizontal="left" vertical="center" wrapText="1"/>
      <protection hidden="1"/>
    </xf>
    <xf numFmtId="14" fontId="1" fillId="0" borderId="0" xfId="0" applyNumberFormat="1" applyFont="1" applyBorder="1" applyAlignment="1" applyProtection="1">
      <alignment horizontal="center" vertical="center" wrapText="1"/>
      <protection hidden="1"/>
    </xf>
    <xf numFmtId="164" fontId="1" fillId="0" borderId="0" xfId="0" applyNumberFormat="1" applyFont="1" applyBorder="1" applyAlignment="1" applyProtection="1">
      <alignment horizontal="center" vertical="center" wrapText="1"/>
      <protection hidden="1"/>
    </xf>
    <xf numFmtId="0" fontId="1" fillId="0" borderId="0" xfId="0" applyNumberFormat="1" applyFont="1" applyBorder="1" applyAlignment="1" applyProtection="1">
      <alignment horizontal="center" vertical="center" wrapText="1"/>
      <protection hidden="1"/>
    </xf>
    <xf numFmtId="0" fontId="1" fillId="0" borderId="0" xfId="0" applyFont="1" applyAlignment="1" applyProtection="1">
      <alignment horizontal="center" vertical="center" wrapText="1"/>
      <protection hidden="1"/>
    </xf>
    <xf numFmtId="0" fontId="1" fillId="0" borderId="0" xfId="0" applyFont="1" applyAlignment="1" applyProtection="1">
      <alignment horizontal="center" vertical="center"/>
      <protection hidden="1"/>
    </xf>
    <xf numFmtId="14" fontId="1" fillId="0" borderId="0" xfId="0" applyNumberFormat="1" applyFont="1" applyAlignment="1" applyProtection="1">
      <alignment horizontal="center" vertical="center"/>
      <protection hidden="1"/>
    </xf>
    <xf numFmtId="0" fontId="1" fillId="0" borderId="0" xfId="0" applyFont="1" applyAlignment="1" applyProtection="1">
      <alignment horizontal="left" vertical="top"/>
      <protection hidden="1"/>
    </xf>
    <xf numFmtId="14" fontId="1" fillId="0" borderId="0" xfId="0" applyNumberFormat="1" applyFont="1" applyAlignment="1" applyProtection="1">
      <alignment horizontal="left" vertical="top"/>
      <protection hidden="1"/>
    </xf>
    <xf numFmtId="0" fontId="1" fillId="0" borderId="0" xfId="0" applyFont="1" applyAlignment="1" applyProtection="1">
      <alignment vertical="center"/>
      <protection hidden="1"/>
    </xf>
    <xf numFmtId="0" fontId="4" fillId="0" borderId="0" xfId="0" applyFont="1" applyAlignment="1" applyProtection="1">
      <alignment horizontal="left" vertical="center" wrapText="1"/>
      <protection hidden="1"/>
    </xf>
    <xf numFmtId="0" fontId="4" fillId="0" borderId="0" xfId="0" applyFont="1" applyAlignment="1" applyProtection="1">
      <alignment horizontal="right" vertical="center" wrapText="1"/>
      <protection hidden="1"/>
    </xf>
    <xf numFmtId="0" fontId="4" fillId="0" borderId="0" xfId="0" applyFont="1" applyAlignment="1" applyProtection="1">
      <alignment horizontal="center" vertical="center" wrapText="1"/>
      <protection hidden="1"/>
    </xf>
    <xf numFmtId="14" fontId="4" fillId="0" borderId="0" xfId="0" applyNumberFormat="1" applyFont="1" applyAlignment="1" applyProtection="1">
      <alignment horizontal="center" vertical="center" wrapText="1"/>
      <protection hidden="1"/>
    </xf>
    <xf numFmtId="0" fontId="1" fillId="0" borderId="0" xfId="0" applyFont="1" applyAlignment="1" applyProtection="1">
      <alignment horizontal="left" vertical="center"/>
      <protection hidden="1"/>
    </xf>
    <xf numFmtId="0" fontId="1" fillId="0" borderId="0" xfId="0" applyFont="1" applyAlignment="1" applyProtection="1">
      <alignment horizontal="right" vertical="center"/>
      <protection hidden="1"/>
    </xf>
    <xf numFmtId="14" fontId="1" fillId="0" borderId="0" xfId="0" applyNumberFormat="1" applyFont="1" applyAlignment="1" applyProtection="1">
      <alignment horizontal="center" vertical="center"/>
      <protection hidden="1"/>
    </xf>
    <xf numFmtId="0" fontId="6" fillId="0" borderId="3" xfId="0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0" fillId="3" borderId="0" xfId="0" applyFill="1"/>
    <xf numFmtId="0" fontId="6" fillId="2" borderId="3" xfId="0" applyFont="1" applyFill="1" applyBorder="1" applyAlignment="1">
      <alignment horizontal="left" vertical="center"/>
    </xf>
    <xf numFmtId="0" fontId="6" fillId="2" borderId="1" xfId="0" applyFont="1" applyFill="1" applyBorder="1" applyAlignment="1">
      <alignment horizontal="left" vertical="center"/>
    </xf>
    <xf numFmtId="0" fontId="6" fillId="2" borderId="1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left" vertical="center"/>
    </xf>
    <xf numFmtId="0" fontId="6" fillId="3" borderId="1" xfId="0" applyFont="1" applyFill="1" applyBorder="1" applyAlignment="1">
      <alignment horizontal="left" vertical="center"/>
    </xf>
    <xf numFmtId="0" fontId="6" fillId="3" borderId="1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/>
    <xf numFmtId="0" fontId="1" fillId="0" borderId="0" xfId="0" applyFont="1" applyBorder="1"/>
    <xf numFmtId="0" fontId="1" fillId="0" borderId="0" xfId="0" applyFont="1" applyBorder="1" applyAlignment="1" applyProtection="1">
      <alignment vertical="center"/>
      <protection hidden="1"/>
    </xf>
    <xf numFmtId="0" fontId="6" fillId="0" borderId="0" xfId="0" applyFont="1" applyBorder="1" applyAlignment="1">
      <alignment horizontal="left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2" fontId="6" fillId="2" borderId="1" xfId="0" applyNumberFormat="1" applyFont="1" applyFill="1" applyBorder="1" applyAlignment="1">
      <alignment horizontal="center" vertical="center"/>
    </xf>
    <xf numFmtId="0" fontId="1" fillId="0" borderId="0" xfId="0" applyFont="1" applyBorder="1" applyAlignment="1" applyProtection="1">
      <alignment horizontal="center" vertical="center"/>
      <protection hidden="1"/>
    </xf>
    <xf numFmtId="0" fontId="6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 wrapText="1"/>
    </xf>
    <xf numFmtId="0" fontId="1" fillId="0" borderId="0" xfId="0" applyFont="1" applyBorder="1" applyAlignment="1" applyProtection="1">
      <alignment horizontal="center" vertical="center"/>
      <protection hidden="1"/>
    </xf>
    <xf numFmtId="0" fontId="6" fillId="0" borderId="3" xfId="0" applyFont="1" applyFill="1" applyBorder="1" applyAlignment="1">
      <alignment horizontal="left" vertical="center"/>
    </xf>
    <xf numFmtId="0" fontId="6" fillId="0" borderId="7" xfId="0" applyFont="1" applyBorder="1" applyAlignment="1">
      <alignment horizontal="left" vertical="center"/>
    </xf>
    <xf numFmtId="0" fontId="1" fillId="0" borderId="3" xfId="0" applyFont="1" applyBorder="1" applyAlignment="1">
      <alignment vertical="center"/>
    </xf>
    <xf numFmtId="0" fontId="6" fillId="0" borderId="3" xfId="0" applyFont="1" applyBorder="1" applyAlignment="1">
      <alignment vertical="center"/>
    </xf>
    <xf numFmtId="14" fontId="1" fillId="0" borderId="0" xfId="0" applyNumberFormat="1" applyFont="1" applyBorder="1" applyAlignment="1" applyProtection="1">
      <alignment horizontal="center" vertical="center"/>
      <protection locked="0"/>
    </xf>
    <xf numFmtId="0" fontId="1" fillId="0" borderId="0" xfId="0" applyFont="1" applyBorder="1" applyAlignment="1" applyProtection="1">
      <alignment horizontal="center" vertical="center"/>
      <protection locked="0"/>
    </xf>
    <xf numFmtId="164" fontId="1" fillId="0" borderId="0" xfId="0" applyNumberFormat="1" applyFont="1" applyBorder="1" applyAlignment="1" applyProtection="1">
      <alignment horizontal="center" vertical="center"/>
      <protection locked="0"/>
    </xf>
    <xf numFmtId="0" fontId="1" fillId="0" borderId="0" xfId="0" applyNumberFormat="1" applyFont="1" applyBorder="1" applyAlignment="1" applyProtection="1">
      <alignment horizontal="center" vertical="center"/>
      <protection locked="0"/>
    </xf>
    <xf numFmtId="0" fontId="1" fillId="0" borderId="0" xfId="0" applyFont="1" applyBorder="1" applyAlignment="1" applyProtection="1">
      <alignment horizontal="center" vertical="center" wrapText="1"/>
      <protection locked="0"/>
    </xf>
    <xf numFmtId="0" fontId="1" fillId="0" borderId="0" xfId="0" applyFont="1" applyBorder="1" applyAlignment="1" applyProtection="1">
      <alignment horizontal="left" vertical="center" wrapText="1"/>
      <protection locked="0"/>
    </xf>
    <xf numFmtId="14" fontId="1" fillId="0" borderId="0" xfId="0" applyNumberFormat="1" applyFont="1" applyBorder="1" applyAlignment="1" applyProtection="1">
      <alignment horizontal="center" vertical="center" wrapText="1"/>
      <protection locked="0"/>
    </xf>
    <xf numFmtId="164" fontId="1" fillId="0" borderId="0" xfId="0" applyNumberFormat="1" applyFont="1" applyBorder="1" applyAlignment="1" applyProtection="1">
      <alignment horizontal="center" vertical="center" wrapText="1"/>
      <protection locked="0"/>
    </xf>
    <xf numFmtId="0" fontId="1" fillId="0" borderId="0" xfId="0" applyNumberFormat="1" applyFont="1" applyBorder="1" applyAlignment="1" applyProtection="1">
      <alignment horizontal="center" vertical="center" wrapText="1"/>
      <protection locked="0"/>
    </xf>
    <xf numFmtId="0" fontId="1" fillId="0" borderId="0" xfId="0" applyFont="1" applyBorder="1" applyAlignment="1" applyProtection="1">
      <alignment horizontal="left" vertical="center"/>
      <protection locked="0"/>
    </xf>
    <xf numFmtId="14" fontId="1" fillId="0" borderId="0" xfId="0" applyNumberFormat="1" applyFont="1" applyBorder="1" applyAlignment="1" applyProtection="1">
      <alignment horizontal="center" vertical="center"/>
      <protection locked="0" hidden="1"/>
    </xf>
    <xf numFmtId="0" fontId="1" fillId="0" borderId="0" xfId="0" applyFont="1" applyBorder="1" applyAlignment="1" applyProtection="1">
      <alignment horizontal="center" vertical="center"/>
      <protection locked="0" hidden="1"/>
    </xf>
    <xf numFmtId="164" fontId="1" fillId="0" borderId="0" xfId="0" applyNumberFormat="1" applyFont="1" applyBorder="1" applyAlignment="1" applyProtection="1">
      <alignment horizontal="center" vertical="center"/>
      <protection locked="0" hidden="1"/>
    </xf>
    <xf numFmtId="0" fontId="1" fillId="0" borderId="0" xfId="0" applyNumberFormat="1" applyFont="1" applyBorder="1" applyAlignment="1" applyProtection="1">
      <alignment horizontal="center" vertical="center"/>
      <protection locked="0" hidden="1"/>
    </xf>
    <xf numFmtId="0" fontId="1" fillId="0" borderId="0" xfId="0" applyFont="1" applyBorder="1" applyAlignment="1" applyProtection="1">
      <alignment horizontal="center" vertical="center" wrapText="1"/>
      <protection locked="0" hidden="1"/>
    </xf>
    <xf numFmtId="0" fontId="1" fillId="0" borderId="0" xfId="0" applyFont="1" applyBorder="1" applyAlignment="1" applyProtection="1">
      <alignment horizontal="left" vertical="center" wrapText="1"/>
      <protection locked="0" hidden="1"/>
    </xf>
    <xf numFmtId="14" fontId="1" fillId="0" borderId="0" xfId="0" applyNumberFormat="1" applyFont="1" applyBorder="1" applyAlignment="1" applyProtection="1">
      <alignment horizontal="center" vertical="center" wrapText="1"/>
      <protection locked="0" hidden="1"/>
    </xf>
    <xf numFmtId="164" fontId="1" fillId="0" borderId="0" xfId="0" applyNumberFormat="1" applyFont="1" applyBorder="1" applyAlignment="1" applyProtection="1">
      <alignment horizontal="center" vertical="center" wrapText="1"/>
      <protection locked="0" hidden="1"/>
    </xf>
    <xf numFmtId="0" fontId="1" fillId="0" borderId="0" xfId="0" applyNumberFormat="1" applyFont="1" applyBorder="1" applyAlignment="1" applyProtection="1">
      <alignment horizontal="center" vertical="center" wrapText="1"/>
      <protection locked="0" hidden="1"/>
    </xf>
    <xf numFmtId="0" fontId="1" fillId="0" borderId="0" xfId="0" applyFont="1" applyBorder="1" applyAlignment="1" applyProtection="1">
      <alignment horizontal="left" vertical="center"/>
      <protection locked="0" hidden="1"/>
    </xf>
    <xf numFmtId="0" fontId="5" fillId="3" borderId="0" xfId="0" applyFont="1" applyFill="1" applyBorder="1" applyAlignment="1" applyProtection="1">
      <alignment horizontal="center" vertical="center"/>
      <protection locked="0" hidden="1"/>
    </xf>
    <xf numFmtId="16" fontId="1" fillId="0" borderId="0" xfId="0" applyNumberFormat="1" applyFont="1" applyBorder="1" applyAlignment="1" applyProtection="1">
      <alignment horizontal="center" vertical="center"/>
      <protection locked="0" hidden="1"/>
    </xf>
    <xf numFmtId="0" fontId="6" fillId="0" borderId="0" xfId="0" applyFont="1" applyBorder="1" applyAlignment="1" applyProtection="1">
      <alignment horizontal="center" vertical="center"/>
      <protection locked="0" hidden="1"/>
    </xf>
    <xf numFmtId="0" fontId="6" fillId="0" borderId="0" xfId="0" applyFont="1" applyBorder="1" applyAlignment="1" applyProtection="1">
      <alignment horizontal="left" vertical="center"/>
      <protection locked="0" hidden="1"/>
    </xf>
    <xf numFmtId="14" fontId="6" fillId="0" borderId="0" xfId="0" applyNumberFormat="1" applyFont="1" applyBorder="1" applyAlignment="1" applyProtection="1">
      <alignment horizontal="center" vertical="center"/>
      <protection locked="0" hidden="1"/>
    </xf>
    <xf numFmtId="164" fontId="6" fillId="0" borderId="0" xfId="0" applyNumberFormat="1" applyFont="1" applyBorder="1" applyAlignment="1" applyProtection="1">
      <alignment horizontal="center" vertical="center"/>
      <protection locked="0" hidden="1"/>
    </xf>
    <xf numFmtId="0" fontId="6" fillId="0" borderId="0" xfId="0" applyNumberFormat="1" applyFont="1" applyBorder="1" applyAlignment="1" applyProtection="1">
      <alignment horizontal="center" vertical="center"/>
      <protection locked="0" hidden="1"/>
    </xf>
    <xf numFmtId="2" fontId="0" fillId="0" borderId="0" xfId="0" applyNumberFormat="1" applyFont="1" applyBorder="1" applyAlignment="1" applyProtection="1">
      <alignment horizontal="center" vertical="center"/>
      <protection locked="0" hidden="1"/>
    </xf>
    <xf numFmtId="2" fontId="1" fillId="0" borderId="0" xfId="0" applyNumberFormat="1" applyFont="1" applyBorder="1" applyAlignment="1" applyProtection="1">
      <alignment horizontal="center" vertical="center"/>
      <protection locked="0" hidden="1"/>
    </xf>
    <xf numFmtId="2" fontId="0" fillId="0" borderId="0" xfId="0" applyNumberFormat="1" applyBorder="1" applyAlignment="1" applyProtection="1">
      <alignment horizontal="center" vertical="center"/>
      <protection locked="0" hidden="1"/>
    </xf>
    <xf numFmtId="20" fontId="1" fillId="0" borderId="0" xfId="0" applyNumberFormat="1" applyFont="1" applyBorder="1" applyAlignment="1" applyProtection="1">
      <alignment horizontal="center" vertical="center"/>
      <protection locked="0" hidden="1"/>
    </xf>
    <xf numFmtId="0" fontId="1" fillId="0" borderId="3" xfId="0" applyFont="1" applyBorder="1" applyAlignment="1" applyProtection="1">
      <alignment horizontal="left" vertical="center"/>
      <protection locked="0" hidden="1"/>
    </xf>
    <xf numFmtId="0" fontId="6" fillId="0" borderId="3" xfId="0" applyFont="1" applyBorder="1" applyAlignment="1" applyProtection="1">
      <alignment horizontal="left" vertical="center"/>
      <protection locked="0" hidden="1"/>
    </xf>
    <xf numFmtId="0" fontId="1" fillId="0" borderId="0" xfId="0" applyFont="1" applyAlignment="1" applyProtection="1">
      <alignment horizontal="left" vertical="top" wrapText="1"/>
      <protection locked="0"/>
    </xf>
    <xf numFmtId="14" fontId="1" fillId="0" borderId="0" xfId="0" applyNumberFormat="1" applyFont="1" applyAlignment="1" applyProtection="1">
      <alignment horizontal="left" vertical="top" wrapText="1"/>
      <protection locked="0"/>
    </xf>
    <xf numFmtId="0" fontId="1" fillId="0" borderId="0" xfId="0" applyFont="1" applyAlignment="1" applyProtection="1">
      <alignment horizontal="left" vertical="top"/>
      <protection locked="0" hidden="1"/>
    </xf>
    <xf numFmtId="14" fontId="1" fillId="0" borderId="0" xfId="0" applyNumberFormat="1" applyFont="1" applyAlignment="1" applyProtection="1">
      <alignment horizontal="left" vertical="top"/>
      <protection locked="0" hidden="1"/>
    </xf>
    <xf numFmtId="0" fontId="1" fillId="0" borderId="0" xfId="0" applyFont="1" applyBorder="1" applyAlignment="1" applyProtection="1">
      <alignment horizontal="left" vertical="top"/>
      <protection locked="0" hidden="1"/>
    </xf>
    <xf numFmtId="14" fontId="1" fillId="0" borderId="0" xfId="0" applyNumberFormat="1" applyFont="1" applyBorder="1" applyAlignment="1" applyProtection="1">
      <alignment horizontal="left" vertical="top"/>
      <protection locked="0" hidden="1"/>
    </xf>
    <xf numFmtId="0" fontId="1" fillId="0" borderId="12" xfId="0" applyFont="1" applyBorder="1" applyAlignment="1" applyProtection="1">
      <alignment horizontal="left" vertical="top"/>
      <protection locked="0" hidden="1"/>
    </xf>
    <xf numFmtId="14" fontId="1" fillId="0" borderId="13" xfId="0" applyNumberFormat="1" applyFont="1" applyBorder="1" applyAlignment="1" applyProtection="1">
      <alignment horizontal="left" vertical="top"/>
      <protection locked="0" hidden="1"/>
    </xf>
    <xf numFmtId="0" fontId="1" fillId="0" borderId="13" xfId="0" applyFont="1" applyBorder="1" applyAlignment="1" applyProtection="1">
      <alignment horizontal="left" vertical="top"/>
      <protection locked="0" hidden="1"/>
    </xf>
    <xf numFmtId="0" fontId="1" fillId="0" borderId="3" xfId="0" applyFont="1" applyBorder="1" applyAlignment="1" applyProtection="1">
      <alignment horizontal="left" vertical="top"/>
      <protection locked="0" hidden="1"/>
    </xf>
    <xf numFmtId="0" fontId="1" fillId="0" borderId="3" xfId="0" applyFont="1" applyBorder="1" applyAlignment="1" applyProtection="1">
      <alignment vertical="center"/>
      <protection locked="0" hidden="1"/>
    </xf>
    <xf numFmtId="0" fontId="1" fillId="0" borderId="0" xfId="0" applyFont="1" applyAlignment="1" applyProtection="1">
      <alignment vertical="center"/>
      <protection locked="0" hidden="1"/>
    </xf>
    <xf numFmtId="0" fontId="1" fillId="0" borderId="0" xfId="0" applyNumberFormat="1" applyFont="1" applyAlignment="1" applyProtection="1">
      <alignment vertical="center"/>
      <protection locked="0" hidden="1"/>
    </xf>
    <xf numFmtId="0" fontId="1" fillId="0" borderId="7" xfId="0" applyFont="1" applyBorder="1" applyAlignment="1" applyProtection="1">
      <alignment vertical="center"/>
      <protection locked="0" hidden="1"/>
    </xf>
    <xf numFmtId="0" fontId="1" fillId="0" borderId="3" xfId="0" applyFont="1" applyFill="1" applyBorder="1" applyAlignment="1" applyProtection="1">
      <alignment vertical="center"/>
      <protection locked="0" hidden="1"/>
    </xf>
    <xf numFmtId="0" fontId="6" fillId="0" borderId="7" xfId="0" applyFont="1" applyBorder="1" applyAlignment="1" applyProtection="1">
      <alignment horizontal="left" vertical="center"/>
      <protection locked="0" hidden="1"/>
    </xf>
    <xf numFmtId="0" fontId="1" fillId="0" borderId="0" xfId="0" applyFont="1" applyBorder="1" applyAlignment="1" applyProtection="1">
      <alignment vertical="center"/>
      <protection locked="0" hidden="1"/>
    </xf>
    <xf numFmtId="0" fontId="1" fillId="0" borderId="0" xfId="0" applyNumberFormat="1" applyFont="1" applyBorder="1" applyAlignment="1" applyProtection="1">
      <alignment vertical="center"/>
      <protection locked="0" hidden="1"/>
    </xf>
    <xf numFmtId="0" fontId="1" fillId="0" borderId="0" xfId="0" applyFont="1" applyAlignment="1" applyProtection="1">
      <alignment horizontal="left" vertical="center"/>
      <protection locked="0" hidden="1"/>
    </xf>
    <xf numFmtId="0" fontId="1" fillId="0" borderId="0" xfId="0" applyFont="1" applyAlignment="1" applyProtection="1">
      <alignment horizontal="right" vertical="center"/>
      <protection locked="0" hidden="1"/>
    </xf>
    <xf numFmtId="0" fontId="1" fillId="0" borderId="0" xfId="0" applyFont="1" applyAlignment="1" applyProtection="1">
      <alignment horizontal="center" vertical="center"/>
      <protection locked="0" hidden="1"/>
    </xf>
    <xf numFmtId="14" fontId="1" fillId="0" borderId="0" xfId="0" applyNumberFormat="1" applyFont="1" applyAlignment="1" applyProtection="1">
      <alignment horizontal="center" vertical="center"/>
      <protection locked="0" hidden="1"/>
    </xf>
    <xf numFmtId="0" fontId="1" fillId="0" borderId="0" xfId="0" applyFont="1" applyBorder="1" applyAlignment="1" applyProtection="1">
      <alignment horizontal="right" vertical="center"/>
      <protection locked="0" hidden="1"/>
    </xf>
    <xf numFmtId="0" fontId="4" fillId="0" borderId="0" xfId="0" applyFont="1" applyAlignment="1" applyProtection="1">
      <alignment horizontal="left" vertical="center" wrapText="1"/>
      <protection locked="0" hidden="1"/>
    </xf>
    <xf numFmtId="2" fontId="4" fillId="0" borderId="0" xfId="0" applyNumberFormat="1" applyFont="1" applyAlignment="1" applyProtection="1">
      <alignment horizontal="left" vertical="center" wrapText="1"/>
      <protection locked="0" hidden="1"/>
    </xf>
    <xf numFmtId="2" fontId="1" fillId="0" borderId="0" xfId="0" applyNumberFormat="1" applyFont="1" applyAlignment="1" applyProtection="1">
      <alignment horizontal="left" vertical="center"/>
      <protection locked="0" hidden="1"/>
    </xf>
    <xf numFmtId="2" fontId="1" fillId="0" borderId="0" xfId="0" applyNumberFormat="1" applyFont="1" applyBorder="1" applyAlignment="1" applyProtection="1">
      <alignment horizontal="left" vertical="center"/>
      <protection locked="0" hidden="1"/>
    </xf>
    <xf numFmtId="0" fontId="6" fillId="0" borderId="0" xfId="0" applyFont="1" applyAlignment="1" applyProtection="1">
      <alignment horizontal="left" vertical="center"/>
      <protection locked="0" hidden="1"/>
    </xf>
    <xf numFmtId="14" fontId="6" fillId="0" borderId="0" xfId="0" applyNumberFormat="1" applyFont="1" applyAlignment="1" applyProtection="1">
      <alignment horizontal="center" vertical="center"/>
      <protection locked="0" hidden="1"/>
    </xf>
    <xf numFmtId="0" fontId="6" fillId="0" borderId="0" xfId="0" applyFont="1" applyAlignment="1" applyProtection="1">
      <alignment horizontal="center" vertical="center"/>
      <protection locked="0" hidden="1"/>
    </xf>
    <xf numFmtId="0" fontId="3" fillId="0" borderId="0" xfId="0" applyFont="1" applyFill="1" applyBorder="1" applyAlignment="1" applyProtection="1">
      <alignment horizontal="left" vertical="top"/>
      <protection locked="0" hidden="1"/>
    </xf>
    <xf numFmtId="0" fontId="3" fillId="0" borderId="0" xfId="0" applyFont="1" applyFill="1" applyBorder="1" applyAlignment="1" applyProtection="1">
      <alignment horizontal="center" vertical="top"/>
      <protection locked="0" hidden="1"/>
    </xf>
    <xf numFmtId="0" fontId="3" fillId="0" borderId="0" xfId="0" applyFont="1" applyFill="1" applyBorder="1" applyAlignment="1" applyProtection="1">
      <alignment horizontal="center" vertical="top" wrapText="1"/>
      <protection locked="0" hidden="1"/>
    </xf>
    <xf numFmtId="0" fontId="3" fillId="0" borderId="5" xfId="0" applyNumberFormat="1" applyFont="1" applyBorder="1" applyAlignment="1" applyProtection="1">
      <alignment horizontal="center" vertical="top" wrapText="1"/>
      <protection locked="0" hidden="1"/>
    </xf>
    <xf numFmtId="0" fontId="3" fillId="0" borderId="5" xfId="0" applyFont="1" applyBorder="1" applyAlignment="1" applyProtection="1">
      <alignment horizontal="center" vertical="top" wrapText="1"/>
      <protection locked="0" hidden="1"/>
    </xf>
    <xf numFmtId="0" fontId="0" fillId="0" borderId="0" xfId="0" applyFont="1" applyAlignment="1" applyProtection="1">
      <alignment horizontal="center" vertical="top"/>
      <protection locked="0" hidden="1"/>
    </xf>
    <xf numFmtId="0" fontId="2" fillId="0" borderId="0" xfId="0" applyFont="1" applyBorder="1" applyAlignment="1" applyProtection="1">
      <alignment horizontal="center" vertical="center"/>
      <protection locked="0" hidden="1"/>
    </xf>
    <xf numFmtId="0" fontId="0" fillId="0" borderId="0" xfId="0" applyProtection="1">
      <protection locked="0" hidden="1"/>
    </xf>
    <xf numFmtId="0" fontId="1" fillId="0" borderId="0" xfId="0" applyFont="1" applyBorder="1" applyAlignment="1" applyProtection="1">
      <alignment horizontal="center"/>
      <protection locked="0" hidden="1"/>
    </xf>
    <xf numFmtId="0" fontId="0" fillId="0" borderId="0" xfId="0" applyBorder="1" applyProtection="1">
      <protection locked="0" hidden="1"/>
    </xf>
    <xf numFmtId="0" fontId="0" fillId="0" borderId="0" xfId="0" applyAlignment="1" applyProtection="1">
      <alignment horizontal="left"/>
      <protection locked="0" hidden="1"/>
    </xf>
    <xf numFmtId="0" fontId="4" fillId="0" borderId="0" xfId="0" applyNumberFormat="1" applyFont="1" applyAlignment="1" applyProtection="1">
      <alignment horizontal="left" vertical="center" wrapText="1"/>
      <protection locked="0" hidden="1"/>
    </xf>
    <xf numFmtId="2" fontId="1" fillId="0" borderId="0" xfId="0" applyNumberFormat="1" applyFont="1" applyAlignment="1" applyProtection="1">
      <alignment horizontal="left" vertical="center" wrapText="1"/>
      <protection locked="0" hidden="1"/>
    </xf>
    <xf numFmtId="0" fontId="1" fillId="0" borderId="0" xfId="0" applyNumberFormat="1" applyFont="1" applyBorder="1" applyAlignment="1" applyProtection="1">
      <alignment horizontal="left" vertical="center"/>
      <protection locked="0" hidden="1"/>
    </xf>
    <xf numFmtId="0" fontId="6" fillId="0" borderId="0" xfId="0" applyNumberFormat="1" applyFont="1" applyAlignment="1" applyProtection="1">
      <alignment horizontal="left" vertical="center"/>
      <protection locked="0" hidden="1"/>
    </xf>
    <xf numFmtId="0" fontId="6" fillId="0" borderId="0" xfId="0" applyNumberFormat="1" applyFont="1" applyBorder="1" applyAlignment="1" applyProtection="1">
      <alignment horizontal="left" vertical="center"/>
      <protection locked="0" hidden="1"/>
    </xf>
    <xf numFmtId="0" fontId="1" fillId="0" borderId="0" xfId="0" applyNumberFormat="1" applyFont="1" applyAlignment="1" applyProtection="1">
      <alignment horizontal="left" vertical="center"/>
      <protection locked="0" hidden="1"/>
    </xf>
    <xf numFmtId="0" fontId="1" fillId="0" borderId="0" xfId="0" applyFont="1" applyBorder="1" applyAlignment="1" applyProtection="1">
      <alignment horizontal="center" vertical="center"/>
      <protection locked="0"/>
    </xf>
  </cellXfs>
  <cellStyles count="1">
    <cellStyle name="Normal" xfId="0" builtinId="0"/>
  </cellStyles>
  <dxfs count="30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relative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center" textRotation="0" wrapText="0" indent="0" relativeIndent="255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relativeIndent="0" justifyLastLine="0" shrinkToFit="0" readingOrder="0"/>
    </dxf>
    <dxf>
      <border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relative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</font>
      <numFmt numFmtId="2" formatCode="0.00"/>
      <alignment horizontal="left" vertical="center" textRotation="0" wrapText="0" indent="0" relativeIndent="255" justifyLastLine="0" shrinkToFit="0" mergeCell="0" readingOrder="0"/>
      <protection locked="0" hidden="1"/>
    </dxf>
    <dxf>
      <font>
        <b/>
      </font>
      <numFmt numFmtId="2" formatCode="0.00"/>
      <alignment horizontal="left" vertical="center" textRotation="0" wrapText="0" indent="0" relativeIndent="255" justifyLastLine="0" shrinkToFit="0" mergeCell="0" readingOrder="0"/>
      <protection locked="0" hidden="1"/>
    </dxf>
    <dxf>
      <font>
        <b/>
      </font>
      <numFmt numFmtId="2" formatCode="0.00"/>
      <alignment horizontal="left" vertical="center" textRotation="0" wrapText="0" indent="0" relativeIndent="255" justifyLastLine="0" shrinkToFit="0" mergeCell="0" readingOrder="0"/>
      <protection locked="0" hidden="1"/>
    </dxf>
    <dxf>
      <font>
        <b/>
      </font>
      <numFmt numFmtId="2" formatCode="0.00"/>
      <alignment horizontal="left" vertical="center" textRotation="0" wrapText="0" indent="0" relativeIndent="255" justifyLastLine="0" shrinkToFit="0" mergeCell="0" readingOrder="0"/>
      <protection locked="0" hidden="1"/>
    </dxf>
    <dxf>
      <font>
        <b/>
      </font>
      <alignment horizontal="left" vertical="center" textRotation="0" wrapText="0" indent="0" relativeIndent="255" justifyLastLine="0" shrinkToFit="0" mergeCell="0" readingOrder="0"/>
      <protection locked="0" hidden="1"/>
    </dxf>
    <dxf>
      <font>
        <b/>
      </font>
      <alignment horizontal="left" vertical="center" textRotation="0" wrapText="0" indent="0" relativeIndent="255" justifyLastLine="0" shrinkToFit="0" mergeCell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left" vertical="center" textRotation="0" wrapText="0" indent="0" relativeIndent="255" justifyLastLine="0" shrinkToFit="0" mergeCell="0" readingOrder="0"/>
      <protection locked="0" hidden="1"/>
    </dxf>
    <dxf>
      <font>
        <b/>
      </font>
      <alignment horizontal="left" vertical="center" textRotation="0" wrapText="0" indent="0" relativeIndent="255" justifyLastLine="0" shrinkToFit="0" mergeCell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left" vertical="center" textRotation="0" wrapText="1" indent="0" relativeIndent="255" justifyLastLine="0" shrinkToFit="0" mergeCell="0" readingOrder="0"/>
      <protection locked="0" hidden="1"/>
    </dxf>
    <dxf>
      <font>
        <color rgb="FF00B050"/>
      </font>
    </dxf>
    <dxf>
      <font>
        <color rgb="FFFF0000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center" textRotation="0" wrapText="0" indent="0" relativeIndent="255" justifyLastLine="0" shrinkToFit="0" mergeCell="0" readingOrder="0"/>
      <protection locked="0" hidden="1"/>
    </dxf>
    <dxf>
      <border>
        <top style="thin">
          <color indexed="64"/>
        </top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0" hidden="1"/>
    </dxf>
    <dxf>
      <border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top" textRotation="0" indent="0" relativeIndent="255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/mm/yyyy"/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/mm/yyyy"/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center" textRotation="0" wrapText="0" indent="0" relativeIndent="255" justifyLastLine="0" shrinkToFit="0" mergeCell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center" textRotation="0" wrapText="0" indent="0" relativeIndent="255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255" justifyLastLine="0" shrinkToFit="0" mergeCell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1" indent="0" relativeIndent="255" justifyLastLine="0" shrinkToFit="0" mergeCell="0" readingOrder="0"/>
      <protection locked="1" hidden="1"/>
    </dxf>
    <dxf>
      <font>
        <b/>
      </font>
      <numFmt numFmtId="2" formatCode="0.00"/>
      <alignment horizontal="left" vertical="center" textRotation="0" wrapText="0" indent="0" relativeIndent="255" justifyLastLine="0" shrinkToFit="0" mergeCell="0" readingOrder="0"/>
      <protection locked="0" hidden="1"/>
    </dxf>
    <dxf>
      <font>
        <b/>
      </font>
      <numFmt numFmtId="2" formatCode="0.00"/>
      <alignment horizontal="left" vertical="center" textRotation="0" wrapText="0" indent="0" relativeIndent="255" justifyLastLine="0" shrinkToFit="0" mergeCell="0" readingOrder="0"/>
      <protection locked="0" hidden="1"/>
    </dxf>
    <dxf>
      <font>
        <b/>
      </font>
      <numFmt numFmtId="2" formatCode="0.00"/>
      <alignment horizontal="left" vertical="center" textRotation="0" wrapText="0" indent="0" relativeIndent="255" justifyLastLine="0" shrinkToFit="0" mergeCell="0" readingOrder="0"/>
      <protection locked="0" hidden="1"/>
    </dxf>
    <dxf>
      <font>
        <b/>
      </font>
      <numFmt numFmtId="2" formatCode="0.00"/>
      <alignment horizontal="left" vertical="center" textRotation="0" wrapText="0" indent="0" relativeIndent="255" justifyLastLine="0" shrinkToFit="0" mergeCell="0" readingOrder="0"/>
      <protection locked="0" hidden="1"/>
    </dxf>
    <dxf>
      <font>
        <b/>
      </font>
      <alignment horizontal="left" vertical="center" textRotation="0" wrapText="0" indent="0" relativeIndent="255" justifyLastLine="0" shrinkToFit="0" mergeCell="0" readingOrder="0"/>
      <protection locked="0" hidden="1"/>
    </dxf>
    <dxf>
      <font>
        <b/>
      </font>
      <alignment horizontal="left" vertical="center" textRotation="0" wrapText="0" indent="0" relativeIndent="255" justifyLastLine="0" shrinkToFit="0" mergeCell="0" readingOrder="0"/>
      <protection locked="0" hidden="1"/>
    </dxf>
    <dxf>
      <font>
        <b/>
      </font>
      <alignment horizontal="left" vertical="center" textRotation="0" wrapText="0" indent="0" relativeIndent="255" justifyLastLine="0" shrinkToFit="0" mergeCell="0" readingOrder="0"/>
      <protection locked="0" hidden="1"/>
    </dxf>
    <dxf>
      <font>
        <b/>
      </font>
      <numFmt numFmtId="2" formatCode="0.00"/>
      <alignment horizontal="left" vertical="center" textRotation="0" wrapText="0" indent="0" relativeIndent="255" justifyLastLine="0" shrinkToFit="0" mergeCell="0" readingOrder="0"/>
      <protection locked="0" hidden="1"/>
    </dxf>
    <dxf>
      <font>
        <b/>
      </font>
      <alignment horizontal="left" vertical="center" textRotation="0" wrapText="0" indent="0" relativeIndent="255" justifyLastLine="0" shrinkToFit="0" mergeCell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left" vertical="center" textRotation="0" wrapText="1" indent="0" relativeIndent="255" justifyLastLine="0" shrinkToFit="0" mergeCell="0" readingOrder="0"/>
      <protection locked="0" hidden="1"/>
    </dxf>
    <dxf>
      <font>
        <color rgb="FF00B050"/>
      </font>
    </dxf>
    <dxf>
      <font>
        <color rgb="FFFF0000"/>
      </font>
    </dxf>
    <dxf>
      <font>
        <b/>
      </font>
      <alignment horizontal="left" vertical="center" textRotation="0" wrapText="0" indent="0" relativeIndent="255" justifyLastLine="0" shrinkToFit="0" mergeCell="0" readingOrder="0"/>
      <protection locked="0" hidden="1"/>
    </dxf>
    <dxf>
      <font>
        <b/>
      </font>
      <alignment horizontal="left" vertical="center" textRotation="0" wrapText="0" indent="0" relativeIndent="255" justifyLastLine="0" shrinkToFit="0" mergeCell="0" readingOrder="0"/>
      <protection locked="0" hidden="1"/>
    </dxf>
    <dxf>
      <font>
        <b/>
      </font>
      <alignment horizontal="left" vertical="center" textRotation="0" wrapText="0" indent="0" relativeIndent="255" justifyLastLine="0" shrinkToFit="0" mergeCell="0" readingOrder="0"/>
      <protection locked="0" hidden="1"/>
    </dxf>
    <dxf>
      <font>
        <b/>
      </font>
      <alignment horizontal="left" vertical="center" textRotation="0" wrapText="0" indent="0" relativeIndent="255" justifyLastLine="0" shrinkToFit="0" mergeCell="0" readingOrder="0"/>
      <protection locked="0" hidden="1"/>
    </dxf>
    <dxf>
      <font>
        <b/>
      </font>
      <alignment horizontal="left" vertical="center" textRotation="0" wrapText="0" indent="0" relativeIndent="255" justifyLastLine="0" shrinkToFit="0" mergeCell="0" readingOrder="0"/>
      <protection locked="0" hidden="1"/>
    </dxf>
    <dxf>
      <font>
        <b/>
      </font>
      <alignment horizontal="left" vertical="center" textRotation="0" wrapText="0" indent="0" relativeIndent="255" justifyLastLine="0" shrinkToFit="0" mergeCell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left" vertical="center" textRotation="0" wrapText="0" indent="0" relativeIndent="255" justifyLastLine="0" shrinkToFit="0" readingOrder="0"/>
    </dxf>
    <dxf>
      <font>
        <b/>
      </font>
      <alignment horizontal="center" vertical="center" textRotation="0" wrapText="0" indent="0" relativeIndent="255" justifyLastLine="0" shrinkToFit="0" mergeCell="0" readingOrder="0"/>
      <protection locked="0" hidden="1"/>
    </dxf>
    <dxf>
      <font>
        <b/>
      </font>
      <numFmt numFmtId="19" formatCode="d/mm/yyyy"/>
      <alignment horizontal="center" vertical="center" textRotation="0" wrapText="0" indent="0" relativeIndent="255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255" justifyLastLine="0" shrinkToFit="0" mergeCell="0" readingOrder="0"/>
      <protection locked="0" hidden="1"/>
    </dxf>
    <dxf>
      <font>
        <b/>
      </font>
      <alignment horizontal="right" vertical="center" textRotation="0" wrapText="0" indent="0" relativeIndent="255" justifyLastLine="0" shrinkToFit="0" mergeCell="0" readingOrder="0"/>
      <protection locked="0" hidden="1"/>
    </dxf>
    <dxf>
      <font>
        <b/>
      </font>
      <alignment horizontal="left" vertical="center" textRotation="0" wrapText="0" indent="0" relativeIndent="255" justifyLastLine="0" shrinkToFit="0" mergeCell="0" readingOrder="0"/>
      <protection locked="0" hidden="1"/>
    </dxf>
    <dxf>
      <font>
        <b/>
      </font>
      <alignment horizontal="left" vertical="center" textRotation="0" wrapText="0" indent="0" relativeIndent="255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255" justifyLastLine="0" shrinkToFit="0" mergeCell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1" indent="0" relativeIndent="255" justifyLastLine="0" shrinkToFit="0" readingOrder="0"/>
      <protection locked="1" hidden="1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1" indent="0" relativeIndent="0" justifyLastLine="0" shrinkToFit="0" readingOrder="0"/>
    </dxf>
    <dxf>
      <font>
        <b/>
      </font>
      <alignment horizontal="general" vertical="center" textRotation="0" wrapText="0" indent="0" relativeIndent="255" justifyLastLine="0" shrinkToFit="0" mergeCell="0" readingOrder="0"/>
      <protection locked="0" hidden="1"/>
    </dxf>
    <dxf>
      <font>
        <b/>
      </font>
      <alignment horizontal="general" vertical="center" textRotation="0" wrapText="0" indent="0" relativeIndent="255" justifyLastLine="0" shrinkToFit="0" mergeCell="0" readingOrder="0"/>
      <protection locked="0" hidden="1"/>
    </dxf>
    <dxf>
      <font>
        <b/>
      </font>
      <alignment horizontal="general" vertical="center" textRotation="0" wrapText="0" indent="0" relativeIndent="255" justifyLastLine="0" shrinkToFit="0" mergeCell="0" readingOrder="0"/>
      <protection locked="0" hidden="1"/>
    </dxf>
    <dxf>
      <font>
        <b/>
      </font>
      <alignment horizontal="general" vertical="center" textRotation="0" wrapText="0" indent="0" relativeIndent="255" justifyLastLine="0" shrinkToFit="0" mergeCell="0" readingOrder="0"/>
      <protection locked="0" hidden="1"/>
    </dxf>
    <dxf>
      <font>
        <b/>
      </font>
      <alignment horizontal="general" vertical="center" textRotation="0" wrapText="0" indent="0" relativeIndent="255" justifyLastLine="0" shrinkToFit="0" mergeCell="0" readingOrder="0"/>
      <protection locked="0" hidden="1"/>
    </dxf>
    <dxf>
      <font>
        <b/>
      </font>
      <alignment horizontal="general" vertical="center" textRotation="0" wrapText="0" indent="0" relativeIndent="255" justifyLastLine="0" shrinkToFit="0" mergeCell="0" readingOrder="0"/>
      <protection locked="0" hidden="1"/>
    </dxf>
    <dxf>
      <font>
        <b/>
      </font>
      <alignment horizontal="general" vertical="center" textRotation="0" wrapText="0" indent="0" relativeIndent="255" justifyLastLine="0" shrinkToFit="0" mergeCell="0" readingOrder="0"/>
      <protection locked="0" hidden="1"/>
    </dxf>
    <dxf>
      <font>
        <b/>
      </font>
      <alignment horizontal="general" vertical="center" textRotation="0" wrapText="0" indent="0" relativeIndent="255" justifyLastLine="0" shrinkToFit="0" mergeCell="0" readingOrder="0"/>
      <protection locked="0" hidden="1"/>
    </dxf>
    <dxf>
      <font>
        <b/>
      </font>
      <alignment horizontal="general" vertical="center" textRotation="0" wrapText="0" indent="0" relativeIndent="255" justifyLastLine="0" shrinkToFit="0" mergeCell="0" readingOrder="0"/>
      <protection locked="0" hidden="1"/>
    </dxf>
    <dxf>
      <font>
        <b/>
      </font>
      <alignment horizontal="general" vertical="center" textRotation="0" wrapText="0" indent="0" relativeIndent="255" justifyLastLine="0" shrinkToFit="0" mergeCell="0" readingOrder="0"/>
      <protection locked="0" hidden="1"/>
    </dxf>
    <dxf>
      <font>
        <b/>
      </font>
      <alignment horizontal="general" vertical="center" textRotation="0" wrapText="0" indent="0" relativeIndent="255" justifyLastLine="0" shrinkToFit="0" mergeCell="0" readingOrder="0"/>
      <protection locked="0" hidden="1"/>
    </dxf>
    <dxf>
      <font>
        <b/>
      </font>
      <numFmt numFmtId="0" formatCode="General"/>
      <alignment horizontal="general" vertical="center" textRotation="0" wrapText="0" indent="0" relativeIndent="255" justifyLastLine="0" shrinkToFit="0" mergeCell="0" readingOrder="0"/>
      <protection locked="0" hidden="1"/>
    </dxf>
    <dxf>
      <font>
        <b/>
      </font>
      <alignment horizontal="general" vertical="center" textRotation="0" wrapText="0" indent="0" relativeIndent="255" justifyLastLine="0" shrinkToFit="0" mergeCell="0" readingOrder="0"/>
      <protection locked="0" hidden="1"/>
    </dxf>
    <dxf>
      <font>
        <b/>
      </font>
      <alignment horizontal="general" vertical="center" textRotation="0" wrapText="0" indent="0" relativeIndent="255" justifyLastLine="0" shrinkToFit="0" mergeCell="0" readingOrder="0"/>
      <protection locked="0" hidden="1"/>
    </dxf>
    <dxf>
      <font>
        <b/>
      </font>
      <alignment horizontal="general" vertical="center" textRotation="0" wrapText="0" indent="0" relativeIndent="255" justifyLastLine="0" shrinkToFit="0" mergeCell="0" readingOrder="0"/>
      <protection locked="0" hidden="1"/>
    </dxf>
    <dxf>
      <font>
        <b/>
      </font>
      <alignment horizontal="general" vertical="center" textRotation="0" wrapText="0" indent="0" relativeIndent="255" justifyLastLine="0" shrinkToFit="0" mergeCell="0" readingOrder="0"/>
      <protection locked="0" hidden="1"/>
    </dxf>
    <dxf>
      <font>
        <b/>
      </font>
      <alignment horizontal="general" vertical="center" textRotation="0" wrapText="0" indent="0" relativeIndent="255" justifyLastLine="0" shrinkToFit="0" mergeCell="0" readingOrder="0"/>
      <protection locked="0" hidden="1"/>
    </dxf>
    <dxf>
      <font>
        <b/>
      </font>
      <alignment horizontal="general" vertical="center" textRotation="0" wrapText="0" indent="0" relativeIndent="255" justifyLastLine="0" shrinkToFit="0" mergeCell="0" readingOrder="0"/>
      <protection locked="0" hidden="1"/>
    </dxf>
    <dxf>
      <font>
        <b/>
      </font>
      <alignment horizontal="general" vertical="center" textRotation="0" wrapText="0" indent="0" relativeIndent="255" justifyLastLine="0" shrinkToFit="0" mergeCell="0" readingOrder="0"/>
      <protection locked="0" hidden="1"/>
    </dxf>
    <dxf>
      <font>
        <b/>
      </font>
      <alignment horizontal="center" vertical="center" textRotation="0" wrapText="1" indent="0" relativeIndent="255" justifyLastLine="0" shrinkToFit="0" readingOrder="0"/>
      <protection locked="1" hidden="1"/>
    </dxf>
    <dxf>
      <font>
        <b/>
      </font>
      <alignment horizontal="left" vertical="top" textRotation="0" wrapText="0" indent="0" relativeIndent="255" justifyLastLine="0" shrinkToFit="0" mergeCell="0" readingOrder="0"/>
      <protection locked="0" hidden="1"/>
    </dxf>
    <dxf>
      <font>
        <b/>
      </font>
      <alignment horizontal="left" vertical="top" textRotation="0" wrapText="0" indent="0" relativeIndent="255" justifyLastLine="0" shrinkToFit="0" mergeCell="0" readingOrder="0"/>
      <protection locked="0" hidden="1"/>
    </dxf>
    <dxf>
      <font>
        <b/>
      </font>
      <numFmt numFmtId="19" formatCode="d/mm/yyyy"/>
      <alignment horizontal="left" vertical="top" textRotation="0" wrapText="0" indent="0" relativeIndent="255" justifyLastLine="0" shrinkToFit="0" mergeCell="0" readingOrder="0"/>
      <protection locked="0" hidden="1"/>
    </dxf>
    <dxf>
      <font>
        <b/>
      </font>
      <alignment horizontal="left" vertical="top" textRotation="0" wrapText="0" indent="0" relativeIndent="255" justifyLastLine="0" shrinkToFit="0" mergeCell="0" readingOrder="0"/>
      <protection locked="0" hidden="1"/>
    </dxf>
    <dxf>
      <font>
        <b/>
      </font>
      <alignment horizontal="left" vertical="top" textRotation="0" wrapText="0" indent="0" relativeIndent="255" justifyLastLine="0" shrinkToFit="0" mergeCell="0" readingOrder="0"/>
      <protection locked="0" hidden="1"/>
    </dxf>
    <dxf>
      <font>
        <b/>
      </font>
      <alignment horizontal="left" vertical="top" textRotation="0" wrapText="0" indent="0" relativeIndent="255" justifyLastLine="0" shrinkToFit="0" mergeCell="0" readingOrder="0"/>
      <protection locked="0" hidden="1"/>
    </dxf>
    <dxf>
      <font>
        <b/>
      </font>
      <alignment horizontal="left" vertical="top" textRotation="0" wrapText="1" indent="0" relativeIndent="255" justifyLastLine="0" shrinkToFit="0" mergeCell="0" readingOrder="0"/>
      <protection locked="0" hidden="0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numFmt numFmtId="0" formatCode="General"/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numFmt numFmtId="164" formatCode="[$-F400]h:mm:ss\ AM/PM"/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numFmt numFmtId="164" formatCode="[$-F400]h:mm:ss\ AM/PM"/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numFmt numFmtId="164" formatCode="[$-F400]h:mm:ss\ AM/PM"/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numFmt numFmtId="19" formatCode="d/mm/yyyy"/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1" indent="0" relativeIndent="255" justifyLastLine="0" shrinkToFit="0" readingOrder="0"/>
      <protection locked="1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numFmt numFmtId="0" formatCode="General"/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numFmt numFmtId="164" formatCode="[$-F400]h:mm:ss\ AM/PM"/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numFmt numFmtId="164" formatCode="[$-F400]h:mm:ss\ AM/PM"/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numFmt numFmtId="164" formatCode="[$-F400]h:mm:ss\ AM/PM"/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numFmt numFmtId="19" formatCode="d/mm/yyyy"/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left" vertical="center" textRotation="0" wrapText="0" indent="0" relativeIndent="255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1" indent="0" relativeIndent="255" justifyLastLine="0" shrinkToFit="0" readingOrder="0"/>
      <protection locked="1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numFmt numFmtId="0" formatCode="General"/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numFmt numFmtId="164" formatCode="[$-F400]h:mm:ss\ AM/PM"/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numFmt numFmtId="164" formatCode="[$-F400]h:mm:ss\ AM/PM"/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numFmt numFmtId="164" formatCode="[$-F400]h:mm:ss\ AM/PM"/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numFmt numFmtId="19" formatCode="d/mm/yyyy"/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left" vertical="center" textRotation="0" wrapText="0" indent="0" relativeIndent="255" justifyLastLine="0" shrinkToFit="0" mergeCell="0" readingOrder="0"/>
      <protection locked="0" hidden="1"/>
    </dxf>
    <dxf>
      <font>
        <b/>
      </font>
      <alignment horizontal="left" vertical="center" textRotation="0" wrapText="0" indent="0" relativeIndent="255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1" indent="0" relativeIndent="255" justifyLastLine="0" shrinkToFit="0" readingOrder="0"/>
      <protection locked="1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numFmt numFmtId="0" formatCode="General"/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numFmt numFmtId="164" formatCode="[$-F400]h:mm:ss\ AM/PM"/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numFmt numFmtId="164" formatCode="[$-F400]h:mm:ss\ AM/PM"/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numFmt numFmtId="164" formatCode="[$-F400]h:mm:ss\ AM/PM"/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numFmt numFmtId="19" formatCode="d/mm/yyyy"/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left" vertical="center" textRotation="0" wrapText="0" indent="0" relativeIndent="255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</font>
      <alignment horizontal="center" vertical="center" textRotation="0" wrapText="1" indent="0" relativeIndent="255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name val="Calibri"/>
        <scheme val="minor"/>
      </font>
      <numFmt numFmtId="0" formatCode="General"/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name val="Calibri"/>
        <scheme val="minor"/>
      </font>
      <numFmt numFmtId="164" formatCode="[$-F400]h:mm:ss\ AM/PM"/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name val="Calibri"/>
        <scheme val="minor"/>
      </font>
      <numFmt numFmtId="164" formatCode="[$-F400]h:mm:ss\ AM/PM"/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name val="Calibri"/>
        <scheme val="minor"/>
      </font>
      <numFmt numFmtId="164" formatCode="[$-F400]h:mm:ss\ AM/PM"/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name val="Calibri"/>
        <scheme val="minor"/>
      </font>
      <numFmt numFmtId="19" formatCode="d/mm/yyyy"/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name val="Calibri"/>
        <scheme val="minor"/>
      </font>
      <alignment horizontal="left" vertical="center" textRotation="0" wrapText="0" indent="0" relativeIndent="255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1" indent="0" relativeIndent="255" justifyLastLine="0" shrinkToFit="0" readingOrder="0"/>
      <protection locked="1" hidden="1"/>
    </dxf>
    <dxf>
      <font>
        <b/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name val="Calibri"/>
        <scheme val="minor"/>
      </font>
      <numFmt numFmtId="0" formatCode="General"/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name val="Calibri"/>
        <scheme val="minor"/>
      </font>
      <numFmt numFmtId="164" formatCode="[$-F400]h:mm:ss\ AM/PM"/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name val="Calibri"/>
        <scheme val="minor"/>
      </font>
      <numFmt numFmtId="164" formatCode="[$-F400]h:mm:ss\ AM/PM"/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name val="Calibri"/>
        <scheme val="minor"/>
      </font>
      <numFmt numFmtId="164" formatCode="[$-F400]h:mm:ss\ AM/PM"/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name val="Calibri"/>
        <scheme val="minor"/>
      </font>
      <numFmt numFmtId="19" formatCode="d/mm/yyyy"/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name val="Calibri"/>
        <scheme val="minor"/>
      </font>
      <alignment horizontal="left" vertical="center" textRotation="0" wrapText="0" indent="0" relativeIndent="255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relativeIndent="0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1" indent="0" relativeIndent="255" justifyLastLine="0" shrinkToFit="0" mergeCell="0" readingOrder="0"/>
      <protection locked="0" hidden="0"/>
    </dxf>
    <dxf>
      <font>
        <b/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relativeIndent="255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relativeIndent="255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center" vertical="center" textRotation="0" wrapText="0" indent="0" relativeIndent="255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[$-F400]h:mm:ss\ AM/PM"/>
      <alignment horizontal="center" vertical="center" textRotation="0" wrapText="0" indent="0" relativeIndent="255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relativeIndent="255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relativeIndent="255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relativeIndent="255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relativeIndent="255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relativeIndent="255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relativeIndent="255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relativeIndent="255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relativeIndent="255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relativeIndent="255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relativeIndent="255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relativeIndent="255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relativeIndent="255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relativeIndent="255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relativeIndent="255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relativeIndent="255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relativeIndent="255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[$-F400]h:mm:ss\ AM/PM"/>
      <alignment horizontal="center" vertical="center" textRotation="0" wrapText="0" indent="0" relativeIndent="255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[$-F400]h:mm:ss\ AM/PM"/>
      <alignment horizontal="center" vertical="center" textRotation="0" wrapText="0" indent="0" relativeIndent="255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relativeIndent="255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/mm/yyyy"/>
      <alignment horizontal="center" vertical="center" textRotation="0" wrapText="0" indent="0" relativeIndent="255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center" textRotation="0" wrapText="0" indent="0" relativeIndent="255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relativeIndent="255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relativeIndent="255" justifyLastLine="0" shrinkToFit="0" mergeCell="0" readingOrder="0"/>
      <protection locked="0" hidden="1"/>
    </dxf>
    <dxf>
      <font>
        <b/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relativeIndent="255" justifyLastLine="0" shrinkToFit="0" readingOrder="0"/>
      <protection locked="0" hidden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&#252;retimSipari&#351;Formu.xlsx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49696</xdr:colOff>
      <xdr:row>0</xdr:row>
      <xdr:rowOff>99391</xdr:rowOff>
    </xdr:from>
    <xdr:to>
      <xdr:col>5</xdr:col>
      <xdr:colOff>223631</xdr:colOff>
      <xdr:row>0</xdr:row>
      <xdr:rowOff>472109</xdr:rowOff>
    </xdr:to>
    <xdr:sp macro="" textlink="">
      <xdr:nvSpPr>
        <xdr:cNvPr id="2" name="1 Dikdört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SpPr/>
      </xdr:nvSpPr>
      <xdr:spPr>
        <a:xfrm>
          <a:off x="49696" y="99391"/>
          <a:ext cx="5963478" cy="37271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tr-TR" sz="1600" b="1"/>
            <a:t>Üretim Sipariş Formuna Gitmek için Tıklayın </a:t>
          </a:r>
          <a:endParaRPr lang="tr-TR" sz="1100" b="1"/>
        </a:p>
      </xdr:txBody>
    </xdr:sp>
    <xdr:clientData/>
  </xdr:twoCellAnchor>
</xdr:wsDr>
</file>

<file path=xl/tables/table1.xml><?xml version="1.0" encoding="utf-8"?>
<table xmlns="http://schemas.openxmlformats.org/spreadsheetml/2006/main" id="5" name="Tablo5" displayName="Tablo5" ref="A2:Z573" totalsRowShown="0" headerRowDxfId="302" dataDxfId="301">
  <tableColumns count="26">
    <tableColumn id="1" name="ÜRÜN KODU" dataDxfId="300"/>
    <tableColumn id="2" name="ÜRÜN ADI" dataDxfId="299">
      <calculatedColumnFormula>IFERROR(VLOOKUP(Tablo5[[#This Row],[ÜRÜN KODU]],YMKODLARI!$A$1:$K$363,2,0)," ")</calculatedColumnFormula>
    </tableColumn>
    <tableColumn id="3" name="TARİH" dataDxfId="298"/>
    <tableColumn id="4" name="PERSONEL ADI" dataDxfId="297"/>
    <tableColumn id="5" name="BAŞLAMA ZAMANI" dataDxfId="296"/>
    <tableColumn id="6" name="BİTİŞ ZAMANI" dataDxfId="295"/>
    <tableColumn id="7" name="KALIP GÖZ ADEDİ" dataDxfId="294">
      <calculatedColumnFormula>IFERROR(VLOOKUP(Tablo5[[#This Row],[ÜRÜN KODU]],YMKODLARI!$A$1:$K$363,3,0)," ")</calculatedColumnFormula>
    </tableColumn>
    <tableColumn id="8" name="ÇEVRİM SÜRESİ" dataDxfId="293">
      <calculatedColumnFormula>IFERROR(VLOOKUP(Tablo5[[#This Row],[ÜRÜN KODU]],YMKODLARI!$A$1:$K$363,4,0)," ")</calculatedColumnFormula>
    </tableColumn>
    <tableColumn id="10" name="BASKI SAYISI" dataDxfId="292"/>
    <tableColumn id="11" name="BOYA KODU" dataDxfId="291">
      <calculatedColumnFormula>IFERROR(VLOOKUP(Tablo5[[#This Row],[ÜRÜN KODU]],YMKODLARI!$A$1:$K$363,9,0)," ")</calculatedColumnFormula>
    </tableColumn>
    <tableColumn id="12" name="RENK" dataDxfId="290">
      <calculatedColumnFormula>IFERROR(VLOOKUP(Tablo5[[#This Row],[BOYA KODU]],Tablo14[#All],4,0)," ")</calculatedColumnFormula>
    </tableColumn>
    <tableColumn id="13" name="BOYA ORANI" dataDxfId="289">
      <calculatedColumnFormula>IFERROR(VLOOKUP(Tablo5[[#This Row],[BOYA KODU]],Tablo14[#All],6,0)," ")</calculatedColumnFormula>
    </tableColumn>
    <tableColumn id="14" name="KULLANILAN BOYA MİKTARI GRAM" dataDxfId="288">
      <calculatedColumnFormula>IFERROR((I3*Q3)*L3," ")</calculatedColumnFormula>
    </tableColumn>
    <tableColumn id="15" name="HAMMADDE KODU" dataDxfId="287">
      <calculatedColumnFormula>IFERROR(VLOOKUP(Tablo5[[#This Row],[ÜRÜN KODU]],YMKODLARI!$A$1:$K$363,8,0)," ")</calculatedColumnFormula>
    </tableColumn>
    <tableColumn id="9" name="MALZEME_x000a_ADI" dataDxfId="286">
      <calculatedColumnFormula>IFERROR(VLOOKUP(Tablo5[[#This Row],[HAMMADDE KODU]],Tablo1[#All],3,0)," ")</calculatedColumnFormula>
    </tableColumn>
    <tableColumn id="24" name="MALZEME TEDARİKÇİSİ" dataDxfId="285">
      <calculatedColumnFormula>IFERROR(VLOOKUP(Tablo5[[#This Row],[HAMMADDE KODU]],Tablo1[#All],4,0)," ")</calculatedColumnFormula>
    </tableColumn>
    <tableColumn id="16" name="BASKI GRAMI" dataDxfId="284">
      <calculatedColumnFormula>IFERROR(VLOOKUP(Tablo5[[#This Row],[ÜRÜN KODU]],YMKODLARI!$A$1:$K$363,5,0)," ")</calculatedColumnFormula>
    </tableColumn>
    <tableColumn id="17" name="YOLLUK HARİÇ BASKI GRAMI" dataDxfId="283">
      <calculatedColumnFormula>IFERROR(VLOOKUP(Tablo5[[#This Row],[ÜRÜN KODU]],YMKODLARI!$A$1:$K$363,6,0)," ")</calculatedColumnFormula>
    </tableColumn>
    <tableColumn id="18" name="ADET GRAMI" dataDxfId="282">
      <calculatedColumnFormula>IFERROR(Tablo5[[#This Row],[YOLLUK HARİÇ BASKI GRAMI]]/Tablo5[[#This Row],[KALIP GÖZ ADEDİ]]," ")</calculatedColumnFormula>
    </tableColumn>
    <tableColumn id="19" name="YOLLUK GRAMI " dataDxfId="281">
      <calculatedColumnFormula>IFERROR(Q3-R3," ")</calculatedColumnFormula>
    </tableColumn>
    <tableColumn id="20" name="FİRE _x000a_(kg)" dataDxfId="280"/>
    <tableColumn id="21" name="HAMMADDE TÜKETİM KG" dataDxfId="279">
      <calculatedColumnFormula>IFERROR(U3+(R3*I3) /1000," ")</calculatedColumnFormula>
    </tableColumn>
    <tableColumn id="22" name="TOPLAM MESAİ SAATİ" dataDxfId="278">
      <calculatedColumnFormula>IFERROR(24-(E3-F3)," ")</calculatedColumnFormula>
    </tableColumn>
    <tableColumn id="25" name="SAAT" dataDxfId="277">
      <calculatedColumnFormula>IFERROR((W3-INT(W3))*24," ")</calculatedColumnFormula>
    </tableColumn>
    <tableColumn id="23" name="BASKIYA EŞİT ÇALIŞMA SAATİ" dataDxfId="276">
      <calculatedColumnFormula>IFERROR(H3*I3/3600," ")</calculatedColumnFormula>
    </tableColumn>
    <tableColumn id="27" name="TOPLAM BASKI ADEDİ" dataDxfId="275">
      <calculatedColumnFormula>IFERROR(I3*G3," " )</calculatedColumnFormula>
    </tableColumn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14" name="Tablo515" displayName="Tablo515" ref="A1:Z572" totalsRowShown="0" headerRowDxfId="274" dataDxfId="273">
  <tableColumns count="26">
    <tableColumn id="1" name="ÜRÜN KODU" dataDxfId="272"/>
    <tableColumn id="2" name="ÜRÜN ADI" dataDxfId="271">
      <calculatedColumnFormula>IFERROR(VLOOKUP(Tablo515[[#This Row],[ÜRÜN KODU]],YMKODLARI!$A$1:$K$363,2,0)," ")</calculatedColumnFormula>
    </tableColumn>
    <tableColumn id="3" name="TARİH" dataDxfId="270"/>
    <tableColumn id="4" name="PERSONEL ADI" dataDxfId="269"/>
    <tableColumn id="5" name="BAŞLAMA ZAMANI" dataDxfId="268"/>
    <tableColumn id="6" name="BİTİŞ ZAMANI" dataDxfId="267"/>
    <tableColumn id="7" name="KALIP GÖZ ADEDİ" dataDxfId="266">
      <calculatedColumnFormula>IFERROR(VLOOKUP(Tablo515[[#This Row],[ÜRÜN KODU]],YMKODLARI!$A$1:$K$363,3,0)," ")</calculatedColumnFormula>
    </tableColumn>
    <tableColumn id="8" name="ÇEVRİM SÜRESİ" dataDxfId="265">
      <calculatedColumnFormula>IFERROR(VLOOKUP(Tablo515[[#This Row],[ÜRÜN KODU]],YMKODLARI!$A$1:$K$363,4,0)," ")</calculatedColumnFormula>
    </tableColumn>
    <tableColumn id="10" name="BASKI SAYISI" dataDxfId="264"/>
    <tableColumn id="11" name="BOYA KODU" dataDxfId="263">
      <calculatedColumnFormula>IFERROR(VLOOKUP(Tablo515[[#This Row],[ÜRÜN KODU]],YMKODLARI!$A$1:$K$363,9,0)," ")</calculatedColumnFormula>
    </tableColumn>
    <tableColumn id="12" name="RENK" dataDxfId="262">
      <calculatedColumnFormula>IFERROR(VLOOKUP(Tablo515[[#This Row],[BOYA KODU]],Tablo14[#All],4,0)," ")</calculatedColumnFormula>
    </tableColumn>
    <tableColumn id="13" name="BOYA ORANI" dataDxfId="261">
      <calculatedColumnFormula>IFERROR(VLOOKUP(Tablo515[[#This Row],[BOYA KODU]],Tablo14[#All],6,0)," ")</calculatedColumnFormula>
    </tableColumn>
    <tableColumn id="14" name="KULLANILAN BOYA MİKTARI GRAM" dataDxfId="260">
      <calculatedColumnFormula>IFERROR((I2*Q2)*L2," ")</calculatedColumnFormula>
    </tableColumn>
    <tableColumn id="15" name="HAMMADDE KODU" dataDxfId="259">
      <calculatedColumnFormula>IFERROR(VLOOKUP(Tablo515[[#This Row],[ÜRÜN KODU]],YMKODLARI!$A$1:$K$363,8,0)," ")</calculatedColumnFormula>
    </tableColumn>
    <tableColumn id="9" name="MALZEME_x000a_ADI" dataDxfId="258">
      <calculatedColumnFormula>IFERROR(VLOOKUP(Tablo515[[#This Row],[HAMMADDE KODU]],Tablo1[#All],3,0)," ")</calculatedColumnFormula>
    </tableColumn>
    <tableColumn id="24" name="MALZEME TEDARİKÇİSİ" dataDxfId="257">
      <calculatedColumnFormula>IFERROR(VLOOKUP(Tablo515[[#This Row],[HAMMADDE KODU]],Tablo1[#All],4,0)," ")</calculatedColumnFormula>
    </tableColumn>
    <tableColumn id="16" name="BASKI GRAMI" dataDxfId="256">
      <calculatedColumnFormula>IFERROR(VLOOKUP(Tablo515[[#This Row],[ÜRÜN KODU]],YMKODLARI!$A$1:$K$363,5,0)," ")</calculatedColumnFormula>
    </tableColumn>
    <tableColumn id="17" name="YOLLUK HARİÇ BASKI GRAMI" dataDxfId="255">
      <calculatedColumnFormula>IFERROR(VLOOKUP(Tablo515[[#This Row],[ÜRÜN KODU]],YMKODLARI!$A$1:$K$363,6,0)," ")</calculatedColumnFormula>
    </tableColumn>
    <tableColumn id="18" name="ADET GRAMI" dataDxfId="254">
      <calculatedColumnFormula>IFERROR(Tablo515[[#This Row],[YOLLUK HARİÇ BASKI GRAMI]]/Tablo515[[#This Row],[KALIP GÖZ ADEDİ]]," ")</calculatedColumnFormula>
    </tableColumn>
    <tableColumn id="19" name="YOLLUK GRAMI " dataDxfId="253">
      <calculatedColumnFormula>IFERROR(Q2-R2," ")</calculatedColumnFormula>
    </tableColumn>
    <tableColumn id="20" name="FİRE _x000a_(kg)" dataDxfId="252"/>
    <tableColumn id="21" name="HAMMADDE TÜKETİM KG" dataDxfId="251">
      <calculatedColumnFormula>IFERROR(U2+(R2*I2) /1000," ")</calculatedColumnFormula>
    </tableColumn>
    <tableColumn id="22" name="TOPLAM MESAİ SAATİ" dataDxfId="250">
      <calculatedColumnFormula>IFERROR(24-(E2-F2)," ")</calculatedColumnFormula>
    </tableColumn>
    <tableColumn id="25" name="SAAT" dataDxfId="249">
      <calculatedColumnFormula>IFERROR((W2-INT(W2))*24," ")</calculatedColumnFormula>
    </tableColumn>
    <tableColumn id="23" name="BASKIYA EŞİT ÇALIŞMA SAATİ" dataDxfId="248">
      <calculatedColumnFormula>IFERROR(H2*I2/3600," ")</calculatedColumnFormula>
    </tableColumn>
    <tableColumn id="27" name="TOPLAM BASKI ADEDİ" dataDxfId="247">
      <calculatedColumnFormula>IFERROR(I2*G2," " )</calculatedColumnFormula>
    </tableColumn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15" name="Tablo516" displayName="Tablo516" ref="A1:Z571" totalsRowShown="0" headerRowDxfId="246" dataDxfId="245">
  <tableColumns count="26">
    <tableColumn id="1" name="ÜRÜN KODU" dataDxfId="244"/>
    <tableColumn id="2" name="ÜRÜN ADI" dataDxfId="243">
      <calculatedColumnFormula>IFERROR(VLOOKUP(Tablo516[[#This Row],[ÜRÜN KODU]],YMKODLARI!$A$1:$K$363,2,0)," ")</calculatedColumnFormula>
    </tableColumn>
    <tableColumn id="3" name="TARİH" dataDxfId="242"/>
    <tableColumn id="4" name="PERSONEL ADI" dataDxfId="241"/>
    <tableColumn id="5" name="BAŞLAMA ZAMANI" dataDxfId="240"/>
    <tableColumn id="6" name="BİTİŞ ZAMANI" dataDxfId="239"/>
    <tableColumn id="7" name="KALIP GÖZ ADEDİ" dataDxfId="238">
      <calculatedColumnFormula>IFERROR(VLOOKUP(Tablo516[[#This Row],[ÜRÜN KODU]],YMKODLARI!$A$1:$K$363,3,0)," ")</calculatedColumnFormula>
    </tableColumn>
    <tableColumn id="8" name="ÇEVRİM SÜRESİ" dataDxfId="237">
      <calculatedColumnFormula>IFERROR(VLOOKUP(Tablo516[[#This Row],[ÜRÜN KODU]],YMKODLARI!$A$1:$K$363,4,0)," ")</calculatedColumnFormula>
    </tableColumn>
    <tableColumn id="10" name="BASKI SAYISI" dataDxfId="236"/>
    <tableColumn id="11" name="BOYA KODU" dataDxfId="235">
      <calculatedColumnFormula>IFERROR(VLOOKUP(Tablo516[[#This Row],[ÜRÜN KODU]],YMKODLARI!$A$1:$K$363,9,0)," ")</calculatedColumnFormula>
    </tableColumn>
    <tableColumn id="12" name="RENK" dataDxfId="234">
      <calculatedColumnFormula>IFERROR(VLOOKUP(Tablo516[[#This Row],[BOYA KODU]],Tablo14[#All],4,0)," ")</calculatedColumnFormula>
    </tableColumn>
    <tableColumn id="13" name="BOYA ORANI" dataDxfId="233">
      <calculatedColumnFormula>IFERROR(VLOOKUP(Tablo516[[#This Row],[BOYA KODU]],Tablo14[#All],6,0)," ")</calculatedColumnFormula>
    </tableColumn>
    <tableColumn id="14" name="KULLANILAN BOYA MİKTARI GRAM" dataDxfId="232">
      <calculatedColumnFormula>IFERROR((I2*Q2)*L2," ")</calculatedColumnFormula>
    </tableColumn>
    <tableColumn id="15" name="HAMMADDE KODU" dataDxfId="231">
      <calculatedColumnFormula>IFERROR(VLOOKUP(Tablo516[[#This Row],[ÜRÜN KODU]],YMKODLARI!$A$1:$K$363,8,0)," ")</calculatedColumnFormula>
    </tableColumn>
    <tableColumn id="9" name="MALZEME_x000a_ADI" dataDxfId="230">
      <calculatedColumnFormula>IFERROR(VLOOKUP(Tablo516[[#This Row],[HAMMADDE KODU]],Tablo1[#All],3,0)," ")</calculatedColumnFormula>
    </tableColumn>
    <tableColumn id="24" name="MALZEME TEDARİKÇİSİ" dataDxfId="229">
      <calculatedColumnFormula>IFERROR(VLOOKUP(Tablo516[[#This Row],[HAMMADDE KODU]],Tablo1[#All],4,0)," ")</calculatedColumnFormula>
    </tableColumn>
    <tableColumn id="16" name="BASKI GRAMI" dataDxfId="228">
      <calculatedColumnFormula>IFERROR(VLOOKUP(Tablo516[[#This Row],[ÜRÜN KODU]],YMKODLARI!$A$1:$K$363,5,0)," ")</calculatedColumnFormula>
    </tableColumn>
    <tableColumn id="17" name="YOLLUK HARİÇ BASKI GRAMI" dataDxfId="227">
      <calculatedColumnFormula>IFERROR(VLOOKUP(Tablo516[[#This Row],[ÜRÜN KODU]],YMKODLARI!$A$1:$K$363,6,0)," ")</calculatedColumnFormula>
    </tableColumn>
    <tableColumn id="18" name="ADET GRAMI" dataDxfId="226">
      <calculatedColumnFormula>IFERROR(Tablo516[[#This Row],[YOLLUK HARİÇ BASKI GRAMI]]/Tablo516[[#This Row],[KALIP GÖZ ADEDİ]]," ")</calculatedColumnFormula>
    </tableColumn>
    <tableColumn id="19" name="YOLLUK GRAMI " dataDxfId="225">
      <calculatedColumnFormula>IFERROR(Q2-R2," ")</calculatedColumnFormula>
    </tableColumn>
    <tableColumn id="20" name="FİRE _x000a_(kg)" dataDxfId="224"/>
    <tableColumn id="21" name="HAMMADDE TÜKETİM KG" dataDxfId="223">
      <calculatedColumnFormula>IFERROR(U2+(R2*I2) /1000," ")</calculatedColumnFormula>
    </tableColumn>
    <tableColumn id="22" name="TOPLAM MESAİ SAATİ" dataDxfId="222">
      <calculatedColumnFormula>IFERROR(24-(E2-F2)," ")</calculatedColumnFormula>
    </tableColumn>
    <tableColumn id="25" name="SAAT" dataDxfId="221">
      <calculatedColumnFormula>IFERROR((W2-INT(W2))*24," ")</calculatedColumnFormula>
    </tableColumn>
    <tableColumn id="23" name="BASKIYA EŞİT ÇALIŞMA SAATİ" dataDxfId="220">
      <calculatedColumnFormula>IFERROR(H2*I2/3600," ")</calculatedColumnFormula>
    </tableColumn>
    <tableColumn id="27" name="TOPLAM BASKI ADEDİ" dataDxfId="219">
      <calculatedColumnFormula>IFERROR(I2*G2," " )</calculatedColumnFormula>
    </tableColumn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16" name="Tablo517" displayName="Tablo517" ref="A1:Z571" totalsRowShown="0" headerRowDxfId="218" dataDxfId="217">
  <tableColumns count="26">
    <tableColumn id="1" name="ÜRÜN KODU" dataDxfId="216"/>
    <tableColumn id="2" name="ÜRÜN ADI" dataDxfId="215">
      <calculatedColumnFormula>IFERROR(VLOOKUP(Tablo517[[#This Row],[ÜRÜN KODU]],YMKODLARI!$A$1:$K$363,2,0)," ")</calculatedColumnFormula>
    </tableColumn>
    <tableColumn id="3" name="TARİH" dataDxfId="214"/>
    <tableColumn id="4" name="PERSONEL ADI" dataDxfId="213"/>
    <tableColumn id="5" name="BAŞLAMA ZAMANI" dataDxfId="212"/>
    <tableColumn id="6" name="BİTİŞ ZAMANI" dataDxfId="211"/>
    <tableColumn id="7" name="KALIP GÖZ ADEDİ" dataDxfId="210">
      <calculatedColumnFormula>IFERROR(VLOOKUP(Tablo517[[#This Row],[ÜRÜN KODU]],YMKODLARI!$A$1:$K$363,3,0)," ")</calculatedColumnFormula>
    </tableColumn>
    <tableColumn id="8" name="ÇEVRİM SÜRESİ" dataDxfId="209">
      <calculatedColumnFormula>IFERROR(VLOOKUP(Tablo517[[#This Row],[ÜRÜN KODU]],YMKODLARI!$A$1:$K$363,4,0)," ")</calculatedColumnFormula>
    </tableColumn>
    <tableColumn id="10" name="BASKI SAYISI" dataDxfId="208"/>
    <tableColumn id="11" name="BOYA KODU" dataDxfId="207">
      <calculatedColumnFormula>IFERROR(VLOOKUP(Tablo517[[#This Row],[ÜRÜN KODU]],YMKODLARI!$A$1:$K$363,9,0)," ")</calculatedColumnFormula>
    </tableColumn>
    <tableColumn id="12" name="RENK" dataDxfId="206">
      <calculatedColumnFormula>IFERROR(VLOOKUP(Tablo517[[#This Row],[BOYA KODU]],Tablo14[#All],4,0)," ")</calculatedColumnFormula>
    </tableColumn>
    <tableColumn id="13" name="BOYA ORANI" dataDxfId="205">
      <calculatedColumnFormula>IFERROR(VLOOKUP(Tablo517[[#This Row],[BOYA KODU]],Tablo14[#All],6,0)," ")</calculatedColumnFormula>
    </tableColumn>
    <tableColumn id="14" name="KULLANILAN BOYA MİKTARI GRAM" dataDxfId="204">
      <calculatedColumnFormula>IFERROR((I2*Q2)*L2," ")</calculatedColumnFormula>
    </tableColumn>
    <tableColumn id="15" name="HAMMADDE KODU" dataDxfId="203">
      <calculatedColumnFormula>IFERROR(VLOOKUP(Tablo517[[#This Row],[ÜRÜN KODU]],YMKODLARI!$A$1:$K$363,8,0)," ")</calculatedColumnFormula>
    </tableColumn>
    <tableColumn id="9" name="MALZEME_x000a_ADI" dataDxfId="202">
      <calculatedColumnFormula>IFERROR(VLOOKUP(Tablo517[[#This Row],[HAMMADDE KODU]],Tablo1[#All],3,0)," ")</calculatedColumnFormula>
    </tableColumn>
    <tableColumn id="24" name="MALZEME TEDARİKÇİSİ" dataDxfId="201">
      <calculatedColumnFormula>IFERROR(VLOOKUP(Tablo517[[#This Row],[HAMMADDE KODU]],Tablo1[#All],4,0)," ")</calculatedColumnFormula>
    </tableColumn>
    <tableColumn id="16" name="BASKI GRAMI" dataDxfId="200">
      <calculatedColumnFormula>IFERROR(VLOOKUP(Tablo517[[#This Row],[ÜRÜN KODU]],YMKODLARI!$A$1:$K$363,5,0)," ")</calculatedColumnFormula>
    </tableColumn>
    <tableColumn id="17" name="YOLLUK HARİÇ BASKI GRAMI" dataDxfId="199">
      <calculatedColumnFormula>IFERROR(VLOOKUP(Tablo517[[#This Row],[ÜRÜN KODU]],YMKODLARI!$A$1:$K$363,6,0)," ")</calculatedColumnFormula>
    </tableColumn>
    <tableColumn id="18" name="ADET GRAMI" dataDxfId="198">
      <calculatedColumnFormula>IFERROR(Tablo517[[#This Row],[YOLLUK HARİÇ BASKI GRAMI]]/Tablo517[[#This Row],[KALIP GÖZ ADEDİ]]," ")</calculatedColumnFormula>
    </tableColumn>
    <tableColumn id="19" name="YOLLUK GRAMI " dataDxfId="197">
      <calculatedColumnFormula>IFERROR(Q2-R2," ")</calculatedColumnFormula>
    </tableColumn>
    <tableColumn id="20" name="FİRE _x000a_(kg)" dataDxfId="196"/>
    <tableColumn id="21" name="HAMMADDE TÜKETİM KG" dataDxfId="195">
      <calculatedColumnFormula>IFERROR(U2+(R2*I2) /1000," ")</calculatedColumnFormula>
    </tableColumn>
    <tableColumn id="22" name="TOPLAM MESAİ SAATİ" dataDxfId="194">
      <calculatedColumnFormula>IFERROR(24-(E2-F2)," ")</calculatedColumnFormula>
    </tableColumn>
    <tableColumn id="25" name="SAAT" dataDxfId="193">
      <calculatedColumnFormula>IFERROR((W2-INT(W2))*24," ")</calculatedColumnFormula>
    </tableColumn>
    <tableColumn id="23" name="BASKIYA EŞİT ÇALIŞMA SAATİ" dataDxfId="192">
      <calculatedColumnFormula>IFERROR(H2*I2/3600," ")</calculatedColumnFormula>
    </tableColumn>
    <tableColumn id="27" name="TOPLAM BASKI ADEDİ" dataDxfId="191">
      <calculatedColumnFormula>IFERROR(I2*G2," " )</calculatedColumnFormula>
    </tableColumn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17" name="Tablo518" displayName="Tablo518" ref="A1:Z576" totalsRowShown="0" headerRowDxfId="190" dataDxfId="189">
  <tableColumns count="26">
    <tableColumn id="1" name="ÜRÜN KODU" dataDxfId="188"/>
    <tableColumn id="2" name="ÜRÜN ADI" dataDxfId="187">
      <calculatedColumnFormula>IFERROR(VLOOKUP(Tablo518[[#This Row],[ÜRÜN KODU]],YMKODLARI!$A$1:$K$363,2,0)," ")</calculatedColumnFormula>
    </tableColumn>
    <tableColumn id="3" name="TARİH" dataDxfId="186"/>
    <tableColumn id="4" name="PERSONEL ADI" dataDxfId="185"/>
    <tableColumn id="5" name="BAŞLAMA ZAMANI" dataDxfId="184"/>
    <tableColumn id="6" name="BİTİŞ ZAMANI" dataDxfId="183"/>
    <tableColumn id="7" name="KALIP GÖZ ADEDİ" dataDxfId="182">
      <calculatedColumnFormula>IFERROR(VLOOKUP(Tablo518[[#This Row],[ÜRÜN KODU]],YMKODLARI!$A$1:$K$363,3,0)," ")</calculatedColumnFormula>
    </tableColumn>
    <tableColumn id="8" name="ÇEVRİM SÜRESİ" dataDxfId="181">
      <calculatedColumnFormula>IFERROR(VLOOKUP(Tablo518[[#This Row],[ÜRÜN KODU]],YMKODLARI!$A$1:$K$363,4,0)," ")</calculatedColumnFormula>
    </tableColumn>
    <tableColumn id="10" name="BASKI SAYISI" dataDxfId="180"/>
    <tableColumn id="11" name="BOYA KODU" dataDxfId="179">
      <calculatedColumnFormula>IFERROR(VLOOKUP(Tablo518[[#This Row],[ÜRÜN KODU]],YMKODLARI!$A$1:$K$363,9,0)," ")</calculatedColumnFormula>
    </tableColumn>
    <tableColumn id="12" name="RENK" dataDxfId="178">
      <calculatedColumnFormula>IFERROR(VLOOKUP(Tablo518[[#This Row],[BOYA KODU]],Tablo14[#All],4,0)," ")</calculatedColumnFormula>
    </tableColumn>
    <tableColumn id="13" name="BOYA ORANI" dataDxfId="177">
      <calculatedColumnFormula>IFERROR(VLOOKUP(Tablo518[[#This Row],[BOYA KODU]],Tablo14[#All],6,0)," ")</calculatedColumnFormula>
    </tableColumn>
    <tableColumn id="14" name="KULLANILAN BOYA MİKTARI GRAM" dataDxfId="176">
      <calculatedColumnFormula>IFERROR((I2*Q2)*L2," ")</calculatedColumnFormula>
    </tableColumn>
    <tableColumn id="15" name="HAMMADDE KODU" dataDxfId="175">
      <calculatedColumnFormula>IFERROR(VLOOKUP(Tablo518[[#This Row],[ÜRÜN KODU]],YMKODLARI!$A$1:$K$363,8,0)," ")</calculatedColumnFormula>
    </tableColumn>
    <tableColumn id="9" name="MALZEME_x000a_ADI" dataDxfId="174">
      <calculatedColumnFormula>IFERROR(VLOOKUP(Tablo518[[#This Row],[HAMMADDE KODU]],Tablo1[#All],3,0)," ")</calculatedColumnFormula>
    </tableColumn>
    <tableColumn id="24" name="MALZEME TEDARİKÇİSİ" dataDxfId="173">
      <calculatedColumnFormula>IFERROR(VLOOKUP(Tablo518[[#This Row],[HAMMADDE KODU]],Tablo1[#All],4,0)," ")</calculatedColumnFormula>
    </tableColumn>
    <tableColumn id="16" name="BASKI GRAMI" dataDxfId="172">
      <calculatedColumnFormula>IFERROR(VLOOKUP(Tablo518[[#This Row],[ÜRÜN KODU]],YMKODLARI!$A$1:$K$363,5,0)," ")</calculatedColumnFormula>
    </tableColumn>
    <tableColumn id="17" name="YOLLUK HARİÇ BASKI GRAMI" dataDxfId="171">
      <calculatedColumnFormula>IFERROR(VLOOKUP(Tablo518[[#This Row],[ÜRÜN KODU]],YMKODLARI!$A$1:$K$363,6,0)," ")</calculatedColumnFormula>
    </tableColumn>
    <tableColumn id="18" name="ADET GRAMI" dataDxfId="170">
      <calculatedColumnFormula>IFERROR(Tablo518[[#This Row],[YOLLUK HARİÇ BASKI GRAMI]]/Tablo518[[#This Row],[KALIP GÖZ ADEDİ]]," ")</calculatedColumnFormula>
    </tableColumn>
    <tableColumn id="19" name="YOLLUK GRAMI " dataDxfId="169">
      <calculatedColumnFormula>IFERROR(Q2-R2," ")</calculatedColumnFormula>
    </tableColumn>
    <tableColumn id="20" name="FİRE _x000a_(kg)" dataDxfId="168"/>
    <tableColumn id="21" name="HAMMADDE TÜKETİM KG" dataDxfId="167">
      <calculatedColumnFormula>IFERROR(U2+(R2*I2) /1000," ")</calculatedColumnFormula>
    </tableColumn>
    <tableColumn id="22" name="TOPLAM MESAİ SAATİ" dataDxfId="166">
      <calculatedColumnFormula>IFERROR(24-(E2-F2)," ")</calculatedColumnFormula>
    </tableColumn>
    <tableColumn id="25" name="SAAT" dataDxfId="165">
      <calculatedColumnFormula>IFERROR((W2-INT(W2))*24," ")</calculatedColumnFormula>
    </tableColumn>
    <tableColumn id="23" name="BASKIYA EŞİT ÇALIŞMA SAATİ" dataDxfId="164">
      <calculatedColumnFormula>IFERROR(H2*I2/3600," ")</calculatedColumnFormula>
    </tableColumn>
    <tableColumn id="27" name="TOPLAM BASKI ADEDİ" dataDxfId="163">
      <calculatedColumnFormula>IFERROR(I2*G2," " )</calculatedColumnFormula>
    </tableColumn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18" name="Tablo519" displayName="Tablo519" ref="A1:Z571" totalsRowShown="0" headerRowDxfId="162" dataDxfId="161">
  <autoFilter ref="A1:Z571"/>
  <tableColumns count="26">
    <tableColumn id="1" name="ÜRÜN KODU" dataDxfId="160"/>
    <tableColumn id="2" name="ÜRÜN ADI" dataDxfId="159">
      <calculatedColumnFormula>IFERROR(VLOOKUP(Tablo519[[#This Row],[ÜRÜN KODU]],YMKODLARI!$A$1:$K$363,2,0)," ")</calculatedColumnFormula>
    </tableColumn>
    <tableColumn id="3" name="TARİH" dataDxfId="158"/>
    <tableColumn id="4" name="PERSONEL ADI" dataDxfId="157"/>
    <tableColumn id="5" name="BAŞLAMA ZAMANI" dataDxfId="156"/>
    <tableColumn id="6" name="BİTİŞ ZAMANI" dataDxfId="155"/>
    <tableColumn id="7" name="KALIP GÖZ ADEDİ" dataDxfId="154">
      <calculatedColumnFormula>IFERROR(VLOOKUP(Tablo519[[#This Row],[ÜRÜN KODU]],YMKODLARI!$A$1:$K$363,3,0)," ")</calculatedColumnFormula>
    </tableColumn>
    <tableColumn id="8" name="ÇEVRİM SÜRESİ" dataDxfId="153">
      <calculatedColumnFormula>IFERROR(VLOOKUP(Tablo519[[#This Row],[ÜRÜN KODU]],YMKODLARI!$A$1:$K$363,4,0)," ")</calculatedColumnFormula>
    </tableColumn>
    <tableColumn id="10" name="BASKI SAYISI" dataDxfId="152"/>
    <tableColumn id="11" name="BOYA KODU" dataDxfId="151">
      <calculatedColumnFormula>IFERROR(VLOOKUP(Tablo519[[#This Row],[ÜRÜN KODU]],YMKODLARI!$A$1:$K$363,9,0)," ")</calculatedColumnFormula>
    </tableColumn>
    <tableColumn id="12" name="RENK" dataDxfId="150">
      <calculatedColumnFormula>IFERROR(VLOOKUP(Tablo519[[#This Row],[BOYA KODU]],Tablo14[#All],4,0)," ")</calculatedColumnFormula>
    </tableColumn>
    <tableColumn id="13" name="BOYA ORANI" dataDxfId="149">
      <calculatedColumnFormula>IFERROR(VLOOKUP(Tablo519[[#This Row],[BOYA KODU]],Tablo14[#All],6,0)," ")</calculatedColumnFormula>
    </tableColumn>
    <tableColumn id="14" name="KULLANILAN  BOYA MİKTARI GRAM" dataDxfId="148">
      <calculatedColumnFormula>IFERROR((I2*Q2)*L2," ")</calculatedColumnFormula>
    </tableColumn>
    <tableColumn id="15" name="HAMMADDE KODU" dataDxfId="147">
      <calculatedColumnFormula>IFERROR(VLOOKUP(Tablo519[[#This Row],[ÜRÜN KODU]],YMKODLARI!$A$1:$K$363,8,0)," ")</calculatedColumnFormula>
    </tableColumn>
    <tableColumn id="9" name="MALZEME_x000a_ADI" dataDxfId="146">
      <calculatedColumnFormula>IFERROR(VLOOKUP(Tablo519[[#This Row],[HAMMADDE KODU]],Tablo1[#All],3,0)," ")</calculatedColumnFormula>
    </tableColumn>
    <tableColumn id="24" name="MALZEME TEDARİKÇİSİ" dataDxfId="145">
      <calculatedColumnFormula>IFERROR(VLOOKUP(Tablo519[[#This Row],[HAMMADDE KODU]],Tablo1[#All],4,0)," ")</calculatedColumnFormula>
    </tableColumn>
    <tableColumn id="16" name="BASKI GRAMI" dataDxfId="144">
      <calculatedColumnFormula>IFERROR(VLOOKUP(Tablo519[[#This Row],[ÜRÜN KODU]],YMKODLARI!$A$1:$K$363,5,0)," ")</calculatedColumnFormula>
    </tableColumn>
    <tableColumn id="17" name="YOLLUK HARİÇ BASKI GRAMI" dataDxfId="143">
      <calculatedColumnFormula>IFERROR(VLOOKUP(Tablo519[[#This Row],[ÜRÜN KODU]],YMKODLARI!$A$1:$K$363,6,0)," ")</calculatedColumnFormula>
    </tableColumn>
    <tableColumn id="18" name="ADET GRAMI" dataDxfId="142">
      <calculatedColumnFormula>IFERROR(Tablo519[[#This Row],[YOLLUK HARİÇ BASKI GRAMI]]/Tablo519[[#This Row],[KALIP GÖZ ADEDİ]]," ")</calculatedColumnFormula>
    </tableColumn>
    <tableColumn id="19" name="YOLLUK GRAMI " dataDxfId="141">
      <calculatedColumnFormula>IFERROR(Q2-R2," ")</calculatedColumnFormula>
    </tableColumn>
    <tableColumn id="20" name="FİRE _x000a_(kg)" dataDxfId="140"/>
    <tableColumn id="21" name="HAMMADDE TÜKETİM KG" dataDxfId="139">
      <calculatedColumnFormula>IFERROR(U2+(R2*I2) /1000," ")</calculatedColumnFormula>
    </tableColumn>
    <tableColumn id="22" name="TOPLAM MESAİ SAATİ" dataDxfId="138">
      <calculatedColumnFormula>IFERROR(24-(E2-F2)," ")</calculatedColumnFormula>
    </tableColumn>
    <tableColumn id="25" name="SAAT" dataDxfId="137">
      <calculatedColumnFormula>IFERROR((W2-INT(W2))*24," ")</calculatedColumnFormula>
    </tableColumn>
    <tableColumn id="23" name="BASKIYA EŞİT ÇALIŞMA SAATİ" dataDxfId="136">
      <calculatedColumnFormula>IFERROR(H2*I2/3600," ")</calculatedColumnFormula>
    </tableColumn>
    <tableColumn id="27" name="TOPLAM BASKI ADEDİ" dataDxfId="135">
      <calculatedColumnFormula>IFERROR(I2*G2," " )</calculatedColumnFormula>
    </tableColumn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19" name="Tablo520" displayName="Tablo520" ref="A1:Z571" totalsRowShown="0" headerRowDxfId="134" dataDxfId="133">
  <tableColumns count="26">
    <tableColumn id="1" name="ÜRÜN KODU" dataDxfId="132"/>
    <tableColumn id="2" name="ÜRÜN ADI" dataDxfId="131">
      <calculatedColumnFormula>IFERROR(VLOOKUP(Tablo520[[#This Row],[ÜRÜN KODU]],YMKODLARI!$A$1:$K$373,2,0)," ")</calculatedColumnFormula>
    </tableColumn>
    <tableColumn id="3" name="TARİH" dataDxfId="130"/>
    <tableColumn id="4" name="PERSONEL ADI" dataDxfId="129"/>
    <tableColumn id="5" name="BAŞLAMA ZAMANI" dataDxfId="128"/>
    <tableColumn id="6" name="BİTİŞ ZAMANI" dataDxfId="127"/>
    <tableColumn id="7" name="KALIP GÖZ ADEDİ" dataDxfId="126">
      <calculatedColumnFormula>IFERROR(VLOOKUP(Tablo520[[#This Row],[ÜRÜN KODU]],YMKODLARI!$A$1:$K$373,3,0)," ")</calculatedColumnFormula>
    </tableColumn>
    <tableColumn id="8" name="ÇEVRİM SÜRESİ" dataDxfId="125">
      <calculatedColumnFormula>IFERROR(VLOOKUP(Tablo520[[#This Row],[ÜRÜN KODU]],YMKODLARI!$A$1:$K$373,4,0)," ")</calculatedColumnFormula>
    </tableColumn>
    <tableColumn id="10" name="BASKI SAYISI" dataDxfId="124"/>
    <tableColumn id="11" name="BOYA KODU" dataDxfId="123">
      <calculatedColumnFormula>IFERROR(VLOOKUP(Tablo520[[#This Row],[ÜRÜN KODU]],YMKODLARI!$A$1:$K$373,9,0)," ")</calculatedColumnFormula>
    </tableColumn>
    <tableColumn id="12" name="RENK" dataDxfId="122">
      <calculatedColumnFormula>IFERROR(VLOOKUP(Tablo520[[#This Row],[BOYA KODU]],Tablo14[#All],4,0)," ")</calculatedColumnFormula>
    </tableColumn>
    <tableColumn id="13" name="BOYA ORANI" dataDxfId="121">
      <calculatedColumnFormula>IFERROR(VLOOKUP(Tablo520[[#This Row],[BOYA KODU]],Tablo14[#All],6,0)," ")</calculatedColumnFormula>
    </tableColumn>
    <tableColumn id="14" name="KULLANILAN BOYA MİKTARI GRAM" dataDxfId="120">
      <calculatedColumnFormula>IFERROR((I2*Q2)*L2," ")</calculatedColumnFormula>
    </tableColumn>
    <tableColumn id="15" name="HAMMADDE KODU" dataDxfId="119">
      <calculatedColumnFormula>IFERROR(VLOOKUP(Tablo520[[#This Row],[ÜRÜN KODU]],YMKODLARI!$A$1:$K$373,8,0)," ")</calculatedColumnFormula>
    </tableColumn>
    <tableColumn id="9" name="MALZEME_x000a_ADI" dataDxfId="118">
      <calculatedColumnFormula>IFERROR(VLOOKUP(Tablo520[[#This Row],[HAMMADDE KODU]],Tablo1[#All],3,0)," ")</calculatedColumnFormula>
    </tableColumn>
    <tableColumn id="24" name="MALZEME TEDARİKÇİSİ" dataDxfId="117">
      <calculatedColumnFormula>IFERROR(VLOOKUP(Tablo520[[#This Row],[HAMMADDE KODU]],Tablo1[#All],4,0)," ")</calculatedColumnFormula>
    </tableColumn>
    <tableColumn id="16" name="BASKI GRAMI" dataDxfId="116">
      <calculatedColumnFormula>IFERROR(VLOOKUP(Tablo520[[#This Row],[ÜRÜN KODU]],YMKODLARI!$A$1:$K$373,5,0)," ")</calculatedColumnFormula>
    </tableColumn>
    <tableColumn id="17" name="YOLLUK HARİÇ BASKI GRAMI" dataDxfId="115">
      <calculatedColumnFormula>IFERROR(VLOOKUP(Tablo520[[#This Row],[ÜRÜN KODU]],YMKODLARI!$A$1:$K$373,6,0)," ")</calculatedColumnFormula>
    </tableColumn>
    <tableColumn id="18" name="ADET GRAMI" dataDxfId="114">
      <calculatedColumnFormula>IFERROR(Tablo520[[#This Row],[YOLLUK HARİÇ BASKI GRAMI]]/Tablo520[[#This Row],[KALIP GÖZ ADEDİ]]," ")</calculatedColumnFormula>
    </tableColumn>
    <tableColumn id="19" name="YOLLUK GRAMI " dataDxfId="113">
      <calculatedColumnFormula>IFERROR(Q2-R2," ")</calculatedColumnFormula>
    </tableColumn>
    <tableColumn id="20" name="FİRE _x000a_(kg)" dataDxfId="112"/>
    <tableColumn id="21" name="HAMMADDE TÜKETİM KG" dataDxfId="111">
      <calculatedColumnFormula>IFERROR(U2+(R2*I2) /1000," ")</calculatedColumnFormula>
    </tableColumn>
    <tableColumn id="22" name="TOPLAM MESAİ SAATİ" dataDxfId="110">
      <calculatedColumnFormula>IFERROR(24-(E2-F2)," ")</calculatedColumnFormula>
    </tableColumn>
    <tableColumn id="25" name="SAAT" dataDxfId="109">
      <calculatedColumnFormula>IFERROR((W2-INT(W2))*24," ")</calculatedColumnFormula>
    </tableColumn>
    <tableColumn id="23" name="BASKIYA EŞİT ÇALIŞMA SAATİ" dataDxfId="108">
      <calculatedColumnFormula>IFERROR(H2*I2/3600," ")</calculatedColumnFormula>
    </tableColumn>
    <tableColumn id="27" name="TOPLAM BASKI ADEDİ" dataDxfId="107">
      <calculatedColumnFormula>IFERROR(I2*G2," " )</calculatedColumnFormula>
    </tableColumn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o8" displayName="Tablo8" ref="A1:E953" totalsRowShown="0" headerRowDxfId="106" dataDxfId="105">
  <tableColumns count="5">
    <tableColumn id="1" name=" ÜRÜN KODU" dataDxfId="104"/>
    <tableColumn id="5" name="SEVK EDİLEN ÜRÜN ADI" dataDxfId="103">
      <calculatedColumnFormula>IFERROR(VLOOKUP(Tablo8[[#This Row],[ ÜRÜN KODU]],YMKODLARI!$A$1:$H$383,2,0)," " )</calculatedColumnFormula>
    </tableColumn>
    <tableColumn id="2" name="SEVK TARİHİ" dataDxfId="102"/>
    <tableColumn id="3" name="SEVK ADEDİ" dataDxfId="101"/>
    <tableColumn id="4" name="AY" dataDxfId="100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o810" displayName="Tablo810" ref="A1:R291" totalsRowShown="0" headerRowDxfId="99" dataDxfId="98">
  <tableColumns count="18">
    <tableColumn id="1" name=" ÜRÜN KODU" dataDxfId="97"/>
    <tableColumn id="5" name="SEVK EDİLEN ÜRÜN ADI" dataDxfId="96">
      <calculatedColumnFormula>VLOOKUP(Tablo810[[#This Row],[ ÜRÜN KODU]],YMKODLARI!$A$1:$H$376,2,0)</calculatedColumnFormula>
    </tableColumn>
    <tableColumn id="3" name="2020 YILI TOPLAM SEVK ADEDİ" dataDxfId="95">
      <calculatedColumnFormula>SUMIF(Tablo8[[ ÜRÜN KODU]],Tablo810[[#This Row],[ ÜRÜN KODU]],Tablo8[SEVK ADEDİ])-Tablo810[[#This Row],[GERİ İADE ÜRÜN]]</calculatedColumnFormula>
    </tableColumn>
    <tableColumn id="4" name="2020 YILI TOPLAM ÜRETİLEN ÜRÜN ADEDİ" dataDxfId="94">
      <calculatedColumnFormula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calculatedColumnFormula>
    </tableColumn>
    <tableColumn id="2" name="GERİ İADE ÜRÜN" dataDxfId="93"/>
    <tableColumn id="6" name="TOPLAM FARK" dataDxfId="92">
      <calculatedColumnFormula>(D2-C2)+E2</calculatedColumnFormula>
    </tableColumn>
    <tableColumn id="10" name="OCAK" dataDxfId="91">
      <calculatedColumnFormula>SUMIFS(SevkAdetleri!$D:$D,SevkAdetleri!$A:$A,A2,SevkAdetleri!$E:$E,"OCAK")</calculatedColumnFormula>
    </tableColumn>
    <tableColumn id="11" name="ŞUBAT" dataDxfId="90">
      <calculatedColumnFormula>SUMIFS(SevkAdetleri!$D:$D,SevkAdetleri!$A:$A,A2,SevkAdetleri!$E:$E,"ŞUBAT")</calculatedColumnFormula>
    </tableColumn>
    <tableColumn id="12" name="MART" dataDxfId="89">
      <calculatedColumnFormula>SUMIFS(SevkAdetleri!$D:$D,SevkAdetleri!$A:$A,A2,SevkAdetleri!$E:$E,"MART")</calculatedColumnFormula>
    </tableColumn>
    <tableColumn id="13" name="NISAN" dataDxfId="88">
      <calculatedColumnFormula>SUMIFS(SevkAdetleri!$D:$D,SevkAdetleri!$A:$A,A2,SevkAdetleri!$E:$E,"NİSAN")</calculatedColumnFormula>
    </tableColumn>
    <tableColumn id="14" name="MAYIS" dataDxfId="87">
      <calculatedColumnFormula>SUMIFS(SevkAdetleri!$D:$D,SevkAdetleri!$A:$A,A2,SevkAdetleri!$E:$E,"MAYIS")</calculatedColumnFormula>
    </tableColumn>
    <tableColumn id="15" name="HAZIRAN" dataDxfId="86">
      <calculatedColumnFormula>SUMIFS(SevkAdetleri!$D:$D,SevkAdetleri!$A:$A,A2,SevkAdetleri!$E:$E,"HAZIRAN")</calculatedColumnFormula>
    </tableColumn>
    <tableColumn id="16" name="TEMMUZ" dataDxfId="85">
      <calculatedColumnFormula>SUMIFS(SevkAdetleri!$D:$D,SevkAdetleri!$A:$A,A2,SevkAdetleri!$E:$E,"TEMMUZ")</calculatedColumnFormula>
    </tableColumn>
    <tableColumn id="17" name="AĞUSTOS" dataDxfId="84">
      <calculatedColumnFormula>SUMIFS(SevkAdetleri!$D:$D,SevkAdetleri!$A:$A,A2,SevkAdetleri!$E:$E,"AĞUSTOS")</calculatedColumnFormula>
    </tableColumn>
    <tableColumn id="18" name="EYLÜL" dataDxfId="83">
      <calculatedColumnFormula>SUMIFS(SevkAdetleri!$D:$D,SevkAdetleri!$A:$A,A2,SevkAdetleri!$E:$E,"EYLÜL")</calculatedColumnFormula>
    </tableColumn>
    <tableColumn id="19" name="EKIM" dataDxfId="82">
      <calculatedColumnFormula>SUMIFS(SevkAdetleri!$D:$D,SevkAdetleri!$A:$A,A2,SevkAdetleri!$E:$E,"EKİM")</calculatedColumnFormula>
    </tableColumn>
    <tableColumn id="20" name="KASIM" dataDxfId="81">
      <calculatedColumnFormula>SUMIFS(SevkAdetleri!$D:$D,SevkAdetleri!$A:$A,A2,SevkAdetleri!$E:$E,"KASIM")</calculatedColumnFormula>
    </tableColumn>
    <tableColumn id="21" name="ARALIK" dataDxfId="80">
      <calculatedColumnFormula>SUMIFS(SevkAdetleri!$D:$D,SevkAdetleri!$A:$A,A2,SevkAdetleri!$E:$E,"ARALIK")</calculatedColumnFormula>
    </tableColumn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" name="Tablo1" displayName="Tablo1" ref="A1:D20" totalsRowShown="0" headerRowDxfId="79" dataDxfId="78">
  <tableColumns count="4">
    <tableColumn id="4" name="HAMMADDE KODU" dataDxfId="77"/>
    <tableColumn id="1" name="ÜRÜN ADI" dataDxfId="76"/>
    <tableColumn id="2" name="ÜRÜN CİNSİ" dataDxfId="75"/>
    <tableColumn id="3" name="TEDARİKÇİ FİRMA" dataDxfId="74"/>
  </tableColumns>
  <tableStyleInfo name="TableStyleLight2" showFirstColumn="0" showLastColumn="0" showRowStripes="1" showColumnStripes="0"/>
</table>
</file>

<file path=xl/tables/table11.xml><?xml version="1.0" encoding="utf-8"?>
<table xmlns="http://schemas.openxmlformats.org/spreadsheetml/2006/main" id="2" name="Tablo2" displayName="Tablo2" ref="A1:F47" totalsRowShown="0" headerRowDxfId="73" dataDxfId="72">
  <autoFilter ref="A1:F47"/>
  <tableColumns count="6">
    <tableColumn id="5" name="HAMMADDE KODU" dataDxfId="71"/>
    <tableColumn id="1" name="ÜRÜN ADI" dataDxfId="70"/>
    <tableColumn id="2" name="ÜRÜN CİNSİ" dataDxfId="69">
      <calculatedColumnFormula>IFERROR(VLOOKUP(Tablo2[[#This Row],[HAMMADDE KODU]],Tablo1[#All],3,0)," ")</calculatedColumnFormula>
    </tableColumn>
    <tableColumn id="3" name="TEDARİKÇİ FİRMA" dataDxfId="68">
      <calculatedColumnFormula>IFERROR(VLOOKUP(Tablo2[[#This Row],[HAMMADDE KODU]],Tablo1[#All],4,0)," ")</calculatedColumnFormula>
    </tableColumn>
    <tableColumn id="4" name="TARİH" dataDxfId="67"/>
    <tableColumn id="6" name="ALINAN KG" dataDxfId="66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3" name="Tablo3" displayName="Tablo3" ref="A1:E17" totalsRowShown="0" headerRowDxfId="65" dataDxfId="64">
  <tableColumns count="5">
    <tableColumn id="5" name="HAMMADDE KODU" dataDxfId="63"/>
    <tableColumn id="1" name="ÜRÜN ADI" dataDxfId="62">
      <calculatedColumnFormula>VLOOKUP(Tablo3[[#This Row],[HAMMADDE KODU]],Tablo1[#All],2,0)</calculatedColumnFormula>
    </tableColumn>
    <tableColumn id="2" name="ÜRÜN CİNSİ" dataDxfId="61">
      <calculatedColumnFormula>VLOOKUP(Tablo3[[#This Row],[HAMMADDE KODU]],Tablo1[#All],3,0)</calculatedColumnFormula>
    </tableColumn>
    <tableColumn id="3" name="TEDARİKÇİ FİRMA" dataDxfId="60">
      <calculatedColumnFormula>VLOOKUP(Tablo3[[#This Row],[HAMMADDE KODU]],Tablo1[#All],4,0)</calculatedColumnFormula>
    </tableColumn>
    <tableColumn id="6" name="TÜKETİLEN KG" dataDxfId="59">
      <calculatedColumnFormula>SUMIF(Tablo5[HAMMADDE KODU],Tablo3[[#This Row],[HAMMADDE KODU]],Tablo5[HAMMADDE TÜKETİM KG]) +SUMIF(Tablo515[HAMMADDE KODU],Tablo3[[#This Row],[HAMMADDE KODU]],Tablo515[HAMMADDE TÜKETİM KG])+SUMIF(Tablo516[HAMMADDE KODU],Tablo3[[#This Row],[HAMMADDE KODU]],Tablo516[HAMMADDE TÜKETİM KG]) +SUMIF(Tablo517[HAMMADDE KODU],Tablo3[[#This Row],[HAMMADDE KODU]],Tablo517[HAMMADDE TÜKETİM KG]) +SUMIF(Tablo518[HAMMADDE KODU],Tablo3[[#This Row],[HAMMADDE KODU]],Tablo518[HAMMADDE TÜKETİM KG]) +SUMIF(Tablo519[HAMMADDE KODU],Tablo3[[#This Row],[HAMMADDE KODU]],Tablo519[HAMMADDE TÜKETİM KG]) +SUMIF(Tablo520[HAMMADDE KODU],Tablo3[[#This Row],[HAMMADDE KODU]],Tablo520[HAMMADDE TÜKETİM KG])</calculatedColumnFormula>
    </tableColumn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4" name="Tablo4" displayName="Tablo4" ref="A1:H17" totalsRowShown="0" headerRowDxfId="56" dataDxfId="55">
  <tableColumns count="8">
    <tableColumn id="4" name="HAMMADDE KODU" dataDxfId="54"/>
    <tableColumn id="1" name="ÜRÜN ADI" dataDxfId="53">
      <calculatedColumnFormula>VLOOKUP(Tablo4[[#This Row],[HAMMADDE KODU]],Tablo1[#All],2,0)</calculatedColumnFormula>
    </tableColumn>
    <tableColumn id="2" name="ÜRÜN CİNSİ" dataDxfId="52">
      <calculatedColumnFormula>VLOOKUP(Tablo4[[#This Row],[HAMMADDE KODU]],Tablo1[#All],3,0)</calculatedColumnFormula>
    </tableColumn>
    <tableColumn id="3" name="TEDARİKÇİ FİRMA" dataDxfId="51">
      <calculatedColumnFormula>VLOOKUP(Tablo4[[#This Row],[HAMMADDE KODU]],Tablo1[#All],4,0)</calculatedColumnFormula>
    </tableColumn>
    <tableColumn id="9" name="ALINAN KG" dataDxfId="50">
      <calculatedColumnFormula>SUMIF(Tablo2[ÜRÜN ADI],Tablo4[[#This Row],[ÜRÜN ADI]],Tablo2[ALINAN KG])</calculatedColumnFormula>
    </tableColumn>
    <tableColumn id="10" name="KULLANILAN KG" dataDxfId="49">
      <calculatedColumnFormula>SUMIF(Tablo3[ÜRÜN ADI],Tablo4[[#This Row],[ÜRÜN ADI]],Tablo3[TÜKETİLEN KG])</calculatedColumnFormula>
    </tableColumn>
    <tableColumn id="6" name="STOK" dataDxfId="48">
      <calculatedColumnFormula>Tablo4[[#This Row],[ALINAN KG]]-Tablo4[[#This Row],[KULLANILAN KG]]</calculatedColumnFormula>
    </tableColumn>
    <tableColumn id="7" name="HATIRLATICI" dataDxfId="47">
      <calculatedColumnFormula>IF(G2&lt;= 50,"AZALDI","NORMAL")</calculatedColumnFormula>
    </tableColumn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id="10" name="Tablo211" displayName="Tablo211" ref="A1:E37" totalsRowShown="0" headerRowDxfId="46" dataDxfId="45">
  <autoFilter ref="A1:E37"/>
  <tableColumns count="5">
    <tableColumn id="2" name="BOYA KODU" dataDxfId="44"/>
    <tableColumn id="3" name="TEDARİKÇİ FİRMA" dataDxfId="43">
      <calculatedColumnFormula>IFERROR(VLOOKUP(Tablo211[[#This Row],[BOYA KODU]],Tablo14[#All],2,0)," ")</calculatedColumnFormula>
    </tableColumn>
    <tableColumn id="4" name="RENK" dataDxfId="42">
      <calculatedColumnFormula>IFERROR(VLOOKUP(Tablo211[[#This Row],[BOYA KODU]],Tablo14[#All],4,0)," ")</calculatedColumnFormula>
    </tableColumn>
    <tableColumn id="6" name="ALINAN GR" dataDxfId="41"/>
    <tableColumn id="7" name="TARİH" dataDxfId="40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id="7" name="Tablo14" displayName="Tablo14" ref="A1:G49" totalsRowShown="0" headerRowDxfId="39" dataDxfId="37" headerRowBorderDxfId="38" tableBorderDxfId="36" totalsRowBorderDxfId="35">
  <tableColumns count="7">
    <tableColumn id="2" name="Boya Kodu" dataDxfId="34"/>
    <tableColumn id="6" name="TEDARİKÇİ FİRMA" dataDxfId="33"/>
    <tableColumn id="9" name="KULLANILAN HAMMADDE" dataDxfId="32"/>
    <tableColumn id="3" name="Renk" dataDxfId="31"/>
    <tableColumn id="5" name="TİP" dataDxfId="30"/>
    <tableColumn id="10" name="BOYA ORANI" dataDxfId="29"/>
    <tableColumn id="12" name="Tüketim_x000a_GRAM" dataDxfId="28">
      <calculatedColumnFormula>SUMIF(Tablo5[BOYA KODU],Tablo14[[#This Row],[Boya Kodu]],Tablo5[KULLANILAN BOYA MİKTARI GRAM]) +SUMIF(Tablo515[BOYA KODU],Tablo14[[#This Row],[Boya Kodu]],Tablo515[KULLANILAN BOYA MİKTARI GRAM]) +SUMIF(Tablo516[BOYA KODU],Tablo14[[#This Row],[Boya Kodu]],Tablo516[KULLANILAN BOYA MİKTARI GRAM]) +SUMIF(Tablo517[BOYA KODU],Tablo14[[#This Row],[Boya Kodu]],Tablo517[KULLANILAN BOYA MİKTARI GRAM]) +SUMIF(Tablo518[BOYA KODU],Tablo14[[#This Row],[Boya Kodu]],Tablo518[KULLANILAN BOYA MİKTARI GRAM]) +SUMIF(Tablo519[BOYA KODU],Tablo14[[#This Row],[Boya Kodu]],Tablo519[KULLANILAN  BOYA MİKTARI GRAM]) +SUMIF(Tablo520[BOYA KODU],Tablo14[[#This Row],[Boya Kodu]],Tablo520[KULLANILAN BOYA MİKTARI GRAM])</calculatedColumnFormula>
    </tableColumn>
  </tableColumns>
  <tableStyleInfo name="TableStyleLight2" showFirstColumn="0" showLastColumn="0" showRowStripes="1" showColumnStripes="0"/>
</table>
</file>

<file path=xl/tables/table16.xml><?xml version="1.0" encoding="utf-8"?>
<table xmlns="http://schemas.openxmlformats.org/spreadsheetml/2006/main" id="12" name="Tablo413" displayName="Tablo413" ref="A1:G32" totalsRowShown="0" headerRowDxfId="25" dataDxfId="24">
  <autoFilter ref="A1:G32"/>
  <tableColumns count="7">
    <tableColumn id="4" name="BOYA KODU" dataDxfId="23"/>
    <tableColumn id="1" name="TEDARİKÇİ FİRMA" dataDxfId="22">
      <calculatedColumnFormula>IFERROR(VLOOKUP(Tablo413[[#All],[BOYA KODU]],Tablo14[#All],2,0)," ")</calculatedColumnFormula>
    </tableColumn>
    <tableColumn id="3" name="KULLANILAN HAMMADDE TÜRÜ" dataDxfId="21">
      <calculatedColumnFormula>IFERROR(VLOOKUP(Tablo413[[#All],[BOYA KODU]],Tablo14[#All],3,0)," ")</calculatedColumnFormula>
    </tableColumn>
    <tableColumn id="9" name="ALINAN GR" dataDxfId="20">
      <calculatedColumnFormula>IFERROR(SUMIF(Tablo211[BOYA KODU],Tablo413[[#This Row],[BOYA KODU]],Tablo211[ALINAN GR])," " )</calculatedColumnFormula>
    </tableColumn>
    <tableColumn id="10" name="KULLANILAN GR" dataDxfId="19">
      <calculatedColumnFormula>SUMIF(Tablo413[[#This Row],[BOYA KODU]],Tablo14[[#This Row],[Boya Kodu]],Tablo14[[#This Row],[Tüketim
GRAM]])</calculatedColumnFormula>
    </tableColumn>
    <tableColumn id="6" name="STOK" dataDxfId="18">
      <calculatedColumnFormula>Tablo413[[#This Row],[ALINAN GR]]-Tablo413[[#This Row],[KULLANILAN GR]]</calculatedColumnFormula>
    </tableColumn>
    <tableColumn id="7" name="HATIRLATICI_x000a_KG" dataDxfId="17">
      <calculatedColumnFormula>IF(F2 &lt;= 1,"AZALDI","NORMAL")</calculatedColumnFormula>
    </tableColumn>
  </tableColumns>
  <tableStyleInfo name="TableStyleLight9" showFirstColumn="0" showLastColumn="0" showRowStripes="1" showColumnStripes="0"/>
</table>
</file>

<file path=xl/tables/table17.xml><?xml version="1.0" encoding="utf-8"?>
<table xmlns="http://schemas.openxmlformats.org/spreadsheetml/2006/main" id="6" name="Tablo17" displayName="Tablo17" ref="A1:L379" totalsRowShown="0" headerRowDxfId="16" dataDxfId="14" headerRowBorderDxfId="15" tableBorderDxfId="13" totalsRowBorderDxfId="12">
  <autoFilter ref="A1:L379">
    <filterColumn colId="11"/>
  </autoFilter>
  <tableColumns count="12">
    <tableColumn id="1" name="YM KODU" dataDxfId="11"/>
    <tableColumn id="2" name="ÜRÜN ADI" dataDxfId="10"/>
    <tableColumn id="3" name="GÖZ ADEDİ" dataDxfId="9"/>
    <tableColumn id="4" name="ÇEVRİM SÜRESİ" dataDxfId="8"/>
    <tableColumn id="5" name="BASKI GRAMI " dataDxfId="7"/>
    <tableColumn id="6" name="YOLLUK HARİÇ BASKI GRAMI" dataDxfId="6"/>
    <tableColumn id="7" name="BİRİM GRAMI" dataDxfId="5">
      <calculatedColumnFormula>Tablo17[[#This Row],[YOLLUK HARİÇ BASKI GRAMI]]/Tablo17[[#This Row],[GÖZ ADEDİ]]</calculatedColumnFormula>
    </tableColumn>
    <tableColumn id="8" name="MALZEME" dataDxfId="4"/>
    <tableColumn id="9" name="BOYA KODU" dataDxfId="3"/>
    <tableColumn id="10" name="BOYA ORANI" dataDxfId="2"/>
    <tableColumn id="11" name="Sütun3" dataDxfId="1"/>
    <tableColumn id="12" name="980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is Teması">
  <a:themeElements>
    <a:clrScheme name="Ofis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s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i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ayfa1"/>
  <dimension ref="A1:Z573"/>
  <sheetViews>
    <sheetView workbookViewId="0">
      <pane ySplit="2" topLeftCell="A177" activePane="bottomLeft" state="frozen"/>
      <selection activeCell="F19" sqref="F19"/>
      <selection pane="bottomLeft" activeCell="N190" sqref="N190"/>
    </sheetView>
  </sheetViews>
  <sheetFormatPr defaultRowHeight="15"/>
  <cols>
    <col min="1" max="1" width="13.28515625" style="90" customWidth="1"/>
    <col min="2" max="2" width="34.42578125" style="98" customWidth="1"/>
    <col min="3" max="3" width="11.85546875" style="89" bestFit="1" customWidth="1"/>
    <col min="4" max="4" width="15.28515625" style="90" customWidth="1"/>
    <col min="5" max="5" width="12" style="91" customWidth="1"/>
    <col min="6" max="6" width="10.140625" style="91" customWidth="1"/>
    <col min="7" max="7" width="9.140625" style="90" customWidth="1"/>
    <col min="8" max="8" width="9" style="90" customWidth="1"/>
    <col min="9" max="9" width="11.7109375" style="90" customWidth="1"/>
    <col min="10" max="10" width="12.7109375" style="90" bestFit="1" customWidth="1"/>
    <col min="11" max="11" width="11.85546875" style="90" customWidth="1"/>
    <col min="12" max="12" width="10" style="90" customWidth="1"/>
    <col min="13" max="13" width="12.140625" style="90" customWidth="1"/>
    <col min="14" max="16" width="12.42578125" style="90" customWidth="1"/>
    <col min="17" max="17" width="8.5703125" style="90" customWidth="1"/>
    <col min="18" max="18" width="10.5703125" style="90" customWidth="1"/>
    <col min="19" max="19" width="7.5703125" style="90" customWidth="1"/>
    <col min="20" max="20" width="10" style="90" customWidth="1"/>
    <col min="21" max="21" width="9.140625" style="90"/>
    <col min="22" max="22" width="12.140625" style="90" customWidth="1"/>
    <col min="23" max="23" width="11.85546875" style="91" customWidth="1"/>
    <col min="24" max="24" width="11.85546875" style="92" customWidth="1"/>
    <col min="25" max="25" width="9.5703125" style="90" customWidth="1"/>
    <col min="26" max="26" width="10.28515625" style="90" customWidth="1"/>
    <col min="27" max="16384" width="9.140625" style="90"/>
  </cols>
  <sheetData>
    <row r="1" spans="1:26" ht="44.25" customHeight="1">
      <c r="A1" s="169"/>
      <c r="B1" s="169"/>
    </row>
    <row r="2" spans="1:26" s="93" customFormat="1" ht="105" customHeight="1">
      <c r="A2" s="93" t="s">
        <v>0</v>
      </c>
      <c r="B2" s="94" t="s">
        <v>1</v>
      </c>
      <c r="C2" s="95" t="s">
        <v>2</v>
      </c>
      <c r="D2" s="93" t="s">
        <v>3</v>
      </c>
      <c r="E2" s="96" t="s">
        <v>4</v>
      </c>
      <c r="F2" s="96" t="s">
        <v>5</v>
      </c>
      <c r="G2" s="93" t="s">
        <v>6</v>
      </c>
      <c r="H2" s="93" t="s">
        <v>7</v>
      </c>
      <c r="I2" s="93" t="s">
        <v>8</v>
      </c>
      <c r="J2" s="93" t="s">
        <v>9</v>
      </c>
      <c r="K2" s="93" t="s">
        <v>10</v>
      </c>
      <c r="L2" s="93" t="s">
        <v>11</v>
      </c>
      <c r="M2" s="93" t="s">
        <v>12</v>
      </c>
      <c r="N2" s="93" t="s">
        <v>13</v>
      </c>
      <c r="O2" s="93" t="s">
        <v>14</v>
      </c>
      <c r="P2" s="93" t="s">
        <v>15</v>
      </c>
      <c r="Q2" s="93" t="s">
        <v>16</v>
      </c>
      <c r="R2" s="93" t="s">
        <v>17</v>
      </c>
      <c r="S2" s="93" t="s">
        <v>18</v>
      </c>
      <c r="T2" s="93" t="s">
        <v>19</v>
      </c>
      <c r="U2" s="93" t="s">
        <v>20</v>
      </c>
      <c r="V2" s="93" t="s">
        <v>21</v>
      </c>
      <c r="W2" s="96" t="s">
        <v>22</v>
      </c>
      <c r="X2" s="97" t="s">
        <v>23</v>
      </c>
      <c r="Y2" s="93" t="s">
        <v>24</v>
      </c>
      <c r="Z2" s="93" t="s">
        <v>25</v>
      </c>
    </row>
    <row r="3" spans="1:26">
      <c r="A3" s="100" t="s">
        <v>26</v>
      </c>
      <c r="B3" s="108" t="str">
        <f>IFERROR(VLOOKUP(Tablo5[[#This Row],[ÜRÜN KODU]],YMKODLARI!$A$1:$K$363,2,0)," ")</f>
        <v>DAMAK EMZİK UCU 1 NO</v>
      </c>
      <c r="C3" s="99">
        <v>43832</v>
      </c>
      <c r="D3" s="100" t="s">
        <v>27</v>
      </c>
      <c r="E3" s="101">
        <v>0.33333333333333331</v>
      </c>
      <c r="F3" s="101">
        <v>0.83333333333333337</v>
      </c>
      <c r="G3" s="100">
        <f>IFERROR(VLOOKUP(Tablo5[[#This Row],[ÜRÜN KODU]],YMKODLARI!$A$1:$K$363,3,0)," ")</f>
        <v>8</v>
      </c>
      <c r="H3" s="100">
        <f>IFERROR(VLOOKUP(Tablo5[[#This Row],[ÜRÜN KODU]],YMKODLARI!$A$1:$K$363,4,0)," ")</f>
        <v>30</v>
      </c>
      <c r="I3" s="100">
        <v>1076</v>
      </c>
      <c r="J3" s="100" t="str">
        <f>IFERROR(VLOOKUP(Tablo5[[#This Row],[ÜRÜN KODU]],YMKODLARI!$A$1:$K$363,9,0)," ")</f>
        <v>Şeffaf</v>
      </c>
      <c r="K3" s="100" t="str">
        <f>IFERROR(VLOOKUP(Tablo5[[#This Row],[BOYA KODU]],Tablo14[#All],4,0)," ")</f>
        <v xml:space="preserve"> </v>
      </c>
      <c r="L3" s="100" t="str">
        <f>IFERROR(VLOOKUP(Tablo5[[#This Row],[BOYA KODU]],Tablo14[#All],6,0)," ")</f>
        <v xml:space="preserve"> </v>
      </c>
      <c r="M3" s="100" t="str">
        <f t="shared" ref="M3:M66" si="0">IFERROR((I3*Q3)*L3," ")</f>
        <v xml:space="preserve"> </v>
      </c>
      <c r="N3" s="100" t="str">
        <f>IFERROR(VLOOKUP(Tablo5[[#This Row],[ÜRÜN KODU]],YMKODLARI!$A$1:$K$363,8,0)," ")</f>
        <v>HM 004</v>
      </c>
      <c r="O3" s="100" t="str">
        <f>IFERROR(VLOOKUP(Tablo5[[#This Row],[HAMMADDE KODU]],Tablo1[#All],3,0)," ")</f>
        <v>LSR 50</v>
      </c>
      <c r="P3" s="100" t="str">
        <f>IFERROR(VLOOKUP(Tablo5[[#This Row],[HAMMADDE KODU]],Tablo1[#All],4,0)," ")</f>
        <v>TERRA</v>
      </c>
      <c r="Q3" s="100">
        <f>IFERROR(VLOOKUP(Tablo5[[#This Row],[ÜRÜN KODU]],YMKODLARI!$A$1:$K$363,5,0)," ")</f>
        <v>20.399999999999999</v>
      </c>
      <c r="R3" s="100">
        <f>IFERROR(VLOOKUP(Tablo5[[#This Row],[ÜRÜN KODU]],YMKODLARI!$A$1:$K$363,6,0)," ")</f>
        <v>14.2</v>
      </c>
      <c r="S3" s="100">
        <f>IFERROR(Tablo5[[#This Row],[YOLLUK HARİÇ BASKI GRAMI]]/Tablo5[[#This Row],[KALIP GÖZ ADEDİ]]," ")</f>
        <v>1.7749999999999999</v>
      </c>
      <c r="T3" s="100">
        <f>IFERROR(Q3-R3," ")</f>
        <v>6.1999999999999993</v>
      </c>
      <c r="U3" s="100">
        <v>6.9</v>
      </c>
      <c r="V3" s="100">
        <f t="shared" ref="V3:V66" si="1">IFERROR(U3+(R3*I3) /1000," ")</f>
        <v>22.179200000000002</v>
      </c>
      <c r="W3" s="101">
        <f>IFERROR(24-(E3-F3)," ")</f>
        <v>24.5</v>
      </c>
      <c r="X3" s="102">
        <f>IFERROR((W3-INT(W3))*24," ")</f>
        <v>12</v>
      </c>
      <c r="Y3" s="100">
        <f>IFERROR(H3*I3/3600," ")</f>
        <v>8.9666666666666668</v>
      </c>
      <c r="Z3" s="100">
        <f>IFERROR(I3*G3," " )</f>
        <v>8608</v>
      </c>
    </row>
    <row r="4" spans="1:26">
      <c r="A4" s="100" t="s">
        <v>26</v>
      </c>
      <c r="B4" s="108" t="str">
        <f>IFERROR(VLOOKUP(Tablo5[[#This Row],[ÜRÜN KODU]],YMKODLARI!$A$1:$K$363,2,0)," ")</f>
        <v>DAMAK EMZİK UCU 1 NO</v>
      </c>
      <c r="C4" s="99">
        <v>43833</v>
      </c>
      <c r="D4" s="100" t="s">
        <v>27</v>
      </c>
      <c r="E4" s="101">
        <v>0.33333333333333331</v>
      </c>
      <c r="F4" s="101">
        <v>0.83333333333333337</v>
      </c>
      <c r="G4" s="100">
        <f>IFERROR(VLOOKUP(Tablo5[[#This Row],[ÜRÜN KODU]],YMKODLARI!$A$1:$K$363,3,0)," ")</f>
        <v>8</v>
      </c>
      <c r="H4" s="100">
        <f>IFERROR(VLOOKUP(Tablo5[[#This Row],[ÜRÜN KODU]],YMKODLARI!$A$1:$K$363,4,0)," ")</f>
        <v>30</v>
      </c>
      <c r="I4" s="100">
        <v>994</v>
      </c>
      <c r="J4" s="100" t="str">
        <f>IFERROR(VLOOKUP(Tablo5[[#This Row],[ÜRÜN KODU]],YMKODLARI!$A$1:$K$363,9,0)," ")</f>
        <v>Şeffaf</v>
      </c>
      <c r="K4" s="100" t="str">
        <f>IFERROR(VLOOKUP(Tablo5[[#This Row],[BOYA KODU]],Tablo14[#All],4,0)," ")</f>
        <v xml:space="preserve"> </v>
      </c>
      <c r="L4" s="100" t="str">
        <f>IFERROR(VLOOKUP(Tablo5[[#This Row],[BOYA KODU]],Tablo14[#All],6,0)," ")</f>
        <v xml:space="preserve"> </v>
      </c>
      <c r="M4" s="100" t="str">
        <f t="shared" si="0"/>
        <v xml:space="preserve"> </v>
      </c>
      <c r="N4" s="100" t="str">
        <f>IFERROR(VLOOKUP(Tablo5[[#This Row],[ÜRÜN KODU]],YMKODLARI!$A$1:$K$363,8,0)," ")</f>
        <v>HM 004</v>
      </c>
      <c r="O4" s="100" t="str">
        <f>IFERROR(VLOOKUP(Tablo5[[#This Row],[HAMMADDE KODU]],Tablo1[#All],3,0)," ")</f>
        <v>LSR 50</v>
      </c>
      <c r="P4" s="100" t="str">
        <f>IFERROR(VLOOKUP(Tablo5[[#This Row],[HAMMADDE KODU]],Tablo1[#All],4,0)," ")</f>
        <v>TERRA</v>
      </c>
      <c r="Q4" s="100">
        <f>IFERROR(VLOOKUP(Tablo5[[#This Row],[ÜRÜN KODU]],YMKODLARI!$A$1:$K$363,5,0)," ")</f>
        <v>20.399999999999999</v>
      </c>
      <c r="R4" s="100">
        <f>IFERROR(VLOOKUP(Tablo5[[#This Row],[ÜRÜN KODU]],YMKODLARI!$A$1:$K$363,6,0)," ")</f>
        <v>14.2</v>
      </c>
      <c r="S4" s="100">
        <f>IFERROR(Tablo5[[#This Row],[YOLLUK HARİÇ BASKI GRAMI]]/Tablo5[[#This Row],[KALIP GÖZ ADEDİ]]," ")</f>
        <v>1.7749999999999999</v>
      </c>
      <c r="T4" s="100">
        <f t="shared" ref="T4:T67" si="2">IFERROR(Q4-R4," ")</f>
        <v>6.1999999999999993</v>
      </c>
      <c r="U4" s="100">
        <v>6.4</v>
      </c>
      <c r="V4" s="100">
        <f t="shared" si="1"/>
        <v>20.514800000000001</v>
      </c>
      <c r="W4" s="101">
        <f t="shared" ref="W4:W67" si="3">IFERROR(24-(E4-F4)," ")</f>
        <v>24.5</v>
      </c>
      <c r="X4" s="102">
        <f t="shared" ref="X4:X67" si="4">IFERROR((W4-INT(W4))*24," ")</f>
        <v>12</v>
      </c>
      <c r="Y4" s="100">
        <f t="shared" ref="Y4:Y67" si="5">IFERROR(H4*I4/3600," ")</f>
        <v>8.2833333333333332</v>
      </c>
      <c r="Z4" s="100">
        <f t="shared" ref="Z4:Z67" si="6">IFERROR(I4*G4," " )</f>
        <v>7952</v>
      </c>
    </row>
    <row r="5" spans="1:26">
      <c r="A5" s="100" t="s">
        <v>26</v>
      </c>
      <c r="B5" s="108" t="str">
        <f>IFERROR(VLOOKUP(Tablo5[[#This Row],[ÜRÜN KODU]],YMKODLARI!$A$1:$K$363,2,0)," ")</f>
        <v>DAMAK EMZİK UCU 1 NO</v>
      </c>
      <c r="C5" s="99">
        <v>43836</v>
      </c>
      <c r="D5" s="100" t="s">
        <v>27</v>
      </c>
      <c r="E5" s="101">
        <v>0.33333333333333331</v>
      </c>
      <c r="F5" s="101">
        <v>0.62916666666666665</v>
      </c>
      <c r="G5" s="100">
        <f>IFERROR(VLOOKUP(Tablo5[[#This Row],[ÜRÜN KODU]],YMKODLARI!$A$1:$K$363,3,0)," ")</f>
        <v>8</v>
      </c>
      <c r="H5" s="100">
        <f>IFERROR(VLOOKUP(Tablo5[[#This Row],[ÜRÜN KODU]],YMKODLARI!$A$1:$K$363,4,0)," ")</f>
        <v>30</v>
      </c>
      <c r="I5" s="100">
        <v>626</v>
      </c>
      <c r="J5" s="100" t="str">
        <f>IFERROR(VLOOKUP(Tablo5[[#This Row],[ÜRÜN KODU]],YMKODLARI!$A$1:$K$363,9,0)," ")</f>
        <v>Şeffaf</v>
      </c>
      <c r="K5" s="100" t="str">
        <f>IFERROR(VLOOKUP(Tablo5[[#This Row],[BOYA KODU]],Tablo14[#All],4,0)," ")</f>
        <v xml:space="preserve"> </v>
      </c>
      <c r="L5" s="100" t="str">
        <f>IFERROR(VLOOKUP(Tablo5[[#This Row],[BOYA KODU]],Tablo14[#All],6,0)," ")</f>
        <v xml:space="preserve"> </v>
      </c>
      <c r="M5" s="100" t="str">
        <f t="shared" si="0"/>
        <v xml:space="preserve"> </v>
      </c>
      <c r="N5" s="100" t="str">
        <f>IFERROR(VLOOKUP(Tablo5[[#This Row],[ÜRÜN KODU]],YMKODLARI!$A$1:$K$363,8,0)," ")</f>
        <v>HM 004</v>
      </c>
      <c r="O5" s="100" t="str">
        <f>IFERROR(VLOOKUP(Tablo5[[#This Row],[HAMMADDE KODU]],Tablo1[#All],3,0)," ")</f>
        <v>LSR 50</v>
      </c>
      <c r="P5" s="100" t="str">
        <f>IFERROR(VLOOKUP(Tablo5[[#This Row],[HAMMADDE KODU]],Tablo1[#All],4,0)," ")</f>
        <v>TERRA</v>
      </c>
      <c r="Q5" s="100">
        <f>IFERROR(VLOOKUP(Tablo5[[#This Row],[ÜRÜN KODU]],YMKODLARI!$A$1:$K$363,5,0)," ")</f>
        <v>20.399999999999999</v>
      </c>
      <c r="R5" s="100">
        <f>IFERROR(VLOOKUP(Tablo5[[#This Row],[ÜRÜN KODU]],YMKODLARI!$A$1:$K$363,6,0)," ")</f>
        <v>14.2</v>
      </c>
      <c r="S5" s="100">
        <f>IFERROR(Tablo5[[#This Row],[YOLLUK HARİÇ BASKI GRAMI]]/Tablo5[[#This Row],[KALIP GÖZ ADEDİ]]," ")</f>
        <v>1.7749999999999999</v>
      </c>
      <c r="T5" s="100">
        <f t="shared" si="2"/>
        <v>6.1999999999999993</v>
      </c>
      <c r="U5" s="100">
        <v>4.28</v>
      </c>
      <c r="V5" s="100">
        <f t="shared" si="1"/>
        <v>13.1692</v>
      </c>
      <c r="W5" s="101">
        <f t="shared" si="3"/>
        <v>24.295833333333334</v>
      </c>
      <c r="X5" s="102">
        <f t="shared" si="4"/>
        <v>7.1000000000000227</v>
      </c>
      <c r="Y5" s="100">
        <f t="shared" si="5"/>
        <v>5.2166666666666668</v>
      </c>
      <c r="Z5" s="100">
        <f t="shared" si="6"/>
        <v>5008</v>
      </c>
    </row>
    <row r="6" spans="1:26">
      <c r="A6" s="100" t="s">
        <v>28</v>
      </c>
      <c r="B6" s="108" t="str">
        <f>IFERROR(VLOOKUP(Tablo5[[#This Row],[ÜRÜN KODU]],YMKODLARI!$A$1:$K$363,2,0)," ")</f>
        <v>BİBERON KLASİK  UC 2 NO</v>
      </c>
      <c r="C6" s="99">
        <v>43836</v>
      </c>
      <c r="D6" s="100" t="s">
        <v>29</v>
      </c>
      <c r="E6" s="101">
        <v>0.79166666666666663</v>
      </c>
      <c r="F6" s="101">
        <v>0.83333333333333337</v>
      </c>
      <c r="G6" s="100">
        <f>IFERROR(VLOOKUP(Tablo5[[#This Row],[ÜRÜN KODU]],YMKODLARI!$A$1:$K$363,3,0)," ")</f>
        <v>8</v>
      </c>
      <c r="H6" s="100">
        <f>IFERROR(VLOOKUP(Tablo5[[#This Row],[ÜRÜN KODU]],YMKODLARI!$A$1:$K$363,4,0)," ")</f>
        <v>41</v>
      </c>
      <c r="I6" s="100">
        <v>68</v>
      </c>
      <c r="J6" s="100" t="str">
        <f>IFERROR(VLOOKUP(Tablo5[[#This Row],[ÜRÜN KODU]],YMKODLARI!$A$1:$K$363,9,0)," ")</f>
        <v>Şeffaf</v>
      </c>
      <c r="K6" s="100" t="str">
        <f>IFERROR(VLOOKUP(Tablo5[[#This Row],[BOYA KODU]],Tablo14[#All],4,0)," ")</f>
        <v xml:space="preserve"> </v>
      </c>
      <c r="L6" s="100" t="str">
        <f>IFERROR(VLOOKUP(Tablo5[[#This Row],[BOYA KODU]],Tablo14[#All],6,0)," ")</f>
        <v xml:space="preserve"> </v>
      </c>
      <c r="M6" s="100" t="str">
        <f t="shared" si="0"/>
        <v xml:space="preserve"> </v>
      </c>
      <c r="N6" s="100" t="str">
        <f>IFERROR(VLOOKUP(Tablo5[[#This Row],[ÜRÜN KODU]],YMKODLARI!$A$1:$K$363,8,0)," ")</f>
        <v>HM 003</v>
      </c>
      <c r="O6" s="100" t="str">
        <f>IFERROR(VLOOKUP(Tablo5[[#This Row],[HAMMADDE KODU]],Tablo1[#All],3,0)," ")</f>
        <v>LSR 45</v>
      </c>
      <c r="P6" s="100" t="str">
        <f>IFERROR(VLOOKUP(Tablo5[[#This Row],[HAMMADDE KODU]],Tablo1[#All],4,0)," ")</f>
        <v>SETA</v>
      </c>
      <c r="Q6" s="100">
        <f>IFERROR(VLOOKUP(Tablo5[[#This Row],[ÜRÜN KODU]],YMKODLARI!$A$1:$K$363,5,0)," ")</f>
        <v>54.8</v>
      </c>
      <c r="R6" s="100">
        <f>IFERROR(VLOOKUP(Tablo5[[#This Row],[ÜRÜN KODU]],YMKODLARI!$A$1:$K$363,6,0)," ")</f>
        <v>48.1</v>
      </c>
      <c r="S6" s="100">
        <f>IFERROR(Tablo5[[#This Row],[YOLLUK HARİÇ BASKI GRAMI]]/Tablo5[[#This Row],[KALIP GÖZ ADEDİ]]," ")</f>
        <v>6.0125000000000002</v>
      </c>
      <c r="T6" s="100">
        <f t="shared" si="2"/>
        <v>6.6999999999999957</v>
      </c>
      <c r="U6" s="100">
        <v>1.4</v>
      </c>
      <c r="V6" s="100">
        <f t="shared" si="1"/>
        <v>4.6707999999999998</v>
      </c>
      <c r="W6" s="101">
        <f t="shared" si="3"/>
        <v>24.041666666666668</v>
      </c>
      <c r="X6" s="102">
        <f t="shared" si="4"/>
        <v>1.0000000000000284</v>
      </c>
      <c r="Y6" s="100">
        <f t="shared" si="5"/>
        <v>0.77444444444444449</v>
      </c>
      <c r="Z6" s="100">
        <f t="shared" si="6"/>
        <v>544</v>
      </c>
    </row>
    <row r="7" spans="1:26">
      <c r="A7" s="100" t="s">
        <v>28</v>
      </c>
      <c r="B7" s="108" t="str">
        <f>IFERROR(VLOOKUP(Tablo5[[#This Row],[ÜRÜN KODU]],YMKODLARI!$A$1:$K$363,2,0)," ")</f>
        <v>BİBERON KLASİK  UC 2 NO</v>
      </c>
      <c r="C7" s="99">
        <v>43836</v>
      </c>
      <c r="D7" s="100" t="s">
        <v>30</v>
      </c>
      <c r="E7" s="101">
        <v>0.83333333333333337</v>
      </c>
      <c r="F7" s="101">
        <v>0.91666666666666663</v>
      </c>
      <c r="G7" s="100">
        <f>IFERROR(VLOOKUP(Tablo5[[#This Row],[ÜRÜN KODU]],YMKODLARI!$A$1:$K$363,3,0)," ")</f>
        <v>8</v>
      </c>
      <c r="H7" s="100">
        <f>IFERROR(VLOOKUP(Tablo5[[#This Row],[ÜRÜN KODU]],YMKODLARI!$A$1:$K$363,4,0)," ")</f>
        <v>41</v>
      </c>
      <c r="I7" s="100">
        <v>186</v>
      </c>
      <c r="J7" s="100" t="str">
        <f>IFERROR(VLOOKUP(Tablo5[[#This Row],[ÜRÜN KODU]],YMKODLARI!$A$1:$K$363,9,0)," ")</f>
        <v>Şeffaf</v>
      </c>
      <c r="K7" s="100" t="str">
        <f>IFERROR(VLOOKUP(Tablo5[[#This Row],[BOYA KODU]],Tablo14[#All],4,0)," ")</f>
        <v xml:space="preserve"> </v>
      </c>
      <c r="L7" s="100" t="str">
        <f>IFERROR(VLOOKUP(Tablo5[[#This Row],[BOYA KODU]],Tablo14[#All],6,0)," ")</f>
        <v xml:space="preserve"> </v>
      </c>
      <c r="M7" s="100" t="str">
        <f t="shared" si="0"/>
        <v xml:space="preserve"> </v>
      </c>
      <c r="N7" s="100" t="str">
        <f>IFERROR(VLOOKUP(Tablo5[[#This Row],[ÜRÜN KODU]],YMKODLARI!$A$1:$K$363,8,0)," ")</f>
        <v>HM 003</v>
      </c>
      <c r="O7" s="100" t="str">
        <f>IFERROR(VLOOKUP(Tablo5[[#This Row],[HAMMADDE KODU]],Tablo1[#All],3,0)," ")</f>
        <v>LSR 45</v>
      </c>
      <c r="P7" s="100" t="str">
        <f>IFERROR(VLOOKUP(Tablo5[[#This Row],[HAMMADDE KODU]],Tablo1[#All],4,0)," ")</f>
        <v>SETA</v>
      </c>
      <c r="Q7" s="100">
        <f>IFERROR(VLOOKUP(Tablo5[[#This Row],[ÜRÜN KODU]],YMKODLARI!$A$1:$K$363,5,0)," ")</f>
        <v>54.8</v>
      </c>
      <c r="R7" s="100">
        <f>IFERROR(VLOOKUP(Tablo5[[#This Row],[ÜRÜN KODU]],YMKODLARI!$A$1:$K$363,6,0)," ")</f>
        <v>48.1</v>
      </c>
      <c r="S7" s="100">
        <f>IFERROR(Tablo5[[#This Row],[YOLLUK HARİÇ BASKI GRAMI]]/Tablo5[[#This Row],[KALIP GÖZ ADEDİ]]," ")</f>
        <v>6.0125000000000002</v>
      </c>
      <c r="T7" s="100">
        <f t="shared" si="2"/>
        <v>6.6999999999999957</v>
      </c>
      <c r="U7" s="100">
        <v>1.5</v>
      </c>
      <c r="V7" s="100">
        <f t="shared" si="1"/>
        <v>10.4466</v>
      </c>
      <c r="W7" s="101">
        <f t="shared" si="3"/>
        <v>24.083333333333332</v>
      </c>
      <c r="X7" s="102">
        <f t="shared" si="4"/>
        <v>1.9999999999999716</v>
      </c>
      <c r="Y7" s="100">
        <f t="shared" si="5"/>
        <v>2.1183333333333332</v>
      </c>
      <c r="Z7" s="100">
        <f t="shared" si="6"/>
        <v>1488</v>
      </c>
    </row>
    <row r="8" spans="1:26">
      <c r="A8" s="100" t="s">
        <v>28</v>
      </c>
      <c r="B8" s="108" t="str">
        <f>IFERROR(VLOOKUP(Tablo5[[#This Row],[ÜRÜN KODU]],YMKODLARI!$A$1:$K$363,2,0)," ")</f>
        <v>BİBERON KLASİK  UC 2 NO</v>
      </c>
      <c r="C8" s="99">
        <v>43837</v>
      </c>
      <c r="D8" s="100" t="s">
        <v>29</v>
      </c>
      <c r="E8" s="101">
        <v>0.5</v>
      </c>
      <c r="F8" s="101">
        <v>0.83333333333333337</v>
      </c>
      <c r="G8" s="100">
        <f>IFERROR(VLOOKUP(Tablo5[[#This Row],[ÜRÜN KODU]],YMKODLARI!$A$1:$K$363,3,0)," ")</f>
        <v>8</v>
      </c>
      <c r="H8" s="100">
        <f>IFERROR(VLOOKUP(Tablo5[[#This Row],[ÜRÜN KODU]],YMKODLARI!$A$1:$K$363,4,0)," ")</f>
        <v>41</v>
      </c>
      <c r="I8" s="100">
        <v>510</v>
      </c>
      <c r="J8" s="100" t="str">
        <f>IFERROR(VLOOKUP(Tablo5[[#This Row],[ÜRÜN KODU]],YMKODLARI!$A$1:$K$363,9,0)," ")</f>
        <v>Şeffaf</v>
      </c>
      <c r="K8" s="100" t="str">
        <f>IFERROR(VLOOKUP(Tablo5[[#This Row],[BOYA KODU]],Tablo14[#All],4,0)," ")</f>
        <v xml:space="preserve"> </v>
      </c>
      <c r="L8" s="100" t="str">
        <f>IFERROR(VLOOKUP(Tablo5[[#This Row],[BOYA KODU]],Tablo14[#All],6,0)," ")</f>
        <v xml:space="preserve"> </v>
      </c>
      <c r="M8" s="100" t="str">
        <f t="shared" si="0"/>
        <v xml:space="preserve"> </v>
      </c>
      <c r="N8" s="100" t="str">
        <f>IFERROR(VLOOKUP(Tablo5[[#This Row],[ÜRÜN KODU]],YMKODLARI!$A$1:$K$363,8,0)," ")</f>
        <v>HM 003</v>
      </c>
      <c r="O8" s="100" t="str">
        <f>IFERROR(VLOOKUP(Tablo5[[#This Row],[HAMMADDE KODU]],Tablo1[#All],3,0)," ")</f>
        <v>LSR 45</v>
      </c>
      <c r="P8" s="100" t="str">
        <f>IFERROR(VLOOKUP(Tablo5[[#This Row],[HAMMADDE KODU]],Tablo1[#All],4,0)," ")</f>
        <v>SETA</v>
      </c>
      <c r="Q8" s="100">
        <f>IFERROR(VLOOKUP(Tablo5[[#This Row],[ÜRÜN KODU]],YMKODLARI!$A$1:$K$363,5,0)," ")</f>
        <v>54.8</v>
      </c>
      <c r="R8" s="100">
        <f>IFERROR(VLOOKUP(Tablo5[[#This Row],[ÜRÜN KODU]],YMKODLARI!$A$1:$K$363,6,0)," ")</f>
        <v>48.1</v>
      </c>
      <c r="S8" s="100">
        <f>IFERROR(Tablo5[[#This Row],[YOLLUK HARİÇ BASKI GRAMI]]/Tablo5[[#This Row],[KALIP GÖZ ADEDİ]]," ")</f>
        <v>6.0125000000000002</v>
      </c>
      <c r="T8" s="100">
        <f t="shared" si="2"/>
        <v>6.6999999999999957</v>
      </c>
      <c r="U8" s="100">
        <v>7</v>
      </c>
      <c r="V8" s="100">
        <f t="shared" si="1"/>
        <v>31.530999999999999</v>
      </c>
      <c r="W8" s="101">
        <f t="shared" si="3"/>
        <v>24.333333333333332</v>
      </c>
      <c r="X8" s="102">
        <f t="shared" si="4"/>
        <v>7.9999999999999716</v>
      </c>
      <c r="Y8" s="100">
        <f t="shared" si="5"/>
        <v>5.8083333333333336</v>
      </c>
      <c r="Z8" s="100">
        <f t="shared" si="6"/>
        <v>4080</v>
      </c>
    </row>
    <row r="9" spans="1:26">
      <c r="A9" s="100" t="s">
        <v>28</v>
      </c>
      <c r="B9" s="108" t="str">
        <f>IFERROR(VLOOKUP(Tablo5[[#This Row],[ÜRÜN KODU]],YMKODLARI!$A$1:$K$363,2,0)," ")</f>
        <v>BİBERON KLASİK  UC 2 NO</v>
      </c>
      <c r="C9" s="99">
        <v>43837</v>
      </c>
      <c r="D9" s="100" t="s">
        <v>30</v>
      </c>
      <c r="E9" s="101">
        <v>0.83333333333333337</v>
      </c>
      <c r="F9" s="101">
        <v>0.33333333333333331</v>
      </c>
      <c r="G9" s="100">
        <f>IFERROR(VLOOKUP(Tablo5[[#This Row],[ÜRÜN KODU]],YMKODLARI!$A$1:$K$363,3,0)," ")</f>
        <v>8</v>
      </c>
      <c r="H9" s="100">
        <f>IFERROR(VLOOKUP(Tablo5[[#This Row],[ÜRÜN KODU]],YMKODLARI!$A$1:$K$363,4,0)," ")</f>
        <v>41</v>
      </c>
      <c r="I9" s="100">
        <v>725</v>
      </c>
      <c r="J9" s="100" t="str">
        <f>IFERROR(VLOOKUP(Tablo5[[#This Row],[ÜRÜN KODU]],YMKODLARI!$A$1:$K$363,9,0)," ")</f>
        <v>Şeffaf</v>
      </c>
      <c r="K9" s="100" t="str">
        <f>IFERROR(VLOOKUP(Tablo5[[#This Row],[BOYA KODU]],Tablo14[#All],4,0)," ")</f>
        <v xml:space="preserve"> </v>
      </c>
      <c r="L9" s="100" t="str">
        <f>IFERROR(VLOOKUP(Tablo5[[#This Row],[BOYA KODU]],Tablo14[#All],6,0)," ")</f>
        <v xml:space="preserve"> </v>
      </c>
      <c r="M9" s="100" t="str">
        <f t="shared" si="0"/>
        <v xml:space="preserve"> </v>
      </c>
      <c r="N9" s="100" t="str">
        <f>IFERROR(VLOOKUP(Tablo5[[#This Row],[ÜRÜN KODU]],YMKODLARI!$A$1:$K$363,8,0)," ")</f>
        <v>HM 003</v>
      </c>
      <c r="O9" s="100" t="str">
        <f>IFERROR(VLOOKUP(Tablo5[[#This Row],[HAMMADDE KODU]],Tablo1[#All],3,0)," ")</f>
        <v>LSR 45</v>
      </c>
      <c r="P9" s="100" t="str">
        <f>IFERROR(VLOOKUP(Tablo5[[#This Row],[HAMMADDE KODU]],Tablo1[#All],4,0)," ")</f>
        <v>SETA</v>
      </c>
      <c r="Q9" s="100">
        <f>IFERROR(VLOOKUP(Tablo5[[#This Row],[ÜRÜN KODU]],YMKODLARI!$A$1:$K$363,5,0)," ")</f>
        <v>54.8</v>
      </c>
      <c r="R9" s="100">
        <f>IFERROR(VLOOKUP(Tablo5[[#This Row],[ÜRÜN KODU]],YMKODLARI!$A$1:$K$363,6,0)," ")</f>
        <v>48.1</v>
      </c>
      <c r="S9" s="100">
        <f>IFERROR(Tablo5[[#This Row],[YOLLUK HARİÇ BASKI GRAMI]]/Tablo5[[#This Row],[KALIP GÖZ ADEDİ]]," ")</f>
        <v>6.0125000000000002</v>
      </c>
      <c r="T9" s="100">
        <f t="shared" si="2"/>
        <v>6.6999999999999957</v>
      </c>
      <c r="U9" s="100">
        <v>5.6</v>
      </c>
      <c r="V9" s="100">
        <f t="shared" si="1"/>
        <v>40.472500000000004</v>
      </c>
      <c r="W9" s="101">
        <f t="shared" si="3"/>
        <v>23.5</v>
      </c>
      <c r="X9" s="102">
        <f t="shared" si="4"/>
        <v>12</v>
      </c>
      <c r="Y9" s="100">
        <f t="shared" si="5"/>
        <v>8.2569444444444446</v>
      </c>
      <c r="Z9" s="100">
        <f t="shared" si="6"/>
        <v>5800</v>
      </c>
    </row>
    <row r="10" spans="1:26">
      <c r="A10" s="100" t="s">
        <v>28</v>
      </c>
      <c r="B10" s="108" t="str">
        <f>IFERROR(VLOOKUP(Tablo5[[#This Row],[ÜRÜN KODU]],YMKODLARI!$A$1:$K$363,2,0)," ")</f>
        <v>BİBERON KLASİK  UC 2 NO</v>
      </c>
      <c r="C10" s="99">
        <v>43838</v>
      </c>
      <c r="D10" s="100" t="s">
        <v>29</v>
      </c>
      <c r="E10" s="101">
        <v>0.33333333333333331</v>
      </c>
      <c r="F10" s="101">
        <v>0.83333333333333337</v>
      </c>
      <c r="G10" s="100">
        <f>IFERROR(VLOOKUP(Tablo5[[#This Row],[ÜRÜN KODU]],YMKODLARI!$A$1:$K$363,3,0)," ")</f>
        <v>8</v>
      </c>
      <c r="H10" s="100">
        <f>IFERROR(VLOOKUP(Tablo5[[#This Row],[ÜRÜN KODU]],YMKODLARI!$A$1:$K$363,4,0)," ")</f>
        <v>41</v>
      </c>
      <c r="I10" s="100">
        <v>770</v>
      </c>
      <c r="J10" s="100" t="str">
        <f>IFERROR(VLOOKUP(Tablo5[[#This Row],[ÜRÜN KODU]],YMKODLARI!$A$1:$K$363,9,0)," ")</f>
        <v>Şeffaf</v>
      </c>
      <c r="K10" s="100" t="str">
        <f>IFERROR(VLOOKUP(Tablo5[[#This Row],[BOYA KODU]],Tablo14[#All],4,0)," ")</f>
        <v xml:space="preserve"> </v>
      </c>
      <c r="L10" s="100" t="str">
        <f>IFERROR(VLOOKUP(Tablo5[[#This Row],[BOYA KODU]],Tablo14[#All],6,0)," ")</f>
        <v xml:space="preserve"> </v>
      </c>
      <c r="M10" s="100" t="str">
        <f t="shared" si="0"/>
        <v xml:space="preserve"> </v>
      </c>
      <c r="N10" s="100" t="str">
        <f>IFERROR(VLOOKUP(Tablo5[[#This Row],[ÜRÜN KODU]],YMKODLARI!$A$1:$K$363,8,0)," ")</f>
        <v>HM 003</v>
      </c>
      <c r="O10" s="100" t="str">
        <f>IFERROR(VLOOKUP(Tablo5[[#This Row],[HAMMADDE KODU]],Tablo1[#All],3,0)," ")</f>
        <v>LSR 45</v>
      </c>
      <c r="P10" s="100" t="str">
        <f>IFERROR(VLOOKUP(Tablo5[[#This Row],[HAMMADDE KODU]],Tablo1[#All],4,0)," ")</f>
        <v>SETA</v>
      </c>
      <c r="Q10" s="100">
        <f>IFERROR(VLOOKUP(Tablo5[[#This Row],[ÜRÜN KODU]],YMKODLARI!$A$1:$K$363,5,0)," ")</f>
        <v>54.8</v>
      </c>
      <c r="R10" s="100">
        <f>IFERROR(VLOOKUP(Tablo5[[#This Row],[ÜRÜN KODU]],YMKODLARI!$A$1:$K$363,6,0)," ")</f>
        <v>48.1</v>
      </c>
      <c r="S10" s="100">
        <f>IFERROR(Tablo5[[#This Row],[YOLLUK HARİÇ BASKI GRAMI]]/Tablo5[[#This Row],[KALIP GÖZ ADEDİ]]," ")</f>
        <v>6.0125000000000002</v>
      </c>
      <c r="T10" s="100">
        <f t="shared" si="2"/>
        <v>6.6999999999999957</v>
      </c>
      <c r="U10" s="100">
        <v>5.45</v>
      </c>
      <c r="V10" s="100">
        <f t="shared" si="1"/>
        <v>42.487000000000002</v>
      </c>
      <c r="W10" s="101">
        <f t="shared" si="3"/>
        <v>24.5</v>
      </c>
      <c r="X10" s="102">
        <f t="shared" si="4"/>
        <v>12</v>
      </c>
      <c r="Y10" s="100">
        <f t="shared" si="5"/>
        <v>8.7694444444444439</v>
      </c>
      <c r="Z10" s="100">
        <f t="shared" si="6"/>
        <v>6160</v>
      </c>
    </row>
    <row r="11" spans="1:26">
      <c r="A11" s="100" t="s">
        <v>28</v>
      </c>
      <c r="B11" s="108" t="str">
        <f>IFERROR(VLOOKUP(Tablo5[[#This Row],[ÜRÜN KODU]],YMKODLARI!$A$1:$K$363,2,0)," ")</f>
        <v>BİBERON KLASİK  UC 2 NO</v>
      </c>
      <c r="C11" s="99">
        <v>43838</v>
      </c>
      <c r="D11" s="100" t="s">
        <v>30</v>
      </c>
      <c r="E11" s="101">
        <v>0.83333333333333337</v>
      </c>
      <c r="F11" s="101">
        <v>0.33333333333333331</v>
      </c>
      <c r="G11" s="100">
        <f>IFERROR(VLOOKUP(Tablo5[[#This Row],[ÜRÜN KODU]],YMKODLARI!$A$1:$K$363,3,0)," ")</f>
        <v>8</v>
      </c>
      <c r="H11" s="100">
        <f>IFERROR(VLOOKUP(Tablo5[[#This Row],[ÜRÜN KODU]],YMKODLARI!$A$1:$K$363,4,0)," ")</f>
        <v>41</v>
      </c>
      <c r="I11" s="100">
        <v>702</v>
      </c>
      <c r="J11" s="100" t="str">
        <f>IFERROR(VLOOKUP(Tablo5[[#This Row],[ÜRÜN KODU]],YMKODLARI!$A$1:$K$363,9,0)," ")</f>
        <v>Şeffaf</v>
      </c>
      <c r="K11" s="100" t="str">
        <f>IFERROR(VLOOKUP(Tablo5[[#This Row],[BOYA KODU]],Tablo14[#All],4,0)," ")</f>
        <v xml:space="preserve"> </v>
      </c>
      <c r="L11" s="100" t="str">
        <f>IFERROR(VLOOKUP(Tablo5[[#This Row],[BOYA KODU]],Tablo14[#All],6,0)," ")</f>
        <v xml:space="preserve"> </v>
      </c>
      <c r="M11" s="100" t="str">
        <f t="shared" si="0"/>
        <v xml:space="preserve"> </v>
      </c>
      <c r="N11" s="100" t="str">
        <f>IFERROR(VLOOKUP(Tablo5[[#This Row],[ÜRÜN KODU]],YMKODLARI!$A$1:$K$363,8,0)," ")</f>
        <v>HM 003</v>
      </c>
      <c r="O11" s="100" t="str">
        <f>IFERROR(VLOOKUP(Tablo5[[#This Row],[HAMMADDE KODU]],Tablo1[#All],3,0)," ")</f>
        <v>LSR 45</v>
      </c>
      <c r="P11" s="100" t="str">
        <f>IFERROR(VLOOKUP(Tablo5[[#This Row],[HAMMADDE KODU]],Tablo1[#All],4,0)," ")</f>
        <v>SETA</v>
      </c>
      <c r="Q11" s="100">
        <f>IFERROR(VLOOKUP(Tablo5[[#This Row],[ÜRÜN KODU]],YMKODLARI!$A$1:$K$363,5,0)," ")</f>
        <v>54.8</v>
      </c>
      <c r="R11" s="100">
        <f>IFERROR(VLOOKUP(Tablo5[[#This Row],[ÜRÜN KODU]],YMKODLARI!$A$1:$K$363,6,0)," ")</f>
        <v>48.1</v>
      </c>
      <c r="S11" s="100">
        <f>IFERROR(Tablo5[[#This Row],[YOLLUK HARİÇ BASKI GRAMI]]/Tablo5[[#This Row],[KALIP GÖZ ADEDİ]]," ")</f>
        <v>6.0125000000000002</v>
      </c>
      <c r="T11" s="100">
        <f t="shared" si="2"/>
        <v>6.6999999999999957</v>
      </c>
      <c r="U11" s="100">
        <v>5.0999999999999996</v>
      </c>
      <c r="V11" s="100">
        <f t="shared" si="1"/>
        <v>38.866200000000006</v>
      </c>
      <c r="W11" s="101">
        <f t="shared" si="3"/>
        <v>23.5</v>
      </c>
      <c r="X11" s="102">
        <f t="shared" si="4"/>
        <v>12</v>
      </c>
      <c r="Y11" s="100">
        <f t="shared" si="5"/>
        <v>7.9950000000000001</v>
      </c>
      <c r="Z11" s="100">
        <f t="shared" si="6"/>
        <v>5616</v>
      </c>
    </row>
    <row r="12" spans="1:26">
      <c r="A12" s="100" t="s">
        <v>28</v>
      </c>
      <c r="B12" s="108" t="str">
        <f>IFERROR(VLOOKUP(Tablo5[[#This Row],[ÜRÜN KODU]],YMKODLARI!$A$1:$K$363,2,0)," ")</f>
        <v>BİBERON KLASİK  UC 2 NO</v>
      </c>
      <c r="C12" s="99">
        <v>43839</v>
      </c>
      <c r="D12" s="100" t="s">
        <v>29</v>
      </c>
      <c r="E12" s="101">
        <v>0.33333333333333331</v>
      </c>
      <c r="F12" s="101">
        <v>0.83333333333333337</v>
      </c>
      <c r="G12" s="100">
        <f>IFERROR(VLOOKUP(Tablo5[[#This Row],[ÜRÜN KODU]],YMKODLARI!$A$1:$K$363,3,0)," ")</f>
        <v>8</v>
      </c>
      <c r="H12" s="100">
        <f>IFERROR(VLOOKUP(Tablo5[[#This Row],[ÜRÜN KODU]],YMKODLARI!$A$1:$K$363,4,0)," ")</f>
        <v>41</v>
      </c>
      <c r="I12" s="100">
        <v>983</v>
      </c>
      <c r="J12" s="100" t="str">
        <f>IFERROR(VLOOKUP(Tablo5[[#This Row],[ÜRÜN KODU]],YMKODLARI!$A$1:$K$363,9,0)," ")</f>
        <v>Şeffaf</v>
      </c>
      <c r="K12" s="100" t="str">
        <f>IFERROR(VLOOKUP(Tablo5[[#This Row],[BOYA KODU]],Tablo14[#All],4,0)," ")</f>
        <v xml:space="preserve"> </v>
      </c>
      <c r="L12" s="100" t="str">
        <f>IFERROR(VLOOKUP(Tablo5[[#This Row],[BOYA KODU]],Tablo14[#All],6,0)," ")</f>
        <v xml:space="preserve"> </v>
      </c>
      <c r="M12" s="100" t="str">
        <f t="shared" si="0"/>
        <v xml:space="preserve"> </v>
      </c>
      <c r="N12" s="100" t="str">
        <f>IFERROR(VLOOKUP(Tablo5[[#This Row],[ÜRÜN KODU]],YMKODLARI!$A$1:$K$363,8,0)," ")</f>
        <v>HM 003</v>
      </c>
      <c r="O12" s="100" t="str">
        <f>IFERROR(VLOOKUP(Tablo5[[#This Row],[HAMMADDE KODU]],Tablo1[#All],3,0)," ")</f>
        <v>LSR 45</v>
      </c>
      <c r="P12" s="100" t="str">
        <f>IFERROR(VLOOKUP(Tablo5[[#This Row],[HAMMADDE KODU]],Tablo1[#All],4,0)," ")</f>
        <v>SETA</v>
      </c>
      <c r="Q12" s="100">
        <f>IFERROR(VLOOKUP(Tablo5[[#This Row],[ÜRÜN KODU]],YMKODLARI!$A$1:$K$363,5,0)," ")</f>
        <v>54.8</v>
      </c>
      <c r="R12" s="100">
        <f>IFERROR(VLOOKUP(Tablo5[[#This Row],[ÜRÜN KODU]],YMKODLARI!$A$1:$K$363,6,0)," ")</f>
        <v>48.1</v>
      </c>
      <c r="S12" s="100">
        <f>IFERROR(Tablo5[[#This Row],[YOLLUK HARİÇ BASKI GRAMI]]/Tablo5[[#This Row],[KALIP GÖZ ADEDİ]]," ")</f>
        <v>6.0125000000000002</v>
      </c>
      <c r="T12" s="100">
        <f t="shared" si="2"/>
        <v>6.6999999999999957</v>
      </c>
      <c r="U12" s="100">
        <v>6</v>
      </c>
      <c r="V12" s="100">
        <f t="shared" si="1"/>
        <v>53.282300000000006</v>
      </c>
      <c r="W12" s="101">
        <f t="shared" si="3"/>
        <v>24.5</v>
      </c>
      <c r="X12" s="102">
        <f t="shared" si="4"/>
        <v>12</v>
      </c>
      <c r="Y12" s="100">
        <f t="shared" si="5"/>
        <v>11.195277777777777</v>
      </c>
      <c r="Z12" s="100">
        <f t="shared" si="6"/>
        <v>7864</v>
      </c>
    </row>
    <row r="13" spans="1:26">
      <c r="A13" s="100" t="s">
        <v>28</v>
      </c>
      <c r="B13" s="108" t="str">
        <f>IFERROR(VLOOKUP(Tablo5[[#This Row],[ÜRÜN KODU]],YMKODLARI!$A$1:$K$363,2,0)," ")</f>
        <v>BİBERON KLASİK  UC 2 NO</v>
      </c>
      <c r="C13" s="99">
        <v>43839</v>
      </c>
      <c r="D13" s="100" t="s">
        <v>30</v>
      </c>
      <c r="E13" s="101">
        <v>0.83333333333333337</v>
      </c>
      <c r="F13" s="101">
        <v>0.33333333333333331</v>
      </c>
      <c r="G13" s="100">
        <f>IFERROR(VLOOKUP(Tablo5[[#This Row],[ÜRÜN KODU]],YMKODLARI!$A$1:$K$363,3,0)," ")</f>
        <v>8</v>
      </c>
      <c r="H13" s="100">
        <f>IFERROR(VLOOKUP(Tablo5[[#This Row],[ÜRÜN KODU]],YMKODLARI!$A$1:$K$363,4,0)," ")</f>
        <v>41</v>
      </c>
      <c r="I13" s="100">
        <v>1313</v>
      </c>
      <c r="J13" s="100" t="str">
        <f>IFERROR(VLOOKUP(Tablo5[[#This Row],[ÜRÜN KODU]],YMKODLARI!$A$1:$K$363,9,0)," ")</f>
        <v>Şeffaf</v>
      </c>
      <c r="K13" s="100" t="str">
        <f>IFERROR(VLOOKUP(Tablo5[[#This Row],[BOYA KODU]],Tablo14[#All],4,0)," ")</f>
        <v xml:space="preserve"> </v>
      </c>
      <c r="L13" s="100" t="str">
        <f>IFERROR(VLOOKUP(Tablo5[[#This Row],[BOYA KODU]],Tablo14[#All],6,0)," ")</f>
        <v xml:space="preserve"> </v>
      </c>
      <c r="M13" s="100" t="str">
        <f t="shared" si="0"/>
        <v xml:space="preserve"> </v>
      </c>
      <c r="N13" s="100" t="str">
        <f>IFERROR(VLOOKUP(Tablo5[[#This Row],[ÜRÜN KODU]],YMKODLARI!$A$1:$K$363,8,0)," ")</f>
        <v>HM 003</v>
      </c>
      <c r="O13" s="100" t="str">
        <f>IFERROR(VLOOKUP(Tablo5[[#This Row],[HAMMADDE KODU]],Tablo1[#All],3,0)," ")</f>
        <v>LSR 45</v>
      </c>
      <c r="P13" s="100" t="str">
        <f>IFERROR(VLOOKUP(Tablo5[[#This Row],[HAMMADDE KODU]],Tablo1[#All],4,0)," ")</f>
        <v>SETA</v>
      </c>
      <c r="Q13" s="100">
        <f>IFERROR(VLOOKUP(Tablo5[[#This Row],[ÜRÜN KODU]],YMKODLARI!$A$1:$K$363,5,0)," ")</f>
        <v>54.8</v>
      </c>
      <c r="R13" s="100">
        <f>IFERROR(VLOOKUP(Tablo5[[#This Row],[ÜRÜN KODU]],YMKODLARI!$A$1:$K$363,6,0)," ")</f>
        <v>48.1</v>
      </c>
      <c r="S13" s="100">
        <f>IFERROR(Tablo5[[#This Row],[YOLLUK HARİÇ BASKI GRAMI]]/Tablo5[[#This Row],[KALIP GÖZ ADEDİ]]," ")</f>
        <v>6.0125000000000002</v>
      </c>
      <c r="T13" s="100">
        <f t="shared" si="2"/>
        <v>6.6999999999999957</v>
      </c>
      <c r="U13" s="100">
        <v>8.9</v>
      </c>
      <c r="V13" s="100">
        <f t="shared" si="1"/>
        <v>72.055300000000003</v>
      </c>
      <c r="W13" s="101">
        <f t="shared" si="3"/>
        <v>23.5</v>
      </c>
      <c r="X13" s="102">
        <f>IFERROR((W13-INT(W13))*24," ")</f>
        <v>12</v>
      </c>
      <c r="Y13" s="100">
        <f t="shared" si="5"/>
        <v>14.953611111111112</v>
      </c>
      <c r="Z13" s="100">
        <f t="shared" si="6"/>
        <v>10504</v>
      </c>
    </row>
    <row r="14" spans="1:26">
      <c r="A14" s="100" t="s">
        <v>28</v>
      </c>
      <c r="B14" s="108" t="str">
        <f>IFERROR(VLOOKUP(Tablo5[[#This Row],[ÜRÜN KODU]],YMKODLARI!$A$1:$K$363,2,0)," ")</f>
        <v>BİBERON KLASİK  UC 2 NO</v>
      </c>
      <c r="C14" s="99">
        <v>43840</v>
      </c>
      <c r="D14" s="100" t="s">
        <v>29</v>
      </c>
      <c r="E14" s="101">
        <v>0.33333333333333331</v>
      </c>
      <c r="F14" s="101">
        <v>0.83333333333333337</v>
      </c>
      <c r="G14" s="100">
        <f>IFERROR(VLOOKUP(Tablo5[[#This Row],[ÜRÜN KODU]],YMKODLARI!$A$1:$K$363,3,0)," ")</f>
        <v>8</v>
      </c>
      <c r="H14" s="100">
        <f>IFERROR(VLOOKUP(Tablo5[[#This Row],[ÜRÜN KODU]],YMKODLARI!$A$1:$K$363,4,0)," ")</f>
        <v>41</v>
      </c>
      <c r="I14" s="100">
        <v>1071</v>
      </c>
      <c r="J14" s="100" t="str">
        <f>IFERROR(VLOOKUP(Tablo5[[#This Row],[ÜRÜN KODU]],YMKODLARI!$A$1:$K$363,9,0)," ")</f>
        <v>Şeffaf</v>
      </c>
      <c r="K14" s="100" t="str">
        <f>IFERROR(VLOOKUP(Tablo5[[#This Row],[BOYA KODU]],Tablo14[#All],4,0)," ")</f>
        <v xml:space="preserve"> </v>
      </c>
      <c r="L14" s="100" t="str">
        <f>IFERROR(VLOOKUP(Tablo5[[#This Row],[BOYA KODU]],Tablo14[#All],6,0)," ")</f>
        <v xml:space="preserve"> </v>
      </c>
      <c r="M14" s="100" t="str">
        <f t="shared" si="0"/>
        <v xml:space="preserve"> </v>
      </c>
      <c r="N14" s="100" t="str">
        <f>IFERROR(VLOOKUP(Tablo5[[#This Row],[ÜRÜN KODU]],YMKODLARI!$A$1:$K$363,8,0)," ")</f>
        <v>HM 003</v>
      </c>
      <c r="O14" s="100" t="str">
        <f>IFERROR(VLOOKUP(Tablo5[[#This Row],[HAMMADDE KODU]],Tablo1[#All],3,0)," ")</f>
        <v>LSR 45</v>
      </c>
      <c r="P14" s="100" t="str">
        <f>IFERROR(VLOOKUP(Tablo5[[#This Row],[HAMMADDE KODU]],Tablo1[#All],4,0)," ")</f>
        <v>SETA</v>
      </c>
      <c r="Q14" s="100">
        <f>IFERROR(VLOOKUP(Tablo5[[#This Row],[ÜRÜN KODU]],YMKODLARI!$A$1:$K$363,5,0)," ")</f>
        <v>54.8</v>
      </c>
      <c r="R14" s="100">
        <f>IFERROR(VLOOKUP(Tablo5[[#This Row],[ÜRÜN KODU]],YMKODLARI!$A$1:$K$363,6,0)," ")</f>
        <v>48.1</v>
      </c>
      <c r="S14" s="100">
        <f>IFERROR(Tablo5[[#This Row],[YOLLUK HARİÇ BASKI GRAMI]]/Tablo5[[#This Row],[KALIP GÖZ ADEDİ]]," ")</f>
        <v>6.0125000000000002</v>
      </c>
      <c r="T14" s="100">
        <f t="shared" si="2"/>
        <v>6.6999999999999957</v>
      </c>
      <c r="U14" s="100">
        <v>7.51</v>
      </c>
      <c r="V14" s="100">
        <f t="shared" si="1"/>
        <v>59.025099999999995</v>
      </c>
      <c r="W14" s="101">
        <f t="shared" si="3"/>
        <v>24.5</v>
      </c>
      <c r="X14" s="102">
        <f t="shared" si="4"/>
        <v>12</v>
      </c>
      <c r="Y14" s="100">
        <f t="shared" si="5"/>
        <v>12.1975</v>
      </c>
      <c r="Z14" s="100">
        <f t="shared" si="6"/>
        <v>8568</v>
      </c>
    </row>
    <row r="15" spans="1:26">
      <c r="A15" s="100" t="s">
        <v>28</v>
      </c>
      <c r="B15" s="108" t="str">
        <f>IFERROR(VLOOKUP(Tablo5[[#This Row],[ÜRÜN KODU]],YMKODLARI!$A$1:$K$363,2,0)," ")</f>
        <v>BİBERON KLASİK  UC 2 NO</v>
      </c>
      <c r="C15" s="99">
        <v>43840</v>
      </c>
      <c r="D15" s="100" t="s">
        <v>30</v>
      </c>
      <c r="E15" s="101">
        <v>0.83333333333333337</v>
      </c>
      <c r="F15" s="101">
        <v>0.33333333333333331</v>
      </c>
      <c r="G15" s="100">
        <f>IFERROR(VLOOKUP(Tablo5[[#This Row],[ÜRÜN KODU]],YMKODLARI!$A$1:$K$363,3,0)," ")</f>
        <v>8</v>
      </c>
      <c r="H15" s="100">
        <f>IFERROR(VLOOKUP(Tablo5[[#This Row],[ÜRÜN KODU]],YMKODLARI!$A$1:$K$363,4,0)," ")</f>
        <v>41</v>
      </c>
      <c r="I15" s="100">
        <v>568</v>
      </c>
      <c r="J15" s="100" t="str">
        <f>IFERROR(VLOOKUP(Tablo5[[#This Row],[ÜRÜN KODU]],YMKODLARI!$A$1:$K$363,9,0)," ")</f>
        <v>Şeffaf</v>
      </c>
      <c r="K15" s="100" t="str">
        <f>IFERROR(VLOOKUP(Tablo5[[#This Row],[BOYA KODU]],Tablo14[#All],4,0)," ")</f>
        <v xml:space="preserve"> </v>
      </c>
      <c r="L15" s="100" t="str">
        <f>IFERROR(VLOOKUP(Tablo5[[#This Row],[BOYA KODU]],Tablo14[#All],6,0)," ")</f>
        <v xml:space="preserve"> </v>
      </c>
      <c r="M15" s="100" t="str">
        <f t="shared" si="0"/>
        <v xml:space="preserve"> </v>
      </c>
      <c r="N15" s="100" t="str">
        <f>IFERROR(VLOOKUP(Tablo5[[#This Row],[ÜRÜN KODU]],YMKODLARI!$A$1:$K$363,8,0)," ")</f>
        <v>HM 003</v>
      </c>
      <c r="O15" s="100" t="str">
        <f>IFERROR(VLOOKUP(Tablo5[[#This Row],[HAMMADDE KODU]],Tablo1[#All],3,0)," ")</f>
        <v>LSR 45</v>
      </c>
      <c r="P15" s="100" t="str">
        <f>IFERROR(VLOOKUP(Tablo5[[#This Row],[HAMMADDE KODU]],Tablo1[#All],4,0)," ")</f>
        <v>SETA</v>
      </c>
      <c r="Q15" s="100">
        <f>IFERROR(VLOOKUP(Tablo5[[#This Row],[ÜRÜN KODU]],YMKODLARI!$A$1:$K$363,5,0)," ")</f>
        <v>54.8</v>
      </c>
      <c r="R15" s="100">
        <f>IFERROR(VLOOKUP(Tablo5[[#This Row],[ÜRÜN KODU]],YMKODLARI!$A$1:$K$363,6,0)," ")</f>
        <v>48.1</v>
      </c>
      <c r="S15" s="100">
        <f>IFERROR(Tablo5[[#This Row],[YOLLUK HARİÇ BASKI GRAMI]]/Tablo5[[#This Row],[KALIP GÖZ ADEDİ]]," ")</f>
        <v>6.0125000000000002</v>
      </c>
      <c r="T15" s="100">
        <f t="shared" si="2"/>
        <v>6.6999999999999957</v>
      </c>
      <c r="U15" s="100">
        <v>4.71</v>
      </c>
      <c r="V15" s="100">
        <f t="shared" si="1"/>
        <v>32.030799999999999</v>
      </c>
      <c r="W15" s="101">
        <f t="shared" si="3"/>
        <v>23.5</v>
      </c>
      <c r="X15" s="102">
        <f t="shared" si="4"/>
        <v>12</v>
      </c>
      <c r="Y15" s="100">
        <f t="shared" si="5"/>
        <v>6.4688888888888885</v>
      </c>
      <c r="Z15" s="100">
        <f t="shared" si="6"/>
        <v>4544</v>
      </c>
    </row>
    <row r="16" spans="1:26">
      <c r="A16" s="100" t="s">
        <v>28</v>
      </c>
      <c r="B16" s="108" t="str">
        <f>IFERROR(VLOOKUP(Tablo5[[#This Row],[ÜRÜN KODU]],YMKODLARI!$A$1:$K$363,2,0)," ")</f>
        <v>BİBERON KLASİK  UC 2 NO</v>
      </c>
      <c r="C16" s="99">
        <v>43843</v>
      </c>
      <c r="D16" s="100" t="s">
        <v>27</v>
      </c>
      <c r="E16" s="101">
        <v>0.33333333333333331</v>
      </c>
      <c r="F16" s="101">
        <v>0.83333333333333337</v>
      </c>
      <c r="G16" s="100">
        <f>IFERROR(VLOOKUP(Tablo5[[#This Row],[ÜRÜN KODU]],YMKODLARI!$A$1:$K$363,3,0)," ")</f>
        <v>8</v>
      </c>
      <c r="H16" s="100">
        <f>IFERROR(VLOOKUP(Tablo5[[#This Row],[ÜRÜN KODU]],YMKODLARI!$A$1:$K$363,4,0)," ")</f>
        <v>41</v>
      </c>
      <c r="I16" s="100">
        <v>725</v>
      </c>
      <c r="J16" s="100" t="str">
        <f>IFERROR(VLOOKUP(Tablo5[[#This Row],[ÜRÜN KODU]],YMKODLARI!$A$1:$K$363,9,0)," ")</f>
        <v>Şeffaf</v>
      </c>
      <c r="K16" s="100" t="str">
        <f>IFERROR(VLOOKUP(Tablo5[[#This Row],[BOYA KODU]],Tablo14[#All],4,0)," ")</f>
        <v xml:space="preserve"> </v>
      </c>
      <c r="L16" s="100" t="str">
        <f>IFERROR(VLOOKUP(Tablo5[[#This Row],[BOYA KODU]],Tablo14[#All],6,0)," ")</f>
        <v xml:space="preserve"> </v>
      </c>
      <c r="M16" s="100" t="str">
        <f t="shared" si="0"/>
        <v xml:space="preserve"> </v>
      </c>
      <c r="N16" s="100" t="str">
        <f>IFERROR(VLOOKUP(Tablo5[[#This Row],[ÜRÜN KODU]],YMKODLARI!$A$1:$K$363,8,0)," ")</f>
        <v>HM 003</v>
      </c>
      <c r="O16" s="100" t="str">
        <f>IFERROR(VLOOKUP(Tablo5[[#This Row],[HAMMADDE KODU]],Tablo1[#All],3,0)," ")</f>
        <v>LSR 45</v>
      </c>
      <c r="P16" s="100" t="str">
        <f>IFERROR(VLOOKUP(Tablo5[[#This Row],[HAMMADDE KODU]],Tablo1[#All],4,0)," ")</f>
        <v>SETA</v>
      </c>
      <c r="Q16" s="100">
        <f>IFERROR(VLOOKUP(Tablo5[[#This Row],[ÜRÜN KODU]],YMKODLARI!$A$1:$K$363,5,0)," ")</f>
        <v>54.8</v>
      </c>
      <c r="R16" s="100">
        <f>IFERROR(VLOOKUP(Tablo5[[#This Row],[ÜRÜN KODU]],YMKODLARI!$A$1:$K$363,6,0)," ")</f>
        <v>48.1</v>
      </c>
      <c r="S16" s="100">
        <f>IFERROR(Tablo5[[#This Row],[YOLLUK HARİÇ BASKI GRAMI]]/Tablo5[[#This Row],[KALIP GÖZ ADEDİ]]," ")</f>
        <v>6.0125000000000002</v>
      </c>
      <c r="T16" s="100">
        <f t="shared" si="2"/>
        <v>6.6999999999999957</v>
      </c>
      <c r="U16" s="100">
        <v>6</v>
      </c>
      <c r="V16" s="100">
        <f t="shared" si="1"/>
        <v>40.872500000000002</v>
      </c>
      <c r="W16" s="101">
        <f t="shared" si="3"/>
        <v>24.5</v>
      </c>
      <c r="X16" s="102">
        <f t="shared" si="4"/>
        <v>12</v>
      </c>
      <c r="Y16" s="100">
        <f t="shared" si="5"/>
        <v>8.2569444444444446</v>
      </c>
      <c r="Z16" s="100">
        <f t="shared" si="6"/>
        <v>5800</v>
      </c>
    </row>
    <row r="17" spans="1:26">
      <c r="A17" s="100" t="s">
        <v>31</v>
      </c>
      <c r="B17" s="108" t="str">
        <f>IFERROR(VLOOKUP(Tablo5[[#This Row],[ÜRÜN KODU]],YMKODLARI!$A$1:$K$363,2,0)," ")</f>
        <v>KLASİK EMZİK UÇ NO 2</v>
      </c>
      <c r="C17" s="99">
        <v>43845</v>
      </c>
      <c r="D17" s="100" t="s">
        <v>27</v>
      </c>
      <c r="E17" s="101">
        <v>0.33333333333333331</v>
      </c>
      <c r="F17" s="101">
        <v>0.83333333333333337</v>
      </c>
      <c r="G17" s="100">
        <f>IFERROR(VLOOKUP(Tablo5[[#This Row],[ÜRÜN KODU]],YMKODLARI!$A$1:$K$363,3,0)," ")</f>
        <v>8</v>
      </c>
      <c r="H17" s="100">
        <f>IFERROR(VLOOKUP(Tablo5[[#This Row],[ÜRÜN KODU]],YMKODLARI!$A$1:$K$363,4,0)," ")</f>
        <v>38.5</v>
      </c>
      <c r="I17" s="100">
        <v>894</v>
      </c>
      <c r="J17" s="100" t="str">
        <f>IFERROR(VLOOKUP(Tablo5[[#This Row],[ÜRÜN KODU]],YMKODLARI!$A$1:$K$363,9,0)," ")</f>
        <v>Şeffaf</v>
      </c>
      <c r="K17" s="100" t="str">
        <f>IFERROR(VLOOKUP(Tablo5[[#This Row],[BOYA KODU]],Tablo14[#All],4,0)," ")</f>
        <v xml:space="preserve"> </v>
      </c>
      <c r="L17" s="100" t="str">
        <f>IFERROR(VLOOKUP(Tablo5[[#This Row],[BOYA KODU]],Tablo14[#All],6,0)," ")</f>
        <v xml:space="preserve"> </v>
      </c>
      <c r="M17" s="100" t="str">
        <f t="shared" si="0"/>
        <v xml:space="preserve"> </v>
      </c>
      <c r="N17" s="100" t="str">
        <f>IFERROR(VLOOKUP(Tablo5[[#This Row],[ÜRÜN KODU]],YMKODLARI!$A$1:$K$363,8,0)," ")</f>
        <v>HM 003</v>
      </c>
      <c r="O17" s="100" t="str">
        <f>IFERROR(VLOOKUP(Tablo5[[#This Row],[HAMMADDE KODU]],Tablo1[#All],3,0)," ")</f>
        <v>LSR 45</v>
      </c>
      <c r="P17" s="100" t="str">
        <f>IFERROR(VLOOKUP(Tablo5[[#This Row],[HAMMADDE KODU]],Tablo1[#All],4,0)," ")</f>
        <v>SETA</v>
      </c>
      <c r="Q17" s="100">
        <f>IFERROR(VLOOKUP(Tablo5[[#This Row],[ÜRÜN KODU]],YMKODLARI!$A$1:$K$363,5,0)," ")</f>
        <v>26.9</v>
      </c>
      <c r="R17" s="100">
        <f>IFERROR(VLOOKUP(Tablo5[[#This Row],[ÜRÜN KODU]],YMKODLARI!$A$1:$K$363,6,0)," ")</f>
        <v>20.9</v>
      </c>
      <c r="S17" s="100">
        <f>IFERROR(Tablo5[[#This Row],[YOLLUK HARİÇ BASKI GRAMI]]/Tablo5[[#This Row],[KALIP GÖZ ADEDİ]]," ")</f>
        <v>2.6124999999999998</v>
      </c>
      <c r="T17" s="100">
        <f t="shared" si="2"/>
        <v>6</v>
      </c>
      <c r="U17" s="100">
        <v>6.6</v>
      </c>
      <c r="V17" s="100">
        <f t="shared" si="1"/>
        <v>25.284599999999998</v>
      </c>
      <c r="W17" s="101">
        <f t="shared" si="3"/>
        <v>24.5</v>
      </c>
      <c r="X17" s="102">
        <f t="shared" si="4"/>
        <v>12</v>
      </c>
      <c r="Y17" s="100">
        <f t="shared" si="5"/>
        <v>9.5608333333333331</v>
      </c>
      <c r="Z17" s="100">
        <f t="shared" si="6"/>
        <v>7152</v>
      </c>
    </row>
    <row r="18" spans="1:26">
      <c r="A18" s="100" t="s">
        <v>31</v>
      </c>
      <c r="B18" s="108" t="str">
        <f>IFERROR(VLOOKUP(Tablo5[[#This Row],[ÜRÜN KODU]],YMKODLARI!$A$1:$K$363,2,0)," ")</f>
        <v>KLASİK EMZİK UÇ NO 2</v>
      </c>
      <c r="C18" s="99">
        <v>43846</v>
      </c>
      <c r="D18" s="100" t="s">
        <v>27</v>
      </c>
      <c r="E18" s="101">
        <v>0.33333333333333331</v>
      </c>
      <c r="F18" s="101">
        <v>0.83333333333333337</v>
      </c>
      <c r="G18" s="100">
        <f>IFERROR(VLOOKUP(Tablo5[[#This Row],[ÜRÜN KODU]],YMKODLARI!$A$1:$K$363,3,0)," ")</f>
        <v>8</v>
      </c>
      <c r="H18" s="100">
        <f>IFERROR(VLOOKUP(Tablo5[[#This Row],[ÜRÜN KODU]],YMKODLARI!$A$1:$K$363,4,0)," ")</f>
        <v>38.5</v>
      </c>
      <c r="I18" s="100">
        <v>721</v>
      </c>
      <c r="J18" s="100" t="str">
        <f>IFERROR(VLOOKUP(Tablo5[[#This Row],[ÜRÜN KODU]],YMKODLARI!$A$1:$K$363,9,0)," ")</f>
        <v>Şeffaf</v>
      </c>
      <c r="K18" s="100" t="str">
        <f>IFERROR(VLOOKUP(Tablo5[[#This Row],[BOYA KODU]],Tablo14[#All],4,0)," ")</f>
        <v xml:space="preserve"> </v>
      </c>
      <c r="L18" s="100" t="str">
        <f>IFERROR(VLOOKUP(Tablo5[[#This Row],[BOYA KODU]],Tablo14[#All],6,0)," ")</f>
        <v xml:space="preserve"> </v>
      </c>
      <c r="M18" s="100" t="str">
        <f t="shared" si="0"/>
        <v xml:space="preserve"> </v>
      </c>
      <c r="N18" s="100" t="str">
        <f>IFERROR(VLOOKUP(Tablo5[[#This Row],[ÜRÜN KODU]],YMKODLARI!$A$1:$K$363,8,0)," ")</f>
        <v>HM 003</v>
      </c>
      <c r="O18" s="100" t="str">
        <f>IFERROR(VLOOKUP(Tablo5[[#This Row],[HAMMADDE KODU]],Tablo1[#All],3,0)," ")</f>
        <v>LSR 45</v>
      </c>
      <c r="P18" s="100" t="str">
        <f>IFERROR(VLOOKUP(Tablo5[[#This Row],[HAMMADDE KODU]],Tablo1[#All],4,0)," ")</f>
        <v>SETA</v>
      </c>
      <c r="Q18" s="100">
        <f>IFERROR(VLOOKUP(Tablo5[[#This Row],[ÜRÜN KODU]],YMKODLARI!$A$1:$K$363,5,0)," ")</f>
        <v>26.9</v>
      </c>
      <c r="R18" s="100">
        <f>IFERROR(VLOOKUP(Tablo5[[#This Row],[ÜRÜN KODU]],YMKODLARI!$A$1:$K$363,6,0)," ")</f>
        <v>20.9</v>
      </c>
      <c r="S18" s="100">
        <f>IFERROR(Tablo5[[#This Row],[YOLLUK HARİÇ BASKI GRAMI]]/Tablo5[[#This Row],[KALIP GÖZ ADEDİ]]," ")</f>
        <v>2.6124999999999998</v>
      </c>
      <c r="T18" s="100">
        <f t="shared" si="2"/>
        <v>6</v>
      </c>
      <c r="U18" s="100">
        <v>5.4</v>
      </c>
      <c r="V18" s="100">
        <f t="shared" si="1"/>
        <v>20.468899999999998</v>
      </c>
      <c r="W18" s="101">
        <f t="shared" si="3"/>
        <v>24.5</v>
      </c>
      <c r="X18" s="102">
        <f t="shared" si="4"/>
        <v>12</v>
      </c>
      <c r="Y18" s="100">
        <f t="shared" si="5"/>
        <v>7.7106944444444441</v>
      </c>
      <c r="Z18" s="100">
        <f t="shared" si="6"/>
        <v>5768</v>
      </c>
    </row>
    <row r="19" spans="1:26">
      <c r="A19" s="100" t="s">
        <v>31</v>
      </c>
      <c r="B19" s="108" t="str">
        <f>IFERROR(VLOOKUP(Tablo5[[#This Row],[ÜRÜN KODU]],YMKODLARI!$A$1:$K$363,2,0)," ")</f>
        <v>KLASİK EMZİK UÇ NO 2</v>
      </c>
      <c r="C19" s="99">
        <v>43847</v>
      </c>
      <c r="D19" s="100" t="s">
        <v>27</v>
      </c>
      <c r="E19" s="101">
        <v>0.33333333333333331</v>
      </c>
      <c r="F19" s="101">
        <v>0.72916666666666663</v>
      </c>
      <c r="G19" s="100">
        <f>IFERROR(VLOOKUP(Tablo5[[#This Row],[ÜRÜN KODU]],YMKODLARI!$A$1:$K$363,3,0)," ")</f>
        <v>8</v>
      </c>
      <c r="H19" s="100">
        <f>IFERROR(VLOOKUP(Tablo5[[#This Row],[ÜRÜN KODU]],YMKODLARI!$A$1:$K$363,4,0)," ")</f>
        <v>38.5</v>
      </c>
      <c r="I19" s="100">
        <v>637</v>
      </c>
      <c r="J19" s="100" t="str">
        <f>IFERROR(VLOOKUP(Tablo5[[#This Row],[ÜRÜN KODU]],YMKODLARI!$A$1:$K$363,9,0)," ")</f>
        <v>Şeffaf</v>
      </c>
      <c r="K19" s="100" t="str">
        <f>IFERROR(VLOOKUP(Tablo5[[#This Row],[BOYA KODU]],Tablo14[#All],4,0)," ")</f>
        <v xml:space="preserve"> </v>
      </c>
      <c r="L19" s="100" t="str">
        <f>IFERROR(VLOOKUP(Tablo5[[#This Row],[BOYA KODU]],Tablo14[#All],6,0)," ")</f>
        <v xml:space="preserve"> </v>
      </c>
      <c r="M19" s="100" t="str">
        <f t="shared" si="0"/>
        <v xml:space="preserve"> </v>
      </c>
      <c r="N19" s="100" t="str">
        <f>IFERROR(VLOOKUP(Tablo5[[#This Row],[ÜRÜN KODU]],YMKODLARI!$A$1:$K$363,8,0)," ")</f>
        <v>HM 003</v>
      </c>
      <c r="O19" s="100" t="str">
        <f>IFERROR(VLOOKUP(Tablo5[[#This Row],[HAMMADDE KODU]],Tablo1[#All],3,0)," ")</f>
        <v>LSR 45</v>
      </c>
      <c r="P19" s="100" t="str">
        <f>IFERROR(VLOOKUP(Tablo5[[#This Row],[HAMMADDE KODU]],Tablo1[#All],4,0)," ")</f>
        <v>SETA</v>
      </c>
      <c r="Q19" s="100">
        <f>IFERROR(VLOOKUP(Tablo5[[#This Row],[ÜRÜN KODU]],YMKODLARI!$A$1:$K$363,5,0)," ")</f>
        <v>26.9</v>
      </c>
      <c r="R19" s="100">
        <f>IFERROR(VLOOKUP(Tablo5[[#This Row],[ÜRÜN KODU]],YMKODLARI!$A$1:$K$363,6,0)," ")</f>
        <v>20.9</v>
      </c>
      <c r="S19" s="100">
        <f>IFERROR(Tablo5[[#This Row],[YOLLUK HARİÇ BASKI GRAMI]]/Tablo5[[#This Row],[KALIP GÖZ ADEDİ]]," ")</f>
        <v>2.6124999999999998</v>
      </c>
      <c r="T19" s="100">
        <f t="shared" si="2"/>
        <v>6</v>
      </c>
      <c r="U19" s="100">
        <v>6.2</v>
      </c>
      <c r="V19" s="100">
        <f t="shared" si="1"/>
        <v>19.513300000000001</v>
      </c>
      <c r="W19" s="101">
        <f t="shared" si="3"/>
        <v>24.395833333333332</v>
      </c>
      <c r="X19" s="102">
        <f t="shared" si="4"/>
        <v>9.4999999999999716</v>
      </c>
      <c r="Y19" s="100">
        <f t="shared" si="5"/>
        <v>6.8123611111111115</v>
      </c>
      <c r="Z19" s="100">
        <f t="shared" si="6"/>
        <v>5096</v>
      </c>
    </row>
    <row r="20" spans="1:26">
      <c r="A20" s="100" t="s">
        <v>31</v>
      </c>
      <c r="B20" s="108" t="str">
        <f>IFERROR(VLOOKUP(Tablo5[[#This Row],[ÜRÜN KODU]],YMKODLARI!$A$1:$K$363,2,0)," ")</f>
        <v>KLASİK EMZİK UÇ NO 2</v>
      </c>
      <c r="C20" s="99">
        <v>43850</v>
      </c>
      <c r="D20" s="100" t="s">
        <v>27</v>
      </c>
      <c r="E20" s="101">
        <v>0.33333333333333331</v>
      </c>
      <c r="F20" s="101">
        <v>0.75</v>
      </c>
      <c r="G20" s="100">
        <f>IFERROR(VLOOKUP(Tablo5[[#This Row],[ÜRÜN KODU]],YMKODLARI!$A$1:$K$363,3,0)," ")</f>
        <v>8</v>
      </c>
      <c r="H20" s="100">
        <f>IFERROR(VLOOKUP(Tablo5[[#This Row],[ÜRÜN KODU]],YMKODLARI!$A$1:$K$363,4,0)," ")</f>
        <v>38.5</v>
      </c>
      <c r="I20" s="100">
        <v>806</v>
      </c>
      <c r="J20" s="100" t="str">
        <f>IFERROR(VLOOKUP(Tablo5[[#This Row],[ÜRÜN KODU]],YMKODLARI!$A$1:$K$363,9,0)," ")</f>
        <v>Şeffaf</v>
      </c>
      <c r="K20" s="100" t="str">
        <f>IFERROR(VLOOKUP(Tablo5[[#This Row],[BOYA KODU]],Tablo14[#All],4,0)," ")</f>
        <v xml:space="preserve"> </v>
      </c>
      <c r="L20" s="100" t="str">
        <f>IFERROR(VLOOKUP(Tablo5[[#This Row],[BOYA KODU]],Tablo14[#All],6,0)," ")</f>
        <v xml:space="preserve"> </v>
      </c>
      <c r="M20" s="100" t="str">
        <f t="shared" si="0"/>
        <v xml:space="preserve"> </v>
      </c>
      <c r="N20" s="100" t="str">
        <f>IFERROR(VLOOKUP(Tablo5[[#This Row],[ÜRÜN KODU]],YMKODLARI!$A$1:$K$363,8,0)," ")</f>
        <v>HM 003</v>
      </c>
      <c r="O20" s="100" t="str">
        <f>IFERROR(VLOOKUP(Tablo5[[#This Row],[HAMMADDE KODU]],Tablo1[#All],3,0)," ")</f>
        <v>LSR 45</v>
      </c>
      <c r="P20" s="100" t="str">
        <f>IFERROR(VLOOKUP(Tablo5[[#This Row],[HAMMADDE KODU]],Tablo1[#All],4,0)," ")</f>
        <v>SETA</v>
      </c>
      <c r="Q20" s="100">
        <f>IFERROR(VLOOKUP(Tablo5[[#This Row],[ÜRÜN KODU]],YMKODLARI!$A$1:$K$363,5,0)," ")</f>
        <v>26.9</v>
      </c>
      <c r="R20" s="100">
        <f>IFERROR(VLOOKUP(Tablo5[[#This Row],[ÜRÜN KODU]],YMKODLARI!$A$1:$K$363,6,0)," ")</f>
        <v>20.9</v>
      </c>
      <c r="S20" s="100">
        <f>IFERROR(Tablo5[[#This Row],[YOLLUK HARİÇ BASKI GRAMI]]/Tablo5[[#This Row],[KALIP GÖZ ADEDİ]]," ")</f>
        <v>2.6124999999999998</v>
      </c>
      <c r="T20" s="100">
        <f t="shared" si="2"/>
        <v>6</v>
      </c>
      <c r="U20" s="100">
        <v>5.5</v>
      </c>
      <c r="V20" s="100">
        <f t="shared" si="1"/>
        <v>22.345399999999998</v>
      </c>
      <c r="W20" s="101">
        <f t="shared" si="3"/>
        <v>24.416666666666668</v>
      </c>
      <c r="X20" s="102">
        <f t="shared" si="4"/>
        <v>10.000000000000028</v>
      </c>
      <c r="Y20" s="100">
        <f t="shared" si="5"/>
        <v>8.6197222222222223</v>
      </c>
      <c r="Z20" s="100">
        <f t="shared" si="6"/>
        <v>6448</v>
      </c>
    </row>
    <row r="21" spans="1:26">
      <c r="A21" s="100" t="s">
        <v>31</v>
      </c>
      <c r="B21" s="108" t="str">
        <f>IFERROR(VLOOKUP(Tablo5[[#This Row],[ÜRÜN KODU]],YMKODLARI!$A$1:$K$363,2,0)," ")</f>
        <v>KLASİK EMZİK UÇ NO 2</v>
      </c>
      <c r="C21" s="99">
        <v>43851</v>
      </c>
      <c r="D21" s="100" t="s">
        <v>27</v>
      </c>
      <c r="E21" s="101">
        <v>0.33333333333333331</v>
      </c>
      <c r="F21" s="101">
        <v>0.75</v>
      </c>
      <c r="G21" s="100">
        <f>IFERROR(VLOOKUP(Tablo5[[#This Row],[ÜRÜN KODU]],YMKODLARI!$A$1:$K$363,3,0)," ")</f>
        <v>8</v>
      </c>
      <c r="H21" s="100">
        <f>IFERROR(VLOOKUP(Tablo5[[#This Row],[ÜRÜN KODU]],YMKODLARI!$A$1:$K$363,4,0)," ")</f>
        <v>38.5</v>
      </c>
      <c r="I21" s="100">
        <v>778</v>
      </c>
      <c r="J21" s="100" t="str">
        <f>IFERROR(VLOOKUP(Tablo5[[#This Row],[ÜRÜN KODU]],YMKODLARI!$A$1:$K$363,9,0)," ")</f>
        <v>Şeffaf</v>
      </c>
      <c r="K21" s="100" t="str">
        <f>IFERROR(VLOOKUP(Tablo5[[#This Row],[BOYA KODU]],Tablo14[#All],4,0)," ")</f>
        <v xml:space="preserve"> </v>
      </c>
      <c r="L21" s="100" t="str">
        <f>IFERROR(VLOOKUP(Tablo5[[#This Row],[BOYA KODU]],Tablo14[#All],6,0)," ")</f>
        <v xml:space="preserve"> </v>
      </c>
      <c r="M21" s="100" t="str">
        <f t="shared" si="0"/>
        <v xml:space="preserve"> </v>
      </c>
      <c r="N21" s="100" t="str">
        <f>IFERROR(VLOOKUP(Tablo5[[#This Row],[ÜRÜN KODU]],YMKODLARI!$A$1:$K$363,8,0)," ")</f>
        <v>HM 003</v>
      </c>
      <c r="O21" s="100" t="str">
        <f>IFERROR(VLOOKUP(Tablo5[[#This Row],[HAMMADDE KODU]],Tablo1[#All],3,0)," ")</f>
        <v>LSR 45</v>
      </c>
      <c r="P21" s="100" t="str">
        <f>IFERROR(VLOOKUP(Tablo5[[#This Row],[HAMMADDE KODU]],Tablo1[#All],4,0)," ")</f>
        <v>SETA</v>
      </c>
      <c r="Q21" s="100">
        <f>IFERROR(VLOOKUP(Tablo5[[#This Row],[ÜRÜN KODU]],YMKODLARI!$A$1:$K$363,5,0)," ")</f>
        <v>26.9</v>
      </c>
      <c r="R21" s="100">
        <f>IFERROR(VLOOKUP(Tablo5[[#This Row],[ÜRÜN KODU]],YMKODLARI!$A$1:$K$363,6,0)," ")</f>
        <v>20.9</v>
      </c>
      <c r="S21" s="100">
        <f>IFERROR(Tablo5[[#This Row],[YOLLUK HARİÇ BASKI GRAMI]]/Tablo5[[#This Row],[KALIP GÖZ ADEDİ]]," ")</f>
        <v>2.6124999999999998</v>
      </c>
      <c r="T21" s="100">
        <f t="shared" si="2"/>
        <v>6</v>
      </c>
      <c r="U21" s="100">
        <v>6.95</v>
      </c>
      <c r="V21" s="100">
        <f t="shared" si="1"/>
        <v>23.210199999999997</v>
      </c>
      <c r="W21" s="101">
        <f t="shared" si="3"/>
        <v>24.416666666666668</v>
      </c>
      <c r="X21" s="102">
        <f t="shared" si="4"/>
        <v>10.000000000000028</v>
      </c>
      <c r="Y21" s="100">
        <f t="shared" si="5"/>
        <v>8.3202777777777772</v>
      </c>
      <c r="Z21" s="100">
        <f t="shared" si="6"/>
        <v>6224</v>
      </c>
    </row>
    <row r="22" spans="1:26">
      <c r="A22" s="100" t="s">
        <v>31</v>
      </c>
      <c r="B22" s="108" t="str">
        <f>IFERROR(VLOOKUP(Tablo5[[#This Row],[ÜRÜN KODU]],YMKODLARI!$A$1:$K$363,2,0)," ")</f>
        <v>KLASİK EMZİK UÇ NO 2</v>
      </c>
      <c r="C22" s="99">
        <v>43852</v>
      </c>
      <c r="D22" s="100" t="s">
        <v>27</v>
      </c>
      <c r="E22" s="101">
        <v>0.33333333333333331</v>
      </c>
      <c r="F22" s="101">
        <v>0.75</v>
      </c>
      <c r="G22" s="100">
        <f>IFERROR(VLOOKUP(Tablo5[[#This Row],[ÜRÜN KODU]],YMKODLARI!$A$1:$K$363,3,0)," ")</f>
        <v>8</v>
      </c>
      <c r="H22" s="100">
        <f>IFERROR(VLOOKUP(Tablo5[[#This Row],[ÜRÜN KODU]],YMKODLARI!$A$1:$K$363,4,0)," ")</f>
        <v>38.5</v>
      </c>
      <c r="I22" s="100">
        <v>238</v>
      </c>
      <c r="J22" s="100" t="str">
        <f>IFERROR(VLOOKUP(Tablo5[[#This Row],[ÜRÜN KODU]],YMKODLARI!$A$1:$K$363,9,0)," ")</f>
        <v>Şeffaf</v>
      </c>
      <c r="K22" s="100" t="str">
        <f>IFERROR(VLOOKUP(Tablo5[[#This Row],[BOYA KODU]],Tablo14[#All],4,0)," ")</f>
        <v xml:space="preserve"> </v>
      </c>
      <c r="L22" s="100" t="str">
        <f>IFERROR(VLOOKUP(Tablo5[[#This Row],[BOYA KODU]],Tablo14[#All],6,0)," ")</f>
        <v xml:space="preserve"> </v>
      </c>
      <c r="M22" s="100" t="str">
        <f t="shared" si="0"/>
        <v xml:space="preserve"> </v>
      </c>
      <c r="N22" s="100" t="str">
        <f>IFERROR(VLOOKUP(Tablo5[[#This Row],[ÜRÜN KODU]],YMKODLARI!$A$1:$K$363,8,0)," ")</f>
        <v>HM 003</v>
      </c>
      <c r="O22" s="100" t="str">
        <f>IFERROR(VLOOKUP(Tablo5[[#This Row],[HAMMADDE KODU]],Tablo1[#All],3,0)," ")</f>
        <v>LSR 45</v>
      </c>
      <c r="P22" s="100" t="str">
        <f>IFERROR(VLOOKUP(Tablo5[[#This Row],[HAMMADDE KODU]],Tablo1[#All],4,0)," ")</f>
        <v>SETA</v>
      </c>
      <c r="Q22" s="100">
        <f>IFERROR(VLOOKUP(Tablo5[[#This Row],[ÜRÜN KODU]],YMKODLARI!$A$1:$K$363,5,0)," ")</f>
        <v>26.9</v>
      </c>
      <c r="R22" s="100">
        <f>IFERROR(VLOOKUP(Tablo5[[#This Row],[ÜRÜN KODU]],YMKODLARI!$A$1:$K$363,6,0)," ")</f>
        <v>20.9</v>
      </c>
      <c r="S22" s="100">
        <f>IFERROR(Tablo5[[#This Row],[YOLLUK HARİÇ BASKI GRAMI]]/Tablo5[[#This Row],[KALIP GÖZ ADEDİ]]," ")</f>
        <v>2.6124999999999998</v>
      </c>
      <c r="T22" s="100">
        <f t="shared" si="2"/>
        <v>6</v>
      </c>
      <c r="U22" s="100">
        <v>2.75</v>
      </c>
      <c r="V22" s="100">
        <f t="shared" si="1"/>
        <v>7.7241999999999997</v>
      </c>
      <c r="W22" s="101">
        <f t="shared" si="3"/>
        <v>24.416666666666668</v>
      </c>
      <c r="X22" s="102">
        <f t="shared" si="4"/>
        <v>10.000000000000028</v>
      </c>
      <c r="Y22" s="100">
        <f t="shared" si="5"/>
        <v>2.5452777777777778</v>
      </c>
      <c r="Z22" s="100">
        <f t="shared" si="6"/>
        <v>1904</v>
      </c>
    </row>
    <row r="23" spans="1:26">
      <c r="A23" s="100" t="s">
        <v>31</v>
      </c>
      <c r="B23" s="108" t="str">
        <f>IFERROR(VLOOKUP(Tablo5[[#This Row],[ÜRÜN KODU]],YMKODLARI!$A$1:$K$363,2,0)," ")</f>
        <v>KLASİK EMZİK UÇ NO 2</v>
      </c>
      <c r="C23" s="99">
        <v>43853</v>
      </c>
      <c r="D23" s="100" t="s">
        <v>27</v>
      </c>
      <c r="E23" s="101">
        <v>0.33333333333333331</v>
      </c>
      <c r="F23" s="101">
        <v>0.75</v>
      </c>
      <c r="G23" s="100">
        <f>IFERROR(VLOOKUP(Tablo5[[#This Row],[ÜRÜN KODU]],YMKODLARI!$A$1:$K$363,3,0)," ")</f>
        <v>8</v>
      </c>
      <c r="H23" s="100">
        <f>IFERROR(VLOOKUP(Tablo5[[#This Row],[ÜRÜN KODU]],YMKODLARI!$A$1:$K$363,4,0)," ")</f>
        <v>38.5</v>
      </c>
      <c r="I23" s="100">
        <v>689</v>
      </c>
      <c r="J23" s="100" t="str">
        <f>IFERROR(VLOOKUP(Tablo5[[#This Row],[ÜRÜN KODU]],YMKODLARI!$A$1:$K$363,9,0)," ")</f>
        <v>Şeffaf</v>
      </c>
      <c r="K23" s="100" t="str">
        <f>IFERROR(VLOOKUP(Tablo5[[#This Row],[BOYA KODU]],Tablo14[#All],4,0)," ")</f>
        <v xml:space="preserve"> </v>
      </c>
      <c r="L23" s="100" t="str">
        <f>IFERROR(VLOOKUP(Tablo5[[#This Row],[BOYA KODU]],Tablo14[#All],6,0)," ")</f>
        <v xml:space="preserve"> </v>
      </c>
      <c r="M23" s="100" t="str">
        <f t="shared" si="0"/>
        <v xml:space="preserve"> </v>
      </c>
      <c r="N23" s="100" t="str">
        <f>IFERROR(VLOOKUP(Tablo5[[#This Row],[ÜRÜN KODU]],YMKODLARI!$A$1:$K$363,8,0)," ")</f>
        <v>HM 003</v>
      </c>
      <c r="O23" s="100" t="str">
        <f>IFERROR(VLOOKUP(Tablo5[[#This Row],[HAMMADDE KODU]],Tablo1[#All],3,0)," ")</f>
        <v>LSR 45</v>
      </c>
      <c r="P23" s="100" t="str">
        <f>IFERROR(VLOOKUP(Tablo5[[#This Row],[HAMMADDE KODU]],Tablo1[#All],4,0)," ")</f>
        <v>SETA</v>
      </c>
      <c r="Q23" s="100">
        <f>IFERROR(VLOOKUP(Tablo5[[#This Row],[ÜRÜN KODU]],YMKODLARI!$A$1:$K$363,5,0)," ")</f>
        <v>26.9</v>
      </c>
      <c r="R23" s="100">
        <f>IFERROR(VLOOKUP(Tablo5[[#This Row],[ÜRÜN KODU]],YMKODLARI!$A$1:$K$363,6,0)," ")</f>
        <v>20.9</v>
      </c>
      <c r="S23" s="100">
        <f>IFERROR(Tablo5[[#This Row],[YOLLUK HARİÇ BASKI GRAMI]]/Tablo5[[#This Row],[KALIP GÖZ ADEDİ]]," ")</f>
        <v>2.6124999999999998</v>
      </c>
      <c r="T23" s="100">
        <f t="shared" si="2"/>
        <v>6</v>
      </c>
      <c r="U23" s="100"/>
      <c r="V23" s="100">
        <f t="shared" si="1"/>
        <v>14.400099999999998</v>
      </c>
      <c r="W23" s="101">
        <f t="shared" si="3"/>
        <v>24.416666666666668</v>
      </c>
      <c r="X23" s="102">
        <f t="shared" si="4"/>
        <v>10.000000000000028</v>
      </c>
      <c r="Y23" s="100">
        <f t="shared" si="5"/>
        <v>7.3684722222222225</v>
      </c>
      <c r="Z23" s="100">
        <f t="shared" si="6"/>
        <v>5512</v>
      </c>
    </row>
    <row r="24" spans="1:26">
      <c r="A24" s="100" t="s">
        <v>31</v>
      </c>
      <c r="B24" s="108" t="str">
        <f>IFERROR(VLOOKUP(Tablo5[[#This Row],[ÜRÜN KODU]],YMKODLARI!$A$1:$K$363,2,0)," ")</f>
        <v>KLASİK EMZİK UÇ NO 2</v>
      </c>
      <c r="C24" s="99">
        <v>43854</v>
      </c>
      <c r="D24" s="100" t="s">
        <v>27</v>
      </c>
      <c r="E24" s="101">
        <v>0.33333333333333331</v>
      </c>
      <c r="F24" s="101">
        <v>0.75</v>
      </c>
      <c r="G24" s="100">
        <f>IFERROR(VLOOKUP(Tablo5[[#This Row],[ÜRÜN KODU]],YMKODLARI!$A$1:$K$363,3,0)," ")</f>
        <v>8</v>
      </c>
      <c r="H24" s="100">
        <f>IFERROR(VLOOKUP(Tablo5[[#This Row],[ÜRÜN KODU]],YMKODLARI!$A$1:$K$363,4,0)," ")</f>
        <v>38.5</v>
      </c>
      <c r="I24" s="100">
        <v>526</v>
      </c>
      <c r="J24" s="100" t="str">
        <f>IFERROR(VLOOKUP(Tablo5[[#This Row],[ÜRÜN KODU]],YMKODLARI!$A$1:$K$363,9,0)," ")</f>
        <v>Şeffaf</v>
      </c>
      <c r="K24" s="100" t="str">
        <f>IFERROR(VLOOKUP(Tablo5[[#This Row],[BOYA KODU]],Tablo14[#All],4,0)," ")</f>
        <v xml:space="preserve"> </v>
      </c>
      <c r="L24" s="100" t="str">
        <f>IFERROR(VLOOKUP(Tablo5[[#This Row],[BOYA KODU]],Tablo14[#All],6,0)," ")</f>
        <v xml:space="preserve"> </v>
      </c>
      <c r="M24" s="100" t="str">
        <f t="shared" si="0"/>
        <v xml:space="preserve"> </v>
      </c>
      <c r="N24" s="100" t="str">
        <f>IFERROR(VLOOKUP(Tablo5[[#This Row],[ÜRÜN KODU]],YMKODLARI!$A$1:$K$363,8,0)," ")</f>
        <v>HM 003</v>
      </c>
      <c r="O24" s="100" t="str">
        <f>IFERROR(VLOOKUP(Tablo5[[#This Row],[HAMMADDE KODU]],Tablo1[#All],3,0)," ")</f>
        <v>LSR 45</v>
      </c>
      <c r="P24" s="100" t="str">
        <f>IFERROR(VLOOKUP(Tablo5[[#This Row],[HAMMADDE KODU]],Tablo1[#All],4,0)," ")</f>
        <v>SETA</v>
      </c>
      <c r="Q24" s="100">
        <f>IFERROR(VLOOKUP(Tablo5[[#This Row],[ÜRÜN KODU]],YMKODLARI!$A$1:$K$363,5,0)," ")</f>
        <v>26.9</v>
      </c>
      <c r="R24" s="100">
        <f>IFERROR(VLOOKUP(Tablo5[[#This Row],[ÜRÜN KODU]],YMKODLARI!$A$1:$K$363,6,0)," ")</f>
        <v>20.9</v>
      </c>
      <c r="S24" s="100">
        <f>IFERROR(Tablo5[[#This Row],[YOLLUK HARİÇ BASKI GRAMI]]/Tablo5[[#This Row],[KALIP GÖZ ADEDİ]]," ")</f>
        <v>2.6124999999999998</v>
      </c>
      <c r="T24" s="100">
        <f t="shared" si="2"/>
        <v>6</v>
      </c>
      <c r="U24" s="100">
        <v>4</v>
      </c>
      <c r="V24" s="100">
        <f t="shared" si="1"/>
        <v>14.993399999999999</v>
      </c>
      <c r="W24" s="101">
        <f t="shared" si="3"/>
        <v>24.416666666666668</v>
      </c>
      <c r="X24" s="102">
        <f t="shared" si="4"/>
        <v>10.000000000000028</v>
      </c>
      <c r="Y24" s="100">
        <f t="shared" si="5"/>
        <v>5.6252777777777778</v>
      </c>
      <c r="Z24" s="100">
        <f t="shared" si="6"/>
        <v>4208</v>
      </c>
    </row>
    <row r="25" spans="1:26">
      <c r="A25" s="100" t="s">
        <v>31</v>
      </c>
      <c r="B25" s="108" t="str">
        <f>IFERROR(VLOOKUP(Tablo5[[#This Row],[ÜRÜN KODU]],YMKODLARI!$A$1:$K$363,2,0)," ")</f>
        <v>KLASİK EMZİK UÇ NO 2</v>
      </c>
      <c r="C25" s="99">
        <v>43857</v>
      </c>
      <c r="D25" s="100" t="s">
        <v>27</v>
      </c>
      <c r="E25" s="101">
        <v>0.33333333333333331</v>
      </c>
      <c r="F25" s="101">
        <v>0.75</v>
      </c>
      <c r="G25" s="100">
        <f>IFERROR(VLOOKUP(Tablo5[[#This Row],[ÜRÜN KODU]],YMKODLARI!$A$1:$K$363,3,0)," ")</f>
        <v>8</v>
      </c>
      <c r="H25" s="100">
        <f>IFERROR(VLOOKUP(Tablo5[[#This Row],[ÜRÜN KODU]],YMKODLARI!$A$1:$K$363,4,0)," ")</f>
        <v>38.5</v>
      </c>
      <c r="I25" s="100">
        <v>783</v>
      </c>
      <c r="J25" s="100" t="str">
        <f>IFERROR(VLOOKUP(Tablo5[[#This Row],[ÜRÜN KODU]],YMKODLARI!$A$1:$K$363,9,0)," ")</f>
        <v>Şeffaf</v>
      </c>
      <c r="K25" s="100" t="str">
        <f>IFERROR(VLOOKUP(Tablo5[[#This Row],[BOYA KODU]],Tablo14[#All],4,0)," ")</f>
        <v xml:space="preserve"> </v>
      </c>
      <c r="L25" s="100" t="str">
        <f>IFERROR(VLOOKUP(Tablo5[[#This Row],[BOYA KODU]],Tablo14[#All],6,0)," ")</f>
        <v xml:space="preserve"> </v>
      </c>
      <c r="M25" s="100" t="str">
        <f t="shared" si="0"/>
        <v xml:space="preserve"> </v>
      </c>
      <c r="N25" s="100" t="str">
        <f>IFERROR(VLOOKUP(Tablo5[[#This Row],[ÜRÜN KODU]],YMKODLARI!$A$1:$K$363,8,0)," ")</f>
        <v>HM 003</v>
      </c>
      <c r="O25" s="100" t="str">
        <f>IFERROR(VLOOKUP(Tablo5[[#This Row],[HAMMADDE KODU]],Tablo1[#All],3,0)," ")</f>
        <v>LSR 45</v>
      </c>
      <c r="P25" s="100" t="str">
        <f>IFERROR(VLOOKUP(Tablo5[[#This Row],[HAMMADDE KODU]],Tablo1[#All],4,0)," ")</f>
        <v>SETA</v>
      </c>
      <c r="Q25" s="100">
        <f>IFERROR(VLOOKUP(Tablo5[[#This Row],[ÜRÜN KODU]],YMKODLARI!$A$1:$K$363,5,0)," ")</f>
        <v>26.9</v>
      </c>
      <c r="R25" s="100">
        <f>IFERROR(VLOOKUP(Tablo5[[#This Row],[ÜRÜN KODU]],YMKODLARI!$A$1:$K$363,6,0)," ")</f>
        <v>20.9</v>
      </c>
      <c r="S25" s="100">
        <f>IFERROR(Tablo5[[#This Row],[YOLLUK HARİÇ BASKI GRAMI]]/Tablo5[[#This Row],[KALIP GÖZ ADEDİ]]," ")</f>
        <v>2.6124999999999998</v>
      </c>
      <c r="T25" s="100">
        <f t="shared" si="2"/>
        <v>6</v>
      </c>
      <c r="U25" s="100">
        <v>6.6</v>
      </c>
      <c r="V25" s="100">
        <f t="shared" si="1"/>
        <v>22.964700000000001</v>
      </c>
      <c r="W25" s="101">
        <f t="shared" si="3"/>
        <v>24.416666666666668</v>
      </c>
      <c r="X25" s="102">
        <f t="shared" si="4"/>
        <v>10.000000000000028</v>
      </c>
      <c r="Y25" s="100">
        <f t="shared" si="5"/>
        <v>8.3737499999999994</v>
      </c>
      <c r="Z25" s="100">
        <f t="shared" si="6"/>
        <v>6264</v>
      </c>
    </row>
    <row r="26" spans="1:26">
      <c r="A26" s="100" t="s">
        <v>31</v>
      </c>
      <c r="B26" s="108" t="str">
        <f>IFERROR(VLOOKUP(Tablo5[[#This Row],[ÜRÜN KODU]],YMKODLARI!$A$1:$K$363,2,0)," ")</f>
        <v>KLASİK EMZİK UÇ NO 2</v>
      </c>
      <c r="C26" s="99">
        <v>43858</v>
      </c>
      <c r="D26" s="100" t="s">
        <v>27</v>
      </c>
      <c r="E26" s="101">
        <v>0.33333333333333331</v>
      </c>
      <c r="F26" s="101">
        <v>0.75</v>
      </c>
      <c r="G26" s="100">
        <f>IFERROR(VLOOKUP(Tablo5[[#This Row],[ÜRÜN KODU]],YMKODLARI!$A$1:$K$363,3,0)," ")</f>
        <v>8</v>
      </c>
      <c r="H26" s="100">
        <f>IFERROR(VLOOKUP(Tablo5[[#This Row],[ÜRÜN KODU]],YMKODLARI!$A$1:$K$363,4,0)," ")</f>
        <v>38.5</v>
      </c>
      <c r="I26" s="100">
        <v>789</v>
      </c>
      <c r="J26" s="100" t="str">
        <f>IFERROR(VLOOKUP(Tablo5[[#This Row],[ÜRÜN KODU]],YMKODLARI!$A$1:$K$363,9,0)," ")</f>
        <v>Şeffaf</v>
      </c>
      <c r="K26" s="100" t="str">
        <f>IFERROR(VLOOKUP(Tablo5[[#This Row],[BOYA KODU]],Tablo14[#All],4,0)," ")</f>
        <v xml:space="preserve"> </v>
      </c>
      <c r="L26" s="100" t="str">
        <f>IFERROR(VLOOKUP(Tablo5[[#This Row],[BOYA KODU]],Tablo14[#All],6,0)," ")</f>
        <v xml:space="preserve"> </v>
      </c>
      <c r="M26" s="100" t="str">
        <f t="shared" si="0"/>
        <v xml:space="preserve"> </v>
      </c>
      <c r="N26" s="100" t="str">
        <f>IFERROR(VLOOKUP(Tablo5[[#This Row],[ÜRÜN KODU]],YMKODLARI!$A$1:$K$363,8,0)," ")</f>
        <v>HM 003</v>
      </c>
      <c r="O26" s="100" t="str">
        <f>IFERROR(VLOOKUP(Tablo5[[#This Row],[HAMMADDE KODU]],Tablo1[#All],3,0)," ")</f>
        <v>LSR 45</v>
      </c>
      <c r="P26" s="100" t="str">
        <f>IFERROR(VLOOKUP(Tablo5[[#This Row],[HAMMADDE KODU]],Tablo1[#All],4,0)," ")</f>
        <v>SETA</v>
      </c>
      <c r="Q26" s="100">
        <f>IFERROR(VLOOKUP(Tablo5[[#This Row],[ÜRÜN KODU]],YMKODLARI!$A$1:$K$363,5,0)," ")</f>
        <v>26.9</v>
      </c>
      <c r="R26" s="100">
        <f>IFERROR(VLOOKUP(Tablo5[[#This Row],[ÜRÜN KODU]],YMKODLARI!$A$1:$K$363,6,0)," ")</f>
        <v>20.9</v>
      </c>
      <c r="S26" s="100">
        <f>IFERROR(Tablo5[[#This Row],[YOLLUK HARİÇ BASKI GRAMI]]/Tablo5[[#This Row],[KALIP GÖZ ADEDİ]]," ")</f>
        <v>2.6124999999999998</v>
      </c>
      <c r="T26" s="100">
        <f t="shared" si="2"/>
        <v>6</v>
      </c>
      <c r="U26" s="100">
        <v>5</v>
      </c>
      <c r="V26" s="100">
        <f t="shared" si="1"/>
        <v>21.490099999999998</v>
      </c>
      <c r="W26" s="101">
        <f t="shared" si="3"/>
        <v>24.416666666666668</v>
      </c>
      <c r="X26" s="102">
        <f t="shared" si="4"/>
        <v>10.000000000000028</v>
      </c>
      <c r="Y26" s="100">
        <f t="shared" si="5"/>
        <v>8.4379166666666663</v>
      </c>
      <c r="Z26" s="100">
        <f t="shared" si="6"/>
        <v>6312</v>
      </c>
    </row>
    <row r="27" spans="1:26">
      <c r="A27" s="100" t="s">
        <v>32</v>
      </c>
      <c r="B27" s="108" t="str">
        <f>IFERROR(VLOOKUP(Tablo5[[#This Row],[ÜRÜN KODU]],YMKODLARI!$A$1:$K$363,2,0)," ")</f>
        <v>GENİŞ AĞIZ BİBERON UCU</v>
      </c>
      <c r="C27" s="99">
        <v>43880</v>
      </c>
      <c r="D27" s="100" t="s">
        <v>33</v>
      </c>
      <c r="E27" s="101">
        <v>0.375</v>
      </c>
      <c r="F27" s="101">
        <v>0.54166666666666663</v>
      </c>
      <c r="G27" s="100">
        <f>IFERROR(VLOOKUP(Tablo5[[#This Row],[ÜRÜN KODU]],YMKODLARI!$A$1:$K$363,3,0)," ")</f>
        <v>6</v>
      </c>
      <c r="H27" s="100">
        <f>IFERROR(VLOOKUP(Tablo5[[#This Row],[ÜRÜN KODU]],YMKODLARI!$A$1:$K$363,4,0)," ")</f>
        <v>45</v>
      </c>
      <c r="I27" s="109">
        <v>97</v>
      </c>
      <c r="J27" s="100" t="str">
        <f>IFERROR(VLOOKUP(Tablo5[[#This Row],[ÜRÜN KODU]],YMKODLARI!$A$1:$K$363,9,0)," ")</f>
        <v>Şeffaf</v>
      </c>
      <c r="K27" s="100" t="str">
        <f>IFERROR(VLOOKUP(Tablo5[[#This Row],[BOYA KODU]],Tablo14[#All],4,0)," ")</f>
        <v xml:space="preserve"> </v>
      </c>
      <c r="L27" s="100" t="str">
        <f>IFERROR(VLOOKUP(Tablo5[[#This Row],[BOYA KODU]],Tablo14[#All],6,0)," ")</f>
        <v xml:space="preserve"> </v>
      </c>
      <c r="M27" s="100" t="str">
        <f t="shared" si="0"/>
        <v xml:space="preserve"> </v>
      </c>
      <c r="N27" s="100" t="str">
        <f>IFERROR(VLOOKUP(Tablo5[[#This Row],[ÜRÜN KODU]],YMKODLARI!$A$1:$K$363,8,0)," ")</f>
        <v>HM 003</v>
      </c>
      <c r="O27" s="100" t="str">
        <f>IFERROR(VLOOKUP(Tablo5[[#This Row],[HAMMADDE KODU]],Tablo1[#All],3,0)," ")</f>
        <v>LSR 45</v>
      </c>
      <c r="P27" s="100" t="str">
        <f>IFERROR(VLOOKUP(Tablo5[[#This Row],[HAMMADDE KODU]],Tablo1[#All],4,0)," ")</f>
        <v>SETA</v>
      </c>
      <c r="Q27" s="100">
        <f>IFERROR(VLOOKUP(Tablo5[[#This Row],[ÜRÜN KODU]],YMKODLARI!$A$1:$K$363,5,0)," ")</f>
        <v>59.7</v>
      </c>
      <c r="R27" s="100">
        <f>IFERROR(VLOOKUP(Tablo5[[#This Row],[ÜRÜN KODU]],YMKODLARI!$A$1:$K$363,6,0)," ")</f>
        <v>53.6</v>
      </c>
      <c r="S27" s="100">
        <f>IFERROR(Tablo5[[#This Row],[YOLLUK HARİÇ BASKI GRAMI]]/Tablo5[[#This Row],[KALIP GÖZ ADEDİ]]," ")</f>
        <v>8.9333333333333336</v>
      </c>
      <c r="T27" s="100">
        <f t="shared" si="2"/>
        <v>6.1000000000000014</v>
      </c>
      <c r="U27" s="100">
        <v>1</v>
      </c>
      <c r="V27" s="100">
        <f t="shared" si="1"/>
        <v>6.1991999999999994</v>
      </c>
      <c r="W27" s="101">
        <f t="shared" si="3"/>
        <v>24.166666666666668</v>
      </c>
      <c r="X27" s="102">
        <f t="shared" si="4"/>
        <v>4.0000000000000284</v>
      </c>
      <c r="Y27" s="100">
        <f t="shared" si="5"/>
        <v>1.2124999999999999</v>
      </c>
      <c r="Z27" s="100">
        <f t="shared" si="6"/>
        <v>582</v>
      </c>
    </row>
    <row r="28" spans="1:26">
      <c r="A28" s="100" t="s">
        <v>32</v>
      </c>
      <c r="B28" s="108" t="str">
        <f>IFERROR(VLOOKUP(Tablo5[[#This Row],[ÜRÜN KODU]],YMKODLARI!$A$1:$K$363,2,0)," ")</f>
        <v>GENİŞ AĞIZ BİBERON UCU</v>
      </c>
      <c r="C28" s="99">
        <v>43882</v>
      </c>
      <c r="D28" s="100" t="s">
        <v>27</v>
      </c>
      <c r="E28" s="101">
        <v>0.66666666666666663</v>
      </c>
      <c r="F28" s="101">
        <v>0.72916666666666663</v>
      </c>
      <c r="G28" s="100">
        <f>IFERROR(VLOOKUP(Tablo5[[#This Row],[ÜRÜN KODU]],YMKODLARI!$A$1:$K$363,3,0)," ")</f>
        <v>6</v>
      </c>
      <c r="H28" s="100">
        <f>IFERROR(VLOOKUP(Tablo5[[#This Row],[ÜRÜN KODU]],YMKODLARI!$A$1:$K$363,4,0)," ")</f>
        <v>45</v>
      </c>
      <c r="I28" s="109">
        <v>81</v>
      </c>
      <c r="J28" s="100" t="str">
        <f>IFERROR(VLOOKUP(Tablo5[[#This Row],[ÜRÜN KODU]],YMKODLARI!$A$1:$K$363,9,0)," ")</f>
        <v>Şeffaf</v>
      </c>
      <c r="K28" s="100" t="str">
        <f>IFERROR(VLOOKUP(Tablo5[[#This Row],[BOYA KODU]],Tablo14[#All],4,0)," ")</f>
        <v xml:space="preserve"> </v>
      </c>
      <c r="L28" s="100" t="str">
        <f>IFERROR(VLOOKUP(Tablo5[[#This Row],[BOYA KODU]],Tablo14[#All],6,0)," ")</f>
        <v xml:space="preserve"> </v>
      </c>
      <c r="M28" s="100" t="str">
        <f t="shared" si="0"/>
        <v xml:space="preserve"> </v>
      </c>
      <c r="N28" s="100" t="str">
        <f>IFERROR(VLOOKUP(Tablo5[[#This Row],[ÜRÜN KODU]],YMKODLARI!$A$1:$K$363,8,0)," ")</f>
        <v>HM 003</v>
      </c>
      <c r="O28" s="100" t="str">
        <f>IFERROR(VLOOKUP(Tablo5[[#This Row],[HAMMADDE KODU]],Tablo1[#All],3,0)," ")</f>
        <v>LSR 45</v>
      </c>
      <c r="P28" s="100" t="str">
        <f>IFERROR(VLOOKUP(Tablo5[[#This Row],[HAMMADDE KODU]],Tablo1[#All],4,0)," ")</f>
        <v>SETA</v>
      </c>
      <c r="Q28" s="100">
        <f>IFERROR(VLOOKUP(Tablo5[[#This Row],[ÜRÜN KODU]],YMKODLARI!$A$1:$K$363,5,0)," ")</f>
        <v>59.7</v>
      </c>
      <c r="R28" s="100">
        <f>IFERROR(VLOOKUP(Tablo5[[#This Row],[ÜRÜN KODU]],YMKODLARI!$A$1:$K$363,6,0)," ")</f>
        <v>53.6</v>
      </c>
      <c r="S28" s="100">
        <f>IFERROR(Tablo5[[#This Row],[YOLLUK HARİÇ BASKI GRAMI]]/Tablo5[[#This Row],[KALIP GÖZ ADEDİ]]," ")</f>
        <v>8.9333333333333336</v>
      </c>
      <c r="T28" s="100">
        <f t="shared" si="2"/>
        <v>6.1000000000000014</v>
      </c>
      <c r="U28" s="100">
        <v>6</v>
      </c>
      <c r="V28" s="100">
        <f t="shared" si="1"/>
        <v>10.3416</v>
      </c>
      <c r="W28" s="101">
        <f t="shared" si="3"/>
        <v>24.0625</v>
      </c>
      <c r="X28" s="102">
        <f t="shared" si="4"/>
        <v>1.5</v>
      </c>
      <c r="Y28" s="100">
        <f t="shared" si="5"/>
        <v>1.0125</v>
      </c>
      <c r="Z28" s="100">
        <f t="shared" si="6"/>
        <v>486</v>
      </c>
    </row>
    <row r="29" spans="1:26">
      <c r="A29" s="100" t="s">
        <v>32</v>
      </c>
      <c r="B29" s="108" t="str">
        <f>IFERROR(VLOOKUP(Tablo5[[#This Row],[ÜRÜN KODU]],YMKODLARI!$A$1:$K$363,2,0)," ")</f>
        <v>GENİŞ AĞIZ BİBERON UCU</v>
      </c>
      <c r="C29" s="99">
        <v>43885</v>
      </c>
      <c r="D29" s="100" t="s">
        <v>27</v>
      </c>
      <c r="E29" s="101">
        <v>0.33333333333333331</v>
      </c>
      <c r="F29" s="101">
        <v>0.75</v>
      </c>
      <c r="G29" s="100">
        <f>IFERROR(VLOOKUP(Tablo5[[#This Row],[ÜRÜN KODU]],YMKODLARI!$A$1:$K$363,3,0)," ")</f>
        <v>6</v>
      </c>
      <c r="H29" s="100">
        <f>IFERROR(VLOOKUP(Tablo5[[#This Row],[ÜRÜN KODU]],YMKODLARI!$A$1:$K$363,4,0)," ")</f>
        <v>45</v>
      </c>
      <c r="I29" s="109">
        <v>661</v>
      </c>
      <c r="J29" s="100" t="str">
        <f>IFERROR(VLOOKUP(Tablo5[[#This Row],[ÜRÜN KODU]],YMKODLARI!$A$1:$K$363,9,0)," ")</f>
        <v>Şeffaf</v>
      </c>
      <c r="K29" s="100" t="str">
        <f>IFERROR(VLOOKUP(Tablo5[[#This Row],[BOYA KODU]],Tablo14[#All],4,0)," ")</f>
        <v xml:space="preserve"> </v>
      </c>
      <c r="L29" s="100" t="str">
        <f>IFERROR(VLOOKUP(Tablo5[[#This Row],[BOYA KODU]],Tablo14[#All],6,0)," ")</f>
        <v xml:space="preserve"> </v>
      </c>
      <c r="M29" s="100" t="str">
        <f t="shared" si="0"/>
        <v xml:space="preserve"> </v>
      </c>
      <c r="N29" s="100" t="str">
        <f>IFERROR(VLOOKUP(Tablo5[[#This Row],[ÜRÜN KODU]],YMKODLARI!$A$1:$K$363,8,0)," ")</f>
        <v>HM 003</v>
      </c>
      <c r="O29" s="100" t="str">
        <f>IFERROR(VLOOKUP(Tablo5[[#This Row],[HAMMADDE KODU]],Tablo1[#All],3,0)," ")</f>
        <v>LSR 45</v>
      </c>
      <c r="P29" s="100" t="str">
        <f>IFERROR(VLOOKUP(Tablo5[[#This Row],[HAMMADDE KODU]],Tablo1[#All],4,0)," ")</f>
        <v>SETA</v>
      </c>
      <c r="Q29" s="100">
        <f>IFERROR(VLOOKUP(Tablo5[[#This Row],[ÜRÜN KODU]],YMKODLARI!$A$1:$K$363,5,0)," ")</f>
        <v>59.7</v>
      </c>
      <c r="R29" s="100">
        <f>IFERROR(VLOOKUP(Tablo5[[#This Row],[ÜRÜN KODU]],YMKODLARI!$A$1:$K$363,6,0)," ")</f>
        <v>53.6</v>
      </c>
      <c r="S29" s="100">
        <f>IFERROR(Tablo5[[#This Row],[YOLLUK HARİÇ BASKI GRAMI]]/Tablo5[[#This Row],[KALIP GÖZ ADEDİ]]," ")</f>
        <v>8.9333333333333336</v>
      </c>
      <c r="T29" s="100">
        <f t="shared" si="2"/>
        <v>6.1000000000000014</v>
      </c>
      <c r="U29" s="100">
        <v>6.7</v>
      </c>
      <c r="V29" s="100">
        <f t="shared" si="1"/>
        <v>42.129600000000003</v>
      </c>
      <c r="W29" s="101">
        <f t="shared" si="3"/>
        <v>24.416666666666668</v>
      </c>
      <c r="X29" s="102">
        <f t="shared" si="4"/>
        <v>10.000000000000028</v>
      </c>
      <c r="Y29" s="100">
        <f t="shared" si="5"/>
        <v>8.2624999999999993</v>
      </c>
      <c r="Z29" s="100">
        <f t="shared" si="6"/>
        <v>3966</v>
      </c>
    </row>
    <row r="30" spans="1:26">
      <c r="A30" s="100" t="s">
        <v>32</v>
      </c>
      <c r="B30" s="108" t="str">
        <f>IFERROR(VLOOKUP(Tablo5[[#This Row],[ÜRÜN KODU]],YMKODLARI!$A$1:$K$363,2,0)," ")</f>
        <v>GENİŞ AĞIZ BİBERON UCU</v>
      </c>
      <c r="C30" s="99">
        <v>43886</v>
      </c>
      <c r="D30" s="100" t="s">
        <v>27</v>
      </c>
      <c r="E30" s="101">
        <v>0.33333333333333331</v>
      </c>
      <c r="F30" s="101">
        <v>0.75</v>
      </c>
      <c r="G30" s="100">
        <f>IFERROR(VLOOKUP(Tablo5[[#This Row],[ÜRÜN KODU]],YMKODLARI!$A$1:$K$363,3,0)," ")</f>
        <v>6</v>
      </c>
      <c r="H30" s="100">
        <f>IFERROR(VLOOKUP(Tablo5[[#This Row],[ÜRÜN KODU]],YMKODLARI!$A$1:$K$363,4,0)," ")</f>
        <v>45</v>
      </c>
      <c r="I30" s="109">
        <v>583</v>
      </c>
      <c r="J30" s="100" t="str">
        <f>IFERROR(VLOOKUP(Tablo5[[#This Row],[ÜRÜN KODU]],YMKODLARI!$A$1:$K$363,9,0)," ")</f>
        <v>Şeffaf</v>
      </c>
      <c r="K30" s="100" t="str">
        <f>IFERROR(VLOOKUP(Tablo5[[#This Row],[BOYA KODU]],Tablo14[#All],4,0)," ")</f>
        <v xml:space="preserve"> </v>
      </c>
      <c r="L30" s="100" t="str">
        <f>IFERROR(VLOOKUP(Tablo5[[#This Row],[BOYA KODU]],Tablo14[#All],6,0)," ")</f>
        <v xml:space="preserve"> </v>
      </c>
      <c r="M30" s="100" t="str">
        <f t="shared" si="0"/>
        <v xml:space="preserve"> </v>
      </c>
      <c r="N30" s="100" t="str">
        <f>IFERROR(VLOOKUP(Tablo5[[#This Row],[ÜRÜN KODU]],YMKODLARI!$A$1:$K$363,8,0)," ")</f>
        <v>HM 003</v>
      </c>
      <c r="O30" s="100" t="str">
        <f>IFERROR(VLOOKUP(Tablo5[[#This Row],[HAMMADDE KODU]],Tablo1[#All],3,0)," ")</f>
        <v>LSR 45</v>
      </c>
      <c r="P30" s="100" t="str">
        <f>IFERROR(VLOOKUP(Tablo5[[#This Row],[HAMMADDE KODU]],Tablo1[#All],4,0)," ")</f>
        <v>SETA</v>
      </c>
      <c r="Q30" s="100">
        <f>IFERROR(VLOOKUP(Tablo5[[#This Row],[ÜRÜN KODU]],YMKODLARI!$A$1:$K$363,5,0)," ")</f>
        <v>59.7</v>
      </c>
      <c r="R30" s="100">
        <f>IFERROR(VLOOKUP(Tablo5[[#This Row],[ÜRÜN KODU]],YMKODLARI!$A$1:$K$363,6,0)," ")</f>
        <v>53.6</v>
      </c>
      <c r="S30" s="100">
        <f>IFERROR(Tablo5[[#This Row],[YOLLUK HARİÇ BASKI GRAMI]]/Tablo5[[#This Row],[KALIP GÖZ ADEDİ]]," ")</f>
        <v>8.9333333333333336</v>
      </c>
      <c r="T30" s="100">
        <f t="shared" si="2"/>
        <v>6.1000000000000014</v>
      </c>
      <c r="U30" s="100">
        <v>4.5999999999999996</v>
      </c>
      <c r="V30" s="100">
        <f t="shared" si="1"/>
        <v>35.848799999999997</v>
      </c>
      <c r="W30" s="101">
        <f t="shared" si="3"/>
        <v>24.416666666666668</v>
      </c>
      <c r="X30" s="102">
        <f t="shared" si="4"/>
        <v>10.000000000000028</v>
      </c>
      <c r="Y30" s="100">
        <f t="shared" si="5"/>
        <v>7.2874999999999996</v>
      </c>
      <c r="Z30" s="100">
        <f t="shared" si="6"/>
        <v>3498</v>
      </c>
    </row>
    <row r="31" spans="1:26">
      <c r="A31" s="100" t="s">
        <v>32</v>
      </c>
      <c r="B31" s="108" t="str">
        <f>IFERROR(VLOOKUP(Tablo5[[#This Row],[ÜRÜN KODU]],YMKODLARI!$A$1:$K$363,2,0)," ")</f>
        <v>GENİŞ AĞIZ BİBERON UCU</v>
      </c>
      <c r="C31" s="99">
        <v>43887</v>
      </c>
      <c r="D31" s="100" t="s">
        <v>27</v>
      </c>
      <c r="E31" s="101">
        <v>0.33333333333333331</v>
      </c>
      <c r="F31" s="101">
        <v>0.75</v>
      </c>
      <c r="G31" s="100">
        <f>IFERROR(VLOOKUP(Tablo5[[#This Row],[ÜRÜN KODU]],YMKODLARI!$A$1:$K$363,3,0)," ")</f>
        <v>6</v>
      </c>
      <c r="H31" s="100">
        <f>IFERROR(VLOOKUP(Tablo5[[#This Row],[ÜRÜN KODU]],YMKODLARI!$A$1:$K$363,4,0)," ")</f>
        <v>45</v>
      </c>
      <c r="I31" s="109">
        <v>628</v>
      </c>
      <c r="J31" s="100" t="str">
        <f>IFERROR(VLOOKUP(Tablo5[[#This Row],[ÜRÜN KODU]],YMKODLARI!$A$1:$K$363,9,0)," ")</f>
        <v>Şeffaf</v>
      </c>
      <c r="K31" s="100" t="str">
        <f>IFERROR(VLOOKUP(Tablo5[[#This Row],[BOYA KODU]],Tablo14[#All],4,0)," ")</f>
        <v xml:space="preserve"> </v>
      </c>
      <c r="L31" s="100" t="str">
        <f>IFERROR(VLOOKUP(Tablo5[[#This Row],[BOYA KODU]],Tablo14[#All],6,0)," ")</f>
        <v xml:space="preserve"> </v>
      </c>
      <c r="M31" s="100" t="str">
        <f t="shared" si="0"/>
        <v xml:space="preserve"> </v>
      </c>
      <c r="N31" s="100" t="str">
        <f>IFERROR(VLOOKUP(Tablo5[[#This Row],[ÜRÜN KODU]],YMKODLARI!$A$1:$K$363,8,0)," ")</f>
        <v>HM 003</v>
      </c>
      <c r="O31" s="100" t="str">
        <f>IFERROR(VLOOKUP(Tablo5[[#This Row],[HAMMADDE KODU]],Tablo1[#All],3,0)," ")</f>
        <v>LSR 45</v>
      </c>
      <c r="P31" s="100" t="str">
        <f>IFERROR(VLOOKUP(Tablo5[[#This Row],[HAMMADDE KODU]],Tablo1[#All],4,0)," ")</f>
        <v>SETA</v>
      </c>
      <c r="Q31" s="100">
        <f>IFERROR(VLOOKUP(Tablo5[[#This Row],[ÜRÜN KODU]],YMKODLARI!$A$1:$K$363,5,0)," ")</f>
        <v>59.7</v>
      </c>
      <c r="R31" s="100">
        <f>IFERROR(VLOOKUP(Tablo5[[#This Row],[ÜRÜN KODU]],YMKODLARI!$A$1:$K$363,6,0)," ")</f>
        <v>53.6</v>
      </c>
      <c r="S31" s="100">
        <f>IFERROR(Tablo5[[#This Row],[YOLLUK HARİÇ BASKI GRAMI]]/Tablo5[[#This Row],[KALIP GÖZ ADEDİ]]," ")</f>
        <v>8.9333333333333336</v>
      </c>
      <c r="T31" s="100">
        <f t="shared" si="2"/>
        <v>6.1000000000000014</v>
      </c>
      <c r="U31" s="100"/>
      <c r="V31" s="100">
        <f t="shared" si="1"/>
        <v>33.660800000000002</v>
      </c>
      <c r="W31" s="101">
        <f t="shared" si="3"/>
        <v>24.416666666666668</v>
      </c>
      <c r="X31" s="102">
        <f t="shared" si="4"/>
        <v>10.000000000000028</v>
      </c>
      <c r="Y31" s="100">
        <f t="shared" si="5"/>
        <v>7.85</v>
      </c>
      <c r="Z31" s="100">
        <f t="shared" si="6"/>
        <v>3768</v>
      </c>
    </row>
    <row r="32" spans="1:26">
      <c r="A32" s="100" t="s">
        <v>32</v>
      </c>
      <c r="B32" s="108" t="str">
        <f>IFERROR(VLOOKUP(Tablo5[[#This Row],[ÜRÜN KODU]],YMKODLARI!$A$1:$K$363,2,0)," ")</f>
        <v>GENİŞ AĞIZ BİBERON UCU</v>
      </c>
      <c r="C32" s="99">
        <v>43888</v>
      </c>
      <c r="D32" s="100" t="s">
        <v>27</v>
      </c>
      <c r="E32" s="101">
        <v>0.33333333333333331</v>
      </c>
      <c r="F32" s="101">
        <v>0.75</v>
      </c>
      <c r="G32" s="100">
        <f>IFERROR(VLOOKUP(Tablo5[[#This Row],[ÜRÜN KODU]],YMKODLARI!$A$1:$K$363,3,0)," ")</f>
        <v>6</v>
      </c>
      <c r="H32" s="100">
        <f>IFERROR(VLOOKUP(Tablo5[[#This Row],[ÜRÜN KODU]],YMKODLARI!$A$1:$K$363,4,0)," ")</f>
        <v>45</v>
      </c>
      <c r="I32" s="109">
        <v>545</v>
      </c>
      <c r="J32" s="100" t="str">
        <f>IFERROR(VLOOKUP(Tablo5[[#This Row],[ÜRÜN KODU]],YMKODLARI!$A$1:$K$363,9,0)," ")</f>
        <v>Şeffaf</v>
      </c>
      <c r="K32" s="100" t="str">
        <f>IFERROR(VLOOKUP(Tablo5[[#This Row],[BOYA KODU]],Tablo14[#All],4,0)," ")</f>
        <v xml:space="preserve"> </v>
      </c>
      <c r="L32" s="100" t="str">
        <f>IFERROR(VLOOKUP(Tablo5[[#This Row],[BOYA KODU]],Tablo14[#All],6,0)," ")</f>
        <v xml:space="preserve"> </v>
      </c>
      <c r="M32" s="100" t="str">
        <f t="shared" si="0"/>
        <v xml:space="preserve"> </v>
      </c>
      <c r="N32" s="100" t="str">
        <f>IFERROR(VLOOKUP(Tablo5[[#This Row],[ÜRÜN KODU]],YMKODLARI!$A$1:$K$363,8,0)," ")</f>
        <v>HM 003</v>
      </c>
      <c r="O32" s="100" t="str">
        <f>IFERROR(VLOOKUP(Tablo5[[#This Row],[HAMMADDE KODU]],Tablo1[#All],3,0)," ")</f>
        <v>LSR 45</v>
      </c>
      <c r="P32" s="100" t="str">
        <f>IFERROR(VLOOKUP(Tablo5[[#This Row],[HAMMADDE KODU]],Tablo1[#All],4,0)," ")</f>
        <v>SETA</v>
      </c>
      <c r="Q32" s="100">
        <f>IFERROR(VLOOKUP(Tablo5[[#This Row],[ÜRÜN KODU]],YMKODLARI!$A$1:$K$363,5,0)," ")</f>
        <v>59.7</v>
      </c>
      <c r="R32" s="100">
        <f>IFERROR(VLOOKUP(Tablo5[[#This Row],[ÜRÜN KODU]],YMKODLARI!$A$1:$K$363,6,0)," ")</f>
        <v>53.6</v>
      </c>
      <c r="S32" s="100">
        <f>IFERROR(Tablo5[[#This Row],[YOLLUK HARİÇ BASKI GRAMI]]/Tablo5[[#This Row],[KALIP GÖZ ADEDİ]]," ")</f>
        <v>8.9333333333333336</v>
      </c>
      <c r="T32" s="100">
        <f t="shared" si="2"/>
        <v>6.1000000000000014</v>
      </c>
      <c r="U32" s="100"/>
      <c r="V32" s="100">
        <f t="shared" si="1"/>
        <v>29.212</v>
      </c>
      <c r="W32" s="101">
        <f t="shared" si="3"/>
        <v>24.416666666666668</v>
      </c>
      <c r="X32" s="102">
        <f t="shared" si="4"/>
        <v>10.000000000000028</v>
      </c>
      <c r="Y32" s="100">
        <f t="shared" si="5"/>
        <v>6.8125</v>
      </c>
      <c r="Z32" s="100">
        <f t="shared" si="6"/>
        <v>3270</v>
      </c>
    </row>
    <row r="33" spans="1:26">
      <c r="A33" s="100" t="s">
        <v>28</v>
      </c>
      <c r="B33" s="108" t="str">
        <f>IFERROR(VLOOKUP(Tablo5[[#This Row],[ÜRÜN KODU]],YMKODLARI!$A$1:$K$363,2,0)," ")</f>
        <v>BİBERON KLASİK  UC 2 NO</v>
      </c>
      <c r="C33" s="99">
        <v>43893</v>
      </c>
      <c r="D33" s="100" t="s">
        <v>27</v>
      </c>
      <c r="E33" s="101">
        <v>0.60069444444444442</v>
      </c>
      <c r="F33" s="101">
        <v>0.75</v>
      </c>
      <c r="G33" s="100">
        <f>IFERROR(VLOOKUP(Tablo5[[#This Row],[ÜRÜN KODU]],YMKODLARI!$A$1:$K$363,3,0)," ")</f>
        <v>8</v>
      </c>
      <c r="H33" s="100">
        <f>IFERROR(VLOOKUP(Tablo5[[#This Row],[ÜRÜN KODU]],YMKODLARI!$A$1:$K$363,4,0)," ")</f>
        <v>41</v>
      </c>
      <c r="I33" s="100">
        <v>278</v>
      </c>
      <c r="J33" s="100" t="str">
        <f>IFERROR(VLOOKUP(Tablo5[[#This Row],[ÜRÜN KODU]],YMKODLARI!$A$1:$K$363,9,0)," ")</f>
        <v>Şeffaf</v>
      </c>
      <c r="K33" s="100" t="str">
        <f>IFERROR(VLOOKUP(Tablo5[[#This Row],[BOYA KODU]],Tablo14[#All],4,0)," ")</f>
        <v xml:space="preserve"> </v>
      </c>
      <c r="L33" s="100" t="str">
        <f>IFERROR(VLOOKUP(Tablo5[[#This Row],[BOYA KODU]],Tablo14[#All],6,0)," ")</f>
        <v xml:space="preserve"> </v>
      </c>
      <c r="M33" s="100" t="str">
        <f t="shared" si="0"/>
        <v xml:space="preserve"> </v>
      </c>
      <c r="N33" s="100" t="str">
        <f>IFERROR(VLOOKUP(Tablo5[[#This Row],[ÜRÜN KODU]],YMKODLARI!$A$1:$K$363,8,0)," ")</f>
        <v>HM 003</v>
      </c>
      <c r="O33" s="100" t="str">
        <f>IFERROR(VLOOKUP(Tablo5[[#This Row],[HAMMADDE KODU]],Tablo1[#All],3,0)," ")</f>
        <v>LSR 45</v>
      </c>
      <c r="P33" s="100" t="str">
        <f>IFERROR(VLOOKUP(Tablo5[[#This Row],[HAMMADDE KODU]],Tablo1[#All],4,0)," ")</f>
        <v>SETA</v>
      </c>
      <c r="Q33" s="100">
        <f>IFERROR(VLOOKUP(Tablo5[[#This Row],[ÜRÜN KODU]],YMKODLARI!$A$1:$K$363,5,0)," ")</f>
        <v>54.8</v>
      </c>
      <c r="R33" s="100">
        <f>IFERROR(VLOOKUP(Tablo5[[#This Row],[ÜRÜN KODU]],YMKODLARI!$A$1:$K$363,6,0)," ")</f>
        <v>48.1</v>
      </c>
      <c r="S33" s="100">
        <f>IFERROR(Tablo5[[#This Row],[YOLLUK HARİÇ BASKI GRAMI]]/Tablo5[[#This Row],[KALIP GÖZ ADEDİ]]," ")</f>
        <v>6.0125000000000002</v>
      </c>
      <c r="T33" s="100">
        <f t="shared" si="2"/>
        <v>6.6999999999999957</v>
      </c>
      <c r="U33" s="100">
        <v>8.6999999999999993</v>
      </c>
      <c r="V33" s="100">
        <f t="shared" si="1"/>
        <v>22.0718</v>
      </c>
      <c r="W33" s="101">
        <f t="shared" si="3"/>
        <v>24.149305555555557</v>
      </c>
      <c r="X33" s="102">
        <f t="shared" si="4"/>
        <v>3.5833333333333712</v>
      </c>
      <c r="Y33" s="100">
        <f t="shared" si="5"/>
        <v>3.1661111111111113</v>
      </c>
      <c r="Z33" s="100">
        <f t="shared" si="6"/>
        <v>2224</v>
      </c>
    </row>
    <row r="34" spans="1:26">
      <c r="A34" s="100" t="s">
        <v>28</v>
      </c>
      <c r="B34" s="108" t="str">
        <f>IFERROR(VLOOKUP(Tablo5[[#This Row],[ÜRÜN KODU]],YMKODLARI!$A$1:$K$363,2,0)," ")</f>
        <v>BİBERON KLASİK  UC 2 NO</v>
      </c>
      <c r="C34" s="99">
        <v>43894</v>
      </c>
      <c r="D34" s="100" t="s">
        <v>27</v>
      </c>
      <c r="E34" s="101">
        <v>0.33333333333333331</v>
      </c>
      <c r="F34" s="101">
        <v>0.75</v>
      </c>
      <c r="G34" s="100">
        <f>IFERROR(VLOOKUP(Tablo5[[#This Row],[ÜRÜN KODU]],YMKODLARI!$A$1:$K$363,3,0)," ")</f>
        <v>8</v>
      </c>
      <c r="H34" s="100">
        <f>IFERROR(VLOOKUP(Tablo5[[#This Row],[ÜRÜN KODU]],YMKODLARI!$A$1:$K$363,4,0)," ")</f>
        <v>41</v>
      </c>
      <c r="I34" s="100">
        <v>660</v>
      </c>
      <c r="J34" s="100" t="str">
        <f>IFERROR(VLOOKUP(Tablo5[[#This Row],[ÜRÜN KODU]],YMKODLARI!$A$1:$K$363,9,0)," ")</f>
        <v>Şeffaf</v>
      </c>
      <c r="K34" s="100" t="str">
        <f>IFERROR(VLOOKUP(Tablo5[[#This Row],[BOYA KODU]],Tablo14[#All],4,0)," ")</f>
        <v xml:space="preserve"> </v>
      </c>
      <c r="L34" s="100" t="str">
        <f>IFERROR(VLOOKUP(Tablo5[[#This Row],[BOYA KODU]],Tablo14[#All],6,0)," ")</f>
        <v xml:space="preserve"> </v>
      </c>
      <c r="M34" s="100" t="str">
        <f t="shared" si="0"/>
        <v xml:space="preserve"> </v>
      </c>
      <c r="N34" s="100" t="str">
        <f>IFERROR(VLOOKUP(Tablo5[[#This Row],[ÜRÜN KODU]],YMKODLARI!$A$1:$K$363,8,0)," ")</f>
        <v>HM 003</v>
      </c>
      <c r="O34" s="100" t="str">
        <f>IFERROR(VLOOKUP(Tablo5[[#This Row],[HAMMADDE KODU]],Tablo1[#All],3,0)," ")</f>
        <v>LSR 45</v>
      </c>
      <c r="P34" s="100" t="str">
        <f>IFERROR(VLOOKUP(Tablo5[[#This Row],[HAMMADDE KODU]],Tablo1[#All],4,0)," ")</f>
        <v>SETA</v>
      </c>
      <c r="Q34" s="100">
        <f>IFERROR(VLOOKUP(Tablo5[[#This Row],[ÜRÜN KODU]],YMKODLARI!$A$1:$K$363,5,0)," ")</f>
        <v>54.8</v>
      </c>
      <c r="R34" s="100">
        <f>IFERROR(VLOOKUP(Tablo5[[#This Row],[ÜRÜN KODU]],YMKODLARI!$A$1:$K$363,6,0)," ")</f>
        <v>48.1</v>
      </c>
      <c r="S34" s="100">
        <f>IFERROR(Tablo5[[#This Row],[YOLLUK HARİÇ BASKI GRAMI]]/Tablo5[[#This Row],[KALIP GÖZ ADEDİ]]," ")</f>
        <v>6.0125000000000002</v>
      </c>
      <c r="T34" s="100">
        <f t="shared" si="2"/>
        <v>6.6999999999999957</v>
      </c>
      <c r="U34" s="100">
        <v>8.68</v>
      </c>
      <c r="V34" s="100">
        <f t="shared" si="1"/>
        <v>40.426000000000002</v>
      </c>
      <c r="W34" s="101">
        <f t="shared" si="3"/>
        <v>24.416666666666668</v>
      </c>
      <c r="X34" s="102">
        <f t="shared" si="4"/>
        <v>10.000000000000028</v>
      </c>
      <c r="Y34" s="100">
        <f t="shared" si="5"/>
        <v>7.5166666666666666</v>
      </c>
      <c r="Z34" s="100">
        <f t="shared" si="6"/>
        <v>5280</v>
      </c>
    </row>
    <row r="35" spans="1:26">
      <c r="A35" s="100" t="s">
        <v>28</v>
      </c>
      <c r="B35" s="108" t="str">
        <f>IFERROR(VLOOKUP(Tablo5[[#This Row],[ÜRÜN KODU]],YMKODLARI!$A$1:$K$363,2,0)," ")</f>
        <v>BİBERON KLASİK  UC 2 NO</v>
      </c>
      <c r="C35" s="99">
        <v>43895</v>
      </c>
      <c r="D35" s="100" t="s">
        <v>27</v>
      </c>
      <c r="E35" s="101">
        <v>0.33333333333333331</v>
      </c>
      <c r="F35" s="101">
        <v>0.75</v>
      </c>
      <c r="G35" s="100">
        <f>IFERROR(VLOOKUP(Tablo5[[#This Row],[ÜRÜN KODU]],YMKODLARI!$A$1:$K$363,3,0)," ")</f>
        <v>8</v>
      </c>
      <c r="H35" s="100">
        <f>IFERROR(VLOOKUP(Tablo5[[#This Row],[ÜRÜN KODU]],YMKODLARI!$A$1:$K$363,4,0)," ")</f>
        <v>41</v>
      </c>
      <c r="I35" s="100">
        <v>731</v>
      </c>
      <c r="J35" s="100" t="str">
        <f>IFERROR(VLOOKUP(Tablo5[[#This Row],[ÜRÜN KODU]],YMKODLARI!$A$1:$K$363,9,0)," ")</f>
        <v>Şeffaf</v>
      </c>
      <c r="K35" s="100" t="str">
        <f>IFERROR(VLOOKUP(Tablo5[[#This Row],[BOYA KODU]],Tablo14[#All],4,0)," ")</f>
        <v xml:space="preserve"> </v>
      </c>
      <c r="L35" s="100" t="str">
        <f>IFERROR(VLOOKUP(Tablo5[[#This Row],[BOYA KODU]],Tablo14[#All],6,0)," ")</f>
        <v xml:space="preserve"> </v>
      </c>
      <c r="M35" s="100" t="str">
        <f t="shared" si="0"/>
        <v xml:space="preserve"> </v>
      </c>
      <c r="N35" s="100" t="str">
        <f>IFERROR(VLOOKUP(Tablo5[[#This Row],[ÜRÜN KODU]],YMKODLARI!$A$1:$K$363,8,0)," ")</f>
        <v>HM 003</v>
      </c>
      <c r="O35" s="100" t="str">
        <f>IFERROR(VLOOKUP(Tablo5[[#This Row],[HAMMADDE KODU]],Tablo1[#All],3,0)," ")</f>
        <v>LSR 45</v>
      </c>
      <c r="P35" s="100" t="str">
        <f>IFERROR(VLOOKUP(Tablo5[[#This Row],[HAMMADDE KODU]],Tablo1[#All],4,0)," ")</f>
        <v>SETA</v>
      </c>
      <c r="Q35" s="100">
        <f>IFERROR(VLOOKUP(Tablo5[[#This Row],[ÜRÜN KODU]],YMKODLARI!$A$1:$K$363,5,0)," ")</f>
        <v>54.8</v>
      </c>
      <c r="R35" s="100">
        <f>IFERROR(VLOOKUP(Tablo5[[#This Row],[ÜRÜN KODU]],YMKODLARI!$A$1:$K$363,6,0)," ")</f>
        <v>48.1</v>
      </c>
      <c r="S35" s="100">
        <f>IFERROR(Tablo5[[#This Row],[YOLLUK HARİÇ BASKI GRAMI]]/Tablo5[[#This Row],[KALIP GÖZ ADEDİ]]," ")</f>
        <v>6.0125000000000002</v>
      </c>
      <c r="T35" s="100">
        <f t="shared" si="2"/>
        <v>6.6999999999999957</v>
      </c>
      <c r="U35" s="100">
        <v>5.5</v>
      </c>
      <c r="V35" s="100">
        <f t="shared" si="1"/>
        <v>40.661099999999998</v>
      </c>
      <c r="W35" s="101">
        <f t="shared" si="3"/>
        <v>24.416666666666668</v>
      </c>
      <c r="X35" s="102">
        <f t="shared" si="4"/>
        <v>10.000000000000028</v>
      </c>
      <c r="Y35" s="100">
        <f t="shared" si="5"/>
        <v>8.325277777777778</v>
      </c>
      <c r="Z35" s="100">
        <f t="shared" si="6"/>
        <v>5848</v>
      </c>
    </row>
    <row r="36" spans="1:26">
      <c r="A36" s="100" t="s">
        <v>28</v>
      </c>
      <c r="B36" s="108" t="str">
        <f>IFERROR(VLOOKUP(Tablo5[[#This Row],[ÜRÜN KODU]],YMKODLARI!$A$1:$K$363,2,0)," ")</f>
        <v>BİBERON KLASİK  UC 2 NO</v>
      </c>
      <c r="C36" s="99">
        <v>43896</v>
      </c>
      <c r="D36" s="100" t="s">
        <v>27</v>
      </c>
      <c r="E36" s="101">
        <v>0.33333333333333331</v>
      </c>
      <c r="F36" s="101">
        <v>0.72916666666666663</v>
      </c>
      <c r="G36" s="100">
        <f>IFERROR(VLOOKUP(Tablo5[[#This Row],[ÜRÜN KODU]],YMKODLARI!$A$1:$K$363,3,0)," ")</f>
        <v>8</v>
      </c>
      <c r="H36" s="100">
        <f>IFERROR(VLOOKUP(Tablo5[[#This Row],[ÜRÜN KODU]],YMKODLARI!$A$1:$K$363,4,0)," ")</f>
        <v>41</v>
      </c>
      <c r="I36" s="100">
        <v>737</v>
      </c>
      <c r="J36" s="100" t="str">
        <f>IFERROR(VLOOKUP(Tablo5[[#This Row],[ÜRÜN KODU]],YMKODLARI!$A$1:$K$363,9,0)," ")</f>
        <v>Şeffaf</v>
      </c>
      <c r="K36" s="100" t="str">
        <f>IFERROR(VLOOKUP(Tablo5[[#This Row],[BOYA KODU]],Tablo14[#All],4,0)," ")</f>
        <v xml:space="preserve"> </v>
      </c>
      <c r="L36" s="100" t="str">
        <f>IFERROR(VLOOKUP(Tablo5[[#This Row],[BOYA KODU]],Tablo14[#All],6,0)," ")</f>
        <v xml:space="preserve"> </v>
      </c>
      <c r="M36" s="100" t="str">
        <f t="shared" si="0"/>
        <v xml:space="preserve"> </v>
      </c>
      <c r="N36" s="100" t="str">
        <f>IFERROR(VLOOKUP(Tablo5[[#This Row],[ÜRÜN KODU]],YMKODLARI!$A$1:$K$363,8,0)," ")</f>
        <v>HM 003</v>
      </c>
      <c r="O36" s="100" t="str">
        <f>IFERROR(VLOOKUP(Tablo5[[#This Row],[HAMMADDE KODU]],Tablo1[#All],3,0)," ")</f>
        <v>LSR 45</v>
      </c>
      <c r="P36" s="100" t="str">
        <f>IFERROR(VLOOKUP(Tablo5[[#This Row],[HAMMADDE KODU]],Tablo1[#All],4,0)," ")</f>
        <v>SETA</v>
      </c>
      <c r="Q36" s="100">
        <f>IFERROR(VLOOKUP(Tablo5[[#This Row],[ÜRÜN KODU]],YMKODLARI!$A$1:$K$363,5,0)," ")</f>
        <v>54.8</v>
      </c>
      <c r="R36" s="100">
        <f>IFERROR(VLOOKUP(Tablo5[[#This Row],[ÜRÜN KODU]],YMKODLARI!$A$1:$K$363,6,0)," ")</f>
        <v>48.1</v>
      </c>
      <c r="S36" s="100">
        <f>IFERROR(Tablo5[[#This Row],[YOLLUK HARİÇ BASKI GRAMI]]/Tablo5[[#This Row],[KALIP GÖZ ADEDİ]]," ")</f>
        <v>6.0125000000000002</v>
      </c>
      <c r="T36" s="100">
        <f t="shared" si="2"/>
        <v>6.6999999999999957</v>
      </c>
      <c r="U36" s="100">
        <v>6</v>
      </c>
      <c r="V36" s="100">
        <f t="shared" si="1"/>
        <v>41.449700000000007</v>
      </c>
      <c r="W36" s="101">
        <f t="shared" si="3"/>
        <v>24.395833333333332</v>
      </c>
      <c r="X36" s="102">
        <f t="shared" si="4"/>
        <v>9.4999999999999716</v>
      </c>
      <c r="Y36" s="100">
        <f t="shared" si="5"/>
        <v>8.3936111111111114</v>
      </c>
      <c r="Z36" s="100">
        <f t="shared" si="6"/>
        <v>5896</v>
      </c>
    </row>
    <row r="37" spans="1:26">
      <c r="A37" s="100" t="s">
        <v>28</v>
      </c>
      <c r="B37" s="108" t="str">
        <f>IFERROR(VLOOKUP(Tablo5[[#This Row],[ÜRÜN KODU]],YMKODLARI!$A$1:$K$363,2,0)," ")</f>
        <v>BİBERON KLASİK  UC 2 NO</v>
      </c>
      <c r="C37" s="99">
        <v>43899</v>
      </c>
      <c r="D37" s="100" t="s">
        <v>27</v>
      </c>
      <c r="E37" s="101">
        <v>0.33333333333333331</v>
      </c>
      <c r="F37" s="101">
        <v>0.83333333333333337</v>
      </c>
      <c r="G37" s="100">
        <f>IFERROR(VLOOKUP(Tablo5[[#This Row],[ÜRÜN KODU]],YMKODLARI!$A$1:$K$363,3,0)," ")</f>
        <v>8</v>
      </c>
      <c r="H37" s="100">
        <f>IFERROR(VLOOKUP(Tablo5[[#This Row],[ÜRÜN KODU]],YMKODLARI!$A$1:$K$363,4,0)," ")</f>
        <v>41</v>
      </c>
      <c r="I37" s="100">
        <v>688</v>
      </c>
      <c r="J37" s="100" t="str">
        <f>IFERROR(VLOOKUP(Tablo5[[#This Row],[ÜRÜN KODU]],YMKODLARI!$A$1:$K$363,9,0)," ")</f>
        <v>Şeffaf</v>
      </c>
      <c r="K37" s="100" t="str">
        <f>IFERROR(VLOOKUP(Tablo5[[#This Row],[BOYA KODU]],Tablo14[#All],4,0)," ")</f>
        <v xml:space="preserve"> </v>
      </c>
      <c r="L37" s="100" t="str">
        <f>IFERROR(VLOOKUP(Tablo5[[#This Row],[BOYA KODU]],Tablo14[#All],6,0)," ")</f>
        <v xml:space="preserve"> </v>
      </c>
      <c r="M37" s="100" t="str">
        <f t="shared" si="0"/>
        <v xml:space="preserve"> </v>
      </c>
      <c r="N37" s="100" t="str">
        <f>IFERROR(VLOOKUP(Tablo5[[#This Row],[ÜRÜN KODU]],YMKODLARI!$A$1:$K$363,8,0)," ")</f>
        <v>HM 003</v>
      </c>
      <c r="O37" s="100" t="str">
        <f>IFERROR(VLOOKUP(Tablo5[[#This Row],[HAMMADDE KODU]],Tablo1[#All],3,0)," ")</f>
        <v>LSR 45</v>
      </c>
      <c r="P37" s="100" t="str">
        <f>IFERROR(VLOOKUP(Tablo5[[#This Row],[HAMMADDE KODU]],Tablo1[#All],4,0)," ")</f>
        <v>SETA</v>
      </c>
      <c r="Q37" s="100">
        <f>IFERROR(VLOOKUP(Tablo5[[#This Row],[ÜRÜN KODU]],YMKODLARI!$A$1:$K$363,5,0)," ")</f>
        <v>54.8</v>
      </c>
      <c r="R37" s="100">
        <f>IFERROR(VLOOKUP(Tablo5[[#This Row],[ÜRÜN KODU]],YMKODLARI!$A$1:$K$363,6,0)," ")</f>
        <v>48.1</v>
      </c>
      <c r="S37" s="100">
        <f>IFERROR(Tablo5[[#This Row],[YOLLUK HARİÇ BASKI GRAMI]]/Tablo5[[#This Row],[KALIP GÖZ ADEDİ]]," ")</f>
        <v>6.0125000000000002</v>
      </c>
      <c r="T37" s="100">
        <f t="shared" si="2"/>
        <v>6.6999999999999957</v>
      </c>
      <c r="U37" s="100">
        <v>8.5</v>
      </c>
      <c r="V37" s="100">
        <f t="shared" si="1"/>
        <v>41.592800000000004</v>
      </c>
      <c r="W37" s="101">
        <f t="shared" si="3"/>
        <v>24.5</v>
      </c>
      <c r="X37" s="102">
        <f t="shared" si="4"/>
        <v>12</v>
      </c>
      <c r="Y37" s="100">
        <f t="shared" si="5"/>
        <v>7.8355555555555556</v>
      </c>
      <c r="Z37" s="100">
        <f t="shared" si="6"/>
        <v>5504</v>
      </c>
    </row>
    <row r="38" spans="1:26">
      <c r="A38" s="100" t="s">
        <v>28</v>
      </c>
      <c r="B38" s="108" t="str">
        <f>IFERROR(VLOOKUP(Tablo5[[#This Row],[ÜRÜN KODU]],YMKODLARI!$A$1:$K$363,2,0)," ")</f>
        <v>BİBERON KLASİK  UC 2 NO</v>
      </c>
      <c r="C38" s="99">
        <v>43899</v>
      </c>
      <c r="D38" s="100" t="s">
        <v>33</v>
      </c>
      <c r="E38" s="101">
        <v>0.83333333333333337</v>
      </c>
      <c r="F38" s="101">
        <v>0.33333333333333331</v>
      </c>
      <c r="G38" s="100">
        <f>IFERROR(VLOOKUP(Tablo5[[#This Row],[ÜRÜN KODU]],YMKODLARI!$A$1:$K$363,3,0)," ")</f>
        <v>8</v>
      </c>
      <c r="H38" s="100">
        <f>IFERROR(VLOOKUP(Tablo5[[#This Row],[ÜRÜN KODU]],YMKODLARI!$A$1:$K$363,4,0)," ")</f>
        <v>41</v>
      </c>
      <c r="I38" s="100">
        <v>550</v>
      </c>
      <c r="J38" s="100" t="str">
        <f>IFERROR(VLOOKUP(Tablo5[[#This Row],[ÜRÜN KODU]],YMKODLARI!$A$1:$K$363,9,0)," ")</f>
        <v>Şeffaf</v>
      </c>
      <c r="K38" s="100" t="str">
        <f>IFERROR(VLOOKUP(Tablo5[[#This Row],[BOYA KODU]],Tablo14[#All],4,0)," ")</f>
        <v xml:space="preserve"> </v>
      </c>
      <c r="L38" s="100" t="str">
        <f>IFERROR(VLOOKUP(Tablo5[[#This Row],[BOYA KODU]],Tablo14[#All],6,0)," ")</f>
        <v xml:space="preserve"> </v>
      </c>
      <c r="M38" s="100" t="str">
        <f t="shared" si="0"/>
        <v xml:space="preserve"> </v>
      </c>
      <c r="N38" s="100" t="str">
        <f>IFERROR(VLOOKUP(Tablo5[[#This Row],[ÜRÜN KODU]],YMKODLARI!$A$1:$K$363,8,0)," ")</f>
        <v>HM 003</v>
      </c>
      <c r="O38" s="100" t="str">
        <f>IFERROR(VLOOKUP(Tablo5[[#This Row],[HAMMADDE KODU]],Tablo1[#All],3,0)," ")</f>
        <v>LSR 45</v>
      </c>
      <c r="P38" s="100" t="str">
        <f>IFERROR(VLOOKUP(Tablo5[[#This Row],[HAMMADDE KODU]],Tablo1[#All],4,0)," ")</f>
        <v>SETA</v>
      </c>
      <c r="Q38" s="100">
        <f>IFERROR(VLOOKUP(Tablo5[[#This Row],[ÜRÜN KODU]],YMKODLARI!$A$1:$K$363,5,0)," ")</f>
        <v>54.8</v>
      </c>
      <c r="R38" s="100">
        <f>IFERROR(VLOOKUP(Tablo5[[#This Row],[ÜRÜN KODU]],YMKODLARI!$A$1:$K$363,6,0)," ")</f>
        <v>48.1</v>
      </c>
      <c r="S38" s="100">
        <f>IFERROR(Tablo5[[#This Row],[YOLLUK HARİÇ BASKI GRAMI]]/Tablo5[[#This Row],[KALIP GÖZ ADEDİ]]," ")</f>
        <v>6.0125000000000002</v>
      </c>
      <c r="T38" s="100">
        <f t="shared" si="2"/>
        <v>6.6999999999999957</v>
      </c>
      <c r="U38" s="100">
        <v>3.9</v>
      </c>
      <c r="V38" s="100">
        <f t="shared" si="1"/>
        <v>30.354999999999997</v>
      </c>
      <c r="W38" s="101">
        <f t="shared" si="3"/>
        <v>23.5</v>
      </c>
      <c r="X38" s="102">
        <f t="shared" si="4"/>
        <v>12</v>
      </c>
      <c r="Y38" s="100">
        <f t="shared" si="5"/>
        <v>6.2638888888888893</v>
      </c>
      <c r="Z38" s="100">
        <f t="shared" si="6"/>
        <v>4400</v>
      </c>
    </row>
    <row r="39" spans="1:26">
      <c r="A39" s="100" t="s">
        <v>28</v>
      </c>
      <c r="B39" s="108" t="str">
        <f>IFERROR(VLOOKUP(Tablo5[[#This Row],[ÜRÜN KODU]],YMKODLARI!$A$1:$K$363,2,0)," ")</f>
        <v>BİBERON KLASİK  UC 2 NO</v>
      </c>
      <c r="C39" s="99">
        <v>43900</v>
      </c>
      <c r="D39" s="100" t="s">
        <v>27</v>
      </c>
      <c r="E39" s="101">
        <v>0.33333333333333331</v>
      </c>
      <c r="F39" s="101">
        <v>0.83333333333333337</v>
      </c>
      <c r="G39" s="100">
        <f>IFERROR(VLOOKUP(Tablo5[[#This Row],[ÜRÜN KODU]],YMKODLARI!$A$1:$K$363,3,0)," ")</f>
        <v>8</v>
      </c>
      <c r="H39" s="100">
        <f>IFERROR(VLOOKUP(Tablo5[[#This Row],[ÜRÜN KODU]],YMKODLARI!$A$1:$K$363,4,0)," ")</f>
        <v>41</v>
      </c>
      <c r="I39" s="100">
        <v>664</v>
      </c>
      <c r="J39" s="100" t="str">
        <f>IFERROR(VLOOKUP(Tablo5[[#This Row],[ÜRÜN KODU]],YMKODLARI!$A$1:$K$363,9,0)," ")</f>
        <v>Şeffaf</v>
      </c>
      <c r="K39" s="100" t="str">
        <f>IFERROR(VLOOKUP(Tablo5[[#This Row],[BOYA KODU]],Tablo14[#All],4,0)," ")</f>
        <v xml:space="preserve"> </v>
      </c>
      <c r="L39" s="100" t="str">
        <f>IFERROR(VLOOKUP(Tablo5[[#This Row],[BOYA KODU]],Tablo14[#All],6,0)," ")</f>
        <v xml:space="preserve"> </v>
      </c>
      <c r="M39" s="100" t="str">
        <f t="shared" si="0"/>
        <v xml:space="preserve"> </v>
      </c>
      <c r="N39" s="100" t="str">
        <f>IFERROR(VLOOKUP(Tablo5[[#This Row],[ÜRÜN KODU]],YMKODLARI!$A$1:$K$363,8,0)," ")</f>
        <v>HM 003</v>
      </c>
      <c r="O39" s="100" t="str">
        <f>IFERROR(VLOOKUP(Tablo5[[#This Row],[HAMMADDE KODU]],Tablo1[#All],3,0)," ")</f>
        <v>LSR 45</v>
      </c>
      <c r="P39" s="100" t="str">
        <f>IFERROR(VLOOKUP(Tablo5[[#This Row],[HAMMADDE KODU]],Tablo1[#All],4,0)," ")</f>
        <v>SETA</v>
      </c>
      <c r="Q39" s="100">
        <f>IFERROR(VLOOKUP(Tablo5[[#This Row],[ÜRÜN KODU]],YMKODLARI!$A$1:$K$363,5,0)," ")</f>
        <v>54.8</v>
      </c>
      <c r="R39" s="100">
        <f>IFERROR(VLOOKUP(Tablo5[[#This Row],[ÜRÜN KODU]],YMKODLARI!$A$1:$K$363,6,0)," ")</f>
        <v>48.1</v>
      </c>
      <c r="S39" s="100">
        <f>IFERROR(Tablo5[[#This Row],[YOLLUK HARİÇ BASKI GRAMI]]/Tablo5[[#This Row],[KALIP GÖZ ADEDİ]]," ")</f>
        <v>6.0125000000000002</v>
      </c>
      <c r="T39" s="100">
        <f t="shared" si="2"/>
        <v>6.6999999999999957</v>
      </c>
      <c r="U39" s="100">
        <v>4.5</v>
      </c>
      <c r="V39" s="100">
        <f t="shared" si="1"/>
        <v>36.438400000000001</v>
      </c>
      <c r="W39" s="101">
        <f t="shared" si="3"/>
        <v>24.5</v>
      </c>
      <c r="X39" s="102">
        <f t="shared" si="4"/>
        <v>12</v>
      </c>
      <c r="Y39" s="100">
        <f t="shared" si="5"/>
        <v>7.5622222222222222</v>
      </c>
      <c r="Z39" s="100">
        <f t="shared" si="6"/>
        <v>5312</v>
      </c>
    </row>
    <row r="40" spans="1:26">
      <c r="A40" s="100" t="s">
        <v>28</v>
      </c>
      <c r="B40" s="108" t="str">
        <f>IFERROR(VLOOKUP(Tablo5[[#This Row],[ÜRÜN KODU]],YMKODLARI!$A$1:$K$363,2,0)," ")</f>
        <v>BİBERON KLASİK  UC 2 NO</v>
      </c>
      <c r="C40" s="99">
        <v>43900</v>
      </c>
      <c r="D40" s="100" t="s">
        <v>33</v>
      </c>
      <c r="E40" s="101">
        <v>0.83333333333333337</v>
      </c>
      <c r="F40" s="101">
        <v>0.33333333333333331</v>
      </c>
      <c r="G40" s="100">
        <f>IFERROR(VLOOKUP(Tablo5[[#This Row],[ÜRÜN KODU]],YMKODLARI!$A$1:$K$363,3,0)," ")</f>
        <v>8</v>
      </c>
      <c r="H40" s="100">
        <f>IFERROR(VLOOKUP(Tablo5[[#This Row],[ÜRÜN KODU]],YMKODLARI!$A$1:$K$363,4,0)," ")</f>
        <v>41</v>
      </c>
      <c r="I40" s="100">
        <v>648</v>
      </c>
      <c r="J40" s="100" t="str">
        <f>IFERROR(VLOOKUP(Tablo5[[#This Row],[ÜRÜN KODU]],YMKODLARI!$A$1:$K$363,9,0)," ")</f>
        <v>Şeffaf</v>
      </c>
      <c r="K40" s="100" t="str">
        <f>IFERROR(VLOOKUP(Tablo5[[#This Row],[BOYA KODU]],Tablo14[#All],4,0)," ")</f>
        <v xml:space="preserve"> </v>
      </c>
      <c r="L40" s="100" t="str">
        <f>IFERROR(VLOOKUP(Tablo5[[#This Row],[BOYA KODU]],Tablo14[#All],6,0)," ")</f>
        <v xml:space="preserve"> </v>
      </c>
      <c r="M40" s="100" t="str">
        <f t="shared" si="0"/>
        <v xml:space="preserve"> </v>
      </c>
      <c r="N40" s="100" t="str">
        <f>IFERROR(VLOOKUP(Tablo5[[#This Row],[ÜRÜN KODU]],YMKODLARI!$A$1:$K$363,8,0)," ")</f>
        <v>HM 003</v>
      </c>
      <c r="O40" s="100" t="str">
        <f>IFERROR(VLOOKUP(Tablo5[[#This Row],[HAMMADDE KODU]],Tablo1[#All],3,0)," ")</f>
        <v>LSR 45</v>
      </c>
      <c r="P40" s="100" t="str">
        <f>IFERROR(VLOOKUP(Tablo5[[#This Row],[HAMMADDE KODU]],Tablo1[#All],4,0)," ")</f>
        <v>SETA</v>
      </c>
      <c r="Q40" s="100">
        <f>IFERROR(VLOOKUP(Tablo5[[#This Row],[ÜRÜN KODU]],YMKODLARI!$A$1:$K$363,5,0)," ")</f>
        <v>54.8</v>
      </c>
      <c r="R40" s="100">
        <f>IFERROR(VLOOKUP(Tablo5[[#This Row],[ÜRÜN KODU]],YMKODLARI!$A$1:$K$363,6,0)," ")</f>
        <v>48.1</v>
      </c>
      <c r="S40" s="100">
        <f>IFERROR(Tablo5[[#This Row],[YOLLUK HARİÇ BASKI GRAMI]]/Tablo5[[#This Row],[KALIP GÖZ ADEDİ]]," ")</f>
        <v>6.0125000000000002</v>
      </c>
      <c r="T40" s="100">
        <f t="shared" si="2"/>
        <v>6.6999999999999957</v>
      </c>
      <c r="U40" s="100">
        <v>4.5</v>
      </c>
      <c r="V40" s="100">
        <f t="shared" si="1"/>
        <v>35.668800000000005</v>
      </c>
      <c r="W40" s="101">
        <f t="shared" si="3"/>
        <v>23.5</v>
      </c>
      <c r="X40" s="102">
        <f t="shared" si="4"/>
        <v>12</v>
      </c>
      <c r="Y40" s="100">
        <f t="shared" si="5"/>
        <v>7.38</v>
      </c>
      <c r="Z40" s="100">
        <f t="shared" si="6"/>
        <v>5184</v>
      </c>
    </row>
    <row r="41" spans="1:26">
      <c r="A41" s="100" t="s">
        <v>28</v>
      </c>
      <c r="B41" s="108" t="str">
        <f>IFERROR(VLOOKUP(Tablo5[[#This Row],[ÜRÜN KODU]],YMKODLARI!$A$1:$K$363,2,0)," ")</f>
        <v>BİBERON KLASİK  UC 2 NO</v>
      </c>
      <c r="C41" s="99">
        <v>43901</v>
      </c>
      <c r="D41" s="100" t="s">
        <v>27</v>
      </c>
      <c r="E41" s="101">
        <v>0.33333333333333331</v>
      </c>
      <c r="F41" s="101">
        <v>0.83333333333333337</v>
      </c>
      <c r="G41" s="100">
        <f>IFERROR(VLOOKUP(Tablo5[[#This Row],[ÜRÜN KODU]],YMKODLARI!$A$1:$K$363,3,0)," ")</f>
        <v>8</v>
      </c>
      <c r="H41" s="100">
        <f>IFERROR(VLOOKUP(Tablo5[[#This Row],[ÜRÜN KODU]],YMKODLARI!$A$1:$K$363,4,0)," ")</f>
        <v>41</v>
      </c>
      <c r="I41" s="100">
        <v>657</v>
      </c>
      <c r="J41" s="100" t="str">
        <f>IFERROR(VLOOKUP(Tablo5[[#This Row],[ÜRÜN KODU]],YMKODLARI!$A$1:$K$363,9,0)," ")</f>
        <v>Şeffaf</v>
      </c>
      <c r="K41" s="100" t="str">
        <f>IFERROR(VLOOKUP(Tablo5[[#This Row],[BOYA KODU]],Tablo14[#All],4,0)," ")</f>
        <v xml:space="preserve"> </v>
      </c>
      <c r="L41" s="100" t="str">
        <f>IFERROR(VLOOKUP(Tablo5[[#This Row],[BOYA KODU]],Tablo14[#All],6,0)," ")</f>
        <v xml:space="preserve"> </v>
      </c>
      <c r="M41" s="100" t="str">
        <f t="shared" si="0"/>
        <v xml:space="preserve"> </v>
      </c>
      <c r="N41" s="100" t="str">
        <f>IFERROR(VLOOKUP(Tablo5[[#This Row],[ÜRÜN KODU]],YMKODLARI!$A$1:$K$363,8,0)," ")</f>
        <v>HM 003</v>
      </c>
      <c r="O41" s="100" t="str">
        <f>IFERROR(VLOOKUP(Tablo5[[#This Row],[HAMMADDE KODU]],Tablo1[#All],3,0)," ")</f>
        <v>LSR 45</v>
      </c>
      <c r="P41" s="100" t="str">
        <f>IFERROR(VLOOKUP(Tablo5[[#This Row],[HAMMADDE KODU]],Tablo1[#All],4,0)," ")</f>
        <v>SETA</v>
      </c>
      <c r="Q41" s="100">
        <f>IFERROR(VLOOKUP(Tablo5[[#This Row],[ÜRÜN KODU]],YMKODLARI!$A$1:$K$363,5,0)," ")</f>
        <v>54.8</v>
      </c>
      <c r="R41" s="100">
        <f>IFERROR(VLOOKUP(Tablo5[[#This Row],[ÜRÜN KODU]],YMKODLARI!$A$1:$K$363,6,0)," ")</f>
        <v>48.1</v>
      </c>
      <c r="S41" s="100">
        <f>IFERROR(Tablo5[[#This Row],[YOLLUK HARİÇ BASKI GRAMI]]/Tablo5[[#This Row],[KALIP GÖZ ADEDİ]]," ")</f>
        <v>6.0125000000000002</v>
      </c>
      <c r="T41" s="100">
        <f t="shared" si="2"/>
        <v>6.6999999999999957</v>
      </c>
      <c r="U41" s="100">
        <v>4.7</v>
      </c>
      <c r="V41" s="100">
        <f t="shared" si="1"/>
        <v>36.301700000000004</v>
      </c>
      <c r="W41" s="101">
        <f t="shared" si="3"/>
        <v>24.5</v>
      </c>
      <c r="X41" s="102">
        <f t="shared" si="4"/>
        <v>12</v>
      </c>
      <c r="Y41" s="100">
        <f t="shared" si="5"/>
        <v>7.4824999999999999</v>
      </c>
      <c r="Z41" s="100">
        <f t="shared" si="6"/>
        <v>5256</v>
      </c>
    </row>
    <row r="42" spans="1:26">
      <c r="A42" s="100" t="s">
        <v>28</v>
      </c>
      <c r="B42" s="108" t="str">
        <f>IFERROR(VLOOKUP(Tablo5[[#This Row],[ÜRÜN KODU]],YMKODLARI!$A$1:$K$363,2,0)," ")</f>
        <v>BİBERON KLASİK  UC 2 NO</v>
      </c>
      <c r="C42" s="99">
        <v>43901</v>
      </c>
      <c r="D42" s="100" t="s">
        <v>33</v>
      </c>
      <c r="E42" s="101">
        <v>0.83333333333333337</v>
      </c>
      <c r="F42" s="101">
        <v>0.33333333333333331</v>
      </c>
      <c r="G42" s="100">
        <f>IFERROR(VLOOKUP(Tablo5[[#This Row],[ÜRÜN KODU]],YMKODLARI!$A$1:$K$363,3,0)," ")</f>
        <v>8</v>
      </c>
      <c r="H42" s="100">
        <f>IFERROR(VLOOKUP(Tablo5[[#This Row],[ÜRÜN KODU]],YMKODLARI!$A$1:$K$363,4,0)," ")</f>
        <v>41</v>
      </c>
      <c r="I42" s="100">
        <v>605</v>
      </c>
      <c r="J42" s="100" t="str">
        <f>IFERROR(VLOOKUP(Tablo5[[#This Row],[ÜRÜN KODU]],YMKODLARI!$A$1:$K$363,9,0)," ")</f>
        <v>Şeffaf</v>
      </c>
      <c r="K42" s="100" t="str">
        <f>IFERROR(VLOOKUP(Tablo5[[#This Row],[BOYA KODU]],Tablo14[#All],4,0)," ")</f>
        <v xml:space="preserve"> </v>
      </c>
      <c r="L42" s="100" t="str">
        <f>IFERROR(VLOOKUP(Tablo5[[#This Row],[BOYA KODU]],Tablo14[#All],6,0)," ")</f>
        <v xml:space="preserve"> </v>
      </c>
      <c r="M42" s="100" t="str">
        <f t="shared" si="0"/>
        <v xml:space="preserve"> </v>
      </c>
      <c r="N42" s="100" t="str">
        <f>IFERROR(VLOOKUP(Tablo5[[#This Row],[ÜRÜN KODU]],YMKODLARI!$A$1:$K$363,8,0)," ")</f>
        <v>HM 003</v>
      </c>
      <c r="O42" s="100" t="str">
        <f>IFERROR(VLOOKUP(Tablo5[[#This Row],[HAMMADDE KODU]],Tablo1[#All],3,0)," ")</f>
        <v>LSR 45</v>
      </c>
      <c r="P42" s="100" t="str">
        <f>IFERROR(VLOOKUP(Tablo5[[#This Row],[HAMMADDE KODU]],Tablo1[#All],4,0)," ")</f>
        <v>SETA</v>
      </c>
      <c r="Q42" s="100">
        <f>IFERROR(VLOOKUP(Tablo5[[#This Row],[ÜRÜN KODU]],YMKODLARI!$A$1:$K$363,5,0)," ")</f>
        <v>54.8</v>
      </c>
      <c r="R42" s="100">
        <f>IFERROR(VLOOKUP(Tablo5[[#This Row],[ÜRÜN KODU]],YMKODLARI!$A$1:$K$363,6,0)," ")</f>
        <v>48.1</v>
      </c>
      <c r="S42" s="100">
        <f>IFERROR(Tablo5[[#This Row],[YOLLUK HARİÇ BASKI GRAMI]]/Tablo5[[#This Row],[KALIP GÖZ ADEDİ]]," ")</f>
        <v>6.0125000000000002</v>
      </c>
      <c r="T42" s="100">
        <f t="shared" si="2"/>
        <v>6.6999999999999957</v>
      </c>
      <c r="U42" s="100">
        <v>6.6</v>
      </c>
      <c r="V42" s="100">
        <f t="shared" si="1"/>
        <v>35.700499999999998</v>
      </c>
      <c r="W42" s="101">
        <f t="shared" si="3"/>
        <v>23.5</v>
      </c>
      <c r="X42" s="102">
        <f t="shared" si="4"/>
        <v>12</v>
      </c>
      <c r="Y42" s="100">
        <f t="shared" si="5"/>
        <v>6.8902777777777775</v>
      </c>
      <c r="Z42" s="100">
        <f t="shared" si="6"/>
        <v>4840</v>
      </c>
    </row>
    <row r="43" spans="1:26">
      <c r="A43" s="100" t="s">
        <v>28</v>
      </c>
      <c r="B43" s="108" t="str">
        <f>IFERROR(VLOOKUP(Tablo5[[#This Row],[ÜRÜN KODU]],YMKODLARI!$A$1:$K$363,2,0)," ")</f>
        <v>BİBERON KLASİK  UC 2 NO</v>
      </c>
      <c r="C43" s="99">
        <v>43902</v>
      </c>
      <c r="D43" s="100" t="s">
        <v>27</v>
      </c>
      <c r="E43" s="101">
        <v>0.33333333333333331</v>
      </c>
      <c r="F43" s="101">
        <v>0.83333333333333337</v>
      </c>
      <c r="G43" s="100">
        <f>IFERROR(VLOOKUP(Tablo5[[#This Row],[ÜRÜN KODU]],YMKODLARI!$A$1:$K$363,3,0)," ")</f>
        <v>8</v>
      </c>
      <c r="H43" s="100">
        <f>IFERROR(VLOOKUP(Tablo5[[#This Row],[ÜRÜN KODU]],YMKODLARI!$A$1:$K$363,4,0)," ")</f>
        <v>41</v>
      </c>
      <c r="I43" s="100">
        <v>712</v>
      </c>
      <c r="J43" s="100" t="str">
        <f>IFERROR(VLOOKUP(Tablo5[[#This Row],[ÜRÜN KODU]],YMKODLARI!$A$1:$K$363,9,0)," ")</f>
        <v>Şeffaf</v>
      </c>
      <c r="K43" s="100" t="str">
        <f>IFERROR(VLOOKUP(Tablo5[[#This Row],[BOYA KODU]],Tablo14[#All],4,0)," ")</f>
        <v xml:space="preserve"> </v>
      </c>
      <c r="L43" s="100" t="str">
        <f>IFERROR(VLOOKUP(Tablo5[[#This Row],[BOYA KODU]],Tablo14[#All],6,0)," ")</f>
        <v xml:space="preserve"> </v>
      </c>
      <c r="M43" s="100" t="str">
        <f t="shared" si="0"/>
        <v xml:space="preserve"> </v>
      </c>
      <c r="N43" s="100" t="str">
        <f>IFERROR(VLOOKUP(Tablo5[[#This Row],[ÜRÜN KODU]],YMKODLARI!$A$1:$K$363,8,0)," ")</f>
        <v>HM 003</v>
      </c>
      <c r="O43" s="100" t="str">
        <f>IFERROR(VLOOKUP(Tablo5[[#This Row],[HAMMADDE KODU]],Tablo1[#All],3,0)," ")</f>
        <v>LSR 45</v>
      </c>
      <c r="P43" s="100" t="str">
        <f>IFERROR(VLOOKUP(Tablo5[[#This Row],[HAMMADDE KODU]],Tablo1[#All],4,0)," ")</f>
        <v>SETA</v>
      </c>
      <c r="Q43" s="100">
        <f>IFERROR(VLOOKUP(Tablo5[[#This Row],[ÜRÜN KODU]],YMKODLARI!$A$1:$K$363,5,0)," ")</f>
        <v>54.8</v>
      </c>
      <c r="R43" s="100">
        <f>IFERROR(VLOOKUP(Tablo5[[#This Row],[ÜRÜN KODU]],YMKODLARI!$A$1:$K$363,6,0)," ")</f>
        <v>48.1</v>
      </c>
      <c r="S43" s="100">
        <f>IFERROR(Tablo5[[#This Row],[YOLLUK HARİÇ BASKI GRAMI]]/Tablo5[[#This Row],[KALIP GÖZ ADEDİ]]," ")</f>
        <v>6.0125000000000002</v>
      </c>
      <c r="T43" s="100">
        <f t="shared" si="2"/>
        <v>6.6999999999999957</v>
      </c>
      <c r="U43" s="100">
        <v>5.0999999999999996</v>
      </c>
      <c r="V43" s="100">
        <f t="shared" si="1"/>
        <v>39.347200000000008</v>
      </c>
      <c r="W43" s="101">
        <f t="shared" si="3"/>
        <v>24.5</v>
      </c>
      <c r="X43" s="102">
        <f t="shared" si="4"/>
        <v>12</v>
      </c>
      <c r="Y43" s="100">
        <f t="shared" si="5"/>
        <v>8.1088888888888881</v>
      </c>
      <c r="Z43" s="100">
        <f t="shared" si="6"/>
        <v>5696</v>
      </c>
    </row>
    <row r="44" spans="1:26">
      <c r="A44" s="100" t="s">
        <v>28</v>
      </c>
      <c r="B44" s="108" t="str">
        <f>IFERROR(VLOOKUP(Tablo5[[#This Row],[ÜRÜN KODU]],YMKODLARI!$A$1:$K$363,2,0)," ")</f>
        <v>BİBERON KLASİK  UC 2 NO</v>
      </c>
      <c r="C44" s="99">
        <v>43902</v>
      </c>
      <c r="D44" s="100" t="s">
        <v>33</v>
      </c>
      <c r="E44" s="101">
        <v>0.83333333333333337</v>
      </c>
      <c r="F44" s="101">
        <v>0.33333333333333331</v>
      </c>
      <c r="G44" s="100">
        <f>IFERROR(VLOOKUP(Tablo5[[#This Row],[ÜRÜN KODU]],YMKODLARI!$A$1:$K$363,3,0)," ")</f>
        <v>8</v>
      </c>
      <c r="H44" s="100">
        <f>IFERROR(VLOOKUP(Tablo5[[#This Row],[ÜRÜN KODU]],YMKODLARI!$A$1:$K$363,4,0)," ")</f>
        <v>41</v>
      </c>
      <c r="I44" s="100">
        <v>662</v>
      </c>
      <c r="J44" s="100" t="str">
        <f>IFERROR(VLOOKUP(Tablo5[[#This Row],[ÜRÜN KODU]],YMKODLARI!$A$1:$K$363,9,0)," ")</f>
        <v>Şeffaf</v>
      </c>
      <c r="K44" s="100" t="str">
        <f>IFERROR(VLOOKUP(Tablo5[[#This Row],[BOYA KODU]],Tablo14[#All],4,0)," ")</f>
        <v xml:space="preserve"> </v>
      </c>
      <c r="L44" s="100" t="str">
        <f>IFERROR(VLOOKUP(Tablo5[[#This Row],[BOYA KODU]],Tablo14[#All],6,0)," ")</f>
        <v xml:space="preserve"> </v>
      </c>
      <c r="M44" s="100" t="str">
        <f t="shared" si="0"/>
        <v xml:space="preserve"> </v>
      </c>
      <c r="N44" s="100" t="str">
        <f>IFERROR(VLOOKUP(Tablo5[[#This Row],[ÜRÜN KODU]],YMKODLARI!$A$1:$K$363,8,0)," ")</f>
        <v>HM 003</v>
      </c>
      <c r="O44" s="100" t="str">
        <f>IFERROR(VLOOKUP(Tablo5[[#This Row],[HAMMADDE KODU]],Tablo1[#All],3,0)," ")</f>
        <v>LSR 45</v>
      </c>
      <c r="P44" s="100" t="str">
        <f>IFERROR(VLOOKUP(Tablo5[[#This Row],[HAMMADDE KODU]],Tablo1[#All],4,0)," ")</f>
        <v>SETA</v>
      </c>
      <c r="Q44" s="100">
        <f>IFERROR(VLOOKUP(Tablo5[[#This Row],[ÜRÜN KODU]],YMKODLARI!$A$1:$K$363,5,0)," ")</f>
        <v>54.8</v>
      </c>
      <c r="R44" s="100">
        <f>IFERROR(VLOOKUP(Tablo5[[#This Row],[ÜRÜN KODU]],YMKODLARI!$A$1:$K$363,6,0)," ")</f>
        <v>48.1</v>
      </c>
      <c r="S44" s="100">
        <f>IFERROR(Tablo5[[#This Row],[YOLLUK HARİÇ BASKI GRAMI]]/Tablo5[[#This Row],[KALIP GÖZ ADEDİ]]," ")</f>
        <v>6.0125000000000002</v>
      </c>
      <c r="T44" s="100">
        <f t="shared" si="2"/>
        <v>6.6999999999999957</v>
      </c>
      <c r="U44" s="100">
        <v>4.5999999999999996</v>
      </c>
      <c r="V44" s="100">
        <f t="shared" si="1"/>
        <v>36.4422</v>
      </c>
      <c r="W44" s="101">
        <f t="shared" si="3"/>
        <v>23.5</v>
      </c>
      <c r="X44" s="102">
        <f t="shared" si="4"/>
        <v>12</v>
      </c>
      <c r="Y44" s="100">
        <f t="shared" si="5"/>
        <v>7.5394444444444444</v>
      </c>
      <c r="Z44" s="100">
        <f t="shared" si="6"/>
        <v>5296</v>
      </c>
    </row>
    <row r="45" spans="1:26">
      <c r="A45" s="100" t="s">
        <v>28</v>
      </c>
      <c r="B45" s="108" t="str">
        <f>IFERROR(VLOOKUP(Tablo5[[#This Row],[ÜRÜN KODU]],YMKODLARI!$A$1:$K$363,2,0)," ")</f>
        <v>BİBERON KLASİK  UC 2 NO</v>
      </c>
      <c r="C45" s="99">
        <v>43903</v>
      </c>
      <c r="D45" s="100" t="s">
        <v>27</v>
      </c>
      <c r="E45" s="101">
        <v>0.33333333333333331</v>
      </c>
      <c r="F45" s="101">
        <v>0.83333333333333337</v>
      </c>
      <c r="G45" s="100">
        <f>IFERROR(VLOOKUP(Tablo5[[#This Row],[ÜRÜN KODU]],YMKODLARI!$A$1:$K$363,3,0)," ")</f>
        <v>8</v>
      </c>
      <c r="H45" s="100">
        <f>IFERROR(VLOOKUP(Tablo5[[#This Row],[ÜRÜN KODU]],YMKODLARI!$A$1:$K$363,4,0)," ")</f>
        <v>41</v>
      </c>
      <c r="I45" s="100">
        <v>733</v>
      </c>
      <c r="J45" s="100" t="str">
        <f>IFERROR(VLOOKUP(Tablo5[[#This Row],[ÜRÜN KODU]],YMKODLARI!$A$1:$K$363,9,0)," ")</f>
        <v>Şeffaf</v>
      </c>
      <c r="K45" s="100" t="str">
        <f>IFERROR(VLOOKUP(Tablo5[[#This Row],[BOYA KODU]],Tablo14[#All],4,0)," ")</f>
        <v xml:space="preserve"> </v>
      </c>
      <c r="L45" s="100" t="str">
        <f>IFERROR(VLOOKUP(Tablo5[[#This Row],[BOYA KODU]],Tablo14[#All],6,0)," ")</f>
        <v xml:space="preserve"> </v>
      </c>
      <c r="M45" s="100" t="str">
        <f t="shared" si="0"/>
        <v xml:space="preserve"> </v>
      </c>
      <c r="N45" s="100" t="str">
        <f>IFERROR(VLOOKUP(Tablo5[[#This Row],[ÜRÜN KODU]],YMKODLARI!$A$1:$K$363,8,0)," ")</f>
        <v>HM 003</v>
      </c>
      <c r="O45" s="100" t="str">
        <f>IFERROR(VLOOKUP(Tablo5[[#This Row],[HAMMADDE KODU]],Tablo1[#All],3,0)," ")</f>
        <v>LSR 45</v>
      </c>
      <c r="P45" s="100" t="str">
        <f>IFERROR(VLOOKUP(Tablo5[[#This Row],[HAMMADDE KODU]],Tablo1[#All],4,0)," ")</f>
        <v>SETA</v>
      </c>
      <c r="Q45" s="100">
        <f>IFERROR(VLOOKUP(Tablo5[[#This Row],[ÜRÜN KODU]],YMKODLARI!$A$1:$K$363,5,0)," ")</f>
        <v>54.8</v>
      </c>
      <c r="R45" s="100">
        <f>IFERROR(VLOOKUP(Tablo5[[#This Row],[ÜRÜN KODU]],YMKODLARI!$A$1:$K$363,6,0)," ")</f>
        <v>48.1</v>
      </c>
      <c r="S45" s="100">
        <f>IFERROR(Tablo5[[#This Row],[YOLLUK HARİÇ BASKI GRAMI]]/Tablo5[[#This Row],[KALIP GÖZ ADEDİ]]," ")</f>
        <v>6.0125000000000002</v>
      </c>
      <c r="T45" s="100">
        <f t="shared" si="2"/>
        <v>6.6999999999999957</v>
      </c>
      <c r="U45" s="100">
        <v>5.2</v>
      </c>
      <c r="V45" s="100">
        <f t="shared" si="1"/>
        <v>40.457300000000004</v>
      </c>
      <c r="W45" s="101">
        <f t="shared" si="3"/>
        <v>24.5</v>
      </c>
      <c r="X45" s="102">
        <f t="shared" si="4"/>
        <v>12</v>
      </c>
      <c r="Y45" s="100">
        <f t="shared" si="5"/>
        <v>8.3480555555555558</v>
      </c>
      <c r="Z45" s="100">
        <f t="shared" si="6"/>
        <v>5864</v>
      </c>
    </row>
    <row r="46" spans="1:26">
      <c r="A46" s="100" t="s">
        <v>28</v>
      </c>
      <c r="B46" s="108" t="str">
        <f>IFERROR(VLOOKUP(Tablo5[[#This Row],[ÜRÜN KODU]],YMKODLARI!$A$1:$K$363,2,0)," ")</f>
        <v>BİBERON KLASİK  UC 2 NO</v>
      </c>
      <c r="C46" s="99">
        <v>43903</v>
      </c>
      <c r="D46" s="100" t="s">
        <v>33</v>
      </c>
      <c r="E46" s="101">
        <v>0.83333333333333337</v>
      </c>
      <c r="F46" s="101">
        <v>0.33333333333333331</v>
      </c>
      <c r="G46" s="100">
        <f>IFERROR(VLOOKUP(Tablo5[[#This Row],[ÜRÜN KODU]],YMKODLARI!$A$1:$K$363,3,0)," ")</f>
        <v>8</v>
      </c>
      <c r="H46" s="100">
        <f>IFERROR(VLOOKUP(Tablo5[[#This Row],[ÜRÜN KODU]],YMKODLARI!$A$1:$K$363,4,0)," ")</f>
        <v>41</v>
      </c>
      <c r="I46" s="100">
        <v>630</v>
      </c>
      <c r="J46" s="100" t="str">
        <f>IFERROR(VLOOKUP(Tablo5[[#This Row],[ÜRÜN KODU]],YMKODLARI!$A$1:$K$363,9,0)," ")</f>
        <v>Şeffaf</v>
      </c>
      <c r="K46" s="100" t="str">
        <f>IFERROR(VLOOKUP(Tablo5[[#This Row],[BOYA KODU]],Tablo14[#All],4,0)," ")</f>
        <v xml:space="preserve"> </v>
      </c>
      <c r="L46" s="100" t="str">
        <f>IFERROR(VLOOKUP(Tablo5[[#This Row],[BOYA KODU]],Tablo14[#All],6,0)," ")</f>
        <v xml:space="preserve"> </v>
      </c>
      <c r="M46" s="100" t="str">
        <f t="shared" si="0"/>
        <v xml:space="preserve"> </v>
      </c>
      <c r="N46" s="100" t="str">
        <f>IFERROR(VLOOKUP(Tablo5[[#This Row],[ÜRÜN KODU]],YMKODLARI!$A$1:$K$363,8,0)," ")</f>
        <v>HM 003</v>
      </c>
      <c r="O46" s="100" t="str">
        <f>IFERROR(VLOOKUP(Tablo5[[#This Row],[HAMMADDE KODU]],Tablo1[#All],3,0)," ")</f>
        <v>LSR 45</v>
      </c>
      <c r="P46" s="100" t="str">
        <f>IFERROR(VLOOKUP(Tablo5[[#This Row],[HAMMADDE KODU]],Tablo1[#All],4,0)," ")</f>
        <v>SETA</v>
      </c>
      <c r="Q46" s="100">
        <f>IFERROR(VLOOKUP(Tablo5[[#This Row],[ÜRÜN KODU]],YMKODLARI!$A$1:$K$363,5,0)," ")</f>
        <v>54.8</v>
      </c>
      <c r="R46" s="100">
        <f>IFERROR(VLOOKUP(Tablo5[[#This Row],[ÜRÜN KODU]],YMKODLARI!$A$1:$K$363,6,0)," ")</f>
        <v>48.1</v>
      </c>
      <c r="S46" s="100">
        <f>IFERROR(Tablo5[[#This Row],[YOLLUK HARİÇ BASKI GRAMI]]/Tablo5[[#This Row],[KALIP GÖZ ADEDİ]]," ")</f>
        <v>6.0125000000000002</v>
      </c>
      <c r="T46" s="100">
        <f t="shared" si="2"/>
        <v>6.6999999999999957</v>
      </c>
      <c r="U46" s="100">
        <v>4.5</v>
      </c>
      <c r="V46" s="100">
        <f t="shared" si="1"/>
        <v>34.802999999999997</v>
      </c>
      <c r="W46" s="101">
        <f t="shared" si="3"/>
        <v>23.5</v>
      </c>
      <c r="X46" s="102">
        <f t="shared" si="4"/>
        <v>12</v>
      </c>
      <c r="Y46" s="100">
        <f t="shared" si="5"/>
        <v>7.1749999999999998</v>
      </c>
      <c r="Z46" s="100">
        <f t="shared" si="6"/>
        <v>5040</v>
      </c>
    </row>
    <row r="47" spans="1:26">
      <c r="A47" s="100" t="s">
        <v>28</v>
      </c>
      <c r="B47" s="108" t="str">
        <f>IFERROR(VLOOKUP(Tablo5[[#This Row],[ÜRÜN KODU]],YMKODLARI!$A$1:$K$363,2,0)," ")</f>
        <v>BİBERON KLASİK  UC 2 NO</v>
      </c>
      <c r="C47" s="99">
        <v>43906</v>
      </c>
      <c r="D47" s="100" t="s">
        <v>27</v>
      </c>
      <c r="E47" s="101">
        <v>0.33333333333333331</v>
      </c>
      <c r="F47" s="101">
        <v>0.83333333333333337</v>
      </c>
      <c r="G47" s="100">
        <f>IFERROR(VLOOKUP(Tablo5[[#This Row],[ÜRÜN KODU]],YMKODLARI!$A$1:$K$363,3,0)," ")</f>
        <v>8</v>
      </c>
      <c r="H47" s="100">
        <f>IFERROR(VLOOKUP(Tablo5[[#This Row],[ÜRÜN KODU]],YMKODLARI!$A$1:$K$363,4,0)," ")</f>
        <v>41</v>
      </c>
      <c r="I47" s="100">
        <v>632</v>
      </c>
      <c r="J47" s="100" t="str">
        <f>IFERROR(VLOOKUP(Tablo5[[#This Row],[ÜRÜN KODU]],YMKODLARI!$A$1:$K$363,9,0)," ")</f>
        <v>Şeffaf</v>
      </c>
      <c r="K47" s="100" t="str">
        <f>IFERROR(VLOOKUP(Tablo5[[#This Row],[BOYA KODU]],Tablo14[#All],4,0)," ")</f>
        <v xml:space="preserve"> </v>
      </c>
      <c r="L47" s="100" t="str">
        <f>IFERROR(VLOOKUP(Tablo5[[#This Row],[BOYA KODU]],Tablo14[#All],6,0)," ")</f>
        <v xml:space="preserve"> </v>
      </c>
      <c r="M47" s="100" t="str">
        <f t="shared" si="0"/>
        <v xml:space="preserve"> </v>
      </c>
      <c r="N47" s="100" t="str">
        <f>IFERROR(VLOOKUP(Tablo5[[#This Row],[ÜRÜN KODU]],YMKODLARI!$A$1:$K$363,8,0)," ")</f>
        <v>HM 003</v>
      </c>
      <c r="O47" s="100" t="str">
        <f>IFERROR(VLOOKUP(Tablo5[[#This Row],[HAMMADDE KODU]],Tablo1[#All],3,0)," ")</f>
        <v>LSR 45</v>
      </c>
      <c r="P47" s="100" t="str">
        <f>IFERROR(VLOOKUP(Tablo5[[#This Row],[HAMMADDE KODU]],Tablo1[#All],4,0)," ")</f>
        <v>SETA</v>
      </c>
      <c r="Q47" s="100">
        <f>IFERROR(VLOOKUP(Tablo5[[#This Row],[ÜRÜN KODU]],YMKODLARI!$A$1:$K$363,5,0)," ")</f>
        <v>54.8</v>
      </c>
      <c r="R47" s="100">
        <f>IFERROR(VLOOKUP(Tablo5[[#This Row],[ÜRÜN KODU]],YMKODLARI!$A$1:$K$363,6,0)," ")</f>
        <v>48.1</v>
      </c>
      <c r="S47" s="100">
        <f>IFERROR(Tablo5[[#This Row],[YOLLUK HARİÇ BASKI GRAMI]]/Tablo5[[#This Row],[KALIP GÖZ ADEDİ]]," ")</f>
        <v>6.0125000000000002</v>
      </c>
      <c r="T47" s="100">
        <f t="shared" si="2"/>
        <v>6.6999999999999957</v>
      </c>
      <c r="U47" s="100">
        <v>5.2</v>
      </c>
      <c r="V47" s="100">
        <f t="shared" si="1"/>
        <v>35.599200000000003</v>
      </c>
      <c r="W47" s="101">
        <f t="shared" si="3"/>
        <v>24.5</v>
      </c>
      <c r="X47" s="102">
        <f t="shared" si="4"/>
        <v>12</v>
      </c>
      <c r="Y47" s="100">
        <f t="shared" si="5"/>
        <v>7.1977777777777776</v>
      </c>
      <c r="Z47" s="100">
        <f t="shared" si="6"/>
        <v>5056</v>
      </c>
    </row>
    <row r="48" spans="1:26">
      <c r="A48" s="100" t="s">
        <v>28</v>
      </c>
      <c r="B48" s="108" t="str">
        <f>IFERROR(VLOOKUP(Tablo5[[#This Row],[ÜRÜN KODU]],YMKODLARI!$A$1:$K$363,2,0)," ")</f>
        <v>BİBERON KLASİK  UC 2 NO</v>
      </c>
      <c r="C48" s="99">
        <v>43906</v>
      </c>
      <c r="D48" s="100" t="s">
        <v>33</v>
      </c>
      <c r="E48" s="101">
        <v>0.83333333333333337</v>
      </c>
      <c r="F48" s="101">
        <v>0.33333333333333331</v>
      </c>
      <c r="G48" s="100">
        <f>IFERROR(VLOOKUP(Tablo5[[#This Row],[ÜRÜN KODU]],YMKODLARI!$A$1:$K$363,3,0)," ")</f>
        <v>8</v>
      </c>
      <c r="H48" s="100">
        <f>IFERROR(VLOOKUP(Tablo5[[#This Row],[ÜRÜN KODU]],YMKODLARI!$A$1:$K$363,4,0)," ")</f>
        <v>41</v>
      </c>
      <c r="I48" s="100">
        <v>805</v>
      </c>
      <c r="J48" s="100" t="str">
        <f>IFERROR(VLOOKUP(Tablo5[[#This Row],[ÜRÜN KODU]],YMKODLARI!$A$1:$K$363,9,0)," ")</f>
        <v>Şeffaf</v>
      </c>
      <c r="K48" s="100" t="str">
        <f>IFERROR(VLOOKUP(Tablo5[[#This Row],[BOYA KODU]],Tablo14[#All],4,0)," ")</f>
        <v xml:space="preserve"> </v>
      </c>
      <c r="L48" s="100" t="str">
        <f>IFERROR(VLOOKUP(Tablo5[[#This Row],[BOYA KODU]],Tablo14[#All],6,0)," ")</f>
        <v xml:space="preserve"> </v>
      </c>
      <c r="M48" s="100" t="str">
        <f t="shared" si="0"/>
        <v xml:space="preserve"> </v>
      </c>
      <c r="N48" s="100" t="str">
        <f>IFERROR(VLOOKUP(Tablo5[[#This Row],[ÜRÜN KODU]],YMKODLARI!$A$1:$K$363,8,0)," ")</f>
        <v>HM 003</v>
      </c>
      <c r="O48" s="100" t="str">
        <f>IFERROR(VLOOKUP(Tablo5[[#This Row],[HAMMADDE KODU]],Tablo1[#All],3,0)," ")</f>
        <v>LSR 45</v>
      </c>
      <c r="P48" s="100" t="str">
        <f>IFERROR(VLOOKUP(Tablo5[[#This Row],[HAMMADDE KODU]],Tablo1[#All],4,0)," ")</f>
        <v>SETA</v>
      </c>
      <c r="Q48" s="100">
        <f>IFERROR(VLOOKUP(Tablo5[[#This Row],[ÜRÜN KODU]],YMKODLARI!$A$1:$K$363,5,0)," ")</f>
        <v>54.8</v>
      </c>
      <c r="R48" s="100">
        <f>IFERROR(VLOOKUP(Tablo5[[#This Row],[ÜRÜN KODU]],YMKODLARI!$A$1:$K$363,6,0)," ")</f>
        <v>48.1</v>
      </c>
      <c r="S48" s="100">
        <f>IFERROR(Tablo5[[#This Row],[YOLLUK HARİÇ BASKI GRAMI]]/Tablo5[[#This Row],[KALIP GÖZ ADEDİ]]," ")</f>
        <v>6.0125000000000002</v>
      </c>
      <c r="T48" s="100">
        <f t="shared" si="2"/>
        <v>6.6999999999999957</v>
      </c>
      <c r="U48" s="100">
        <v>5.6</v>
      </c>
      <c r="V48" s="100">
        <f t="shared" si="1"/>
        <v>44.320500000000003</v>
      </c>
      <c r="W48" s="101">
        <f t="shared" si="3"/>
        <v>23.5</v>
      </c>
      <c r="X48" s="102">
        <f t="shared" si="4"/>
        <v>12</v>
      </c>
      <c r="Y48" s="100">
        <f t="shared" si="5"/>
        <v>9.1680555555555561</v>
      </c>
      <c r="Z48" s="100">
        <f t="shared" si="6"/>
        <v>6440</v>
      </c>
    </row>
    <row r="49" spans="1:26">
      <c r="A49" s="100" t="s">
        <v>28</v>
      </c>
      <c r="B49" s="108" t="str">
        <f>IFERROR(VLOOKUP(Tablo5[[#This Row],[ÜRÜN KODU]],YMKODLARI!$A$1:$K$363,2,0)," ")</f>
        <v>BİBERON KLASİK  UC 2 NO</v>
      </c>
      <c r="C49" s="99">
        <v>43907</v>
      </c>
      <c r="D49" s="100" t="s">
        <v>27</v>
      </c>
      <c r="E49" s="101">
        <v>0.33333333333333331</v>
      </c>
      <c r="F49" s="101">
        <v>0.83333333333333337</v>
      </c>
      <c r="G49" s="100">
        <f>IFERROR(VLOOKUP(Tablo5[[#This Row],[ÜRÜN KODU]],YMKODLARI!$A$1:$K$363,3,0)," ")</f>
        <v>8</v>
      </c>
      <c r="H49" s="100">
        <f>IFERROR(VLOOKUP(Tablo5[[#This Row],[ÜRÜN KODU]],YMKODLARI!$A$1:$K$363,4,0)," ")</f>
        <v>41</v>
      </c>
      <c r="I49" s="100">
        <v>715</v>
      </c>
      <c r="J49" s="100" t="str">
        <f>IFERROR(VLOOKUP(Tablo5[[#This Row],[ÜRÜN KODU]],YMKODLARI!$A$1:$K$363,9,0)," ")</f>
        <v>Şeffaf</v>
      </c>
      <c r="K49" s="100" t="str">
        <f>IFERROR(VLOOKUP(Tablo5[[#This Row],[BOYA KODU]],Tablo14[#All],4,0)," ")</f>
        <v xml:space="preserve"> </v>
      </c>
      <c r="L49" s="100" t="str">
        <f>IFERROR(VLOOKUP(Tablo5[[#This Row],[BOYA KODU]],Tablo14[#All],6,0)," ")</f>
        <v xml:space="preserve"> </v>
      </c>
      <c r="M49" s="100" t="str">
        <f t="shared" si="0"/>
        <v xml:space="preserve"> </v>
      </c>
      <c r="N49" s="100" t="str">
        <f>IFERROR(VLOOKUP(Tablo5[[#This Row],[ÜRÜN KODU]],YMKODLARI!$A$1:$K$363,8,0)," ")</f>
        <v>HM 003</v>
      </c>
      <c r="O49" s="100" t="str">
        <f>IFERROR(VLOOKUP(Tablo5[[#This Row],[HAMMADDE KODU]],Tablo1[#All],3,0)," ")</f>
        <v>LSR 45</v>
      </c>
      <c r="P49" s="100" t="str">
        <f>IFERROR(VLOOKUP(Tablo5[[#This Row],[HAMMADDE KODU]],Tablo1[#All],4,0)," ")</f>
        <v>SETA</v>
      </c>
      <c r="Q49" s="100">
        <f>IFERROR(VLOOKUP(Tablo5[[#This Row],[ÜRÜN KODU]],YMKODLARI!$A$1:$K$363,5,0)," ")</f>
        <v>54.8</v>
      </c>
      <c r="R49" s="100">
        <f>IFERROR(VLOOKUP(Tablo5[[#This Row],[ÜRÜN KODU]],YMKODLARI!$A$1:$K$363,6,0)," ")</f>
        <v>48.1</v>
      </c>
      <c r="S49" s="100">
        <f>IFERROR(Tablo5[[#This Row],[YOLLUK HARİÇ BASKI GRAMI]]/Tablo5[[#This Row],[KALIP GÖZ ADEDİ]]," ")</f>
        <v>6.0125000000000002</v>
      </c>
      <c r="T49" s="100">
        <f t="shared" si="2"/>
        <v>6.6999999999999957</v>
      </c>
      <c r="U49" s="100">
        <v>5.9</v>
      </c>
      <c r="V49" s="100">
        <f t="shared" si="1"/>
        <v>40.291499999999999</v>
      </c>
      <c r="W49" s="101">
        <f t="shared" si="3"/>
        <v>24.5</v>
      </c>
      <c r="X49" s="102">
        <f t="shared" si="4"/>
        <v>12</v>
      </c>
      <c r="Y49" s="100">
        <f t="shared" si="5"/>
        <v>8.1430555555555557</v>
      </c>
      <c r="Z49" s="100">
        <f t="shared" si="6"/>
        <v>5720</v>
      </c>
    </row>
    <row r="50" spans="1:26">
      <c r="A50" s="100" t="s">
        <v>28</v>
      </c>
      <c r="B50" s="108" t="str">
        <f>IFERROR(VLOOKUP(Tablo5[[#This Row],[ÜRÜN KODU]],YMKODLARI!$A$1:$K$363,2,0)," ")</f>
        <v>BİBERON KLASİK  UC 2 NO</v>
      </c>
      <c r="C50" s="99">
        <v>43907</v>
      </c>
      <c r="D50" s="100" t="s">
        <v>33</v>
      </c>
      <c r="E50" s="101">
        <v>0.83333333333333337</v>
      </c>
      <c r="F50" s="101">
        <v>0.33333333333333331</v>
      </c>
      <c r="G50" s="100">
        <f>IFERROR(VLOOKUP(Tablo5[[#This Row],[ÜRÜN KODU]],YMKODLARI!$A$1:$K$363,3,0)," ")</f>
        <v>8</v>
      </c>
      <c r="H50" s="100">
        <f>IFERROR(VLOOKUP(Tablo5[[#This Row],[ÜRÜN KODU]],YMKODLARI!$A$1:$K$363,4,0)," ")</f>
        <v>41</v>
      </c>
      <c r="I50" s="100">
        <v>575</v>
      </c>
      <c r="J50" s="100" t="str">
        <f>IFERROR(VLOOKUP(Tablo5[[#This Row],[ÜRÜN KODU]],YMKODLARI!$A$1:$K$363,9,0)," ")</f>
        <v>Şeffaf</v>
      </c>
      <c r="K50" s="100" t="str">
        <f>IFERROR(VLOOKUP(Tablo5[[#This Row],[BOYA KODU]],Tablo14[#All],4,0)," ")</f>
        <v xml:space="preserve"> </v>
      </c>
      <c r="L50" s="100" t="str">
        <f>IFERROR(VLOOKUP(Tablo5[[#This Row],[BOYA KODU]],Tablo14[#All],6,0)," ")</f>
        <v xml:space="preserve"> </v>
      </c>
      <c r="M50" s="100" t="str">
        <f t="shared" si="0"/>
        <v xml:space="preserve"> </v>
      </c>
      <c r="N50" s="100" t="str">
        <f>IFERROR(VLOOKUP(Tablo5[[#This Row],[ÜRÜN KODU]],YMKODLARI!$A$1:$K$363,8,0)," ")</f>
        <v>HM 003</v>
      </c>
      <c r="O50" s="100" t="str">
        <f>IFERROR(VLOOKUP(Tablo5[[#This Row],[HAMMADDE KODU]],Tablo1[#All],3,0)," ")</f>
        <v>LSR 45</v>
      </c>
      <c r="P50" s="100" t="str">
        <f>IFERROR(VLOOKUP(Tablo5[[#This Row],[HAMMADDE KODU]],Tablo1[#All],4,0)," ")</f>
        <v>SETA</v>
      </c>
      <c r="Q50" s="100">
        <f>IFERROR(VLOOKUP(Tablo5[[#This Row],[ÜRÜN KODU]],YMKODLARI!$A$1:$K$363,5,0)," ")</f>
        <v>54.8</v>
      </c>
      <c r="R50" s="100">
        <f>IFERROR(VLOOKUP(Tablo5[[#This Row],[ÜRÜN KODU]],YMKODLARI!$A$1:$K$363,6,0)," ")</f>
        <v>48.1</v>
      </c>
      <c r="S50" s="100">
        <f>IFERROR(Tablo5[[#This Row],[YOLLUK HARİÇ BASKI GRAMI]]/Tablo5[[#This Row],[KALIP GÖZ ADEDİ]]," ")</f>
        <v>6.0125000000000002</v>
      </c>
      <c r="T50" s="100">
        <f t="shared" si="2"/>
        <v>6.6999999999999957</v>
      </c>
      <c r="U50" s="100">
        <v>4</v>
      </c>
      <c r="V50" s="100">
        <f t="shared" si="1"/>
        <v>31.657499999999999</v>
      </c>
      <c r="W50" s="101">
        <f t="shared" si="3"/>
        <v>23.5</v>
      </c>
      <c r="X50" s="102">
        <f t="shared" si="4"/>
        <v>12</v>
      </c>
      <c r="Y50" s="100">
        <f t="shared" si="5"/>
        <v>6.5486111111111107</v>
      </c>
      <c r="Z50" s="100">
        <f t="shared" si="6"/>
        <v>4600</v>
      </c>
    </row>
    <row r="51" spans="1:26">
      <c r="A51" s="100" t="s">
        <v>28</v>
      </c>
      <c r="B51" s="108" t="str">
        <f>IFERROR(VLOOKUP(Tablo5[[#This Row],[ÜRÜN KODU]],YMKODLARI!$A$1:$K$363,2,0)," ")</f>
        <v>BİBERON KLASİK  UC 2 NO</v>
      </c>
      <c r="C51" s="99">
        <v>43908</v>
      </c>
      <c r="D51" s="100" t="s">
        <v>27</v>
      </c>
      <c r="E51" s="101">
        <v>0.33333333333333331</v>
      </c>
      <c r="F51" s="101">
        <v>0.6875</v>
      </c>
      <c r="G51" s="100">
        <f>IFERROR(VLOOKUP(Tablo5[[#This Row],[ÜRÜN KODU]],YMKODLARI!$A$1:$K$363,3,0)," ")</f>
        <v>8</v>
      </c>
      <c r="H51" s="100">
        <f>IFERROR(VLOOKUP(Tablo5[[#This Row],[ÜRÜN KODU]],YMKODLARI!$A$1:$K$363,4,0)," ")</f>
        <v>41</v>
      </c>
      <c r="I51" s="100">
        <v>463</v>
      </c>
      <c r="J51" s="100" t="str">
        <f>IFERROR(VLOOKUP(Tablo5[[#This Row],[ÜRÜN KODU]],YMKODLARI!$A$1:$K$363,9,0)," ")</f>
        <v>Şeffaf</v>
      </c>
      <c r="K51" s="100" t="str">
        <f>IFERROR(VLOOKUP(Tablo5[[#This Row],[BOYA KODU]],Tablo14[#All],4,0)," ")</f>
        <v xml:space="preserve"> </v>
      </c>
      <c r="L51" s="100" t="str">
        <f>IFERROR(VLOOKUP(Tablo5[[#This Row],[BOYA KODU]],Tablo14[#All],6,0)," ")</f>
        <v xml:space="preserve"> </v>
      </c>
      <c r="M51" s="100" t="str">
        <f t="shared" si="0"/>
        <v xml:space="preserve"> </v>
      </c>
      <c r="N51" s="100" t="str">
        <f>IFERROR(VLOOKUP(Tablo5[[#This Row],[ÜRÜN KODU]],YMKODLARI!$A$1:$K$363,8,0)," ")</f>
        <v>HM 003</v>
      </c>
      <c r="O51" s="100" t="str">
        <f>IFERROR(VLOOKUP(Tablo5[[#This Row],[HAMMADDE KODU]],Tablo1[#All],3,0)," ")</f>
        <v>LSR 45</v>
      </c>
      <c r="P51" s="100" t="str">
        <f>IFERROR(VLOOKUP(Tablo5[[#This Row],[HAMMADDE KODU]],Tablo1[#All],4,0)," ")</f>
        <v>SETA</v>
      </c>
      <c r="Q51" s="100">
        <f>IFERROR(VLOOKUP(Tablo5[[#This Row],[ÜRÜN KODU]],YMKODLARI!$A$1:$K$363,5,0)," ")</f>
        <v>54.8</v>
      </c>
      <c r="R51" s="100">
        <f>IFERROR(VLOOKUP(Tablo5[[#This Row],[ÜRÜN KODU]],YMKODLARI!$A$1:$K$363,6,0)," ")</f>
        <v>48.1</v>
      </c>
      <c r="S51" s="100">
        <f>IFERROR(Tablo5[[#This Row],[YOLLUK HARİÇ BASKI GRAMI]]/Tablo5[[#This Row],[KALIP GÖZ ADEDİ]]," ")</f>
        <v>6.0125000000000002</v>
      </c>
      <c r="T51" s="100">
        <f t="shared" si="2"/>
        <v>6.6999999999999957</v>
      </c>
      <c r="U51" s="100">
        <v>3.4</v>
      </c>
      <c r="V51" s="100">
        <f t="shared" si="1"/>
        <v>25.670299999999997</v>
      </c>
      <c r="W51" s="101">
        <f t="shared" si="3"/>
        <v>24.354166666666668</v>
      </c>
      <c r="X51" s="102">
        <f t="shared" si="4"/>
        <v>8.5000000000000284</v>
      </c>
      <c r="Y51" s="100">
        <f t="shared" si="5"/>
        <v>5.2730555555555556</v>
      </c>
      <c r="Z51" s="100">
        <f t="shared" si="6"/>
        <v>3704</v>
      </c>
    </row>
    <row r="52" spans="1:26">
      <c r="A52" s="100" t="s">
        <v>34</v>
      </c>
      <c r="B52" s="108" t="str">
        <f>IFERROR(VLOOKUP(Tablo5[[#This Row],[ÜRÜN KODU]],YMKODLARI!$A$1:$K$363,2,0)," ")</f>
        <v>BİBERON KLASİK  UC 1 NO</v>
      </c>
      <c r="C52" s="99">
        <v>43908</v>
      </c>
      <c r="D52" s="100" t="s">
        <v>35</v>
      </c>
      <c r="E52" s="101">
        <v>0.90625</v>
      </c>
      <c r="F52" s="101">
        <v>0.33333333333333331</v>
      </c>
      <c r="G52" s="100">
        <f>IFERROR(VLOOKUP(Tablo5[[#This Row],[ÜRÜN KODU]],YMKODLARI!$A$1:$K$363,3,0)," ")</f>
        <v>8</v>
      </c>
      <c r="H52" s="100">
        <f>IFERROR(VLOOKUP(Tablo5[[#This Row],[ÜRÜN KODU]],YMKODLARI!$A$1:$K$363,4,0)," ")</f>
        <v>36</v>
      </c>
      <c r="I52" s="100">
        <v>685</v>
      </c>
      <c r="J52" s="100" t="str">
        <f>IFERROR(VLOOKUP(Tablo5[[#This Row],[ÜRÜN KODU]],YMKODLARI!$A$1:$K$363,9,0)," ")</f>
        <v>Şeffaf</v>
      </c>
      <c r="K52" s="100"/>
      <c r="L52" s="100" t="str">
        <f>IFERROR(VLOOKUP(Tablo5[[#This Row],[BOYA KODU]],Tablo14[#All],6,0)," ")</f>
        <v xml:space="preserve"> </v>
      </c>
      <c r="M52" s="100" t="str">
        <f t="shared" si="0"/>
        <v xml:space="preserve"> </v>
      </c>
      <c r="N52" s="100" t="str">
        <f>IFERROR(VLOOKUP(Tablo5[[#This Row],[ÜRÜN KODU]],YMKODLARI!$A$1:$K$363,8,0)," ")</f>
        <v>HM 003</v>
      </c>
      <c r="O52" s="100" t="str">
        <f>IFERROR(VLOOKUP(Tablo5[[#This Row],[HAMMADDE KODU]],Tablo1[#All],3,0)," ")</f>
        <v>LSR 45</v>
      </c>
      <c r="P52" s="100" t="str">
        <f>IFERROR(VLOOKUP(Tablo5[[#This Row],[HAMMADDE KODU]],Tablo1[#All],4,0)," ")</f>
        <v>SETA</v>
      </c>
      <c r="Q52" s="100">
        <f>IFERROR(VLOOKUP(Tablo5[[#This Row],[ÜRÜN KODU]],YMKODLARI!$A$1:$K$363,5,0)," ")</f>
        <v>51.7</v>
      </c>
      <c r="R52" s="100">
        <f>IFERROR(VLOOKUP(Tablo5[[#This Row],[ÜRÜN KODU]],YMKODLARI!$A$1:$K$363,6,0)," ")</f>
        <v>44.5</v>
      </c>
      <c r="S52" s="100">
        <f>IFERROR(Tablo5[[#This Row],[YOLLUK HARİÇ BASKI GRAMI]]/Tablo5[[#This Row],[KALIP GÖZ ADEDİ]]," ")</f>
        <v>5.5625</v>
      </c>
      <c r="T52" s="100">
        <f t="shared" si="2"/>
        <v>7.2000000000000028</v>
      </c>
      <c r="U52" s="100">
        <v>5</v>
      </c>
      <c r="V52" s="100">
        <f t="shared" si="1"/>
        <v>35.482500000000002</v>
      </c>
      <c r="W52" s="101">
        <f t="shared" si="3"/>
        <v>23.427083333333332</v>
      </c>
      <c r="X52" s="102">
        <f t="shared" si="4"/>
        <v>10.249999999999972</v>
      </c>
      <c r="Y52" s="100">
        <f t="shared" si="5"/>
        <v>6.85</v>
      </c>
      <c r="Z52" s="100">
        <f t="shared" si="6"/>
        <v>5480</v>
      </c>
    </row>
    <row r="53" spans="1:26">
      <c r="A53" s="100" t="s">
        <v>34</v>
      </c>
      <c r="B53" s="108" t="str">
        <f>IFERROR(VLOOKUP(Tablo5[[#This Row],[ÜRÜN KODU]],YMKODLARI!$A$1:$K$363,2,0)," ")</f>
        <v>BİBERON KLASİK  UC 1 NO</v>
      </c>
      <c r="C53" s="99">
        <v>43909</v>
      </c>
      <c r="D53" s="100" t="s">
        <v>27</v>
      </c>
      <c r="E53" s="101">
        <v>0.33333333333333331</v>
      </c>
      <c r="F53" s="101">
        <v>0.83333333333333337</v>
      </c>
      <c r="G53" s="100">
        <f>IFERROR(VLOOKUP(Tablo5[[#This Row],[ÜRÜN KODU]],YMKODLARI!$A$1:$K$363,3,0)," ")</f>
        <v>8</v>
      </c>
      <c r="H53" s="100">
        <f>IFERROR(VLOOKUP(Tablo5[[#This Row],[ÜRÜN KODU]],YMKODLARI!$A$1:$K$363,4,0)," ")</f>
        <v>36</v>
      </c>
      <c r="I53" s="100">
        <v>807</v>
      </c>
      <c r="J53" s="100" t="str">
        <f>IFERROR(VLOOKUP(Tablo5[[#This Row],[ÜRÜN KODU]],YMKODLARI!$A$1:$K$363,9,0)," ")</f>
        <v>Şeffaf</v>
      </c>
      <c r="K53" s="100" t="str">
        <f>IFERROR(VLOOKUP(Tablo5[[#This Row],[BOYA KODU]],Tablo14[#All],4,0)," ")</f>
        <v xml:space="preserve"> </v>
      </c>
      <c r="L53" s="100" t="str">
        <f>IFERROR(VLOOKUP(Tablo5[[#This Row],[BOYA KODU]],Tablo14[#All],6,0)," ")</f>
        <v xml:space="preserve"> </v>
      </c>
      <c r="M53" s="100" t="str">
        <f t="shared" si="0"/>
        <v xml:space="preserve"> </v>
      </c>
      <c r="N53" s="100" t="str">
        <f>IFERROR(VLOOKUP(Tablo5[[#This Row],[ÜRÜN KODU]],YMKODLARI!$A$1:$K$363,8,0)," ")</f>
        <v>HM 003</v>
      </c>
      <c r="O53" s="100" t="str">
        <f>IFERROR(VLOOKUP(Tablo5[[#This Row],[HAMMADDE KODU]],Tablo1[#All],3,0)," ")</f>
        <v>LSR 45</v>
      </c>
      <c r="P53" s="100" t="str">
        <f>IFERROR(VLOOKUP(Tablo5[[#This Row],[HAMMADDE KODU]],Tablo1[#All],4,0)," ")</f>
        <v>SETA</v>
      </c>
      <c r="Q53" s="100">
        <f>IFERROR(VLOOKUP(Tablo5[[#This Row],[ÜRÜN KODU]],YMKODLARI!$A$1:$K$363,5,0)," ")</f>
        <v>51.7</v>
      </c>
      <c r="R53" s="100">
        <f>IFERROR(VLOOKUP(Tablo5[[#This Row],[ÜRÜN KODU]],YMKODLARI!$A$1:$K$363,6,0)," ")</f>
        <v>44.5</v>
      </c>
      <c r="S53" s="100">
        <f>IFERROR(Tablo5[[#This Row],[YOLLUK HARİÇ BASKI GRAMI]]/Tablo5[[#This Row],[KALIP GÖZ ADEDİ]]," ")</f>
        <v>5.5625</v>
      </c>
      <c r="T53" s="100">
        <f t="shared" si="2"/>
        <v>7.2000000000000028</v>
      </c>
      <c r="U53" s="100">
        <v>5.5</v>
      </c>
      <c r="V53" s="100">
        <f t="shared" si="1"/>
        <v>41.411499999999997</v>
      </c>
      <c r="W53" s="101">
        <f t="shared" si="3"/>
        <v>24.5</v>
      </c>
      <c r="X53" s="102">
        <f t="shared" si="4"/>
        <v>12</v>
      </c>
      <c r="Y53" s="100">
        <f t="shared" si="5"/>
        <v>8.07</v>
      </c>
      <c r="Z53" s="100">
        <f t="shared" si="6"/>
        <v>6456</v>
      </c>
    </row>
    <row r="54" spans="1:26">
      <c r="A54" s="100" t="s">
        <v>34</v>
      </c>
      <c r="B54" s="108" t="str">
        <f>IFERROR(VLOOKUP(Tablo5[[#This Row],[ÜRÜN KODU]],YMKODLARI!$A$1:$K$363,2,0)," ")</f>
        <v>BİBERON KLASİK  UC 1 NO</v>
      </c>
      <c r="C54" s="99">
        <v>43909</v>
      </c>
      <c r="D54" s="100" t="s">
        <v>35</v>
      </c>
      <c r="E54" s="101">
        <v>0.83333333333333337</v>
      </c>
      <c r="F54" s="101">
        <v>0.33333333333333331</v>
      </c>
      <c r="G54" s="100">
        <f>IFERROR(VLOOKUP(Tablo5[[#This Row],[ÜRÜN KODU]],YMKODLARI!$A$1:$K$363,3,0)," ")</f>
        <v>8</v>
      </c>
      <c r="H54" s="100">
        <f>IFERROR(VLOOKUP(Tablo5[[#This Row],[ÜRÜN KODU]],YMKODLARI!$A$1:$K$363,4,0)," ")</f>
        <v>36</v>
      </c>
      <c r="I54" s="100">
        <v>1022</v>
      </c>
      <c r="J54" s="100" t="str">
        <f>IFERROR(VLOOKUP(Tablo5[[#This Row],[ÜRÜN KODU]],YMKODLARI!$A$1:$K$363,9,0)," ")</f>
        <v>Şeffaf</v>
      </c>
      <c r="K54" s="100" t="str">
        <f>IFERROR(VLOOKUP(Tablo5[[#This Row],[BOYA KODU]],Tablo14[#All],4,0)," ")</f>
        <v xml:space="preserve"> </v>
      </c>
      <c r="L54" s="100" t="str">
        <f>IFERROR(VLOOKUP(Tablo5[[#This Row],[BOYA KODU]],Tablo14[#All],6,0)," ")</f>
        <v xml:space="preserve"> </v>
      </c>
      <c r="M54" s="100" t="str">
        <f t="shared" si="0"/>
        <v xml:space="preserve"> </v>
      </c>
      <c r="N54" s="100" t="str">
        <f>IFERROR(VLOOKUP(Tablo5[[#This Row],[ÜRÜN KODU]],YMKODLARI!$A$1:$K$363,8,0)," ")</f>
        <v>HM 003</v>
      </c>
      <c r="O54" s="100" t="str">
        <f>IFERROR(VLOOKUP(Tablo5[[#This Row],[HAMMADDE KODU]],Tablo1[#All],3,0)," ")</f>
        <v>LSR 45</v>
      </c>
      <c r="P54" s="100" t="str">
        <f>IFERROR(VLOOKUP(Tablo5[[#This Row],[HAMMADDE KODU]],Tablo1[#All],4,0)," ")</f>
        <v>SETA</v>
      </c>
      <c r="Q54" s="100">
        <f>IFERROR(VLOOKUP(Tablo5[[#This Row],[ÜRÜN KODU]],YMKODLARI!$A$1:$K$363,5,0)," ")</f>
        <v>51.7</v>
      </c>
      <c r="R54" s="100">
        <f>IFERROR(VLOOKUP(Tablo5[[#This Row],[ÜRÜN KODU]],YMKODLARI!$A$1:$K$363,6,0)," ")</f>
        <v>44.5</v>
      </c>
      <c r="S54" s="100">
        <f>IFERROR(Tablo5[[#This Row],[YOLLUK HARİÇ BASKI GRAMI]]/Tablo5[[#This Row],[KALIP GÖZ ADEDİ]]," ")</f>
        <v>5.5625</v>
      </c>
      <c r="T54" s="100">
        <f t="shared" si="2"/>
        <v>7.2000000000000028</v>
      </c>
      <c r="U54" s="100">
        <v>7.2</v>
      </c>
      <c r="V54" s="100">
        <f t="shared" si="1"/>
        <v>52.679000000000002</v>
      </c>
      <c r="W54" s="101">
        <f t="shared" si="3"/>
        <v>23.5</v>
      </c>
      <c r="X54" s="102">
        <f t="shared" si="4"/>
        <v>12</v>
      </c>
      <c r="Y54" s="100">
        <f t="shared" si="5"/>
        <v>10.220000000000001</v>
      </c>
      <c r="Z54" s="100">
        <f t="shared" si="6"/>
        <v>8176</v>
      </c>
    </row>
    <row r="55" spans="1:26">
      <c r="A55" s="100" t="s">
        <v>34</v>
      </c>
      <c r="B55" s="108" t="str">
        <f>IFERROR(VLOOKUP(Tablo5[[#This Row],[ÜRÜN KODU]],YMKODLARI!$A$1:$K$363,2,0)," ")</f>
        <v>BİBERON KLASİK  UC 1 NO</v>
      </c>
      <c r="C55" s="99">
        <v>43910</v>
      </c>
      <c r="D55" s="100" t="s">
        <v>35</v>
      </c>
      <c r="E55" s="101">
        <v>0.83333333333333337</v>
      </c>
      <c r="F55" s="101">
        <v>0.33333333333333331</v>
      </c>
      <c r="G55" s="100">
        <f>IFERROR(VLOOKUP(Tablo5[[#This Row],[ÜRÜN KODU]],YMKODLARI!$A$1:$K$363,3,0)," ")</f>
        <v>8</v>
      </c>
      <c r="H55" s="100">
        <f>IFERROR(VLOOKUP(Tablo5[[#This Row],[ÜRÜN KODU]],YMKODLARI!$A$1:$K$363,4,0)," ")</f>
        <v>36</v>
      </c>
      <c r="I55" s="100">
        <v>1001</v>
      </c>
      <c r="J55" s="100" t="str">
        <f>IFERROR(VLOOKUP(Tablo5[[#This Row],[ÜRÜN KODU]],YMKODLARI!$A$1:$K$363,9,0)," ")</f>
        <v>Şeffaf</v>
      </c>
      <c r="K55" s="100" t="str">
        <f>IFERROR(VLOOKUP(Tablo5[[#This Row],[BOYA KODU]],Tablo14[#All],4,0)," ")</f>
        <v xml:space="preserve"> </v>
      </c>
      <c r="L55" s="100" t="str">
        <f>IFERROR(VLOOKUP(Tablo5[[#This Row],[BOYA KODU]],Tablo14[#All],6,0)," ")</f>
        <v xml:space="preserve"> </v>
      </c>
      <c r="M55" s="100" t="str">
        <f t="shared" si="0"/>
        <v xml:space="preserve"> </v>
      </c>
      <c r="N55" s="100" t="str">
        <f>IFERROR(VLOOKUP(Tablo5[[#This Row],[ÜRÜN KODU]],YMKODLARI!$A$1:$K$363,8,0)," ")</f>
        <v>HM 003</v>
      </c>
      <c r="O55" s="100" t="str">
        <f>IFERROR(VLOOKUP(Tablo5[[#This Row],[HAMMADDE KODU]],Tablo1[#All],3,0)," ")</f>
        <v>LSR 45</v>
      </c>
      <c r="P55" s="100" t="str">
        <f>IFERROR(VLOOKUP(Tablo5[[#This Row],[HAMMADDE KODU]],Tablo1[#All],4,0)," ")</f>
        <v>SETA</v>
      </c>
      <c r="Q55" s="100">
        <f>IFERROR(VLOOKUP(Tablo5[[#This Row],[ÜRÜN KODU]],YMKODLARI!$A$1:$K$363,5,0)," ")</f>
        <v>51.7</v>
      </c>
      <c r="R55" s="100">
        <f>IFERROR(VLOOKUP(Tablo5[[#This Row],[ÜRÜN KODU]],YMKODLARI!$A$1:$K$363,6,0)," ")</f>
        <v>44.5</v>
      </c>
      <c r="S55" s="100">
        <f>IFERROR(Tablo5[[#This Row],[YOLLUK HARİÇ BASKI GRAMI]]/Tablo5[[#This Row],[KALIP GÖZ ADEDİ]]," ")</f>
        <v>5.5625</v>
      </c>
      <c r="T55" s="100">
        <f t="shared" si="2"/>
        <v>7.2000000000000028</v>
      </c>
      <c r="U55" s="100">
        <v>7</v>
      </c>
      <c r="V55" s="100">
        <f t="shared" si="1"/>
        <v>51.544499999999999</v>
      </c>
      <c r="W55" s="101">
        <f t="shared" si="3"/>
        <v>23.5</v>
      </c>
      <c r="X55" s="102">
        <f t="shared" si="4"/>
        <v>12</v>
      </c>
      <c r="Y55" s="100">
        <f t="shared" si="5"/>
        <v>10.01</v>
      </c>
      <c r="Z55" s="100">
        <f t="shared" si="6"/>
        <v>8008</v>
      </c>
    </row>
    <row r="56" spans="1:26">
      <c r="A56" s="100" t="s">
        <v>34</v>
      </c>
      <c r="B56" s="108" t="str">
        <f>IFERROR(VLOOKUP(Tablo5[[#This Row],[ÜRÜN KODU]],YMKODLARI!$A$1:$K$363,2,0)," ")</f>
        <v>BİBERON KLASİK  UC 1 NO</v>
      </c>
      <c r="C56" s="99">
        <v>43913</v>
      </c>
      <c r="D56" s="100" t="s">
        <v>33</v>
      </c>
      <c r="E56" s="101">
        <v>0.33333333333333331</v>
      </c>
      <c r="F56" s="101">
        <v>0.83333333333333337</v>
      </c>
      <c r="G56" s="100">
        <f>IFERROR(VLOOKUP(Tablo5[[#This Row],[ÜRÜN KODU]],YMKODLARI!$A$1:$K$363,3,0)," ")</f>
        <v>8</v>
      </c>
      <c r="H56" s="100">
        <f>IFERROR(VLOOKUP(Tablo5[[#This Row],[ÜRÜN KODU]],YMKODLARI!$A$1:$K$363,4,0)," ")</f>
        <v>36</v>
      </c>
      <c r="I56" s="100">
        <v>746</v>
      </c>
      <c r="J56" s="100" t="str">
        <f>IFERROR(VLOOKUP(Tablo5[[#This Row],[ÜRÜN KODU]],YMKODLARI!$A$1:$K$363,9,0)," ")</f>
        <v>Şeffaf</v>
      </c>
      <c r="K56" s="100" t="str">
        <f>IFERROR(VLOOKUP(Tablo5[[#This Row],[BOYA KODU]],Tablo14[#All],4,0)," ")</f>
        <v xml:space="preserve"> </v>
      </c>
      <c r="L56" s="100" t="str">
        <f>IFERROR(VLOOKUP(Tablo5[[#This Row],[BOYA KODU]],Tablo14[#All],6,0)," ")</f>
        <v xml:space="preserve"> </v>
      </c>
      <c r="M56" s="100" t="str">
        <f t="shared" si="0"/>
        <v xml:space="preserve"> </v>
      </c>
      <c r="N56" s="100" t="str">
        <f>IFERROR(VLOOKUP(Tablo5[[#This Row],[ÜRÜN KODU]],YMKODLARI!$A$1:$K$363,8,0)," ")</f>
        <v>HM 003</v>
      </c>
      <c r="O56" s="100" t="str">
        <f>IFERROR(VLOOKUP(Tablo5[[#This Row],[HAMMADDE KODU]],Tablo1[#All],3,0)," ")</f>
        <v>LSR 45</v>
      </c>
      <c r="P56" s="100" t="str">
        <f>IFERROR(VLOOKUP(Tablo5[[#This Row],[HAMMADDE KODU]],Tablo1[#All],4,0)," ")</f>
        <v>SETA</v>
      </c>
      <c r="Q56" s="100">
        <f>IFERROR(VLOOKUP(Tablo5[[#This Row],[ÜRÜN KODU]],YMKODLARI!$A$1:$K$363,5,0)," ")</f>
        <v>51.7</v>
      </c>
      <c r="R56" s="100">
        <f>IFERROR(VLOOKUP(Tablo5[[#This Row],[ÜRÜN KODU]],YMKODLARI!$A$1:$K$363,6,0)," ")</f>
        <v>44.5</v>
      </c>
      <c r="S56" s="100">
        <f>IFERROR(Tablo5[[#This Row],[YOLLUK HARİÇ BASKI GRAMI]]/Tablo5[[#This Row],[KALIP GÖZ ADEDİ]]," ")</f>
        <v>5.5625</v>
      </c>
      <c r="T56" s="100">
        <f t="shared" si="2"/>
        <v>7.2000000000000028</v>
      </c>
      <c r="U56" s="100">
        <v>5.2</v>
      </c>
      <c r="V56" s="100">
        <f t="shared" si="1"/>
        <v>38.397000000000006</v>
      </c>
      <c r="W56" s="101">
        <f t="shared" si="3"/>
        <v>24.5</v>
      </c>
      <c r="X56" s="102">
        <f t="shared" si="4"/>
        <v>12</v>
      </c>
      <c r="Y56" s="100">
        <f t="shared" si="5"/>
        <v>7.46</v>
      </c>
      <c r="Z56" s="100">
        <f t="shared" si="6"/>
        <v>5968</v>
      </c>
    </row>
    <row r="57" spans="1:26">
      <c r="A57" s="100" t="s">
        <v>34</v>
      </c>
      <c r="B57" s="108" t="str">
        <f>IFERROR(VLOOKUP(Tablo5[[#This Row],[ÜRÜN KODU]],YMKODLARI!$A$1:$K$363,2,0)," ")</f>
        <v>BİBERON KLASİK  UC 1 NO</v>
      </c>
      <c r="C57" s="99">
        <v>43913</v>
      </c>
      <c r="D57" s="100" t="s">
        <v>36</v>
      </c>
      <c r="E57" s="101">
        <v>0.83333333333333337</v>
      </c>
      <c r="F57" s="101">
        <v>0.33333333333333331</v>
      </c>
      <c r="G57" s="100">
        <f>IFERROR(VLOOKUP(Tablo5[[#This Row],[ÜRÜN KODU]],YMKODLARI!$A$1:$K$363,3,0)," ")</f>
        <v>8</v>
      </c>
      <c r="H57" s="100">
        <f>IFERROR(VLOOKUP(Tablo5[[#This Row],[ÜRÜN KODU]],YMKODLARI!$A$1:$K$363,4,0)," ")</f>
        <v>36</v>
      </c>
      <c r="I57" s="100">
        <v>903</v>
      </c>
      <c r="J57" s="100" t="str">
        <f>IFERROR(VLOOKUP(Tablo5[[#This Row],[ÜRÜN KODU]],YMKODLARI!$A$1:$K$363,9,0)," ")</f>
        <v>Şeffaf</v>
      </c>
      <c r="K57" s="100" t="str">
        <f>IFERROR(VLOOKUP(Tablo5[[#This Row],[BOYA KODU]],Tablo14[#All],4,0)," ")</f>
        <v xml:space="preserve"> </v>
      </c>
      <c r="L57" s="100" t="str">
        <f>IFERROR(VLOOKUP(Tablo5[[#This Row],[BOYA KODU]],Tablo14[#All],6,0)," ")</f>
        <v xml:space="preserve"> </v>
      </c>
      <c r="M57" s="100" t="str">
        <f t="shared" si="0"/>
        <v xml:space="preserve"> </v>
      </c>
      <c r="N57" s="100" t="str">
        <f>IFERROR(VLOOKUP(Tablo5[[#This Row],[ÜRÜN KODU]],YMKODLARI!$A$1:$K$363,8,0)," ")</f>
        <v>HM 003</v>
      </c>
      <c r="O57" s="100" t="str">
        <f>IFERROR(VLOOKUP(Tablo5[[#This Row],[HAMMADDE KODU]],Tablo1[#All],3,0)," ")</f>
        <v>LSR 45</v>
      </c>
      <c r="P57" s="100" t="str">
        <f>IFERROR(VLOOKUP(Tablo5[[#This Row],[HAMMADDE KODU]],Tablo1[#All],4,0)," ")</f>
        <v>SETA</v>
      </c>
      <c r="Q57" s="100">
        <f>IFERROR(VLOOKUP(Tablo5[[#This Row],[ÜRÜN KODU]],YMKODLARI!$A$1:$K$363,5,0)," ")</f>
        <v>51.7</v>
      </c>
      <c r="R57" s="100">
        <f>IFERROR(VLOOKUP(Tablo5[[#This Row],[ÜRÜN KODU]],YMKODLARI!$A$1:$K$363,6,0)," ")</f>
        <v>44.5</v>
      </c>
      <c r="S57" s="100">
        <f>IFERROR(Tablo5[[#This Row],[YOLLUK HARİÇ BASKI GRAMI]]/Tablo5[[#This Row],[KALIP GÖZ ADEDİ]]," ")</f>
        <v>5.5625</v>
      </c>
      <c r="T57" s="100">
        <f t="shared" si="2"/>
        <v>7.2000000000000028</v>
      </c>
      <c r="U57" s="100">
        <v>7</v>
      </c>
      <c r="V57" s="100">
        <f t="shared" si="1"/>
        <v>47.183500000000002</v>
      </c>
      <c r="W57" s="101">
        <f t="shared" si="3"/>
        <v>23.5</v>
      </c>
      <c r="X57" s="102">
        <f t="shared" si="4"/>
        <v>12</v>
      </c>
      <c r="Y57" s="100">
        <f t="shared" si="5"/>
        <v>9.0299999999999994</v>
      </c>
      <c r="Z57" s="100">
        <f t="shared" si="6"/>
        <v>7224</v>
      </c>
    </row>
    <row r="58" spans="1:26">
      <c r="A58" s="100" t="s">
        <v>34</v>
      </c>
      <c r="B58" s="108" t="str">
        <f>IFERROR(VLOOKUP(Tablo5[[#This Row],[ÜRÜN KODU]],YMKODLARI!$A$1:$K$363,2,0)," ")</f>
        <v>BİBERON KLASİK  UC 1 NO</v>
      </c>
      <c r="C58" s="99">
        <v>43914</v>
      </c>
      <c r="D58" s="100" t="s">
        <v>27</v>
      </c>
      <c r="E58" s="101">
        <v>0.33333333333333331</v>
      </c>
      <c r="F58" s="101">
        <v>0.83333333333333337</v>
      </c>
      <c r="G58" s="100">
        <f>IFERROR(VLOOKUP(Tablo5[[#This Row],[ÜRÜN KODU]],YMKODLARI!$A$1:$K$363,3,0)," ")</f>
        <v>8</v>
      </c>
      <c r="H58" s="100">
        <f>IFERROR(VLOOKUP(Tablo5[[#This Row],[ÜRÜN KODU]],YMKODLARI!$A$1:$K$363,4,0)," ")</f>
        <v>36</v>
      </c>
      <c r="I58" s="100">
        <v>908</v>
      </c>
      <c r="J58" s="100" t="str">
        <f>IFERROR(VLOOKUP(Tablo5[[#This Row],[ÜRÜN KODU]],YMKODLARI!$A$1:$K$363,9,0)," ")</f>
        <v>Şeffaf</v>
      </c>
      <c r="K58" s="100" t="str">
        <f>IFERROR(VLOOKUP(Tablo5[[#This Row],[BOYA KODU]],Tablo14[#All],4,0)," ")</f>
        <v xml:space="preserve"> </v>
      </c>
      <c r="L58" s="100" t="str">
        <f>IFERROR(VLOOKUP(Tablo5[[#This Row],[BOYA KODU]],Tablo14[#All],6,0)," ")</f>
        <v xml:space="preserve"> </v>
      </c>
      <c r="M58" s="100" t="str">
        <f t="shared" si="0"/>
        <v xml:space="preserve"> </v>
      </c>
      <c r="N58" s="100" t="str">
        <f>IFERROR(VLOOKUP(Tablo5[[#This Row],[ÜRÜN KODU]],YMKODLARI!$A$1:$K$363,8,0)," ")</f>
        <v>HM 003</v>
      </c>
      <c r="O58" s="100" t="str">
        <f>IFERROR(VLOOKUP(Tablo5[[#This Row],[HAMMADDE KODU]],Tablo1[#All],3,0)," ")</f>
        <v>LSR 45</v>
      </c>
      <c r="P58" s="100" t="str">
        <f>IFERROR(VLOOKUP(Tablo5[[#This Row],[HAMMADDE KODU]],Tablo1[#All],4,0)," ")</f>
        <v>SETA</v>
      </c>
      <c r="Q58" s="100">
        <f>IFERROR(VLOOKUP(Tablo5[[#This Row],[ÜRÜN KODU]],YMKODLARI!$A$1:$K$363,5,0)," ")</f>
        <v>51.7</v>
      </c>
      <c r="R58" s="100">
        <f>IFERROR(VLOOKUP(Tablo5[[#This Row],[ÜRÜN KODU]],YMKODLARI!$A$1:$K$363,6,0)," ")</f>
        <v>44.5</v>
      </c>
      <c r="S58" s="100">
        <f>IFERROR(Tablo5[[#This Row],[YOLLUK HARİÇ BASKI GRAMI]]/Tablo5[[#This Row],[KALIP GÖZ ADEDİ]]," ")</f>
        <v>5.5625</v>
      </c>
      <c r="T58" s="100">
        <f t="shared" si="2"/>
        <v>7.2000000000000028</v>
      </c>
      <c r="U58" s="100">
        <v>8.5</v>
      </c>
      <c r="V58" s="100">
        <f t="shared" si="1"/>
        <v>48.905999999999999</v>
      </c>
      <c r="W58" s="101">
        <f t="shared" si="3"/>
        <v>24.5</v>
      </c>
      <c r="X58" s="102">
        <f t="shared" si="4"/>
        <v>12</v>
      </c>
      <c r="Y58" s="100">
        <f t="shared" si="5"/>
        <v>9.08</v>
      </c>
      <c r="Z58" s="100">
        <f t="shared" si="6"/>
        <v>7264</v>
      </c>
    </row>
    <row r="59" spans="1:26">
      <c r="A59" s="100" t="s">
        <v>34</v>
      </c>
      <c r="B59" s="108" t="str">
        <f>IFERROR(VLOOKUP(Tablo5[[#This Row],[ÜRÜN KODU]],YMKODLARI!$A$1:$K$363,2,0)," ")</f>
        <v>BİBERON KLASİK  UC 1 NO</v>
      </c>
      <c r="C59" s="99">
        <v>43914</v>
      </c>
      <c r="D59" s="100" t="s">
        <v>36</v>
      </c>
      <c r="E59" s="101">
        <v>0.83333333333333337</v>
      </c>
      <c r="F59" s="101">
        <v>0.33333333333333331</v>
      </c>
      <c r="G59" s="100">
        <f>IFERROR(VLOOKUP(Tablo5[[#This Row],[ÜRÜN KODU]],YMKODLARI!$A$1:$K$363,3,0)," ")</f>
        <v>8</v>
      </c>
      <c r="H59" s="100">
        <f>IFERROR(VLOOKUP(Tablo5[[#This Row],[ÜRÜN KODU]],YMKODLARI!$A$1:$K$363,4,0)," ")</f>
        <v>36</v>
      </c>
      <c r="I59" s="100">
        <v>1026</v>
      </c>
      <c r="J59" s="100" t="str">
        <f>IFERROR(VLOOKUP(Tablo5[[#This Row],[ÜRÜN KODU]],YMKODLARI!$A$1:$K$363,9,0)," ")</f>
        <v>Şeffaf</v>
      </c>
      <c r="K59" s="100" t="str">
        <f>IFERROR(VLOOKUP(Tablo5[[#This Row],[BOYA KODU]],Tablo14[#All],4,0)," ")</f>
        <v xml:space="preserve"> </v>
      </c>
      <c r="L59" s="100" t="str">
        <f>IFERROR(VLOOKUP(Tablo5[[#This Row],[BOYA KODU]],Tablo14[#All],6,0)," ")</f>
        <v xml:space="preserve"> </v>
      </c>
      <c r="M59" s="100" t="str">
        <f t="shared" si="0"/>
        <v xml:space="preserve"> </v>
      </c>
      <c r="N59" s="100" t="str">
        <f>IFERROR(VLOOKUP(Tablo5[[#This Row],[ÜRÜN KODU]],YMKODLARI!$A$1:$K$363,8,0)," ")</f>
        <v>HM 003</v>
      </c>
      <c r="O59" s="100" t="str">
        <f>IFERROR(VLOOKUP(Tablo5[[#This Row],[HAMMADDE KODU]],Tablo1[#All],3,0)," ")</f>
        <v>LSR 45</v>
      </c>
      <c r="P59" s="100" t="str">
        <f>IFERROR(VLOOKUP(Tablo5[[#This Row],[HAMMADDE KODU]],Tablo1[#All],4,0)," ")</f>
        <v>SETA</v>
      </c>
      <c r="Q59" s="100">
        <f>IFERROR(VLOOKUP(Tablo5[[#This Row],[ÜRÜN KODU]],YMKODLARI!$A$1:$K$363,5,0)," ")</f>
        <v>51.7</v>
      </c>
      <c r="R59" s="100">
        <f>IFERROR(VLOOKUP(Tablo5[[#This Row],[ÜRÜN KODU]],YMKODLARI!$A$1:$K$363,6,0)," ")</f>
        <v>44.5</v>
      </c>
      <c r="S59" s="100">
        <f>IFERROR(Tablo5[[#This Row],[YOLLUK HARİÇ BASKI GRAMI]]/Tablo5[[#This Row],[KALIP GÖZ ADEDİ]]," ")</f>
        <v>5.5625</v>
      </c>
      <c r="T59" s="100">
        <f t="shared" si="2"/>
        <v>7.2000000000000028</v>
      </c>
      <c r="U59" s="100">
        <v>7.5</v>
      </c>
      <c r="V59" s="100">
        <f t="shared" si="1"/>
        <v>53.156999999999996</v>
      </c>
      <c r="W59" s="101">
        <f t="shared" si="3"/>
        <v>23.5</v>
      </c>
      <c r="X59" s="102">
        <f t="shared" si="4"/>
        <v>12</v>
      </c>
      <c r="Y59" s="100">
        <f t="shared" si="5"/>
        <v>10.26</v>
      </c>
      <c r="Z59" s="100">
        <f t="shared" si="6"/>
        <v>8208</v>
      </c>
    </row>
    <row r="60" spans="1:26">
      <c r="A60" s="100" t="s">
        <v>34</v>
      </c>
      <c r="B60" s="108" t="str">
        <f>IFERROR(VLOOKUP(Tablo5[[#This Row],[ÜRÜN KODU]],YMKODLARI!$A$1:$K$363,2,0)," ")</f>
        <v>BİBERON KLASİK  UC 1 NO</v>
      </c>
      <c r="C60" s="99">
        <v>43915</v>
      </c>
      <c r="D60" s="100" t="s">
        <v>29</v>
      </c>
      <c r="E60" s="101">
        <v>0.33333333333333331</v>
      </c>
      <c r="F60" s="101">
        <v>0.83333333333333337</v>
      </c>
      <c r="G60" s="100">
        <f>IFERROR(VLOOKUP(Tablo5[[#This Row],[ÜRÜN KODU]],YMKODLARI!$A$1:$K$363,3,0)," ")</f>
        <v>8</v>
      </c>
      <c r="H60" s="100">
        <f>IFERROR(VLOOKUP(Tablo5[[#This Row],[ÜRÜN KODU]],YMKODLARI!$A$1:$K$363,4,0)," ")</f>
        <v>36</v>
      </c>
      <c r="I60" s="100">
        <v>926</v>
      </c>
      <c r="J60" s="100" t="str">
        <f>IFERROR(VLOOKUP(Tablo5[[#This Row],[ÜRÜN KODU]],YMKODLARI!$A$1:$K$363,9,0)," ")</f>
        <v>Şeffaf</v>
      </c>
      <c r="K60" s="100" t="str">
        <f>IFERROR(VLOOKUP(Tablo5[[#This Row],[BOYA KODU]],Tablo14[#All],4,0)," ")</f>
        <v xml:space="preserve"> </v>
      </c>
      <c r="L60" s="100" t="str">
        <f>IFERROR(VLOOKUP(Tablo5[[#This Row],[BOYA KODU]],Tablo14[#All],6,0)," ")</f>
        <v xml:space="preserve"> </v>
      </c>
      <c r="M60" s="100" t="str">
        <f t="shared" si="0"/>
        <v xml:space="preserve"> </v>
      </c>
      <c r="N60" s="100" t="str">
        <f>IFERROR(VLOOKUP(Tablo5[[#This Row],[ÜRÜN KODU]],YMKODLARI!$A$1:$K$363,8,0)," ")</f>
        <v>HM 003</v>
      </c>
      <c r="O60" s="100" t="str">
        <f>IFERROR(VLOOKUP(Tablo5[[#This Row],[HAMMADDE KODU]],Tablo1[#All],3,0)," ")</f>
        <v>LSR 45</v>
      </c>
      <c r="P60" s="100" t="str">
        <f>IFERROR(VLOOKUP(Tablo5[[#This Row],[HAMMADDE KODU]],Tablo1[#All],4,0)," ")</f>
        <v>SETA</v>
      </c>
      <c r="Q60" s="100">
        <f>IFERROR(VLOOKUP(Tablo5[[#This Row],[ÜRÜN KODU]],YMKODLARI!$A$1:$K$363,5,0)," ")</f>
        <v>51.7</v>
      </c>
      <c r="R60" s="100">
        <f>IFERROR(VLOOKUP(Tablo5[[#This Row],[ÜRÜN KODU]],YMKODLARI!$A$1:$K$363,6,0)," ")</f>
        <v>44.5</v>
      </c>
      <c r="S60" s="100">
        <f>IFERROR(Tablo5[[#This Row],[YOLLUK HARİÇ BASKI GRAMI]]/Tablo5[[#This Row],[KALIP GÖZ ADEDİ]]," ")</f>
        <v>5.5625</v>
      </c>
      <c r="T60" s="100">
        <f t="shared" si="2"/>
        <v>7.2000000000000028</v>
      </c>
      <c r="U60" s="100">
        <v>6.7</v>
      </c>
      <c r="V60" s="100">
        <f t="shared" si="1"/>
        <v>47.907000000000004</v>
      </c>
      <c r="W60" s="101">
        <f t="shared" si="3"/>
        <v>24.5</v>
      </c>
      <c r="X60" s="102">
        <f t="shared" si="4"/>
        <v>12</v>
      </c>
      <c r="Y60" s="100">
        <f t="shared" si="5"/>
        <v>9.26</v>
      </c>
      <c r="Z60" s="100">
        <f t="shared" si="6"/>
        <v>7408</v>
      </c>
    </row>
    <row r="61" spans="1:26">
      <c r="A61" s="100" t="s">
        <v>34</v>
      </c>
      <c r="B61" s="108" t="str">
        <f>IFERROR(VLOOKUP(Tablo5[[#This Row],[ÜRÜN KODU]],YMKODLARI!$A$1:$K$363,2,0)," ")</f>
        <v>BİBERON KLASİK  UC 1 NO</v>
      </c>
      <c r="C61" s="99">
        <v>43915</v>
      </c>
      <c r="D61" s="100" t="s">
        <v>36</v>
      </c>
      <c r="E61" s="101">
        <v>0.83333333333333337</v>
      </c>
      <c r="F61" s="101">
        <v>0.125</v>
      </c>
      <c r="G61" s="100">
        <f>IFERROR(VLOOKUP(Tablo5[[#This Row],[ÜRÜN KODU]],YMKODLARI!$A$1:$K$363,3,0)," ")</f>
        <v>8</v>
      </c>
      <c r="H61" s="100">
        <f>IFERROR(VLOOKUP(Tablo5[[#This Row],[ÜRÜN KODU]],YMKODLARI!$A$1:$K$363,4,0)," ")</f>
        <v>36</v>
      </c>
      <c r="I61" s="100">
        <v>597</v>
      </c>
      <c r="J61" s="100" t="str">
        <f>IFERROR(VLOOKUP(Tablo5[[#This Row],[ÜRÜN KODU]],YMKODLARI!$A$1:$K$363,9,0)," ")</f>
        <v>Şeffaf</v>
      </c>
      <c r="K61" s="100" t="str">
        <f>IFERROR(VLOOKUP(Tablo5[[#This Row],[BOYA KODU]],Tablo14[#All],4,0)," ")</f>
        <v xml:space="preserve"> </v>
      </c>
      <c r="L61" s="100" t="str">
        <f>IFERROR(VLOOKUP(Tablo5[[#This Row],[BOYA KODU]],Tablo14[#All],6,0)," ")</f>
        <v xml:space="preserve"> </v>
      </c>
      <c r="M61" s="100" t="str">
        <f t="shared" si="0"/>
        <v xml:space="preserve"> </v>
      </c>
      <c r="N61" s="100" t="str">
        <f>IFERROR(VLOOKUP(Tablo5[[#This Row],[ÜRÜN KODU]],YMKODLARI!$A$1:$K$363,8,0)," ")</f>
        <v>HM 003</v>
      </c>
      <c r="O61" s="100" t="str">
        <f>IFERROR(VLOOKUP(Tablo5[[#This Row],[HAMMADDE KODU]],Tablo1[#All],3,0)," ")</f>
        <v>LSR 45</v>
      </c>
      <c r="P61" s="100" t="str">
        <f>IFERROR(VLOOKUP(Tablo5[[#This Row],[HAMMADDE KODU]],Tablo1[#All],4,0)," ")</f>
        <v>SETA</v>
      </c>
      <c r="Q61" s="100">
        <f>IFERROR(VLOOKUP(Tablo5[[#This Row],[ÜRÜN KODU]],YMKODLARI!$A$1:$K$363,5,0)," ")</f>
        <v>51.7</v>
      </c>
      <c r="R61" s="100">
        <f>IFERROR(VLOOKUP(Tablo5[[#This Row],[ÜRÜN KODU]],YMKODLARI!$A$1:$K$363,6,0)," ")</f>
        <v>44.5</v>
      </c>
      <c r="S61" s="100">
        <f>IFERROR(Tablo5[[#This Row],[YOLLUK HARİÇ BASKI GRAMI]]/Tablo5[[#This Row],[KALIP GÖZ ADEDİ]]," ")</f>
        <v>5.5625</v>
      </c>
      <c r="T61" s="100">
        <f t="shared" si="2"/>
        <v>7.2000000000000028</v>
      </c>
      <c r="U61" s="100">
        <v>4.4000000000000004</v>
      </c>
      <c r="V61" s="100">
        <f t="shared" si="1"/>
        <v>30.966500000000003</v>
      </c>
      <c r="W61" s="101">
        <f t="shared" si="3"/>
        <v>23.291666666666668</v>
      </c>
      <c r="X61" s="102">
        <f t="shared" si="4"/>
        <v>7.0000000000000284</v>
      </c>
      <c r="Y61" s="100">
        <f t="shared" si="5"/>
        <v>5.97</v>
      </c>
      <c r="Z61" s="100">
        <f t="shared" si="6"/>
        <v>4776</v>
      </c>
    </row>
    <row r="62" spans="1:26">
      <c r="A62" s="100" t="s">
        <v>34</v>
      </c>
      <c r="B62" s="108" t="str">
        <f>IFERROR(VLOOKUP(Tablo5[[#This Row],[ÜRÜN KODU]],YMKODLARI!$A$1:$K$363,2,0)," ")</f>
        <v>BİBERON KLASİK  UC 1 NO</v>
      </c>
      <c r="C62" s="99">
        <v>43917</v>
      </c>
      <c r="D62" s="100" t="s">
        <v>27</v>
      </c>
      <c r="E62" s="101">
        <v>0.6875</v>
      </c>
      <c r="F62" s="101">
        <v>0.83333333333333337</v>
      </c>
      <c r="G62" s="100">
        <f>IFERROR(VLOOKUP(Tablo5[[#This Row],[ÜRÜN KODU]],YMKODLARI!$A$1:$K$363,3,0)," ")</f>
        <v>8</v>
      </c>
      <c r="H62" s="100">
        <f>IFERROR(VLOOKUP(Tablo5[[#This Row],[ÜRÜN KODU]],YMKODLARI!$A$1:$K$363,4,0)," ")</f>
        <v>36</v>
      </c>
      <c r="I62" s="100">
        <v>292</v>
      </c>
      <c r="J62" s="100" t="str">
        <f>IFERROR(VLOOKUP(Tablo5[[#This Row],[ÜRÜN KODU]],YMKODLARI!$A$1:$K$363,9,0)," ")</f>
        <v>Şeffaf</v>
      </c>
      <c r="K62" s="100" t="str">
        <f>IFERROR(VLOOKUP(Tablo5[[#This Row],[BOYA KODU]],Tablo14[#All],4,0)," ")</f>
        <v xml:space="preserve"> </v>
      </c>
      <c r="L62" s="100" t="str">
        <f>IFERROR(VLOOKUP(Tablo5[[#This Row],[BOYA KODU]],Tablo14[#All],6,0)," ")</f>
        <v xml:space="preserve"> </v>
      </c>
      <c r="M62" s="100" t="str">
        <f t="shared" si="0"/>
        <v xml:space="preserve"> </v>
      </c>
      <c r="N62" s="100" t="str">
        <f>IFERROR(VLOOKUP(Tablo5[[#This Row],[ÜRÜN KODU]],YMKODLARI!$A$1:$K$363,8,0)," ")</f>
        <v>HM 003</v>
      </c>
      <c r="O62" s="100" t="str">
        <f>IFERROR(VLOOKUP(Tablo5[[#This Row],[HAMMADDE KODU]],Tablo1[#All],3,0)," ")</f>
        <v>LSR 45</v>
      </c>
      <c r="P62" s="100" t="str">
        <f>IFERROR(VLOOKUP(Tablo5[[#This Row],[HAMMADDE KODU]],Tablo1[#All],4,0)," ")</f>
        <v>SETA</v>
      </c>
      <c r="Q62" s="100">
        <f>IFERROR(VLOOKUP(Tablo5[[#This Row],[ÜRÜN KODU]],YMKODLARI!$A$1:$K$363,5,0)," ")</f>
        <v>51.7</v>
      </c>
      <c r="R62" s="100">
        <f>IFERROR(VLOOKUP(Tablo5[[#This Row],[ÜRÜN KODU]],YMKODLARI!$A$1:$K$363,6,0)," ")</f>
        <v>44.5</v>
      </c>
      <c r="S62" s="100">
        <f>IFERROR(Tablo5[[#This Row],[YOLLUK HARİÇ BASKI GRAMI]]/Tablo5[[#This Row],[KALIP GÖZ ADEDİ]]," ")</f>
        <v>5.5625</v>
      </c>
      <c r="T62" s="100">
        <f t="shared" si="2"/>
        <v>7.2000000000000028</v>
      </c>
      <c r="U62" s="100">
        <v>3.1</v>
      </c>
      <c r="V62" s="100">
        <f t="shared" si="1"/>
        <v>16.094000000000001</v>
      </c>
      <c r="W62" s="101">
        <f t="shared" si="3"/>
        <v>24.145833333333332</v>
      </c>
      <c r="X62" s="102">
        <f t="shared" si="4"/>
        <v>3.4999999999999716</v>
      </c>
      <c r="Y62" s="100">
        <f t="shared" si="5"/>
        <v>2.92</v>
      </c>
      <c r="Z62" s="100">
        <f t="shared" si="6"/>
        <v>2336</v>
      </c>
    </row>
    <row r="63" spans="1:26">
      <c r="A63" s="100" t="s">
        <v>34</v>
      </c>
      <c r="B63" s="108" t="str">
        <f>IFERROR(VLOOKUP(Tablo5[[#This Row],[ÜRÜN KODU]],YMKODLARI!$A$1:$K$363,2,0)," ")</f>
        <v>BİBERON KLASİK  UC 1 NO</v>
      </c>
      <c r="C63" s="99">
        <v>43917</v>
      </c>
      <c r="D63" s="100" t="s">
        <v>36</v>
      </c>
      <c r="E63" s="101">
        <v>0.83333333333333337</v>
      </c>
      <c r="F63" s="101">
        <v>0.20833333333333334</v>
      </c>
      <c r="G63" s="100">
        <f>IFERROR(VLOOKUP(Tablo5[[#This Row],[ÜRÜN KODU]],YMKODLARI!$A$1:$K$363,3,0)," ")</f>
        <v>8</v>
      </c>
      <c r="H63" s="100">
        <f>IFERROR(VLOOKUP(Tablo5[[#This Row],[ÜRÜN KODU]],YMKODLARI!$A$1:$K$363,4,0)," ")</f>
        <v>36</v>
      </c>
      <c r="I63" s="100">
        <v>756</v>
      </c>
      <c r="J63" s="100" t="str">
        <f>IFERROR(VLOOKUP(Tablo5[[#This Row],[ÜRÜN KODU]],YMKODLARI!$A$1:$K$363,9,0)," ")</f>
        <v>Şeffaf</v>
      </c>
      <c r="K63" s="100" t="str">
        <f>IFERROR(VLOOKUP(Tablo5[[#This Row],[BOYA KODU]],Tablo14[#All],4,0)," ")</f>
        <v xml:space="preserve"> </v>
      </c>
      <c r="L63" s="100" t="str">
        <f>IFERROR(VLOOKUP(Tablo5[[#This Row],[BOYA KODU]],Tablo14[#All],6,0)," ")</f>
        <v xml:space="preserve"> </v>
      </c>
      <c r="M63" s="100" t="str">
        <f t="shared" si="0"/>
        <v xml:space="preserve"> </v>
      </c>
      <c r="N63" s="100" t="str">
        <f>IFERROR(VLOOKUP(Tablo5[[#This Row],[ÜRÜN KODU]],YMKODLARI!$A$1:$K$363,8,0)," ")</f>
        <v>HM 003</v>
      </c>
      <c r="O63" s="100" t="str">
        <f>IFERROR(VLOOKUP(Tablo5[[#This Row],[HAMMADDE KODU]],Tablo1[#All],3,0)," ")</f>
        <v>LSR 45</v>
      </c>
      <c r="P63" s="100" t="str">
        <f>IFERROR(VLOOKUP(Tablo5[[#This Row],[HAMMADDE KODU]],Tablo1[#All],4,0)," ")</f>
        <v>SETA</v>
      </c>
      <c r="Q63" s="100">
        <f>IFERROR(VLOOKUP(Tablo5[[#This Row],[ÜRÜN KODU]],YMKODLARI!$A$1:$K$363,5,0)," ")</f>
        <v>51.7</v>
      </c>
      <c r="R63" s="100">
        <f>IFERROR(VLOOKUP(Tablo5[[#This Row],[ÜRÜN KODU]],YMKODLARI!$A$1:$K$363,6,0)," ")</f>
        <v>44.5</v>
      </c>
      <c r="S63" s="100">
        <f>IFERROR(Tablo5[[#This Row],[YOLLUK HARİÇ BASKI GRAMI]]/Tablo5[[#This Row],[KALIP GÖZ ADEDİ]]," ")</f>
        <v>5.5625</v>
      </c>
      <c r="T63" s="100">
        <f t="shared" si="2"/>
        <v>7.2000000000000028</v>
      </c>
      <c r="U63" s="100">
        <v>7.5</v>
      </c>
      <c r="V63" s="100">
        <f t="shared" si="1"/>
        <v>41.142000000000003</v>
      </c>
      <c r="W63" s="101">
        <f t="shared" si="3"/>
        <v>23.375</v>
      </c>
      <c r="X63" s="102">
        <f t="shared" si="4"/>
        <v>9</v>
      </c>
      <c r="Y63" s="100">
        <f t="shared" si="5"/>
        <v>7.56</v>
      </c>
      <c r="Z63" s="100">
        <f t="shared" si="6"/>
        <v>6048</v>
      </c>
    </row>
    <row r="64" spans="1:26">
      <c r="A64" s="100" t="s">
        <v>34</v>
      </c>
      <c r="B64" s="108" t="str">
        <f>IFERROR(VLOOKUP(Tablo5[[#This Row],[ÜRÜN KODU]],YMKODLARI!$A$1:$K$363,2,0)," ")</f>
        <v>BİBERON KLASİK  UC 1 NO</v>
      </c>
      <c r="C64" s="99">
        <v>43920</v>
      </c>
      <c r="D64" s="100" t="s">
        <v>27</v>
      </c>
      <c r="E64" s="101">
        <v>0.33333333333333331</v>
      </c>
      <c r="F64" s="101">
        <v>0.83333333333333337</v>
      </c>
      <c r="G64" s="100">
        <f>IFERROR(VLOOKUP(Tablo5[[#This Row],[ÜRÜN KODU]],YMKODLARI!$A$1:$K$363,3,0)," ")</f>
        <v>8</v>
      </c>
      <c r="H64" s="100">
        <f>IFERROR(VLOOKUP(Tablo5[[#This Row],[ÜRÜN KODU]],YMKODLARI!$A$1:$K$363,4,0)," ")</f>
        <v>36</v>
      </c>
      <c r="I64" s="100">
        <v>841</v>
      </c>
      <c r="J64" s="100" t="str">
        <f>IFERROR(VLOOKUP(Tablo5[[#This Row],[ÜRÜN KODU]],YMKODLARI!$A$1:$K$363,9,0)," ")</f>
        <v>Şeffaf</v>
      </c>
      <c r="K64" s="100" t="str">
        <f>IFERROR(VLOOKUP(Tablo5[[#This Row],[BOYA KODU]],Tablo14[#All],4,0)," ")</f>
        <v xml:space="preserve"> </v>
      </c>
      <c r="L64" s="100" t="str">
        <f>IFERROR(VLOOKUP(Tablo5[[#This Row],[BOYA KODU]],Tablo14[#All],6,0)," ")</f>
        <v xml:space="preserve"> </v>
      </c>
      <c r="M64" s="100" t="str">
        <f t="shared" si="0"/>
        <v xml:space="preserve"> </v>
      </c>
      <c r="N64" s="100" t="str">
        <f>IFERROR(VLOOKUP(Tablo5[[#This Row],[ÜRÜN KODU]],YMKODLARI!$A$1:$K$363,8,0)," ")</f>
        <v>HM 003</v>
      </c>
      <c r="O64" s="100" t="str">
        <f>IFERROR(VLOOKUP(Tablo5[[#This Row],[HAMMADDE KODU]],Tablo1[#All],3,0)," ")</f>
        <v>LSR 45</v>
      </c>
      <c r="P64" s="100" t="str">
        <f>IFERROR(VLOOKUP(Tablo5[[#This Row],[HAMMADDE KODU]],Tablo1[#All],4,0)," ")</f>
        <v>SETA</v>
      </c>
      <c r="Q64" s="100">
        <f>IFERROR(VLOOKUP(Tablo5[[#This Row],[ÜRÜN KODU]],YMKODLARI!$A$1:$K$363,5,0)," ")</f>
        <v>51.7</v>
      </c>
      <c r="R64" s="100">
        <f>IFERROR(VLOOKUP(Tablo5[[#This Row],[ÜRÜN KODU]],YMKODLARI!$A$1:$K$363,6,0)," ")</f>
        <v>44.5</v>
      </c>
      <c r="S64" s="100">
        <f>IFERROR(Tablo5[[#This Row],[YOLLUK HARİÇ BASKI GRAMI]]/Tablo5[[#This Row],[KALIP GÖZ ADEDİ]]," ")</f>
        <v>5.5625</v>
      </c>
      <c r="T64" s="100">
        <f t="shared" si="2"/>
        <v>7.2000000000000028</v>
      </c>
      <c r="U64" s="100">
        <v>7.6</v>
      </c>
      <c r="V64" s="100">
        <f t="shared" si="1"/>
        <v>45.024500000000003</v>
      </c>
      <c r="W64" s="101">
        <f t="shared" si="3"/>
        <v>24.5</v>
      </c>
      <c r="X64" s="102">
        <f t="shared" si="4"/>
        <v>12</v>
      </c>
      <c r="Y64" s="100">
        <f t="shared" si="5"/>
        <v>8.41</v>
      </c>
      <c r="Z64" s="100">
        <f t="shared" si="6"/>
        <v>6728</v>
      </c>
    </row>
    <row r="65" spans="1:26">
      <c r="A65" s="100" t="s">
        <v>34</v>
      </c>
      <c r="B65" s="108" t="str">
        <f>IFERROR(VLOOKUP(Tablo5[[#This Row],[ÜRÜN KODU]],YMKODLARI!$A$1:$K$363,2,0)," ")</f>
        <v>BİBERON KLASİK  UC 1 NO</v>
      </c>
      <c r="C65" s="99">
        <v>43920</v>
      </c>
      <c r="D65" s="100" t="s">
        <v>37</v>
      </c>
      <c r="E65" s="101">
        <v>0.83333333333333337</v>
      </c>
      <c r="F65" s="101">
        <v>0.33333333333333331</v>
      </c>
      <c r="G65" s="100">
        <f>IFERROR(VLOOKUP(Tablo5[[#This Row],[ÜRÜN KODU]],YMKODLARI!$A$1:$K$363,3,0)," ")</f>
        <v>8</v>
      </c>
      <c r="H65" s="100">
        <f>IFERROR(VLOOKUP(Tablo5[[#This Row],[ÜRÜN KODU]],YMKODLARI!$A$1:$K$363,4,0)," ")</f>
        <v>36</v>
      </c>
      <c r="I65" s="100">
        <v>1017</v>
      </c>
      <c r="J65" s="100" t="str">
        <f>IFERROR(VLOOKUP(Tablo5[[#This Row],[ÜRÜN KODU]],YMKODLARI!$A$1:$K$363,9,0)," ")</f>
        <v>Şeffaf</v>
      </c>
      <c r="K65" s="100" t="str">
        <f>IFERROR(VLOOKUP(Tablo5[[#This Row],[BOYA KODU]],Tablo14[#All],4,0)," ")</f>
        <v xml:space="preserve"> </v>
      </c>
      <c r="L65" s="100" t="str">
        <f>IFERROR(VLOOKUP(Tablo5[[#This Row],[BOYA KODU]],Tablo14[#All],6,0)," ")</f>
        <v xml:space="preserve"> </v>
      </c>
      <c r="M65" s="100" t="str">
        <f t="shared" si="0"/>
        <v xml:space="preserve"> </v>
      </c>
      <c r="N65" s="100" t="str">
        <f>IFERROR(VLOOKUP(Tablo5[[#This Row],[ÜRÜN KODU]],YMKODLARI!$A$1:$K$363,8,0)," ")</f>
        <v>HM 003</v>
      </c>
      <c r="O65" s="100" t="str">
        <f>IFERROR(VLOOKUP(Tablo5[[#This Row],[HAMMADDE KODU]],Tablo1[#All],3,0)," ")</f>
        <v>LSR 45</v>
      </c>
      <c r="P65" s="100" t="str">
        <f>IFERROR(VLOOKUP(Tablo5[[#This Row],[HAMMADDE KODU]],Tablo1[#All],4,0)," ")</f>
        <v>SETA</v>
      </c>
      <c r="Q65" s="100">
        <f>IFERROR(VLOOKUP(Tablo5[[#This Row],[ÜRÜN KODU]],YMKODLARI!$A$1:$K$363,5,0)," ")</f>
        <v>51.7</v>
      </c>
      <c r="R65" s="100">
        <f>IFERROR(VLOOKUP(Tablo5[[#This Row],[ÜRÜN KODU]],YMKODLARI!$A$1:$K$363,6,0)," ")</f>
        <v>44.5</v>
      </c>
      <c r="S65" s="100">
        <f>IFERROR(Tablo5[[#This Row],[YOLLUK HARİÇ BASKI GRAMI]]/Tablo5[[#This Row],[KALIP GÖZ ADEDİ]]," ")</f>
        <v>5.5625</v>
      </c>
      <c r="T65" s="100">
        <f t="shared" si="2"/>
        <v>7.2000000000000028</v>
      </c>
      <c r="U65" s="100">
        <v>8</v>
      </c>
      <c r="V65" s="100">
        <f t="shared" si="1"/>
        <v>53.256500000000003</v>
      </c>
      <c r="W65" s="101">
        <f t="shared" si="3"/>
        <v>23.5</v>
      </c>
      <c r="X65" s="102">
        <f t="shared" si="4"/>
        <v>12</v>
      </c>
      <c r="Y65" s="100">
        <f t="shared" si="5"/>
        <v>10.17</v>
      </c>
      <c r="Z65" s="100">
        <f t="shared" si="6"/>
        <v>8136</v>
      </c>
    </row>
    <row r="66" spans="1:26">
      <c r="A66" s="100" t="s">
        <v>34</v>
      </c>
      <c r="B66" s="108" t="str">
        <f>IFERROR(VLOOKUP(Tablo5[[#This Row],[ÜRÜN KODU]],YMKODLARI!$A$1:$K$363,2,0)," ")</f>
        <v>BİBERON KLASİK  UC 1 NO</v>
      </c>
      <c r="C66" s="99">
        <v>43921</v>
      </c>
      <c r="D66" s="100" t="s">
        <v>27</v>
      </c>
      <c r="E66" s="101">
        <v>0.375</v>
      </c>
      <c r="F66" s="101">
        <v>0.79166666666666663</v>
      </c>
      <c r="G66" s="100">
        <f>IFERROR(VLOOKUP(Tablo5[[#This Row],[ÜRÜN KODU]],YMKODLARI!$A$1:$K$363,3,0)," ")</f>
        <v>8</v>
      </c>
      <c r="H66" s="100">
        <f>IFERROR(VLOOKUP(Tablo5[[#This Row],[ÜRÜN KODU]],YMKODLARI!$A$1:$K$363,4,0)," ")</f>
        <v>36</v>
      </c>
      <c r="I66" s="100">
        <v>606</v>
      </c>
      <c r="J66" s="100" t="str">
        <f>IFERROR(VLOOKUP(Tablo5[[#This Row],[ÜRÜN KODU]],YMKODLARI!$A$1:$K$363,9,0)," ")</f>
        <v>Şeffaf</v>
      </c>
      <c r="K66" s="100" t="str">
        <f>IFERROR(VLOOKUP(Tablo5[[#This Row],[BOYA KODU]],Tablo14[#All],4,0)," ")</f>
        <v xml:space="preserve"> </v>
      </c>
      <c r="L66" s="100" t="str">
        <f>IFERROR(VLOOKUP(Tablo5[[#This Row],[BOYA KODU]],Tablo14[#All],6,0)," ")</f>
        <v xml:space="preserve"> </v>
      </c>
      <c r="M66" s="100" t="str">
        <f t="shared" si="0"/>
        <v xml:space="preserve"> </v>
      </c>
      <c r="N66" s="100" t="str">
        <f>IFERROR(VLOOKUP(Tablo5[[#This Row],[ÜRÜN KODU]],YMKODLARI!$A$1:$K$363,8,0)," ")</f>
        <v>HM 003</v>
      </c>
      <c r="O66" s="100" t="str">
        <f>IFERROR(VLOOKUP(Tablo5[[#This Row],[HAMMADDE KODU]],Tablo1[#All],3,0)," ")</f>
        <v>LSR 45</v>
      </c>
      <c r="P66" s="100" t="str">
        <f>IFERROR(VLOOKUP(Tablo5[[#This Row],[HAMMADDE KODU]],Tablo1[#All],4,0)," ")</f>
        <v>SETA</v>
      </c>
      <c r="Q66" s="100">
        <f>IFERROR(VLOOKUP(Tablo5[[#This Row],[ÜRÜN KODU]],YMKODLARI!$A$1:$K$363,5,0)," ")</f>
        <v>51.7</v>
      </c>
      <c r="R66" s="100">
        <f>IFERROR(VLOOKUP(Tablo5[[#This Row],[ÜRÜN KODU]],YMKODLARI!$A$1:$K$363,6,0)," ")</f>
        <v>44.5</v>
      </c>
      <c r="S66" s="100">
        <f>IFERROR(Tablo5[[#This Row],[YOLLUK HARİÇ BASKI GRAMI]]/Tablo5[[#This Row],[KALIP GÖZ ADEDİ]]," ")</f>
        <v>5.5625</v>
      </c>
      <c r="T66" s="100">
        <f t="shared" si="2"/>
        <v>7.2000000000000028</v>
      </c>
      <c r="U66" s="100">
        <v>5.6</v>
      </c>
      <c r="V66" s="100">
        <f t="shared" si="1"/>
        <v>32.567</v>
      </c>
      <c r="W66" s="101">
        <f t="shared" si="3"/>
        <v>24.416666666666668</v>
      </c>
      <c r="X66" s="102">
        <f t="shared" si="4"/>
        <v>10.000000000000028</v>
      </c>
      <c r="Y66" s="100">
        <f t="shared" si="5"/>
        <v>6.06</v>
      </c>
      <c r="Z66" s="100">
        <f t="shared" si="6"/>
        <v>4848</v>
      </c>
    </row>
    <row r="67" spans="1:26">
      <c r="A67" s="100" t="s">
        <v>34</v>
      </c>
      <c r="B67" s="108" t="str">
        <f>IFERROR(VLOOKUP(Tablo5[[#This Row],[ÜRÜN KODU]],YMKODLARI!$A$1:$K$363,2,0)," ")</f>
        <v>BİBERON KLASİK  UC 1 NO</v>
      </c>
      <c r="C67" s="99">
        <v>43921</v>
      </c>
      <c r="D67" s="100" t="s">
        <v>36</v>
      </c>
      <c r="E67" s="101">
        <v>0.83333333333333337</v>
      </c>
      <c r="F67" s="101">
        <v>8</v>
      </c>
      <c r="G67" s="100">
        <f>IFERROR(VLOOKUP(Tablo5[[#This Row],[ÜRÜN KODU]],YMKODLARI!$A$1:$K$363,3,0)," ")</f>
        <v>8</v>
      </c>
      <c r="H67" s="100">
        <f>IFERROR(VLOOKUP(Tablo5[[#This Row],[ÜRÜN KODU]],YMKODLARI!$A$1:$K$363,4,0)," ")</f>
        <v>36</v>
      </c>
      <c r="I67" s="100">
        <v>1067</v>
      </c>
      <c r="J67" s="100" t="str">
        <f>IFERROR(VLOOKUP(Tablo5[[#This Row],[ÜRÜN KODU]],YMKODLARI!$A$1:$K$363,9,0)," ")</f>
        <v>Şeffaf</v>
      </c>
      <c r="K67" s="100" t="str">
        <f>IFERROR(VLOOKUP(Tablo5[[#This Row],[BOYA KODU]],Tablo14[#All],4,0)," ")</f>
        <v xml:space="preserve"> </v>
      </c>
      <c r="L67" s="100" t="str">
        <f>IFERROR(VLOOKUP(Tablo5[[#This Row],[BOYA KODU]],Tablo14[#All],6,0)," ")</f>
        <v xml:space="preserve"> </v>
      </c>
      <c r="M67" s="100" t="str">
        <f t="shared" ref="M67:M130" si="7">IFERROR((I67*Q67)*L67," ")</f>
        <v xml:space="preserve"> </v>
      </c>
      <c r="N67" s="100" t="str">
        <f>IFERROR(VLOOKUP(Tablo5[[#This Row],[ÜRÜN KODU]],YMKODLARI!$A$1:$K$363,8,0)," ")</f>
        <v>HM 003</v>
      </c>
      <c r="O67" s="100" t="str">
        <f>IFERROR(VLOOKUP(Tablo5[[#This Row],[HAMMADDE KODU]],Tablo1[#All],3,0)," ")</f>
        <v>LSR 45</v>
      </c>
      <c r="P67" s="100" t="str">
        <f>IFERROR(VLOOKUP(Tablo5[[#This Row],[HAMMADDE KODU]],Tablo1[#All],4,0)," ")</f>
        <v>SETA</v>
      </c>
      <c r="Q67" s="100">
        <f>IFERROR(VLOOKUP(Tablo5[[#This Row],[ÜRÜN KODU]],YMKODLARI!$A$1:$K$363,5,0)," ")</f>
        <v>51.7</v>
      </c>
      <c r="R67" s="100">
        <f>IFERROR(VLOOKUP(Tablo5[[#This Row],[ÜRÜN KODU]],YMKODLARI!$A$1:$K$363,6,0)," ")</f>
        <v>44.5</v>
      </c>
      <c r="S67" s="100">
        <f>IFERROR(Tablo5[[#This Row],[YOLLUK HARİÇ BASKI GRAMI]]/Tablo5[[#This Row],[KALIP GÖZ ADEDİ]]," ")</f>
        <v>5.5625</v>
      </c>
      <c r="T67" s="100">
        <f t="shared" si="2"/>
        <v>7.2000000000000028</v>
      </c>
      <c r="U67" s="100">
        <v>7.7</v>
      </c>
      <c r="V67" s="100">
        <f t="shared" ref="V67:V130" si="8">IFERROR(U67+(R67*I67) /1000," ")</f>
        <v>55.1815</v>
      </c>
      <c r="W67" s="101">
        <f t="shared" si="3"/>
        <v>31.166666666666668</v>
      </c>
      <c r="X67" s="102">
        <f t="shared" si="4"/>
        <v>4.0000000000000284</v>
      </c>
      <c r="Y67" s="100">
        <f t="shared" si="5"/>
        <v>10.67</v>
      </c>
      <c r="Z67" s="100">
        <f t="shared" si="6"/>
        <v>8536</v>
      </c>
    </row>
    <row r="68" spans="1:26">
      <c r="A68" s="100" t="s">
        <v>34</v>
      </c>
      <c r="B68" s="108" t="str">
        <f>IFERROR(VLOOKUP(Tablo5[[#This Row],[ÜRÜN KODU]],YMKODLARI!$A$1:$K$363,2,0)," ")</f>
        <v>BİBERON KLASİK  UC 1 NO</v>
      </c>
      <c r="C68" s="99">
        <v>43922</v>
      </c>
      <c r="D68" s="100" t="s">
        <v>27</v>
      </c>
      <c r="E68" s="101">
        <v>0.375</v>
      </c>
      <c r="F68" s="101">
        <v>0.79166666666666663</v>
      </c>
      <c r="G68" s="100">
        <f>IFERROR(VLOOKUP(Tablo5[[#This Row],[ÜRÜN KODU]],YMKODLARI!$A$1:$K$363,3,0)," ")</f>
        <v>8</v>
      </c>
      <c r="H68" s="100">
        <f>IFERROR(VLOOKUP(Tablo5[[#This Row],[ÜRÜN KODU]],YMKODLARI!$A$1:$K$363,4,0)," ")</f>
        <v>36</v>
      </c>
      <c r="I68" s="100">
        <v>775</v>
      </c>
      <c r="J68" s="100" t="str">
        <f>IFERROR(VLOOKUP(Tablo5[[#This Row],[ÜRÜN KODU]],YMKODLARI!$A$1:$K$363,9,0)," ")</f>
        <v>Şeffaf</v>
      </c>
      <c r="K68" s="100" t="str">
        <f>IFERROR(VLOOKUP(Tablo5[[#This Row],[BOYA KODU]],Tablo14[#All],4,0)," ")</f>
        <v xml:space="preserve"> </v>
      </c>
      <c r="L68" s="100" t="str">
        <f>IFERROR(VLOOKUP(Tablo5[[#This Row],[BOYA KODU]],Tablo14[#All],6,0)," ")</f>
        <v xml:space="preserve"> </v>
      </c>
      <c r="M68" s="100" t="str">
        <f t="shared" si="7"/>
        <v xml:space="preserve"> </v>
      </c>
      <c r="N68" s="100" t="str">
        <f>IFERROR(VLOOKUP(Tablo5[[#This Row],[ÜRÜN KODU]],YMKODLARI!$A$1:$K$363,8,0)," ")</f>
        <v>HM 003</v>
      </c>
      <c r="O68" s="100" t="str">
        <f>IFERROR(VLOOKUP(Tablo5[[#This Row],[HAMMADDE KODU]],Tablo1[#All],3,0)," ")</f>
        <v>LSR 45</v>
      </c>
      <c r="P68" s="100" t="str">
        <f>IFERROR(VLOOKUP(Tablo5[[#This Row],[HAMMADDE KODU]],Tablo1[#All],4,0)," ")</f>
        <v>SETA</v>
      </c>
      <c r="Q68" s="100">
        <f>IFERROR(VLOOKUP(Tablo5[[#This Row],[ÜRÜN KODU]],YMKODLARI!$A$1:$K$363,5,0)," ")</f>
        <v>51.7</v>
      </c>
      <c r="R68" s="100">
        <f>IFERROR(VLOOKUP(Tablo5[[#This Row],[ÜRÜN KODU]],YMKODLARI!$A$1:$K$363,6,0)," ")</f>
        <v>44.5</v>
      </c>
      <c r="S68" s="100">
        <f>IFERROR(Tablo5[[#This Row],[YOLLUK HARİÇ BASKI GRAMI]]/Tablo5[[#This Row],[KALIP GÖZ ADEDİ]]," ")</f>
        <v>5.5625</v>
      </c>
      <c r="T68" s="100">
        <f t="shared" ref="T68:T131" si="9">IFERROR(Q68-R68," ")</f>
        <v>7.2000000000000028</v>
      </c>
      <c r="U68" s="100">
        <v>5.6</v>
      </c>
      <c r="V68" s="100">
        <f t="shared" si="8"/>
        <v>40.087499999999999</v>
      </c>
      <c r="W68" s="101">
        <f t="shared" ref="W68:W131" si="10">IFERROR(24-(E68-F68)," ")</f>
        <v>24.416666666666668</v>
      </c>
      <c r="X68" s="102">
        <f t="shared" ref="X68:X131" si="11">IFERROR((W68-INT(W68))*24," ")</f>
        <v>10.000000000000028</v>
      </c>
      <c r="Y68" s="100">
        <f t="shared" ref="Y68:Y131" si="12">IFERROR(H68*I68/3600," ")</f>
        <v>7.75</v>
      </c>
      <c r="Z68" s="100">
        <f t="shared" ref="Z68:Z131" si="13">IFERROR(I68*G68," " )</f>
        <v>6200</v>
      </c>
    </row>
    <row r="69" spans="1:26">
      <c r="A69" s="100" t="s">
        <v>34</v>
      </c>
      <c r="B69" s="108" t="str">
        <f>IFERROR(VLOOKUP(Tablo5[[#This Row],[ÜRÜN KODU]],YMKODLARI!$A$1:$K$363,2,0)," ")</f>
        <v>BİBERON KLASİK  UC 1 NO</v>
      </c>
      <c r="C69" s="99">
        <v>43922</v>
      </c>
      <c r="D69" s="100" t="s">
        <v>36</v>
      </c>
      <c r="E69" s="101">
        <v>0.85416666666666663</v>
      </c>
      <c r="F69" s="101">
        <v>0.30555555555555552</v>
      </c>
      <c r="G69" s="100">
        <f>IFERROR(VLOOKUP(Tablo5[[#This Row],[ÜRÜN KODU]],YMKODLARI!$A$1:$K$363,3,0)," ")</f>
        <v>8</v>
      </c>
      <c r="H69" s="100">
        <f>IFERROR(VLOOKUP(Tablo5[[#This Row],[ÜRÜN KODU]],YMKODLARI!$A$1:$K$363,4,0)," ")</f>
        <v>36</v>
      </c>
      <c r="I69" s="100">
        <v>1071</v>
      </c>
      <c r="J69" s="100" t="str">
        <f>IFERROR(VLOOKUP(Tablo5[[#This Row],[ÜRÜN KODU]],YMKODLARI!$A$1:$K$363,9,0)," ")</f>
        <v>Şeffaf</v>
      </c>
      <c r="K69" s="100" t="str">
        <f>IFERROR(VLOOKUP(Tablo5[[#This Row],[BOYA KODU]],Tablo14[#All],4,0)," ")</f>
        <v xml:space="preserve"> </v>
      </c>
      <c r="L69" s="100" t="str">
        <f>IFERROR(VLOOKUP(Tablo5[[#This Row],[BOYA KODU]],Tablo14[#All],6,0)," ")</f>
        <v xml:space="preserve"> </v>
      </c>
      <c r="M69" s="100" t="str">
        <f t="shared" si="7"/>
        <v xml:space="preserve"> </v>
      </c>
      <c r="N69" s="100" t="str">
        <f>IFERROR(VLOOKUP(Tablo5[[#This Row],[ÜRÜN KODU]],YMKODLARI!$A$1:$K$363,8,0)," ")</f>
        <v>HM 003</v>
      </c>
      <c r="O69" s="100" t="str">
        <f>IFERROR(VLOOKUP(Tablo5[[#This Row],[HAMMADDE KODU]],Tablo1[#All],3,0)," ")</f>
        <v>LSR 45</v>
      </c>
      <c r="P69" s="100" t="str">
        <f>IFERROR(VLOOKUP(Tablo5[[#This Row],[HAMMADDE KODU]],Tablo1[#All],4,0)," ")</f>
        <v>SETA</v>
      </c>
      <c r="Q69" s="100">
        <f>IFERROR(VLOOKUP(Tablo5[[#This Row],[ÜRÜN KODU]],YMKODLARI!$A$1:$K$363,5,0)," ")</f>
        <v>51.7</v>
      </c>
      <c r="R69" s="100">
        <f>IFERROR(VLOOKUP(Tablo5[[#This Row],[ÜRÜN KODU]],YMKODLARI!$A$1:$K$363,6,0)," ")</f>
        <v>44.5</v>
      </c>
      <c r="S69" s="100">
        <f>IFERROR(Tablo5[[#This Row],[YOLLUK HARİÇ BASKI GRAMI]]/Tablo5[[#This Row],[KALIP GÖZ ADEDİ]]," ")</f>
        <v>5.5625</v>
      </c>
      <c r="T69" s="100">
        <f t="shared" si="9"/>
        <v>7.2000000000000028</v>
      </c>
      <c r="U69" s="100">
        <v>7.6</v>
      </c>
      <c r="V69" s="100">
        <f t="shared" si="8"/>
        <v>55.259500000000003</v>
      </c>
      <c r="W69" s="101">
        <f t="shared" si="10"/>
        <v>23.451388888888889</v>
      </c>
      <c r="X69" s="102">
        <f t="shared" si="11"/>
        <v>10.833333333333343</v>
      </c>
      <c r="Y69" s="100">
        <f t="shared" si="12"/>
        <v>10.71</v>
      </c>
      <c r="Z69" s="100">
        <f t="shared" si="13"/>
        <v>8568</v>
      </c>
    </row>
    <row r="70" spans="1:26">
      <c r="A70" s="100" t="s">
        <v>34</v>
      </c>
      <c r="B70" s="108" t="str">
        <f>IFERROR(VLOOKUP(Tablo5[[#This Row],[ÜRÜN KODU]],YMKODLARI!$A$1:$K$363,2,0)," ")</f>
        <v>BİBERON KLASİK  UC 1 NO</v>
      </c>
      <c r="C70" s="99">
        <v>43923</v>
      </c>
      <c r="D70" s="100" t="s">
        <v>27</v>
      </c>
      <c r="E70" s="101">
        <v>0.375</v>
      </c>
      <c r="F70" s="101">
        <v>0.79166666666666663</v>
      </c>
      <c r="G70" s="100">
        <f>IFERROR(VLOOKUP(Tablo5[[#This Row],[ÜRÜN KODU]],YMKODLARI!$A$1:$K$363,3,0)," ")</f>
        <v>8</v>
      </c>
      <c r="H70" s="100">
        <f>IFERROR(VLOOKUP(Tablo5[[#This Row],[ÜRÜN KODU]],YMKODLARI!$A$1:$K$363,4,0)," ")</f>
        <v>36</v>
      </c>
      <c r="I70" s="100">
        <v>817</v>
      </c>
      <c r="J70" s="100" t="str">
        <f>IFERROR(VLOOKUP(Tablo5[[#This Row],[ÜRÜN KODU]],YMKODLARI!$A$1:$K$363,9,0)," ")</f>
        <v>Şeffaf</v>
      </c>
      <c r="K70" s="100" t="str">
        <f>IFERROR(VLOOKUP(Tablo5[[#This Row],[BOYA KODU]],Tablo14[#All],4,0)," ")</f>
        <v xml:space="preserve"> </v>
      </c>
      <c r="L70" s="100" t="str">
        <f>IFERROR(VLOOKUP(Tablo5[[#This Row],[BOYA KODU]],Tablo14[#All],6,0)," ")</f>
        <v xml:space="preserve"> </v>
      </c>
      <c r="M70" s="100" t="str">
        <f t="shared" si="7"/>
        <v xml:space="preserve"> </v>
      </c>
      <c r="N70" s="100" t="str">
        <f>IFERROR(VLOOKUP(Tablo5[[#This Row],[ÜRÜN KODU]],YMKODLARI!$A$1:$K$363,8,0)," ")</f>
        <v>HM 003</v>
      </c>
      <c r="O70" s="100" t="str">
        <f>IFERROR(VLOOKUP(Tablo5[[#This Row],[HAMMADDE KODU]],Tablo1[#All],3,0)," ")</f>
        <v>LSR 45</v>
      </c>
      <c r="P70" s="100" t="str">
        <f>IFERROR(VLOOKUP(Tablo5[[#This Row],[HAMMADDE KODU]],Tablo1[#All],4,0)," ")</f>
        <v>SETA</v>
      </c>
      <c r="Q70" s="100">
        <f>IFERROR(VLOOKUP(Tablo5[[#This Row],[ÜRÜN KODU]],YMKODLARI!$A$1:$K$363,5,0)," ")</f>
        <v>51.7</v>
      </c>
      <c r="R70" s="100">
        <f>IFERROR(VLOOKUP(Tablo5[[#This Row],[ÜRÜN KODU]],YMKODLARI!$A$1:$K$363,6,0)," ")</f>
        <v>44.5</v>
      </c>
      <c r="S70" s="100">
        <f>IFERROR(Tablo5[[#This Row],[YOLLUK HARİÇ BASKI GRAMI]]/Tablo5[[#This Row],[KALIP GÖZ ADEDİ]]," ")</f>
        <v>5.5625</v>
      </c>
      <c r="T70" s="100">
        <f t="shared" si="9"/>
        <v>7.2000000000000028</v>
      </c>
      <c r="U70" s="100">
        <v>6.5</v>
      </c>
      <c r="V70" s="100">
        <f t="shared" si="8"/>
        <v>42.856499999999997</v>
      </c>
      <c r="W70" s="101">
        <f t="shared" si="10"/>
        <v>24.416666666666668</v>
      </c>
      <c r="X70" s="102">
        <f t="shared" si="11"/>
        <v>10.000000000000028</v>
      </c>
      <c r="Y70" s="100">
        <f t="shared" si="12"/>
        <v>8.17</v>
      </c>
      <c r="Z70" s="100">
        <f t="shared" si="13"/>
        <v>6536</v>
      </c>
    </row>
    <row r="71" spans="1:26">
      <c r="A71" s="100" t="s">
        <v>34</v>
      </c>
      <c r="B71" s="108" t="str">
        <f>IFERROR(VLOOKUP(Tablo5[[#This Row],[ÜRÜN KODU]],YMKODLARI!$A$1:$K$363,2,0)," ")</f>
        <v>BİBERON KLASİK  UC 1 NO</v>
      </c>
      <c r="C71" s="99">
        <v>43924</v>
      </c>
      <c r="D71" s="100" t="s">
        <v>27</v>
      </c>
      <c r="E71" s="101">
        <v>0.54166666666666663</v>
      </c>
      <c r="F71" s="101">
        <v>0.79166666666666663</v>
      </c>
      <c r="G71" s="100">
        <f>IFERROR(VLOOKUP(Tablo5[[#This Row],[ÜRÜN KODU]],YMKODLARI!$A$1:$K$363,3,0)," ")</f>
        <v>8</v>
      </c>
      <c r="H71" s="100">
        <f>IFERROR(VLOOKUP(Tablo5[[#This Row],[ÜRÜN KODU]],YMKODLARI!$A$1:$K$363,4,0)," ")</f>
        <v>36</v>
      </c>
      <c r="I71" s="100">
        <v>430</v>
      </c>
      <c r="J71" s="100" t="str">
        <f>IFERROR(VLOOKUP(Tablo5[[#This Row],[ÜRÜN KODU]],YMKODLARI!$A$1:$K$363,9,0)," ")</f>
        <v>Şeffaf</v>
      </c>
      <c r="K71" s="100" t="str">
        <f>IFERROR(VLOOKUP(Tablo5[[#This Row],[BOYA KODU]],Tablo14[#All],4,0)," ")</f>
        <v xml:space="preserve"> </v>
      </c>
      <c r="L71" s="100" t="str">
        <f>IFERROR(VLOOKUP(Tablo5[[#This Row],[BOYA KODU]],Tablo14[#All],6,0)," ")</f>
        <v xml:space="preserve"> </v>
      </c>
      <c r="M71" s="100" t="str">
        <f t="shared" si="7"/>
        <v xml:space="preserve"> </v>
      </c>
      <c r="N71" s="100" t="str">
        <f>IFERROR(VLOOKUP(Tablo5[[#This Row],[ÜRÜN KODU]],YMKODLARI!$A$1:$K$363,8,0)," ")</f>
        <v>HM 003</v>
      </c>
      <c r="O71" s="100" t="str">
        <f>IFERROR(VLOOKUP(Tablo5[[#This Row],[HAMMADDE KODU]],Tablo1[#All],3,0)," ")</f>
        <v>LSR 45</v>
      </c>
      <c r="P71" s="100" t="str">
        <f>IFERROR(VLOOKUP(Tablo5[[#This Row],[HAMMADDE KODU]],Tablo1[#All],4,0)," ")</f>
        <v>SETA</v>
      </c>
      <c r="Q71" s="100">
        <f>IFERROR(VLOOKUP(Tablo5[[#This Row],[ÜRÜN KODU]],YMKODLARI!$A$1:$K$363,5,0)," ")</f>
        <v>51.7</v>
      </c>
      <c r="R71" s="100">
        <f>IFERROR(VLOOKUP(Tablo5[[#This Row],[ÜRÜN KODU]],YMKODLARI!$A$1:$K$363,6,0)," ")</f>
        <v>44.5</v>
      </c>
      <c r="S71" s="100">
        <f>IFERROR(Tablo5[[#This Row],[YOLLUK HARİÇ BASKI GRAMI]]/Tablo5[[#This Row],[KALIP GÖZ ADEDİ]]," ")</f>
        <v>5.5625</v>
      </c>
      <c r="T71" s="100">
        <f t="shared" si="9"/>
        <v>7.2000000000000028</v>
      </c>
      <c r="U71" s="100"/>
      <c r="V71" s="100">
        <f t="shared" si="8"/>
        <v>19.135000000000002</v>
      </c>
      <c r="W71" s="101">
        <f t="shared" si="10"/>
        <v>24.25</v>
      </c>
      <c r="X71" s="102">
        <f t="shared" si="11"/>
        <v>6</v>
      </c>
      <c r="Y71" s="100">
        <f t="shared" si="12"/>
        <v>4.3</v>
      </c>
      <c r="Z71" s="100">
        <f t="shared" si="13"/>
        <v>3440</v>
      </c>
    </row>
    <row r="72" spans="1:26">
      <c r="A72" s="100" t="s">
        <v>34</v>
      </c>
      <c r="B72" s="108" t="str">
        <f>IFERROR(VLOOKUP(Tablo5[[#This Row],[ÜRÜN KODU]],YMKODLARI!$A$1:$K$363,2,0)," ")</f>
        <v>BİBERON KLASİK  UC 1 NO</v>
      </c>
      <c r="C72" s="99">
        <v>43924</v>
      </c>
      <c r="D72" s="100" t="s">
        <v>36</v>
      </c>
      <c r="E72" s="101">
        <v>0.84027777777777779</v>
      </c>
      <c r="F72" s="101">
        <v>0.22222222222222221</v>
      </c>
      <c r="G72" s="100">
        <f>IFERROR(VLOOKUP(Tablo5[[#This Row],[ÜRÜN KODU]],YMKODLARI!$A$1:$K$363,3,0)," ")</f>
        <v>8</v>
      </c>
      <c r="H72" s="100">
        <f>IFERROR(VLOOKUP(Tablo5[[#This Row],[ÜRÜN KODU]],YMKODLARI!$A$1:$K$363,4,0)," ")</f>
        <v>36</v>
      </c>
      <c r="I72" s="100">
        <v>807</v>
      </c>
      <c r="J72" s="100" t="str">
        <f>IFERROR(VLOOKUP(Tablo5[[#This Row],[ÜRÜN KODU]],YMKODLARI!$A$1:$K$363,9,0)," ")</f>
        <v>Şeffaf</v>
      </c>
      <c r="K72" s="100" t="str">
        <f>IFERROR(VLOOKUP(Tablo5[[#This Row],[BOYA KODU]],Tablo14[#All],4,0)," ")</f>
        <v xml:space="preserve"> </v>
      </c>
      <c r="L72" s="100" t="str">
        <f>IFERROR(VLOOKUP(Tablo5[[#This Row],[BOYA KODU]],Tablo14[#All],6,0)," ")</f>
        <v xml:space="preserve"> </v>
      </c>
      <c r="M72" s="100" t="str">
        <f t="shared" si="7"/>
        <v xml:space="preserve"> </v>
      </c>
      <c r="N72" s="100" t="str">
        <f>IFERROR(VLOOKUP(Tablo5[[#This Row],[ÜRÜN KODU]],YMKODLARI!$A$1:$K$363,8,0)," ")</f>
        <v>HM 003</v>
      </c>
      <c r="O72" s="100" t="str">
        <f>IFERROR(VLOOKUP(Tablo5[[#This Row],[HAMMADDE KODU]],Tablo1[#All],3,0)," ")</f>
        <v>LSR 45</v>
      </c>
      <c r="P72" s="100" t="str">
        <f>IFERROR(VLOOKUP(Tablo5[[#This Row],[HAMMADDE KODU]],Tablo1[#All],4,0)," ")</f>
        <v>SETA</v>
      </c>
      <c r="Q72" s="100">
        <f>IFERROR(VLOOKUP(Tablo5[[#This Row],[ÜRÜN KODU]],YMKODLARI!$A$1:$K$363,5,0)," ")</f>
        <v>51.7</v>
      </c>
      <c r="R72" s="100">
        <f>IFERROR(VLOOKUP(Tablo5[[#This Row],[ÜRÜN KODU]],YMKODLARI!$A$1:$K$363,6,0)," ")</f>
        <v>44.5</v>
      </c>
      <c r="S72" s="100">
        <f>IFERROR(Tablo5[[#This Row],[YOLLUK HARİÇ BASKI GRAMI]]/Tablo5[[#This Row],[KALIP GÖZ ADEDİ]]," ")</f>
        <v>5.5625</v>
      </c>
      <c r="T72" s="100">
        <f t="shared" si="9"/>
        <v>7.2000000000000028</v>
      </c>
      <c r="U72" s="100">
        <v>6.4</v>
      </c>
      <c r="V72" s="100">
        <f t="shared" si="8"/>
        <v>42.311499999999995</v>
      </c>
      <c r="W72" s="101">
        <f t="shared" si="10"/>
        <v>23.381944444444443</v>
      </c>
      <c r="X72" s="102">
        <f t="shared" si="11"/>
        <v>9.1666666666666288</v>
      </c>
      <c r="Y72" s="100">
        <f t="shared" si="12"/>
        <v>8.07</v>
      </c>
      <c r="Z72" s="100">
        <f t="shared" si="13"/>
        <v>6456</v>
      </c>
    </row>
    <row r="73" spans="1:26">
      <c r="A73" s="100" t="s">
        <v>34</v>
      </c>
      <c r="B73" s="108" t="str">
        <f>IFERROR(VLOOKUP(Tablo5[[#This Row],[ÜRÜN KODU]],YMKODLARI!$A$1:$K$363,2,0)," ")</f>
        <v>BİBERON KLASİK  UC 1 NO</v>
      </c>
      <c r="C73" s="99">
        <v>43927</v>
      </c>
      <c r="D73" s="100" t="s">
        <v>29</v>
      </c>
      <c r="E73" s="101">
        <v>0.33333333333333331</v>
      </c>
      <c r="F73" s="101">
        <v>0.83333333333333337</v>
      </c>
      <c r="G73" s="100">
        <f>IFERROR(VLOOKUP(Tablo5[[#This Row],[ÜRÜN KODU]],YMKODLARI!$A$1:$K$363,3,0)," ")</f>
        <v>8</v>
      </c>
      <c r="H73" s="100">
        <f>IFERROR(VLOOKUP(Tablo5[[#This Row],[ÜRÜN KODU]],YMKODLARI!$A$1:$K$363,4,0)," ")</f>
        <v>36</v>
      </c>
      <c r="I73" s="100">
        <v>1010</v>
      </c>
      <c r="J73" s="100" t="str">
        <f>IFERROR(VLOOKUP(Tablo5[[#This Row],[ÜRÜN KODU]],YMKODLARI!$A$1:$K$363,9,0)," ")</f>
        <v>Şeffaf</v>
      </c>
      <c r="K73" s="100" t="str">
        <f>IFERROR(VLOOKUP(Tablo5[[#This Row],[BOYA KODU]],Tablo14[#All],4,0)," ")</f>
        <v xml:space="preserve"> </v>
      </c>
      <c r="L73" s="100" t="str">
        <f>IFERROR(VLOOKUP(Tablo5[[#This Row],[BOYA KODU]],Tablo14[#All],6,0)," ")</f>
        <v xml:space="preserve"> </v>
      </c>
      <c r="M73" s="100" t="str">
        <f t="shared" si="7"/>
        <v xml:space="preserve"> </v>
      </c>
      <c r="N73" s="100" t="str">
        <f>IFERROR(VLOOKUP(Tablo5[[#This Row],[ÜRÜN KODU]],YMKODLARI!$A$1:$K$363,8,0)," ")</f>
        <v>HM 003</v>
      </c>
      <c r="O73" s="100" t="str">
        <f>IFERROR(VLOOKUP(Tablo5[[#This Row],[HAMMADDE KODU]],Tablo1[#All],3,0)," ")</f>
        <v>LSR 45</v>
      </c>
      <c r="P73" s="100" t="str">
        <f>IFERROR(VLOOKUP(Tablo5[[#This Row],[HAMMADDE KODU]],Tablo1[#All],4,0)," ")</f>
        <v>SETA</v>
      </c>
      <c r="Q73" s="100">
        <f>IFERROR(VLOOKUP(Tablo5[[#This Row],[ÜRÜN KODU]],YMKODLARI!$A$1:$K$363,5,0)," ")</f>
        <v>51.7</v>
      </c>
      <c r="R73" s="100">
        <f>IFERROR(VLOOKUP(Tablo5[[#This Row],[ÜRÜN KODU]],YMKODLARI!$A$1:$K$363,6,0)," ")</f>
        <v>44.5</v>
      </c>
      <c r="S73" s="100">
        <f>IFERROR(Tablo5[[#This Row],[YOLLUK HARİÇ BASKI GRAMI]]/Tablo5[[#This Row],[KALIP GÖZ ADEDİ]]," ")</f>
        <v>5.5625</v>
      </c>
      <c r="T73" s="100">
        <f t="shared" si="9"/>
        <v>7.2000000000000028</v>
      </c>
      <c r="U73" s="100">
        <v>8.7200000000000006</v>
      </c>
      <c r="V73" s="100">
        <f t="shared" si="8"/>
        <v>53.664999999999999</v>
      </c>
      <c r="W73" s="101">
        <f t="shared" si="10"/>
        <v>24.5</v>
      </c>
      <c r="X73" s="102">
        <f t="shared" si="11"/>
        <v>12</v>
      </c>
      <c r="Y73" s="100">
        <f t="shared" si="12"/>
        <v>10.1</v>
      </c>
      <c r="Z73" s="100">
        <f t="shared" si="13"/>
        <v>8080</v>
      </c>
    </row>
    <row r="74" spans="1:26">
      <c r="A74" s="100" t="s">
        <v>34</v>
      </c>
      <c r="B74" s="108" t="str">
        <f>IFERROR(VLOOKUP(Tablo5[[#This Row],[ÜRÜN KODU]],YMKODLARI!$A$1:$K$363,2,0)," ")</f>
        <v>BİBERON KLASİK  UC 1 NO</v>
      </c>
      <c r="C74" s="99">
        <v>43928</v>
      </c>
      <c r="D74" s="100" t="s">
        <v>29</v>
      </c>
      <c r="E74" s="101">
        <v>0.33333333333333331</v>
      </c>
      <c r="F74" s="101">
        <v>0.83333333333333337</v>
      </c>
      <c r="G74" s="100">
        <f>IFERROR(VLOOKUP(Tablo5[[#This Row],[ÜRÜN KODU]],YMKODLARI!$A$1:$K$363,3,0)," ")</f>
        <v>8</v>
      </c>
      <c r="H74" s="100">
        <f>IFERROR(VLOOKUP(Tablo5[[#This Row],[ÜRÜN KODU]],YMKODLARI!$A$1:$K$363,4,0)," ")</f>
        <v>36</v>
      </c>
      <c r="I74" s="100">
        <v>970</v>
      </c>
      <c r="J74" s="100" t="str">
        <f>IFERROR(VLOOKUP(Tablo5[[#This Row],[ÜRÜN KODU]],YMKODLARI!$A$1:$K$363,9,0)," ")</f>
        <v>Şeffaf</v>
      </c>
      <c r="K74" s="100" t="str">
        <f>IFERROR(VLOOKUP(Tablo5[[#This Row],[BOYA KODU]],Tablo14[#All],4,0)," ")</f>
        <v xml:space="preserve"> </v>
      </c>
      <c r="L74" s="100" t="str">
        <f>IFERROR(VLOOKUP(Tablo5[[#This Row],[BOYA KODU]],Tablo14[#All],6,0)," ")</f>
        <v xml:space="preserve"> </v>
      </c>
      <c r="M74" s="100" t="str">
        <f t="shared" si="7"/>
        <v xml:space="preserve"> </v>
      </c>
      <c r="N74" s="100" t="str">
        <f>IFERROR(VLOOKUP(Tablo5[[#This Row],[ÜRÜN KODU]],YMKODLARI!$A$1:$K$363,8,0)," ")</f>
        <v>HM 003</v>
      </c>
      <c r="O74" s="100" t="str">
        <f>IFERROR(VLOOKUP(Tablo5[[#This Row],[HAMMADDE KODU]],Tablo1[#All],3,0)," ")</f>
        <v>LSR 45</v>
      </c>
      <c r="P74" s="100" t="str">
        <f>IFERROR(VLOOKUP(Tablo5[[#This Row],[HAMMADDE KODU]],Tablo1[#All],4,0)," ")</f>
        <v>SETA</v>
      </c>
      <c r="Q74" s="100">
        <f>IFERROR(VLOOKUP(Tablo5[[#This Row],[ÜRÜN KODU]],YMKODLARI!$A$1:$K$363,5,0)," ")</f>
        <v>51.7</v>
      </c>
      <c r="R74" s="100">
        <f>IFERROR(VLOOKUP(Tablo5[[#This Row],[ÜRÜN KODU]],YMKODLARI!$A$1:$K$363,6,0)," ")</f>
        <v>44.5</v>
      </c>
      <c r="S74" s="100">
        <f>IFERROR(Tablo5[[#This Row],[YOLLUK HARİÇ BASKI GRAMI]]/Tablo5[[#This Row],[KALIP GÖZ ADEDİ]]," ")</f>
        <v>5.5625</v>
      </c>
      <c r="T74" s="100">
        <f t="shared" si="9"/>
        <v>7.2000000000000028</v>
      </c>
      <c r="U74" s="100">
        <v>7.3</v>
      </c>
      <c r="V74" s="100">
        <f t="shared" si="8"/>
        <v>50.464999999999996</v>
      </c>
      <c r="W74" s="101">
        <f t="shared" si="10"/>
        <v>24.5</v>
      </c>
      <c r="X74" s="102">
        <f t="shared" si="11"/>
        <v>12</v>
      </c>
      <c r="Y74" s="100">
        <f t="shared" si="12"/>
        <v>9.6999999999999993</v>
      </c>
      <c r="Z74" s="100">
        <f t="shared" si="13"/>
        <v>7760</v>
      </c>
    </row>
    <row r="75" spans="1:26">
      <c r="A75" s="100" t="s">
        <v>34</v>
      </c>
      <c r="B75" s="108" t="str">
        <f>IFERROR(VLOOKUP(Tablo5[[#This Row],[ÜRÜN KODU]],YMKODLARI!$A$1:$K$363,2,0)," ")</f>
        <v>BİBERON KLASİK  UC 1 NO</v>
      </c>
      <c r="C75" s="99">
        <v>43929</v>
      </c>
      <c r="D75" s="100" t="s">
        <v>33</v>
      </c>
      <c r="E75" s="101">
        <v>0.33333333333333331</v>
      </c>
      <c r="F75" s="101">
        <v>0.83333333333333337</v>
      </c>
      <c r="G75" s="100">
        <f>IFERROR(VLOOKUP(Tablo5[[#This Row],[ÜRÜN KODU]],YMKODLARI!$A$1:$K$363,3,0)," ")</f>
        <v>8</v>
      </c>
      <c r="H75" s="100">
        <f>IFERROR(VLOOKUP(Tablo5[[#This Row],[ÜRÜN KODU]],YMKODLARI!$A$1:$K$363,4,0)," ")</f>
        <v>36</v>
      </c>
      <c r="I75" s="100">
        <v>970</v>
      </c>
      <c r="J75" s="100" t="str">
        <f>IFERROR(VLOOKUP(Tablo5[[#This Row],[ÜRÜN KODU]],YMKODLARI!$A$1:$K$363,9,0)," ")</f>
        <v>Şeffaf</v>
      </c>
      <c r="K75" s="100" t="str">
        <f>IFERROR(VLOOKUP(Tablo5[[#This Row],[BOYA KODU]],Tablo14[#All],4,0)," ")</f>
        <v xml:space="preserve"> </v>
      </c>
      <c r="L75" s="100" t="str">
        <f>IFERROR(VLOOKUP(Tablo5[[#This Row],[BOYA KODU]],Tablo14[#All],6,0)," ")</f>
        <v xml:space="preserve"> </v>
      </c>
      <c r="M75" s="100" t="str">
        <f t="shared" si="7"/>
        <v xml:space="preserve"> </v>
      </c>
      <c r="N75" s="100" t="str">
        <f>IFERROR(VLOOKUP(Tablo5[[#This Row],[ÜRÜN KODU]],YMKODLARI!$A$1:$K$363,8,0)," ")</f>
        <v>HM 003</v>
      </c>
      <c r="O75" s="100" t="str">
        <f>IFERROR(VLOOKUP(Tablo5[[#This Row],[HAMMADDE KODU]],Tablo1[#All],3,0)," ")</f>
        <v>LSR 45</v>
      </c>
      <c r="P75" s="100" t="str">
        <f>IFERROR(VLOOKUP(Tablo5[[#This Row],[HAMMADDE KODU]],Tablo1[#All],4,0)," ")</f>
        <v>SETA</v>
      </c>
      <c r="Q75" s="100">
        <f>IFERROR(VLOOKUP(Tablo5[[#This Row],[ÜRÜN KODU]],YMKODLARI!$A$1:$K$363,5,0)," ")</f>
        <v>51.7</v>
      </c>
      <c r="R75" s="100">
        <f>IFERROR(VLOOKUP(Tablo5[[#This Row],[ÜRÜN KODU]],YMKODLARI!$A$1:$K$363,6,0)," ")</f>
        <v>44.5</v>
      </c>
      <c r="S75" s="100">
        <f>IFERROR(Tablo5[[#This Row],[YOLLUK HARİÇ BASKI GRAMI]]/Tablo5[[#This Row],[KALIP GÖZ ADEDİ]]," ")</f>
        <v>5.5625</v>
      </c>
      <c r="T75" s="100">
        <f t="shared" si="9"/>
        <v>7.2000000000000028</v>
      </c>
      <c r="U75" s="100">
        <v>6.9</v>
      </c>
      <c r="V75" s="100">
        <f t="shared" si="8"/>
        <v>50.064999999999998</v>
      </c>
      <c r="W75" s="101">
        <f t="shared" si="10"/>
        <v>24.5</v>
      </c>
      <c r="X75" s="102">
        <f t="shared" si="11"/>
        <v>12</v>
      </c>
      <c r="Y75" s="100">
        <f t="shared" si="12"/>
        <v>9.6999999999999993</v>
      </c>
      <c r="Z75" s="100">
        <f t="shared" si="13"/>
        <v>7760</v>
      </c>
    </row>
    <row r="76" spans="1:26">
      <c r="A76" s="100" t="s">
        <v>34</v>
      </c>
      <c r="B76" s="108" t="str">
        <f>IFERROR(VLOOKUP(Tablo5[[#This Row],[ÜRÜN KODU]],YMKODLARI!$A$1:$K$363,2,0)," ")</f>
        <v>BİBERON KLASİK  UC 1 NO</v>
      </c>
      <c r="C76" s="99">
        <v>43930</v>
      </c>
      <c r="D76" s="100" t="s">
        <v>33</v>
      </c>
      <c r="E76" s="101">
        <v>0.33333333333333331</v>
      </c>
      <c r="F76" s="101">
        <v>0.83333333333333337</v>
      </c>
      <c r="G76" s="100">
        <f>IFERROR(VLOOKUP(Tablo5[[#This Row],[ÜRÜN KODU]],YMKODLARI!$A$1:$K$363,3,0)," ")</f>
        <v>8</v>
      </c>
      <c r="H76" s="100">
        <f>IFERROR(VLOOKUP(Tablo5[[#This Row],[ÜRÜN KODU]],YMKODLARI!$A$1:$K$363,4,0)," ")</f>
        <v>36</v>
      </c>
      <c r="I76" s="100">
        <v>942</v>
      </c>
      <c r="J76" s="100" t="str">
        <f>IFERROR(VLOOKUP(Tablo5[[#This Row],[ÜRÜN KODU]],YMKODLARI!$A$1:$K$363,9,0)," ")</f>
        <v>Şeffaf</v>
      </c>
      <c r="K76" s="100" t="str">
        <f>IFERROR(VLOOKUP(Tablo5[[#This Row],[BOYA KODU]],Tablo14[#All],4,0)," ")</f>
        <v xml:space="preserve"> </v>
      </c>
      <c r="L76" s="100" t="str">
        <f>IFERROR(VLOOKUP(Tablo5[[#This Row],[BOYA KODU]],Tablo14[#All],6,0)," ")</f>
        <v xml:space="preserve"> </v>
      </c>
      <c r="M76" s="100" t="str">
        <f t="shared" si="7"/>
        <v xml:space="preserve"> </v>
      </c>
      <c r="N76" s="100" t="str">
        <f>IFERROR(VLOOKUP(Tablo5[[#This Row],[ÜRÜN KODU]],YMKODLARI!$A$1:$K$363,8,0)," ")</f>
        <v>HM 003</v>
      </c>
      <c r="O76" s="100" t="str">
        <f>IFERROR(VLOOKUP(Tablo5[[#This Row],[HAMMADDE KODU]],Tablo1[#All],3,0)," ")</f>
        <v>LSR 45</v>
      </c>
      <c r="P76" s="100" t="str">
        <f>IFERROR(VLOOKUP(Tablo5[[#This Row],[HAMMADDE KODU]],Tablo1[#All],4,0)," ")</f>
        <v>SETA</v>
      </c>
      <c r="Q76" s="100">
        <f>IFERROR(VLOOKUP(Tablo5[[#This Row],[ÜRÜN KODU]],YMKODLARI!$A$1:$K$363,5,0)," ")</f>
        <v>51.7</v>
      </c>
      <c r="R76" s="100">
        <f>IFERROR(VLOOKUP(Tablo5[[#This Row],[ÜRÜN KODU]],YMKODLARI!$A$1:$K$363,6,0)," ")</f>
        <v>44.5</v>
      </c>
      <c r="S76" s="100">
        <f>IFERROR(Tablo5[[#This Row],[YOLLUK HARİÇ BASKI GRAMI]]/Tablo5[[#This Row],[KALIP GÖZ ADEDİ]]," ")</f>
        <v>5.5625</v>
      </c>
      <c r="T76" s="100">
        <f t="shared" si="9"/>
        <v>7.2000000000000028</v>
      </c>
      <c r="U76" s="100">
        <v>6.6</v>
      </c>
      <c r="V76" s="100">
        <f t="shared" si="8"/>
        <v>48.518999999999998</v>
      </c>
      <c r="W76" s="101">
        <f t="shared" si="10"/>
        <v>24.5</v>
      </c>
      <c r="X76" s="102">
        <f t="shared" si="11"/>
        <v>12</v>
      </c>
      <c r="Y76" s="100">
        <f t="shared" si="12"/>
        <v>9.42</v>
      </c>
      <c r="Z76" s="100">
        <f t="shared" si="13"/>
        <v>7536</v>
      </c>
    </row>
    <row r="77" spans="1:26">
      <c r="A77" s="100" t="s">
        <v>34</v>
      </c>
      <c r="B77" s="108" t="str">
        <f>IFERROR(VLOOKUP(Tablo5[[#This Row],[ÜRÜN KODU]],YMKODLARI!$A$1:$K$363,2,0)," ")</f>
        <v>BİBERON KLASİK  UC 1 NO</v>
      </c>
      <c r="C77" s="99">
        <v>43931</v>
      </c>
      <c r="D77" s="100" t="s">
        <v>33</v>
      </c>
      <c r="E77" s="101">
        <v>0.33333333333333331</v>
      </c>
      <c r="F77" s="101">
        <v>0.83333333333333337</v>
      </c>
      <c r="G77" s="100">
        <f>IFERROR(VLOOKUP(Tablo5[[#This Row],[ÜRÜN KODU]],YMKODLARI!$A$1:$K$363,3,0)," ")</f>
        <v>8</v>
      </c>
      <c r="H77" s="100">
        <f>IFERROR(VLOOKUP(Tablo5[[#This Row],[ÜRÜN KODU]],YMKODLARI!$A$1:$K$363,4,0)," ")</f>
        <v>36</v>
      </c>
      <c r="I77" s="100">
        <v>970</v>
      </c>
      <c r="J77" s="100" t="str">
        <f>IFERROR(VLOOKUP(Tablo5[[#This Row],[ÜRÜN KODU]],YMKODLARI!$A$1:$K$363,9,0)," ")</f>
        <v>Şeffaf</v>
      </c>
      <c r="K77" s="100" t="str">
        <f>IFERROR(VLOOKUP(Tablo5[[#This Row],[BOYA KODU]],Tablo14[#All],4,0)," ")</f>
        <v xml:space="preserve"> </v>
      </c>
      <c r="L77" s="100" t="str">
        <f>IFERROR(VLOOKUP(Tablo5[[#This Row],[BOYA KODU]],Tablo14[#All],6,0)," ")</f>
        <v xml:space="preserve"> </v>
      </c>
      <c r="M77" s="100" t="str">
        <f t="shared" si="7"/>
        <v xml:space="preserve"> </v>
      </c>
      <c r="N77" s="100" t="str">
        <f>IFERROR(VLOOKUP(Tablo5[[#This Row],[ÜRÜN KODU]],YMKODLARI!$A$1:$K$363,8,0)," ")</f>
        <v>HM 003</v>
      </c>
      <c r="O77" s="100" t="str">
        <f>IFERROR(VLOOKUP(Tablo5[[#This Row],[HAMMADDE KODU]],Tablo1[#All],3,0)," ")</f>
        <v>LSR 45</v>
      </c>
      <c r="P77" s="100" t="str">
        <f>IFERROR(VLOOKUP(Tablo5[[#This Row],[HAMMADDE KODU]],Tablo1[#All],4,0)," ")</f>
        <v>SETA</v>
      </c>
      <c r="Q77" s="100">
        <f>IFERROR(VLOOKUP(Tablo5[[#This Row],[ÜRÜN KODU]],YMKODLARI!$A$1:$K$363,5,0)," ")</f>
        <v>51.7</v>
      </c>
      <c r="R77" s="100">
        <f>IFERROR(VLOOKUP(Tablo5[[#This Row],[ÜRÜN KODU]],YMKODLARI!$A$1:$K$363,6,0)," ")</f>
        <v>44.5</v>
      </c>
      <c r="S77" s="100">
        <f>IFERROR(Tablo5[[#This Row],[YOLLUK HARİÇ BASKI GRAMI]]/Tablo5[[#This Row],[KALIP GÖZ ADEDİ]]," ")</f>
        <v>5.5625</v>
      </c>
      <c r="T77" s="100">
        <f t="shared" si="9"/>
        <v>7.2000000000000028</v>
      </c>
      <c r="U77" s="100">
        <v>6.8</v>
      </c>
      <c r="V77" s="100">
        <f t="shared" si="8"/>
        <v>49.964999999999996</v>
      </c>
      <c r="W77" s="101">
        <f t="shared" si="10"/>
        <v>24.5</v>
      </c>
      <c r="X77" s="102">
        <f t="shared" si="11"/>
        <v>12</v>
      </c>
      <c r="Y77" s="100">
        <f t="shared" si="12"/>
        <v>9.6999999999999993</v>
      </c>
      <c r="Z77" s="100">
        <f t="shared" si="13"/>
        <v>7760</v>
      </c>
    </row>
    <row r="78" spans="1:26">
      <c r="A78" s="100" t="s">
        <v>34</v>
      </c>
      <c r="B78" s="108" t="str">
        <f>IFERROR(VLOOKUP(Tablo5[[#This Row],[ÜRÜN KODU]],YMKODLARI!$A$1:$K$363,2,0)," ")</f>
        <v>BİBERON KLASİK  UC 1 NO</v>
      </c>
      <c r="C78" s="99">
        <v>43934</v>
      </c>
      <c r="D78" s="100" t="s">
        <v>33</v>
      </c>
      <c r="E78" s="101">
        <v>0.33333333333333331</v>
      </c>
      <c r="F78" s="101">
        <v>0.83333333333333337</v>
      </c>
      <c r="G78" s="100">
        <f>IFERROR(VLOOKUP(Tablo5[[#This Row],[ÜRÜN KODU]],YMKODLARI!$A$1:$K$363,3,0)," ")</f>
        <v>8</v>
      </c>
      <c r="H78" s="100">
        <f>IFERROR(VLOOKUP(Tablo5[[#This Row],[ÜRÜN KODU]],YMKODLARI!$A$1:$K$363,4,0)," ")</f>
        <v>36</v>
      </c>
      <c r="I78" s="100">
        <v>990</v>
      </c>
      <c r="J78" s="100" t="str">
        <f>IFERROR(VLOOKUP(Tablo5[[#This Row],[ÜRÜN KODU]],YMKODLARI!$A$1:$K$363,9,0)," ")</f>
        <v>Şeffaf</v>
      </c>
      <c r="K78" s="100" t="str">
        <f>IFERROR(VLOOKUP(Tablo5[[#This Row],[BOYA KODU]],Tablo14[#All],4,0)," ")</f>
        <v xml:space="preserve"> </v>
      </c>
      <c r="L78" s="100" t="str">
        <f>IFERROR(VLOOKUP(Tablo5[[#This Row],[BOYA KODU]],Tablo14[#All],6,0)," ")</f>
        <v xml:space="preserve"> </v>
      </c>
      <c r="M78" s="100" t="str">
        <f t="shared" si="7"/>
        <v xml:space="preserve"> </v>
      </c>
      <c r="N78" s="100" t="str">
        <f>IFERROR(VLOOKUP(Tablo5[[#This Row],[ÜRÜN KODU]],YMKODLARI!$A$1:$K$363,8,0)," ")</f>
        <v>HM 003</v>
      </c>
      <c r="O78" s="100" t="str">
        <f>IFERROR(VLOOKUP(Tablo5[[#This Row],[HAMMADDE KODU]],Tablo1[#All],3,0)," ")</f>
        <v>LSR 45</v>
      </c>
      <c r="P78" s="100" t="str">
        <f>IFERROR(VLOOKUP(Tablo5[[#This Row],[HAMMADDE KODU]],Tablo1[#All],4,0)," ")</f>
        <v>SETA</v>
      </c>
      <c r="Q78" s="100">
        <f>IFERROR(VLOOKUP(Tablo5[[#This Row],[ÜRÜN KODU]],YMKODLARI!$A$1:$K$363,5,0)," ")</f>
        <v>51.7</v>
      </c>
      <c r="R78" s="100">
        <f>IFERROR(VLOOKUP(Tablo5[[#This Row],[ÜRÜN KODU]],YMKODLARI!$A$1:$K$363,6,0)," ")</f>
        <v>44.5</v>
      </c>
      <c r="S78" s="100">
        <f>IFERROR(Tablo5[[#This Row],[YOLLUK HARİÇ BASKI GRAMI]]/Tablo5[[#This Row],[KALIP GÖZ ADEDİ]]," ")</f>
        <v>5.5625</v>
      </c>
      <c r="T78" s="100">
        <f t="shared" si="9"/>
        <v>7.2000000000000028</v>
      </c>
      <c r="U78" s="100">
        <v>7</v>
      </c>
      <c r="V78" s="100">
        <f t="shared" si="8"/>
        <v>51.055</v>
      </c>
      <c r="W78" s="101">
        <f t="shared" si="10"/>
        <v>24.5</v>
      </c>
      <c r="X78" s="102">
        <f t="shared" si="11"/>
        <v>12</v>
      </c>
      <c r="Y78" s="100">
        <f t="shared" si="12"/>
        <v>9.9</v>
      </c>
      <c r="Z78" s="100">
        <f t="shared" si="13"/>
        <v>7920</v>
      </c>
    </row>
    <row r="79" spans="1:26">
      <c r="A79" s="100" t="s">
        <v>34</v>
      </c>
      <c r="B79" s="108" t="str">
        <f>IFERROR(VLOOKUP(Tablo5[[#This Row],[ÜRÜN KODU]],YMKODLARI!$A$1:$K$363,2,0)," ")</f>
        <v>BİBERON KLASİK  UC 1 NO</v>
      </c>
      <c r="C79" s="99">
        <v>43935</v>
      </c>
      <c r="D79" s="100" t="s">
        <v>33</v>
      </c>
      <c r="E79" s="101">
        <v>0.33333333333333331</v>
      </c>
      <c r="F79" s="101">
        <v>0.83333333333333337</v>
      </c>
      <c r="G79" s="100">
        <f>IFERROR(VLOOKUP(Tablo5[[#This Row],[ÜRÜN KODU]],YMKODLARI!$A$1:$K$363,3,0)," ")</f>
        <v>8</v>
      </c>
      <c r="H79" s="100">
        <f>IFERROR(VLOOKUP(Tablo5[[#This Row],[ÜRÜN KODU]],YMKODLARI!$A$1:$K$363,4,0)," ")</f>
        <v>36</v>
      </c>
      <c r="I79" s="100">
        <v>1003</v>
      </c>
      <c r="J79" s="100" t="str">
        <f>IFERROR(VLOOKUP(Tablo5[[#This Row],[ÜRÜN KODU]],YMKODLARI!$A$1:$K$363,9,0)," ")</f>
        <v>Şeffaf</v>
      </c>
      <c r="K79" s="100" t="str">
        <f>IFERROR(VLOOKUP(Tablo5[[#This Row],[BOYA KODU]],Tablo14[#All],4,0)," ")</f>
        <v xml:space="preserve"> </v>
      </c>
      <c r="L79" s="100" t="str">
        <f>IFERROR(VLOOKUP(Tablo5[[#This Row],[BOYA KODU]],Tablo14[#All],6,0)," ")</f>
        <v xml:space="preserve"> </v>
      </c>
      <c r="M79" s="100" t="str">
        <f t="shared" si="7"/>
        <v xml:space="preserve"> </v>
      </c>
      <c r="N79" s="100" t="str">
        <f>IFERROR(VLOOKUP(Tablo5[[#This Row],[ÜRÜN KODU]],YMKODLARI!$A$1:$K$363,8,0)," ")</f>
        <v>HM 003</v>
      </c>
      <c r="O79" s="100" t="str">
        <f>IFERROR(VLOOKUP(Tablo5[[#This Row],[HAMMADDE KODU]],Tablo1[#All],3,0)," ")</f>
        <v>LSR 45</v>
      </c>
      <c r="P79" s="100" t="str">
        <f>IFERROR(VLOOKUP(Tablo5[[#This Row],[HAMMADDE KODU]],Tablo1[#All],4,0)," ")</f>
        <v>SETA</v>
      </c>
      <c r="Q79" s="100">
        <f>IFERROR(VLOOKUP(Tablo5[[#This Row],[ÜRÜN KODU]],YMKODLARI!$A$1:$K$363,5,0)," ")</f>
        <v>51.7</v>
      </c>
      <c r="R79" s="100">
        <f>IFERROR(VLOOKUP(Tablo5[[#This Row],[ÜRÜN KODU]],YMKODLARI!$A$1:$K$363,6,0)," ")</f>
        <v>44.5</v>
      </c>
      <c r="S79" s="100">
        <f>IFERROR(Tablo5[[#This Row],[YOLLUK HARİÇ BASKI GRAMI]]/Tablo5[[#This Row],[KALIP GÖZ ADEDİ]]," ")</f>
        <v>5.5625</v>
      </c>
      <c r="T79" s="100">
        <f t="shared" si="9"/>
        <v>7.2000000000000028</v>
      </c>
      <c r="U79" s="100">
        <v>7.3</v>
      </c>
      <c r="V79" s="100">
        <f t="shared" si="8"/>
        <v>51.933499999999995</v>
      </c>
      <c r="W79" s="101">
        <f t="shared" si="10"/>
        <v>24.5</v>
      </c>
      <c r="X79" s="102">
        <f t="shared" si="11"/>
        <v>12</v>
      </c>
      <c r="Y79" s="100">
        <f t="shared" si="12"/>
        <v>10.029999999999999</v>
      </c>
      <c r="Z79" s="100">
        <f t="shared" si="13"/>
        <v>8024</v>
      </c>
    </row>
    <row r="80" spans="1:26">
      <c r="A80" s="100" t="s">
        <v>34</v>
      </c>
      <c r="B80" s="108" t="str">
        <f>IFERROR(VLOOKUP(Tablo5[[#This Row],[ÜRÜN KODU]],YMKODLARI!$A$1:$K$363,2,0)," ")</f>
        <v>BİBERON KLASİK  UC 1 NO</v>
      </c>
      <c r="C80" s="99">
        <v>43935</v>
      </c>
      <c r="D80" s="100" t="s">
        <v>36</v>
      </c>
      <c r="E80" s="101">
        <v>0.85416666666666663</v>
      </c>
      <c r="F80" s="101">
        <v>0.33333333333333331</v>
      </c>
      <c r="G80" s="100">
        <f>IFERROR(VLOOKUP(Tablo5[[#This Row],[ÜRÜN KODU]],YMKODLARI!$A$1:$K$363,3,0)," ")</f>
        <v>8</v>
      </c>
      <c r="H80" s="100">
        <f>IFERROR(VLOOKUP(Tablo5[[#This Row],[ÜRÜN KODU]],YMKODLARI!$A$1:$K$363,4,0)," ")</f>
        <v>36</v>
      </c>
      <c r="I80" s="100">
        <v>1075</v>
      </c>
      <c r="J80" s="100" t="str">
        <f>IFERROR(VLOOKUP(Tablo5[[#This Row],[ÜRÜN KODU]],YMKODLARI!$A$1:$K$363,9,0)," ")</f>
        <v>Şeffaf</v>
      </c>
      <c r="K80" s="100" t="str">
        <f>IFERROR(VLOOKUP(Tablo5[[#This Row],[BOYA KODU]],Tablo14[#All],4,0)," ")</f>
        <v xml:space="preserve"> </v>
      </c>
      <c r="L80" s="100" t="str">
        <f>IFERROR(VLOOKUP(Tablo5[[#This Row],[BOYA KODU]],Tablo14[#All],6,0)," ")</f>
        <v xml:space="preserve"> </v>
      </c>
      <c r="M80" s="100" t="str">
        <f t="shared" si="7"/>
        <v xml:space="preserve"> </v>
      </c>
      <c r="N80" s="100" t="str">
        <f>IFERROR(VLOOKUP(Tablo5[[#This Row],[ÜRÜN KODU]],YMKODLARI!$A$1:$K$363,8,0)," ")</f>
        <v>HM 003</v>
      </c>
      <c r="O80" s="100" t="str">
        <f>IFERROR(VLOOKUP(Tablo5[[#This Row],[HAMMADDE KODU]],Tablo1[#All],3,0)," ")</f>
        <v>LSR 45</v>
      </c>
      <c r="P80" s="100" t="str">
        <f>IFERROR(VLOOKUP(Tablo5[[#This Row],[HAMMADDE KODU]],Tablo1[#All],4,0)," ")</f>
        <v>SETA</v>
      </c>
      <c r="Q80" s="100">
        <f>IFERROR(VLOOKUP(Tablo5[[#This Row],[ÜRÜN KODU]],YMKODLARI!$A$1:$K$363,5,0)," ")</f>
        <v>51.7</v>
      </c>
      <c r="R80" s="100">
        <f>IFERROR(VLOOKUP(Tablo5[[#This Row],[ÜRÜN KODU]],YMKODLARI!$A$1:$K$363,6,0)," ")</f>
        <v>44.5</v>
      </c>
      <c r="S80" s="100">
        <f>IFERROR(Tablo5[[#This Row],[YOLLUK HARİÇ BASKI GRAMI]]/Tablo5[[#This Row],[KALIP GÖZ ADEDİ]]," ")</f>
        <v>5.5625</v>
      </c>
      <c r="T80" s="100">
        <f t="shared" si="9"/>
        <v>7.2000000000000028</v>
      </c>
      <c r="U80" s="100">
        <v>8</v>
      </c>
      <c r="V80" s="100">
        <f t="shared" si="8"/>
        <v>55.837499999999999</v>
      </c>
      <c r="W80" s="101">
        <f t="shared" si="10"/>
        <v>23.479166666666668</v>
      </c>
      <c r="X80" s="102">
        <f t="shared" si="11"/>
        <v>11.500000000000028</v>
      </c>
      <c r="Y80" s="100">
        <f t="shared" si="12"/>
        <v>10.75</v>
      </c>
      <c r="Z80" s="100">
        <f t="shared" si="13"/>
        <v>8600</v>
      </c>
    </row>
    <row r="81" spans="1:26">
      <c r="A81" s="100" t="s">
        <v>34</v>
      </c>
      <c r="B81" s="108" t="str">
        <f>IFERROR(VLOOKUP(Tablo5[[#This Row],[ÜRÜN KODU]],YMKODLARI!$A$1:$K$363,2,0)," ")</f>
        <v>BİBERON KLASİK  UC 1 NO</v>
      </c>
      <c r="C81" s="99">
        <v>43936</v>
      </c>
      <c r="D81" s="100" t="s">
        <v>33</v>
      </c>
      <c r="E81" s="101">
        <v>0.33333333333333331</v>
      </c>
      <c r="F81" s="101">
        <v>0.83333333333333337</v>
      </c>
      <c r="G81" s="100">
        <f>IFERROR(VLOOKUP(Tablo5[[#This Row],[ÜRÜN KODU]],YMKODLARI!$A$1:$K$363,3,0)," ")</f>
        <v>8</v>
      </c>
      <c r="H81" s="100">
        <f>IFERROR(VLOOKUP(Tablo5[[#This Row],[ÜRÜN KODU]],YMKODLARI!$A$1:$K$363,4,0)," ")</f>
        <v>36</v>
      </c>
      <c r="I81" s="100">
        <v>1012</v>
      </c>
      <c r="J81" s="100" t="str">
        <f>IFERROR(VLOOKUP(Tablo5[[#This Row],[ÜRÜN KODU]],YMKODLARI!$A$1:$K$363,9,0)," ")</f>
        <v>Şeffaf</v>
      </c>
      <c r="K81" s="100" t="str">
        <f>IFERROR(VLOOKUP(Tablo5[[#This Row],[BOYA KODU]],Tablo14[#All],4,0)," ")</f>
        <v xml:space="preserve"> </v>
      </c>
      <c r="L81" s="100" t="str">
        <f>IFERROR(VLOOKUP(Tablo5[[#This Row],[BOYA KODU]],Tablo14[#All],6,0)," ")</f>
        <v xml:space="preserve"> </v>
      </c>
      <c r="M81" s="100" t="str">
        <f t="shared" si="7"/>
        <v xml:space="preserve"> </v>
      </c>
      <c r="N81" s="100" t="str">
        <f>IFERROR(VLOOKUP(Tablo5[[#This Row],[ÜRÜN KODU]],YMKODLARI!$A$1:$K$363,8,0)," ")</f>
        <v>HM 003</v>
      </c>
      <c r="O81" s="100" t="str">
        <f>IFERROR(VLOOKUP(Tablo5[[#This Row],[HAMMADDE KODU]],Tablo1[#All],3,0)," ")</f>
        <v>LSR 45</v>
      </c>
      <c r="P81" s="100" t="str">
        <f>IFERROR(VLOOKUP(Tablo5[[#This Row],[HAMMADDE KODU]],Tablo1[#All],4,0)," ")</f>
        <v>SETA</v>
      </c>
      <c r="Q81" s="100">
        <f>IFERROR(VLOOKUP(Tablo5[[#This Row],[ÜRÜN KODU]],YMKODLARI!$A$1:$K$363,5,0)," ")</f>
        <v>51.7</v>
      </c>
      <c r="R81" s="100">
        <f>IFERROR(VLOOKUP(Tablo5[[#This Row],[ÜRÜN KODU]],YMKODLARI!$A$1:$K$363,6,0)," ")</f>
        <v>44.5</v>
      </c>
      <c r="S81" s="100">
        <f>IFERROR(Tablo5[[#This Row],[YOLLUK HARİÇ BASKI GRAMI]]/Tablo5[[#This Row],[KALIP GÖZ ADEDİ]]," ")</f>
        <v>5.5625</v>
      </c>
      <c r="T81" s="100">
        <f t="shared" si="9"/>
        <v>7.2000000000000028</v>
      </c>
      <c r="U81" s="100">
        <v>7.5</v>
      </c>
      <c r="V81" s="100">
        <f t="shared" si="8"/>
        <v>52.533999999999999</v>
      </c>
      <c r="W81" s="101">
        <f t="shared" si="10"/>
        <v>24.5</v>
      </c>
      <c r="X81" s="102">
        <f t="shared" si="11"/>
        <v>12</v>
      </c>
      <c r="Y81" s="100">
        <f t="shared" si="12"/>
        <v>10.119999999999999</v>
      </c>
      <c r="Z81" s="100">
        <f t="shared" si="13"/>
        <v>8096</v>
      </c>
    </row>
    <row r="82" spans="1:26">
      <c r="A82" s="100" t="s">
        <v>34</v>
      </c>
      <c r="B82" s="108" t="str">
        <f>IFERROR(VLOOKUP(Tablo5[[#This Row],[ÜRÜN KODU]],YMKODLARI!$A$1:$K$363,2,0)," ")</f>
        <v>BİBERON KLASİK  UC 1 NO</v>
      </c>
      <c r="C82" s="99">
        <v>43936</v>
      </c>
      <c r="D82" s="100" t="s">
        <v>36</v>
      </c>
      <c r="E82" s="101">
        <v>0.83333333333333337</v>
      </c>
      <c r="F82" s="101">
        <v>0.33333333333333331</v>
      </c>
      <c r="G82" s="100">
        <f>IFERROR(VLOOKUP(Tablo5[[#This Row],[ÜRÜN KODU]],YMKODLARI!$A$1:$K$363,3,0)," ")</f>
        <v>8</v>
      </c>
      <c r="H82" s="100">
        <f>IFERROR(VLOOKUP(Tablo5[[#This Row],[ÜRÜN KODU]],YMKODLARI!$A$1:$K$363,4,0)," ")</f>
        <v>36</v>
      </c>
      <c r="I82" s="100">
        <v>1085</v>
      </c>
      <c r="J82" s="100" t="str">
        <f>IFERROR(VLOOKUP(Tablo5[[#This Row],[ÜRÜN KODU]],YMKODLARI!$A$1:$K$363,9,0)," ")</f>
        <v>Şeffaf</v>
      </c>
      <c r="K82" s="100" t="str">
        <f>IFERROR(VLOOKUP(Tablo5[[#This Row],[BOYA KODU]],Tablo14[#All],4,0)," ")</f>
        <v xml:space="preserve"> </v>
      </c>
      <c r="L82" s="100" t="str">
        <f>IFERROR(VLOOKUP(Tablo5[[#This Row],[BOYA KODU]],Tablo14[#All],6,0)," ")</f>
        <v xml:space="preserve"> </v>
      </c>
      <c r="M82" s="100" t="str">
        <f t="shared" si="7"/>
        <v xml:space="preserve"> </v>
      </c>
      <c r="N82" s="100" t="str">
        <f>IFERROR(VLOOKUP(Tablo5[[#This Row],[ÜRÜN KODU]],YMKODLARI!$A$1:$K$363,8,0)," ")</f>
        <v>HM 003</v>
      </c>
      <c r="O82" s="100" t="str">
        <f>IFERROR(VLOOKUP(Tablo5[[#This Row],[HAMMADDE KODU]],Tablo1[#All],3,0)," ")</f>
        <v>LSR 45</v>
      </c>
      <c r="P82" s="100" t="str">
        <f>IFERROR(VLOOKUP(Tablo5[[#This Row],[HAMMADDE KODU]],Tablo1[#All],4,0)," ")</f>
        <v>SETA</v>
      </c>
      <c r="Q82" s="100">
        <f>IFERROR(VLOOKUP(Tablo5[[#This Row],[ÜRÜN KODU]],YMKODLARI!$A$1:$K$363,5,0)," ")</f>
        <v>51.7</v>
      </c>
      <c r="R82" s="100">
        <f>IFERROR(VLOOKUP(Tablo5[[#This Row],[ÜRÜN KODU]],YMKODLARI!$A$1:$K$363,6,0)," ")</f>
        <v>44.5</v>
      </c>
      <c r="S82" s="100">
        <f>IFERROR(Tablo5[[#This Row],[YOLLUK HARİÇ BASKI GRAMI]]/Tablo5[[#This Row],[KALIP GÖZ ADEDİ]]," ")</f>
        <v>5.5625</v>
      </c>
      <c r="T82" s="100">
        <f t="shared" si="9"/>
        <v>7.2000000000000028</v>
      </c>
      <c r="U82" s="100">
        <v>8</v>
      </c>
      <c r="V82" s="100">
        <f t="shared" si="8"/>
        <v>56.282499999999999</v>
      </c>
      <c r="W82" s="101">
        <f t="shared" si="10"/>
        <v>23.5</v>
      </c>
      <c r="X82" s="102">
        <f t="shared" si="11"/>
        <v>12</v>
      </c>
      <c r="Y82" s="100">
        <f t="shared" si="12"/>
        <v>10.85</v>
      </c>
      <c r="Z82" s="100">
        <f t="shared" si="13"/>
        <v>8680</v>
      </c>
    </row>
    <row r="83" spans="1:26">
      <c r="A83" s="100" t="s">
        <v>34</v>
      </c>
      <c r="B83" s="108" t="str">
        <f>IFERROR(VLOOKUP(Tablo5[[#This Row],[ÜRÜN KODU]],YMKODLARI!$A$1:$K$363,2,0)," ")</f>
        <v>BİBERON KLASİK  UC 1 NO</v>
      </c>
      <c r="C83" s="99">
        <v>43937</v>
      </c>
      <c r="D83" s="100" t="s">
        <v>29</v>
      </c>
      <c r="E83" s="101">
        <v>0.33333333333333331</v>
      </c>
      <c r="F83" s="101">
        <v>0.36944444444444446</v>
      </c>
      <c r="G83" s="100">
        <f>IFERROR(VLOOKUP(Tablo5[[#This Row],[ÜRÜN KODU]],YMKODLARI!$A$1:$K$363,3,0)," ")</f>
        <v>8</v>
      </c>
      <c r="H83" s="100">
        <f>IFERROR(VLOOKUP(Tablo5[[#This Row],[ÜRÜN KODU]],YMKODLARI!$A$1:$K$363,4,0)," ")</f>
        <v>36</v>
      </c>
      <c r="I83" s="100">
        <v>92</v>
      </c>
      <c r="J83" s="100" t="str">
        <f>IFERROR(VLOOKUP(Tablo5[[#This Row],[ÜRÜN KODU]],YMKODLARI!$A$1:$K$363,9,0)," ")</f>
        <v>Şeffaf</v>
      </c>
      <c r="K83" s="100" t="str">
        <f>IFERROR(VLOOKUP(Tablo5[[#This Row],[BOYA KODU]],Tablo14[#All],4,0)," ")</f>
        <v xml:space="preserve"> </v>
      </c>
      <c r="L83" s="100" t="str">
        <f>IFERROR(VLOOKUP(Tablo5[[#This Row],[BOYA KODU]],Tablo14[#All],6,0)," ")</f>
        <v xml:space="preserve"> </v>
      </c>
      <c r="M83" s="100" t="str">
        <f t="shared" si="7"/>
        <v xml:space="preserve"> </v>
      </c>
      <c r="N83" s="100" t="str">
        <f>IFERROR(VLOOKUP(Tablo5[[#This Row],[ÜRÜN KODU]],YMKODLARI!$A$1:$K$363,8,0)," ")</f>
        <v>HM 003</v>
      </c>
      <c r="O83" s="100" t="str">
        <f>IFERROR(VLOOKUP(Tablo5[[#This Row],[HAMMADDE KODU]],Tablo1[#All],3,0)," ")</f>
        <v>LSR 45</v>
      </c>
      <c r="P83" s="100" t="str">
        <f>IFERROR(VLOOKUP(Tablo5[[#This Row],[HAMMADDE KODU]],Tablo1[#All],4,0)," ")</f>
        <v>SETA</v>
      </c>
      <c r="Q83" s="100">
        <f>IFERROR(VLOOKUP(Tablo5[[#This Row],[ÜRÜN KODU]],YMKODLARI!$A$1:$K$363,5,0)," ")</f>
        <v>51.7</v>
      </c>
      <c r="R83" s="100">
        <f>IFERROR(VLOOKUP(Tablo5[[#This Row],[ÜRÜN KODU]],YMKODLARI!$A$1:$K$363,6,0)," ")</f>
        <v>44.5</v>
      </c>
      <c r="S83" s="100">
        <f>IFERROR(Tablo5[[#This Row],[YOLLUK HARİÇ BASKI GRAMI]]/Tablo5[[#This Row],[KALIP GÖZ ADEDİ]]," ")</f>
        <v>5.5625</v>
      </c>
      <c r="T83" s="100">
        <f t="shared" si="9"/>
        <v>7.2000000000000028</v>
      </c>
      <c r="U83" s="100">
        <v>1.7</v>
      </c>
      <c r="V83" s="100">
        <f t="shared" si="8"/>
        <v>5.7940000000000005</v>
      </c>
      <c r="W83" s="101">
        <f t="shared" si="10"/>
        <v>24.036111111111111</v>
      </c>
      <c r="X83" s="102">
        <f t="shared" si="11"/>
        <v>0.86666666666667425</v>
      </c>
      <c r="Y83" s="100">
        <f t="shared" si="12"/>
        <v>0.92</v>
      </c>
      <c r="Z83" s="100">
        <f t="shared" si="13"/>
        <v>736</v>
      </c>
    </row>
    <row r="84" spans="1:26">
      <c r="A84" s="100" t="s">
        <v>28</v>
      </c>
      <c r="B84" s="108" t="str">
        <f>IFERROR(VLOOKUP(Tablo5[[#This Row],[ÜRÜN KODU]],YMKODLARI!$A$1:$K$363,2,0)," ")</f>
        <v>BİBERON KLASİK  UC 2 NO</v>
      </c>
      <c r="C84" s="99">
        <v>43937</v>
      </c>
      <c r="D84" s="100" t="s">
        <v>29</v>
      </c>
      <c r="E84" s="101">
        <v>0.61388888888888882</v>
      </c>
      <c r="F84" s="101">
        <v>0.83333333333333337</v>
      </c>
      <c r="G84" s="100">
        <f>IFERROR(VLOOKUP(Tablo5[[#This Row],[ÜRÜN KODU]],YMKODLARI!$A$1:$K$363,3,0)," ")</f>
        <v>8</v>
      </c>
      <c r="H84" s="100">
        <f>IFERROR(VLOOKUP(Tablo5[[#This Row],[ÜRÜN KODU]],YMKODLARI!$A$1:$K$363,4,0)," ")</f>
        <v>41</v>
      </c>
      <c r="I84" s="100">
        <v>430</v>
      </c>
      <c r="J84" s="100" t="str">
        <f>IFERROR(VLOOKUP(Tablo5[[#This Row],[ÜRÜN KODU]],YMKODLARI!$A$1:$K$363,9,0)," ")</f>
        <v>Şeffaf</v>
      </c>
      <c r="K84" s="100" t="str">
        <f>IFERROR(VLOOKUP(Tablo5[[#This Row],[BOYA KODU]],Tablo14[#All],4,0)," ")</f>
        <v xml:space="preserve"> </v>
      </c>
      <c r="L84" s="100" t="str">
        <f>IFERROR(VLOOKUP(Tablo5[[#This Row],[BOYA KODU]],Tablo14[#All],6,0)," ")</f>
        <v xml:space="preserve"> </v>
      </c>
      <c r="M84" s="100" t="str">
        <f t="shared" si="7"/>
        <v xml:space="preserve"> </v>
      </c>
      <c r="N84" s="100" t="str">
        <f>IFERROR(VLOOKUP(Tablo5[[#This Row],[ÜRÜN KODU]],YMKODLARI!$A$1:$K$363,8,0)," ")</f>
        <v>HM 003</v>
      </c>
      <c r="O84" s="100" t="str">
        <f>IFERROR(VLOOKUP(Tablo5[[#This Row],[HAMMADDE KODU]],Tablo1[#All],3,0)," ")</f>
        <v>LSR 45</v>
      </c>
      <c r="P84" s="100" t="str">
        <f>IFERROR(VLOOKUP(Tablo5[[#This Row],[HAMMADDE KODU]],Tablo1[#All],4,0)," ")</f>
        <v>SETA</v>
      </c>
      <c r="Q84" s="100">
        <f>IFERROR(VLOOKUP(Tablo5[[#This Row],[ÜRÜN KODU]],YMKODLARI!$A$1:$K$363,5,0)," ")</f>
        <v>54.8</v>
      </c>
      <c r="R84" s="100">
        <f>IFERROR(VLOOKUP(Tablo5[[#This Row],[ÜRÜN KODU]],YMKODLARI!$A$1:$K$363,6,0)," ")</f>
        <v>48.1</v>
      </c>
      <c r="S84" s="100">
        <f>IFERROR(Tablo5[[#This Row],[YOLLUK HARİÇ BASKI GRAMI]]/Tablo5[[#This Row],[KALIP GÖZ ADEDİ]]," ")</f>
        <v>6.0125000000000002</v>
      </c>
      <c r="T84" s="100">
        <f t="shared" si="9"/>
        <v>6.6999999999999957</v>
      </c>
      <c r="U84" s="100">
        <v>3.7</v>
      </c>
      <c r="V84" s="100">
        <f t="shared" si="8"/>
        <v>24.382999999999999</v>
      </c>
      <c r="W84" s="101">
        <f t="shared" si="10"/>
        <v>24.219444444444445</v>
      </c>
      <c r="X84" s="102">
        <f t="shared" si="11"/>
        <v>5.2666666666666799</v>
      </c>
      <c r="Y84" s="100">
        <f t="shared" si="12"/>
        <v>4.8972222222222221</v>
      </c>
      <c r="Z84" s="100">
        <f t="shared" si="13"/>
        <v>3440</v>
      </c>
    </row>
    <row r="85" spans="1:26">
      <c r="A85" s="100" t="s">
        <v>28</v>
      </c>
      <c r="B85" s="108" t="str">
        <f>IFERROR(VLOOKUP(Tablo5[[#This Row],[ÜRÜN KODU]],YMKODLARI!$A$1:$K$363,2,0)," ")</f>
        <v>BİBERON KLASİK  UC 2 NO</v>
      </c>
      <c r="C85" s="99">
        <v>43937</v>
      </c>
      <c r="D85" s="100" t="s">
        <v>36</v>
      </c>
      <c r="E85" s="101">
        <v>0.83333333333333337</v>
      </c>
      <c r="F85" s="101">
        <v>0.33333333333333331</v>
      </c>
      <c r="G85" s="100">
        <f>IFERROR(VLOOKUP(Tablo5[[#This Row],[ÜRÜN KODU]],YMKODLARI!$A$1:$K$363,3,0)," ")</f>
        <v>8</v>
      </c>
      <c r="H85" s="100">
        <f>IFERROR(VLOOKUP(Tablo5[[#This Row],[ÜRÜN KODU]],YMKODLARI!$A$1:$K$363,4,0)," ")</f>
        <v>41</v>
      </c>
      <c r="I85" s="100">
        <v>940</v>
      </c>
      <c r="J85" s="100" t="str">
        <f>IFERROR(VLOOKUP(Tablo5[[#This Row],[ÜRÜN KODU]],YMKODLARI!$A$1:$K$363,9,0)," ")</f>
        <v>Şeffaf</v>
      </c>
      <c r="K85" s="100" t="str">
        <f>IFERROR(VLOOKUP(Tablo5[[#This Row],[BOYA KODU]],Tablo14[#All],4,0)," ")</f>
        <v xml:space="preserve"> </v>
      </c>
      <c r="L85" s="100" t="str">
        <f>IFERROR(VLOOKUP(Tablo5[[#This Row],[BOYA KODU]],Tablo14[#All],6,0)," ")</f>
        <v xml:space="preserve"> </v>
      </c>
      <c r="M85" s="100" t="str">
        <f t="shared" si="7"/>
        <v xml:space="preserve"> </v>
      </c>
      <c r="N85" s="100" t="str">
        <f>IFERROR(VLOOKUP(Tablo5[[#This Row],[ÜRÜN KODU]],YMKODLARI!$A$1:$K$363,8,0)," ")</f>
        <v>HM 003</v>
      </c>
      <c r="O85" s="100" t="str">
        <f>IFERROR(VLOOKUP(Tablo5[[#This Row],[HAMMADDE KODU]],Tablo1[#All],3,0)," ")</f>
        <v>LSR 45</v>
      </c>
      <c r="P85" s="100" t="str">
        <f>IFERROR(VLOOKUP(Tablo5[[#This Row],[HAMMADDE KODU]],Tablo1[#All],4,0)," ")</f>
        <v>SETA</v>
      </c>
      <c r="Q85" s="100">
        <f>IFERROR(VLOOKUP(Tablo5[[#This Row],[ÜRÜN KODU]],YMKODLARI!$A$1:$K$363,5,0)," ")</f>
        <v>54.8</v>
      </c>
      <c r="R85" s="100">
        <f>IFERROR(VLOOKUP(Tablo5[[#This Row],[ÜRÜN KODU]],YMKODLARI!$A$1:$K$363,6,0)," ")</f>
        <v>48.1</v>
      </c>
      <c r="S85" s="100">
        <f>IFERROR(Tablo5[[#This Row],[YOLLUK HARİÇ BASKI GRAMI]]/Tablo5[[#This Row],[KALIP GÖZ ADEDİ]]," ")</f>
        <v>6.0125000000000002</v>
      </c>
      <c r="T85" s="100">
        <f t="shared" si="9"/>
        <v>6.6999999999999957</v>
      </c>
      <c r="U85" s="100">
        <v>6.6</v>
      </c>
      <c r="V85" s="100">
        <f t="shared" si="8"/>
        <v>51.814</v>
      </c>
      <c r="W85" s="101">
        <f t="shared" si="10"/>
        <v>23.5</v>
      </c>
      <c r="X85" s="102">
        <f t="shared" si="11"/>
        <v>12</v>
      </c>
      <c r="Y85" s="100">
        <f t="shared" si="12"/>
        <v>10.705555555555556</v>
      </c>
      <c r="Z85" s="100">
        <f t="shared" si="13"/>
        <v>7520</v>
      </c>
    </row>
    <row r="86" spans="1:26">
      <c r="A86" s="100" t="s">
        <v>28</v>
      </c>
      <c r="B86" s="108" t="str">
        <f>IFERROR(VLOOKUP(Tablo5[[#This Row],[ÜRÜN KODU]],YMKODLARI!$A$1:$K$363,2,0)," ")</f>
        <v>BİBERON KLASİK  UC 2 NO</v>
      </c>
      <c r="C86" s="99">
        <v>43938</v>
      </c>
      <c r="D86" s="100" t="s">
        <v>29</v>
      </c>
      <c r="E86" s="101">
        <v>0.33333333333333331</v>
      </c>
      <c r="F86" s="101">
        <v>0.72916666666666663</v>
      </c>
      <c r="G86" s="100">
        <f>IFERROR(VLOOKUP(Tablo5[[#This Row],[ÜRÜN KODU]],YMKODLARI!$A$1:$K$363,3,0)," ")</f>
        <v>8</v>
      </c>
      <c r="H86" s="100">
        <f>IFERROR(VLOOKUP(Tablo5[[#This Row],[ÜRÜN KODU]],YMKODLARI!$A$1:$K$363,4,0)," ")</f>
        <v>41</v>
      </c>
      <c r="I86" s="100">
        <v>653</v>
      </c>
      <c r="J86" s="100" t="str">
        <f>IFERROR(VLOOKUP(Tablo5[[#This Row],[ÜRÜN KODU]],YMKODLARI!$A$1:$K$363,9,0)," ")</f>
        <v>Şeffaf</v>
      </c>
      <c r="K86" s="100" t="str">
        <f>IFERROR(VLOOKUP(Tablo5[[#This Row],[BOYA KODU]],Tablo14[#All],4,0)," ")</f>
        <v xml:space="preserve"> </v>
      </c>
      <c r="L86" s="100" t="str">
        <f>IFERROR(VLOOKUP(Tablo5[[#This Row],[BOYA KODU]],Tablo14[#All],6,0)," ")</f>
        <v xml:space="preserve"> </v>
      </c>
      <c r="M86" s="100" t="str">
        <f t="shared" si="7"/>
        <v xml:space="preserve"> </v>
      </c>
      <c r="N86" s="100" t="str">
        <f>IFERROR(VLOOKUP(Tablo5[[#This Row],[ÜRÜN KODU]],YMKODLARI!$A$1:$K$363,8,0)," ")</f>
        <v>HM 003</v>
      </c>
      <c r="O86" s="100" t="str">
        <f>IFERROR(VLOOKUP(Tablo5[[#This Row],[HAMMADDE KODU]],Tablo1[#All],3,0)," ")</f>
        <v>LSR 45</v>
      </c>
      <c r="P86" s="100" t="str">
        <f>IFERROR(VLOOKUP(Tablo5[[#This Row],[HAMMADDE KODU]],Tablo1[#All],4,0)," ")</f>
        <v>SETA</v>
      </c>
      <c r="Q86" s="100">
        <f>IFERROR(VLOOKUP(Tablo5[[#This Row],[ÜRÜN KODU]],YMKODLARI!$A$1:$K$363,5,0)," ")</f>
        <v>54.8</v>
      </c>
      <c r="R86" s="100">
        <f>IFERROR(VLOOKUP(Tablo5[[#This Row],[ÜRÜN KODU]],YMKODLARI!$A$1:$K$363,6,0)," ")</f>
        <v>48.1</v>
      </c>
      <c r="S86" s="100">
        <f>IFERROR(Tablo5[[#This Row],[YOLLUK HARİÇ BASKI GRAMI]]/Tablo5[[#This Row],[KALIP GÖZ ADEDİ]]," ")</f>
        <v>6.0125000000000002</v>
      </c>
      <c r="T86" s="100">
        <f t="shared" si="9"/>
        <v>6.6999999999999957</v>
      </c>
      <c r="U86" s="100">
        <v>4.2</v>
      </c>
      <c r="V86" s="100">
        <f t="shared" si="8"/>
        <v>35.609299999999998</v>
      </c>
      <c r="W86" s="101">
        <f t="shared" si="10"/>
        <v>24.395833333333332</v>
      </c>
      <c r="X86" s="102">
        <f t="shared" si="11"/>
        <v>9.4999999999999716</v>
      </c>
      <c r="Y86" s="100">
        <f t="shared" si="12"/>
        <v>7.4369444444444444</v>
      </c>
      <c r="Z86" s="100">
        <f t="shared" si="13"/>
        <v>5224</v>
      </c>
    </row>
    <row r="87" spans="1:26">
      <c r="A87" s="100" t="s">
        <v>28</v>
      </c>
      <c r="B87" s="108" t="str">
        <f>IFERROR(VLOOKUP(Tablo5[[#This Row],[ÜRÜN KODU]],YMKODLARI!$A$1:$K$363,2,0)," ")</f>
        <v>BİBERON KLASİK  UC 2 NO</v>
      </c>
      <c r="C87" s="99">
        <v>43941</v>
      </c>
      <c r="D87" s="100" t="s">
        <v>29</v>
      </c>
      <c r="E87" s="101">
        <v>0.33333333333333331</v>
      </c>
      <c r="F87" s="101">
        <v>0.83333333333333337</v>
      </c>
      <c r="G87" s="100">
        <f>IFERROR(VLOOKUP(Tablo5[[#This Row],[ÜRÜN KODU]],YMKODLARI!$A$1:$K$363,3,0)," ")</f>
        <v>8</v>
      </c>
      <c r="H87" s="100">
        <f>IFERROR(VLOOKUP(Tablo5[[#This Row],[ÜRÜN KODU]],YMKODLARI!$A$1:$K$363,4,0)," ")</f>
        <v>41</v>
      </c>
      <c r="I87" s="100">
        <v>985</v>
      </c>
      <c r="J87" s="100" t="str">
        <f>IFERROR(VLOOKUP(Tablo5[[#This Row],[ÜRÜN KODU]],YMKODLARI!$A$1:$K$363,9,0)," ")</f>
        <v>Şeffaf</v>
      </c>
      <c r="K87" s="100" t="str">
        <f>IFERROR(VLOOKUP(Tablo5[[#This Row],[BOYA KODU]],Tablo14[#All],4,0)," ")</f>
        <v xml:space="preserve"> </v>
      </c>
      <c r="L87" s="100" t="str">
        <f>IFERROR(VLOOKUP(Tablo5[[#This Row],[BOYA KODU]],Tablo14[#All],6,0)," ")</f>
        <v xml:space="preserve"> </v>
      </c>
      <c r="M87" s="100" t="str">
        <f t="shared" si="7"/>
        <v xml:space="preserve"> </v>
      </c>
      <c r="N87" s="100" t="str">
        <f>IFERROR(VLOOKUP(Tablo5[[#This Row],[ÜRÜN KODU]],YMKODLARI!$A$1:$K$363,8,0)," ")</f>
        <v>HM 003</v>
      </c>
      <c r="O87" s="100" t="str">
        <f>IFERROR(VLOOKUP(Tablo5[[#This Row],[HAMMADDE KODU]],Tablo1[#All],3,0)," ")</f>
        <v>LSR 45</v>
      </c>
      <c r="P87" s="100" t="str">
        <f>IFERROR(VLOOKUP(Tablo5[[#This Row],[HAMMADDE KODU]],Tablo1[#All],4,0)," ")</f>
        <v>SETA</v>
      </c>
      <c r="Q87" s="100">
        <f>IFERROR(VLOOKUP(Tablo5[[#This Row],[ÜRÜN KODU]],YMKODLARI!$A$1:$K$363,5,0)," ")</f>
        <v>54.8</v>
      </c>
      <c r="R87" s="100">
        <f>IFERROR(VLOOKUP(Tablo5[[#This Row],[ÜRÜN KODU]],YMKODLARI!$A$1:$K$363,6,0)," ")</f>
        <v>48.1</v>
      </c>
      <c r="S87" s="100">
        <f>IFERROR(Tablo5[[#This Row],[YOLLUK HARİÇ BASKI GRAMI]]/Tablo5[[#This Row],[KALIP GÖZ ADEDİ]]," ")</f>
        <v>6.0125000000000002</v>
      </c>
      <c r="T87" s="100">
        <f t="shared" si="9"/>
        <v>6.6999999999999957</v>
      </c>
      <c r="U87" s="100">
        <v>6.45</v>
      </c>
      <c r="V87" s="100">
        <f t="shared" si="8"/>
        <v>53.828500000000005</v>
      </c>
      <c r="W87" s="101">
        <f t="shared" si="10"/>
        <v>24.5</v>
      </c>
      <c r="X87" s="102">
        <f t="shared" si="11"/>
        <v>12</v>
      </c>
      <c r="Y87" s="100">
        <f t="shared" si="12"/>
        <v>11.218055555555555</v>
      </c>
      <c r="Z87" s="100">
        <f t="shared" si="13"/>
        <v>7880</v>
      </c>
    </row>
    <row r="88" spans="1:26">
      <c r="A88" s="100" t="s">
        <v>34</v>
      </c>
      <c r="B88" s="108" t="str">
        <f>IFERROR(VLOOKUP(Tablo5[[#This Row],[ÜRÜN KODU]],YMKODLARI!$A$1:$K$363,2,0)," ")</f>
        <v>BİBERON KLASİK  UC 1 NO</v>
      </c>
      <c r="C88" s="99">
        <v>43942</v>
      </c>
      <c r="D88" s="100" t="s">
        <v>33</v>
      </c>
      <c r="E88" s="101">
        <v>0.56944444444444442</v>
      </c>
      <c r="F88" s="101">
        <v>0.75</v>
      </c>
      <c r="G88" s="100">
        <f>IFERROR(VLOOKUP(Tablo5[[#This Row],[ÜRÜN KODU]],YMKODLARI!$A$1:$K$363,3,0)," ")</f>
        <v>8</v>
      </c>
      <c r="H88" s="100">
        <f>IFERROR(VLOOKUP(Tablo5[[#This Row],[ÜRÜN KODU]],YMKODLARI!$A$1:$K$363,4,0)," ")</f>
        <v>36</v>
      </c>
      <c r="I88" s="100">
        <v>348</v>
      </c>
      <c r="J88" s="100" t="str">
        <f>IFERROR(VLOOKUP(Tablo5[[#This Row],[ÜRÜN KODU]],YMKODLARI!$A$1:$K$363,9,0)," ")</f>
        <v>Şeffaf</v>
      </c>
      <c r="K88" s="100" t="str">
        <f>IFERROR(VLOOKUP(Tablo5[[#This Row],[BOYA KODU]],Tablo14[#All],4,0)," ")</f>
        <v xml:space="preserve"> </v>
      </c>
      <c r="L88" s="100" t="str">
        <f>IFERROR(VLOOKUP(Tablo5[[#This Row],[BOYA KODU]],Tablo14[#All],6,0)," ")</f>
        <v xml:space="preserve"> </v>
      </c>
      <c r="M88" s="100" t="str">
        <f t="shared" si="7"/>
        <v xml:space="preserve"> </v>
      </c>
      <c r="N88" s="100" t="str">
        <f>IFERROR(VLOOKUP(Tablo5[[#This Row],[ÜRÜN KODU]],YMKODLARI!$A$1:$K$363,8,0)," ")</f>
        <v>HM 003</v>
      </c>
      <c r="O88" s="100" t="str">
        <f>IFERROR(VLOOKUP(Tablo5[[#This Row],[HAMMADDE KODU]],Tablo1[#All],3,0)," ")</f>
        <v>LSR 45</v>
      </c>
      <c r="P88" s="100" t="str">
        <f>IFERROR(VLOOKUP(Tablo5[[#This Row],[HAMMADDE KODU]],Tablo1[#All],4,0)," ")</f>
        <v>SETA</v>
      </c>
      <c r="Q88" s="100">
        <f>IFERROR(VLOOKUP(Tablo5[[#This Row],[ÜRÜN KODU]],YMKODLARI!$A$1:$K$363,5,0)," ")</f>
        <v>51.7</v>
      </c>
      <c r="R88" s="100">
        <f>IFERROR(VLOOKUP(Tablo5[[#This Row],[ÜRÜN KODU]],YMKODLARI!$A$1:$K$363,6,0)," ")</f>
        <v>44.5</v>
      </c>
      <c r="S88" s="100">
        <f>IFERROR(Tablo5[[#This Row],[YOLLUK HARİÇ BASKI GRAMI]]/Tablo5[[#This Row],[KALIP GÖZ ADEDİ]]," ")</f>
        <v>5.5625</v>
      </c>
      <c r="T88" s="100">
        <f t="shared" si="9"/>
        <v>7.2000000000000028</v>
      </c>
      <c r="U88" s="100">
        <v>2.5</v>
      </c>
      <c r="V88" s="100">
        <f t="shared" si="8"/>
        <v>17.986000000000001</v>
      </c>
      <c r="W88" s="101">
        <f t="shared" si="10"/>
        <v>24.180555555555557</v>
      </c>
      <c r="X88" s="102">
        <f t="shared" si="11"/>
        <v>4.3333333333333712</v>
      </c>
      <c r="Y88" s="100">
        <f t="shared" si="12"/>
        <v>3.48</v>
      </c>
      <c r="Z88" s="100">
        <f t="shared" si="13"/>
        <v>2784</v>
      </c>
    </row>
    <row r="89" spans="1:26">
      <c r="A89" s="100" t="s">
        <v>34</v>
      </c>
      <c r="B89" s="108" t="str">
        <f>IFERROR(VLOOKUP(Tablo5[[#This Row],[ÜRÜN KODU]],YMKODLARI!$A$1:$K$363,2,0)," ")</f>
        <v>BİBERON KLASİK  UC 1 NO</v>
      </c>
      <c r="C89" s="99">
        <v>43943</v>
      </c>
      <c r="D89" s="100" t="s">
        <v>33</v>
      </c>
      <c r="E89" s="101">
        <v>0.33333333333333331</v>
      </c>
      <c r="F89" s="101">
        <v>0.73611111111111116</v>
      </c>
      <c r="G89" s="100">
        <f>IFERROR(VLOOKUP(Tablo5[[#This Row],[ÜRÜN KODU]],YMKODLARI!$A$1:$K$363,3,0)," ")</f>
        <v>8</v>
      </c>
      <c r="H89" s="100">
        <f>IFERROR(VLOOKUP(Tablo5[[#This Row],[ÜRÜN KODU]],YMKODLARI!$A$1:$K$363,4,0)," ")</f>
        <v>36</v>
      </c>
      <c r="I89" s="100">
        <v>154</v>
      </c>
      <c r="J89" s="100" t="str">
        <f>IFERROR(VLOOKUP(Tablo5[[#This Row],[ÜRÜN KODU]],YMKODLARI!$A$1:$K$363,9,0)," ")</f>
        <v>Şeffaf</v>
      </c>
      <c r="K89" s="100" t="str">
        <f>IFERROR(VLOOKUP(Tablo5[[#This Row],[BOYA KODU]],Tablo14[#All],4,0)," ")</f>
        <v xml:space="preserve"> </v>
      </c>
      <c r="L89" s="100" t="str">
        <f>IFERROR(VLOOKUP(Tablo5[[#This Row],[BOYA KODU]],Tablo14[#All],6,0)," ")</f>
        <v xml:space="preserve"> </v>
      </c>
      <c r="M89" s="100" t="str">
        <f t="shared" si="7"/>
        <v xml:space="preserve"> </v>
      </c>
      <c r="N89" s="100" t="str">
        <f>IFERROR(VLOOKUP(Tablo5[[#This Row],[ÜRÜN KODU]],YMKODLARI!$A$1:$K$363,8,0)," ")</f>
        <v>HM 003</v>
      </c>
      <c r="O89" s="100" t="str">
        <f>IFERROR(VLOOKUP(Tablo5[[#This Row],[HAMMADDE KODU]],Tablo1[#All],3,0)," ")</f>
        <v>LSR 45</v>
      </c>
      <c r="P89" s="100" t="str">
        <f>IFERROR(VLOOKUP(Tablo5[[#This Row],[HAMMADDE KODU]],Tablo1[#All],4,0)," ")</f>
        <v>SETA</v>
      </c>
      <c r="Q89" s="100">
        <f>IFERROR(VLOOKUP(Tablo5[[#This Row],[ÜRÜN KODU]],YMKODLARI!$A$1:$K$363,5,0)," ")</f>
        <v>51.7</v>
      </c>
      <c r="R89" s="100">
        <f>IFERROR(VLOOKUP(Tablo5[[#This Row],[ÜRÜN KODU]],YMKODLARI!$A$1:$K$363,6,0)," ")</f>
        <v>44.5</v>
      </c>
      <c r="S89" s="100">
        <f>IFERROR(Tablo5[[#This Row],[YOLLUK HARİÇ BASKI GRAMI]]/Tablo5[[#This Row],[KALIP GÖZ ADEDİ]]," ")</f>
        <v>5.5625</v>
      </c>
      <c r="T89" s="100">
        <f t="shared" si="9"/>
        <v>7.2000000000000028</v>
      </c>
      <c r="U89" s="100">
        <v>1.64</v>
      </c>
      <c r="V89" s="100">
        <f t="shared" si="8"/>
        <v>8.4930000000000003</v>
      </c>
      <c r="W89" s="101">
        <f t="shared" si="10"/>
        <v>24.402777777777779</v>
      </c>
      <c r="X89" s="102">
        <f t="shared" si="11"/>
        <v>9.6666666666666856</v>
      </c>
      <c r="Y89" s="100">
        <f t="shared" si="12"/>
        <v>1.54</v>
      </c>
      <c r="Z89" s="100">
        <f t="shared" si="13"/>
        <v>1232</v>
      </c>
    </row>
    <row r="90" spans="1:26">
      <c r="A90" s="100" t="s">
        <v>34</v>
      </c>
      <c r="B90" s="108" t="str">
        <f>IFERROR(VLOOKUP(Tablo5[[#This Row],[ÜRÜN KODU]],YMKODLARI!$A$1:$K$363,2,0)," ")</f>
        <v>BİBERON KLASİK  UC 1 NO</v>
      </c>
      <c r="C90" s="99">
        <v>43948</v>
      </c>
      <c r="D90" s="100" t="s">
        <v>33</v>
      </c>
      <c r="E90" s="101">
        <v>0.33333333333333331</v>
      </c>
      <c r="F90" s="101">
        <v>0.67708333333333337</v>
      </c>
      <c r="G90" s="100">
        <f>IFERROR(VLOOKUP(Tablo5[[#This Row],[ÜRÜN KODU]],YMKODLARI!$A$1:$K$363,3,0)," ")</f>
        <v>8</v>
      </c>
      <c r="H90" s="100">
        <f>IFERROR(VLOOKUP(Tablo5[[#This Row],[ÜRÜN KODU]],YMKODLARI!$A$1:$K$363,4,0)," ")</f>
        <v>36</v>
      </c>
      <c r="I90" s="100">
        <v>681</v>
      </c>
      <c r="J90" s="100" t="str">
        <f>IFERROR(VLOOKUP(Tablo5[[#This Row],[ÜRÜN KODU]],YMKODLARI!$A$1:$K$363,9,0)," ")</f>
        <v>Şeffaf</v>
      </c>
      <c r="K90" s="100" t="str">
        <f>IFERROR(VLOOKUP(Tablo5[[#This Row],[BOYA KODU]],Tablo14[#All],4,0)," ")</f>
        <v xml:space="preserve"> </v>
      </c>
      <c r="L90" s="100" t="str">
        <f>IFERROR(VLOOKUP(Tablo5[[#This Row],[BOYA KODU]],Tablo14[#All],6,0)," ")</f>
        <v xml:space="preserve"> </v>
      </c>
      <c r="M90" s="100" t="str">
        <f t="shared" si="7"/>
        <v xml:space="preserve"> </v>
      </c>
      <c r="N90" s="100" t="str">
        <f>IFERROR(VLOOKUP(Tablo5[[#This Row],[ÜRÜN KODU]],YMKODLARI!$A$1:$K$363,8,0)," ")</f>
        <v>HM 003</v>
      </c>
      <c r="O90" s="100" t="str">
        <f>IFERROR(VLOOKUP(Tablo5[[#This Row],[HAMMADDE KODU]],Tablo1[#All],3,0)," ")</f>
        <v>LSR 45</v>
      </c>
      <c r="P90" s="100" t="str">
        <f>IFERROR(VLOOKUP(Tablo5[[#This Row],[HAMMADDE KODU]],Tablo1[#All],4,0)," ")</f>
        <v>SETA</v>
      </c>
      <c r="Q90" s="100">
        <f>IFERROR(VLOOKUP(Tablo5[[#This Row],[ÜRÜN KODU]],YMKODLARI!$A$1:$K$363,5,0)," ")</f>
        <v>51.7</v>
      </c>
      <c r="R90" s="100">
        <f>IFERROR(VLOOKUP(Tablo5[[#This Row],[ÜRÜN KODU]],YMKODLARI!$A$1:$K$363,6,0)," ")</f>
        <v>44.5</v>
      </c>
      <c r="S90" s="100">
        <f>IFERROR(Tablo5[[#This Row],[YOLLUK HARİÇ BASKI GRAMI]]/Tablo5[[#This Row],[KALIP GÖZ ADEDİ]]," ")</f>
        <v>5.5625</v>
      </c>
      <c r="T90" s="100">
        <f t="shared" si="9"/>
        <v>7.2000000000000028</v>
      </c>
      <c r="U90" s="100">
        <v>5</v>
      </c>
      <c r="V90" s="100">
        <f t="shared" si="8"/>
        <v>35.304500000000004</v>
      </c>
      <c r="W90" s="101">
        <f t="shared" si="10"/>
        <v>24.34375</v>
      </c>
      <c r="X90" s="102">
        <f t="shared" si="11"/>
        <v>8.25</v>
      </c>
      <c r="Y90" s="100">
        <f t="shared" si="12"/>
        <v>6.81</v>
      </c>
      <c r="Z90" s="100">
        <f t="shared" si="13"/>
        <v>5448</v>
      </c>
    </row>
    <row r="91" spans="1:26">
      <c r="A91" s="100" t="s">
        <v>34</v>
      </c>
      <c r="B91" s="108" t="str">
        <f>IFERROR(VLOOKUP(Tablo5[[#This Row],[ÜRÜN KODU]],YMKODLARI!$A$1:$K$363,2,0)," ")</f>
        <v>BİBERON KLASİK  UC 1 NO</v>
      </c>
      <c r="C91" s="99">
        <v>43950</v>
      </c>
      <c r="D91" s="100" t="s">
        <v>33</v>
      </c>
      <c r="E91" s="101">
        <v>0.33333333333333331</v>
      </c>
      <c r="F91" s="101">
        <v>0.75</v>
      </c>
      <c r="G91" s="100">
        <f>IFERROR(VLOOKUP(Tablo5[[#This Row],[ÜRÜN KODU]],YMKODLARI!$A$1:$K$363,3,0)," ")</f>
        <v>8</v>
      </c>
      <c r="H91" s="100">
        <f>IFERROR(VLOOKUP(Tablo5[[#This Row],[ÜRÜN KODU]],YMKODLARI!$A$1:$K$363,4,0)," ")</f>
        <v>36</v>
      </c>
      <c r="I91" s="100">
        <v>356</v>
      </c>
      <c r="J91" s="100" t="str">
        <f>IFERROR(VLOOKUP(Tablo5[[#This Row],[ÜRÜN KODU]],YMKODLARI!$A$1:$K$363,9,0)," ")</f>
        <v>Şeffaf</v>
      </c>
      <c r="K91" s="100" t="str">
        <f>IFERROR(VLOOKUP(Tablo5[[#This Row],[BOYA KODU]],Tablo14[#All],4,0)," ")</f>
        <v xml:space="preserve"> </v>
      </c>
      <c r="L91" s="100" t="str">
        <f>IFERROR(VLOOKUP(Tablo5[[#This Row],[BOYA KODU]],Tablo14[#All],6,0)," ")</f>
        <v xml:space="preserve"> </v>
      </c>
      <c r="M91" s="100" t="str">
        <f t="shared" si="7"/>
        <v xml:space="preserve"> </v>
      </c>
      <c r="N91" s="100" t="str">
        <f>IFERROR(VLOOKUP(Tablo5[[#This Row],[ÜRÜN KODU]],YMKODLARI!$A$1:$K$363,8,0)," ")</f>
        <v>HM 003</v>
      </c>
      <c r="O91" s="100" t="str">
        <f>IFERROR(VLOOKUP(Tablo5[[#This Row],[HAMMADDE KODU]],Tablo1[#All],3,0)," ")</f>
        <v>LSR 45</v>
      </c>
      <c r="P91" s="100" t="str">
        <f>IFERROR(VLOOKUP(Tablo5[[#This Row],[HAMMADDE KODU]],Tablo1[#All],4,0)," ")</f>
        <v>SETA</v>
      </c>
      <c r="Q91" s="100">
        <f>IFERROR(VLOOKUP(Tablo5[[#This Row],[ÜRÜN KODU]],YMKODLARI!$A$1:$K$363,5,0)," ")</f>
        <v>51.7</v>
      </c>
      <c r="R91" s="100">
        <f>IFERROR(VLOOKUP(Tablo5[[#This Row],[ÜRÜN KODU]],YMKODLARI!$A$1:$K$363,6,0)," ")</f>
        <v>44.5</v>
      </c>
      <c r="S91" s="100">
        <f>IFERROR(Tablo5[[#This Row],[YOLLUK HARİÇ BASKI GRAMI]]/Tablo5[[#This Row],[KALIP GÖZ ADEDİ]]," ")</f>
        <v>5.5625</v>
      </c>
      <c r="T91" s="100">
        <f t="shared" si="9"/>
        <v>7.2000000000000028</v>
      </c>
      <c r="U91" s="100"/>
      <c r="V91" s="100">
        <f t="shared" si="8"/>
        <v>15.842000000000001</v>
      </c>
      <c r="W91" s="101">
        <f t="shared" si="10"/>
        <v>24.416666666666668</v>
      </c>
      <c r="X91" s="102">
        <f t="shared" si="11"/>
        <v>10.000000000000028</v>
      </c>
      <c r="Y91" s="100">
        <f t="shared" si="12"/>
        <v>3.56</v>
      </c>
      <c r="Z91" s="100">
        <f t="shared" si="13"/>
        <v>2848</v>
      </c>
    </row>
    <row r="92" spans="1:26">
      <c r="A92" s="100" t="s">
        <v>34</v>
      </c>
      <c r="B92" s="108" t="str">
        <f>IFERROR(VLOOKUP(Tablo5[[#This Row],[ÜRÜN KODU]],YMKODLARI!$A$1:$K$363,2,0)," ")</f>
        <v>BİBERON KLASİK  UC 1 NO</v>
      </c>
      <c r="C92" s="99">
        <v>43951</v>
      </c>
      <c r="D92" s="100" t="s">
        <v>33</v>
      </c>
      <c r="E92" s="101">
        <v>0.33333333333333331</v>
      </c>
      <c r="F92" s="101">
        <v>0.72916666666666663</v>
      </c>
      <c r="G92" s="100">
        <f>IFERROR(VLOOKUP(Tablo5[[#This Row],[ÜRÜN KODU]],YMKODLARI!$A$1:$K$363,3,0)," ")</f>
        <v>8</v>
      </c>
      <c r="H92" s="100">
        <f>IFERROR(VLOOKUP(Tablo5[[#This Row],[ÜRÜN KODU]],YMKODLARI!$A$1:$K$363,4,0)," ")</f>
        <v>36</v>
      </c>
      <c r="I92" s="100">
        <v>415</v>
      </c>
      <c r="J92" s="100" t="str">
        <f>IFERROR(VLOOKUP(Tablo5[[#This Row],[ÜRÜN KODU]],YMKODLARI!$A$1:$K$363,9,0)," ")</f>
        <v>Şeffaf</v>
      </c>
      <c r="K92" s="100" t="str">
        <f>IFERROR(VLOOKUP(Tablo5[[#This Row],[BOYA KODU]],Tablo14[#All],4,0)," ")</f>
        <v xml:space="preserve"> </v>
      </c>
      <c r="L92" s="100" t="str">
        <f>IFERROR(VLOOKUP(Tablo5[[#This Row],[BOYA KODU]],Tablo14[#All],6,0)," ")</f>
        <v xml:space="preserve"> </v>
      </c>
      <c r="M92" s="100" t="str">
        <f t="shared" si="7"/>
        <v xml:space="preserve"> </v>
      </c>
      <c r="N92" s="100" t="str">
        <f>IFERROR(VLOOKUP(Tablo5[[#This Row],[ÜRÜN KODU]],YMKODLARI!$A$1:$K$363,8,0)," ")</f>
        <v>HM 003</v>
      </c>
      <c r="O92" s="100" t="str">
        <f>IFERROR(VLOOKUP(Tablo5[[#This Row],[HAMMADDE KODU]],Tablo1[#All],3,0)," ")</f>
        <v>LSR 45</v>
      </c>
      <c r="P92" s="100" t="str">
        <f>IFERROR(VLOOKUP(Tablo5[[#This Row],[HAMMADDE KODU]],Tablo1[#All],4,0)," ")</f>
        <v>SETA</v>
      </c>
      <c r="Q92" s="100">
        <f>IFERROR(VLOOKUP(Tablo5[[#This Row],[ÜRÜN KODU]],YMKODLARI!$A$1:$K$363,5,0)," ")</f>
        <v>51.7</v>
      </c>
      <c r="R92" s="100">
        <f>IFERROR(VLOOKUP(Tablo5[[#This Row],[ÜRÜN KODU]],YMKODLARI!$A$1:$K$363,6,0)," ")</f>
        <v>44.5</v>
      </c>
      <c r="S92" s="100">
        <f>IFERROR(Tablo5[[#This Row],[YOLLUK HARİÇ BASKI GRAMI]]/Tablo5[[#This Row],[KALIP GÖZ ADEDİ]]," ")</f>
        <v>5.5625</v>
      </c>
      <c r="T92" s="100">
        <f t="shared" si="9"/>
        <v>7.2000000000000028</v>
      </c>
      <c r="U92" s="100">
        <v>7</v>
      </c>
      <c r="V92" s="100">
        <f t="shared" si="8"/>
        <v>25.467500000000001</v>
      </c>
      <c r="W92" s="101">
        <f t="shared" si="10"/>
        <v>24.395833333333332</v>
      </c>
      <c r="X92" s="102">
        <f t="shared" si="11"/>
        <v>9.4999999999999716</v>
      </c>
      <c r="Y92" s="100">
        <f t="shared" si="12"/>
        <v>4.1500000000000004</v>
      </c>
      <c r="Z92" s="100">
        <f t="shared" si="13"/>
        <v>3320</v>
      </c>
    </row>
    <row r="93" spans="1:26">
      <c r="A93" s="100" t="s">
        <v>34</v>
      </c>
      <c r="B93" s="108" t="str">
        <f>IFERROR(VLOOKUP(Tablo5[[#This Row],[ÜRÜN KODU]],YMKODLARI!$A$1:$K$363,2,0)," ")</f>
        <v>BİBERON KLASİK  UC 1 NO</v>
      </c>
      <c r="C93" s="99">
        <v>43955</v>
      </c>
      <c r="D93" s="100" t="s">
        <v>33</v>
      </c>
      <c r="E93" s="101">
        <v>0.33333333333333331</v>
      </c>
      <c r="F93" s="101">
        <v>0.75</v>
      </c>
      <c r="G93" s="100">
        <f>IFERROR(VLOOKUP(Tablo5[[#This Row],[ÜRÜN KODU]],YMKODLARI!$A$1:$K$363,3,0)," ")</f>
        <v>8</v>
      </c>
      <c r="H93" s="100">
        <f>IFERROR(VLOOKUP(Tablo5[[#This Row],[ÜRÜN KODU]],YMKODLARI!$A$1:$K$363,4,0)," ")</f>
        <v>36</v>
      </c>
      <c r="I93" s="100">
        <v>796</v>
      </c>
      <c r="J93" s="100" t="str">
        <f>IFERROR(VLOOKUP(Tablo5[[#This Row],[ÜRÜN KODU]],YMKODLARI!$A$1:$K$363,9,0)," ")</f>
        <v>Şeffaf</v>
      </c>
      <c r="K93" s="100" t="str">
        <f>IFERROR(VLOOKUP(Tablo5[[#This Row],[BOYA KODU]],Tablo14[#All],4,0)," ")</f>
        <v xml:space="preserve"> </v>
      </c>
      <c r="L93" s="100" t="str">
        <f>IFERROR(VLOOKUP(Tablo5[[#This Row],[BOYA KODU]],Tablo14[#All],6,0)," ")</f>
        <v xml:space="preserve"> </v>
      </c>
      <c r="M93" s="100" t="str">
        <f t="shared" si="7"/>
        <v xml:space="preserve"> </v>
      </c>
      <c r="N93" s="100" t="str">
        <f>IFERROR(VLOOKUP(Tablo5[[#This Row],[ÜRÜN KODU]],YMKODLARI!$A$1:$K$363,8,0)," ")</f>
        <v>HM 003</v>
      </c>
      <c r="O93" s="100" t="str">
        <f>IFERROR(VLOOKUP(Tablo5[[#This Row],[HAMMADDE KODU]],Tablo1[#All],3,0)," ")</f>
        <v>LSR 45</v>
      </c>
      <c r="P93" s="100" t="str">
        <f>IFERROR(VLOOKUP(Tablo5[[#This Row],[HAMMADDE KODU]],Tablo1[#All],4,0)," ")</f>
        <v>SETA</v>
      </c>
      <c r="Q93" s="100">
        <f>IFERROR(VLOOKUP(Tablo5[[#This Row],[ÜRÜN KODU]],YMKODLARI!$A$1:$K$363,5,0)," ")</f>
        <v>51.7</v>
      </c>
      <c r="R93" s="100">
        <f>IFERROR(VLOOKUP(Tablo5[[#This Row],[ÜRÜN KODU]],YMKODLARI!$A$1:$K$363,6,0)," ")</f>
        <v>44.5</v>
      </c>
      <c r="S93" s="100">
        <f>IFERROR(Tablo5[[#This Row],[YOLLUK HARİÇ BASKI GRAMI]]/Tablo5[[#This Row],[KALIP GÖZ ADEDİ]]," ")</f>
        <v>5.5625</v>
      </c>
      <c r="T93" s="100">
        <f t="shared" si="9"/>
        <v>7.2000000000000028</v>
      </c>
      <c r="U93" s="100">
        <v>5.5</v>
      </c>
      <c r="V93" s="100">
        <f t="shared" si="8"/>
        <v>40.921999999999997</v>
      </c>
      <c r="W93" s="101">
        <f t="shared" si="10"/>
        <v>24.416666666666668</v>
      </c>
      <c r="X93" s="102">
        <f t="shared" si="11"/>
        <v>10.000000000000028</v>
      </c>
      <c r="Y93" s="100">
        <f t="shared" si="12"/>
        <v>7.96</v>
      </c>
      <c r="Z93" s="100">
        <f t="shared" si="13"/>
        <v>6368</v>
      </c>
    </row>
    <row r="94" spans="1:26">
      <c r="A94" s="100" t="s">
        <v>34</v>
      </c>
      <c r="B94" s="108" t="str">
        <f>IFERROR(VLOOKUP(Tablo5[[#This Row],[ÜRÜN KODU]],YMKODLARI!$A$1:$K$363,2,0)," ")</f>
        <v>BİBERON KLASİK  UC 1 NO</v>
      </c>
      <c r="C94" s="99">
        <v>43955</v>
      </c>
      <c r="D94" s="100" t="s">
        <v>37</v>
      </c>
      <c r="E94" s="101">
        <v>0.75</v>
      </c>
      <c r="F94" s="101">
        <v>0.33333333333333331</v>
      </c>
      <c r="G94" s="100">
        <f>IFERROR(VLOOKUP(Tablo5[[#This Row],[ÜRÜN KODU]],YMKODLARI!$A$1:$K$363,3,0)," ")</f>
        <v>8</v>
      </c>
      <c r="H94" s="100">
        <f>IFERROR(VLOOKUP(Tablo5[[#This Row],[ÜRÜN KODU]],YMKODLARI!$A$1:$K$363,4,0)," ")</f>
        <v>36</v>
      </c>
      <c r="I94" s="100">
        <v>1166</v>
      </c>
      <c r="J94" s="100" t="str">
        <f>IFERROR(VLOOKUP(Tablo5[[#This Row],[ÜRÜN KODU]],YMKODLARI!$A$1:$K$363,9,0)," ")</f>
        <v>Şeffaf</v>
      </c>
      <c r="K94" s="100" t="str">
        <f>IFERROR(VLOOKUP(Tablo5[[#This Row],[BOYA KODU]],Tablo14[#All],4,0)," ")</f>
        <v xml:space="preserve"> </v>
      </c>
      <c r="L94" s="100" t="str">
        <f>IFERROR(VLOOKUP(Tablo5[[#This Row],[BOYA KODU]],Tablo14[#All],6,0)," ")</f>
        <v xml:space="preserve"> </v>
      </c>
      <c r="M94" s="100" t="str">
        <f t="shared" si="7"/>
        <v xml:space="preserve"> </v>
      </c>
      <c r="N94" s="100" t="str">
        <f>IFERROR(VLOOKUP(Tablo5[[#This Row],[ÜRÜN KODU]],YMKODLARI!$A$1:$K$363,8,0)," ")</f>
        <v>HM 003</v>
      </c>
      <c r="O94" s="100" t="str">
        <f>IFERROR(VLOOKUP(Tablo5[[#This Row],[HAMMADDE KODU]],Tablo1[#All],3,0)," ")</f>
        <v>LSR 45</v>
      </c>
      <c r="P94" s="100" t="str">
        <f>IFERROR(VLOOKUP(Tablo5[[#This Row],[HAMMADDE KODU]],Tablo1[#All],4,0)," ")</f>
        <v>SETA</v>
      </c>
      <c r="Q94" s="100">
        <f>IFERROR(VLOOKUP(Tablo5[[#This Row],[ÜRÜN KODU]],YMKODLARI!$A$1:$K$363,5,0)," ")</f>
        <v>51.7</v>
      </c>
      <c r="R94" s="100">
        <f>IFERROR(VLOOKUP(Tablo5[[#This Row],[ÜRÜN KODU]],YMKODLARI!$A$1:$K$363,6,0)," ")</f>
        <v>44.5</v>
      </c>
      <c r="S94" s="100">
        <f>IFERROR(Tablo5[[#This Row],[YOLLUK HARİÇ BASKI GRAMI]]/Tablo5[[#This Row],[KALIP GÖZ ADEDİ]]," ")</f>
        <v>5.5625</v>
      </c>
      <c r="T94" s="100">
        <f t="shared" si="9"/>
        <v>7.2000000000000028</v>
      </c>
      <c r="U94" s="100">
        <v>9.3000000000000007</v>
      </c>
      <c r="V94" s="100">
        <f t="shared" si="8"/>
        <v>61.186999999999998</v>
      </c>
      <c r="W94" s="101">
        <f t="shared" si="10"/>
        <v>23.583333333333332</v>
      </c>
      <c r="X94" s="102">
        <f t="shared" si="11"/>
        <v>13.999999999999972</v>
      </c>
      <c r="Y94" s="100">
        <f t="shared" si="12"/>
        <v>11.66</v>
      </c>
      <c r="Z94" s="100">
        <f t="shared" si="13"/>
        <v>9328</v>
      </c>
    </row>
    <row r="95" spans="1:26">
      <c r="A95" s="100" t="s">
        <v>34</v>
      </c>
      <c r="B95" s="108" t="str">
        <f>IFERROR(VLOOKUP(Tablo5[[#This Row],[ÜRÜN KODU]],YMKODLARI!$A$1:$K$363,2,0)," ")</f>
        <v>BİBERON KLASİK  UC 1 NO</v>
      </c>
      <c r="C95" s="99">
        <v>43956</v>
      </c>
      <c r="D95" s="100" t="s">
        <v>33</v>
      </c>
      <c r="E95" s="101">
        <v>0.33333333333333331</v>
      </c>
      <c r="F95" s="101">
        <v>0.75</v>
      </c>
      <c r="G95" s="100">
        <f>IFERROR(VLOOKUP(Tablo5[[#This Row],[ÜRÜN KODU]],YMKODLARI!$A$1:$K$363,3,0)," ")</f>
        <v>8</v>
      </c>
      <c r="H95" s="100">
        <f>IFERROR(VLOOKUP(Tablo5[[#This Row],[ÜRÜN KODU]],YMKODLARI!$A$1:$K$363,4,0)," ")</f>
        <v>36</v>
      </c>
      <c r="I95" s="100">
        <v>840</v>
      </c>
      <c r="J95" s="100" t="str">
        <f>IFERROR(VLOOKUP(Tablo5[[#This Row],[ÜRÜN KODU]],YMKODLARI!$A$1:$K$363,9,0)," ")</f>
        <v>Şeffaf</v>
      </c>
      <c r="K95" s="100" t="str">
        <f>IFERROR(VLOOKUP(Tablo5[[#This Row],[BOYA KODU]],Tablo14[#All],4,0)," ")</f>
        <v xml:space="preserve"> </v>
      </c>
      <c r="L95" s="100" t="str">
        <f>IFERROR(VLOOKUP(Tablo5[[#This Row],[BOYA KODU]],Tablo14[#All],6,0)," ")</f>
        <v xml:space="preserve"> </v>
      </c>
      <c r="M95" s="100" t="str">
        <f t="shared" si="7"/>
        <v xml:space="preserve"> </v>
      </c>
      <c r="N95" s="100" t="str">
        <f>IFERROR(VLOOKUP(Tablo5[[#This Row],[ÜRÜN KODU]],YMKODLARI!$A$1:$K$363,8,0)," ")</f>
        <v>HM 003</v>
      </c>
      <c r="O95" s="100" t="str">
        <f>IFERROR(VLOOKUP(Tablo5[[#This Row],[HAMMADDE KODU]],Tablo1[#All],3,0)," ")</f>
        <v>LSR 45</v>
      </c>
      <c r="P95" s="100" t="str">
        <f>IFERROR(VLOOKUP(Tablo5[[#This Row],[HAMMADDE KODU]],Tablo1[#All],4,0)," ")</f>
        <v>SETA</v>
      </c>
      <c r="Q95" s="100">
        <f>IFERROR(VLOOKUP(Tablo5[[#This Row],[ÜRÜN KODU]],YMKODLARI!$A$1:$K$363,5,0)," ")</f>
        <v>51.7</v>
      </c>
      <c r="R95" s="100">
        <f>IFERROR(VLOOKUP(Tablo5[[#This Row],[ÜRÜN KODU]],YMKODLARI!$A$1:$K$363,6,0)," ")</f>
        <v>44.5</v>
      </c>
      <c r="S95" s="100">
        <f>IFERROR(Tablo5[[#This Row],[YOLLUK HARİÇ BASKI GRAMI]]/Tablo5[[#This Row],[KALIP GÖZ ADEDİ]]," ")</f>
        <v>5.5625</v>
      </c>
      <c r="T95" s="100">
        <f t="shared" si="9"/>
        <v>7.2000000000000028</v>
      </c>
      <c r="U95" s="100">
        <v>6</v>
      </c>
      <c r="V95" s="100">
        <f t="shared" si="8"/>
        <v>43.38</v>
      </c>
      <c r="W95" s="101">
        <f t="shared" si="10"/>
        <v>24.416666666666668</v>
      </c>
      <c r="X95" s="102">
        <f t="shared" si="11"/>
        <v>10.000000000000028</v>
      </c>
      <c r="Y95" s="100">
        <f t="shared" si="12"/>
        <v>8.4</v>
      </c>
      <c r="Z95" s="100">
        <f t="shared" si="13"/>
        <v>6720</v>
      </c>
    </row>
    <row r="96" spans="1:26">
      <c r="A96" s="100" t="s">
        <v>34</v>
      </c>
      <c r="B96" s="108" t="str">
        <f>IFERROR(VLOOKUP(Tablo5[[#This Row],[ÜRÜN KODU]],YMKODLARI!$A$1:$K$363,2,0)," ")</f>
        <v>BİBERON KLASİK  UC 1 NO</v>
      </c>
      <c r="C96" s="99">
        <v>43956</v>
      </c>
      <c r="D96" s="100" t="s">
        <v>37</v>
      </c>
      <c r="E96" s="101">
        <v>0.75</v>
      </c>
      <c r="F96" s="101">
        <v>0.33333333333333331</v>
      </c>
      <c r="G96" s="100">
        <f>IFERROR(VLOOKUP(Tablo5[[#This Row],[ÜRÜN KODU]],YMKODLARI!$A$1:$K$363,3,0)," ")</f>
        <v>8</v>
      </c>
      <c r="H96" s="100">
        <f>IFERROR(VLOOKUP(Tablo5[[#This Row],[ÜRÜN KODU]],YMKODLARI!$A$1:$K$363,4,0)," ")</f>
        <v>36</v>
      </c>
      <c r="I96" s="100">
        <v>1257</v>
      </c>
      <c r="J96" s="100" t="str">
        <f>IFERROR(VLOOKUP(Tablo5[[#This Row],[ÜRÜN KODU]],YMKODLARI!$A$1:$K$363,9,0)," ")</f>
        <v>Şeffaf</v>
      </c>
      <c r="K96" s="100" t="str">
        <f>IFERROR(VLOOKUP(Tablo5[[#This Row],[BOYA KODU]],Tablo14[#All],4,0)," ")</f>
        <v xml:space="preserve"> </v>
      </c>
      <c r="L96" s="100" t="str">
        <f>IFERROR(VLOOKUP(Tablo5[[#This Row],[BOYA KODU]],Tablo14[#All],6,0)," ")</f>
        <v xml:space="preserve"> </v>
      </c>
      <c r="M96" s="100" t="str">
        <f t="shared" si="7"/>
        <v xml:space="preserve"> </v>
      </c>
      <c r="N96" s="100" t="str">
        <f>IFERROR(VLOOKUP(Tablo5[[#This Row],[ÜRÜN KODU]],YMKODLARI!$A$1:$K$363,8,0)," ")</f>
        <v>HM 003</v>
      </c>
      <c r="O96" s="100" t="str">
        <f>IFERROR(VLOOKUP(Tablo5[[#This Row],[HAMMADDE KODU]],Tablo1[#All],3,0)," ")</f>
        <v>LSR 45</v>
      </c>
      <c r="P96" s="100" t="str">
        <f>IFERROR(VLOOKUP(Tablo5[[#This Row],[HAMMADDE KODU]],Tablo1[#All],4,0)," ")</f>
        <v>SETA</v>
      </c>
      <c r="Q96" s="100">
        <f>IFERROR(VLOOKUP(Tablo5[[#This Row],[ÜRÜN KODU]],YMKODLARI!$A$1:$K$363,5,0)," ")</f>
        <v>51.7</v>
      </c>
      <c r="R96" s="100">
        <f>IFERROR(VLOOKUP(Tablo5[[#This Row],[ÜRÜN KODU]],YMKODLARI!$A$1:$K$363,6,0)," ")</f>
        <v>44.5</v>
      </c>
      <c r="S96" s="100">
        <f>IFERROR(Tablo5[[#This Row],[YOLLUK HARİÇ BASKI GRAMI]]/Tablo5[[#This Row],[KALIP GÖZ ADEDİ]]," ")</f>
        <v>5.5625</v>
      </c>
      <c r="T96" s="100">
        <f t="shared" si="9"/>
        <v>7.2000000000000028</v>
      </c>
      <c r="U96" s="100">
        <v>10.5</v>
      </c>
      <c r="V96" s="100">
        <f t="shared" si="8"/>
        <v>66.436499999999995</v>
      </c>
      <c r="W96" s="101">
        <f t="shared" si="10"/>
        <v>23.583333333333332</v>
      </c>
      <c r="X96" s="102">
        <f t="shared" si="11"/>
        <v>13.999999999999972</v>
      </c>
      <c r="Y96" s="100">
        <f t="shared" si="12"/>
        <v>12.57</v>
      </c>
      <c r="Z96" s="100">
        <f t="shared" si="13"/>
        <v>10056</v>
      </c>
    </row>
    <row r="97" spans="1:26">
      <c r="A97" s="100" t="s">
        <v>34</v>
      </c>
      <c r="B97" s="108" t="str">
        <f>IFERROR(VLOOKUP(Tablo5[[#This Row],[ÜRÜN KODU]],YMKODLARI!$A$1:$K$363,2,0)," ")</f>
        <v>BİBERON KLASİK  UC 1 NO</v>
      </c>
      <c r="C97" s="99">
        <v>43957</v>
      </c>
      <c r="D97" s="100" t="s">
        <v>33</v>
      </c>
      <c r="E97" s="101">
        <v>0.33333333333333331</v>
      </c>
      <c r="F97" s="101">
        <v>0.75</v>
      </c>
      <c r="G97" s="100">
        <f>IFERROR(VLOOKUP(Tablo5[[#This Row],[ÜRÜN KODU]],YMKODLARI!$A$1:$K$363,3,0)," ")</f>
        <v>8</v>
      </c>
      <c r="H97" s="100">
        <f>IFERROR(VLOOKUP(Tablo5[[#This Row],[ÜRÜN KODU]],YMKODLARI!$A$1:$K$363,4,0)," ")</f>
        <v>36</v>
      </c>
      <c r="I97" s="100">
        <v>480</v>
      </c>
      <c r="J97" s="100" t="str">
        <f>IFERROR(VLOOKUP(Tablo5[[#This Row],[ÜRÜN KODU]],YMKODLARI!$A$1:$K$363,9,0)," ")</f>
        <v>Şeffaf</v>
      </c>
      <c r="K97" s="100" t="str">
        <f>IFERROR(VLOOKUP(Tablo5[[#This Row],[BOYA KODU]],Tablo14[#All],4,0)," ")</f>
        <v xml:space="preserve"> </v>
      </c>
      <c r="L97" s="100" t="str">
        <f>IFERROR(VLOOKUP(Tablo5[[#This Row],[BOYA KODU]],Tablo14[#All],6,0)," ")</f>
        <v xml:space="preserve"> </v>
      </c>
      <c r="M97" s="100" t="str">
        <f t="shared" si="7"/>
        <v xml:space="preserve"> </v>
      </c>
      <c r="N97" s="100" t="str">
        <f>IFERROR(VLOOKUP(Tablo5[[#This Row],[ÜRÜN KODU]],YMKODLARI!$A$1:$K$363,8,0)," ")</f>
        <v>HM 003</v>
      </c>
      <c r="O97" s="100" t="str">
        <f>IFERROR(VLOOKUP(Tablo5[[#This Row],[HAMMADDE KODU]],Tablo1[#All],3,0)," ")</f>
        <v>LSR 45</v>
      </c>
      <c r="P97" s="100" t="str">
        <f>IFERROR(VLOOKUP(Tablo5[[#This Row],[HAMMADDE KODU]],Tablo1[#All],4,0)," ")</f>
        <v>SETA</v>
      </c>
      <c r="Q97" s="100">
        <f>IFERROR(VLOOKUP(Tablo5[[#This Row],[ÜRÜN KODU]],YMKODLARI!$A$1:$K$363,5,0)," ")</f>
        <v>51.7</v>
      </c>
      <c r="R97" s="100">
        <f>IFERROR(VLOOKUP(Tablo5[[#This Row],[ÜRÜN KODU]],YMKODLARI!$A$1:$K$363,6,0)," ")</f>
        <v>44.5</v>
      </c>
      <c r="S97" s="100">
        <f>IFERROR(Tablo5[[#This Row],[YOLLUK HARİÇ BASKI GRAMI]]/Tablo5[[#This Row],[KALIP GÖZ ADEDİ]]," ")</f>
        <v>5.5625</v>
      </c>
      <c r="T97" s="100">
        <f t="shared" si="9"/>
        <v>7.2000000000000028</v>
      </c>
      <c r="U97" s="100">
        <v>4.7</v>
      </c>
      <c r="V97" s="100">
        <f t="shared" si="8"/>
        <v>26.06</v>
      </c>
      <c r="W97" s="101">
        <f t="shared" si="10"/>
        <v>24.416666666666668</v>
      </c>
      <c r="X97" s="102">
        <f t="shared" si="11"/>
        <v>10.000000000000028</v>
      </c>
      <c r="Y97" s="100">
        <f t="shared" si="12"/>
        <v>4.8</v>
      </c>
      <c r="Z97" s="100">
        <f t="shared" si="13"/>
        <v>3840</v>
      </c>
    </row>
    <row r="98" spans="1:26">
      <c r="A98" s="100" t="s">
        <v>34</v>
      </c>
      <c r="B98" s="108" t="str">
        <f>IFERROR(VLOOKUP(Tablo5[[#This Row],[ÜRÜN KODU]],YMKODLARI!$A$1:$K$363,2,0)," ")</f>
        <v>BİBERON KLASİK  UC 1 NO</v>
      </c>
      <c r="C98" s="99">
        <v>43957</v>
      </c>
      <c r="D98" s="100" t="s">
        <v>37</v>
      </c>
      <c r="E98" s="101">
        <v>0.75</v>
      </c>
      <c r="F98" s="101">
        <v>0.33333333333333331</v>
      </c>
      <c r="G98" s="100">
        <f>IFERROR(VLOOKUP(Tablo5[[#This Row],[ÜRÜN KODU]],YMKODLARI!$A$1:$K$363,3,0)," ")</f>
        <v>8</v>
      </c>
      <c r="H98" s="100">
        <f>IFERROR(VLOOKUP(Tablo5[[#This Row],[ÜRÜN KODU]],YMKODLARI!$A$1:$K$363,4,0)," ")</f>
        <v>36</v>
      </c>
      <c r="I98" s="100">
        <v>1233</v>
      </c>
      <c r="J98" s="100" t="str">
        <f>IFERROR(VLOOKUP(Tablo5[[#This Row],[ÜRÜN KODU]],YMKODLARI!$A$1:$K$363,9,0)," ")</f>
        <v>Şeffaf</v>
      </c>
      <c r="K98" s="100" t="str">
        <f>IFERROR(VLOOKUP(Tablo5[[#This Row],[BOYA KODU]],Tablo14[#All],4,0)," ")</f>
        <v xml:space="preserve"> </v>
      </c>
      <c r="L98" s="100" t="str">
        <f>IFERROR(VLOOKUP(Tablo5[[#This Row],[BOYA KODU]],Tablo14[#All],6,0)," ")</f>
        <v xml:space="preserve"> </v>
      </c>
      <c r="M98" s="100" t="str">
        <f t="shared" si="7"/>
        <v xml:space="preserve"> </v>
      </c>
      <c r="N98" s="100" t="str">
        <f>IFERROR(VLOOKUP(Tablo5[[#This Row],[ÜRÜN KODU]],YMKODLARI!$A$1:$K$363,8,0)," ")</f>
        <v>HM 003</v>
      </c>
      <c r="O98" s="100" t="str">
        <f>IFERROR(VLOOKUP(Tablo5[[#This Row],[HAMMADDE KODU]],Tablo1[#All],3,0)," ")</f>
        <v>LSR 45</v>
      </c>
      <c r="P98" s="100" t="str">
        <f>IFERROR(VLOOKUP(Tablo5[[#This Row],[HAMMADDE KODU]],Tablo1[#All],4,0)," ")</f>
        <v>SETA</v>
      </c>
      <c r="Q98" s="100">
        <f>IFERROR(VLOOKUP(Tablo5[[#This Row],[ÜRÜN KODU]],YMKODLARI!$A$1:$K$363,5,0)," ")</f>
        <v>51.7</v>
      </c>
      <c r="R98" s="100">
        <f>IFERROR(VLOOKUP(Tablo5[[#This Row],[ÜRÜN KODU]],YMKODLARI!$A$1:$K$363,6,0)," ")</f>
        <v>44.5</v>
      </c>
      <c r="S98" s="100">
        <f>IFERROR(Tablo5[[#This Row],[YOLLUK HARİÇ BASKI GRAMI]]/Tablo5[[#This Row],[KALIP GÖZ ADEDİ]]," ")</f>
        <v>5.5625</v>
      </c>
      <c r="T98" s="100">
        <f t="shared" si="9"/>
        <v>7.2000000000000028</v>
      </c>
      <c r="U98" s="100">
        <v>9.5</v>
      </c>
      <c r="V98" s="100">
        <f t="shared" si="8"/>
        <v>64.368499999999997</v>
      </c>
      <c r="W98" s="101">
        <f t="shared" si="10"/>
        <v>23.583333333333332</v>
      </c>
      <c r="X98" s="102">
        <f t="shared" si="11"/>
        <v>13.999999999999972</v>
      </c>
      <c r="Y98" s="100">
        <f t="shared" si="12"/>
        <v>12.33</v>
      </c>
      <c r="Z98" s="100">
        <f t="shared" si="13"/>
        <v>9864</v>
      </c>
    </row>
    <row r="99" spans="1:26">
      <c r="A99" s="100" t="s">
        <v>34</v>
      </c>
      <c r="B99" s="108" t="str">
        <f>IFERROR(VLOOKUP(Tablo5[[#This Row],[ÜRÜN KODU]],YMKODLARI!$A$1:$K$363,2,0)," ")</f>
        <v>BİBERON KLASİK  UC 1 NO</v>
      </c>
      <c r="C99" s="99">
        <v>43958</v>
      </c>
      <c r="D99" s="100" t="s">
        <v>33</v>
      </c>
      <c r="E99" s="101">
        <v>0.33333333333333331</v>
      </c>
      <c r="F99" s="101">
        <v>0.75</v>
      </c>
      <c r="G99" s="100">
        <f>IFERROR(VLOOKUP(Tablo5[[#This Row],[ÜRÜN KODU]],YMKODLARI!$A$1:$K$363,3,0)," ")</f>
        <v>8</v>
      </c>
      <c r="H99" s="100">
        <f>IFERROR(VLOOKUP(Tablo5[[#This Row],[ÜRÜN KODU]],YMKODLARI!$A$1:$K$363,4,0)," ")</f>
        <v>36</v>
      </c>
      <c r="I99" s="100">
        <v>834</v>
      </c>
      <c r="J99" s="100" t="str">
        <f>IFERROR(VLOOKUP(Tablo5[[#This Row],[ÜRÜN KODU]],YMKODLARI!$A$1:$K$363,9,0)," ")</f>
        <v>Şeffaf</v>
      </c>
      <c r="K99" s="100" t="str">
        <f>IFERROR(VLOOKUP(Tablo5[[#This Row],[BOYA KODU]],Tablo14[#All],4,0)," ")</f>
        <v xml:space="preserve"> </v>
      </c>
      <c r="L99" s="100" t="str">
        <f>IFERROR(VLOOKUP(Tablo5[[#This Row],[BOYA KODU]],Tablo14[#All],6,0)," ")</f>
        <v xml:space="preserve"> </v>
      </c>
      <c r="M99" s="100" t="str">
        <f t="shared" si="7"/>
        <v xml:space="preserve"> </v>
      </c>
      <c r="N99" s="100" t="str">
        <f>IFERROR(VLOOKUP(Tablo5[[#This Row],[ÜRÜN KODU]],YMKODLARI!$A$1:$K$363,8,0)," ")</f>
        <v>HM 003</v>
      </c>
      <c r="O99" s="100" t="str">
        <f>IFERROR(VLOOKUP(Tablo5[[#This Row],[HAMMADDE KODU]],Tablo1[#All],3,0)," ")</f>
        <v>LSR 45</v>
      </c>
      <c r="P99" s="100" t="str">
        <f>IFERROR(VLOOKUP(Tablo5[[#This Row],[HAMMADDE KODU]],Tablo1[#All],4,0)," ")</f>
        <v>SETA</v>
      </c>
      <c r="Q99" s="100">
        <f>IFERROR(VLOOKUP(Tablo5[[#This Row],[ÜRÜN KODU]],YMKODLARI!$A$1:$K$363,5,0)," ")</f>
        <v>51.7</v>
      </c>
      <c r="R99" s="100">
        <f>IFERROR(VLOOKUP(Tablo5[[#This Row],[ÜRÜN KODU]],YMKODLARI!$A$1:$K$363,6,0)," ")</f>
        <v>44.5</v>
      </c>
      <c r="S99" s="100">
        <f>IFERROR(Tablo5[[#This Row],[YOLLUK HARİÇ BASKI GRAMI]]/Tablo5[[#This Row],[KALIP GÖZ ADEDİ]]," ")</f>
        <v>5.5625</v>
      </c>
      <c r="T99" s="100">
        <f t="shared" si="9"/>
        <v>7.2000000000000028</v>
      </c>
      <c r="U99" s="100">
        <v>6</v>
      </c>
      <c r="V99" s="100">
        <f t="shared" si="8"/>
        <v>43.113</v>
      </c>
      <c r="W99" s="101">
        <f t="shared" si="10"/>
        <v>24.416666666666668</v>
      </c>
      <c r="X99" s="102">
        <f t="shared" si="11"/>
        <v>10.000000000000028</v>
      </c>
      <c r="Y99" s="100">
        <f t="shared" si="12"/>
        <v>8.34</v>
      </c>
      <c r="Z99" s="100">
        <f t="shared" si="13"/>
        <v>6672</v>
      </c>
    </row>
    <row r="100" spans="1:26">
      <c r="A100" s="100" t="s">
        <v>34</v>
      </c>
      <c r="B100" s="108" t="str">
        <f>IFERROR(VLOOKUP(Tablo5[[#This Row],[ÜRÜN KODU]],YMKODLARI!$A$1:$K$363,2,0)," ")</f>
        <v>BİBERON KLASİK  UC 1 NO</v>
      </c>
      <c r="C100" s="99">
        <v>43958</v>
      </c>
      <c r="D100" s="100" t="s">
        <v>37</v>
      </c>
      <c r="E100" s="101">
        <v>0.33333333333333331</v>
      </c>
      <c r="F100" s="101">
        <v>0.75</v>
      </c>
      <c r="G100" s="100">
        <f>IFERROR(VLOOKUP(Tablo5[[#This Row],[ÜRÜN KODU]],YMKODLARI!$A$1:$K$363,3,0)," ")</f>
        <v>8</v>
      </c>
      <c r="H100" s="100">
        <f>IFERROR(VLOOKUP(Tablo5[[#This Row],[ÜRÜN KODU]],YMKODLARI!$A$1:$K$363,4,0)," ")</f>
        <v>36</v>
      </c>
      <c r="I100" s="100">
        <v>1280</v>
      </c>
      <c r="J100" s="100" t="str">
        <f>IFERROR(VLOOKUP(Tablo5[[#This Row],[ÜRÜN KODU]],YMKODLARI!$A$1:$K$363,9,0)," ")</f>
        <v>Şeffaf</v>
      </c>
      <c r="K100" s="100" t="str">
        <f>IFERROR(VLOOKUP(Tablo5[[#This Row],[BOYA KODU]],Tablo14[#All],4,0)," ")</f>
        <v xml:space="preserve"> </v>
      </c>
      <c r="L100" s="100" t="str">
        <f>IFERROR(VLOOKUP(Tablo5[[#This Row],[BOYA KODU]],Tablo14[#All],6,0)," ")</f>
        <v xml:space="preserve"> </v>
      </c>
      <c r="M100" s="100" t="str">
        <f t="shared" si="7"/>
        <v xml:space="preserve"> </v>
      </c>
      <c r="N100" s="100" t="str">
        <f>IFERROR(VLOOKUP(Tablo5[[#This Row],[ÜRÜN KODU]],YMKODLARI!$A$1:$K$363,8,0)," ")</f>
        <v>HM 003</v>
      </c>
      <c r="O100" s="100" t="str">
        <f>IFERROR(VLOOKUP(Tablo5[[#This Row],[HAMMADDE KODU]],Tablo1[#All],3,0)," ")</f>
        <v>LSR 45</v>
      </c>
      <c r="P100" s="100" t="str">
        <f>IFERROR(VLOOKUP(Tablo5[[#This Row],[HAMMADDE KODU]],Tablo1[#All],4,0)," ")</f>
        <v>SETA</v>
      </c>
      <c r="Q100" s="100">
        <f>IFERROR(VLOOKUP(Tablo5[[#This Row],[ÜRÜN KODU]],YMKODLARI!$A$1:$K$363,5,0)," ")</f>
        <v>51.7</v>
      </c>
      <c r="R100" s="100">
        <f>IFERROR(VLOOKUP(Tablo5[[#This Row],[ÜRÜN KODU]],YMKODLARI!$A$1:$K$363,6,0)," ")</f>
        <v>44.5</v>
      </c>
      <c r="S100" s="100">
        <f>IFERROR(Tablo5[[#This Row],[YOLLUK HARİÇ BASKI GRAMI]]/Tablo5[[#This Row],[KALIP GÖZ ADEDİ]]," ")</f>
        <v>5.5625</v>
      </c>
      <c r="T100" s="100">
        <f t="shared" si="9"/>
        <v>7.2000000000000028</v>
      </c>
      <c r="U100" s="100">
        <v>10</v>
      </c>
      <c r="V100" s="100">
        <f t="shared" si="8"/>
        <v>66.960000000000008</v>
      </c>
      <c r="W100" s="101">
        <f t="shared" si="10"/>
        <v>24.416666666666668</v>
      </c>
      <c r="X100" s="102">
        <f t="shared" si="11"/>
        <v>10.000000000000028</v>
      </c>
      <c r="Y100" s="100">
        <f t="shared" si="12"/>
        <v>12.8</v>
      </c>
      <c r="Z100" s="100">
        <f t="shared" si="13"/>
        <v>10240</v>
      </c>
    </row>
    <row r="101" spans="1:26">
      <c r="A101" s="100" t="s">
        <v>34</v>
      </c>
      <c r="B101" s="108" t="str">
        <f>IFERROR(VLOOKUP(Tablo5[[#This Row],[ÜRÜN KODU]],YMKODLARI!$A$1:$K$363,2,0)," ")</f>
        <v>BİBERON KLASİK  UC 1 NO</v>
      </c>
      <c r="C101" s="99">
        <v>43959</v>
      </c>
      <c r="D101" s="100" t="s">
        <v>33</v>
      </c>
      <c r="E101" s="101">
        <v>0.75</v>
      </c>
      <c r="F101" s="101">
        <v>0.72916666666666663</v>
      </c>
      <c r="G101" s="100">
        <f>IFERROR(VLOOKUP(Tablo5[[#This Row],[ÜRÜN KODU]],YMKODLARI!$A$1:$K$363,3,0)," ")</f>
        <v>8</v>
      </c>
      <c r="H101" s="100">
        <f>IFERROR(VLOOKUP(Tablo5[[#This Row],[ÜRÜN KODU]],YMKODLARI!$A$1:$K$363,4,0)," ")</f>
        <v>36</v>
      </c>
      <c r="I101" s="100">
        <v>889</v>
      </c>
      <c r="J101" s="100" t="str">
        <f>IFERROR(VLOOKUP(Tablo5[[#This Row],[ÜRÜN KODU]],YMKODLARI!$A$1:$K$363,9,0)," ")</f>
        <v>Şeffaf</v>
      </c>
      <c r="K101" s="100" t="str">
        <f>IFERROR(VLOOKUP(Tablo5[[#This Row],[BOYA KODU]],Tablo14[#All],4,0)," ")</f>
        <v xml:space="preserve"> </v>
      </c>
      <c r="L101" s="100" t="str">
        <f>IFERROR(VLOOKUP(Tablo5[[#This Row],[BOYA KODU]],Tablo14[#All],6,0)," ")</f>
        <v xml:space="preserve"> </v>
      </c>
      <c r="M101" s="100" t="str">
        <f t="shared" si="7"/>
        <v xml:space="preserve"> </v>
      </c>
      <c r="N101" s="100" t="str">
        <f>IFERROR(VLOOKUP(Tablo5[[#This Row],[ÜRÜN KODU]],YMKODLARI!$A$1:$K$363,8,0)," ")</f>
        <v>HM 003</v>
      </c>
      <c r="O101" s="100" t="str">
        <f>IFERROR(VLOOKUP(Tablo5[[#This Row],[HAMMADDE KODU]],Tablo1[#All],3,0)," ")</f>
        <v>LSR 45</v>
      </c>
      <c r="P101" s="100" t="str">
        <f>IFERROR(VLOOKUP(Tablo5[[#This Row],[HAMMADDE KODU]],Tablo1[#All],4,0)," ")</f>
        <v>SETA</v>
      </c>
      <c r="Q101" s="100">
        <f>IFERROR(VLOOKUP(Tablo5[[#This Row],[ÜRÜN KODU]],YMKODLARI!$A$1:$K$363,5,0)," ")</f>
        <v>51.7</v>
      </c>
      <c r="R101" s="100">
        <f>IFERROR(VLOOKUP(Tablo5[[#This Row],[ÜRÜN KODU]],YMKODLARI!$A$1:$K$363,6,0)," ")</f>
        <v>44.5</v>
      </c>
      <c r="S101" s="100">
        <f>IFERROR(Tablo5[[#This Row],[YOLLUK HARİÇ BASKI GRAMI]]/Tablo5[[#This Row],[KALIP GÖZ ADEDİ]]," ")</f>
        <v>5.5625</v>
      </c>
      <c r="T101" s="100">
        <f t="shared" si="9"/>
        <v>7.2000000000000028</v>
      </c>
      <c r="U101" s="100">
        <v>9</v>
      </c>
      <c r="V101" s="100">
        <f t="shared" si="8"/>
        <v>48.560499999999998</v>
      </c>
      <c r="W101" s="101">
        <f t="shared" si="10"/>
        <v>23.979166666666668</v>
      </c>
      <c r="X101" s="102">
        <f t="shared" si="11"/>
        <v>23.500000000000028</v>
      </c>
      <c r="Y101" s="100">
        <f t="shared" si="12"/>
        <v>8.89</v>
      </c>
      <c r="Z101" s="100">
        <f t="shared" si="13"/>
        <v>7112</v>
      </c>
    </row>
    <row r="102" spans="1:26">
      <c r="A102" s="100" t="s">
        <v>34</v>
      </c>
      <c r="B102" s="108" t="str">
        <f>IFERROR(VLOOKUP(Tablo5[[#This Row],[ÜRÜN KODU]],YMKODLARI!$A$1:$K$363,2,0)," ")</f>
        <v>BİBERON KLASİK  UC 1 NO</v>
      </c>
      <c r="C102" s="99">
        <v>43962</v>
      </c>
      <c r="D102" s="100" t="s">
        <v>29</v>
      </c>
      <c r="E102" s="101">
        <v>0.33333333333333331</v>
      </c>
      <c r="F102" s="101">
        <v>0.75</v>
      </c>
      <c r="G102" s="100">
        <f>IFERROR(VLOOKUP(Tablo5[[#This Row],[ÜRÜN KODU]],YMKODLARI!$A$1:$K$363,3,0)," ")</f>
        <v>8</v>
      </c>
      <c r="H102" s="100">
        <f>IFERROR(VLOOKUP(Tablo5[[#This Row],[ÜRÜN KODU]],YMKODLARI!$A$1:$K$363,4,0)," ")</f>
        <v>36</v>
      </c>
      <c r="I102" s="100">
        <v>881</v>
      </c>
      <c r="J102" s="100" t="str">
        <f>IFERROR(VLOOKUP(Tablo5[[#This Row],[ÜRÜN KODU]],YMKODLARI!$A$1:$K$363,9,0)," ")</f>
        <v>Şeffaf</v>
      </c>
      <c r="K102" s="100" t="str">
        <f>IFERROR(VLOOKUP(Tablo5[[#This Row],[BOYA KODU]],Tablo14[#All],4,0)," ")</f>
        <v xml:space="preserve"> </v>
      </c>
      <c r="L102" s="100" t="str">
        <f>IFERROR(VLOOKUP(Tablo5[[#This Row],[BOYA KODU]],Tablo14[#All],6,0)," ")</f>
        <v xml:space="preserve"> </v>
      </c>
      <c r="M102" s="100" t="str">
        <f t="shared" si="7"/>
        <v xml:space="preserve"> </v>
      </c>
      <c r="N102" s="100" t="str">
        <f>IFERROR(VLOOKUP(Tablo5[[#This Row],[ÜRÜN KODU]],YMKODLARI!$A$1:$K$363,8,0)," ")</f>
        <v>HM 003</v>
      </c>
      <c r="O102" s="100" t="str">
        <f>IFERROR(VLOOKUP(Tablo5[[#This Row],[HAMMADDE KODU]],Tablo1[#All],3,0)," ")</f>
        <v>LSR 45</v>
      </c>
      <c r="P102" s="100" t="str">
        <f>IFERROR(VLOOKUP(Tablo5[[#This Row],[HAMMADDE KODU]],Tablo1[#All],4,0)," ")</f>
        <v>SETA</v>
      </c>
      <c r="Q102" s="100">
        <f>IFERROR(VLOOKUP(Tablo5[[#This Row],[ÜRÜN KODU]],YMKODLARI!$A$1:$K$363,5,0)," ")</f>
        <v>51.7</v>
      </c>
      <c r="R102" s="100">
        <f>IFERROR(VLOOKUP(Tablo5[[#This Row],[ÜRÜN KODU]],YMKODLARI!$A$1:$K$363,6,0)," ")</f>
        <v>44.5</v>
      </c>
      <c r="S102" s="100">
        <f>IFERROR(Tablo5[[#This Row],[YOLLUK HARİÇ BASKI GRAMI]]/Tablo5[[#This Row],[KALIP GÖZ ADEDİ]]," ")</f>
        <v>5.5625</v>
      </c>
      <c r="T102" s="100">
        <f t="shared" si="9"/>
        <v>7.2000000000000028</v>
      </c>
      <c r="U102" s="100">
        <v>6.5</v>
      </c>
      <c r="V102" s="100">
        <f t="shared" si="8"/>
        <v>45.704500000000003</v>
      </c>
      <c r="W102" s="101">
        <f t="shared" si="10"/>
        <v>24.416666666666668</v>
      </c>
      <c r="X102" s="102">
        <f t="shared" si="11"/>
        <v>10.000000000000028</v>
      </c>
      <c r="Y102" s="100">
        <f t="shared" si="12"/>
        <v>8.81</v>
      </c>
      <c r="Z102" s="100">
        <f t="shared" si="13"/>
        <v>7048</v>
      </c>
    </row>
    <row r="103" spans="1:26">
      <c r="A103" s="100" t="s">
        <v>34</v>
      </c>
      <c r="B103" s="108" t="str">
        <f>IFERROR(VLOOKUP(Tablo5[[#This Row],[ÜRÜN KODU]],YMKODLARI!$A$1:$K$363,2,0)," ")</f>
        <v>BİBERON KLASİK  UC 1 NO</v>
      </c>
      <c r="C103" s="99">
        <v>43962</v>
      </c>
      <c r="D103" s="100" t="s">
        <v>36</v>
      </c>
      <c r="E103" s="101">
        <v>0.75</v>
      </c>
      <c r="F103" s="101">
        <v>0.33333333333333331</v>
      </c>
      <c r="G103" s="100">
        <f>IFERROR(VLOOKUP(Tablo5[[#This Row],[ÜRÜN KODU]],YMKODLARI!$A$1:$K$363,3,0)," ")</f>
        <v>8</v>
      </c>
      <c r="H103" s="100">
        <f>IFERROR(VLOOKUP(Tablo5[[#This Row],[ÜRÜN KODU]],YMKODLARI!$A$1:$K$363,4,0)," ")</f>
        <v>36</v>
      </c>
      <c r="I103" s="100">
        <v>1415</v>
      </c>
      <c r="J103" s="100" t="str">
        <f>IFERROR(VLOOKUP(Tablo5[[#This Row],[ÜRÜN KODU]],YMKODLARI!$A$1:$K$363,9,0)," ")</f>
        <v>Şeffaf</v>
      </c>
      <c r="K103" s="100" t="str">
        <f>IFERROR(VLOOKUP(Tablo5[[#This Row],[BOYA KODU]],Tablo14[#All],4,0)," ")</f>
        <v xml:space="preserve"> </v>
      </c>
      <c r="L103" s="100" t="str">
        <f>IFERROR(VLOOKUP(Tablo5[[#This Row],[BOYA KODU]],Tablo14[#All],6,0)," ")</f>
        <v xml:space="preserve"> </v>
      </c>
      <c r="M103" s="100" t="str">
        <f t="shared" si="7"/>
        <v xml:space="preserve"> </v>
      </c>
      <c r="N103" s="100" t="str">
        <f>IFERROR(VLOOKUP(Tablo5[[#This Row],[ÜRÜN KODU]],YMKODLARI!$A$1:$K$363,8,0)," ")</f>
        <v>HM 003</v>
      </c>
      <c r="O103" s="100" t="str">
        <f>IFERROR(VLOOKUP(Tablo5[[#This Row],[HAMMADDE KODU]],Tablo1[#All],3,0)," ")</f>
        <v>LSR 45</v>
      </c>
      <c r="P103" s="100" t="str">
        <f>IFERROR(VLOOKUP(Tablo5[[#This Row],[HAMMADDE KODU]],Tablo1[#All],4,0)," ")</f>
        <v>SETA</v>
      </c>
      <c r="Q103" s="100">
        <f>IFERROR(VLOOKUP(Tablo5[[#This Row],[ÜRÜN KODU]],YMKODLARI!$A$1:$K$363,5,0)," ")</f>
        <v>51.7</v>
      </c>
      <c r="R103" s="100">
        <f>IFERROR(VLOOKUP(Tablo5[[#This Row],[ÜRÜN KODU]],YMKODLARI!$A$1:$K$363,6,0)," ")</f>
        <v>44.5</v>
      </c>
      <c r="S103" s="100">
        <f>IFERROR(Tablo5[[#This Row],[YOLLUK HARİÇ BASKI GRAMI]]/Tablo5[[#This Row],[KALIP GÖZ ADEDİ]]," ")</f>
        <v>5.5625</v>
      </c>
      <c r="T103" s="100">
        <f t="shared" si="9"/>
        <v>7.2000000000000028</v>
      </c>
      <c r="U103" s="100">
        <v>10</v>
      </c>
      <c r="V103" s="100">
        <f t="shared" si="8"/>
        <v>72.967500000000001</v>
      </c>
      <c r="W103" s="101">
        <f t="shared" si="10"/>
        <v>23.583333333333332</v>
      </c>
      <c r="X103" s="102">
        <f t="shared" si="11"/>
        <v>13.999999999999972</v>
      </c>
      <c r="Y103" s="100">
        <f t="shared" si="12"/>
        <v>14.15</v>
      </c>
      <c r="Z103" s="100">
        <f t="shared" si="13"/>
        <v>11320</v>
      </c>
    </row>
    <row r="104" spans="1:26">
      <c r="A104" s="100" t="s">
        <v>34</v>
      </c>
      <c r="B104" s="108" t="str">
        <f>IFERROR(VLOOKUP(Tablo5[[#This Row],[ÜRÜN KODU]],YMKODLARI!$A$1:$K$363,2,0)," ")</f>
        <v>BİBERON KLASİK  UC 1 NO</v>
      </c>
      <c r="C104" s="99">
        <v>43963</v>
      </c>
      <c r="D104" s="100" t="s">
        <v>29</v>
      </c>
      <c r="E104" s="101">
        <v>0.33333333333333331</v>
      </c>
      <c r="F104" s="101">
        <v>0.75</v>
      </c>
      <c r="G104" s="100">
        <f>IFERROR(VLOOKUP(Tablo5[[#This Row],[ÜRÜN KODU]],YMKODLARI!$A$1:$K$363,3,0)," ")</f>
        <v>8</v>
      </c>
      <c r="H104" s="100">
        <f>IFERROR(VLOOKUP(Tablo5[[#This Row],[ÜRÜN KODU]],YMKODLARI!$A$1:$K$363,4,0)," ")</f>
        <v>36</v>
      </c>
      <c r="I104" s="100">
        <v>439</v>
      </c>
      <c r="J104" s="100" t="str">
        <f>IFERROR(VLOOKUP(Tablo5[[#This Row],[ÜRÜN KODU]],YMKODLARI!$A$1:$K$363,9,0)," ")</f>
        <v>Şeffaf</v>
      </c>
      <c r="K104" s="100" t="str">
        <f>IFERROR(VLOOKUP(Tablo5[[#This Row],[BOYA KODU]],Tablo14[#All],4,0)," ")</f>
        <v xml:space="preserve"> </v>
      </c>
      <c r="L104" s="100" t="str">
        <f>IFERROR(VLOOKUP(Tablo5[[#This Row],[BOYA KODU]],Tablo14[#All],6,0)," ")</f>
        <v xml:space="preserve"> </v>
      </c>
      <c r="M104" s="100" t="str">
        <f t="shared" si="7"/>
        <v xml:space="preserve"> </v>
      </c>
      <c r="N104" s="100" t="str">
        <f>IFERROR(VLOOKUP(Tablo5[[#This Row],[ÜRÜN KODU]],YMKODLARI!$A$1:$K$363,8,0)," ")</f>
        <v>HM 003</v>
      </c>
      <c r="O104" s="100" t="str">
        <f>IFERROR(VLOOKUP(Tablo5[[#This Row],[HAMMADDE KODU]],Tablo1[#All],3,0)," ")</f>
        <v>LSR 45</v>
      </c>
      <c r="P104" s="100" t="str">
        <f>IFERROR(VLOOKUP(Tablo5[[#This Row],[HAMMADDE KODU]],Tablo1[#All],4,0)," ")</f>
        <v>SETA</v>
      </c>
      <c r="Q104" s="100">
        <f>IFERROR(VLOOKUP(Tablo5[[#This Row],[ÜRÜN KODU]],YMKODLARI!$A$1:$K$363,5,0)," ")</f>
        <v>51.7</v>
      </c>
      <c r="R104" s="100">
        <f>IFERROR(VLOOKUP(Tablo5[[#This Row],[ÜRÜN KODU]],YMKODLARI!$A$1:$K$363,6,0)," ")</f>
        <v>44.5</v>
      </c>
      <c r="S104" s="100">
        <f>IFERROR(Tablo5[[#This Row],[YOLLUK HARİÇ BASKI GRAMI]]/Tablo5[[#This Row],[KALIP GÖZ ADEDİ]]," ")</f>
        <v>5.5625</v>
      </c>
      <c r="T104" s="100">
        <f t="shared" si="9"/>
        <v>7.2000000000000028</v>
      </c>
      <c r="U104" s="100">
        <v>4</v>
      </c>
      <c r="V104" s="100">
        <f t="shared" si="8"/>
        <v>23.535499999999999</v>
      </c>
      <c r="W104" s="101">
        <f t="shared" si="10"/>
        <v>24.416666666666668</v>
      </c>
      <c r="X104" s="102">
        <f t="shared" si="11"/>
        <v>10.000000000000028</v>
      </c>
      <c r="Y104" s="100">
        <f t="shared" si="12"/>
        <v>4.3899999999999997</v>
      </c>
      <c r="Z104" s="100">
        <f t="shared" si="13"/>
        <v>3512</v>
      </c>
    </row>
    <row r="105" spans="1:26">
      <c r="A105" s="100" t="s">
        <v>34</v>
      </c>
      <c r="B105" s="108" t="str">
        <f>IFERROR(VLOOKUP(Tablo5[[#This Row],[ÜRÜN KODU]],YMKODLARI!$A$1:$K$363,2,0)," ")</f>
        <v>BİBERON KLASİK  UC 1 NO</v>
      </c>
      <c r="C105" s="99">
        <v>43963</v>
      </c>
      <c r="D105" s="100" t="s">
        <v>36</v>
      </c>
      <c r="E105" s="101">
        <v>0.75</v>
      </c>
      <c r="F105" s="101">
        <v>0.33333333333333331</v>
      </c>
      <c r="G105" s="100">
        <f>IFERROR(VLOOKUP(Tablo5[[#This Row],[ÜRÜN KODU]],YMKODLARI!$A$1:$K$363,3,0)," ")</f>
        <v>8</v>
      </c>
      <c r="H105" s="100">
        <f>IFERROR(VLOOKUP(Tablo5[[#This Row],[ÜRÜN KODU]],YMKODLARI!$A$1:$K$363,4,0)," ")</f>
        <v>36</v>
      </c>
      <c r="I105" s="100">
        <v>1427</v>
      </c>
      <c r="J105" s="100" t="str">
        <f>IFERROR(VLOOKUP(Tablo5[[#This Row],[ÜRÜN KODU]],YMKODLARI!$A$1:$K$363,9,0)," ")</f>
        <v>Şeffaf</v>
      </c>
      <c r="K105" s="100" t="str">
        <f>IFERROR(VLOOKUP(Tablo5[[#This Row],[BOYA KODU]],Tablo14[#All],4,0)," ")</f>
        <v xml:space="preserve"> </v>
      </c>
      <c r="L105" s="100" t="str">
        <f>IFERROR(VLOOKUP(Tablo5[[#This Row],[BOYA KODU]],Tablo14[#All],6,0)," ")</f>
        <v xml:space="preserve"> </v>
      </c>
      <c r="M105" s="100" t="str">
        <f t="shared" si="7"/>
        <v xml:space="preserve"> </v>
      </c>
      <c r="N105" s="100" t="str">
        <f>IFERROR(VLOOKUP(Tablo5[[#This Row],[ÜRÜN KODU]],YMKODLARI!$A$1:$K$363,8,0)," ")</f>
        <v>HM 003</v>
      </c>
      <c r="O105" s="100" t="str">
        <f>IFERROR(VLOOKUP(Tablo5[[#This Row],[HAMMADDE KODU]],Tablo1[#All],3,0)," ")</f>
        <v>LSR 45</v>
      </c>
      <c r="P105" s="100" t="str">
        <f>IFERROR(VLOOKUP(Tablo5[[#This Row],[HAMMADDE KODU]],Tablo1[#All],4,0)," ")</f>
        <v>SETA</v>
      </c>
      <c r="Q105" s="100">
        <f>IFERROR(VLOOKUP(Tablo5[[#This Row],[ÜRÜN KODU]],YMKODLARI!$A$1:$K$363,5,0)," ")</f>
        <v>51.7</v>
      </c>
      <c r="R105" s="100">
        <f>IFERROR(VLOOKUP(Tablo5[[#This Row],[ÜRÜN KODU]],YMKODLARI!$A$1:$K$363,6,0)," ")</f>
        <v>44.5</v>
      </c>
      <c r="S105" s="100">
        <f>IFERROR(Tablo5[[#This Row],[YOLLUK HARİÇ BASKI GRAMI]]/Tablo5[[#This Row],[KALIP GÖZ ADEDİ]]," ")</f>
        <v>5.5625</v>
      </c>
      <c r="T105" s="100">
        <f t="shared" si="9"/>
        <v>7.2000000000000028</v>
      </c>
      <c r="U105" s="100">
        <v>10</v>
      </c>
      <c r="V105" s="100">
        <f t="shared" si="8"/>
        <v>73.501499999999993</v>
      </c>
      <c r="W105" s="101">
        <f t="shared" si="10"/>
        <v>23.583333333333332</v>
      </c>
      <c r="X105" s="102">
        <f t="shared" si="11"/>
        <v>13.999999999999972</v>
      </c>
      <c r="Y105" s="100">
        <f t="shared" si="12"/>
        <v>14.27</v>
      </c>
      <c r="Z105" s="100">
        <f t="shared" si="13"/>
        <v>11416</v>
      </c>
    </row>
    <row r="106" spans="1:26">
      <c r="A106" s="100" t="s">
        <v>34</v>
      </c>
      <c r="B106" s="108" t="str">
        <f>IFERROR(VLOOKUP(Tablo5[[#This Row],[ÜRÜN KODU]],YMKODLARI!$A$1:$K$363,2,0)," ")</f>
        <v>BİBERON KLASİK  UC 1 NO</v>
      </c>
      <c r="C106" s="99">
        <v>43964</v>
      </c>
      <c r="D106" s="100" t="s">
        <v>33</v>
      </c>
      <c r="E106" s="101">
        <v>0.33333333333333331</v>
      </c>
      <c r="F106" s="101">
        <v>0.75</v>
      </c>
      <c r="G106" s="100">
        <f>IFERROR(VLOOKUP(Tablo5[[#This Row],[ÜRÜN KODU]],YMKODLARI!$A$1:$K$363,3,0)," ")</f>
        <v>8</v>
      </c>
      <c r="H106" s="100">
        <f>IFERROR(VLOOKUP(Tablo5[[#This Row],[ÜRÜN KODU]],YMKODLARI!$A$1:$K$363,4,0)," ")</f>
        <v>36</v>
      </c>
      <c r="I106" s="100">
        <v>890</v>
      </c>
      <c r="J106" s="100" t="str">
        <f>IFERROR(VLOOKUP(Tablo5[[#This Row],[ÜRÜN KODU]],YMKODLARI!$A$1:$K$363,9,0)," ")</f>
        <v>Şeffaf</v>
      </c>
      <c r="K106" s="100" t="str">
        <f>IFERROR(VLOOKUP(Tablo5[[#This Row],[BOYA KODU]],Tablo14[#All],4,0)," ")</f>
        <v xml:space="preserve"> </v>
      </c>
      <c r="L106" s="100" t="str">
        <f>IFERROR(VLOOKUP(Tablo5[[#This Row],[BOYA KODU]],Tablo14[#All],6,0)," ")</f>
        <v xml:space="preserve"> </v>
      </c>
      <c r="M106" s="100" t="str">
        <f t="shared" si="7"/>
        <v xml:space="preserve"> </v>
      </c>
      <c r="N106" s="100" t="str">
        <f>IFERROR(VLOOKUP(Tablo5[[#This Row],[ÜRÜN KODU]],YMKODLARI!$A$1:$K$363,8,0)," ")</f>
        <v>HM 003</v>
      </c>
      <c r="O106" s="100" t="str">
        <f>IFERROR(VLOOKUP(Tablo5[[#This Row],[HAMMADDE KODU]],Tablo1[#All],3,0)," ")</f>
        <v>LSR 45</v>
      </c>
      <c r="P106" s="100" t="str">
        <f>IFERROR(VLOOKUP(Tablo5[[#This Row],[HAMMADDE KODU]],Tablo1[#All],4,0)," ")</f>
        <v>SETA</v>
      </c>
      <c r="Q106" s="100">
        <f>IFERROR(VLOOKUP(Tablo5[[#This Row],[ÜRÜN KODU]],YMKODLARI!$A$1:$K$363,5,0)," ")</f>
        <v>51.7</v>
      </c>
      <c r="R106" s="100">
        <f>IFERROR(VLOOKUP(Tablo5[[#This Row],[ÜRÜN KODU]],YMKODLARI!$A$1:$K$363,6,0)," ")</f>
        <v>44.5</v>
      </c>
      <c r="S106" s="100">
        <f>IFERROR(Tablo5[[#This Row],[YOLLUK HARİÇ BASKI GRAMI]]/Tablo5[[#This Row],[KALIP GÖZ ADEDİ]]," ")</f>
        <v>5.5625</v>
      </c>
      <c r="T106" s="100">
        <f t="shared" si="9"/>
        <v>7.2000000000000028</v>
      </c>
      <c r="U106" s="100">
        <v>6.5</v>
      </c>
      <c r="V106" s="100">
        <f t="shared" si="8"/>
        <v>46.104999999999997</v>
      </c>
      <c r="W106" s="101">
        <f t="shared" si="10"/>
        <v>24.416666666666668</v>
      </c>
      <c r="X106" s="102">
        <f t="shared" si="11"/>
        <v>10.000000000000028</v>
      </c>
      <c r="Y106" s="100">
        <f t="shared" si="12"/>
        <v>8.9</v>
      </c>
      <c r="Z106" s="100">
        <f t="shared" si="13"/>
        <v>7120</v>
      </c>
    </row>
    <row r="107" spans="1:26">
      <c r="A107" s="100" t="s">
        <v>34</v>
      </c>
      <c r="B107" s="108" t="str">
        <f>IFERROR(VLOOKUP(Tablo5[[#This Row],[ÜRÜN KODU]],YMKODLARI!$A$1:$K$363,2,0)," ")</f>
        <v>BİBERON KLASİK  UC 1 NO</v>
      </c>
      <c r="C107" s="99">
        <v>43964</v>
      </c>
      <c r="D107" s="100" t="s">
        <v>36</v>
      </c>
      <c r="E107" s="101">
        <v>0.75</v>
      </c>
      <c r="F107" s="101">
        <v>0.33333333333333331</v>
      </c>
      <c r="G107" s="100">
        <f>IFERROR(VLOOKUP(Tablo5[[#This Row],[ÜRÜN KODU]],YMKODLARI!$A$1:$K$363,3,0)," ")</f>
        <v>8</v>
      </c>
      <c r="H107" s="100">
        <f>IFERROR(VLOOKUP(Tablo5[[#This Row],[ÜRÜN KODU]],YMKODLARI!$A$1:$K$363,4,0)," ")</f>
        <v>36</v>
      </c>
      <c r="I107" s="100">
        <v>1272</v>
      </c>
      <c r="J107" s="100" t="str">
        <f>IFERROR(VLOOKUP(Tablo5[[#This Row],[ÜRÜN KODU]],YMKODLARI!$A$1:$K$363,9,0)," ")</f>
        <v>Şeffaf</v>
      </c>
      <c r="K107" s="100" t="str">
        <f>IFERROR(VLOOKUP(Tablo5[[#This Row],[BOYA KODU]],Tablo14[#All],4,0)," ")</f>
        <v xml:space="preserve"> </v>
      </c>
      <c r="L107" s="100" t="str">
        <f>IFERROR(VLOOKUP(Tablo5[[#This Row],[BOYA KODU]],Tablo14[#All],6,0)," ")</f>
        <v xml:space="preserve"> </v>
      </c>
      <c r="M107" s="100" t="str">
        <f t="shared" si="7"/>
        <v xml:space="preserve"> </v>
      </c>
      <c r="N107" s="100" t="str">
        <f>IFERROR(VLOOKUP(Tablo5[[#This Row],[ÜRÜN KODU]],YMKODLARI!$A$1:$K$363,8,0)," ")</f>
        <v>HM 003</v>
      </c>
      <c r="O107" s="100" t="str">
        <f>IFERROR(VLOOKUP(Tablo5[[#This Row],[HAMMADDE KODU]],Tablo1[#All],3,0)," ")</f>
        <v>LSR 45</v>
      </c>
      <c r="P107" s="100" t="str">
        <f>IFERROR(VLOOKUP(Tablo5[[#This Row],[HAMMADDE KODU]],Tablo1[#All],4,0)," ")</f>
        <v>SETA</v>
      </c>
      <c r="Q107" s="100">
        <f>IFERROR(VLOOKUP(Tablo5[[#This Row],[ÜRÜN KODU]],YMKODLARI!$A$1:$K$363,5,0)," ")</f>
        <v>51.7</v>
      </c>
      <c r="R107" s="100">
        <f>IFERROR(VLOOKUP(Tablo5[[#This Row],[ÜRÜN KODU]],YMKODLARI!$A$1:$K$363,6,0)," ")</f>
        <v>44.5</v>
      </c>
      <c r="S107" s="100">
        <f>IFERROR(Tablo5[[#This Row],[YOLLUK HARİÇ BASKI GRAMI]]/Tablo5[[#This Row],[KALIP GÖZ ADEDİ]]," ")</f>
        <v>5.5625</v>
      </c>
      <c r="T107" s="100">
        <f t="shared" si="9"/>
        <v>7.2000000000000028</v>
      </c>
      <c r="U107" s="100">
        <v>10</v>
      </c>
      <c r="V107" s="100">
        <f t="shared" si="8"/>
        <v>66.603999999999999</v>
      </c>
      <c r="W107" s="101">
        <f t="shared" si="10"/>
        <v>23.583333333333332</v>
      </c>
      <c r="X107" s="102">
        <f t="shared" si="11"/>
        <v>13.999999999999972</v>
      </c>
      <c r="Y107" s="100">
        <f t="shared" si="12"/>
        <v>12.72</v>
      </c>
      <c r="Z107" s="100">
        <f t="shared" si="13"/>
        <v>10176</v>
      </c>
    </row>
    <row r="108" spans="1:26">
      <c r="A108" s="100" t="s">
        <v>34</v>
      </c>
      <c r="B108" s="108" t="str">
        <f>IFERROR(VLOOKUP(Tablo5[[#This Row],[ÜRÜN KODU]],YMKODLARI!$A$1:$K$363,2,0)," ")</f>
        <v>BİBERON KLASİK  UC 1 NO</v>
      </c>
      <c r="C108" s="99">
        <v>43965</v>
      </c>
      <c r="D108" s="100" t="s">
        <v>33</v>
      </c>
      <c r="E108" s="101">
        <v>0.33333333333333331</v>
      </c>
      <c r="F108" s="101">
        <v>0.75</v>
      </c>
      <c r="G108" s="100">
        <f>IFERROR(VLOOKUP(Tablo5[[#This Row],[ÜRÜN KODU]],YMKODLARI!$A$1:$K$363,3,0)," ")</f>
        <v>8</v>
      </c>
      <c r="H108" s="100">
        <f>IFERROR(VLOOKUP(Tablo5[[#This Row],[ÜRÜN KODU]],YMKODLARI!$A$1:$K$363,4,0)," ")</f>
        <v>36</v>
      </c>
      <c r="I108" s="100">
        <v>837</v>
      </c>
      <c r="J108" s="100" t="str">
        <f>IFERROR(VLOOKUP(Tablo5[[#This Row],[ÜRÜN KODU]],YMKODLARI!$A$1:$K$363,9,0)," ")</f>
        <v>Şeffaf</v>
      </c>
      <c r="K108" s="100" t="str">
        <f>IFERROR(VLOOKUP(Tablo5[[#This Row],[BOYA KODU]],Tablo14[#All],4,0)," ")</f>
        <v xml:space="preserve"> </v>
      </c>
      <c r="L108" s="100" t="str">
        <f>IFERROR(VLOOKUP(Tablo5[[#This Row],[BOYA KODU]],Tablo14[#All],6,0)," ")</f>
        <v xml:space="preserve"> </v>
      </c>
      <c r="M108" s="100" t="str">
        <f t="shared" si="7"/>
        <v xml:space="preserve"> </v>
      </c>
      <c r="N108" s="100" t="str">
        <f>IFERROR(VLOOKUP(Tablo5[[#This Row],[ÜRÜN KODU]],YMKODLARI!$A$1:$K$363,8,0)," ")</f>
        <v>HM 003</v>
      </c>
      <c r="O108" s="100" t="str">
        <f>IFERROR(VLOOKUP(Tablo5[[#This Row],[HAMMADDE KODU]],Tablo1[#All],3,0)," ")</f>
        <v>LSR 45</v>
      </c>
      <c r="P108" s="100" t="str">
        <f>IFERROR(VLOOKUP(Tablo5[[#This Row],[HAMMADDE KODU]],Tablo1[#All],4,0)," ")</f>
        <v>SETA</v>
      </c>
      <c r="Q108" s="100">
        <f>IFERROR(VLOOKUP(Tablo5[[#This Row],[ÜRÜN KODU]],YMKODLARI!$A$1:$K$363,5,0)," ")</f>
        <v>51.7</v>
      </c>
      <c r="R108" s="100">
        <f>IFERROR(VLOOKUP(Tablo5[[#This Row],[ÜRÜN KODU]],YMKODLARI!$A$1:$K$363,6,0)," ")</f>
        <v>44.5</v>
      </c>
      <c r="S108" s="100">
        <f>IFERROR(Tablo5[[#This Row],[YOLLUK HARİÇ BASKI GRAMI]]/Tablo5[[#This Row],[KALIP GÖZ ADEDİ]]," ")</f>
        <v>5.5625</v>
      </c>
      <c r="T108" s="100">
        <f t="shared" si="9"/>
        <v>7.2000000000000028</v>
      </c>
      <c r="U108" s="100">
        <v>6.5</v>
      </c>
      <c r="V108" s="100">
        <f t="shared" si="8"/>
        <v>43.746499999999997</v>
      </c>
      <c r="W108" s="101">
        <f t="shared" si="10"/>
        <v>24.416666666666668</v>
      </c>
      <c r="X108" s="102">
        <f t="shared" si="11"/>
        <v>10.000000000000028</v>
      </c>
      <c r="Y108" s="100">
        <f t="shared" si="12"/>
        <v>8.3699999999999992</v>
      </c>
      <c r="Z108" s="100">
        <f t="shared" si="13"/>
        <v>6696</v>
      </c>
    </row>
    <row r="109" spans="1:26">
      <c r="A109" s="100" t="s">
        <v>34</v>
      </c>
      <c r="B109" s="108" t="str">
        <f>IFERROR(VLOOKUP(Tablo5[[#This Row],[ÜRÜN KODU]],YMKODLARI!$A$1:$K$363,2,0)," ")</f>
        <v>BİBERON KLASİK  UC 1 NO</v>
      </c>
      <c r="C109" s="99">
        <v>43965</v>
      </c>
      <c r="D109" s="100" t="s">
        <v>36</v>
      </c>
      <c r="E109" s="101">
        <v>0.75</v>
      </c>
      <c r="F109" s="101">
        <v>0.33333333333333331</v>
      </c>
      <c r="G109" s="100">
        <f>IFERROR(VLOOKUP(Tablo5[[#This Row],[ÜRÜN KODU]],YMKODLARI!$A$1:$K$363,3,0)," ")</f>
        <v>8</v>
      </c>
      <c r="H109" s="100">
        <f>IFERROR(VLOOKUP(Tablo5[[#This Row],[ÜRÜN KODU]],YMKODLARI!$A$1:$K$363,4,0)," ")</f>
        <v>36</v>
      </c>
      <c r="I109" s="100">
        <v>1340</v>
      </c>
      <c r="J109" s="100" t="str">
        <f>IFERROR(VLOOKUP(Tablo5[[#This Row],[ÜRÜN KODU]],YMKODLARI!$A$1:$K$363,9,0)," ")</f>
        <v>Şeffaf</v>
      </c>
      <c r="K109" s="100" t="str">
        <f>IFERROR(VLOOKUP(Tablo5[[#This Row],[BOYA KODU]],Tablo14[#All],4,0)," ")</f>
        <v xml:space="preserve"> </v>
      </c>
      <c r="L109" s="100" t="str">
        <f>IFERROR(VLOOKUP(Tablo5[[#This Row],[BOYA KODU]],Tablo14[#All],6,0)," ")</f>
        <v xml:space="preserve"> </v>
      </c>
      <c r="M109" s="100" t="str">
        <f t="shared" si="7"/>
        <v xml:space="preserve"> </v>
      </c>
      <c r="N109" s="100" t="str">
        <f>IFERROR(VLOOKUP(Tablo5[[#This Row],[ÜRÜN KODU]],YMKODLARI!$A$1:$K$363,8,0)," ")</f>
        <v>HM 003</v>
      </c>
      <c r="O109" s="100" t="str">
        <f>IFERROR(VLOOKUP(Tablo5[[#This Row],[HAMMADDE KODU]],Tablo1[#All],3,0)," ")</f>
        <v>LSR 45</v>
      </c>
      <c r="P109" s="100" t="str">
        <f>IFERROR(VLOOKUP(Tablo5[[#This Row],[HAMMADDE KODU]],Tablo1[#All],4,0)," ")</f>
        <v>SETA</v>
      </c>
      <c r="Q109" s="100">
        <f>IFERROR(VLOOKUP(Tablo5[[#This Row],[ÜRÜN KODU]],YMKODLARI!$A$1:$K$363,5,0)," ")</f>
        <v>51.7</v>
      </c>
      <c r="R109" s="100">
        <f>IFERROR(VLOOKUP(Tablo5[[#This Row],[ÜRÜN KODU]],YMKODLARI!$A$1:$K$363,6,0)," ")</f>
        <v>44.5</v>
      </c>
      <c r="S109" s="100">
        <f>IFERROR(Tablo5[[#This Row],[YOLLUK HARİÇ BASKI GRAMI]]/Tablo5[[#This Row],[KALIP GÖZ ADEDİ]]," ")</f>
        <v>5.5625</v>
      </c>
      <c r="T109" s="100">
        <f t="shared" si="9"/>
        <v>7.2000000000000028</v>
      </c>
      <c r="U109" s="100">
        <v>9.5</v>
      </c>
      <c r="V109" s="100">
        <f t="shared" si="8"/>
        <v>69.13</v>
      </c>
      <c r="W109" s="101">
        <f t="shared" si="10"/>
        <v>23.583333333333332</v>
      </c>
      <c r="X109" s="102">
        <f t="shared" si="11"/>
        <v>13.999999999999972</v>
      </c>
      <c r="Y109" s="100">
        <f t="shared" si="12"/>
        <v>13.4</v>
      </c>
      <c r="Z109" s="100">
        <f t="shared" si="13"/>
        <v>10720</v>
      </c>
    </row>
    <row r="110" spans="1:26">
      <c r="A110" s="100" t="s">
        <v>34</v>
      </c>
      <c r="B110" s="108" t="str">
        <f>IFERROR(VLOOKUP(Tablo5[[#This Row],[ÜRÜN KODU]],YMKODLARI!$A$1:$K$363,2,0)," ")</f>
        <v>BİBERON KLASİK  UC 1 NO</v>
      </c>
      <c r="C110" s="99">
        <v>43966</v>
      </c>
      <c r="D110" s="100" t="s">
        <v>33</v>
      </c>
      <c r="E110" s="101">
        <v>0.33333333333333331</v>
      </c>
      <c r="F110" s="101">
        <v>0.72916666666666663</v>
      </c>
      <c r="G110" s="100">
        <f>IFERROR(VLOOKUP(Tablo5[[#This Row],[ÜRÜN KODU]],YMKODLARI!$A$1:$K$363,3,0)," ")</f>
        <v>8</v>
      </c>
      <c r="H110" s="100">
        <f>IFERROR(VLOOKUP(Tablo5[[#This Row],[ÜRÜN KODU]],YMKODLARI!$A$1:$K$363,4,0)," ")</f>
        <v>36</v>
      </c>
      <c r="I110" s="100">
        <v>821</v>
      </c>
      <c r="J110" s="100" t="str">
        <f>IFERROR(VLOOKUP(Tablo5[[#This Row],[ÜRÜN KODU]],YMKODLARI!$A$1:$K$363,9,0)," ")</f>
        <v>Şeffaf</v>
      </c>
      <c r="K110" s="100" t="str">
        <f>IFERROR(VLOOKUP(Tablo5[[#This Row],[BOYA KODU]],Tablo14[#All],4,0)," ")</f>
        <v xml:space="preserve"> </v>
      </c>
      <c r="L110" s="100" t="str">
        <f>IFERROR(VLOOKUP(Tablo5[[#This Row],[BOYA KODU]],Tablo14[#All],6,0)," ")</f>
        <v xml:space="preserve"> </v>
      </c>
      <c r="M110" s="100" t="str">
        <f t="shared" si="7"/>
        <v xml:space="preserve"> </v>
      </c>
      <c r="N110" s="100" t="str">
        <f>IFERROR(VLOOKUP(Tablo5[[#This Row],[ÜRÜN KODU]],YMKODLARI!$A$1:$K$363,8,0)," ")</f>
        <v>HM 003</v>
      </c>
      <c r="O110" s="100" t="str">
        <f>IFERROR(VLOOKUP(Tablo5[[#This Row],[HAMMADDE KODU]],Tablo1[#All],3,0)," ")</f>
        <v>LSR 45</v>
      </c>
      <c r="P110" s="100" t="str">
        <f>IFERROR(VLOOKUP(Tablo5[[#This Row],[HAMMADDE KODU]],Tablo1[#All],4,0)," ")</f>
        <v>SETA</v>
      </c>
      <c r="Q110" s="100">
        <f>IFERROR(VLOOKUP(Tablo5[[#This Row],[ÜRÜN KODU]],YMKODLARI!$A$1:$K$363,5,0)," ")</f>
        <v>51.7</v>
      </c>
      <c r="R110" s="100">
        <f>IFERROR(VLOOKUP(Tablo5[[#This Row],[ÜRÜN KODU]],YMKODLARI!$A$1:$K$363,6,0)," ")</f>
        <v>44.5</v>
      </c>
      <c r="S110" s="100">
        <f>IFERROR(Tablo5[[#This Row],[YOLLUK HARİÇ BASKI GRAMI]]/Tablo5[[#This Row],[KALIP GÖZ ADEDİ]]," ")</f>
        <v>5.5625</v>
      </c>
      <c r="T110" s="100">
        <f t="shared" si="9"/>
        <v>7.2000000000000028</v>
      </c>
      <c r="U110" s="100">
        <v>6.8</v>
      </c>
      <c r="V110" s="100">
        <f t="shared" si="8"/>
        <v>43.334499999999998</v>
      </c>
      <c r="W110" s="101">
        <f t="shared" si="10"/>
        <v>24.395833333333332</v>
      </c>
      <c r="X110" s="102">
        <f t="shared" si="11"/>
        <v>9.4999999999999716</v>
      </c>
      <c r="Y110" s="100">
        <f t="shared" si="12"/>
        <v>8.2100000000000009</v>
      </c>
      <c r="Z110" s="100">
        <f t="shared" si="13"/>
        <v>6568</v>
      </c>
    </row>
    <row r="111" spans="1:26">
      <c r="A111" s="100" t="s">
        <v>34</v>
      </c>
      <c r="B111" s="108" t="str">
        <f>IFERROR(VLOOKUP(Tablo5[[#This Row],[ÜRÜN KODU]],YMKODLARI!$A$1:$K$363,2,0)," ")</f>
        <v>BİBERON KLASİK  UC 1 NO</v>
      </c>
      <c r="C111" s="99">
        <v>43971</v>
      </c>
      <c r="D111" s="100" t="s">
        <v>33</v>
      </c>
      <c r="E111" s="101">
        <v>0.33333333333333331</v>
      </c>
      <c r="F111" s="101">
        <v>0.75</v>
      </c>
      <c r="G111" s="100">
        <f>IFERROR(VLOOKUP(Tablo5[[#This Row],[ÜRÜN KODU]],YMKODLARI!$A$1:$K$363,3,0)," ")</f>
        <v>8</v>
      </c>
      <c r="H111" s="100">
        <f>IFERROR(VLOOKUP(Tablo5[[#This Row],[ÜRÜN KODU]],YMKODLARI!$A$1:$K$363,4,0)," ")</f>
        <v>36</v>
      </c>
      <c r="I111" s="100">
        <v>894</v>
      </c>
      <c r="J111" s="100" t="str">
        <f>IFERROR(VLOOKUP(Tablo5[[#This Row],[ÜRÜN KODU]],YMKODLARI!$A$1:$K$363,9,0)," ")</f>
        <v>Şeffaf</v>
      </c>
      <c r="K111" s="100" t="str">
        <f>IFERROR(VLOOKUP(Tablo5[[#This Row],[BOYA KODU]],Tablo14[#All],4,0)," ")</f>
        <v xml:space="preserve"> </v>
      </c>
      <c r="L111" s="100" t="str">
        <f>IFERROR(VLOOKUP(Tablo5[[#This Row],[BOYA KODU]],Tablo14[#All],6,0)," ")</f>
        <v xml:space="preserve"> </v>
      </c>
      <c r="M111" s="100" t="str">
        <f t="shared" si="7"/>
        <v xml:space="preserve"> </v>
      </c>
      <c r="N111" s="100" t="str">
        <f>IFERROR(VLOOKUP(Tablo5[[#This Row],[ÜRÜN KODU]],YMKODLARI!$A$1:$K$363,8,0)," ")</f>
        <v>HM 003</v>
      </c>
      <c r="O111" s="100" t="str">
        <f>IFERROR(VLOOKUP(Tablo5[[#This Row],[HAMMADDE KODU]],Tablo1[#All],3,0)," ")</f>
        <v>LSR 45</v>
      </c>
      <c r="P111" s="100" t="str">
        <f>IFERROR(VLOOKUP(Tablo5[[#This Row],[HAMMADDE KODU]],Tablo1[#All],4,0)," ")</f>
        <v>SETA</v>
      </c>
      <c r="Q111" s="100">
        <f>IFERROR(VLOOKUP(Tablo5[[#This Row],[ÜRÜN KODU]],YMKODLARI!$A$1:$K$363,5,0)," ")</f>
        <v>51.7</v>
      </c>
      <c r="R111" s="100">
        <f>IFERROR(VLOOKUP(Tablo5[[#This Row],[ÜRÜN KODU]],YMKODLARI!$A$1:$K$363,6,0)," ")</f>
        <v>44.5</v>
      </c>
      <c r="S111" s="100">
        <f>IFERROR(Tablo5[[#This Row],[YOLLUK HARİÇ BASKI GRAMI]]/Tablo5[[#This Row],[KALIP GÖZ ADEDİ]]," ")</f>
        <v>5.5625</v>
      </c>
      <c r="T111" s="100">
        <f t="shared" si="9"/>
        <v>7.2000000000000028</v>
      </c>
      <c r="U111" s="100">
        <v>6</v>
      </c>
      <c r="V111" s="100">
        <f t="shared" si="8"/>
        <v>45.783000000000001</v>
      </c>
      <c r="W111" s="101">
        <f t="shared" si="10"/>
        <v>24.416666666666668</v>
      </c>
      <c r="X111" s="102">
        <f t="shared" si="11"/>
        <v>10.000000000000028</v>
      </c>
      <c r="Y111" s="100">
        <f t="shared" si="12"/>
        <v>8.94</v>
      </c>
      <c r="Z111" s="100">
        <f t="shared" si="13"/>
        <v>7152</v>
      </c>
    </row>
    <row r="112" spans="1:26">
      <c r="A112" s="100" t="s">
        <v>34</v>
      </c>
      <c r="B112" s="108" t="str">
        <f>IFERROR(VLOOKUP(Tablo5[[#This Row],[ÜRÜN KODU]],YMKODLARI!$A$1:$K$363,2,0)," ")</f>
        <v>BİBERON KLASİK  UC 1 NO</v>
      </c>
      <c r="C112" s="99">
        <v>43972</v>
      </c>
      <c r="D112" s="100" t="s">
        <v>33</v>
      </c>
      <c r="E112" s="101">
        <v>0.33333333333333331</v>
      </c>
      <c r="F112" s="101">
        <v>0.75</v>
      </c>
      <c r="G112" s="100">
        <f>IFERROR(VLOOKUP(Tablo5[[#This Row],[ÜRÜN KODU]],YMKODLARI!$A$1:$K$363,3,0)," ")</f>
        <v>8</v>
      </c>
      <c r="H112" s="100">
        <f>IFERROR(VLOOKUP(Tablo5[[#This Row],[ÜRÜN KODU]],YMKODLARI!$A$1:$K$363,4,0)," ")</f>
        <v>36</v>
      </c>
      <c r="I112" s="100">
        <v>888</v>
      </c>
      <c r="J112" s="100" t="str">
        <f>IFERROR(VLOOKUP(Tablo5[[#This Row],[ÜRÜN KODU]],YMKODLARI!$A$1:$K$363,9,0)," ")</f>
        <v>Şeffaf</v>
      </c>
      <c r="K112" s="100" t="str">
        <f>IFERROR(VLOOKUP(Tablo5[[#This Row],[BOYA KODU]],Tablo14[#All],4,0)," ")</f>
        <v xml:space="preserve"> </v>
      </c>
      <c r="L112" s="100" t="str">
        <f>IFERROR(VLOOKUP(Tablo5[[#This Row],[BOYA KODU]],Tablo14[#All],6,0)," ")</f>
        <v xml:space="preserve"> </v>
      </c>
      <c r="M112" s="100" t="str">
        <f t="shared" si="7"/>
        <v xml:space="preserve"> </v>
      </c>
      <c r="N112" s="100" t="str">
        <f>IFERROR(VLOOKUP(Tablo5[[#This Row],[ÜRÜN KODU]],YMKODLARI!$A$1:$K$363,8,0)," ")</f>
        <v>HM 003</v>
      </c>
      <c r="O112" s="100" t="str">
        <f>IFERROR(VLOOKUP(Tablo5[[#This Row],[HAMMADDE KODU]],Tablo1[#All],3,0)," ")</f>
        <v>LSR 45</v>
      </c>
      <c r="P112" s="100" t="str">
        <f>IFERROR(VLOOKUP(Tablo5[[#This Row],[HAMMADDE KODU]],Tablo1[#All],4,0)," ")</f>
        <v>SETA</v>
      </c>
      <c r="Q112" s="100">
        <f>IFERROR(VLOOKUP(Tablo5[[#This Row],[ÜRÜN KODU]],YMKODLARI!$A$1:$K$363,5,0)," ")</f>
        <v>51.7</v>
      </c>
      <c r="R112" s="100">
        <f>IFERROR(VLOOKUP(Tablo5[[#This Row],[ÜRÜN KODU]],YMKODLARI!$A$1:$K$363,6,0)," ")</f>
        <v>44.5</v>
      </c>
      <c r="S112" s="100">
        <f>IFERROR(Tablo5[[#This Row],[YOLLUK HARİÇ BASKI GRAMI]]/Tablo5[[#This Row],[KALIP GÖZ ADEDİ]]," ")</f>
        <v>5.5625</v>
      </c>
      <c r="T112" s="100">
        <f t="shared" si="9"/>
        <v>7.2000000000000028</v>
      </c>
      <c r="U112" s="100">
        <v>6</v>
      </c>
      <c r="V112" s="100">
        <f t="shared" si="8"/>
        <v>45.515999999999998</v>
      </c>
      <c r="W112" s="101">
        <f t="shared" si="10"/>
        <v>24.416666666666668</v>
      </c>
      <c r="X112" s="102">
        <f t="shared" si="11"/>
        <v>10.000000000000028</v>
      </c>
      <c r="Y112" s="100">
        <f t="shared" si="12"/>
        <v>8.8800000000000008</v>
      </c>
      <c r="Z112" s="100">
        <f t="shared" si="13"/>
        <v>7104</v>
      </c>
    </row>
    <row r="113" spans="1:26">
      <c r="A113" s="100" t="s">
        <v>34</v>
      </c>
      <c r="B113" s="108" t="str">
        <f>IFERROR(VLOOKUP(Tablo5[[#This Row],[ÜRÜN KODU]],YMKODLARI!$A$1:$K$363,2,0)," ")</f>
        <v>BİBERON KLASİK  UC 1 NO</v>
      </c>
      <c r="C113" s="99">
        <v>43973</v>
      </c>
      <c r="D113" s="100" t="s">
        <v>33</v>
      </c>
      <c r="E113" s="101">
        <v>0.33333333333333331</v>
      </c>
      <c r="F113" s="101">
        <v>0.72152777777777777</v>
      </c>
      <c r="G113" s="100">
        <f>IFERROR(VLOOKUP(Tablo5[[#This Row],[ÜRÜN KODU]],YMKODLARI!$A$1:$K$363,3,0)," ")</f>
        <v>8</v>
      </c>
      <c r="H113" s="100">
        <f>IFERROR(VLOOKUP(Tablo5[[#This Row],[ÜRÜN KODU]],YMKODLARI!$A$1:$K$363,4,0)," ")</f>
        <v>36</v>
      </c>
      <c r="I113" s="100">
        <v>776</v>
      </c>
      <c r="J113" s="100" t="str">
        <f>IFERROR(VLOOKUP(Tablo5[[#This Row],[ÜRÜN KODU]],YMKODLARI!$A$1:$K$363,9,0)," ")</f>
        <v>Şeffaf</v>
      </c>
      <c r="K113" s="100" t="str">
        <f>IFERROR(VLOOKUP(Tablo5[[#This Row],[BOYA KODU]],Tablo14[#All],4,0)," ")</f>
        <v xml:space="preserve"> </v>
      </c>
      <c r="L113" s="100" t="str">
        <f>IFERROR(VLOOKUP(Tablo5[[#This Row],[BOYA KODU]],Tablo14[#All],6,0)," ")</f>
        <v xml:space="preserve"> </v>
      </c>
      <c r="M113" s="100" t="str">
        <f t="shared" si="7"/>
        <v xml:space="preserve"> </v>
      </c>
      <c r="N113" s="100" t="str">
        <f>IFERROR(VLOOKUP(Tablo5[[#This Row],[ÜRÜN KODU]],YMKODLARI!$A$1:$K$363,8,0)," ")</f>
        <v>HM 003</v>
      </c>
      <c r="O113" s="100" t="str">
        <f>IFERROR(VLOOKUP(Tablo5[[#This Row],[HAMMADDE KODU]],Tablo1[#All],3,0)," ")</f>
        <v>LSR 45</v>
      </c>
      <c r="P113" s="100" t="str">
        <f>IFERROR(VLOOKUP(Tablo5[[#This Row],[HAMMADDE KODU]],Tablo1[#All],4,0)," ")</f>
        <v>SETA</v>
      </c>
      <c r="Q113" s="100">
        <f>IFERROR(VLOOKUP(Tablo5[[#This Row],[ÜRÜN KODU]],YMKODLARI!$A$1:$K$363,5,0)," ")</f>
        <v>51.7</v>
      </c>
      <c r="R113" s="100">
        <f>IFERROR(VLOOKUP(Tablo5[[#This Row],[ÜRÜN KODU]],YMKODLARI!$A$1:$K$363,6,0)," ")</f>
        <v>44.5</v>
      </c>
      <c r="S113" s="100">
        <f>IFERROR(Tablo5[[#This Row],[YOLLUK HARİÇ BASKI GRAMI]]/Tablo5[[#This Row],[KALIP GÖZ ADEDİ]]," ")</f>
        <v>5.5625</v>
      </c>
      <c r="T113" s="100">
        <f t="shared" si="9"/>
        <v>7.2000000000000028</v>
      </c>
      <c r="U113" s="100">
        <v>5.5</v>
      </c>
      <c r="V113" s="100">
        <f t="shared" si="8"/>
        <v>40.031999999999996</v>
      </c>
      <c r="W113" s="101">
        <f t="shared" si="10"/>
        <v>24.388194444444444</v>
      </c>
      <c r="X113" s="102">
        <f t="shared" si="11"/>
        <v>9.3166666666666629</v>
      </c>
      <c r="Y113" s="100">
        <f t="shared" si="12"/>
        <v>7.76</v>
      </c>
      <c r="Z113" s="100">
        <f t="shared" si="13"/>
        <v>6208</v>
      </c>
    </row>
    <row r="114" spans="1:26">
      <c r="A114" s="100" t="s">
        <v>34</v>
      </c>
      <c r="B114" s="108" t="str">
        <f>IFERROR(VLOOKUP(Tablo5[[#This Row],[ÜRÜN KODU]],YMKODLARI!$A$1:$K$363,2,0)," ")</f>
        <v>BİBERON KLASİK  UC 1 NO</v>
      </c>
      <c r="C114" s="99">
        <v>43978</v>
      </c>
      <c r="D114" s="100" t="s">
        <v>33</v>
      </c>
      <c r="E114" s="101">
        <v>0.33333333333333331</v>
      </c>
      <c r="F114" s="101">
        <v>0.75</v>
      </c>
      <c r="G114" s="100">
        <f>IFERROR(VLOOKUP(Tablo5[[#This Row],[ÜRÜN KODU]],YMKODLARI!$A$1:$K$363,3,0)," ")</f>
        <v>8</v>
      </c>
      <c r="H114" s="100">
        <f>IFERROR(VLOOKUP(Tablo5[[#This Row],[ÜRÜN KODU]],YMKODLARI!$A$1:$K$363,4,0)," ")</f>
        <v>36</v>
      </c>
      <c r="I114" s="100">
        <v>836</v>
      </c>
      <c r="J114" s="100" t="str">
        <f>IFERROR(VLOOKUP(Tablo5[[#This Row],[ÜRÜN KODU]],YMKODLARI!$A$1:$K$363,9,0)," ")</f>
        <v>Şeffaf</v>
      </c>
      <c r="K114" s="100" t="str">
        <f>IFERROR(VLOOKUP(Tablo5[[#This Row],[BOYA KODU]],Tablo14[#All],4,0)," ")</f>
        <v xml:space="preserve"> </v>
      </c>
      <c r="L114" s="100" t="str">
        <f>IFERROR(VLOOKUP(Tablo5[[#This Row],[BOYA KODU]],Tablo14[#All],6,0)," ")</f>
        <v xml:space="preserve"> </v>
      </c>
      <c r="M114" s="100" t="str">
        <f t="shared" si="7"/>
        <v xml:space="preserve"> </v>
      </c>
      <c r="N114" s="100" t="str">
        <f>IFERROR(VLOOKUP(Tablo5[[#This Row],[ÜRÜN KODU]],YMKODLARI!$A$1:$K$363,8,0)," ")</f>
        <v>HM 003</v>
      </c>
      <c r="O114" s="100" t="str">
        <f>IFERROR(VLOOKUP(Tablo5[[#This Row],[HAMMADDE KODU]],Tablo1[#All],3,0)," ")</f>
        <v>LSR 45</v>
      </c>
      <c r="P114" s="100" t="str">
        <f>IFERROR(VLOOKUP(Tablo5[[#This Row],[HAMMADDE KODU]],Tablo1[#All],4,0)," ")</f>
        <v>SETA</v>
      </c>
      <c r="Q114" s="100">
        <f>IFERROR(VLOOKUP(Tablo5[[#This Row],[ÜRÜN KODU]],YMKODLARI!$A$1:$K$363,5,0)," ")</f>
        <v>51.7</v>
      </c>
      <c r="R114" s="100">
        <f>IFERROR(VLOOKUP(Tablo5[[#This Row],[ÜRÜN KODU]],YMKODLARI!$A$1:$K$363,6,0)," ")</f>
        <v>44.5</v>
      </c>
      <c r="S114" s="100">
        <f>IFERROR(Tablo5[[#This Row],[YOLLUK HARİÇ BASKI GRAMI]]/Tablo5[[#This Row],[KALIP GÖZ ADEDİ]]," ")</f>
        <v>5.5625</v>
      </c>
      <c r="T114" s="100">
        <f t="shared" si="9"/>
        <v>7.2000000000000028</v>
      </c>
      <c r="U114" s="100">
        <v>6</v>
      </c>
      <c r="V114" s="100">
        <f t="shared" si="8"/>
        <v>43.201999999999998</v>
      </c>
      <c r="W114" s="101">
        <f t="shared" si="10"/>
        <v>24.416666666666668</v>
      </c>
      <c r="X114" s="102">
        <f t="shared" si="11"/>
        <v>10.000000000000028</v>
      </c>
      <c r="Y114" s="100">
        <f t="shared" si="12"/>
        <v>8.36</v>
      </c>
      <c r="Z114" s="100">
        <f t="shared" si="13"/>
        <v>6688</v>
      </c>
    </row>
    <row r="115" spans="1:26">
      <c r="A115" s="100" t="s">
        <v>34</v>
      </c>
      <c r="B115" s="108" t="str">
        <f>IFERROR(VLOOKUP(Tablo5[[#This Row],[ÜRÜN KODU]],YMKODLARI!$A$1:$K$363,2,0)," ")</f>
        <v>BİBERON KLASİK  UC 1 NO</v>
      </c>
      <c r="C115" s="99">
        <v>43979</v>
      </c>
      <c r="D115" s="100" t="s">
        <v>33</v>
      </c>
      <c r="E115" s="101">
        <v>0.33333333333333331</v>
      </c>
      <c r="F115" s="101">
        <v>0.75</v>
      </c>
      <c r="G115" s="100">
        <f>IFERROR(VLOOKUP(Tablo5[[#This Row],[ÜRÜN KODU]],YMKODLARI!$A$1:$K$363,3,0)," ")</f>
        <v>8</v>
      </c>
      <c r="H115" s="100">
        <f>IFERROR(VLOOKUP(Tablo5[[#This Row],[ÜRÜN KODU]],YMKODLARI!$A$1:$K$363,4,0)," ")</f>
        <v>36</v>
      </c>
      <c r="I115" s="100">
        <v>755</v>
      </c>
      <c r="J115" s="100" t="str">
        <f>IFERROR(VLOOKUP(Tablo5[[#This Row],[ÜRÜN KODU]],YMKODLARI!$A$1:$K$363,9,0)," ")</f>
        <v>Şeffaf</v>
      </c>
      <c r="K115" s="100" t="str">
        <f>IFERROR(VLOOKUP(Tablo5[[#This Row],[BOYA KODU]],Tablo14[#All],4,0)," ")</f>
        <v xml:space="preserve"> </v>
      </c>
      <c r="L115" s="100" t="str">
        <f>IFERROR(VLOOKUP(Tablo5[[#This Row],[BOYA KODU]],Tablo14[#All],6,0)," ")</f>
        <v xml:space="preserve"> </v>
      </c>
      <c r="M115" s="100" t="str">
        <f t="shared" si="7"/>
        <v xml:space="preserve"> </v>
      </c>
      <c r="N115" s="100" t="str">
        <f>IFERROR(VLOOKUP(Tablo5[[#This Row],[ÜRÜN KODU]],YMKODLARI!$A$1:$K$363,8,0)," ")</f>
        <v>HM 003</v>
      </c>
      <c r="O115" s="100" t="str">
        <f>IFERROR(VLOOKUP(Tablo5[[#This Row],[HAMMADDE KODU]],Tablo1[#All],3,0)," ")</f>
        <v>LSR 45</v>
      </c>
      <c r="P115" s="100" t="str">
        <f>IFERROR(VLOOKUP(Tablo5[[#This Row],[HAMMADDE KODU]],Tablo1[#All],4,0)," ")</f>
        <v>SETA</v>
      </c>
      <c r="Q115" s="100">
        <f>IFERROR(VLOOKUP(Tablo5[[#This Row],[ÜRÜN KODU]],YMKODLARI!$A$1:$K$363,5,0)," ")</f>
        <v>51.7</v>
      </c>
      <c r="R115" s="100">
        <f>IFERROR(VLOOKUP(Tablo5[[#This Row],[ÜRÜN KODU]],YMKODLARI!$A$1:$K$363,6,0)," ")</f>
        <v>44.5</v>
      </c>
      <c r="S115" s="100">
        <f>IFERROR(Tablo5[[#This Row],[YOLLUK HARİÇ BASKI GRAMI]]/Tablo5[[#This Row],[KALIP GÖZ ADEDİ]]," ")</f>
        <v>5.5625</v>
      </c>
      <c r="T115" s="100">
        <f t="shared" si="9"/>
        <v>7.2000000000000028</v>
      </c>
      <c r="U115" s="100">
        <v>5</v>
      </c>
      <c r="V115" s="100">
        <f t="shared" si="8"/>
        <v>38.597499999999997</v>
      </c>
      <c r="W115" s="101">
        <f t="shared" si="10"/>
        <v>24.416666666666668</v>
      </c>
      <c r="X115" s="102">
        <f t="shared" si="11"/>
        <v>10.000000000000028</v>
      </c>
      <c r="Y115" s="100">
        <f t="shared" si="12"/>
        <v>7.55</v>
      </c>
      <c r="Z115" s="100">
        <f t="shared" si="13"/>
        <v>6040</v>
      </c>
    </row>
    <row r="116" spans="1:26">
      <c r="A116" s="100" t="s">
        <v>34</v>
      </c>
      <c r="B116" s="108" t="str">
        <f>IFERROR(VLOOKUP(Tablo5[[#This Row],[ÜRÜN KODU]],YMKODLARI!$A$1:$K$363,2,0)," ")</f>
        <v>BİBERON KLASİK  UC 1 NO</v>
      </c>
      <c r="C116" s="99">
        <v>43980</v>
      </c>
      <c r="D116" s="100" t="s">
        <v>33</v>
      </c>
      <c r="E116" s="101">
        <v>0.33333333333333331</v>
      </c>
      <c r="F116" s="101">
        <v>0.72916666666666663</v>
      </c>
      <c r="G116" s="100">
        <f>IFERROR(VLOOKUP(Tablo5[[#This Row],[ÜRÜN KODU]],YMKODLARI!$A$1:$K$363,3,0)," ")</f>
        <v>8</v>
      </c>
      <c r="H116" s="100">
        <f>IFERROR(VLOOKUP(Tablo5[[#This Row],[ÜRÜN KODU]],YMKODLARI!$A$1:$K$363,4,0)," ")</f>
        <v>36</v>
      </c>
      <c r="I116" s="100">
        <v>800</v>
      </c>
      <c r="J116" s="100" t="str">
        <f>IFERROR(VLOOKUP(Tablo5[[#This Row],[ÜRÜN KODU]],YMKODLARI!$A$1:$K$363,9,0)," ")</f>
        <v>Şeffaf</v>
      </c>
      <c r="K116" s="100" t="str">
        <f>IFERROR(VLOOKUP(Tablo5[[#This Row],[BOYA KODU]],Tablo14[#All],4,0)," ")</f>
        <v xml:space="preserve"> </v>
      </c>
      <c r="L116" s="100" t="str">
        <f>IFERROR(VLOOKUP(Tablo5[[#This Row],[BOYA KODU]],Tablo14[#All],6,0)," ")</f>
        <v xml:space="preserve"> </v>
      </c>
      <c r="M116" s="100" t="str">
        <f t="shared" si="7"/>
        <v xml:space="preserve"> </v>
      </c>
      <c r="N116" s="100" t="str">
        <f>IFERROR(VLOOKUP(Tablo5[[#This Row],[ÜRÜN KODU]],YMKODLARI!$A$1:$K$363,8,0)," ")</f>
        <v>HM 003</v>
      </c>
      <c r="O116" s="100" t="str">
        <f>IFERROR(VLOOKUP(Tablo5[[#This Row],[HAMMADDE KODU]],Tablo1[#All],3,0)," ")</f>
        <v>LSR 45</v>
      </c>
      <c r="P116" s="100" t="str">
        <f>IFERROR(VLOOKUP(Tablo5[[#This Row],[HAMMADDE KODU]],Tablo1[#All],4,0)," ")</f>
        <v>SETA</v>
      </c>
      <c r="Q116" s="100">
        <f>IFERROR(VLOOKUP(Tablo5[[#This Row],[ÜRÜN KODU]],YMKODLARI!$A$1:$K$363,5,0)," ")</f>
        <v>51.7</v>
      </c>
      <c r="R116" s="100">
        <f>IFERROR(VLOOKUP(Tablo5[[#This Row],[ÜRÜN KODU]],YMKODLARI!$A$1:$K$363,6,0)," ")</f>
        <v>44.5</v>
      </c>
      <c r="S116" s="100">
        <f>IFERROR(Tablo5[[#This Row],[YOLLUK HARİÇ BASKI GRAMI]]/Tablo5[[#This Row],[KALIP GÖZ ADEDİ]]," ")</f>
        <v>5.5625</v>
      </c>
      <c r="T116" s="100">
        <f t="shared" si="9"/>
        <v>7.2000000000000028</v>
      </c>
      <c r="U116" s="100">
        <v>5.5</v>
      </c>
      <c r="V116" s="100">
        <f t="shared" si="8"/>
        <v>41.1</v>
      </c>
      <c r="W116" s="101">
        <f t="shared" si="10"/>
        <v>24.395833333333332</v>
      </c>
      <c r="X116" s="102">
        <f t="shared" si="11"/>
        <v>9.4999999999999716</v>
      </c>
      <c r="Y116" s="100">
        <f t="shared" si="12"/>
        <v>8</v>
      </c>
      <c r="Z116" s="100">
        <f t="shared" si="13"/>
        <v>6400</v>
      </c>
    </row>
    <row r="117" spans="1:26">
      <c r="A117" s="100" t="s">
        <v>34</v>
      </c>
      <c r="B117" s="108" t="str">
        <f>IFERROR(VLOOKUP(Tablo5[[#This Row],[ÜRÜN KODU]],YMKODLARI!$A$1:$K$363,2,0)," ")</f>
        <v>BİBERON KLASİK  UC 1 NO</v>
      </c>
      <c r="C117" s="99">
        <v>43983</v>
      </c>
      <c r="D117" s="100" t="s">
        <v>33</v>
      </c>
      <c r="E117" s="101">
        <v>0.33333333333333331</v>
      </c>
      <c r="F117" s="101">
        <v>0.75</v>
      </c>
      <c r="G117" s="100">
        <f>IFERROR(VLOOKUP(Tablo5[[#This Row],[ÜRÜN KODU]],YMKODLARI!$A$1:$K$363,3,0)," ")</f>
        <v>8</v>
      </c>
      <c r="H117" s="100">
        <f>IFERROR(VLOOKUP(Tablo5[[#This Row],[ÜRÜN KODU]],YMKODLARI!$A$1:$K$363,4,0)," ")</f>
        <v>36</v>
      </c>
      <c r="I117" s="100">
        <v>795</v>
      </c>
      <c r="J117" s="100" t="str">
        <f>IFERROR(VLOOKUP(Tablo5[[#This Row],[ÜRÜN KODU]],YMKODLARI!$A$1:$K$363,9,0)," ")</f>
        <v>Şeffaf</v>
      </c>
      <c r="K117" s="100" t="str">
        <f>IFERROR(VLOOKUP(Tablo5[[#This Row],[BOYA KODU]],Tablo14[#All],4,0)," ")</f>
        <v xml:space="preserve"> </v>
      </c>
      <c r="L117" s="100" t="str">
        <f>IFERROR(VLOOKUP(Tablo5[[#This Row],[BOYA KODU]],Tablo14[#All],6,0)," ")</f>
        <v xml:space="preserve"> </v>
      </c>
      <c r="M117" s="100" t="str">
        <f t="shared" si="7"/>
        <v xml:space="preserve"> </v>
      </c>
      <c r="N117" s="100" t="str">
        <f>IFERROR(VLOOKUP(Tablo5[[#This Row],[ÜRÜN KODU]],YMKODLARI!$A$1:$K$363,8,0)," ")</f>
        <v>HM 003</v>
      </c>
      <c r="O117" s="100" t="str">
        <f>IFERROR(VLOOKUP(Tablo5[[#This Row],[HAMMADDE KODU]],Tablo1[#All],3,0)," ")</f>
        <v>LSR 45</v>
      </c>
      <c r="P117" s="100" t="str">
        <f>IFERROR(VLOOKUP(Tablo5[[#This Row],[HAMMADDE KODU]],Tablo1[#All],4,0)," ")</f>
        <v>SETA</v>
      </c>
      <c r="Q117" s="100">
        <f>IFERROR(VLOOKUP(Tablo5[[#This Row],[ÜRÜN KODU]],YMKODLARI!$A$1:$K$363,5,0)," ")</f>
        <v>51.7</v>
      </c>
      <c r="R117" s="100">
        <f>IFERROR(VLOOKUP(Tablo5[[#This Row],[ÜRÜN KODU]],YMKODLARI!$A$1:$K$363,6,0)," ")</f>
        <v>44.5</v>
      </c>
      <c r="S117" s="100">
        <f>IFERROR(Tablo5[[#This Row],[YOLLUK HARİÇ BASKI GRAMI]]/Tablo5[[#This Row],[KALIP GÖZ ADEDİ]]," ")</f>
        <v>5.5625</v>
      </c>
      <c r="T117" s="100">
        <f t="shared" si="9"/>
        <v>7.2000000000000028</v>
      </c>
      <c r="U117" s="100">
        <v>5.8</v>
      </c>
      <c r="V117" s="100">
        <f t="shared" si="8"/>
        <v>41.177499999999995</v>
      </c>
      <c r="W117" s="101">
        <f t="shared" si="10"/>
        <v>24.416666666666668</v>
      </c>
      <c r="X117" s="102">
        <f t="shared" si="11"/>
        <v>10.000000000000028</v>
      </c>
      <c r="Y117" s="100">
        <f t="shared" si="12"/>
        <v>7.95</v>
      </c>
      <c r="Z117" s="100">
        <f t="shared" si="13"/>
        <v>6360</v>
      </c>
    </row>
    <row r="118" spans="1:26">
      <c r="A118" s="100" t="s">
        <v>34</v>
      </c>
      <c r="B118" s="108" t="str">
        <f>IFERROR(VLOOKUP(Tablo5[[#This Row],[ÜRÜN KODU]],YMKODLARI!$A$1:$K$363,2,0)," ")</f>
        <v>BİBERON KLASİK  UC 1 NO</v>
      </c>
      <c r="C118" s="99">
        <v>43984</v>
      </c>
      <c r="D118" s="100" t="s">
        <v>33</v>
      </c>
      <c r="E118" s="101">
        <v>0.33333333333333331</v>
      </c>
      <c r="F118" s="101">
        <v>0.75</v>
      </c>
      <c r="G118" s="100">
        <f>IFERROR(VLOOKUP(Tablo5[[#This Row],[ÜRÜN KODU]],YMKODLARI!$A$1:$K$363,3,0)," ")</f>
        <v>8</v>
      </c>
      <c r="H118" s="100">
        <f>IFERROR(VLOOKUP(Tablo5[[#This Row],[ÜRÜN KODU]],YMKODLARI!$A$1:$K$363,4,0)," ")</f>
        <v>36</v>
      </c>
      <c r="I118" s="100">
        <v>843</v>
      </c>
      <c r="J118" s="100" t="str">
        <f>IFERROR(VLOOKUP(Tablo5[[#This Row],[ÜRÜN KODU]],YMKODLARI!$A$1:$K$363,9,0)," ")</f>
        <v>Şeffaf</v>
      </c>
      <c r="K118" s="100" t="str">
        <f>IFERROR(VLOOKUP(Tablo5[[#This Row],[BOYA KODU]],Tablo14[#All],4,0)," ")</f>
        <v xml:space="preserve"> </v>
      </c>
      <c r="L118" s="100" t="str">
        <f>IFERROR(VLOOKUP(Tablo5[[#This Row],[BOYA KODU]],Tablo14[#All],6,0)," ")</f>
        <v xml:space="preserve"> </v>
      </c>
      <c r="M118" s="100" t="str">
        <f t="shared" si="7"/>
        <v xml:space="preserve"> </v>
      </c>
      <c r="N118" s="100" t="str">
        <f>IFERROR(VLOOKUP(Tablo5[[#This Row],[ÜRÜN KODU]],YMKODLARI!$A$1:$K$363,8,0)," ")</f>
        <v>HM 003</v>
      </c>
      <c r="O118" s="100" t="str">
        <f>IFERROR(VLOOKUP(Tablo5[[#This Row],[HAMMADDE KODU]],Tablo1[#All],3,0)," ")</f>
        <v>LSR 45</v>
      </c>
      <c r="P118" s="100" t="str">
        <f>IFERROR(VLOOKUP(Tablo5[[#This Row],[HAMMADDE KODU]],Tablo1[#All],4,0)," ")</f>
        <v>SETA</v>
      </c>
      <c r="Q118" s="100">
        <f>IFERROR(VLOOKUP(Tablo5[[#This Row],[ÜRÜN KODU]],YMKODLARI!$A$1:$K$363,5,0)," ")</f>
        <v>51.7</v>
      </c>
      <c r="R118" s="100">
        <f>IFERROR(VLOOKUP(Tablo5[[#This Row],[ÜRÜN KODU]],YMKODLARI!$A$1:$K$363,6,0)," ")</f>
        <v>44.5</v>
      </c>
      <c r="S118" s="100">
        <f>IFERROR(Tablo5[[#This Row],[YOLLUK HARİÇ BASKI GRAMI]]/Tablo5[[#This Row],[KALIP GÖZ ADEDİ]]," ")</f>
        <v>5.5625</v>
      </c>
      <c r="T118" s="100">
        <f t="shared" si="9"/>
        <v>7.2000000000000028</v>
      </c>
      <c r="U118" s="100">
        <v>5.3</v>
      </c>
      <c r="V118" s="100">
        <f t="shared" si="8"/>
        <v>42.813499999999998</v>
      </c>
      <c r="W118" s="101">
        <f t="shared" si="10"/>
        <v>24.416666666666668</v>
      </c>
      <c r="X118" s="102">
        <f t="shared" si="11"/>
        <v>10.000000000000028</v>
      </c>
      <c r="Y118" s="100">
        <f t="shared" si="12"/>
        <v>8.43</v>
      </c>
      <c r="Z118" s="100">
        <f t="shared" si="13"/>
        <v>6744</v>
      </c>
    </row>
    <row r="119" spans="1:26">
      <c r="A119" s="100" t="s">
        <v>34</v>
      </c>
      <c r="B119" s="108" t="str">
        <f>IFERROR(VLOOKUP(Tablo5[[#This Row],[ÜRÜN KODU]],YMKODLARI!$A$1:$K$363,2,0)," ")</f>
        <v>BİBERON KLASİK  UC 1 NO</v>
      </c>
      <c r="C119" s="99">
        <v>43985</v>
      </c>
      <c r="D119" s="100" t="s">
        <v>33</v>
      </c>
      <c r="E119" s="101">
        <v>0.33333333333333331</v>
      </c>
      <c r="F119" s="101">
        <v>0.75</v>
      </c>
      <c r="G119" s="100">
        <f>IFERROR(VLOOKUP(Tablo5[[#This Row],[ÜRÜN KODU]],YMKODLARI!$A$1:$K$363,3,0)," ")</f>
        <v>8</v>
      </c>
      <c r="H119" s="100">
        <f>IFERROR(VLOOKUP(Tablo5[[#This Row],[ÜRÜN KODU]],YMKODLARI!$A$1:$K$363,4,0)," ")</f>
        <v>36</v>
      </c>
      <c r="I119" s="100">
        <v>843</v>
      </c>
      <c r="J119" s="100" t="str">
        <f>IFERROR(VLOOKUP(Tablo5[[#This Row],[ÜRÜN KODU]],YMKODLARI!$A$1:$K$363,9,0)," ")</f>
        <v>Şeffaf</v>
      </c>
      <c r="K119" s="100" t="str">
        <f>IFERROR(VLOOKUP(Tablo5[[#This Row],[BOYA KODU]],Tablo14[#All],4,0)," ")</f>
        <v xml:space="preserve"> </v>
      </c>
      <c r="L119" s="100" t="str">
        <f>IFERROR(VLOOKUP(Tablo5[[#This Row],[BOYA KODU]],Tablo14[#All],6,0)," ")</f>
        <v xml:space="preserve"> </v>
      </c>
      <c r="M119" s="100" t="str">
        <f t="shared" si="7"/>
        <v xml:space="preserve"> </v>
      </c>
      <c r="N119" s="100" t="str">
        <f>IFERROR(VLOOKUP(Tablo5[[#This Row],[ÜRÜN KODU]],YMKODLARI!$A$1:$K$363,8,0)," ")</f>
        <v>HM 003</v>
      </c>
      <c r="O119" s="100" t="str">
        <f>IFERROR(VLOOKUP(Tablo5[[#This Row],[HAMMADDE KODU]],Tablo1[#All],3,0)," ")</f>
        <v>LSR 45</v>
      </c>
      <c r="P119" s="100" t="str">
        <f>IFERROR(VLOOKUP(Tablo5[[#This Row],[HAMMADDE KODU]],Tablo1[#All],4,0)," ")</f>
        <v>SETA</v>
      </c>
      <c r="Q119" s="100">
        <f>IFERROR(VLOOKUP(Tablo5[[#This Row],[ÜRÜN KODU]],YMKODLARI!$A$1:$K$363,5,0)," ")</f>
        <v>51.7</v>
      </c>
      <c r="R119" s="100">
        <f>IFERROR(VLOOKUP(Tablo5[[#This Row],[ÜRÜN KODU]],YMKODLARI!$A$1:$K$363,6,0)," ")</f>
        <v>44.5</v>
      </c>
      <c r="S119" s="100">
        <f>IFERROR(Tablo5[[#This Row],[YOLLUK HARİÇ BASKI GRAMI]]/Tablo5[[#This Row],[KALIP GÖZ ADEDİ]]," ")</f>
        <v>5.5625</v>
      </c>
      <c r="T119" s="100">
        <f t="shared" si="9"/>
        <v>7.2000000000000028</v>
      </c>
      <c r="U119" s="100">
        <v>5.8</v>
      </c>
      <c r="V119" s="100">
        <f t="shared" si="8"/>
        <v>43.313499999999998</v>
      </c>
      <c r="W119" s="101">
        <f t="shared" si="10"/>
        <v>24.416666666666668</v>
      </c>
      <c r="X119" s="102">
        <f t="shared" si="11"/>
        <v>10.000000000000028</v>
      </c>
      <c r="Y119" s="100">
        <f t="shared" si="12"/>
        <v>8.43</v>
      </c>
      <c r="Z119" s="100">
        <f t="shared" si="13"/>
        <v>6744</v>
      </c>
    </row>
    <row r="120" spans="1:26">
      <c r="A120" s="100" t="s">
        <v>34</v>
      </c>
      <c r="B120" s="108" t="str">
        <f>IFERROR(VLOOKUP(Tablo5[[#This Row],[ÜRÜN KODU]],YMKODLARI!$A$1:$K$363,2,0)," ")</f>
        <v>BİBERON KLASİK  UC 1 NO</v>
      </c>
      <c r="C120" s="99">
        <v>43986</v>
      </c>
      <c r="D120" s="100" t="s">
        <v>33</v>
      </c>
      <c r="E120" s="101">
        <v>0.33333333333333331</v>
      </c>
      <c r="F120" s="101">
        <v>0.75</v>
      </c>
      <c r="G120" s="100">
        <f>IFERROR(VLOOKUP(Tablo5[[#This Row],[ÜRÜN KODU]],YMKODLARI!$A$1:$K$363,3,0)," ")</f>
        <v>8</v>
      </c>
      <c r="H120" s="100">
        <f>IFERROR(VLOOKUP(Tablo5[[#This Row],[ÜRÜN KODU]],YMKODLARI!$A$1:$K$363,4,0)," ")</f>
        <v>36</v>
      </c>
      <c r="I120" s="100">
        <v>845</v>
      </c>
      <c r="J120" s="100" t="str">
        <f>IFERROR(VLOOKUP(Tablo5[[#This Row],[ÜRÜN KODU]],YMKODLARI!$A$1:$K$363,9,0)," ")</f>
        <v>Şeffaf</v>
      </c>
      <c r="K120" s="100" t="str">
        <f>IFERROR(VLOOKUP(Tablo5[[#This Row],[BOYA KODU]],Tablo14[#All],4,0)," ")</f>
        <v xml:space="preserve"> </v>
      </c>
      <c r="L120" s="100" t="str">
        <f>IFERROR(VLOOKUP(Tablo5[[#This Row],[BOYA KODU]],Tablo14[#All],6,0)," ")</f>
        <v xml:space="preserve"> </v>
      </c>
      <c r="M120" s="100" t="str">
        <f t="shared" si="7"/>
        <v xml:space="preserve"> </v>
      </c>
      <c r="N120" s="100" t="str">
        <f>IFERROR(VLOOKUP(Tablo5[[#This Row],[ÜRÜN KODU]],YMKODLARI!$A$1:$K$363,8,0)," ")</f>
        <v>HM 003</v>
      </c>
      <c r="O120" s="100" t="str">
        <f>IFERROR(VLOOKUP(Tablo5[[#This Row],[HAMMADDE KODU]],Tablo1[#All],3,0)," ")</f>
        <v>LSR 45</v>
      </c>
      <c r="P120" s="100" t="str">
        <f>IFERROR(VLOOKUP(Tablo5[[#This Row],[HAMMADDE KODU]],Tablo1[#All],4,0)," ")</f>
        <v>SETA</v>
      </c>
      <c r="Q120" s="100">
        <f>IFERROR(VLOOKUP(Tablo5[[#This Row],[ÜRÜN KODU]],YMKODLARI!$A$1:$K$363,5,0)," ")</f>
        <v>51.7</v>
      </c>
      <c r="R120" s="100">
        <f>IFERROR(VLOOKUP(Tablo5[[#This Row],[ÜRÜN KODU]],YMKODLARI!$A$1:$K$363,6,0)," ")</f>
        <v>44.5</v>
      </c>
      <c r="S120" s="100">
        <f>IFERROR(Tablo5[[#This Row],[YOLLUK HARİÇ BASKI GRAMI]]/Tablo5[[#This Row],[KALIP GÖZ ADEDİ]]," ")</f>
        <v>5.5625</v>
      </c>
      <c r="T120" s="100">
        <f t="shared" si="9"/>
        <v>7.2000000000000028</v>
      </c>
      <c r="U120" s="100">
        <v>5.9</v>
      </c>
      <c r="V120" s="100">
        <f t="shared" si="8"/>
        <v>43.502499999999998</v>
      </c>
      <c r="W120" s="101">
        <f t="shared" si="10"/>
        <v>24.416666666666668</v>
      </c>
      <c r="X120" s="102">
        <f t="shared" si="11"/>
        <v>10.000000000000028</v>
      </c>
      <c r="Y120" s="100">
        <f t="shared" si="12"/>
        <v>8.4499999999999993</v>
      </c>
      <c r="Z120" s="100">
        <f t="shared" si="13"/>
        <v>6760</v>
      </c>
    </row>
    <row r="121" spans="1:26">
      <c r="A121" s="100" t="s">
        <v>34</v>
      </c>
      <c r="B121" s="108" t="str">
        <f>IFERROR(VLOOKUP(Tablo5[[#This Row],[ÜRÜN KODU]],YMKODLARI!$A$1:$K$363,2,0)," ")</f>
        <v>BİBERON KLASİK  UC 1 NO</v>
      </c>
      <c r="C121" s="99">
        <v>43987</v>
      </c>
      <c r="D121" s="100" t="s">
        <v>33</v>
      </c>
      <c r="E121" s="101">
        <v>0.33333333333333331</v>
      </c>
      <c r="F121" s="101">
        <v>0.75</v>
      </c>
      <c r="G121" s="100">
        <f>IFERROR(VLOOKUP(Tablo5[[#This Row],[ÜRÜN KODU]],YMKODLARI!$A$1:$K$363,3,0)," ")</f>
        <v>8</v>
      </c>
      <c r="H121" s="100">
        <f>IFERROR(VLOOKUP(Tablo5[[#This Row],[ÜRÜN KODU]],YMKODLARI!$A$1:$K$363,4,0)," ")</f>
        <v>36</v>
      </c>
      <c r="I121" s="100">
        <v>858</v>
      </c>
      <c r="J121" s="100" t="str">
        <f>IFERROR(VLOOKUP(Tablo5[[#This Row],[ÜRÜN KODU]],YMKODLARI!$A$1:$K$363,9,0)," ")</f>
        <v>Şeffaf</v>
      </c>
      <c r="K121" s="100" t="str">
        <f>IFERROR(VLOOKUP(Tablo5[[#This Row],[BOYA KODU]],Tablo14[#All],4,0)," ")</f>
        <v xml:space="preserve"> </v>
      </c>
      <c r="L121" s="100" t="str">
        <f>IFERROR(VLOOKUP(Tablo5[[#This Row],[BOYA KODU]],Tablo14[#All],6,0)," ")</f>
        <v xml:space="preserve"> </v>
      </c>
      <c r="M121" s="100" t="str">
        <f t="shared" si="7"/>
        <v xml:space="preserve"> </v>
      </c>
      <c r="N121" s="100" t="str">
        <f>IFERROR(VLOOKUP(Tablo5[[#This Row],[ÜRÜN KODU]],YMKODLARI!$A$1:$K$363,8,0)," ")</f>
        <v>HM 003</v>
      </c>
      <c r="O121" s="100" t="str">
        <f>IFERROR(VLOOKUP(Tablo5[[#This Row],[HAMMADDE KODU]],Tablo1[#All],3,0)," ")</f>
        <v>LSR 45</v>
      </c>
      <c r="P121" s="100" t="str">
        <f>IFERROR(VLOOKUP(Tablo5[[#This Row],[HAMMADDE KODU]],Tablo1[#All],4,0)," ")</f>
        <v>SETA</v>
      </c>
      <c r="Q121" s="100">
        <f>IFERROR(VLOOKUP(Tablo5[[#This Row],[ÜRÜN KODU]],YMKODLARI!$A$1:$K$363,5,0)," ")</f>
        <v>51.7</v>
      </c>
      <c r="R121" s="100">
        <f>IFERROR(VLOOKUP(Tablo5[[#This Row],[ÜRÜN KODU]],YMKODLARI!$A$1:$K$363,6,0)," ")</f>
        <v>44.5</v>
      </c>
      <c r="S121" s="100">
        <f>IFERROR(Tablo5[[#This Row],[YOLLUK HARİÇ BASKI GRAMI]]/Tablo5[[#This Row],[KALIP GÖZ ADEDİ]]," ")</f>
        <v>5.5625</v>
      </c>
      <c r="T121" s="100">
        <f t="shared" si="9"/>
        <v>7.2000000000000028</v>
      </c>
      <c r="U121" s="100">
        <v>6.5</v>
      </c>
      <c r="V121" s="100">
        <f t="shared" si="8"/>
        <v>44.680999999999997</v>
      </c>
      <c r="W121" s="101">
        <f t="shared" si="10"/>
        <v>24.416666666666668</v>
      </c>
      <c r="X121" s="102">
        <f t="shared" si="11"/>
        <v>10.000000000000028</v>
      </c>
      <c r="Y121" s="100">
        <f t="shared" si="12"/>
        <v>8.58</v>
      </c>
      <c r="Z121" s="100">
        <f t="shared" si="13"/>
        <v>6864</v>
      </c>
    </row>
    <row r="122" spans="1:26">
      <c r="A122" s="100" t="s">
        <v>34</v>
      </c>
      <c r="B122" s="108" t="str">
        <f>IFERROR(VLOOKUP(Tablo5[[#This Row],[ÜRÜN KODU]],YMKODLARI!$A$1:$K$363,2,0)," ")</f>
        <v>BİBERON KLASİK  UC 1 NO</v>
      </c>
      <c r="C122" s="99">
        <v>43990</v>
      </c>
      <c r="D122" s="100" t="s">
        <v>37</v>
      </c>
      <c r="E122" s="101">
        <v>0.33333333333333331</v>
      </c>
      <c r="F122" s="101">
        <v>0.75</v>
      </c>
      <c r="G122" s="100">
        <f>IFERROR(VLOOKUP(Tablo5[[#This Row],[ÜRÜN KODU]],YMKODLARI!$A$1:$K$363,3,0)," ")</f>
        <v>8</v>
      </c>
      <c r="H122" s="100">
        <f>IFERROR(VLOOKUP(Tablo5[[#This Row],[ÜRÜN KODU]],YMKODLARI!$A$1:$K$363,4,0)," ")</f>
        <v>36</v>
      </c>
      <c r="I122" s="100">
        <v>898</v>
      </c>
      <c r="J122" s="100" t="str">
        <f>IFERROR(VLOOKUP(Tablo5[[#This Row],[ÜRÜN KODU]],YMKODLARI!$A$1:$K$363,9,0)," ")</f>
        <v>Şeffaf</v>
      </c>
      <c r="K122" s="100" t="str">
        <f>IFERROR(VLOOKUP(Tablo5[[#This Row],[BOYA KODU]],Tablo14[#All],4,0)," ")</f>
        <v xml:space="preserve"> </v>
      </c>
      <c r="L122" s="100" t="str">
        <f>IFERROR(VLOOKUP(Tablo5[[#This Row],[BOYA KODU]],Tablo14[#All],6,0)," ")</f>
        <v xml:space="preserve"> </v>
      </c>
      <c r="M122" s="100" t="str">
        <f t="shared" si="7"/>
        <v xml:space="preserve"> </v>
      </c>
      <c r="N122" s="100" t="str">
        <f>IFERROR(VLOOKUP(Tablo5[[#This Row],[ÜRÜN KODU]],YMKODLARI!$A$1:$K$363,8,0)," ")</f>
        <v>HM 003</v>
      </c>
      <c r="O122" s="100" t="str">
        <f>IFERROR(VLOOKUP(Tablo5[[#This Row],[HAMMADDE KODU]],Tablo1[#All],3,0)," ")</f>
        <v>LSR 45</v>
      </c>
      <c r="P122" s="100" t="str">
        <f>IFERROR(VLOOKUP(Tablo5[[#This Row],[HAMMADDE KODU]],Tablo1[#All],4,0)," ")</f>
        <v>SETA</v>
      </c>
      <c r="Q122" s="100">
        <f>IFERROR(VLOOKUP(Tablo5[[#This Row],[ÜRÜN KODU]],YMKODLARI!$A$1:$K$363,5,0)," ")</f>
        <v>51.7</v>
      </c>
      <c r="R122" s="100">
        <f>IFERROR(VLOOKUP(Tablo5[[#This Row],[ÜRÜN KODU]],YMKODLARI!$A$1:$K$363,6,0)," ")</f>
        <v>44.5</v>
      </c>
      <c r="S122" s="100">
        <f>IFERROR(Tablo5[[#This Row],[YOLLUK HARİÇ BASKI GRAMI]]/Tablo5[[#This Row],[KALIP GÖZ ADEDİ]]," ")</f>
        <v>5.5625</v>
      </c>
      <c r="T122" s="100">
        <f t="shared" si="9"/>
        <v>7.2000000000000028</v>
      </c>
      <c r="U122" s="100">
        <v>7.5</v>
      </c>
      <c r="V122" s="100">
        <f t="shared" si="8"/>
        <v>47.460999999999999</v>
      </c>
      <c r="W122" s="101">
        <f t="shared" si="10"/>
        <v>24.416666666666668</v>
      </c>
      <c r="X122" s="102">
        <f t="shared" si="11"/>
        <v>10.000000000000028</v>
      </c>
      <c r="Y122" s="100">
        <f t="shared" si="12"/>
        <v>8.98</v>
      </c>
      <c r="Z122" s="100">
        <f t="shared" si="13"/>
        <v>7184</v>
      </c>
    </row>
    <row r="123" spans="1:26">
      <c r="A123" s="100" t="s">
        <v>34</v>
      </c>
      <c r="B123" s="108" t="str">
        <f>IFERROR(VLOOKUP(Tablo5[[#This Row],[ÜRÜN KODU]],YMKODLARI!$A$1:$K$363,2,0)," ")</f>
        <v>BİBERON KLASİK  UC 1 NO</v>
      </c>
      <c r="C123" s="99">
        <v>43991</v>
      </c>
      <c r="D123" s="100" t="s">
        <v>29</v>
      </c>
      <c r="E123" s="101">
        <v>0.33333333333333331</v>
      </c>
      <c r="F123" s="101">
        <v>0.75</v>
      </c>
      <c r="G123" s="100">
        <f>IFERROR(VLOOKUP(Tablo5[[#This Row],[ÜRÜN KODU]],YMKODLARI!$A$1:$K$363,3,0)," ")</f>
        <v>8</v>
      </c>
      <c r="H123" s="100">
        <f>IFERROR(VLOOKUP(Tablo5[[#This Row],[ÜRÜN KODU]],YMKODLARI!$A$1:$K$363,4,0)," ")</f>
        <v>36</v>
      </c>
      <c r="I123" s="100">
        <v>792</v>
      </c>
      <c r="J123" s="100" t="str">
        <f>IFERROR(VLOOKUP(Tablo5[[#This Row],[ÜRÜN KODU]],YMKODLARI!$A$1:$K$363,9,0)," ")</f>
        <v>Şeffaf</v>
      </c>
      <c r="K123" s="100" t="str">
        <f>IFERROR(VLOOKUP(Tablo5[[#This Row],[BOYA KODU]],Tablo14[#All],4,0)," ")</f>
        <v xml:space="preserve"> </v>
      </c>
      <c r="L123" s="100" t="str">
        <f>IFERROR(VLOOKUP(Tablo5[[#This Row],[BOYA KODU]],Tablo14[#All],6,0)," ")</f>
        <v xml:space="preserve"> </v>
      </c>
      <c r="M123" s="100" t="str">
        <f t="shared" si="7"/>
        <v xml:space="preserve"> </v>
      </c>
      <c r="N123" s="100" t="str">
        <f>IFERROR(VLOOKUP(Tablo5[[#This Row],[ÜRÜN KODU]],YMKODLARI!$A$1:$K$363,8,0)," ")</f>
        <v>HM 003</v>
      </c>
      <c r="O123" s="100" t="str">
        <f>IFERROR(VLOOKUP(Tablo5[[#This Row],[HAMMADDE KODU]],Tablo1[#All],3,0)," ")</f>
        <v>LSR 45</v>
      </c>
      <c r="P123" s="100" t="str">
        <f>IFERROR(VLOOKUP(Tablo5[[#This Row],[HAMMADDE KODU]],Tablo1[#All],4,0)," ")</f>
        <v>SETA</v>
      </c>
      <c r="Q123" s="100">
        <f>IFERROR(VLOOKUP(Tablo5[[#This Row],[ÜRÜN KODU]],YMKODLARI!$A$1:$K$363,5,0)," ")</f>
        <v>51.7</v>
      </c>
      <c r="R123" s="100">
        <f>IFERROR(VLOOKUP(Tablo5[[#This Row],[ÜRÜN KODU]],YMKODLARI!$A$1:$K$363,6,0)," ")</f>
        <v>44.5</v>
      </c>
      <c r="S123" s="100">
        <f>IFERROR(Tablo5[[#This Row],[YOLLUK HARİÇ BASKI GRAMI]]/Tablo5[[#This Row],[KALIP GÖZ ADEDİ]]," ")</f>
        <v>5.5625</v>
      </c>
      <c r="T123" s="100">
        <f t="shared" si="9"/>
        <v>7.2000000000000028</v>
      </c>
      <c r="U123" s="100">
        <v>6</v>
      </c>
      <c r="V123" s="100">
        <f t="shared" si="8"/>
        <v>41.244</v>
      </c>
      <c r="W123" s="101">
        <f t="shared" si="10"/>
        <v>24.416666666666668</v>
      </c>
      <c r="X123" s="102">
        <f t="shared" si="11"/>
        <v>10.000000000000028</v>
      </c>
      <c r="Y123" s="100">
        <f t="shared" si="12"/>
        <v>7.92</v>
      </c>
      <c r="Z123" s="100">
        <f t="shared" si="13"/>
        <v>6336</v>
      </c>
    </row>
    <row r="124" spans="1:26">
      <c r="A124" s="100" t="s">
        <v>34</v>
      </c>
      <c r="B124" s="108" t="str">
        <f>IFERROR(VLOOKUP(Tablo5[[#This Row],[ÜRÜN KODU]],YMKODLARI!$A$1:$K$363,2,0)," ")</f>
        <v>BİBERON KLASİK  UC 1 NO</v>
      </c>
      <c r="C124" s="99">
        <v>43992</v>
      </c>
      <c r="D124" s="100" t="s">
        <v>29</v>
      </c>
      <c r="E124" s="101">
        <v>0.33333333333333331</v>
      </c>
      <c r="F124" s="101">
        <v>0.75</v>
      </c>
      <c r="G124" s="100">
        <f>IFERROR(VLOOKUP(Tablo5[[#This Row],[ÜRÜN KODU]],YMKODLARI!$A$1:$K$363,3,0)," ")</f>
        <v>8</v>
      </c>
      <c r="H124" s="100">
        <f>IFERROR(VLOOKUP(Tablo5[[#This Row],[ÜRÜN KODU]],YMKODLARI!$A$1:$K$363,4,0)," ")</f>
        <v>36</v>
      </c>
      <c r="I124" s="100">
        <v>803</v>
      </c>
      <c r="J124" s="100" t="str">
        <f>IFERROR(VLOOKUP(Tablo5[[#This Row],[ÜRÜN KODU]],YMKODLARI!$A$1:$K$363,9,0)," ")</f>
        <v>Şeffaf</v>
      </c>
      <c r="K124" s="100" t="str">
        <f>IFERROR(VLOOKUP(Tablo5[[#This Row],[BOYA KODU]],Tablo14[#All],4,0)," ")</f>
        <v xml:space="preserve"> </v>
      </c>
      <c r="L124" s="100" t="str">
        <f>IFERROR(VLOOKUP(Tablo5[[#This Row],[BOYA KODU]],Tablo14[#All],6,0)," ")</f>
        <v xml:space="preserve"> </v>
      </c>
      <c r="M124" s="100" t="str">
        <f t="shared" si="7"/>
        <v xml:space="preserve"> </v>
      </c>
      <c r="N124" s="100" t="str">
        <f>IFERROR(VLOOKUP(Tablo5[[#This Row],[ÜRÜN KODU]],YMKODLARI!$A$1:$K$363,8,0)," ")</f>
        <v>HM 003</v>
      </c>
      <c r="O124" s="100" t="str">
        <f>IFERROR(VLOOKUP(Tablo5[[#This Row],[HAMMADDE KODU]],Tablo1[#All],3,0)," ")</f>
        <v>LSR 45</v>
      </c>
      <c r="P124" s="100" t="str">
        <f>IFERROR(VLOOKUP(Tablo5[[#This Row],[HAMMADDE KODU]],Tablo1[#All],4,0)," ")</f>
        <v>SETA</v>
      </c>
      <c r="Q124" s="100">
        <f>IFERROR(VLOOKUP(Tablo5[[#This Row],[ÜRÜN KODU]],YMKODLARI!$A$1:$K$363,5,0)," ")</f>
        <v>51.7</v>
      </c>
      <c r="R124" s="100">
        <f>IFERROR(VLOOKUP(Tablo5[[#This Row],[ÜRÜN KODU]],YMKODLARI!$A$1:$K$363,6,0)," ")</f>
        <v>44.5</v>
      </c>
      <c r="S124" s="100">
        <f>IFERROR(Tablo5[[#This Row],[YOLLUK HARİÇ BASKI GRAMI]]/Tablo5[[#This Row],[KALIP GÖZ ADEDİ]]," ")</f>
        <v>5.5625</v>
      </c>
      <c r="T124" s="100">
        <f t="shared" si="9"/>
        <v>7.2000000000000028</v>
      </c>
      <c r="U124" s="100">
        <v>6</v>
      </c>
      <c r="V124" s="100">
        <f t="shared" si="8"/>
        <v>41.733499999999999</v>
      </c>
      <c r="W124" s="101">
        <f t="shared" si="10"/>
        <v>24.416666666666668</v>
      </c>
      <c r="X124" s="102">
        <f t="shared" si="11"/>
        <v>10.000000000000028</v>
      </c>
      <c r="Y124" s="100">
        <f t="shared" si="12"/>
        <v>8.0299999999999994</v>
      </c>
      <c r="Z124" s="100">
        <f t="shared" si="13"/>
        <v>6424</v>
      </c>
    </row>
    <row r="125" spans="1:26">
      <c r="A125" s="100" t="s">
        <v>34</v>
      </c>
      <c r="B125" s="108" t="str">
        <f>IFERROR(VLOOKUP(Tablo5[[#This Row],[ÜRÜN KODU]],YMKODLARI!$A$1:$K$363,2,0)," ")</f>
        <v>BİBERON KLASİK  UC 1 NO</v>
      </c>
      <c r="C125" s="99">
        <v>43993</v>
      </c>
      <c r="D125" s="100" t="s">
        <v>29</v>
      </c>
      <c r="E125" s="101">
        <v>0.33333333333333331</v>
      </c>
      <c r="F125" s="101">
        <v>0.75</v>
      </c>
      <c r="G125" s="100">
        <f>IFERROR(VLOOKUP(Tablo5[[#This Row],[ÜRÜN KODU]],YMKODLARI!$A$1:$K$363,3,0)," ")</f>
        <v>8</v>
      </c>
      <c r="H125" s="100">
        <f>IFERROR(VLOOKUP(Tablo5[[#This Row],[ÜRÜN KODU]],YMKODLARI!$A$1:$K$363,4,0)," ")</f>
        <v>36</v>
      </c>
      <c r="I125" s="100">
        <v>800</v>
      </c>
      <c r="J125" s="100" t="str">
        <f>IFERROR(VLOOKUP(Tablo5[[#This Row],[ÜRÜN KODU]],YMKODLARI!$A$1:$K$363,9,0)," ")</f>
        <v>Şeffaf</v>
      </c>
      <c r="K125" s="100" t="str">
        <f>IFERROR(VLOOKUP(Tablo5[[#This Row],[BOYA KODU]],Tablo14[#All],4,0)," ")</f>
        <v xml:space="preserve"> </v>
      </c>
      <c r="L125" s="100" t="str">
        <f>IFERROR(VLOOKUP(Tablo5[[#This Row],[BOYA KODU]],Tablo14[#All],6,0)," ")</f>
        <v xml:space="preserve"> </v>
      </c>
      <c r="M125" s="100" t="str">
        <f t="shared" si="7"/>
        <v xml:space="preserve"> </v>
      </c>
      <c r="N125" s="100" t="str">
        <f>IFERROR(VLOOKUP(Tablo5[[#This Row],[ÜRÜN KODU]],YMKODLARI!$A$1:$K$363,8,0)," ")</f>
        <v>HM 003</v>
      </c>
      <c r="O125" s="100" t="str">
        <f>IFERROR(VLOOKUP(Tablo5[[#This Row],[HAMMADDE KODU]],Tablo1[#All],3,0)," ")</f>
        <v>LSR 45</v>
      </c>
      <c r="P125" s="100" t="str">
        <f>IFERROR(VLOOKUP(Tablo5[[#This Row],[HAMMADDE KODU]],Tablo1[#All],4,0)," ")</f>
        <v>SETA</v>
      </c>
      <c r="Q125" s="100">
        <f>IFERROR(VLOOKUP(Tablo5[[#This Row],[ÜRÜN KODU]],YMKODLARI!$A$1:$K$363,5,0)," ")</f>
        <v>51.7</v>
      </c>
      <c r="R125" s="100">
        <f>IFERROR(VLOOKUP(Tablo5[[#This Row],[ÜRÜN KODU]],YMKODLARI!$A$1:$K$363,6,0)," ")</f>
        <v>44.5</v>
      </c>
      <c r="S125" s="100">
        <f>IFERROR(Tablo5[[#This Row],[YOLLUK HARİÇ BASKI GRAMI]]/Tablo5[[#This Row],[KALIP GÖZ ADEDİ]]," ")</f>
        <v>5.5625</v>
      </c>
      <c r="T125" s="100">
        <f t="shared" si="9"/>
        <v>7.2000000000000028</v>
      </c>
      <c r="U125" s="100">
        <v>6.3</v>
      </c>
      <c r="V125" s="100">
        <f t="shared" si="8"/>
        <v>41.9</v>
      </c>
      <c r="W125" s="101">
        <f t="shared" si="10"/>
        <v>24.416666666666668</v>
      </c>
      <c r="X125" s="102">
        <f t="shared" si="11"/>
        <v>10.000000000000028</v>
      </c>
      <c r="Y125" s="100">
        <f t="shared" si="12"/>
        <v>8</v>
      </c>
      <c r="Z125" s="100">
        <f t="shared" si="13"/>
        <v>6400</v>
      </c>
    </row>
    <row r="126" spans="1:26">
      <c r="A126" s="100" t="s">
        <v>34</v>
      </c>
      <c r="B126" s="108" t="str">
        <f>IFERROR(VLOOKUP(Tablo5[[#This Row],[ÜRÜN KODU]],YMKODLARI!$A$1:$K$363,2,0)," ")</f>
        <v>BİBERON KLASİK  UC 1 NO</v>
      </c>
      <c r="C126" s="99">
        <v>43994</v>
      </c>
      <c r="D126" s="100" t="s">
        <v>29</v>
      </c>
      <c r="E126" s="101">
        <v>0.33333333333333331</v>
      </c>
      <c r="F126" s="101">
        <v>0.72916666666666663</v>
      </c>
      <c r="G126" s="100">
        <f>IFERROR(VLOOKUP(Tablo5[[#This Row],[ÜRÜN KODU]],YMKODLARI!$A$1:$K$363,3,0)," ")</f>
        <v>8</v>
      </c>
      <c r="H126" s="100">
        <f>IFERROR(VLOOKUP(Tablo5[[#This Row],[ÜRÜN KODU]],YMKODLARI!$A$1:$K$363,4,0)," ")</f>
        <v>36</v>
      </c>
      <c r="I126" s="100">
        <v>643</v>
      </c>
      <c r="J126" s="100" t="str">
        <f>IFERROR(VLOOKUP(Tablo5[[#This Row],[ÜRÜN KODU]],YMKODLARI!$A$1:$K$363,9,0)," ")</f>
        <v>Şeffaf</v>
      </c>
      <c r="K126" s="100" t="str">
        <f>IFERROR(VLOOKUP(Tablo5[[#This Row],[BOYA KODU]],Tablo14[#All],4,0)," ")</f>
        <v xml:space="preserve"> </v>
      </c>
      <c r="L126" s="100" t="str">
        <f>IFERROR(VLOOKUP(Tablo5[[#This Row],[BOYA KODU]],Tablo14[#All],6,0)," ")</f>
        <v xml:space="preserve"> </v>
      </c>
      <c r="M126" s="100" t="str">
        <f t="shared" si="7"/>
        <v xml:space="preserve"> </v>
      </c>
      <c r="N126" s="100" t="str">
        <f>IFERROR(VLOOKUP(Tablo5[[#This Row],[ÜRÜN KODU]],YMKODLARI!$A$1:$K$363,8,0)," ")</f>
        <v>HM 003</v>
      </c>
      <c r="O126" s="100" t="str">
        <f>IFERROR(VLOOKUP(Tablo5[[#This Row],[HAMMADDE KODU]],Tablo1[#All],3,0)," ")</f>
        <v>LSR 45</v>
      </c>
      <c r="P126" s="100" t="str">
        <f>IFERROR(VLOOKUP(Tablo5[[#This Row],[HAMMADDE KODU]],Tablo1[#All],4,0)," ")</f>
        <v>SETA</v>
      </c>
      <c r="Q126" s="100">
        <f>IFERROR(VLOOKUP(Tablo5[[#This Row],[ÜRÜN KODU]],YMKODLARI!$A$1:$K$363,5,0)," ")</f>
        <v>51.7</v>
      </c>
      <c r="R126" s="100">
        <f>IFERROR(VLOOKUP(Tablo5[[#This Row],[ÜRÜN KODU]],YMKODLARI!$A$1:$K$363,6,0)," ")</f>
        <v>44.5</v>
      </c>
      <c r="S126" s="100">
        <f>IFERROR(Tablo5[[#This Row],[YOLLUK HARİÇ BASKI GRAMI]]/Tablo5[[#This Row],[KALIP GÖZ ADEDİ]]," ")</f>
        <v>5.5625</v>
      </c>
      <c r="T126" s="100">
        <f t="shared" si="9"/>
        <v>7.2000000000000028</v>
      </c>
      <c r="U126" s="100">
        <v>5.6</v>
      </c>
      <c r="V126" s="100">
        <f t="shared" si="8"/>
        <v>34.213499999999996</v>
      </c>
      <c r="W126" s="101">
        <f t="shared" si="10"/>
        <v>24.395833333333332</v>
      </c>
      <c r="X126" s="102">
        <f t="shared" si="11"/>
        <v>9.4999999999999716</v>
      </c>
      <c r="Y126" s="100">
        <f t="shared" si="12"/>
        <v>6.43</v>
      </c>
      <c r="Z126" s="100">
        <f t="shared" si="13"/>
        <v>5144</v>
      </c>
    </row>
    <row r="127" spans="1:26">
      <c r="A127" s="100" t="s">
        <v>34</v>
      </c>
      <c r="B127" s="108" t="str">
        <f>IFERROR(VLOOKUP(Tablo5[[#This Row],[ÜRÜN KODU]],YMKODLARI!$A$1:$K$363,2,0)," ")</f>
        <v>BİBERON KLASİK  UC 1 NO</v>
      </c>
      <c r="C127" s="99">
        <v>43997</v>
      </c>
      <c r="D127" s="100" t="s">
        <v>29</v>
      </c>
      <c r="E127" s="101">
        <v>0.33333333333333331</v>
      </c>
      <c r="F127" s="101">
        <v>0.75</v>
      </c>
      <c r="G127" s="100">
        <f>IFERROR(VLOOKUP(Tablo5[[#This Row],[ÜRÜN KODU]],YMKODLARI!$A$1:$K$363,3,0)," ")</f>
        <v>8</v>
      </c>
      <c r="H127" s="100">
        <f>IFERROR(VLOOKUP(Tablo5[[#This Row],[ÜRÜN KODU]],YMKODLARI!$A$1:$K$363,4,0)," ")</f>
        <v>36</v>
      </c>
      <c r="I127" s="100">
        <v>804</v>
      </c>
      <c r="J127" s="100" t="str">
        <f>IFERROR(VLOOKUP(Tablo5[[#This Row],[ÜRÜN KODU]],YMKODLARI!$A$1:$K$363,9,0)," ")</f>
        <v>Şeffaf</v>
      </c>
      <c r="K127" s="100" t="str">
        <f>IFERROR(VLOOKUP(Tablo5[[#This Row],[BOYA KODU]],Tablo14[#All],4,0)," ")</f>
        <v xml:space="preserve"> </v>
      </c>
      <c r="L127" s="100" t="str">
        <f>IFERROR(VLOOKUP(Tablo5[[#This Row],[BOYA KODU]],Tablo14[#All],6,0)," ")</f>
        <v xml:space="preserve"> </v>
      </c>
      <c r="M127" s="100" t="str">
        <f t="shared" si="7"/>
        <v xml:space="preserve"> </v>
      </c>
      <c r="N127" s="100" t="str">
        <f>IFERROR(VLOOKUP(Tablo5[[#This Row],[ÜRÜN KODU]],YMKODLARI!$A$1:$K$363,8,0)," ")</f>
        <v>HM 003</v>
      </c>
      <c r="O127" s="100" t="str">
        <f>IFERROR(VLOOKUP(Tablo5[[#This Row],[HAMMADDE KODU]],Tablo1[#All],3,0)," ")</f>
        <v>LSR 45</v>
      </c>
      <c r="P127" s="100" t="str">
        <f>IFERROR(VLOOKUP(Tablo5[[#This Row],[HAMMADDE KODU]],Tablo1[#All],4,0)," ")</f>
        <v>SETA</v>
      </c>
      <c r="Q127" s="100">
        <f>IFERROR(VLOOKUP(Tablo5[[#This Row],[ÜRÜN KODU]],YMKODLARI!$A$1:$K$363,5,0)," ")</f>
        <v>51.7</v>
      </c>
      <c r="R127" s="100">
        <f>IFERROR(VLOOKUP(Tablo5[[#This Row],[ÜRÜN KODU]],YMKODLARI!$A$1:$K$363,6,0)," ")</f>
        <v>44.5</v>
      </c>
      <c r="S127" s="100">
        <f>IFERROR(Tablo5[[#This Row],[YOLLUK HARİÇ BASKI GRAMI]]/Tablo5[[#This Row],[KALIP GÖZ ADEDİ]]," ")</f>
        <v>5.5625</v>
      </c>
      <c r="T127" s="100">
        <f t="shared" si="9"/>
        <v>7.2000000000000028</v>
      </c>
      <c r="U127" s="100">
        <v>7.5</v>
      </c>
      <c r="V127" s="100">
        <f t="shared" si="8"/>
        <v>43.277999999999999</v>
      </c>
      <c r="W127" s="101">
        <f t="shared" si="10"/>
        <v>24.416666666666668</v>
      </c>
      <c r="X127" s="102">
        <f t="shared" si="11"/>
        <v>10.000000000000028</v>
      </c>
      <c r="Y127" s="100">
        <f t="shared" si="12"/>
        <v>8.0399999999999991</v>
      </c>
      <c r="Z127" s="100">
        <f t="shared" si="13"/>
        <v>6432</v>
      </c>
    </row>
    <row r="128" spans="1:26">
      <c r="A128" s="100" t="s">
        <v>34</v>
      </c>
      <c r="B128" s="108" t="str">
        <f>IFERROR(VLOOKUP(Tablo5[[#This Row],[ÜRÜN KODU]],YMKODLARI!$A$1:$K$363,2,0)," ")</f>
        <v>BİBERON KLASİK  UC 1 NO</v>
      </c>
      <c r="C128" s="99">
        <v>43998</v>
      </c>
      <c r="D128" s="100" t="s">
        <v>29</v>
      </c>
      <c r="E128" s="101">
        <v>0.33333333333333331</v>
      </c>
      <c r="F128" s="101">
        <v>0.75</v>
      </c>
      <c r="G128" s="100">
        <f>IFERROR(VLOOKUP(Tablo5[[#This Row],[ÜRÜN KODU]],YMKODLARI!$A$1:$K$363,3,0)," ")</f>
        <v>8</v>
      </c>
      <c r="H128" s="100">
        <f>IFERROR(VLOOKUP(Tablo5[[#This Row],[ÜRÜN KODU]],YMKODLARI!$A$1:$K$363,4,0)," ")</f>
        <v>36</v>
      </c>
      <c r="I128" s="100">
        <v>827</v>
      </c>
      <c r="J128" s="100" t="str">
        <f>IFERROR(VLOOKUP(Tablo5[[#This Row],[ÜRÜN KODU]],YMKODLARI!$A$1:$K$363,9,0)," ")</f>
        <v>Şeffaf</v>
      </c>
      <c r="K128" s="100" t="str">
        <f>IFERROR(VLOOKUP(Tablo5[[#This Row],[BOYA KODU]],Tablo14[#All],4,0)," ")</f>
        <v xml:space="preserve"> </v>
      </c>
      <c r="L128" s="100" t="str">
        <f>IFERROR(VLOOKUP(Tablo5[[#This Row],[BOYA KODU]],Tablo14[#All],6,0)," ")</f>
        <v xml:space="preserve"> </v>
      </c>
      <c r="M128" s="100" t="str">
        <f t="shared" si="7"/>
        <v xml:space="preserve"> </v>
      </c>
      <c r="N128" s="100" t="str">
        <f>IFERROR(VLOOKUP(Tablo5[[#This Row],[ÜRÜN KODU]],YMKODLARI!$A$1:$K$363,8,0)," ")</f>
        <v>HM 003</v>
      </c>
      <c r="O128" s="100" t="str">
        <f>IFERROR(VLOOKUP(Tablo5[[#This Row],[HAMMADDE KODU]],Tablo1[#All],3,0)," ")</f>
        <v>LSR 45</v>
      </c>
      <c r="P128" s="100" t="str">
        <f>IFERROR(VLOOKUP(Tablo5[[#This Row],[HAMMADDE KODU]],Tablo1[#All],4,0)," ")</f>
        <v>SETA</v>
      </c>
      <c r="Q128" s="100">
        <f>IFERROR(VLOOKUP(Tablo5[[#This Row],[ÜRÜN KODU]],YMKODLARI!$A$1:$K$363,5,0)," ")</f>
        <v>51.7</v>
      </c>
      <c r="R128" s="100">
        <f>IFERROR(VLOOKUP(Tablo5[[#This Row],[ÜRÜN KODU]],YMKODLARI!$A$1:$K$363,6,0)," ")</f>
        <v>44.5</v>
      </c>
      <c r="S128" s="100">
        <f>IFERROR(Tablo5[[#This Row],[YOLLUK HARİÇ BASKI GRAMI]]/Tablo5[[#This Row],[KALIP GÖZ ADEDİ]]," ")</f>
        <v>5.5625</v>
      </c>
      <c r="T128" s="100">
        <f t="shared" si="9"/>
        <v>7.2000000000000028</v>
      </c>
      <c r="U128" s="100">
        <v>6</v>
      </c>
      <c r="V128" s="100">
        <f t="shared" si="8"/>
        <v>42.801499999999997</v>
      </c>
      <c r="W128" s="101">
        <f t="shared" si="10"/>
        <v>24.416666666666668</v>
      </c>
      <c r="X128" s="102">
        <f t="shared" si="11"/>
        <v>10.000000000000028</v>
      </c>
      <c r="Y128" s="100">
        <f t="shared" si="12"/>
        <v>8.27</v>
      </c>
      <c r="Z128" s="100">
        <f t="shared" si="13"/>
        <v>6616</v>
      </c>
    </row>
    <row r="129" spans="1:26">
      <c r="A129" s="100" t="s">
        <v>34</v>
      </c>
      <c r="B129" s="108" t="str">
        <f>IFERROR(VLOOKUP(Tablo5[[#This Row],[ÜRÜN KODU]],YMKODLARI!$A$1:$K$363,2,0)," ")</f>
        <v>BİBERON KLASİK  UC 1 NO</v>
      </c>
      <c r="C129" s="99">
        <v>43999</v>
      </c>
      <c r="D129" s="100" t="s">
        <v>29</v>
      </c>
      <c r="E129" s="101">
        <v>0.33333333333333331</v>
      </c>
      <c r="F129" s="101">
        <v>0.75</v>
      </c>
      <c r="G129" s="100">
        <f>IFERROR(VLOOKUP(Tablo5[[#This Row],[ÜRÜN KODU]],YMKODLARI!$A$1:$K$363,3,0)," ")</f>
        <v>8</v>
      </c>
      <c r="H129" s="100">
        <f>IFERROR(VLOOKUP(Tablo5[[#This Row],[ÜRÜN KODU]],YMKODLARI!$A$1:$K$363,4,0)," ")</f>
        <v>36</v>
      </c>
      <c r="I129" s="100">
        <v>813</v>
      </c>
      <c r="J129" s="100" t="str">
        <f>IFERROR(VLOOKUP(Tablo5[[#This Row],[ÜRÜN KODU]],YMKODLARI!$A$1:$K$363,9,0)," ")</f>
        <v>Şeffaf</v>
      </c>
      <c r="K129" s="100" t="str">
        <f>IFERROR(VLOOKUP(Tablo5[[#This Row],[BOYA KODU]],Tablo14[#All],4,0)," ")</f>
        <v xml:space="preserve"> </v>
      </c>
      <c r="L129" s="100" t="str">
        <f>IFERROR(VLOOKUP(Tablo5[[#This Row],[BOYA KODU]],Tablo14[#All],6,0)," ")</f>
        <v xml:space="preserve"> </v>
      </c>
      <c r="M129" s="100" t="str">
        <f t="shared" si="7"/>
        <v xml:space="preserve"> </v>
      </c>
      <c r="N129" s="100" t="str">
        <f>IFERROR(VLOOKUP(Tablo5[[#This Row],[ÜRÜN KODU]],YMKODLARI!$A$1:$K$363,8,0)," ")</f>
        <v>HM 003</v>
      </c>
      <c r="O129" s="100" t="str">
        <f>IFERROR(VLOOKUP(Tablo5[[#This Row],[HAMMADDE KODU]],Tablo1[#All],3,0)," ")</f>
        <v>LSR 45</v>
      </c>
      <c r="P129" s="100" t="str">
        <f>IFERROR(VLOOKUP(Tablo5[[#This Row],[HAMMADDE KODU]],Tablo1[#All],4,0)," ")</f>
        <v>SETA</v>
      </c>
      <c r="Q129" s="100">
        <f>IFERROR(VLOOKUP(Tablo5[[#This Row],[ÜRÜN KODU]],YMKODLARI!$A$1:$K$363,5,0)," ")</f>
        <v>51.7</v>
      </c>
      <c r="R129" s="100">
        <f>IFERROR(VLOOKUP(Tablo5[[#This Row],[ÜRÜN KODU]],YMKODLARI!$A$1:$K$363,6,0)," ")</f>
        <v>44.5</v>
      </c>
      <c r="S129" s="100">
        <f>IFERROR(Tablo5[[#This Row],[YOLLUK HARİÇ BASKI GRAMI]]/Tablo5[[#This Row],[KALIP GÖZ ADEDİ]]," ")</f>
        <v>5.5625</v>
      </c>
      <c r="T129" s="100">
        <f t="shared" si="9"/>
        <v>7.2000000000000028</v>
      </c>
      <c r="U129" s="100">
        <v>6</v>
      </c>
      <c r="V129" s="100">
        <f t="shared" si="8"/>
        <v>42.1785</v>
      </c>
      <c r="W129" s="101">
        <f t="shared" si="10"/>
        <v>24.416666666666668</v>
      </c>
      <c r="X129" s="102">
        <f t="shared" si="11"/>
        <v>10.000000000000028</v>
      </c>
      <c r="Y129" s="100">
        <f t="shared" si="12"/>
        <v>8.1300000000000008</v>
      </c>
      <c r="Z129" s="100">
        <f t="shared" si="13"/>
        <v>6504</v>
      </c>
    </row>
    <row r="130" spans="1:26">
      <c r="A130" s="100" t="s">
        <v>34</v>
      </c>
      <c r="B130" s="108" t="str">
        <f>IFERROR(VLOOKUP(Tablo5[[#This Row],[ÜRÜN KODU]],YMKODLARI!$A$1:$K$363,2,0)," ")</f>
        <v>BİBERON KLASİK  UC 1 NO</v>
      </c>
      <c r="C130" s="99">
        <v>44000</v>
      </c>
      <c r="D130" s="100" t="s">
        <v>29</v>
      </c>
      <c r="E130" s="101">
        <v>0.33333333333333331</v>
      </c>
      <c r="F130" s="101">
        <v>0.75</v>
      </c>
      <c r="G130" s="100">
        <f>IFERROR(VLOOKUP(Tablo5[[#This Row],[ÜRÜN KODU]],YMKODLARI!$A$1:$K$363,3,0)," ")</f>
        <v>8</v>
      </c>
      <c r="H130" s="100">
        <f>IFERROR(VLOOKUP(Tablo5[[#This Row],[ÜRÜN KODU]],YMKODLARI!$A$1:$K$363,4,0)," ")</f>
        <v>36</v>
      </c>
      <c r="I130" s="100">
        <v>719</v>
      </c>
      <c r="J130" s="100" t="str">
        <f>IFERROR(VLOOKUP(Tablo5[[#This Row],[ÜRÜN KODU]],YMKODLARI!$A$1:$K$363,9,0)," ")</f>
        <v>Şeffaf</v>
      </c>
      <c r="K130" s="100" t="str">
        <f>IFERROR(VLOOKUP(Tablo5[[#This Row],[BOYA KODU]],Tablo14[#All],4,0)," ")</f>
        <v xml:space="preserve"> </v>
      </c>
      <c r="L130" s="100" t="str">
        <f>IFERROR(VLOOKUP(Tablo5[[#This Row],[BOYA KODU]],Tablo14[#All],6,0)," ")</f>
        <v xml:space="preserve"> </v>
      </c>
      <c r="M130" s="100" t="str">
        <f t="shared" si="7"/>
        <v xml:space="preserve"> </v>
      </c>
      <c r="N130" s="100" t="str">
        <f>IFERROR(VLOOKUP(Tablo5[[#This Row],[ÜRÜN KODU]],YMKODLARI!$A$1:$K$363,8,0)," ")</f>
        <v>HM 003</v>
      </c>
      <c r="O130" s="100" t="str">
        <f>IFERROR(VLOOKUP(Tablo5[[#This Row],[HAMMADDE KODU]],Tablo1[#All],3,0)," ")</f>
        <v>LSR 45</v>
      </c>
      <c r="P130" s="100" t="str">
        <f>IFERROR(VLOOKUP(Tablo5[[#This Row],[HAMMADDE KODU]],Tablo1[#All],4,0)," ")</f>
        <v>SETA</v>
      </c>
      <c r="Q130" s="100">
        <f>IFERROR(VLOOKUP(Tablo5[[#This Row],[ÜRÜN KODU]],YMKODLARI!$A$1:$K$363,5,0)," ")</f>
        <v>51.7</v>
      </c>
      <c r="R130" s="100">
        <f>IFERROR(VLOOKUP(Tablo5[[#This Row],[ÜRÜN KODU]],YMKODLARI!$A$1:$K$363,6,0)," ")</f>
        <v>44.5</v>
      </c>
      <c r="S130" s="100">
        <f>IFERROR(Tablo5[[#This Row],[YOLLUK HARİÇ BASKI GRAMI]]/Tablo5[[#This Row],[KALIP GÖZ ADEDİ]]," ")</f>
        <v>5.5625</v>
      </c>
      <c r="T130" s="100">
        <f t="shared" si="9"/>
        <v>7.2000000000000028</v>
      </c>
      <c r="U130" s="100">
        <v>6</v>
      </c>
      <c r="V130" s="100">
        <f t="shared" si="8"/>
        <v>37.9955</v>
      </c>
      <c r="W130" s="101">
        <f t="shared" si="10"/>
        <v>24.416666666666668</v>
      </c>
      <c r="X130" s="102">
        <f t="shared" si="11"/>
        <v>10.000000000000028</v>
      </c>
      <c r="Y130" s="100">
        <f t="shared" si="12"/>
        <v>7.19</v>
      </c>
      <c r="Z130" s="100">
        <f t="shared" si="13"/>
        <v>5752</v>
      </c>
    </row>
    <row r="131" spans="1:26">
      <c r="A131" s="100" t="s">
        <v>34</v>
      </c>
      <c r="B131" s="108" t="str">
        <f>IFERROR(VLOOKUP(Tablo5[[#This Row],[ÜRÜN KODU]],YMKODLARI!$A$1:$K$363,2,0)," ")</f>
        <v>BİBERON KLASİK  UC 1 NO</v>
      </c>
      <c r="C131" s="99">
        <v>44001</v>
      </c>
      <c r="D131" s="100" t="s">
        <v>29</v>
      </c>
      <c r="E131" s="101">
        <v>0.33333333333333331</v>
      </c>
      <c r="F131" s="101">
        <v>0.75</v>
      </c>
      <c r="G131" s="100">
        <f>IFERROR(VLOOKUP(Tablo5[[#This Row],[ÜRÜN KODU]],YMKODLARI!$A$1:$K$363,3,0)," ")</f>
        <v>8</v>
      </c>
      <c r="H131" s="100">
        <f>IFERROR(VLOOKUP(Tablo5[[#This Row],[ÜRÜN KODU]],YMKODLARI!$A$1:$K$363,4,0)," ")</f>
        <v>36</v>
      </c>
      <c r="I131" s="100">
        <v>774</v>
      </c>
      <c r="J131" s="100" t="str">
        <f>IFERROR(VLOOKUP(Tablo5[[#This Row],[ÜRÜN KODU]],YMKODLARI!$A$1:$K$363,9,0)," ")</f>
        <v>Şeffaf</v>
      </c>
      <c r="K131" s="100" t="str">
        <f>IFERROR(VLOOKUP(Tablo5[[#This Row],[BOYA KODU]],Tablo14[#All],4,0)," ")</f>
        <v xml:space="preserve"> </v>
      </c>
      <c r="L131" s="100" t="str">
        <f>IFERROR(VLOOKUP(Tablo5[[#This Row],[BOYA KODU]],Tablo14[#All],6,0)," ")</f>
        <v xml:space="preserve"> </v>
      </c>
      <c r="M131" s="100" t="str">
        <f t="shared" ref="M131:M194" si="14">IFERROR((I131*Q131)*L131," ")</f>
        <v xml:space="preserve"> </v>
      </c>
      <c r="N131" s="100" t="str">
        <f>IFERROR(VLOOKUP(Tablo5[[#This Row],[ÜRÜN KODU]],YMKODLARI!$A$1:$K$363,8,0)," ")</f>
        <v>HM 003</v>
      </c>
      <c r="O131" s="100" t="str">
        <f>IFERROR(VLOOKUP(Tablo5[[#This Row],[HAMMADDE KODU]],Tablo1[#All],3,0)," ")</f>
        <v>LSR 45</v>
      </c>
      <c r="P131" s="100" t="str">
        <f>IFERROR(VLOOKUP(Tablo5[[#This Row],[HAMMADDE KODU]],Tablo1[#All],4,0)," ")</f>
        <v>SETA</v>
      </c>
      <c r="Q131" s="100">
        <f>IFERROR(VLOOKUP(Tablo5[[#This Row],[ÜRÜN KODU]],YMKODLARI!$A$1:$K$363,5,0)," ")</f>
        <v>51.7</v>
      </c>
      <c r="R131" s="100">
        <f>IFERROR(VLOOKUP(Tablo5[[#This Row],[ÜRÜN KODU]],YMKODLARI!$A$1:$K$363,6,0)," ")</f>
        <v>44.5</v>
      </c>
      <c r="S131" s="100">
        <f>IFERROR(Tablo5[[#This Row],[YOLLUK HARİÇ BASKI GRAMI]]/Tablo5[[#This Row],[KALIP GÖZ ADEDİ]]," ")</f>
        <v>5.5625</v>
      </c>
      <c r="T131" s="100">
        <f t="shared" si="9"/>
        <v>7.2000000000000028</v>
      </c>
      <c r="U131" s="100">
        <v>6</v>
      </c>
      <c r="V131" s="100">
        <f t="shared" ref="V131:V194" si="15">IFERROR(U131+(R131*I131) /1000," ")</f>
        <v>40.442999999999998</v>
      </c>
      <c r="W131" s="101">
        <f t="shared" si="10"/>
        <v>24.416666666666668</v>
      </c>
      <c r="X131" s="102">
        <f t="shared" si="11"/>
        <v>10.000000000000028</v>
      </c>
      <c r="Y131" s="100">
        <f t="shared" si="12"/>
        <v>7.74</v>
      </c>
      <c r="Z131" s="100">
        <f t="shared" si="13"/>
        <v>6192</v>
      </c>
    </row>
    <row r="132" spans="1:26">
      <c r="A132" s="100" t="s">
        <v>34</v>
      </c>
      <c r="B132" s="108" t="str">
        <f>IFERROR(VLOOKUP(Tablo5[[#This Row],[ÜRÜN KODU]],YMKODLARI!$A$1:$K$363,2,0)," ")</f>
        <v>BİBERON KLASİK  UC 1 NO</v>
      </c>
      <c r="C132" s="99">
        <v>44004</v>
      </c>
      <c r="D132" s="100" t="s">
        <v>29</v>
      </c>
      <c r="E132" s="101">
        <v>0.33333333333333331</v>
      </c>
      <c r="F132" s="101">
        <v>0.75</v>
      </c>
      <c r="G132" s="100">
        <f>IFERROR(VLOOKUP(Tablo5[[#This Row],[ÜRÜN KODU]],YMKODLARI!$A$1:$K$363,3,0)," ")</f>
        <v>8</v>
      </c>
      <c r="H132" s="100">
        <f>IFERROR(VLOOKUP(Tablo5[[#This Row],[ÜRÜN KODU]],YMKODLARI!$A$1:$K$363,4,0)," ")</f>
        <v>36</v>
      </c>
      <c r="I132" s="100">
        <v>841</v>
      </c>
      <c r="J132" s="100" t="str">
        <f>IFERROR(VLOOKUP(Tablo5[[#This Row],[ÜRÜN KODU]],YMKODLARI!$A$1:$K$363,9,0)," ")</f>
        <v>Şeffaf</v>
      </c>
      <c r="K132" s="100" t="str">
        <f>IFERROR(VLOOKUP(Tablo5[[#This Row],[BOYA KODU]],Tablo14[#All],4,0)," ")</f>
        <v xml:space="preserve"> </v>
      </c>
      <c r="L132" s="100" t="str">
        <f>IFERROR(VLOOKUP(Tablo5[[#This Row],[BOYA KODU]],Tablo14[#All],6,0)," ")</f>
        <v xml:space="preserve"> </v>
      </c>
      <c r="M132" s="100" t="str">
        <f t="shared" si="14"/>
        <v xml:space="preserve"> </v>
      </c>
      <c r="N132" s="100" t="str">
        <f>IFERROR(VLOOKUP(Tablo5[[#This Row],[ÜRÜN KODU]],YMKODLARI!$A$1:$K$363,8,0)," ")</f>
        <v>HM 003</v>
      </c>
      <c r="O132" s="100" t="str">
        <f>IFERROR(VLOOKUP(Tablo5[[#This Row],[HAMMADDE KODU]],Tablo1[#All],3,0)," ")</f>
        <v>LSR 45</v>
      </c>
      <c r="P132" s="100" t="str">
        <f>IFERROR(VLOOKUP(Tablo5[[#This Row],[HAMMADDE KODU]],Tablo1[#All],4,0)," ")</f>
        <v>SETA</v>
      </c>
      <c r="Q132" s="100">
        <f>IFERROR(VLOOKUP(Tablo5[[#This Row],[ÜRÜN KODU]],YMKODLARI!$A$1:$K$363,5,0)," ")</f>
        <v>51.7</v>
      </c>
      <c r="R132" s="100">
        <f>IFERROR(VLOOKUP(Tablo5[[#This Row],[ÜRÜN KODU]],YMKODLARI!$A$1:$K$363,6,0)," ")</f>
        <v>44.5</v>
      </c>
      <c r="S132" s="100">
        <f>IFERROR(Tablo5[[#This Row],[YOLLUK HARİÇ BASKI GRAMI]]/Tablo5[[#This Row],[KALIP GÖZ ADEDİ]]," ")</f>
        <v>5.5625</v>
      </c>
      <c r="T132" s="100">
        <f t="shared" ref="T132:T195" si="16">IFERROR(Q132-R132," ")</f>
        <v>7.2000000000000028</v>
      </c>
      <c r="U132" s="100">
        <v>6.3</v>
      </c>
      <c r="V132" s="100">
        <f t="shared" si="15"/>
        <v>43.724499999999999</v>
      </c>
      <c r="W132" s="101">
        <f t="shared" ref="W132:W195" si="17">IFERROR(24-(E132-F132)," ")</f>
        <v>24.416666666666668</v>
      </c>
      <c r="X132" s="102">
        <f t="shared" ref="X132:X195" si="18">IFERROR((W132-INT(W132))*24," ")</f>
        <v>10.000000000000028</v>
      </c>
      <c r="Y132" s="100">
        <f t="shared" ref="Y132:Y195" si="19">IFERROR(H132*I132/3600," ")</f>
        <v>8.41</v>
      </c>
      <c r="Z132" s="100">
        <f t="shared" ref="Z132:Z195" si="20">IFERROR(I132*G132," " )</f>
        <v>6728</v>
      </c>
    </row>
    <row r="133" spans="1:26">
      <c r="A133" s="100" t="s">
        <v>34</v>
      </c>
      <c r="B133" s="108" t="str">
        <f>IFERROR(VLOOKUP(Tablo5[[#This Row],[ÜRÜN KODU]],YMKODLARI!$A$1:$K$363,2,0)," ")</f>
        <v>BİBERON KLASİK  UC 1 NO</v>
      </c>
      <c r="C133" s="99">
        <v>44005</v>
      </c>
      <c r="D133" s="100" t="s">
        <v>29</v>
      </c>
      <c r="E133" s="101">
        <v>0.33333333333333331</v>
      </c>
      <c r="F133" s="101">
        <v>0.75</v>
      </c>
      <c r="G133" s="100">
        <f>IFERROR(VLOOKUP(Tablo5[[#This Row],[ÜRÜN KODU]],YMKODLARI!$A$1:$K$363,3,0)," ")</f>
        <v>8</v>
      </c>
      <c r="H133" s="100">
        <f>IFERROR(VLOOKUP(Tablo5[[#This Row],[ÜRÜN KODU]],YMKODLARI!$A$1:$K$363,4,0)," ")</f>
        <v>36</v>
      </c>
      <c r="I133" s="100">
        <v>656</v>
      </c>
      <c r="J133" s="100" t="str">
        <f>IFERROR(VLOOKUP(Tablo5[[#This Row],[ÜRÜN KODU]],YMKODLARI!$A$1:$K$363,9,0)," ")</f>
        <v>Şeffaf</v>
      </c>
      <c r="K133" s="100" t="str">
        <f>IFERROR(VLOOKUP(Tablo5[[#This Row],[BOYA KODU]],Tablo14[#All],4,0)," ")</f>
        <v xml:space="preserve"> </v>
      </c>
      <c r="L133" s="100" t="str">
        <f>IFERROR(VLOOKUP(Tablo5[[#This Row],[BOYA KODU]],Tablo14[#All],6,0)," ")</f>
        <v xml:space="preserve"> </v>
      </c>
      <c r="M133" s="100" t="str">
        <f t="shared" si="14"/>
        <v xml:space="preserve"> </v>
      </c>
      <c r="N133" s="100" t="str">
        <f>IFERROR(VLOOKUP(Tablo5[[#This Row],[ÜRÜN KODU]],YMKODLARI!$A$1:$K$363,8,0)," ")</f>
        <v>HM 003</v>
      </c>
      <c r="O133" s="100" t="str">
        <f>IFERROR(VLOOKUP(Tablo5[[#This Row],[HAMMADDE KODU]],Tablo1[#All],3,0)," ")</f>
        <v>LSR 45</v>
      </c>
      <c r="P133" s="100" t="str">
        <f>IFERROR(VLOOKUP(Tablo5[[#This Row],[HAMMADDE KODU]],Tablo1[#All],4,0)," ")</f>
        <v>SETA</v>
      </c>
      <c r="Q133" s="100">
        <f>IFERROR(VLOOKUP(Tablo5[[#This Row],[ÜRÜN KODU]],YMKODLARI!$A$1:$K$363,5,0)," ")</f>
        <v>51.7</v>
      </c>
      <c r="R133" s="100">
        <f>IFERROR(VLOOKUP(Tablo5[[#This Row],[ÜRÜN KODU]],YMKODLARI!$A$1:$K$363,6,0)," ")</f>
        <v>44.5</v>
      </c>
      <c r="S133" s="100">
        <f>IFERROR(Tablo5[[#This Row],[YOLLUK HARİÇ BASKI GRAMI]]/Tablo5[[#This Row],[KALIP GÖZ ADEDİ]]," ")</f>
        <v>5.5625</v>
      </c>
      <c r="T133" s="100">
        <f t="shared" si="16"/>
        <v>7.2000000000000028</v>
      </c>
      <c r="U133" s="100">
        <v>5</v>
      </c>
      <c r="V133" s="100">
        <f t="shared" si="15"/>
        <v>34.192</v>
      </c>
      <c r="W133" s="101">
        <f t="shared" si="17"/>
        <v>24.416666666666668</v>
      </c>
      <c r="X133" s="102">
        <f t="shared" si="18"/>
        <v>10.000000000000028</v>
      </c>
      <c r="Y133" s="100">
        <f t="shared" si="19"/>
        <v>6.56</v>
      </c>
      <c r="Z133" s="100">
        <f t="shared" si="20"/>
        <v>5248</v>
      </c>
    </row>
    <row r="134" spans="1:26">
      <c r="A134" s="100" t="s">
        <v>34</v>
      </c>
      <c r="B134" s="108" t="str">
        <f>IFERROR(VLOOKUP(Tablo5[[#This Row],[ÜRÜN KODU]],YMKODLARI!$A$1:$K$363,2,0)," ")</f>
        <v>BİBERON KLASİK  UC 1 NO</v>
      </c>
      <c r="C134" s="99">
        <v>44006</v>
      </c>
      <c r="D134" s="100" t="s">
        <v>29</v>
      </c>
      <c r="E134" s="101">
        <v>0.33333333333333331</v>
      </c>
      <c r="F134" s="101">
        <v>0.75</v>
      </c>
      <c r="G134" s="100">
        <f>IFERROR(VLOOKUP(Tablo5[[#This Row],[ÜRÜN KODU]],YMKODLARI!$A$1:$K$363,3,0)," ")</f>
        <v>8</v>
      </c>
      <c r="H134" s="100">
        <f>IFERROR(VLOOKUP(Tablo5[[#This Row],[ÜRÜN KODU]],YMKODLARI!$A$1:$K$363,4,0)," ")</f>
        <v>36</v>
      </c>
      <c r="I134" s="100">
        <v>834</v>
      </c>
      <c r="J134" s="100" t="str">
        <f>IFERROR(VLOOKUP(Tablo5[[#This Row],[ÜRÜN KODU]],YMKODLARI!$A$1:$K$363,9,0)," ")</f>
        <v>Şeffaf</v>
      </c>
      <c r="K134" s="100" t="str">
        <f>IFERROR(VLOOKUP(Tablo5[[#This Row],[BOYA KODU]],Tablo14[#All],4,0)," ")</f>
        <v xml:space="preserve"> </v>
      </c>
      <c r="L134" s="100" t="str">
        <f>IFERROR(VLOOKUP(Tablo5[[#This Row],[BOYA KODU]],Tablo14[#All],6,0)," ")</f>
        <v xml:space="preserve"> </v>
      </c>
      <c r="M134" s="100" t="str">
        <f t="shared" si="14"/>
        <v xml:space="preserve"> </v>
      </c>
      <c r="N134" s="100" t="str">
        <f>IFERROR(VLOOKUP(Tablo5[[#This Row],[ÜRÜN KODU]],YMKODLARI!$A$1:$K$363,8,0)," ")</f>
        <v>HM 003</v>
      </c>
      <c r="O134" s="100" t="str">
        <f>IFERROR(VLOOKUP(Tablo5[[#This Row],[HAMMADDE KODU]],Tablo1[#All],3,0)," ")</f>
        <v>LSR 45</v>
      </c>
      <c r="P134" s="100" t="str">
        <f>IFERROR(VLOOKUP(Tablo5[[#This Row],[HAMMADDE KODU]],Tablo1[#All],4,0)," ")</f>
        <v>SETA</v>
      </c>
      <c r="Q134" s="100">
        <f>IFERROR(VLOOKUP(Tablo5[[#This Row],[ÜRÜN KODU]],YMKODLARI!$A$1:$K$363,5,0)," ")</f>
        <v>51.7</v>
      </c>
      <c r="R134" s="100">
        <f>IFERROR(VLOOKUP(Tablo5[[#This Row],[ÜRÜN KODU]],YMKODLARI!$A$1:$K$363,6,0)," ")</f>
        <v>44.5</v>
      </c>
      <c r="S134" s="100">
        <f>IFERROR(Tablo5[[#This Row],[YOLLUK HARİÇ BASKI GRAMI]]/Tablo5[[#This Row],[KALIP GÖZ ADEDİ]]," ")</f>
        <v>5.5625</v>
      </c>
      <c r="T134" s="100">
        <f t="shared" si="16"/>
        <v>7.2000000000000028</v>
      </c>
      <c r="U134" s="100">
        <v>7</v>
      </c>
      <c r="V134" s="100">
        <f t="shared" si="15"/>
        <v>44.113</v>
      </c>
      <c r="W134" s="101">
        <f t="shared" si="17"/>
        <v>24.416666666666668</v>
      </c>
      <c r="X134" s="102">
        <f t="shared" si="18"/>
        <v>10.000000000000028</v>
      </c>
      <c r="Y134" s="100">
        <f t="shared" si="19"/>
        <v>8.34</v>
      </c>
      <c r="Z134" s="100">
        <f t="shared" si="20"/>
        <v>6672</v>
      </c>
    </row>
    <row r="135" spans="1:26">
      <c r="A135" s="100" t="s">
        <v>34</v>
      </c>
      <c r="B135" s="108" t="str">
        <f>IFERROR(VLOOKUP(Tablo5[[#This Row],[ÜRÜN KODU]],YMKODLARI!$A$1:$K$363,2,0)," ")</f>
        <v>BİBERON KLASİK  UC 1 NO</v>
      </c>
      <c r="C135" s="99">
        <v>44007</v>
      </c>
      <c r="D135" s="100" t="s">
        <v>29</v>
      </c>
      <c r="E135" s="101">
        <v>0.33333333333333331</v>
      </c>
      <c r="F135" s="101">
        <v>0.75</v>
      </c>
      <c r="G135" s="100">
        <f>IFERROR(VLOOKUP(Tablo5[[#This Row],[ÜRÜN KODU]],YMKODLARI!$A$1:$K$363,3,0)," ")</f>
        <v>8</v>
      </c>
      <c r="H135" s="100">
        <f>IFERROR(VLOOKUP(Tablo5[[#This Row],[ÜRÜN KODU]],YMKODLARI!$A$1:$K$363,4,0)," ")</f>
        <v>36</v>
      </c>
      <c r="I135" s="100">
        <v>838</v>
      </c>
      <c r="J135" s="100" t="str">
        <f>IFERROR(VLOOKUP(Tablo5[[#This Row],[ÜRÜN KODU]],YMKODLARI!$A$1:$K$363,9,0)," ")</f>
        <v>Şeffaf</v>
      </c>
      <c r="K135" s="100" t="str">
        <f>IFERROR(VLOOKUP(Tablo5[[#This Row],[BOYA KODU]],Tablo14[#All],4,0)," ")</f>
        <v xml:space="preserve"> </v>
      </c>
      <c r="L135" s="100" t="str">
        <f>IFERROR(VLOOKUP(Tablo5[[#This Row],[BOYA KODU]],Tablo14[#All],6,0)," ")</f>
        <v xml:space="preserve"> </v>
      </c>
      <c r="M135" s="100" t="str">
        <f t="shared" si="14"/>
        <v xml:space="preserve"> </v>
      </c>
      <c r="N135" s="100" t="str">
        <f>IFERROR(VLOOKUP(Tablo5[[#This Row],[ÜRÜN KODU]],YMKODLARI!$A$1:$K$363,8,0)," ")</f>
        <v>HM 003</v>
      </c>
      <c r="O135" s="100" t="str">
        <f>IFERROR(VLOOKUP(Tablo5[[#This Row],[HAMMADDE KODU]],Tablo1[#All],3,0)," ")</f>
        <v>LSR 45</v>
      </c>
      <c r="P135" s="100" t="str">
        <f>IFERROR(VLOOKUP(Tablo5[[#This Row],[HAMMADDE KODU]],Tablo1[#All],4,0)," ")</f>
        <v>SETA</v>
      </c>
      <c r="Q135" s="100">
        <f>IFERROR(VLOOKUP(Tablo5[[#This Row],[ÜRÜN KODU]],YMKODLARI!$A$1:$K$363,5,0)," ")</f>
        <v>51.7</v>
      </c>
      <c r="R135" s="100">
        <f>IFERROR(VLOOKUP(Tablo5[[#This Row],[ÜRÜN KODU]],YMKODLARI!$A$1:$K$363,6,0)," ")</f>
        <v>44.5</v>
      </c>
      <c r="S135" s="100">
        <f>IFERROR(Tablo5[[#This Row],[YOLLUK HARİÇ BASKI GRAMI]]/Tablo5[[#This Row],[KALIP GÖZ ADEDİ]]," ")</f>
        <v>5.5625</v>
      </c>
      <c r="T135" s="100">
        <f t="shared" si="16"/>
        <v>7.2000000000000028</v>
      </c>
      <c r="U135" s="100">
        <v>6</v>
      </c>
      <c r="V135" s="100">
        <f t="shared" si="15"/>
        <v>43.290999999999997</v>
      </c>
      <c r="W135" s="101">
        <f t="shared" si="17"/>
        <v>24.416666666666668</v>
      </c>
      <c r="X135" s="102">
        <f t="shared" si="18"/>
        <v>10.000000000000028</v>
      </c>
      <c r="Y135" s="100">
        <f t="shared" si="19"/>
        <v>8.3800000000000008</v>
      </c>
      <c r="Z135" s="100">
        <f t="shared" si="20"/>
        <v>6704</v>
      </c>
    </row>
    <row r="136" spans="1:26">
      <c r="A136" s="100" t="s">
        <v>34</v>
      </c>
      <c r="B136" s="108" t="str">
        <f>IFERROR(VLOOKUP(Tablo5[[#This Row],[ÜRÜN KODU]],YMKODLARI!$A$1:$K$363,2,0)," ")</f>
        <v>BİBERON KLASİK  UC 1 NO</v>
      </c>
      <c r="C136" s="99">
        <v>44008</v>
      </c>
      <c r="D136" s="100" t="s">
        <v>29</v>
      </c>
      <c r="E136" s="101">
        <v>0.33333333333333331</v>
      </c>
      <c r="F136" s="101">
        <v>0.75</v>
      </c>
      <c r="G136" s="100">
        <f>IFERROR(VLOOKUP(Tablo5[[#This Row],[ÜRÜN KODU]],YMKODLARI!$A$1:$K$363,3,0)," ")</f>
        <v>8</v>
      </c>
      <c r="H136" s="100">
        <f>IFERROR(VLOOKUP(Tablo5[[#This Row],[ÜRÜN KODU]],YMKODLARI!$A$1:$K$363,4,0)," ")</f>
        <v>36</v>
      </c>
      <c r="I136" s="100">
        <v>711</v>
      </c>
      <c r="J136" s="100" t="str">
        <f>IFERROR(VLOOKUP(Tablo5[[#This Row],[ÜRÜN KODU]],YMKODLARI!$A$1:$K$363,9,0)," ")</f>
        <v>Şeffaf</v>
      </c>
      <c r="K136" s="100" t="str">
        <f>IFERROR(VLOOKUP(Tablo5[[#This Row],[BOYA KODU]],Tablo14[#All],4,0)," ")</f>
        <v xml:space="preserve"> </v>
      </c>
      <c r="L136" s="100" t="str">
        <f>IFERROR(VLOOKUP(Tablo5[[#This Row],[BOYA KODU]],Tablo14[#All],6,0)," ")</f>
        <v xml:space="preserve"> </v>
      </c>
      <c r="M136" s="100" t="str">
        <f t="shared" si="14"/>
        <v xml:space="preserve"> </v>
      </c>
      <c r="N136" s="100" t="str">
        <f>IFERROR(VLOOKUP(Tablo5[[#This Row],[ÜRÜN KODU]],YMKODLARI!$A$1:$K$363,8,0)," ")</f>
        <v>HM 003</v>
      </c>
      <c r="O136" s="100" t="str">
        <f>IFERROR(VLOOKUP(Tablo5[[#This Row],[HAMMADDE KODU]],Tablo1[#All],3,0)," ")</f>
        <v>LSR 45</v>
      </c>
      <c r="P136" s="100" t="str">
        <f>IFERROR(VLOOKUP(Tablo5[[#This Row],[HAMMADDE KODU]],Tablo1[#All],4,0)," ")</f>
        <v>SETA</v>
      </c>
      <c r="Q136" s="100">
        <f>IFERROR(VLOOKUP(Tablo5[[#This Row],[ÜRÜN KODU]],YMKODLARI!$A$1:$K$363,5,0)," ")</f>
        <v>51.7</v>
      </c>
      <c r="R136" s="100">
        <f>IFERROR(VLOOKUP(Tablo5[[#This Row],[ÜRÜN KODU]],YMKODLARI!$A$1:$K$363,6,0)," ")</f>
        <v>44.5</v>
      </c>
      <c r="S136" s="100">
        <f>IFERROR(Tablo5[[#This Row],[YOLLUK HARİÇ BASKI GRAMI]]/Tablo5[[#This Row],[KALIP GÖZ ADEDİ]]," ")</f>
        <v>5.5625</v>
      </c>
      <c r="T136" s="100">
        <f t="shared" si="16"/>
        <v>7.2000000000000028</v>
      </c>
      <c r="U136" s="100">
        <v>6.5</v>
      </c>
      <c r="V136" s="100">
        <f t="shared" si="15"/>
        <v>38.139499999999998</v>
      </c>
      <c r="W136" s="101">
        <f t="shared" si="17"/>
        <v>24.416666666666668</v>
      </c>
      <c r="X136" s="102">
        <f t="shared" si="18"/>
        <v>10.000000000000028</v>
      </c>
      <c r="Y136" s="100">
        <f t="shared" si="19"/>
        <v>7.11</v>
      </c>
      <c r="Z136" s="100">
        <f t="shared" si="20"/>
        <v>5688</v>
      </c>
    </row>
    <row r="137" spans="1:26">
      <c r="A137" s="100" t="s">
        <v>34</v>
      </c>
      <c r="B137" s="108" t="str">
        <f>IFERROR(VLOOKUP(Tablo5[[#This Row],[ÜRÜN KODU]],YMKODLARI!$A$1:$K$363,2,0)," ")</f>
        <v>BİBERON KLASİK  UC 1 NO</v>
      </c>
      <c r="C137" s="99">
        <v>44011</v>
      </c>
      <c r="D137" s="100" t="s">
        <v>29</v>
      </c>
      <c r="E137" s="101">
        <v>0.33333333333333331</v>
      </c>
      <c r="F137" s="101">
        <v>0.75</v>
      </c>
      <c r="G137" s="100">
        <f>IFERROR(VLOOKUP(Tablo5[[#This Row],[ÜRÜN KODU]],YMKODLARI!$A$1:$K$363,3,0)," ")</f>
        <v>8</v>
      </c>
      <c r="H137" s="100">
        <f>IFERROR(VLOOKUP(Tablo5[[#This Row],[ÜRÜN KODU]],YMKODLARI!$A$1:$K$363,4,0)," ")</f>
        <v>36</v>
      </c>
      <c r="I137" s="100">
        <v>786</v>
      </c>
      <c r="J137" s="100" t="str">
        <f>IFERROR(VLOOKUP(Tablo5[[#This Row],[ÜRÜN KODU]],YMKODLARI!$A$1:$K$363,9,0)," ")</f>
        <v>Şeffaf</v>
      </c>
      <c r="K137" s="100" t="str">
        <f>IFERROR(VLOOKUP(Tablo5[[#This Row],[BOYA KODU]],Tablo14[#All],4,0)," ")</f>
        <v xml:space="preserve"> </v>
      </c>
      <c r="L137" s="100" t="str">
        <f>IFERROR(VLOOKUP(Tablo5[[#This Row],[BOYA KODU]],Tablo14[#All],6,0)," ")</f>
        <v xml:space="preserve"> </v>
      </c>
      <c r="M137" s="100" t="str">
        <f t="shared" si="14"/>
        <v xml:space="preserve"> </v>
      </c>
      <c r="N137" s="100" t="str">
        <f>IFERROR(VLOOKUP(Tablo5[[#This Row],[ÜRÜN KODU]],YMKODLARI!$A$1:$K$363,8,0)," ")</f>
        <v>HM 003</v>
      </c>
      <c r="O137" s="100" t="str">
        <f>IFERROR(VLOOKUP(Tablo5[[#This Row],[HAMMADDE KODU]],Tablo1[#All],3,0)," ")</f>
        <v>LSR 45</v>
      </c>
      <c r="P137" s="100" t="str">
        <f>IFERROR(VLOOKUP(Tablo5[[#This Row],[HAMMADDE KODU]],Tablo1[#All],4,0)," ")</f>
        <v>SETA</v>
      </c>
      <c r="Q137" s="100">
        <f>IFERROR(VLOOKUP(Tablo5[[#This Row],[ÜRÜN KODU]],YMKODLARI!$A$1:$K$363,5,0)," ")</f>
        <v>51.7</v>
      </c>
      <c r="R137" s="100">
        <f>IFERROR(VLOOKUP(Tablo5[[#This Row],[ÜRÜN KODU]],YMKODLARI!$A$1:$K$363,6,0)," ")</f>
        <v>44.5</v>
      </c>
      <c r="S137" s="100">
        <f>IFERROR(Tablo5[[#This Row],[YOLLUK HARİÇ BASKI GRAMI]]/Tablo5[[#This Row],[KALIP GÖZ ADEDİ]]," ")</f>
        <v>5.5625</v>
      </c>
      <c r="T137" s="100">
        <f t="shared" si="16"/>
        <v>7.2000000000000028</v>
      </c>
      <c r="U137" s="100">
        <v>5</v>
      </c>
      <c r="V137" s="100">
        <f t="shared" si="15"/>
        <v>39.976999999999997</v>
      </c>
      <c r="W137" s="101">
        <f t="shared" si="17"/>
        <v>24.416666666666668</v>
      </c>
      <c r="X137" s="102">
        <f t="shared" si="18"/>
        <v>10.000000000000028</v>
      </c>
      <c r="Y137" s="100">
        <f t="shared" si="19"/>
        <v>7.86</v>
      </c>
      <c r="Z137" s="100">
        <f t="shared" si="20"/>
        <v>6288</v>
      </c>
    </row>
    <row r="138" spans="1:26">
      <c r="A138" s="100" t="s">
        <v>34</v>
      </c>
      <c r="B138" s="108" t="str">
        <f>IFERROR(VLOOKUP(Tablo5[[#This Row],[ÜRÜN KODU]],YMKODLARI!$A$1:$K$363,2,0)," ")</f>
        <v>BİBERON KLASİK  UC 1 NO</v>
      </c>
      <c r="C138" s="99">
        <v>44012</v>
      </c>
      <c r="D138" s="100" t="s">
        <v>29</v>
      </c>
      <c r="E138" s="101">
        <v>0.33333333333333331</v>
      </c>
      <c r="F138" s="101">
        <v>0.40069444444444446</v>
      </c>
      <c r="G138" s="100">
        <f>IFERROR(VLOOKUP(Tablo5[[#This Row],[ÜRÜN KODU]],YMKODLARI!$A$1:$K$363,3,0)," ")</f>
        <v>8</v>
      </c>
      <c r="H138" s="100">
        <f>IFERROR(VLOOKUP(Tablo5[[#This Row],[ÜRÜN KODU]],YMKODLARI!$A$1:$K$363,4,0)," ")</f>
        <v>36</v>
      </c>
      <c r="I138" s="100">
        <v>132</v>
      </c>
      <c r="J138" s="100" t="str">
        <f>IFERROR(VLOOKUP(Tablo5[[#This Row],[ÜRÜN KODU]],YMKODLARI!$A$1:$K$363,9,0)," ")</f>
        <v>Şeffaf</v>
      </c>
      <c r="K138" s="100" t="str">
        <f>IFERROR(VLOOKUP(Tablo5[[#This Row],[BOYA KODU]],Tablo14[#All],4,0)," ")</f>
        <v xml:space="preserve"> </v>
      </c>
      <c r="L138" s="100" t="str">
        <f>IFERROR(VLOOKUP(Tablo5[[#This Row],[BOYA KODU]],Tablo14[#All],6,0)," ")</f>
        <v xml:space="preserve"> </v>
      </c>
      <c r="M138" s="100" t="str">
        <f t="shared" si="14"/>
        <v xml:space="preserve"> </v>
      </c>
      <c r="N138" s="100" t="str">
        <f>IFERROR(VLOOKUP(Tablo5[[#This Row],[ÜRÜN KODU]],YMKODLARI!$A$1:$K$363,8,0)," ")</f>
        <v>HM 003</v>
      </c>
      <c r="O138" s="100" t="str">
        <f>IFERROR(VLOOKUP(Tablo5[[#This Row],[HAMMADDE KODU]],Tablo1[#All],3,0)," ")</f>
        <v>LSR 45</v>
      </c>
      <c r="P138" s="100" t="str">
        <f>IFERROR(VLOOKUP(Tablo5[[#This Row],[HAMMADDE KODU]],Tablo1[#All],4,0)," ")</f>
        <v>SETA</v>
      </c>
      <c r="Q138" s="100">
        <f>IFERROR(VLOOKUP(Tablo5[[#This Row],[ÜRÜN KODU]],YMKODLARI!$A$1:$K$363,5,0)," ")</f>
        <v>51.7</v>
      </c>
      <c r="R138" s="100">
        <f>IFERROR(VLOOKUP(Tablo5[[#This Row],[ÜRÜN KODU]],YMKODLARI!$A$1:$K$363,6,0)," ")</f>
        <v>44.5</v>
      </c>
      <c r="S138" s="100">
        <f>IFERROR(Tablo5[[#This Row],[YOLLUK HARİÇ BASKI GRAMI]]/Tablo5[[#This Row],[KALIP GÖZ ADEDİ]]," ")</f>
        <v>5.5625</v>
      </c>
      <c r="T138" s="100">
        <f t="shared" si="16"/>
        <v>7.2000000000000028</v>
      </c>
      <c r="U138" s="100">
        <v>1.8</v>
      </c>
      <c r="V138" s="100">
        <f t="shared" si="15"/>
        <v>7.6739999999999995</v>
      </c>
      <c r="W138" s="101">
        <f t="shared" si="17"/>
        <v>24.067361111111111</v>
      </c>
      <c r="X138" s="102">
        <f t="shared" si="18"/>
        <v>1.6166666666666742</v>
      </c>
      <c r="Y138" s="100">
        <f t="shared" si="19"/>
        <v>1.32</v>
      </c>
      <c r="Z138" s="100">
        <f t="shared" si="20"/>
        <v>1056</v>
      </c>
    </row>
    <row r="139" spans="1:26">
      <c r="A139" s="100" t="s">
        <v>26</v>
      </c>
      <c r="B139" s="108" t="str">
        <f>IFERROR(VLOOKUP(Tablo5[[#This Row],[ÜRÜN KODU]],YMKODLARI!$A$1:$K$363,2,0)," ")</f>
        <v>DAMAK EMZİK UCU 1 NO</v>
      </c>
      <c r="C139" s="99">
        <v>44012</v>
      </c>
      <c r="D139" s="100" t="s">
        <v>29</v>
      </c>
      <c r="E139" s="101">
        <v>0.67361111111111116</v>
      </c>
      <c r="F139" s="101">
        <v>0.75</v>
      </c>
      <c r="G139" s="100">
        <f>IFERROR(VLOOKUP(Tablo5[[#This Row],[ÜRÜN KODU]],YMKODLARI!$A$1:$K$363,3,0)," ")</f>
        <v>8</v>
      </c>
      <c r="H139" s="100">
        <f>IFERROR(VLOOKUP(Tablo5[[#This Row],[ÜRÜN KODU]],YMKODLARI!$A$1:$K$363,4,0)," ")</f>
        <v>30</v>
      </c>
      <c r="I139" s="100">
        <v>206</v>
      </c>
      <c r="J139" s="100" t="str">
        <f>IFERROR(VLOOKUP(Tablo5[[#This Row],[ÜRÜN KODU]],YMKODLARI!$A$1:$K$363,9,0)," ")</f>
        <v>Şeffaf</v>
      </c>
      <c r="K139" s="100" t="str">
        <f>IFERROR(VLOOKUP(Tablo5[[#This Row],[BOYA KODU]],Tablo14[#All],4,0)," ")</f>
        <v xml:space="preserve"> </v>
      </c>
      <c r="L139" s="100" t="str">
        <f>IFERROR(VLOOKUP(Tablo5[[#This Row],[BOYA KODU]],Tablo14[#All],6,0)," ")</f>
        <v xml:space="preserve"> </v>
      </c>
      <c r="M139" s="100" t="str">
        <f t="shared" si="14"/>
        <v xml:space="preserve"> </v>
      </c>
      <c r="N139" s="100" t="s">
        <v>38</v>
      </c>
      <c r="O139" s="100" t="str">
        <f>IFERROR(VLOOKUP(Tablo5[[#This Row],[HAMMADDE KODU]],Tablo1[#All],3,0)," ")</f>
        <v>LSR 50</v>
      </c>
      <c r="P139" s="100" t="str">
        <f>IFERROR(VLOOKUP(Tablo5[[#This Row],[HAMMADDE KODU]],Tablo1[#All],4,0)," ")</f>
        <v>KCC</v>
      </c>
      <c r="Q139" s="100">
        <f>IFERROR(VLOOKUP(Tablo5[[#This Row],[ÜRÜN KODU]],YMKODLARI!$A$1:$K$363,5,0)," ")</f>
        <v>20.399999999999999</v>
      </c>
      <c r="R139" s="100">
        <f>IFERROR(VLOOKUP(Tablo5[[#This Row],[ÜRÜN KODU]],YMKODLARI!$A$1:$K$363,6,0)," ")</f>
        <v>14.2</v>
      </c>
      <c r="S139" s="100">
        <f>IFERROR(Tablo5[[#This Row],[YOLLUK HARİÇ BASKI GRAMI]]/Tablo5[[#This Row],[KALIP GÖZ ADEDİ]]," ")</f>
        <v>1.7749999999999999</v>
      </c>
      <c r="T139" s="100">
        <f t="shared" si="16"/>
        <v>6.1999999999999993</v>
      </c>
      <c r="U139" s="100">
        <v>1.6</v>
      </c>
      <c r="V139" s="100">
        <f t="shared" si="15"/>
        <v>4.5251999999999999</v>
      </c>
      <c r="W139" s="101">
        <f t="shared" si="17"/>
        <v>24.076388888888889</v>
      </c>
      <c r="X139" s="102">
        <f t="shared" si="18"/>
        <v>1.8333333333333428</v>
      </c>
      <c r="Y139" s="100">
        <f t="shared" si="19"/>
        <v>1.7166666666666666</v>
      </c>
      <c r="Z139" s="100">
        <f t="shared" si="20"/>
        <v>1648</v>
      </c>
    </row>
    <row r="140" spans="1:26">
      <c r="A140" s="100" t="s">
        <v>26</v>
      </c>
      <c r="B140" s="108" t="str">
        <f>IFERROR(VLOOKUP(Tablo5[[#This Row],[ÜRÜN KODU]],YMKODLARI!$A$1:$K$363,2,0)," ")</f>
        <v>DAMAK EMZİK UCU 1 NO</v>
      </c>
      <c r="C140" s="99">
        <v>44013</v>
      </c>
      <c r="D140" s="100" t="s">
        <v>36</v>
      </c>
      <c r="E140" s="101">
        <v>0.34027777777777773</v>
      </c>
      <c r="F140" s="101">
        <v>0.75</v>
      </c>
      <c r="G140" s="100">
        <f>IFERROR(VLOOKUP(Tablo5[[#This Row],[ÜRÜN KODU]],YMKODLARI!$A$1:$K$363,3,0)," ")</f>
        <v>8</v>
      </c>
      <c r="H140" s="100">
        <f>IFERROR(VLOOKUP(Tablo5[[#This Row],[ÜRÜN KODU]],YMKODLARI!$A$1:$K$363,4,0)," ")</f>
        <v>30</v>
      </c>
      <c r="I140" s="100">
        <v>1120</v>
      </c>
      <c r="J140" s="100" t="str">
        <f>IFERROR(VLOOKUP(Tablo5[[#This Row],[ÜRÜN KODU]],YMKODLARI!$A$1:$K$363,9,0)," ")</f>
        <v>Şeffaf</v>
      </c>
      <c r="K140" s="100" t="str">
        <f>IFERROR(VLOOKUP(Tablo5[[#This Row],[BOYA KODU]],Tablo14[#All],4,0)," ")</f>
        <v xml:space="preserve"> </v>
      </c>
      <c r="L140" s="100" t="str">
        <f>IFERROR(VLOOKUP(Tablo5[[#This Row],[BOYA KODU]],Tablo14[#All],6,0)," ")</f>
        <v xml:space="preserve"> </v>
      </c>
      <c r="M140" s="100" t="str">
        <f t="shared" si="14"/>
        <v xml:space="preserve"> </v>
      </c>
      <c r="N140" s="100" t="s">
        <v>38</v>
      </c>
      <c r="O140" s="100" t="str">
        <f>IFERROR(VLOOKUP(Tablo5[[#This Row],[HAMMADDE KODU]],Tablo1[#All],3,0)," ")</f>
        <v>LSR 50</v>
      </c>
      <c r="P140" s="100" t="str">
        <f>IFERROR(VLOOKUP(Tablo5[[#This Row],[HAMMADDE KODU]],Tablo1[#All],4,0)," ")</f>
        <v>KCC</v>
      </c>
      <c r="Q140" s="100">
        <f>IFERROR(VLOOKUP(Tablo5[[#This Row],[ÜRÜN KODU]],YMKODLARI!$A$1:$K$363,5,0)," ")</f>
        <v>20.399999999999999</v>
      </c>
      <c r="R140" s="100">
        <f>IFERROR(VLOOKUP(Tablo5[[#This Row],[ÜRÜN KODU]],YMKODLARI!$A$1:$K$363,6,0)," ")</f>
        <v>14.2</v>
      </c>
      <c r="S140" s="100">
        <f>IFERROR(Tablo5[[#This Row],[YOLLUK HARİÇ BASKI GRAMI]]/Tablo5[[#This Row],[KALIP GÖZ ADEDİ]]," ")</f>
        <v>1.7749999999999999</v>
      </c>
      <c r="T140" s="100">
        <f t="shared" si="16"/>
        <v>6.1999999999999993</v>
      </c>
      <c r="U140" s="100">
        <v>7</v>
      </c>
      <c r="V140" s="100">
        <f t="shared" si="15"/>
        <v>22.904</v>
      </c>
      <c r="W140" s="101">
        <f t="shared" si="17"/>
        <v>24.409722222222221</v>
      </c>
      <c r="X140" s="102">
        <f t="shared" si="18"/>
        <v>9.8333333333333144</v>
      </c>
      <c r="Y140" s="100">
        <f t="shared" si="19"/>
        <v>9.3333333333333339</v>
      </c>
      <c r="Z140" s="100">
        <f t="shared" si="20"/>
        <v>8960</v>
      </c>
    </row>
    <row r="141" spans="1:26">
      <c r="A141" s="100" t="s">
        <v>26</v>
      </c>
      <c r="B141" s="108" t="str">
        <f>IFERROR(VLOOKUP(Tablo5[[#This Row],[ÜRÜN KODU]],YMKODLARI!$A$1:$K$363,2,0)," ")</f>
        <v>DAMAK EMZİK UCU 1 NO</v>
      </c>
      <c r="C141" s="99">
        <v>44014</v>
      </c>
      <c r="D141" s="100" t="s">
        <v>29</v>
      </c>
      <c r="E141" s="101">
        <v>0.34027777777777773</v>
      </c>
      <c r="F141" s="101">
        <v>0.75</v>
      </c>
      <c r="G141" s="100">
        <f>IFERROR(VLOOKUP(Tablo5[[#This Row],[ÜRÜN KODU]],YMKODLARI!$A$1:$K$363,3,0)," ")</f>
        <v>8</v>
      </c>
      <c r="H141" s="100">
        <f>IFERROR(VLOOKUP(Tablo5[[#This Row],[ÜRÜN KODU]],YMKODLARI!$A$1:$K$363,4,0)," ")</f>
        <v>30</v>
      </c>
      <c r="I141" s="100">
        <v>1030</v>
      </c>
      <c r="J141" s="100" t="str">
        <f>IFERROR(VLOOKUP(Tablo5[[#This Row],[ÜRÜN KODU]],YMKODLARI!$A$1:$K$363,9,0)," ")</f>
        <v>Şeffaf</v>
      </c>
      <c r="K141" s="100" t="str">
        <f>IFERROR(VLOOKUP(Tablo5[[#This Row],[BOYA KODU]],Tablo14[#All],4,0)," ")</f>
        <v xml:space="preserve"> </v>
      </c>
      <c r="L141" s="100" t="str">
        <f>IFERROR(VLOOKUP(Tablo5[[#This Row],[BOYA KODU]],Tablo14[#All],6,0)," ")</f>
        <v xml:space="preserve"> </v>
      </c>
      <c r="M141" s="100" t="str">
        <f t="shared" si="14"/>
        <v xml:space="preserve"> </v>
      </c>
      <c r="N141" s="100" t="s">
        <v>38</v>
      </c>
      <c r="O141" s="100" t="str">
        <f>IFERROR(VLOOKUP(Tablo5[[#This Row],[HAMMADDE KODU]],Tablo1[#All],3,0)," ")</f>
        <v>LSR 50</v>
      </c>
      <c r="P141" s="100" t="str">
        <f>IFERROR(VLOOKUP(Tablo5[[#This Row],[HAMMADDE KODU]],Tablo1[#All],4,0)," ")</f>
        <v>KCC</v>
      </c>
      <c r="Q141" s="100">
        <f>IFERROR(VLOOKUP(Tablo5[[#This Row],[ÜRÜN KODU]],YMKODLARI!$A$1:$K$363,5,0)," ")</f>
        <v>20.399999999999999</v>
      </c>
      <c r="R141" s="100">
        <f>IFERROR(VLOOKUP(Tablo5[[#This Row],[ÜRÜN KODU]],YMKODLARI!$A$1:$K$363,6,0)," ")</f>
        <v>14.2</v>
      </c>
      <c r="S141" s="100">
        <f>IFERROR(Tablo5[[#This Row],[YOLLUK HARİÇ BASKI GRAMI]]/Tablo5[[#This Row],[KALIP GÖZ ADEDİ]]," ")</f>
        <v>1.7749999999999999</v>
      </c>
      <c r="T141" s="100">
        <f t="shared" si="16"/>
        <v>6.1999999999999993</v>
      </c>
      <c r="U141" s="100">
        <v>6.5</v>
      </c>
      <c r="V141" s="100">
        <f t="shared" si="15"/>
        <v>21.125999999999998</v>
      </c>
      <c r="W141" s="101">
        <f t="shared" si="17"/>
        <v>24.409722222222221</v>
      </c>
      <c r="X141" s="102">
        <f t="shared" si="18"/>
        <v>9.8333333333333144</v>
      </c>
      <c r="Y141" s="100">
        <f t="shared" si="19"/>
        <v>8.5833333333333339</v>
      </c>
      <c r="Z141" s="100">
        <f t="shared" si="20"/>
        <v>8240</v>
      </c>
    </row>
    <row r="142" spans="1:26">
      <c r="A142" s="100" t="s">
        <v>26</v>
      </c>
      <c r="B142" s="108" t="str">
        <f>IFERROR(VLOOKUP(Tablo5[[#This Row],[ÜRÜN KODU]],YMKODLARI!$A$1:$K$363,2,0)," ")</f>
        <v>DAMAK EMZİK UCU 1 NO</v>
      </c>
      <c r="C142" s="99">
        <v>44015</v>
      </c>
      <c r="D142" s="100" t="s">
        <v>29</v>
      </c>
      <c r="E142" s="101">
        <v>0.34027777777777773</v>
      </c>
      <c r="F142" s="101">
        <v>0.72916666666666663</v>
      </c>
      <c r="G142" s="100">
        <f>IFERROR(VLOOKUP(Tablo5[[#This Row],[ÜRÜN KODU]],YMKODLARI!$A$1:$K$363,3,0)," ")</f>
        <v>8</v>
      </c>
      <c r="H142" s="100">
        <f>IFERROR(VLOOKUP(Tablo5[[#This Row],[ÜRÜN KODU]],YMKODLARI!$A$1:$K$363,4,0)," ")</f>
        <v>30</v>
      </c>
      <c r="I142" s="100">
        <v>923</v>
      </c>
      <c r="J142" s="100" t="str">
        <f>IFERROR(VLOOKUP(Tablo5[[#This Row],[ÜRÜN KODU]],YMKODLARI!$A$1:$K$363,9,0)," ")</f>
        <v>Şeffaf</v>
      </c>
      <c r="K142" s="100" t="str">
        <f>IFERROR(VLOOKUP(Tablo5[[#This Row],[BOYA KODU]],Tablo14[#All],4,0)," ")</f>
        <v xml:space="preserve"> </v>
      </c>
      <c r="L142" s="100" t="str">
        <f>IFERROR(VLOOKUP(Tablo5[[#This Row],[BOYA KODU]],Tablo14[#All],6,0)," ")</f>
        <v xml:space="preserve"> </v>
      </c>
      <c r="M142" s="100" t="str">
        <f t="shared" si="14"/>
        <v xml:space="preserve"> </v>
      </c>
      <c r="N142" s="100" t="s">
        <v>38</v>
      </c>
      <c r="O142" s="100" t="str">
        <f>IFERROR(VLOOKUP(Tablo5[[#This Row],[HAMMADDE KODU]],Tablo1[#All],3,0)," ")</f>
        <v>LSR 50</v>
      </c>
      <c r="P142" s="100" t="str">
        <f>IFERROR(VLOOKUP(Tablo5[[#This Row],[HAMMADDE KODU]],Tablo1[#All],4,0)," ")</f>
        <v>KCC</v>
      </c>
      <c r="Q142" s="100">
        <f>IFERROR(VLOOKUP(Tablo5[[#This Row],[ÜRÜN KODU]],YMKODLARI!$A$1:$K$363,5,0)," ")</f>
        <v>20.399999999999999</v>
      </c>
      <c r="R142" s="100">
        <f>IFERROR(VLOOKUP(Tablo5[[#This Row],[ÜRÜN KODU]],YMKODLARI!$A$1:$K$363,6,0)," ")</f>
        <v>14.2</v>
      </c>
      <c r="S142" s="100">
        <f>IFERROR(Tablo5[[#This Row],[YOLLUK HARİÇ BASKI GRAMI]]/Tablo5[[#This Row],[KALIP GÖZ ADEDİ]]," ")</f>
        <v>1.7749999999999999</v>
      </c>
      <c r="T142" s="100">
        <f t="shared" si="16"/>
        <v>6.1999999999999993</v>
      </c>
      <c r="U142" s="100">
        <v>6.4</v>
      </c>
      <c r="V142" s="100">
        <f t="shared" si="15"/>
        <v>19.506599999999999</v>
      </c>
      <c r="W142" s="101">
        <f t="shared" si="17"/>
        <v>24.388888888888889</v>
      </c>
      <c r="X142" s="102">
        <f t="shared" si="18"/>
        <v>9.3333333333333428</v>
      </c>
      <c r="Y142" s="100">
        <f t="shared" si="19"/>
        <v>7.6916666666666664</v>
      </c>
      <c r="Z142" s="100">
        <f t="shared" si="20"/>
        <v>7384</v>
      </c>
    </row>
    <row r="143" spans="1:26">
      <c r="A143" s="100" t="s">
        <v>26</v>
      </c>
      <c r="B143" s="108" t="str">
        <f>IFERROR(VLOOKUP(Tablo5[[#This Row],[ÜRÜN KODU]],YMKODLARI!$A$1:$K$363,2,0)," ")</f>
        <v>DAMAK EMZİK UCU 1 NO</v>
      </c>
      <c r="C143" s="99">
        <v>44025</v>
      </c>
      <c r="D143" s="100" t="s">
        <v>36</v>
      </c>
      <c r="E143" s="101">
        <v>0.41666666666666669</v>
      </c>
      <c r="F143" s="101">
        <v>0.75</v>
      </c>
      <c r="G143" s="100">
        <f>IFERROR(VLOOKUP(Tablo5[[#This Row],[ÜRÜN KODU]],YMKODLARI!$A$1:$K$363,3,0)," ")</f>
        <v>8</v>
      </c>
      <c r="H143" s="100">
        <f>IFERROR(VLOOKUP(Tablo5[[#This Row],[ÜRÜN KODU]],YMKODLARI!$A$1:$K$363,4,0)," ")</f>
        <v>30</v>
      </c>
      <c r="I143" s="100">
        <v>828</v>
      </c>
      <c r="J143" s="100" t="str">
        <f>IFERROR(VLOOKUP(Tablo5[[#This Row],[ÜRÜN KODU]],YMKODLARI!$A$1:$K$363,9,0)," ")</f>
        <v>Şeffaf</v>
      </c>
      <c r="K143" s="100" t="str">
        <f>IFERROR(VLOOKUP(Tablo5[[#This Row],[BOYA KODU]],Tablo14[#All],4,0)," ")</f>
        <v xml:space="preserve"> </v>
      </c>
      <c r="L143" s="100" t="str">
        <f>IFERROR(VLOOKUP(Tablo5[[#This Row],[BOYA KODU]],Tablo14[#All],6,0)," ")</f>
        <v xml:space="preserve"> </v>
      </c>
      <c r="M143" s="100" t="str">
        <f t="shared" si="14"/>
        <v xml:space="preserve"> </v>
      </c>
      <c r="N143" s="100" t="s">
        <v>38</v>
      </c>
      <c r="O143" s="100" t="str">
        <f>IFERROR(VLOOKUP(Tablo5[[#This Row],[HAMMADDE KODU]],Tablo1[#All],3,0)," ")</f>
        <v>LSR 50</v>
      </c>
      <c r="P143" s="100" t="str">
        <f>IFERROR(VLOOKUP(Tablo5[[#This Row],[HAMMADDE KODU]],Tablo1[#All],4,0)," ")</f>
        <v>KCC</v>
      </c>
      <c r="Q143" s="100">
        <f>IFERROR(VLOOKUP(Tablo5[[#This Row],[ÜRÜN KODU]],YMKODLARI!$A$1:$K$363,5,0)," ")</f>
        <v>20.399999999999999</v>
      </c>
      <c r="R143" s="100">
        <f>IFERROR(VLOOKUP(Tablo5[[#This Row],[ÜRÜN KODU]],YMKODLARI!$A$1:$K$363,6,0)," ")</f>
        <v>14.2</v>
      </c>
      <c r="S143" s="100">
        <f>IFERROR(Tablo5[[#This Row],[YOLLUK HARİÇ BASKI GRAMI]]/Tablo5[[#This Row],[KALIP GÖZ ADEDİ]]," ")</f>
        <v>1.7749999999999999</v>
      </c>
      <c r="T143" s="100">
        <f t="shared" si="16"/>
        <v>6.1999999999999993</v>
      </c>
      <c r="U143" s="100">
        <v>5</v>
      </c>
      <c r="V143" s="100">
        <f t="shared" si="15"/>
        <v>16.757599999999996</v>
      </c>
      <c r="W143" s="101">
        <f t="shared" si="17"/>
        <v>24.333333333333332</v>
      </c>
      <c r="X143" s="102">
        <f t="shared" si="18"/>
        <v>7.9999999999999716</v>
      </c>
      <c r="Y143" s="100">
        <f t="shared" si="19"/>
        <v>6.9</v>
      </c>
      <c r="Z143" s="100">
        <f t="shared" si="20"/>
        <v>6624</v>
      </c>
    </row>
    <row r="144" spans="1:26">
      <c r="A144" s="100" t="s">
        <v>26</v>
      </c>
      <c r="B144" s="108" t="str">
        <f>IFERROR(VLOOKUP(Tablo5[[#This Row],[ÜRÜN KODU]],YMKODLARI!$A$1:$K$363,2,0)," ")</f>
        <v>DAMAK EMZİK UCU 1 NO</v>
      </c>
      <c r="C144" s="99">
        <v>44026</v>
      </c>
      <c r="D144" s="100" t="s">
        <v>37</v>
      </c>
      <c r="E144" s="101">
        <v>0.33333333333333331</v>
      </c>
      <c r="F144" s="101">
        <v>0.75</v>
      </c>
      <c r="G144" s="100">
        <f>IFERROR(VLOOKUP(Tablo5[[#This Row],[ÜRÜN KODU]],YMKODLARI!$A$1:$K$363,3,0)," ")</f>
        <v>8</v>
      </c>
      <c r="H144" s="100">
        <f>IFERROR(VLOOKUP(Tablo5[[#This Row],[ÜRÜN KODU]],YMKODLARI!$A$1:$K$363,4,0)," ")</f>
        <v>30</v>
      </c>
      <c r="I144" s="100">
        <v>1014</v>
      </c>
      <c r="J144" s="100" t="str">
        <f>IFERROR(VLOOKUP(Tablo5[[#This Row],[ÜRÜN KODU]],YMKODLARI!$A$1:$K$363,9,0)," ")</f>
        <v>Şeffaf</v>
      </c>
      <c r="K144" s="100" t="str">
        <f>IFERROR(VLOOKUP(Tablo5[[#This Row],[BOYA KODU]],Tablo14[#All],4,0)," ")</f>
        <v xml:space="preserve"> </v>
      </c>
      <c r="L144" s="100" t="str">
        <f>IFERROR(VLOOKUP(Tablo5[[#This Row],[BOYA KODU]],Tablo14[#All],6,0)," ")</f>
        <v xml:space="preserve"> </v>
      </c>
      <c r="M144" s="100" t="str">
        <f t="shared" si="14"/>
        <v xml:space="preserve"> </v>
      </c>
      <c r="N144" s="100" t="s">
        <v>38</v>
      </c>
      <c r="O144" s="100" t="str">
        <f>IFERROR(VLOOKUP(Tablo5[[#This Row],[HAMMADDE KODU]],Tablo1[#All],3,0)," ")</f>
        <v>LSR 50</v>
      </c>
      <c r="P144" s="100" t="str">
        <f>IFERROR(VLOOKUP(Tablo5[[#This Row],[HAMMADDE KODU]],Tablo1[#All],4,0)," ")</f>
        <v>KCC</v>
      </c>
      <c r="Q144" s="100">
        <f>IFERROR(VLOOKUP(Tablo5[[#This Row],[ÜRÜN KODU]],YMKODLARI!$A$1:$K$363,5,0)," ")</f>
        <v>20.399999999999999</v>
      </c>
      <c r="R144" s="100">
        <f>IFERROR(VLOOKUP(Tablo5[[#This Row],[ÜRÜN KODU]],YMKODLARI!$A$1:$K$363,6,0)," ")</f>
        <v>14.2</v>
      </c>
      <c r="S144" s="100">
        <f>IFERROR(Tablo5[[#This Row],[YOLLUK HARİÇ BASKI GRAMI]]/Tablo5[[#This Row],[KALIP GÖZ ADEDİ]]," ")</f>
        <v>1.7749999999999999</v>
      </c>
      <c r="T144" s="100">
        <f t="shared" si="16"/>
        <v>6.1999999999999993</v>
      </c>
      <c r="U144" s="100">
        <v>7</v>
      </c>
      <c r="V144" s="100">
        <f t="shared" si="15"/>
        <v>21.398800000000001</v>
      </c>
      <c r="W144" s="101">
        <f t="shared" si="17"/>
        <v>24.416666666666668</v>
      </c>
      <c r="X144" s="102">
        <f t="shared" si="18"/>
        <v>10.000000000000028</v>
      </c>
      <c r="Y144" s="100">
        <f t="shared" si="19"/>
        <v>8.4499999999999993</v>
      </c>
      <c r="Z144" s="100">
        <f t="shared" si="20"/>
        <v>8112</v>
      </c>
    </row>
    <row r="145" spans="1:26">
      <c r="A145" s="100" t="s">
        <v>26</v>
      </c>
      <c r="B145" s="108" t="str">
        <f>IFERROR(VLOOKUP(Tablo5[[#This Row],[ÜRÜN KODU]],YMKODLARI!$A$1:$K$363,2,0)," ")</f>
        <v>DAMAK EMZİK UCU 1 NO</v>
      </c>
      <c r="C145" s="99">
        <v>44028</v>
      </c>
      <c r="D145" s="100" t="s">
        <v>36</v>
      </c>
      <c r="E145" s="101">
        <v>0.33333333333333331</v>
      </c>
      <c r="F145" s="101">
        <v>0.75</v>
      </c>
      <c r="G145" s="100">
        <f>IFERROR(VLOOKUP(Tablo5[[#This Row],[ÜRÜN KODU]],YMKODLARI!$A$1:$K$363,3,0)," ")</f>
        <v>8</v>
      </c>
      <c r="H145" s="100">
        <f>IFERROR(VLOOKUP(Tablo5[[#This Row],[ÜRÜN KODU]],YMKODLARI!$A$1:$K$363,4,0)," ")</f>
        <v>30</v>
      </c>
      <c r="I145" s="100">
        <v>994</v>
      </c>
      <c r="J145" s="100" t="str">
        <f>IFERROR(VLOOKUP(Tablo5[[#This Row],[ÜRÜN KODU]],YMKODLARI!$A$1:$K$363,9,0)," ")</f>
        <v>Şeffaf</v>
      </c>
      <c r="K145" s="100" t="str">
        <f>IFERROR(VLOOKUP(Tablo5[[#This Row],[BOYA KODU]],Tablo14[#All],4,0)," ")</f>
        <v xml:space="preserve"> </v>
      </c>
      <c r="L145" s="100" t="str">
        <f>IFERROR(VLOOKUP(Tablo5[[#This Row],[BOYA KODU]],Tablo14[#All],6,0)," ")</f>
        <v xml:space="preserve"> </v>
      </c>
      <c r="M145" s="100" t="str">
        <f t="shared" si="14"/>
        <v xml:space="preserve"> </v>
      </c>
      <c r="N145" s="100" t="s">
        <v>38</v>
      </c>
      <c r="O145" s="100" t="str">
        <f>IFERROR(VLOOKUP(Tablo5[[#This Row],[HAMMADDE KODU]],Tablo1[#All],3,0)," ")</f>
        <v>LSR 50</v>
      </c>
      <c r="P145" s="100" t="str">
        <f>IFERROR(VLOOKUP(Tablo5[[#This Row],[HAMMADDE KODU]],Tablo1[#All],4,0)," ")</f>
        <v>KCC</v>
      </c>
      <c r="Q145" s="100">
        <f>IFERROR(VLOOKUP(Tablo5[[#This Row],[ÜRÜN KODU]],YMKODLARI!$A$1:$K$363,5,0)," ")</f>
        <v>20.399999999999999</v>
      </c>
      <c r="R145" s="100">
        <f>IFERROR(VLOOKUP(Tablo5[[#This Row],[ÜRÜN KODU]],YMKODLARI!$A$1:$K$363,6,0)," ")</f>
        <v>14.2</v>
      </c>
      <c r="S145" s="100">
        <f>IFERROR(Tablo5[[#This Row],[YOLLUK HARİÇ BASKI GRAMI]]/Tablo5[[#This Row],[KALIP GÖZ ADEDİ]]," ")</f>
        <v>1.7749999999999999</v>
      </c>
      <c r="T145" s="100">
        <f t="shared" si="16"/>
        <v>6.1999999999999993</v>
      </c>
      <c r="U145" s="100">
        <v>6.5</v>
      </c>
      <c r="V145" s="100">
        <f t="shared" si="15"/>
        <v>20.614799999999999</v>
      </c>
      <c r="W145" s="101">
        <f t="shared" si="17"/>
        <v>24.416666666666668</v>
      </c>
      <c r="X145" s="102">
        <f t="shared" si="18"/>
        <v>10.000000000000028</v>
      </c>
      <c r="Y145" s="100">
        <f t="shared" si="19"/>
        <v>8.2833333333333332</v>
      </c>
      <c r="Z145" s="100">
        <f t="shared" si="20"/>
        <v>7952</v>
      </c>
    </row>
    <row r="146" spans="1:26">
      <c r="A146" s="100" t="s">
        <v>26</v>
      </c>
      <c r="B146" s="108" t="str">
        <f>IFERROR(VLOOKUP(Tablo5[[#This Row],[ÜRÜN KODU]],YMKODLARI!$A$1:$K$363,2,0)," ")</f>
        <v>DAMAK EMZİK UCU 1 NO</v>
      </c>
      <c r="C146" s="99">
        <v>44029</v>
      </c>
      <c r="D146" s="100" t="s">
        <v>36</v>
      </c>
      <c r="E146" s="101">
        <v>0.33333333333333331</v>
      </c>
      <c r="F146" s="101">
        <v>0.75</v>
      </c>
      <c r="G146" s="100">
        <f>IFERROR(VLOOKUP(Tablo5[[#This Row],[ÜRÜN KODU]],YMKODLARI!$A$1:$K$363,3,0)," ")</f>
        <v>8</v>
      </c>
      <c r="H146" s="100">
        <f>IFERROR(VLOOKUP(Tablo5[[#This Row],[ÜRÜN KODU]],YMKODLARI!$A$1:$K$363,4,0)," ")</f>
        <v>30</v>
      </c>
      <c r="I146" s="100">
        <v>1016</v>
      </c>
      <c r="J146" s="100" t="str">
        <f>IFERROR(VLOOKUP(Tablo5[[#This Row],[ÜRÜN KODU]],YMKODLARI!$A$1:$K$363,9,0)," ")</f>
        <v>Şeffaf</v>
      </c>
      <c r="K146" s="100" t="str">
        <f>IFERROR(VLOOKUP(Tablo5[[#This Row],[BOYA KODU]],Tablo14[#All],4,0)," ")</f>
        <v xml:space="preserve"> </v>
      </c>
      <c r="L146" s="100" t="str">
        <f>IFERROR(VLOOKUP(Tablo5[[#This Row],[BOYA KODU]],Tablo14[#All],6,0)," ")</f>
        <v xml:space="preserve"> </v>
      </c>
      <c r="M146" s="100" t="str">
        <f t="shared" si="14"/>
        <v xml:space="preserve"> </v>
      </c>
      <c r="N146" s="100" t="s">
        <v>38</v>
      </c>
      <c r="O146" s="100" t="str">
        <f>IFERROR(VLOOKUP(Tablo5[[#This Row],[HAMMADDE KODU]],Tablo1[#All],3,0)," ")</f>
        <v>LSR 50</v>
      </c>
      <c r="P146" s="100" t="str">
        <f>IFERROR(VLOOKUP(Tablo5[[#This Row],[HAMMADDE KODU]],Tablo1[#All],4,0)," ")</f>
        <v>KCC</v>
      </c>
      <c r="Q146" s="100">
        <f>IFERROR(VLOOKUP(Tablo5[[#This Row],[ÜRÜN KODU]],YMKODLARI!$A$1:$K$363,5,0)," ")</f>
        <v>20.399999999999999</v>
      </c>
      <c r="R146" s="100">
        <f>IFERROR(VLOOKUP(Tablo5[[#This Row],[ÜRÜN KODU]],YMKODLARI!$A$1:$K$363,6,0)," ")</f>
        <v>14.2</v>
      </c>
      <c r="S146" s="100">
        <f>IFERROR(Tablo5[[#This Row],[YOLLUK HARİÇ BASKI GRAMI]]/Tablo5[[#This Row],[KALIP GÖZ ADEDİ]]," ")</f>
        <v>1.7749999999999999</v>
      </c>
      <c r="T146" s="100">
        <f t="shared" si="16"/>
        <v>6.1999999999999993</v>
      </c>
      <c r="U146" s="100">
        <v>6.5</v>
      </c>
      <c r="V146" s="100">
        <f t="shared" si="15"/>
        <v>20.927199999999999</v>
      </c>
      <c r="W146" s="101">
        <f t="shared" si="17"/>
        <v>24.416666666666668</v>
      </c>
      <c r="X146" s="102">
        <f t="shared" si="18"/>
        <v>10.000000000000028</v>
      </c>
      <c r="Y146" s="100">
        <f t="shared" si="19"/>
        <v>8.4666666666666668</v>
      </c>
      <c r="Z146" s="100">
        <f t="shared" si="20"/>
        <v>8128</v>
      </c>
    </row>
    <row r="147" spans="1:26">
      <c r="A147" s="110" t="s">
        <v>39</v>
      </c>
      <c r="B147" s="108" t="str">
        <f>IFERROR(VLOOKUP(Tablo5[[#This Row],[ÜRÜN KODU]],YMKODLARI!$A$1:$K$363,2,0)," ")</f>
        <v>DAMAK EMZİK UCU 3 NO</v>
      </c>
      <c r="C147" s="99">
        <v>44032</v>
      </c>
      <c r="D147" s="100" t="s">
        <v>36</v>
      </c>
      <c r="E147" s="101">
        <v>0.68402777777777779</v>
      </c>
      <c r="F147" s="101">
        <v>0.75</v>
      </c>
      <c r="G147" s="100">
        <f>IFERROR(VLOOKUP(Tablo5[[#This Row],[ÜRÜN KODU]],YMKODLARI!$A$1:$K$363,3,0)," ")</f>
        <v>8</v>
      </c>
      <c r="H147" s="100">
        <f>IFERROR(VLOOKUP(Tablo5[[#This Row],[ÜRÜN KODU]],YMKODLARI!$A$1:$K$363,4,0)," ")</f>
        <v>33</v>
      </c>
      <c r="I147" s="100">
        <v>216</v>
      </c>
      <c r="J147" s="100" t="str">
        <f>IFERROR(VLOOKUP(Tablo5[[#This Row],[ÜRÜN KODU]],YMKODLARI!$A$1:$K$363,9,0)," ")</f>
        <v>Şeffaf</v>
      </c>
      <c r="K147" s="100" t="str">
        <f>IFERROR(VLOOKUP(Tablo5[[#This Row],[BOYA KODU]],Tablo14[#All],4,0)," ")</f>
        <v xml:space="preserve"> </v>
      </c>
      <c r="L147" s="100" t="str">
        <f>IFERROR(VLOOKUP(Tablo5[[#This Row],[BOYA KODU]],Tablo14[#All],6,0)," ")</f>
        <v xml:space="preserve"> </v>
      </c>
      <c r="M147" s="100" t="str">
        <f t="shared" si="14"/>
        <v xml:space="preserve"> </v>
      </c>
      <c r="N147" s="100" t="s">
        <v>38</v>
      </c>
      <c r="O147" s="100" t="str">
        <f>IFERROR(VLOOKUP(Tablo5[[#This Row],[HAMMADDE KODU]],Tablo1[#All],3,0)," ")</f>
        <v>LSR 50</v>
      </c>
      <c r="P147" s="100" t="str">
        <f>IFERROR(VLOOKUP(Tablo5[[#This Row],[HAMMADDE KODU]],Tablo1[#All],4,0)," ")</f>
        <v>KCC</v>
      </c>
      <c r="Q147" s="100">
        <f>IFERROR(VLOOKUP(Tablo5[[#This Row],[ÜRÜN KODU]],YMKODLARI!$A$1:$K$363,5,0)," ")</f>
        <v>25</v>
      </c>
      <c r="R147" s="100">
        <f>IFERROR(VLOOKUP(Tablo5[[#This Row],[ÜRÜN KODU]],YMKODLARI!$A$1:$K$363,6,0)," ")</f>
        <v>19.5</v>
      </c>
      <c r="S147" s="100">
        <f>IFERROR(Tablo5[[#This Row],[YOLLUK HARİÇ BASKI GRAMI]]/Tablo5[[#This Row],[KALIP GÖZ ADEDİ]]," ")</f>
        <v>2.4375</v>
      </c>
      <c r="T147" s="100">
        <f t="shared" si="16"/>
        <v>5.5</v>
      </c>
      <c r="U147" s="100">
        <v>1.5</v>
      </c>
      <c r="V147" s="100">
        <f t="shared" si="15"/>
        <v>5.7119999999999997</v>
      </c>
      <c r="W147" s="101">
        <f t="shared" si="17"/>
        <v>24.065972222222221</v>
      </c>
      <c r="X147" s="102">
        <f t="shared" si="18"/>
        <v>1.5833333333333144</v>
      </c>
      <c r="Y147" s="100">
        <f t="shared" si="19"/>
        <v>1.98</v>
      </c>
      <c r="Z147" s="100">
        <f t="shared" si="20"/>
        <v>1728</v>
      </c>
    </row>
    <row r="148" spans="1:26">
      <c r="A148" s="110" t="s">
        <v>39</v>
      </c>
      <c r="B148" s="108" t="str">
        <f>IFERROR(VLOOKUP(Tablo5[[#This Row],[ÜRÜN KODU]],YMKODLARI!$A$1:$K$363,2,0)," ")</f>
        <v>DAMAK EMZİK UCU 3 NO</v>
      </c>
      <c r="C148" s="99">
        <v>44033</v>
      </c>
      <c r="D148" s="100" t="s">
        <v>36</v>
      </c>
      <c r="E148" s="101">
        <v>0.33333333333333331</v>
      </c>
      <c r="F148" s="101">
        <v>0.75</v>
      </c>
      <c r="G148" s="100">
        <f>IFERROR(VLOOKUP(Tablo5[[#This Row],[ÜRÜN KODU]],YMKODLARI!$A$1:$K$363,3,0)," ")</f>
        <v>8</v>
      </c>
      <c r="H148" s="100">
        <f>IFERROR(VLOOKUP(Tablo5[[#This Row],[ÜRÜN KODU]],YMKODLARI!$A$1:$K$363,4,0)," ")</f>
        <v>33</v>
      </c>
      <c r="I148" s="100">
        <v>1029</v>
      </c>
      <c r="J148" s="100" t="str">
        <f>IFERROR(VLOOKUP(Tablo5[[#This Row],[ÜRÜN KODU]],YMKODLARI!$A$1:$K$363,9,0)," ")</f>
        <v>Şeffaf</v>
      </c>
      <c r="K148" s="100" t="str">
        <f>IFERROR(VLOOKUP(Tablo5[[#This Row],[BOYA KODU]],Tablo14[#All],4,0)," ")</f>
        <v xml:space="preserve"> </v>
      </c>
      <c r="L148" s="100" t="str">
        <f>IFERROR(VLOOKUP(Tablo5[[#This Row],[BOYA KODU]],Tablo14[#All],6,0)," ")</f>
        <v xml:space="preserve"> </v>
      </c>
      <c r="M148" s="100" t="str">
        <f t="shared" si="14"/>
        <v xml:space="preserve"> </v>
      </c>
      <c r="N148" s="100" t="s">
        <v>38</v>
      </c>
      <c r="O148" s="100" t="str">
        <f>IFERROR(VLOOKUP(Tablo5[[#This Row],[HAMMADDE KODU]],Tablo1[#All],3,0)," ")</f>
        <v>LSR 50</v>
      </c>
      <c r="P148" s="100" t="str">
        <f>IFERROR(VLOOKUP(Tablo5[[#This Row],[HAMMADDE KODU]],Tablo1[#All],4,0)," ")</f>
        <v>KCC</v>
      </c>
      <c r="Q148" s="100">
        <f>IFERROR(VLOOKUP(Tablo5[[#This Row],[ÜRÜN KODU]],YMKODLARI!$A$1:$K$363,5,0)," ")</f>
        <v>25</v>
      </c>
      <c r="R148" s="100">
        <f>IFERROR(VLOOKUP(Tablo5[[#This Row],[ÜRÜN KODU]],YMKODLARI!$A$1:$K$363,6,0)," ")</f>
        <v>19.5</v>
      </c>
      <c r="S148" s="100">
        <f>IFERROR(Tablo5[[#This Row],[YOLLUK HARİÇ BASKI GRAMI]]/Tablo5[[#This Row],[KALIP GÖZ ADEDİ]]," ")</f>
        <v>2.4375</v>
      </c>
      <c r="T148" s="100">
        <f t="shared" si="16"/>
        <v>5.5</v>
      </c>
      <c r="U148" s="100">
        <v>5.5</v>
      </c>
      <c r="V148" s="100">
        <f t="shared" si="15"/>
        <v>25.5655</v>
      </c>
      <c r="W148" s="101">
        <f t="shared" si="17"/>
        <v>24.416666666666668</v>
      </c>
      <c r="X148" s="102">
        <f t="shared" si="18"/>
        <v>10.000000000000028</v>
      </c>
      <c r="Y148" s="100">
        <f t="shared" si="19"/>
        <v>9.4324999999999992</v>
      </c>
      <c r="Z148" s="100">
        <f t="shared" si="20"/>
        <v>8232</v>
      </c>
    </row>
    <row r="149" spans="1:26">
      <c r="A149" s="110" t="s">
        <v>39</v>
      </c>
      <c r="B149" s="108" t="str">
        <f>IFERROR(VLOOKUP(Tablo5[[#This Row],[ÜRÜN KODU]],YMKODLARI!$A$1:$K$363,2,0)," ")</f>
        <v>DAMAK EMZİK UCU 3 NO</v>
      </c>
      <c r="C149" s="99">
        <v>44034</v>
      </c>
      <c r="D149" s="100" t="s">
        <v>36</v>
      </c>
      <c r="E149" s="101">
        <v>0.33333333333333331</v>
      </c>
      <c r="F149" s="101">
        <v>0.75</v>
      </c>
      <c r="G149" s="100">
        <f>IFERROR(VLOOKUP(Tablo5[[#This Row],[ÜRÜN KODU]],YMKODLARI!$A$1:$K$363,3,0)," ")</f>
        <v>8</v>
      </c>
      <c r="H149" s="100">
        <f>IFERROR(VLOOKUP(Tablo5[[#This Row],[ÜRÜN KODU]],YMKODLARI!$A$1:$K$363,4,0)," ")</f>
        <v>33</v>
      </c>
      <c r="I149" s="100">
        <v>959</v>
      </c>
      <c r="J149" s="100" t="str">
        <f>IFERROR(VLOOKUP(Tablo5[[#This Row],[ÜRÜN KODU]],YMKODLARI!$A$1:$K$363,9,0)," ")</f>
        <v>Şeffaf</v>
      </c>
      <c r="K149" s="100" t="str">
        <f>IFERROR(VLOOKUP(Tablo5[[#This Row],[BOYA KODU]],Tablo14[#All],4,0)," ")</f>
        <v xml:space="preserve"> </v>
      </c>
      <c r="L149" s="100" t="str">
        <f>IFERROR(VLOOKUP(Tablo5[[#This Row],[BOYA KODU]],Tablo14[#All],6,0)," ")</f>
        <v xml:space="preserve"> </v>
      </c>
      <c r="M149" s="100" t="str">
        <f t="shared" si="14"/>
        <v xml:space="preserve"> </v>
      </c>
      <c r="N149" s="100" t="s">
        <v>38</v>
      </c>
      <c r="O149" s="100" t="str">
        <f>IFERROR(VLOOKUP(Tablo5[[#This Row],[HAMMADDE KODU]],Tablo1[#All],3,0)," ")</f>
        <v>LSR 50</v>
      </c>
      <c r="P149" s="100" t="str">
        <f>IFERROR(VLOOKUP(Tablo5[[#This Row],[HAMMADDE KODU]],Tablo1[#All],4,0)," ")</f>
        <v>KCC</v>
      </c>
      <c r="Q149" s="100">
        <f>IFERROR(VLOOKUP(Tablo5[[#This Row],[ÜRÜN KODU]],YMKODLARI!$A$1:$K$363,5,0)," ")</f>
        <v>25</v>
      </c>
      <c r="R149" s="100">
        <f>IFERROR(VLOOKUP(Tablo5[[#This Row],[ÜRÜN KODU]],YMKODLARI!$A$1:$K$363,6,0)," ")</f>
        <v>19.5</v>
      </c>
      <c r="S149" s="100">
        <f>IFERROR(Tablo5[[#This Row],[YOLLUK HARİÇ BASKI GRAMI]]/Tablo5[[#This Row],[KALIP GÖZ ADEDİ]]," ")</f>
        <v>2.4375</v>
      </c>
      <c r="T149" s="100">
        <f t="shared" si="16"/>
        <v>5.5</v>
      </c>
      <c r="U149" s="100">
        <v>5</v>
      </c>
      <c r="V149" s="100">
        <f t="shared" si="15"/>
        <v>23.700500000000002</v>
      </c>
      <c r="W149" s="101">
        <f t="shared" si="17"/>
        <v>24.416666666666668</v>
      </c>
      <c r="X149" s="102">
        <f t="shared" si="18"/>
        <v>10.000000000000028</v>
      </c>
      <c r="Y149" s="100">
        <f t="shared" si="19"/>
        <v>8.7908333333333335</v>
      </c>
      <c r="Z149" s="100">
        <f t="shared" si="20"/>
        <v>7672</v>
      </c>
    </row>
    <row r="150" spans="1:26">
      <c r="A150" s="110" t="s">
        <v>39</v>
      </c>
      <c r="B150" s="108" t="str">
        <f>IFERROR(VLOOKUP(Tablo5[[#This Row],[ÜRÜN KODU]],YMKODLARI!$A$1:$K$363,2,0)," ")</f>
        <v>DAMAK EMZİK UCU 3 NO</v>
      </c>
      <c r="C150" s="99">
        <v>44035</v>
      </c>
      <c r="D150" s="100" t="s">
        <v>40</v>
      </c>
      <c r="E150" s="101">
        <v>0.33333333333333331</v>
      </c>
      <c r="F150" s="101">
        <v>0.75</v>
      </c>
      <c r="G150" s="100">
        <f>IFERROR(VLOOKUP(Tablo5[[#This Row],[ÜRÜN KODU]],YMKODLARI!$A$1:$K$363,3,0)," ")</f>
        <v>8</v>
      </c>
      <c r="H150" s="100">
        <f>IFERROR(VLOOKUP(Tablo5[[#This Row],[ÜRÜN KODU]],YMKODLARI!$A$1:$K$363,4,0)," ")</f>
        <v>33</v>
      </c>
      <c r="I150" s="100">
        <v>1270</v>
      </c>
      <c r="J150" s="100" t="str">
        <f>IFERROR(VLOOKUP(Tablo5[[#This Row],[ÜRÜN KODU]],YMKODLARI!$A$1:$K$363,9,0)," ")</f>
        <v>Şeffaf</v>
      </c>
      <c r="K150" s="100" t="str">
        <f>IFERROR(VLOOKUP(Tablo5[[#This Row],[BOYA KODU]],Tablo14[#All],4,0)," ")</f>
        <v xml:space="preserve"> </v>
      </c>
      <c r="L150" s="100" t="str">
        <f>IFERROR(VLOOKUP(Tablo5[[#This Row],[BOYA KODU]],Tablo14[#All],6,0)," ")</f>
        <v xml:space="preserve"> </v>
      </c>
      <c r="M150" s="100" t="str">
        <f t="shared" si="14"/>
        <v xml:space="preserve"> </v>
      </c>
      <c r="N150" s="100" t="s">
        <v>38</v>
      </c>
      <c r="O150" s="100" t="str">
        <f>IFERROR(VLOOKUP(Tablo5[[#This Row],[HAMMADDE KODU]],Tablo1[#All],3,0)," ")</f>
        <v>LSR 50</v>
      </c>
      <c r="P150" s="100" t="str">
        <f>IFERROR(VLOOKUP(Tablo5[[#This Row],[HAMMADDE KODU]],Tablo1[#All],4,0)," ")</f>
        <v>KCC</v>
      </c>
      <c r="Q150" s="100">
        <f>IFERROR(VLOOKUP(Tablo5[[#This Row],[ÜRÜN KODU]],YMKODLARI!$A$1:$K$363,5,0)," ")</f>
        <v>25</v>
      </c>
      <c r="R150" s="100">
        <f>IFERROR(VLOOKUP(Tablo5[[#This Row],[ÜRÜN KODU]],YMKODLARI!$A$1:$K$363,6,0)," ")</f>
        <v>19.5</v>
      </c>
      <c r="S150" s="100">
        <f>IFERROR(Tablo5[[#This Row],[YOLLUK HARİÇ BASKI GRAMI]]/Tablo5[[#This Row],[KALIP GÖZ ADEDİ]]," ")</f>
        <v>2.4375</v>
      </c>
      <c r="T150" s="100">
        <f t="shared" si="16"/>
        <v>5.5</v>
      </c>
      <c r="U150" s="100">
        <v>7</v>
      </c>
      <c r="V150" s="100">
        <f t="shared" si="15"/>
        <v>31.765000000000001</v>
      </c>
      <c r="W150" s="101">
        <f t="shared" si="17"/>
        <v>24.416666666666668</v>
      </c>
      <c r="X150" s="102">
        <f t="shared" si="18"/>
        <v>10.000000000000028</v>
      </c>
      <c r="Y150" s="100">
        <f t="shared" si="19"/>
        <v>11.641666666666667</v>
      </c>
      <c r="Z150" s="100">
        <f t="shared" si="20"/>
        <v>10160</v>
      </c>
    </row>
    <row r="151" spans="1:26">
      <c r="A151" s="110" t="s">
        <v>39</v>
      </c>
      <c r="B151" s="108" t="str">
        <f>IFERROR(VLOOKUP(Tablo5[[#This Row],[ÜRÜN KODU]],YMKODLARI!$A$1:$K$363,2,0)," ")</f>
        <v>DAMAK EMZİK UCU 3 NO</v>
      </c>
      <c r="C151" s="99">
        <v>44036</v>
      </c>
      <c r="D151" s="100" t="s">
        <v>40</v>
      </c>
      <c r="E151" s="101">
        <v>0.375</v>
      </c>
      <c r="F151" s="101">
        <v>0.75</v>
      </c>
      <c r="G151" s="100">
        <f>IFERROR(VLOOKUP(Tablo5[[#This Row],[ÜRÜN KODU]],YMKODLARI!$A$1:$K$363,3,0)," ")</f>
        <v>8</v>
      </c>
      <c r="H151" s="100">
        <f>IFERROR(VLOOKUP(Tablo5[[#This Row],[ÜRÜN KODU]],YMKODLARI!$A$1:$K$363,4,0)," ")</f>
        <v>33</v>
      </c>
      <c r="I151" s="100">
        <v>854</v>
      </c>
      <c r="J151" s="100" t="str">
        <f>IFERROR(VLOOKUP(Tablo5[[#This Row],[ÜRÜN KODU]],YMKODLARI!$A$1:$K$363,9,0)," ")</f>
        <v>Şeffaf</v>
      </c>
      <c r="K151" s="100" t="str">
        <f>IFERROR(VLOOKUP(Tablo5[[#This Row],[BOYA KODU]],Tablo14[#All],4,0)," ")</f>
        <v xml:space="preserve"> </v>
      </c>
      <c r="L151" s="100" t="str">
        <f>IFERROR(VLOOKUP(Tablo5[[#This Row],[BOYA KODU]],Tablo14[#All],6,0)," ")</f>
        <v xml:space="preserve"> </v>
      </c>
      <c r="M151" s="100" t="str">
        <f t="shared" si="14"/>
        <v xml:space="preserve"> </v>
      </c>
      <c r="N151" s="100" t="s">
        <v>38</v>
      </c>
      <c r="O151" s="100" t="str">
        <f>IFERROR(VLOOKUP(Tablo5[[#This Row],[HAMMADDE KODU]],Tablo1[#All],3,0)," ")</f>
        <v>LSR 50</v>
      </c>
      <c r="P151" s="100" t="str">
        <f>IFERROR(VLOOKUP(Tablo5[[#This Row],[HAMMADDE KODU]],Tablo1[#All],4,0)," ")</f>
        <v>KCC</v>
      </c>
      <c r="Q151" s="100">
        <f>IFERROR(VLOOKUP(Tablo5[[#This Row],[ÜRÜN KODU]],YMKODLARI!$A$1:$K$363,5,0)," ")</f>
        <v>25</v>
      </c>
      <c r="R151" s="100">
        <f>IFERROR(VLOOKUP(Tablo5[[#This Row],[ÜRÜN KODU]],YMKODLARI!$A$1:$K$363,6,0)," ")</f>
        <v>19.5</v>
      </c>
      <c r="S151" s="100">
        <f>IFERROR(Tablo5[[#This Row],[YOLLUK HARİÇ BASKI GRAMI]]/Tablo5[[#This Row],[KALIP GÖZ ADEDİ]]," ")</f>
        <v>2.4375</v>
      </c>
      <c r="T151" s="100">
        <f t="shared" si="16"/>
        <v>5.5</v>
      </c>
      <c r="U151" s="100">
        <v>5.5</v>
      </c>
      <c r="V151" s="100">
        <f t="shared" si="15"/>
        <v>22.152999999999999</v>
      </c>
      <c r="W151" s="101">
        <f t="shared" si="17"/>
        <v>24.375</v>
      </c>
      <c r="X151" s="102">
        <f t="shared" si="18"/>
        <v>9</v>
      </c>
      <c r="Y151" s="100">
        <f t="shared" si="19"/>
        <v>7.8283333333333331</v>
      </c>
      <c r="Z151" s="100">
        <f t="shared" si="20"/>
        <v>6832</v>
      </c>
    </row>
    <row r="152" spans="1:26">
      <c r="A152" s="110" t="s">
        <v>39</v>
      </c>
      <c r="B152" s="108" t="str">
        <f>IFERROR(VLOOKUP(Tablo5[[#This Row],[ÜRÜN KODU]],YMKODLARI!$A$1:$K$363,2,0)," ")</f>
        <v>DAMAK EMZİK UCU 3 NO</v>
      </c>
      <c r="C152" s="99">
        <v>44039</v>
      </c>
      <c r="D152" s="100" t="s">
        <v>40</v>
      </c>
      <c r="E152" s="101">
        <v>0.33333333333333331</v>
      </c>
      <c r="F152" s="101">
        <v>0.75</v>
      </c>
      <c r="G152" s="100">
        <f>IFERROR(VLOOKUP(Tablo5[[#This Row],[ÜRÜN KODU]],YMKODLARI!$A$1:$K$363,3,0)," ")</f>
        <v>8</v>
      </c>
      <c r="H152" s="100">
        <f>IFERROR(VLOOKUP(Tablo5[[#This Row],[ÜRÜN KODU]],YMKODLARI!$A$1:$K$363,4,0)," ")</f>
        <v>33</v>
      </c>
      <c r="I152" s="100">
        <v>990</v>
      </c>
      <c r="J152" s="100" t="str">
        <f>IFERROR(VLOOKUP(Tablo5[[#This Row],[ÜRÜN KODU]],YMKODLARI!$A$1:$K$363,9,0)," ")</f>
        <v>Şeffaf</v>
      </c>
      <c r="K152" s="100" t="str">
        <f>IFERROR(VLOOKUP(Tablo5[[#This Row],[BOYA KODU]],Tablo14[#All],4,0)," ")</f>
        <v xml:space="preserve"> </v>
      </c>
      <c r="L152" s="100" t="str">
        <f>IFERROR(VLOOKUP(Tablo5[[#This Row],[BOYA KODU]],Tablo14[#All],6,0)," ")</f>
        <v xml:space="preserve"> </v>
      </c>
      <c r="M152" s="100" t="str">
        <f t="shared" si="14"/>
        <v xml:space="preserve"> </v>
      </c>
      <c r="N152" s="100" t="s">
        <v>38</v>
      </c>
      <c r="O152" s="100" t="str">
        <f>IFERROR(VLOOKUP(Tablo5[[#This Row],[HAMMADDE KODU]],Tablo1[#All],3,0)," ")</f>
        <v>LSR 50</v>
      </c>
      <c r="P152" s="100" t="str">
        <f>IFERROR(VLOOKUP(Tablo5[[#This Row],[HAMMADDE KODU]],Tablo1[#All],4,0)," ")</f>
        <v>KCC</v>
      </c>
      <c r="Q152" s="100">
        <f>IFERROR(VLOOKUP(Tablo5[[#This Row],[ÜRÜN KODU]],YMKODLARI!$A$1:$K$363,5,0)," ")</f>
        <v>25</v>
      </c>
      <c r="R152" s="100">
        <f>IFERROR(VLOOKUP(Tablo5[[#This Row],[ÜRÜN KODU]],YMKODLARI!$A$1:$K$363,6,0)," ")</f>
        <v>19.5</v>
      </c>
      <c r="S152" s="100">
        <f>IFERROR(Tablo5[[#This Row],[YOLLUK HARİÇ BASKI GRAMI]]/Tablo5[[#This Row],[KALIP GÖZ ADEDİ]]," ")</f>
        <v>2.4375</v>
      </c>
      <c r="T152" s="100">
        <f t="shared" si="16"/>
        <v>5.5</v>
      </c>
      <c r="U152" s="100">
        <v>5.5</v>
      </c>
      <c r="V152" s="100">
        <f t="shared" si="15"/>
        <v>24.805</v>
      </c>
      <c r="W152" s="101">
        <f t="shared" si="17"/>
        <v>24.416666666666668</v>
      </c>
      <c r="X152" s="102">
        <f t="shared" si="18"/>
        <v>10.000000000000028</v>
      </c>
      <c r="Y152" s="100">
        <f t="shared" si="19"/>
        <v>9.0749999999999993</v>
      </c>
      <c r="Z152" s="100">
        <f t="shared" si="20"/>
        <v>7920</v>
      </c>
    </row>
    <row r="153" spans="1:26">
      <c r="A153" s="110" t="s">
        <v>39</v>
      </c>
      <c r="B153" s="108" t="str">
        <f>IFERROR(VLOOKUP(Tablo5[[#This Row],[ÜRÜN KODU]],YMKODLARI!$A$1:$K$363,2,0)," ")</f>
        <v>DAMAK EMZİK UCU 3 NO</v>
      </c>
      <c r="C153" s="99">
        <v>44040</v>
      </c>
      <c r="D153" s="100" t="s">
        <v>40</v>
      </c>
      <c r="E153" s="101">
        <v>0.33333333333333331</v>
      </c>
      <c r="F153" s="101">
        <v>0.75</v>
      </c>
      <c r="G153" s="100">
        <f>IFERROR(VLOOKUP(Tablo5[[#This Row],[ÜRÜN KODU]],YMKODLARI!$A$1:$K$363,3,0)," ")</f>
        <v>8</v>
      </c>
      <c r="H153" s="100">
        <f>IFERROR(VLOOKUP(Tablo5[[#This Row],[ÜRÜN KODU]],YMKODLARI!$A$1:$K$363,4,0)," ")</f>
        <v>33</v>
      </c>
      <c r="I153" s="100">
        <v>987</v>
      </c>
      <c r="J153" s="100" t="str">
        <f>IFERROR(VLOOKUP(Tablo5[[#This Row],[ÜRÜN KODU]],YMKODLARI!$A$1:$K$363,9,0)," ")</f>
        <v>Şeffaf</v>
      </c>
      <c r="K153" s="100" t="str">
        <f>IFERROR(VLOOKUP(Tablo5[[#This Row],[BOYA KODU]],Tablo14[#All],4,0)," ")</f>
        <v xml:space="preserve"> </v>
      </c>
      <c r="L153" s="100" t="str">
        <f>IFERROR(VLOOKUP(Tablo5[[#This Row],[BOYA KODU]],Tablo14[#All],6,0)," ")</f>
        <v xml:space="preserve"> </v>
      </c>
      <c r="M153" s="100" t="str">
        <f t="shared" si="14"/>
        <v xml:space="preserve"> </v>
      </c>
      <c r="N153" s="100" t="s">
        <v>38</v>
      </c>
      <c r="O153" s="100" t="str">
        <f>IFERROR(VLOOKUP(Tablo5[[#This Row],[HAMMADDE KODU]],Tablo1[#All],3,0)," ")</f>
        <v>LSR 50</v>
      </c>
      <c r="P153" s="100" t="str">
        <f>IFERROR(VLOOKUP(Tablo5[[#This Row],[HAMMADDE KODU]],Tablo1[#All],4,0)," ")</f>
        <v>KCC</v>
      </c>
      <c r="Q153" s="100">
        <f>IFERROR(VLOOKUP(Tablo5[[#This Row],[ÜRÜN KODU]],YMKODLARI!$A$1:$K$363,5,0)," ")</f>
        <v>25</v>
      </c>
      <c r="R153" s="100">
        <f>IFERROR(VLOOKUP(Tablo5[[#This Row],[ÜRÜN KODU]],YMKODLARI!$A$1:$K$363,6,0)," ")</f>
        <v>19.5</v>
      </c>
      <c r="S153" s="100">
        <f>IFERROR(Tablo5[[#This Row],[YOLLUK HARİÇ BASKI GRAMI]]/Tablo5[[#This Row],[KALIP GÖZ ADEDİ]]," ")</f>
        <v>2.4375</v>
      </c>
      <c r="T153" s="100">
        <f t="shared" si="16"/>
        <v>5.5</v>
      </c>
      <c r="U153" s="100">
        <v>5.5</v>
      </c>
      <c r="V153" s="100">
        <f t="shared" si="15"/>
        <v>24.746500000000001</v>
      </c>
      <c r="W153" s="101">
        <f t="shared" si="17"/>
        <v>24.416666666666668</v>
      </c>
      <c r="X153" s="102">
        <f t="shared" si="18"/>
        <v>10.000000000000028</v>
      </c>
      <c r="Y153" s="100">
        <f t="shared" si="19"/>
        <v>9.0474999999999994</v>
      </c>
      <c r="Z153" s="100">
        <f t="shared" si="20"/>
        <v>7896</v>
      </c>
    </row>
    <row r="154" spans="1:26">
      <c r="A154" s="110" t="s">
        <v>39</v>
      </c>
      <c r="B154" s="108" t="str">
        <f>IFERROR(VLOOKUP(Tablo5[[#This Row],[ÜRÜN KODU]],YMKODLARI!$A$1:$K$363,2,0)," ")</f>
        <v>DAMAK EMZİK UCU 3 NO</v>
      </c>
      <c r="C154" s="99">
        <v>44041</v>
      </c>
      <c r="D154" s="100" t="s">
        <v>40</v>
      </c>
      <c r="E154" s="101">
        <v>0.33333333333333331</v>
      </c>
      <c r="F154" s="101">
        <v>0.72222222222222221</v>
      </c>
      <c r="G154" s="100">
        <f>IFERROR(VLOOKUP(Tablo5[[#This Row],[ÜRÜN KODU]],YMKODLARI!$A$1:$K$363,3,0)," ")</f>
        <v>8</v>
      </c>
      <c r="H154" s="100">
        <f>IFERROR(VLOOKUP(Tablo5[[#This Row],[ÜRÜN KODU]],YMKODLARI!$A$1:$K$363,4,0)," ")</f>
        <v>33</v>
      </c>
      <c r="I154" s="100">
        <v>919</v>
      </c>
      <c r="J154" s="100" t="str">
        <f>IFERROR(VLOOKUP(Tablo5[[#This Row],[ÜRÜN KODU]],YMKODLARI!$A$1:$K$363,9,0)," ")</f>
        <v>Şeffaf</v>
      </c>
      <c r="K154" s="100" t="str">
        <f>IFERROR(VLOOKUP(Tablo5[[#This Row],[BOYA KODU]],Tablo14[#All],4,0)," ")</f>
        <v xml:space="preserve"> </v>
      </c>
      <c r="L154" s="100" t="str">
        <f>IFERROR(VLOOKUP(Tablo5[[#This Row],[BOYA KODU]],Tablo14[#All],6,0)," ")</f>
        <v xml:space="preserve"> </v>
      </c>
      <c r="M154" s="100" t="str">
        <f t="shared" si="14"/>
        <v xml:space="preserve"> </v>
      </c>
      <c r="N154" s="100" t="s">
        <v>38</v>
      </c>
      <c r="O154" s="100" t="str">
        <f>IFERROR(VLOOKUP(Tablo5[[#This Row],[HAMMADDE KODU]],Tablo1[#All],3,0)," ")</f>
        <v>LSR 50</v>
      </c>
      <c r="P154" s="100" t="str">
        <f>IFERROR(VLOOKUP(Tablo5[[#This Row],[HAMMADDE KODU]],Tablo1[#All],4,0)," ")</f>
        <v>KCC</v>
      </c>
      <c r="Q154" s="100">
        <f>IFERROR(VLOOKUP(Tablo5[[#This Row],[ÜRÜN KODU]],YMKODLARI!$A$1:$K$363,5,0)," ")</f>
        <v>25</v>
      </c>
      <c r="R154" s="100">
        <f>IFERROR(VLOOKUP(Tablo5[[#This Row],[ÜRÜN KODU]],YMKODLARI!$A$1:$K$363,6,0)," ")</f>
        <v>19.5</v>
      </c>
      <c r="S154" s="100">
        <f>IFERROR(Tablo5[[#This Row],[YOLLUK HARİÇ BASKI GRAMI]]/Tablo5[[#This Row],[KALIP GÖZ ADEDİ]]," ")</f>
        <v>2.4375</v>
      </c>
      <c r="T154" s="100">
        <f t="shared" si="16"/>
        <v>5.5</v>
      </c>
      <c r="U154" s="100">
        <v>6.2</v>
      </c>
      <c r="V154" s="100">
        <f t="shared" si="15"/>
        <v>24.1205</v>
      </c>
      <c r="W154" s="101">
        <f t="shared" si="17"/>
        <v>24.388888888888889</v>
      </c>
      <c r="X154" s="102">
        <f t="shared" si="18"/>
        <v>9.3333333333333428</v>
      </c>
      <c r="Y154" s="100">
        <f t="shared" si="19"/>
        <v>8.4241666666666664</v>
      </c>
      <c r="Z154" s="100">
        <f t="shared" si="20"/>
        <v>7352</v>
      </c>
    </row>
    <row r="155" spans="1:26">
      <c r="A155" s="110" t="s">
        <v>39</v>
      </c>
      <c r="B155" s="108" t="str">
        <f>IFERROR(VLOOKUP(Tablo5[[#This Row],[ÜRÜN KODU]],YMKODLARI!$A$1:$K$363,2,0)," ")</f>
        <v>DAMAK EMZİK UCU 3 NO</v>
      </c>
      <c r="C155" s="99">
        <v>44047</v>
      </c>
      <c r="D155" s="100" t="s">
        <v>29</v>
      </c>
      <c r="E155" s="101">
        <v>0.33333333333333331</v>
      </c>
      <c r="F155" s="101">
        <v>0.75</v>
      </c>
      <c r="G155" s="100">
        <f>IFERROR(VLOOKUP(Tablo5[[#This Row],[ÜRÜN KODU]],YMKODLARI!$A$1:$K$363,3,0)," ")</f>
        <v>8</v>
      </c>
      <c r="H155" s="100">
        <f>IFERROR(VLOOKUP(Tablo5[[#This Row],[ÜRÜN KODU]],YMKODLARI!$A$1:$K$363,4,0)," ")</f>
        <v>33</v>
      </c>
      <c r="I155" s="100">
        <v>778</v>
      </c>
      <c r="J155" s="100" t="str">
        <f>IFERROR(VLOOKUP(Tablo5[[#This Row],[ÜRÜN KODU]],YMKODLARI!$A$1:$K$363,9,0)," ")</f>
        <v>Şeffaf</v>
      </c>
      <c r="K155" s="100" t="str">
        <f>IFERROR(VLOOKUP(Tablo5[[#This Row],[BOYA KODU]],Tablo14[#All],4,0)," ")</f>
        <v xml:space="preserve"> </v>
      </c>
      <c r="L155" s="100" t="str">
        <f>IFERROR(VLOOKUP(Tablo5[[#This Row],[BOYA KODU]],Tablo14[#All],6,0)," ")</f>
        <v xml:space="preserve"> </v>
      </c>
      <c r="M155" s="100" t="str">
        <f t="shared" si="14"/>
        <v xml:space="preserve"> </v>
      </c>
      <c r="N155" s="100" t="s">
        <v>38</v>
      </c>
      <c r="O155" s="100" t="str">
        <f>IFERROR(VLOOKUP(Tablo5[[#This Row],[HAMMADDE KODU]],Tablo1[#All],3,0)," ")</f>
        <v>LSR 50</v>
      </c>
      <c r="P155" s="100" t="str">
        <f>IFERROR(VLOOKUP(Tablo5[[#This Row],[HAMMADDE KODU]],Tablo1[#All],4,0)," ")</f>
        <v>KCC</v>
      </c>
      <c r="Q155" s="100">
        <v>20.100000000000001</v>
      </c>
      <c r="R155" s="100">
        <f>IFERROR(VLOOKUP(Tablo5[[#This Row],[ÜRÜN KODU]],YMKODLARI!$A$1:$K$363,6,0)," ")</f>
        <v>19.5</v>
      </c>
      <c r="S155" s="100">
        <f>IFERROR(Tablo5[[#This Row],[YOLLUK HARİÇ BASKI GRAMI]]/Tablo5[[#This Row],[KALIP GÖZ ADEDİ]]," ")</f>
        <v>2.4375</v>
      </c>
      <c r="T155" s="100">
        <f t="shared" si="16"/>
        <v>0.60000000000000142</v>
      </c>
      <c r="U155" s="100">
        <v>4.7</v>
      </c>
      <c r="V155" s="100">
        <f t="shared" si="15"/>
        <v>19.870999999999999</v>
      </c>
      <c r="W155" s="101">
        <f t="shared" si="17"/>
        <v>24.416666666666668</v>
      </c>
      <c r="X155" s="102">
        <f t="shared" si="18"/>
        <v>10.000000000000028</v>
      </c>
      <c r="Y155" s="100">
        <f t="shared" si="19"/>
        <v>7.1316666666666668</v>
      </c>
      <c r="Z155" s="100">
        <f t="shared" si="20"/>
        <v>6224</v>
      </c>
    </row>
    <row r="156" spans="1:26">
      <c r="A156" s="100" t="s">
        <v>26</v>
      </c>
      <c r="B156" s="108" t="str">
        <f>IFERROR(VLOOKUP(Tablo5[[#This Row],[ÜRÜN KODU]],YMKODLARI!$A$1:$K$363,2,0)," ")</f>
        <v>DAMAK EMZİK UCU 1 NO</v>
      </c>
      <c r="C156" s="99">
        <v>44048</v>
      </c>
      <c r="D156" s="100" t="s">
        <v>29</v>
      </c>
      <c r="E156" s="101">
        <v>0.4375</v>
      </c>
      <c r="F156" s="101">
        <v>0.75</v>
      </c>
      <c r="G156" s="100">
        <f>IFERROR(VLOOKUP(Tablo5[[#This Row],[ÜRÜN KODU]],YMKODLARI!$A$1:$K$363,3,0)," ")</f>
        <v>8</v>
      </c>
      <c r="H156" s="100">
        <f>IFERROR(VLOOKUP(Tablo5[[#This Row],[ÜRÜN KODU]],YMKODLARI!$A$1:$K$363,4,0)," ")</f>
        <v>30</v>
      </c>
      <c r="I156" s="100">
        <v>646</v>
      </c>
      <c r="J156" s="100" t="str">
        <f>IFERROR(VLOOKUP(Tablo5[[#This Row],[ÜRÜN KODU]],YMKODLARI!$A$1:$K$363,9,0)," ")</f>
        <v>Şeffaf</v>
      </c>
      <c r="K156" s="100" t="str">
        <f>IFERROR(VLOOKUP(Tablo5[[#This Row],[BOYA KODU]],Tablo14[#All],4,0)," ")</f>
        <v xml:space="preserve"> </v>
      </c>
      <c r="L156" s="100" t="str">
        <f>IFERROR(VLOOKUP(Tablo5[[#This Row],[BOYA KODU]],Tablo14[#All],6,0)," ")</f>
        <v xml:space="preserve"> </v>
      </c>
      <c r="M156" s="100" t="str">
        <f t="shared" si="14"/>
        <v xml:space="preserve"> </v>
      </c>
      <c r="N156" s="100" t="s">
        <v>38</v>
      </c>
      <c r="O156" s="100" t="str">
        <f>IFERROR(VLOOKUP(Tablo5[[#This Row],[HAMMADDE KODU]],Tablo1[#All],3,0)," ")</f>
        <v>LSR 50</v>
      </c>
      <c r="P156" s="100" t="str">
        <f>IFERROR(VLOOKUP(Tablo5[[#This Row],[HAMMADDE KODU]],Tablo1[#All],4,0)," ")</f>
        <v>KCC</v>
      </c>
      <c r="Q156" s="100">
        <f>IFERROR(VLOOKUP(Tablo5[[#This Row],[ÜRÜN KODU]],YMKODLARI!$A$1:$K$363,5,0)," ")</f>
        <v>20.399999999999999</v>
      </c>
      <c r="R156" s="100">
        <f>IFERROR(VLOOKUP(Tablo5[[#This Row],[ÜRÜN KODU]],YMKODLARI!$A$1:$K$363,6,0)," ")</f>
        <v>14.2</v>
      </c>
      <c r="S156" s="100">
        <f>IFERROR(Tablo5[[#This Row],[YOLLUK HARİÇ BASKI GRAMI]]/Tablo5[[#This Row],[KALIP GÖZ ADEDİ]]," ")</f>
        <v>1.7749999999999999</v>
      </c>
      <c r="T156" s="100">
        <f t="shared" si="16"/>
        <v>6.1999999999999993</v>
      </c>
      <c r="U156" s="100">
        <v>6.7</v>
      </c>
      <c r="V156" s="100">
        <f t="shared" si="15"/>
        <v>15.873200000000001</v>
      </c>
      <c r="W156" s="101">
        <f t="shared" si="17"/>
        <v>24.3125</v>
      </c>
      <c r="X156" s="102">
        <f t="shared" si="18"/>
        <v>7.5</v>
      </c>
      <c r="Y156" s="100">
        <f t="shared" si="19"/>
        <v>5.3833333333333337</v>
      </c>
      <c r="Z156" s="100">
        <f t="shared" si="20"/>
        <v>5168</v>
      </c>
    </row>
    <row r="157" spans="1:26">
      <c r="A157" s="100" t="s">
        <v>26</v>
      </c>
      <c r="B157" s="108" t="str">
        <f>IFERROR(VLOOKUP(Tablo5[[#This Row],[ÜRÜN KODU]],YMKODLARI!$A$1:$K$363,2,0)," ")</f>
        <v>DAMAK EMZİK UCU 1 NO</v>
      </c>
      <c r="C157" s="99">
        <v>44049</v>
      </c>
      <c r="D157" s="100" t="s">
        <v>29</v>
      </c>
      <c r="E157" s="101">
        <v>0.33333333333333331</v>
      </c>
      <c r="F157" s="101">
        <v>0.75</v>
      </c>
      <c r="G157" s="100">
        <f>IFERROR(VLOOKUP(Tablo5[[#This Row],[ÜRÜN KODU]],YMKODLARI!$A$1:$K$363,3,0)," ")</f>
        <v>8</v>
      </c>
      <c r="H157" s="100">
        <f>IFERROR(VLOOKUP(Tablo5[[#This Row],[ÜRÜN KODU]],YMKODLARI!$A$1:$K$363,4,0)," ")</f>
        <v>30</v>
      </c>
      <c r="I157" s="100">
        <v>126</v>
      </c>
      <c r="J157" s="100" t="str">
        <f>IFERROR(VLOOKUP(Tablo5[[#This Row],[ÜRÜN KODU]],YMKODLARI!$A$1:$K$363,9,0)," ")</f>
        <v>Şeffaf</v>
      </c>
      <c r="K157" s="100" t="str">
        <f>IFERROR(VLOOKUP(Tablo5[[#This Row],[BOYA KODU]],Tablo14[#All],4,0)," ")</f>
        <v xml:space="preserve"> </v>
      </c>
      <c r="L157" s="100" t="str">
        <f>IFERROR(VLOOKUP(Tablo5[[#This Row],[BOYA KODU]],Tablo14[#All],6,0)," ")</f>
        <v xml:space="preserve"> </v>
      </c>
      <c r="M157" s="100" t="str">
        <f t="shared" si="14"/>
        <v xml:space="preserve"> </v>
      </c>
      <c r="N157" s="100" t="s">
        <v>38</v>
      </c>
      <c r="O157" s="100" t="str">
        <f>IFERROR(VLOOKUP(Tablo5[[#This Row],[HAMMADDE KODU]],Tablo1[#All],3,0)," ")</f>
        <v>LSR 50</v>
      </c>
      <c r="P157" s="100" t="str">
        <f>IFERROR(VLOOKUP(Tablo5[[#This Row],[HAMMADDE KODU]],Tablo1[#All],4,0)," ")</f>
        <v>KCC</v>
      </c>
      <c r="Q157" s="100">
        <f>IFERROR(VLOOKUP(Tablo5[[#This Row],[ÜRÜN KODU]],YMKODLARI!$A$1:$K$363,5,0)," ")</f>
        <v>20.399999999999999</v>
      </c>
      <c r="R157" s="100">
        <f>IFERROR(VLOOKUP(Tablo5[[#This Row],[ÜRÜN KODU]],YMKODLARI!$A$1:$K$363,6,0)," ")</f>
        <v>14.2</v>
      </c>
      <c r="S157" s="100">
        <f>IFERROR(Tablo5[[#This Row],[YOLLUK HARİÇ BASKI GRAMI]]/Tablo5[[#This Row],[KALIP GÖZ ADEDİ]]," ")</f>
        <v>1.7749999999999999</v>
      </c>
      <c r="T157" s="100">
        <f t="shared" si="16"/>
        <v>6.1999999999999993</v>
      </c>
      <c r="U157" s="100">
        <v>7</v>
      </c>
      <c r="V157" s="100">
        <f t="shared" si="15"/>
        <v>8.7891999999999992</v>
      </c>
      <c r="W157" s="101">
        <f t="shared" si="17"/>
        <v>24.416666666666668</v>
      </c>
      <c r="X157" s="102">
        <f t="shared" si="18"/>
        <v>10.000000000000028</v>
      </c>
      <c r="Y157" s="100">
        <f t="shared" si="19"/>
        <v>1.05</v>
      </c>
      <c r="Z157" s="100">
        <f t="shared" si="20"/>
        <v>1008</v>
      </c>
    </row>
    <row r="158" spans="1:26">
      <c r="A158" s="100" t="s">
        <v>26</v>
      </c>
      <c r="B158" s="108" t="str">
        <f>IFERROR(VLOOKUP(Tablo5[[#This Row],[ÜRÜN KODU]],YMKODLARI!$A$1:$K$363,2,0)," ")</f>
        <v>DAMAK EMZİK UCU 1 NO</v>
      </c>
      <c r="C158" s="99">
        <v>44050</v>
      </c>
      <c r="D158" s="100" t="s">
        <v>29</v>
      </c>
      <c r="E158" s="101">
        <v>0.33333333333333331</v>
      </c>
      <c r="F158" s="101">
        <v>0.75</v>
      </c>
      <c r="G158" s="100">
        <f>IFERROR(VLOOKUP(Tablo5[[#This Row],[ÜRÜN KODU]],YMKODLARI!$A$1:$K$363,3,0)," ")</f>
        <v>8</v>
      </c>
      <c r="H158" s="100">
        <f>IFERROR(VLOOKUP(Tablo5[[#This Row],[ÜRÜN KODU]],YMKODLARI!$A$1:$K$363,4,0)," ")</f>
        <v>30</v>
      </c>
      <c r="I158" s="100">
        <v>884</v>
      </c>
      <c r="J158" s="100" t="str">
        <f>IFERROR(VLOOKUP(Tablo5[[#This Row],[ÜRÜN KODU]],YMKODLARI!$A$1:$K$363,9,0)," ")</f>
        <v>Şeffaf</v>
      </c>
      <c r="K158" s="100" t="str">
        <f>IFERROR(VLOOKUP(Tablo5[[#This Row],[BOYA KODU]],Tablo14[#All],4,0)," ")</f>
        <v xml:space="preserve"> </v>
      </c>
      <c r="L158" s="100" t="str">
        <f>IFERROR(VLOOKUP(Tablo5[[#This Row],[BOYA KODU]],Tablo14[#All],6,0)," ")</f>
        <v xml:space="preserve"> </v>
      </c>
      <c r="M158" s="100" t="str">
        <f t="shared" si="14"/>
        <v xml:space="preserve"> </v>
      </c>
      <c r="N158" s="100" t="s">
        <v>38</v>
      </c>
      <c r="O158" s="100" t="str">
        <f>IFERROR(VLOOKUP(Tablo5[[#This Row],[HAMMADDE KODU]],Tablo1[#All],3,0)," ")</f>
        <v>LSR 50</v>
      </c>
      <c r="P158" s="100" t="str">
        <f>IFERROR(VLOOKUP(Tablo5[[#This Row],[HAMMADDE KODU]],Tablo1[#All],4,0)," ")</f>
        <v>KCC</v>
      </c>
      <c r="Q158" s="100">
        <f>IFERROR(VLOOKUP(Tablo5[[#This Row],[ÜRÜN KODU]],YMKODLARI!$A$1:$K$363,5,0)," ")</f>
        <v>20.399999999999999</v>
      </c>
      <c r="R158" s="100">
        <f>IFERROR(VLOOKUP(Tablo5[[#This Row],[ÜRÜN KODU]],YMKODLARI!$A$1:$K$363,6,0)," ")</f>
        <v>14.2</v>
      </c>
      <c r="S158" s="100">
        <f>IFERROR(Tablo5[[#This Row],[YOLLUK HARİÇ BASKI GRAMI]]/Tablo5[[#This Row],[KALIP GÖZ ADEDİ]]," ")</f>
        <v>1.7749999999999999</v>
      </c>
      <c r="T158" s="100">
        <f t="shared" si="16"/>
        <v>6.1999999999999993</v>
      </c>
      <c r="U158" s="100">
        <v>6.5</v>
      </c>
      <c r="V158" s="100">
        <f t="shared" si="15"/>
        <v>19.052799999999998</v>
      </c>
      <c r="W158" s="101">
        <f t="shared" si="17"/>
        <v>24.416666666666668</v>
      </c>
      <c r="X158" s="102">
        <f t="shared" si="18"/>
        <v>10.000000000000028</v>
      </c>
      <c r="Y158" s="100">
        <f t="shared" si="19"/>
        <v>7.3666666666666663</v>
      </c>
      <c r="Z158" s="100">
        <f t="shared" si="20"/>
        <v>7072</v>
      </c>
    </row>
    <row r="159" spans="1:26">
      <c r="A159" s="100" t="s">
        <v>26</v>
      </c>
      <c r="B159" s="108" t="str">
        <f>IFERROR(VLOOKUP(Tablo5[[#This Row],[ÜRÜN KODU]],YMKODLARI!$A$1:$K$363,2,0)," ")</f>
        <v>DAMAK EMZİK UCU 1 NO</v>
      </c>
      <c r="C159" s="99">
        <v>44053</v>
      </c>
      <c r="D159" s="100" t="s">
        <v>29</v>
      </c>
      <c r="E159" s="101">
        <v>0.33333333333333331</v>
      </c>
      <c r="F159" s="101">
        <v>0.75</v>
      </c>
      <c r="G159" s="100">
        <f>IFERROR(VLOOKUP(Tablo5[[#This Row],[ÜRÜN KODU]],YMKODLARI!$A$1:$K$363,3,0)," ")</f>
        <v>8</v>
      </c>
      <c r="H159" s="100">
        <f>IFERROR(VLOOKUP(Tablo5[[#This Row],[ÜRÜN KODU]],YMKODLARI!$A$1:$K$363,4,0)," ")</f>
        <v>30</v>
      </c>
      <c r="I159" s="100">
        <v>1137</v>
      </c>
      <c r="J159" s="100" t="str">
        <f>IFERROR(VLOOKUP(Tablo5[[#This Row],[ÜRÜN KODU]],YMKODLARI!$A$1:$K$363,9,0)," ")</f>
        <v>Şeffaf</v>
      </c>
      <c r="K159" s="100" t="str">
        <f>IFERROR(VLOOKUP(Tablo5[[#This Row],[BOYA KODU]],Tablo14[#All],4,0)," ")</f>
        <v xml:space="preserve"> </v>
      </c>
      <c r="L159" s="100" t="str">
        <f>IFERROR(VLOOKUP(Tablo5[[#This Row],[BOYA KODU]],Tablo14[#All],6,0)," ")</f>
        <v xml:space="preserve"> </v>
      </c>
      <c r="M159" s="100" t="str">
        <f t="shared" si="14"/>
        <v xml:space="preserve"> </v>
      </c>
      <c r="N159" s="100" t="s">
        <v>38</v>
      </c>
      <c r="O159" s="100" t="str">
        <f>IFERROR(VLOOKUP(Tablo5[[#This Row],[HAMMADDE KODU]],Tablo1[#All],3,0)," ")</f>
        <v>LSR 50</v>
      </c>
      <c r="P159" s="100" t="str">
        <f>IFERROR(VLOOKUP(Tablo5[[#This Row],[HAMMADDE KODU]],Tablo1[#All],4,0)," ")</f>
        <v>KCC</v>
      </c>
      <c r="Q159" s="100">
        <f>IFERROR(VLOOKUP(Tablo5[[#This Row],[ÜRÜN KODU]],YMKODLARI!$A$1:$K$363,5,0)," ")</f>
        <v>20.399999999999999</v>
      </c>
      <c r="R159" s="100">
        <f>IFERROR(VLOOKUP(Tablo5[[#This Row],[ÜRÜN KODU]],YMKODLARI!$A$1:$K$363,6,0)," ")</f>
        <v>14.2</v>
      </c>
      <c r="S159" s="100">
        <f>IFERROR(Tablo5[[#This Row],[YOLLUK HARİÇ BASKI GRAMI]]/Tablo5[[#This Row],[KALIP GÖZ ADEDİ]]," ")</f>
        <v>1.7749999999999999</v>
      </c>
      <c r="T159" s="100">
        <f t="shared" si="16"/>
        <v>6.1999999999999993</v>
      </c>
      <c r="U159" s="100">
        <v>7.4</v>
      </c>
      <c r="V159" s="100">
        <f t="shared" si="15"/>
        <v>23.545400000000001</v>
      </c>
      <c r="W159" s="101">
        <f t="shared" si="17"/>
        <v>24.416666666666668</v>
      </c>
      <c r="X159" s="102">
        <f t="shared" si="18"/>
        <v>10.000000000000028</v>
      </c>
      <c r="Y159" s="100">
        <f t="shared" si="19"/>
        <v>9.4749999999999996</v>
      </c>
      <c r="Z159" s="100">
        <f t="shared" si="20"/>
        <v>9096</v>
      </c>
    </row>
    <row r="160" spans="1:26">
      <c r="A160" s="100" t="s">
        <v>41</v>
      </c>
      <c r="B160" s="108" t="str">
        <f>IFERROR(VLOOKUP(Tablo5[[#This Row],[ÜRÜN KODU]],YMKODLARI!$A$1:$K$363,2,0)," ")</f>
        <v>AKITMAZ BİBERON UCU</v>
      </c>
      <c r="C160" s="99">
        <v>44054</v>
      </c>
      <c r="D160" s="100" t="s">
        <v>29</v>
      </c>
      <c r="E160" s="101">
        <v>0.5</v>
      </c>
      <c r="F160" s="101">
        <v>0.75</v>
      </c>
      <c r="G160" s="100">
        <f>IFERROR(VLOOKUP(Tablo5[[#This Row],[ÜRÜN KODU]],YMKODLARI!$A$1:$K$363,3,0)," ")</f>
        <v>6</v>
      </c>
      <c r="H160" s="100">
        <f>IFERROR(VLOOKUP(Tablo5[[#This Row],[ÜRÜN KODU]],YMKODLARI!$A$1:$K$363,4,0)," ")</f>
        <v>55</v>
      </c>
      <c r="I160" s="100">
        <v>234</v>
      </c>
      <c r="J160" s="100" t="str">
        <f>IFERROR(VLOOKUP(Tablo5[[#This Row],[ÜRÜN KODU]],YMKODLARI!$A$1:$K$363,9,0)," ")</f>
        <v>Şeffaf</v>
      </c>
      <c r="K160" s="100" t="str">
        <f>IFERROR(VLOOKUP(Tablo5[[#This Row],[BOYA KODU]],Tablo14[#All],4,0)," ")</f>
        <v xml:space="preserve"> </v>
      </c>
      <c r="L160" s="100" t="str">
        <f>IFERROR(VLOOKUP(Tablo5[[#This Row],[BOYA KODU]],Tablo14[#All],6,0)," ")</f>
        <v xml:space="preserve"> </v>
      </c>
      <c r="M160" s="100" t="str">
        <f t="shared" si="14"/>
        <v xml:space="preserve"> </v>
      </c>
      <c r="N160" s="100" t="str">
        <f>IFERROR(VLOOKUP(Tablo5[[#This Row],[ÜRÜN KODU]],YMKODLARI!$A$1:$K$363,8,0)," ")</f>
        <v>HM 003</v>
      </c>
      <c r="O160" s="100" t="str">
        <f>IFERROR(VLOOKUP(Tablo5[[#This Row],[HAMMADDE KODU]],Tablo1[#All],3,0)," ")</f>
        <v>LSR 45</v>
      </c>
      <c r="P160" s="100" t="str">
        <f>IFERROR(VLOOKUP(Tablo5[[#This Row],[HAMMADDE KODU]],Tablo1[#All],4,0)," ")</f>
        <v>SETA</v>
      </c>
      <c r="Q160" s="100">
        <f>IFERROR(VLOOKUP(Tablo5[[#This Row],[ÜRÜN KODU]],YMKODLARI!$A$1:$K$363,5,0)," ")</f>
        <v>56.1</v>
      </c>
      <c r="R160" s="100">
        <f>IFERROR(VLOOKUP(Tablo5[[#This Row],[ÜRÜN KODU]],YMKODLARI!$A$1:$K$363,6,0)," ")</f>
        <v>50.2</v>
      </c>
      <c r="S160" s="100">
        <f>IFERROR(Tablo5[[#This Row],[YOLLUK HARİÇ BASKI GRAMI]]/Tablo5[[#This Row],[KALIP GÖZ ADEDİ]]," ")</f>
        <v>8.3666666666666671</v>
      </c>
      <c r="T160" s="100">
        <f t="shared" si="16"/>
        <v>5.8999999999999986</v>
      </c>
      <c r="U160" s="100">
        <v>3.2</v>
      </c>
      <c r="V160" s="100">
        <f t="shared" si="15"/>
        <v>14.9468</v>
      </c>
      <c r="W160" s="101">
        <f t="shared" si="17"/>
        <v>24.25</v>
      </c>
      <c r="X160" s="102">
        <f t="shared" si="18"/>
        <v>6</v>
      </c>
      <c r="Y160" s="100">
        <f t="shared" si="19"/>
        <v>3.5750000000000002</v>
      </c>
      <c r="Z160" s="100">
        <f t="shared" si="20"/>
        <v>1404</v>
      </c>
    </row>
    <row r="161" spans="1:26">
      <c r="A161" s="100" t="s">
        <v>41</v>
      </c>
      <c r="B161" s="108" t="str">
        <f>IFERROR(VLOOKUP(Tablo5[[#This Row],[ÜRÜN KODU]],YMKODLARI!$A$1:$K$363,2,0)," ")</f>
        <v>AKITMAZ BİBERON UCU</v>
      </c>
      <c r="C161" s="99">
        <v>44055</v>
      </c>
      <c r="D161" s="100" t="s">
        <v>29</v>
      </c>
      <c r="E161" s="101">
        <v>0.33333333333333331</v>
      </c>
      <c r="F161" s="101">
        <v>0.75</v>
      </c>
      <c r="G161" s="100">
        <f>IFERROR(VLOOKUP(Tablo5[[#This Row],[ÜRÜN KODU]],YMKODLARI!$A$1:$K$363,3,0)," ")</f>
        <v>6</v>
      </c>
      <c r="H161" s="100">
        <f>IFERROR(VLOOKUP(Tablo5[[#This Row],[ÜRÜN KODU]],YMKODLARI!$A$1:$K$363,4,0)," ")</f>
        <v>55</v>
      </c>
      <c r="I161" s="100">
        <v>455</v>
      </c>
      <c r="J161" s="100" t="str">
        <f>IFERROR(VLOOKUP(Tablo5[[#This Row],[ÜRÜN KODU]],YMKODLARI!$A$1:$K$363,9,0)," ")</f>
        <v>Şeffaf</v>
      </c>
      <c r="K161" s="100" t="str">
        <f>IFERROR(VLOOKUP(Tablo5[[#This Row],[BOYA KODU]],Tablo14[#All],4,0)," ")</f>
        <v xml:space="preserve"> </v>
      </c>
      <c r="L161" s="100" t="str">
        <f>IFERROR(VLOOKUP(Tablo5[[#This Row],[BOYA KODU]],Tablo14[#All],6,0)," ")</f>
        <v xml:space="preserve"> </v>
      </c>
      <c r="M161" s="100" t="str">
        <f t="shared" si="14"/>
        <v xml:space="preserve"> </v>
      </c>
      <c r="N161" s="100" t="str">
        <f>IFERROR(VLOOKUP(Tablo5[[#This Row],[ÜRÜN KODU]],YMKODLARI!$A$1:$K$363,8,0)," ")</f>
        <v>HM 003</v>
      </c>
      <c r="O161" s="100" t="str">
        <f>IFERROR(VLOOKUP(Tablo5[[#This Row],[HAMMADDE KODU]],Tablo1[#All],3,0)," ")</f>
        <v>LSR 45</v>
      </c>
      <c r="P161" s="100" t="str">
        <f>IFERROR(VLOOKUP(Tablo5[[#This Row],[HAMMADDE KODU]],Tablo1[#All],4,0)," ")</f>
        <v>SETA</v>
      </c>
      <c r="Q161" s="100">
        <f>IFERROR(VLOOKUP(Tablo5[[#This Row],[ÜRÜN KODU]],YMKODLARI!$A$1:$K$363,5,0)," ")</f>
        <v>56.1</v>
      </c>
      <c r="R161" s="100">
        <f>IFERROR(VLOOKUP(Tablo5[[#This Row],[ÜRÜN KODU]],YMKODLARI!$A$1:$K$363,6,0)," ")</f>
        <v>50.2</v>
      </c>
      <c r="S161" s="100">
        <f>IFERROR(Tablo5[[#This Row],[YOLLUK HARİÇ BASKI GRAMI]]/Tablo5[[#This Row],[KALIP GÖZ ADEDİ]]," ")</f>
        <v>8.3666666666666671</v>
      </c>
      <c r="T161" s="100">
        <f t="shared" si="16"/>
        <v>5.8999999999999986</v>
      </c>
      <c r="U161" s="100">
        <v>4.5</v>
      </c>
      <c r="V161" s="100">
        <f t="shared" si="15"/>
        <v>27.341000000000001</v>
      </c>
      <c r="W161" s="101">
        <f t="shared" si="17"/>
        <v>24.416666666666668</v>
      </c>
      <c r="X161" s="102">
        <f t="shared" si="18"/>
        <v>10.000000000000028</v>
      </c>
      <c r="Y161" s="100">
        <f t="shared" si="19"/>
        <v>6.9513888888888893</v>
      </c>
      <c r="Z161" s="100">
        <f t="shared" si="20"/>
        <v>2730</v>
      </c>
    </row>
    <row r="162" spans="1:26">
      <c r="A162" s="100" t="s">
        <v>41</v>
      </c>
      <c r="B162" s="108" t="str">
        <f>IFERROR(VLOOKUP(Tablo5[[#This Row],[ÜRÜN KODU]],YMKODLARI!$A$1:$K$363,2,0)," ")</f>
        <v>AKITMAZ BİBERON UCU</v>
      </c>
      <c r="C162" s="99">
        <v>44056</v>
      </c>
      <c r="D162" s="100" t="s">
        <v>29</v>
      </c>
      <c r="E162" s="101">
        <v>0.33333333333333331</v>
      </c>
      <c r="F162" s="101">
        <v>0.75</v>
      </c>
      <c r="G162" s="100">
        <f>IFERROR(VLOOKUP(Tablo5[[#This Row],[ÜRÜN KODU]],YMKODLARI!$A$1:$K$363,3,0)," ")</f>
        <v>6</v>
      </c>
      <c r="H162" s="100">
        <f>IFERROR(VLOOKUP(Tablo5[[#This Row],[ÜRÜN KODU]],YMKODLARI!$A$1:$K$363,4,0)," ")</f>
        <v>55</v>
      </c>
      <c r="I162" s="100">
        <v>523</v>
      </c>
      <c r="J162" s="100" t="str">
        <f>IFERROR(VLOOKUP(Tablo5[[#This Row],[ÜRÜN KODU]],YMKODLARI!$A$1:$K$363,9,0)," ")</f>
        <v>Şeffaf</v>
      </c>
      <c r="K162" s="100" t="str">
        <f>IFERROR(VLOOKUP(Tablo5[[#This Row],[BOYA KODU]],Tablo14[#All],4,0)," ")</f>
        <v xml:space="preserve"> </v>
      </c>
      <c r="L162" s="100" t="str">
        <f>IFERROR(VLOOKUP(Tablo5[[#This Row],[BOYA KODU]],Tablo14[#All],6,0)," ")</f>
        <v xml:space="preserve"> </v>
      </c>
      <c r="M162" s="100" t="str">
        <f t="shared" si="14"/>
        <v xml:space="preserve"> </v>
      </c>
      <c r="N162" s="100" t="str">
        <f>IFERROR(VLOOKUP(Tablo5[[#This Row],[ÜRÜN KODU]],YMKODLARI!$A$1:$K$363,8,0)," ")</f>
        <v>HM 003</v>
      </c>
      <c r="O162" s="100" t="str">
        <f>IFERROR(VLOOKUP(Tablo5[[#This Row],[HAMMADDE KODU]],Tablo1[#All],3,0)," ")</f>
        <v>LSR 45</v>
      </c>
      <c r="P162" s="100" t="str">
        <f>IFERROR(VLOOKUP(Tablo5[[#This Row],[HAMMADDE KODU]],Tablo1[#All],4,0)," ")</f>
        <v>SETA</v>
      </c>
      <c r="Q162" s="100">
        <f>IFERROR(VLOOKUP(Tablo5[[#This Row],[ÜRÜN KODU]],YMKODLARI!$A$1:$K$363,5,0)," ")</f>
        <v>56.1</v>
      </c>
      <c r="R162" s="100">
        <f>IFERROR(VLOOKUP(Tablo5[[#This Row],[ÜRÜN KODU]],YMKODLARI!$A$1:$K$363,6,0)," ")</f>
        <v>50.2</v>
      </c>
      <c r="S162" s="100">
        <f>IFERROR(Tablo5[[#This Row],[YOLLUK HARİÇ BASKI GRAMI]]/Tablo5[[#This Row],[KALIP GÖZ ADEDİ]]," ")</f>
        <v>8.3666666666666671</v>
      </c>
      <c r="T162" s="100">
        <f t="shared" si="16"/>
        <v>5.8999999999999986</v>
      </c>
      <c r="U162" s="100">
        <v>5.3</v>
      </c>
      <c r="V162" s="100">
        <f t="shared" si="15"/>
        <v>31.554600000000004</v>
      </c>
      <c r="W162" s="101">
        <f t="shared" si="17"/>
        <v>24.416666666666668</v>
      </c>
      <c r="X162" s="102">
        <f t="shared" si="18"/>
        <v>10.000000000000028</v>
      </c>
      <c r="Y162" s="100">
        <f t="shared" si="19"/>
        <v>7.990277777777778</v>
      </c>
      <c r="Z162" s="100">
        <f t="shared" si="20"/>
        <v>3138</v>
      </c>
    </row>
    <row r="163" spans="1:26">
      <c r="A163" s="100" t="s">
        <v>32</v>
      </c>
      <c r="B163" s="108" t="str">
        <f>IFERROR(VLOOKUP(Tablo5[[#This Row],[ÜRÜN KODU]],YMKODLARI!$A$1:$K$363,2,0)," ")</f>
        <v>GENİŞ AĞIZ BİBERON UCU</v>
      </c>
      <c r="C163" s="99">
        <v>44067</v>
      </c>
      <c r="D163" s="100" t="s">
        <v>29</v>
      </c>
      <c r="E163" s="101">
        <v>0.33333333333333331</v>
      </c>
      <c r="F163" s="101">
        <v>0.75</v>
      </c>
      <c r="G163" s="100">
        <f>IFERROR(VLOOKUP(Tablo5[[#This Row],[ÜRÜN KODU]],YMKODLARI!$A$1:$K$363,3,0)," ")</f>
        <v>6</v>
      </c>
      <c r="H163" s="100">
        <f>IFERROR(VLOOKUP(Tablo5[[#This Row],[ÜRÜN KODU]],YMKODLARI!$A$1:$K$363,4,0)," ")</f>
        <v>45</v>
      </c>
      <c r="I163" s="100">
        <v>371</v>
      </c>
      <c r="J163" s="100" t="str">
        <f>IFERROR(VLOOKUP(Tablo5[[#This Row],[ÜRÜN KODU]],YMKODLARI!$A$1:$K$363,9,0)," ")</f>
        <v>Şeffaf</v>
      </c>
      <c r="K163" s="100" t="str">
        <f>IFERROR(VLOOKUP(Tablo5[[#This Row],[BOYA KODU]],Tablo14[#All],4,0)," ")</f>
        <v xml:space="preserve"> </v>
      </c>
      <c r="L163" s="100" t="str">
        <f>IFERROR(VLOOKUP(Tablo5[[#This Row],[BOYA KODU]],Tablo14[#All],6,0)," ")</f>
        <v xml:space="preserve"> </v>
      </c>
      <c r="M163" s="100" t="str">
        <f t="shared" si="14"/>
        <v xml:space="preserve"> </v>
      </c>
      <c r="N163" s="100" t="str">
        <f>IFERROR(VLOOKUP(Tablo5[[#This Row],[ÜRÜN KODU]],YMKODLARI!$A$1:$K$363,8,0)," ")</f>
        <v>HM 003</v>
      </c>
      <c r="O163" s="100" t="str">
        <f>IFERROR(VLOOKUP(Tablo5[[#This Row],[HAMMADDE KODU]],Tablo1[#All],3,0)," ")</f>
        <v>LSR 45</v>
      </c>
      <c r="P163" s="100" t="str">
        <f>IFERROR(VLOOKUP(Tablo5[[#This Row],[HAMMADDE KODU]],Tablo1[#All],4,0)," ")</f>
        <v>SETA</v>
      </c>
      <c r="Q163" s="100">
        <f>IFERROR(VLOOKUP(Tablo5[[#This Row],[ÜRÜN KODU]],YMKODLARI!$A$1:$K$363,5,0)," ")</f>
        <v>59.7</v>
      </c>
      <c r="R163" s="100">
        <f>IFERROR(VLOOKUP(Tablo5[[#This Row],[ÜRÜN KODU]],YMKODLARI!$A$1:$K$363,6,0)," ")</f>
        <v>53.6</v>
      </c>
      <c r="S163" s="100">
        <f>IFERROR(Tablo5[[#This Row],[YOLLUK HARİÇ BASKI GRAMI]]/Tablo5[[#This Row],[KALIP GÖZ ADEDİ]]," ")</f>
        <v>8.9333333333333336</v>
      </c>
      <c r="T163" s="100">
        <f t="shared" si="16"/>
        <v>6.1000000000000014</v>
      </c>
      <c r="U163" s="100">
        <v>3.2</v>
      </c>
      <c r="V163" s="100">
        <f t="shared" si="15"/>
        <v>23.085600000000003</v>
      </c>
      <c r="W163" s="101">
        <f t="shared" si="17"/>
        <v>24.416666666666668</v>
      </c>
      <c r="X163" s="102">
        <f t="shared" si="18"/>
        <v>10.000000000000028</v>
      </c>
      <c r="Y163" s="100">
        <f t="shared" si="19"/>
        <v>4.6375000000000002</v>
      </c>
      <c r="Z163" s="100">
        <f t="shared" si="20"/>
        <v>2226</v>
      </c>
    </row>
    <row r="164" spans="1:26">
      <c r="A164" s="100" t="s">
        <v>32</v>
      </c>
      <c r="B164" s="108" t="str">
        <f>IFERROR(VLOOKUP(Tablo5[[#This Row],[ÜRÜN KODU]],YMKODLARI!$A$1:$K$363,2,0)," ")</f>
        <v>GENİŞ AĞIZ BİBERON UCU</v>
      </c>
      <c r="C164" s="99">
        <v>44068</v>
      </c>
      <c r="D164" s="100" t="s">
        <v>29</v>
      </c>
      <c r="E164" s="101">
        <v>0.33333333333333331</v>
      </c>
      <c r="F164" s="101">
        <v>0.75</v>
      </c>
      <c r="G164" s="100">
        <f>IFERROR(VLOOKUP(Tablo5[[#This Row],[ÜRÜN KODU]],YMKODLARI!$A$1:$K$363,3,0)," ")</f>
        <v>6</v>
      </c>
      <c r="H164" s="100">
        <f>IFERROR(VLOOKUP(Tablo5[[#This Row],[ÜRÜN KODU]],YMKODLARI!$A$1:$K$363,4,0)," ")</f>
        <v>45</v>
      </c>
      <c r="I164" s="100">
        <v>530</v>
      </c>
      <c r="J164" s="100" t="str">
        <f>IFERROR(VLOOKUP(Tablo5[[#This Row],[ÜRÜN KODU]],YMKODLARI!$A$1:$K$363,9,0)," ")</f>
        <v>Şeffaf</v>
      </c>
      <c r="K164" s="100" t="str">
        <f>IFERROR(VLOOKUP(Tablo5[[#This Row],[BOYA KODU]],Tablo14[#All],4,0)," ")</f>
        <v xml:space="preserve"> </v>
      </c>
      <c r="L164" s="100" t="str">
        <f>IFERROR(VLOOKUP(Tablo5[[#This Row],[BOYA KODU]],Tablo14[#All],6,0)," ")</f>
        <v xml:space="preserve"> </v>
      </c>
      <c r="M164" s="100" t="str">
        <f t="shared" si="14"/>
        <v xml:space="preserve"> </v>
      </c>
      <c r="N164" s="100" t="str">
        <f>IFERROR(VLOOKUP(Tablo5[[#This Row],[ÜRÜN KODU]],YMKODLARI!$A$1:$K$363,8,0)," ")</f>
        <v>HM 003</v>
      </c>
      <c r="O164" s="100" t="str">
        <f>IFERROR(VLOOKUP(Tablo5[[#This Row],[HAMMADDE KODU]],Tablo1[#All],3,0)," ")</f>
        <v>LSR 45</v>
      </c>
      <c r="P164" s="100" t="str">
        <f>IFERROR(VLOOKUP(Tablo5[[#This Row],[HAMMADDE KODU]],Tablo1[#All],4,0)," ")</f>
        <v>SETA</v>
      </c>
      <c r="Q164" s="100">
        <f>IFERROR(VLOOKUP(Tablo5[[#This Row],[ÜRÜN KODU]],YMKODLARI!$A$1:$K$363,5,0)," ")</f>
        <v>59.7</v>
      </c>
      <c r="R164" s="100">
        <f>IFERROR(VLOOKUP(Tablo5[[#This Row],[ÜRÜN KODU]],YMKODLARI!$A$1:$K$363,6,0)," ")</f>
        <v>53.6</v>
      </c>
      <c r="S164" s="100">
        <f>IFERROR(Tablo5[[#This Row],[YOLLUK HARİÇ BASKI GRAMI]]/Tablo5[[#This Row],[KALIP GÖZ ADEDİ]]," ")</f>
        <v>8.9333333333333336</v>
      </c>
      <c r="T164" s="100">
        <f t="shared" si="16"/>
        <v>6.1000000000000014</v>
      </c>
      <c r="U164" s="100">
        <v>4</v>
      </c>
      <c r="V164" s="100">
        <f t="shared" si="15"/>
        <v>32.408000000000001</v>
      </c>
      <c r="W164" s="101">
        <f t="shared" si="17"/>
        <v>24.416666666666668</v>
      </c>
      <c r="X164" s="102">
        <f t="shared" si="18"/>
        <v>10.000000000000028</v>
      </c>
      <c r="Y164" s="100">
        <f t="shared" si="19"/>
        <v>6.625</v>
      </c>
      <c r="Z164" s="100">
        <f t="shared" si="20"/>
        <v>3180</v>
      </c>
    </row>
    <row r="165" spans="1:26">
      <c r="A165" s="100" t="s">
        <v>32</v>
      </c>
      <c r="B165" s="108" t="str">
        <f>IFERROR(VLOOKUP(Tablo5[[#This Row],[ÜRÜN KODU]],YMKODLARI!$A$1:$K$363,2,0)," ")</f>
        <v>GENİŞ AĞIZ BİBERON UCU</v>
      </c>
      <c r="C165" s="99">
        <v>44069</v>
      </c>
      <c r="D165" s="100" t="s">
        <v>29</v>
      </c>
      <c r="E165" s="101">
        <v>0.33333333333333331</v>
      </c>
      <c r="F165" s="101">
        <v>0.75</v>
      </c>
      <c r="G165" s="100">
        <f>IFERROR(VLOOKUP(Tablo5[[#This Row],[ÜRÜN KODU]],YMKODLARI!$A$1:$K$363,3,0)," ")</f>
        <v>6</v>
      </c>
      <c r="H165" s="100">
        <f>IFERROR(VLOOKUP(Tablo5[[#This Row],[ÜRÜN KODU]],YMKODLARI!$A$1:$K$363,4,0)," ")</f>
        <v>45</v>
      </c>
      <c r="I165" s="100">
        <v>621</v>
      </c>
      <c r="J165" s="100" t="str">
        <f>IFERROR(VLOOKUP(Tablo5[[#This Row],[ÜRÜN KODU]],YMKODLARI!$A$1:$K$363,9,0)," ")</f>
        <v>Şeffaf</v>
      </c>
      <c r="K165" s="100" t="str">
        <f>IFERROR(VLOOKUP(Tablo5[[#This Row],[BOYA KODU]],Tablo14[#All],4,0)," ")</f>
        <v xml:space="preserve"> </v>
      </c>
      <c r="L165" s="100" t="str">
        <f>IFERROR(VLOOKUP(Tablo5[[#This Row],[BOYA KODU]],Tablo14[#All],6,0)," ")</f>
        <v xml:space="preserve"> </v>
      </c>
      <c r="M165" s="100" t="str">
        <f t="shared" si="14"/>
        <v xml:space="preserve"> </v>
      </c>
      <c r="N165" s="100" t="str">
        <f>IFERROR(VLOOKUP(Tablo5[[#This Row],[ÜRÜN KODU]],YMKODLARI!$A$1:$K$363,8,0)," ")</f>
        <v>HM 003</v>
      </c>
      <c r="O165" s="100" t="str">
        <f>IFERROR(VLOOKUP(Tablo5[[#This Row],[HAMMADDE KODU]],Tablo1[#All],3,0)," ")</f>
        <v>LSR 45</v>
      </c>
      <c r="P165" s="100" t="str">
        <f>IFERROR(VLOOKUP(Tablo5[[#This Row],[HAMMADDE KODU]],Tablo1[#All],4,0)," ")</f>
        <v>SETA</v>
      </c>
      <c r="Q165" s="100">
        <f>IFERROR(VLOOKUP(Tablo5[[#This Row],[ÜRÜN KODU]],YMKODLARI!$A$1:$K$363,5,0)," ")</f>
        <v>59.7</v>
      </c>
      <c r="R165" s="100">
        <f>IFERROR(VLOOKUP(Tablo5[[#This Row],[ÜRÜN KODU]],YMKODLARI!$A$1:$K$363,6,0)," ")</f>
        <v>53.6</v>
      </c>
      <c r="S165" s="100">
        <f>IFERROR(Tablo5[[#This Row],[YOLLUK HARİÇ BASKI GRAMI]]/Tablo5[[#This Row],[KALIP GÖZ ADEDİ]]," ")</f>
        <v>8.9333333333333336</v>
      </c>
      <c r="T165" s="100">
        <f t="shared" si="16"/>
        <v>6.1000000000000014</v>
      </c>
      <c r="U165" s="100">
        <v>5.4</v>
      </c>
      <c r="V165" s="100">
        <f t="shared" si="15"/>
        <v>38.685599999999994</v>
      </c>
      <c r="W165" s="101">
        <f t="shared" si="17"/>
        <v>24.416666666666668</v>
      </c>
      <c r="X165" s="102">
        <f t="shared" si="18"/>
        <v>10.000000000000028</v>
      </c>
      <c r="Y165" s="100">
        <f t="shared" si="19"/>
        <v>7.7625000000000002</v>
      </c>
      <c r="Z165" s="100">
        <f t="shared" si="20"/>
        <v>3726</v>
      </c>
    </row>
    <row r="166" spans="1:26">
      <c r="A166" s="100" t="s">
        <v>32</v>
      </c>
      <c r="B166" s="108" t="str">
        <f>IFERROR(VLOOKUP(Tablo5[[#This Row],[ÜRÜN KODU]],YMKODLARI!$A$1:$K$363,2,0)," ")</f>
        <v>GENİŞ AĞIZ BİBERON UCU</v>
      </c>
      <c r="C166" s="99">
        <v>44070</v>
      </c>
      <c r="D166" s="100" t="s">
        <v>29</v>
      </c>
      <c r="E166" s="101">
        <v>0.33333333333333331</v>
      </c>
      <c r="F166" s="101">
        <v>0.75</v>
      </c>
      <c r="G166" s="100">
        <f>IFERROR(VLOOKUP(Tablo5[[#This Row],[ÜRÜN KODU]],YMKODLARI!$A$1:$K$363,3,0)," ")</f>
        <v>6</v>
      </c>
      <c r="H166" s="100">
        <f>IFERROR(VLOOKUP(Tablo5[[#This Row],[ÜRÜN KODU]],YMKODLARI!$A$1:$K$363,4,0)," ")</f>
        <v>45</v>
      </c>
      <c r="I166" s="100">
        <v>613</v>
      </c>
      <c r="J166" s="100" t="str">
        <f>IFERROR(VLOOKUP(Tablo5[[#This Row],[ÜRÜN KODU]],YMKODLARI!$A$1:$K$363,9,0)," ")</f>
        <v>Şeffaf</v>
      </c>
      <c r="K166" s="100" t="str">
        <f>IFERROR(VLOOKUP(Tablo5[[#This Row],[BOYA KODU]],Tablo14[#All],4,0)," ")</f>
        <v xml:space="preserve"> </v>
      </c>
      <c r="L166" s="100" t="str">
        <f>IFERROR(VLOOKUP(Tablo5[[#This Row],[BOYA KODU]],Tablo14[#All],6,0)," ")</f>
        <v xml:space="preserve"> </v>
      </c>
      <c r="M166" s="100" t="str">
        <f t="shared" si="14"/>
        <v xml:space="preserve"> </v>
      </c>
      <c r="N166" s="100" t="str">
        <f>IFERROR(VLOOKUP(Tablo5[[#This Row],[ÜRÜN KODU]],YMKODLARI!$A$1:$K$363,8,0)," ")</f>
        <v>HM 003</v>
      </c>
      <c r="O166" s="100" t="str">
        <f>IFERROR(VLOOKUP(Tablo5[[#This Row],[HAMMADDE KODU]],Tablo1[#All],3,0)," ")</f>
        <v>LSR 45</v>
      </c>
      <c r="P166" s="100" t="str">
        <f>IFERROR(VLOOKUP(Tablo5[[#This Row],[HAMMADDE KODU]],Tablo1[#All],4,0)," ")</f>
        <v>SETA</v>
      </c>
      <c r="Q166" s="100">
        <f>IFERROR(VLOOKUP(Tablo5[[#This Row],[ÜRÜN KODU]],YMKODLARI!$A$1:$K$363,5,0)," ")</f>
        <v>59.7</v>
      </c>
      <c r="R166" s="100">
        <f>IFERROR(VLOOKUP(Tablo5[[#This Row],[ÜRÜN KODU]],YMKODLARI!$A$1:$K$363,6,0)," ")</f>
        <v>53.6</v>
      </c>
      <c r="S166" s="100">
        <f>IFERROR(Tablo5[[#This Row],[YOLLUK HARİÇ BASKI GRAMI]]/Tablo5[[#This Row],[KALIP GÖZ ADEDİ]]," ")</f>
        <v>8.9333333333333336</v>
      </c>
      <c r="T166" s="100">
        <f t="shared" si="16"/>
        <v>6.1000000000000014</v>
      </c>
      <c r="U166" s="100">
        <v>4</v>
      </c>
      <c r="V166" s="100">
        <f t="shared" si="15"/>
        <v>36.8568</v>
      </c>
      <c r="W166" s="101">
        <f t="shared" si="17"/>
        <v>24.416666666666668</v>
      </c>
      <c r="X166" s="102">
        <f t="shared" si="18"/>
        <v>10.000000000000028</v>
      </c>
      <c r="Y166" s="100">
        <f t="shared" si="19"/>
        <v>7.6624999999999996</v>
      </c>
      <c r="Z166" s="100">
        <f t="shared" si="20"/>
        <v>3678</v>
      </c>
    </row>
    <row r="167" spans="1:26">
      <c r="A167" s="100" t="s">
        <v>32</v>
      </c>
      <c r="B167" s="108" t="str">
        <f>IFERROR(VLOOKUP(Tablo5[[#This Row],[ÜRÜN KODU]],YMKODLARI!$A$1:$K$363,2,0)," ")</f>
        <v>GENİŞ AĞIZ BİBERON UCU</v>
      </c>
      <c r="C167" s="99">
        <v>44071</v>
      </c>
      <c r="D167" s="100" t="s">
        <v>29</v>
      </c>
      <c r="E167" s="101">
        <v>0.33333333333333331</v>
      </c>
      <c r="F167" s="101">
        <v>0.75</v>
      </c>
      <c r="G167" s="100">
        <f>IFERROR(VLOOKUP(Tablo5[[#This Row],[ÜRÜN KODU]],YMKODLARI!$A$1:$K$363,3,0)," ")</f>
        <v>6</v>
      </c>
      <c r="H167" s="100">
        <f>IFERROR(VLOOKUP(Tablo5[[#This Row],[ÜRÜN KODU]],YMKODLARI!$A$1:$K$363,4,0)," ")</f>
        <v>45</v>
      </c>
      <c r="I167" s="100">
        <v>521</v>
      </c>
      <c r="J167" s="100" t="str">
        <f>IFERROR(VLOOKUP(Tablo5[[#This Row],[ÜRÜN KODU]],YMKODLARI!$A$1:$K$363,9,0)," ")</f>
        <v>Şeffaf</v>
      </c>
      <c r="K167" s="100" t="str">
        <f>IFERROR(VLOOKUP(Tablo5[[#This Row],[BOYA KODU]],Tablo14[#All],4,0)," ")</f>
        <v xml:space="preserve"> </v>
      </c>
      <c r="L167" s="100" t="str">
        <f>IFERROR(VLOOKUP(Tablo5[[#This Row],[BOYA KODU]],Tablo14[#All],6,0)," ")</f>
        <v xml:space="preserve"> </v>
      </c>
      <c r="M167" s="100" t="str">
        <f t="shared" si="14"/>
        <v xml:space="preserve"> </v>
      </c>
      <c r="N167" s="100" t="str">
        <f>IFERROR(VLOOKUP(Tablo5[[#This Row],[ÜRÜN KODU]],YMKODLARI!$A$1:$K$363,8,0)," ")</f>
        <v>HM 003</v>
      </c>
      <c r="O167" s="100" t="str">
        <f>IFERROR(VLOOKUP(Tablo5[[#This Row],[HAMMADDE KODU]],Tablo1[#All],3,0)," ")</f>
        <v>LSR 45</v>
      </c>
      <c r="P167" s="100" t="str">
        <f>IFERROR(VLOOKUP(Tablo5[[#This Row],[HAMMADDE KODU]],Tablo1[#All],4,0)," ")</f>
        <v>SETA</v>
      </c>
      <c r="Q167" s="100">
        <f>IFERROR(VLOOKUP(Tablo5[[#This Row],[ÜRÜN KODU]],YMKODLARI!$A$1:$K$363,5,0)," ")</f>
        <v>59.7</v>
      </c>
      <c r="R167" s="100">
        <f>IFERROR(VLOOKUP(Tablo5[[#This Row],[ÜRÜN KODU]],YMKODLARI!$A$1:$K$363,6,0)," ")</f>
        <v>53.6</v>
      </c>
      <c r="S167" s="100">
        <f>IFERROR(Tablo5[[#This Row],[YOLLUK HARİÇ BASKI GRAMI]]/Tablo5[[#This Row],[KALIP GÖZ ADEDİ]]," ")</f>
        <v>8.9333333333333336</v>
      </c>
      <c r="T167" s="100">
        <f t="shared" si="16"/>
        <v>6.1000000000000014</v>
      </c>
      <c r="U167" s="100">
        <v>4.8</v>
      </c>
      <c r="V167" s="100">
        <f t="shared" si="15"/>
        <v>32.7256</v>
      </c>
      <c r="W167" s="101">
        <f t="shared" si="17"/>
        <v>24.416666666666668</v>
      </c>
      <c r="X167" s="102">
        <f t="shared" si="18"/>
        <v>10.000000000000028</v>
      </c>
      <c r="Y167" s="100">
        <f t="shared" si="19"/>
        <v>6.5125000000000002</v>
      </c>
      <c r="Z167" s="100">
        <f t="shared" si="20"/>
        <v>3126</v>
      </c>
    </row>
    <row r="168" spans="1:26">
      <c r="A168" s="100" t="s">
        <v>32</v>
      </c>
      <c r="B168" s="108" t="str">
        <f>IFERROR(VLOOKUP(Tablo5[[#This Row],[ÜRÜN KODU]],YMKODLARI!$A$1:$K$363,2,0)," ")</f>
        <v>GENİŞ AĞIZ BİBERON UCU</v>
      </c>
      <c r="C168" s="99">
        <v>44074</v>
      </c>
      <c r="D168" s="100" t="s">
        <v>29</v>
      </c>
      <c r="E168" s="101">
        <v>0.33333333333333331</v>
      </c>
      <c r="F168" s="101">
        <v>0.75</v>
      </c>
      <c r="G168" s="100">
        <f>IFERROR(VLOOKUP(Tablo5[[#This Row],[ÜRÜN KODU]],YMKODLARI!$A$1:$K$363,3,0)," ")</f>
        <v>6</v>
      </c>
      <c r="H168" s="100">
        <f>IFERROR(VLOOKUP(Tablo5[[#This Row],[ÜRÜN KODU]],YMKODLARI!$A$1:$K$363,4,0)," ")</f>
        <v>45</v>
      </c>
      <c r="I168" s="100">
        <v>544</v>
      </c>
      <c r="J168" s="100" t="str">
        <f>IFERROR(VLOOKUP(Tablo5[[#This Row],[ÜRÜN KODU]],YMKODLARI!$A$1:$K$363,9,0)," ")</f>
        <v>Şeffaf</v>
      </c>
      <c r="K168" s="100" t="str">
        <f>IFERROR(VLOOKUP(Tablo5[[#This Row],[BOYA KODU]],Tablo14[#All],4,0)," ")</f>
        <v xml:space="preserve"> </v>
      </c>
      <c r="L168" s="100" t="str">
        <f>IFERROR(VLOOKUP(Tablo5[[#This Row],[BOYA KODU]],Tablo14[#All],6,0)," ")</f>
        <v xml:space="preserve"> </v>
      </c>
      <c r="M168" s="100" t="str">
        <f t="shared" si="14"/>
        <v xml:space="preserve"> </v>
      </c>
      <c r="N168" s="100" t="str">
        <f>IFERROR(VLOOKUP(Tablo5[[#This Row],[ÜRÜN KODU]],YMKODLARI!$A$1:$K$363,8,0)," ")</f>
        <v>HM 003</v>
      </c>
      <c r="O168" s="100" t="str">
        <f>IFERROR(VLOOKUP(Tablo5[[#This Row],[HAMMADDE KODU]],Tablo1[#All],3,0)," ")</f>
        <v>LSR 45</v>
      </c>
      <c r="P168" s="100" t="str">
        <f>IFERROR(VLOOKUP(Tablo5[[#This Row],[HAMMADDE KODU]],Tablo1[#All],4,0)," ")</f>
        <v>SETA</v>
      </c>
      <c r="Q168" s="100">
        <f>IFERROR(VLOOKUP(Tablo5[[#This Row],[ÜRÜN KODU]],YMKODLARI!$A$1:$K$363,5,0)," ")</f>
        <v>59.7</v>
      </c>
      <c r="R168" s="100">
        <f>IFERROR(VLOOKUP(Tablo5[[#This Row],[ÜRÜN KODU]],YMKODLARI!$A$1:$K$363,6,0)," ")</f>
        <v>53.6</v>
      </c>
      <c r="S168" s="100">
        <f>IFERROR(Tablo5[[#This Row],[YOLLUK HARİÇ BASKI GRAMI]]/Tablo5[[#This Row],[KALIP GÖZ ADEDİ]]," ")</f>
        <v>8.9333333333333336</v>
      </c>
      <c r="T168" s="100">
        <f t="shared" si="16"/>
        <v>6.1000000000000014</v>
      </c>
      <c r="U168" s="100">
        <v>6</v>
      </c>
      <c r="V168" s="100">
        <f t="shared" si="15"/>
        <v>35.1584</v>
      </c>
      <c r="W168" s="101">
        <f t="shared" si="17"/>
        <v>24.416666666666668</v>
      </c>
      <c r="X168" s="102">
        <f t="shared" si="18"/>
        <v>10.000000000000028</v>
      </c>
      <c r="Y168" s="100">
        <f t="shared" si="19"/>
        <v>6.8</v>
      </c>
      <c r="Z168" s="100">
        <f t="shared" si="20"/>
        <v>3264</v>
      </c>
    </row>
    <row r="169" spans="1:26">
      <c r="A169" s="100" t="s">
        <v>32</v>
      </c>
      <c r="B169" s="108" t="str">
        <f>IFERROR(VLOOKUP(Tablo5[[#This Row],[ÜRÜN KODU]],YMKODLARI!$A$1:$K$363,2,0)," ")</f>
        <v>GENİŞ AĞIZ BİBERON UCU</v>
      </c>
      <c r="C169" s="99">
        <v>44075</v>
      </c>
      <c r="D169" s="100" t="s">
        <v>29</v>
      </c>
      <c r="E169" s="101">
        <v>0.33333333333333331</v>
      </c>
      <c r="F169" s="101">
        <v>0.75</v>
      </c>
      <c r="G169" s="100">
        <f>IFERROR(VLOOKUP(Tablo5[[#This Row],[ÜRÜN KODU]],YMKODLARI!$A$1:$K$363,3,0)," ")</f>
        <v>6</v>
      </c>
      <c r="H169" s="100">
        <f>IFERROR(VLOOKUP(Tablo5[[#This Row],[ÜRÜN KODU]],YMKODLARI!$A$1:$K$363,4,0)," ")</f>
        <v>45</v>
      </c>
      <c r="I169" s="100">
        <v>511</v>
      </c>
      <c r="J169" s="100" t="str">
        <f>IFERROR(VLOOKUP(Tablo5[[#This Row],[ÜRÜN KODU]],YMKODLARI!$A$1:$K$363,9,0)," ")</f>
        <v>Şeffaf</v>
      </c>
      <c r="K169" s="100" t="str">
        <f>IFERROR(VLOOKUP(Tablo5[[#This Row],[BOYA KODU]],Tablo14[#All],4,0)," ")</f>
        <v xml:space="preserve"> </v>
      </c>
      <c r="L169" s="100" t="str">
        <f>IFERROR(VLOOKUP(Tablo5[[#This Row],[BOYA KODU]],Tablo14[#All],6,0)," ")</f>
        <v xml:space="preserve"> </v>
      </c>
      <c r="M169" s="100" t="str">
        <f t="shared" si="14"/>
        <v xml:space="preserve"> </v>
      </c>
      <c r="N169" s="100" t="str">
        <f>IFERROR(VLOOKUP(Tablo5[[#This Row],[ÜRÜN KODU]],YMKODLARI!$A$1:$K$363,8,0)," ")</f>
        <v>HM 003</v>
      </c>
      <c r="O169" s="100" t="str">
        <f>IFERROR(VLOOKUP(Tablo5[[#This Row],[HAMMADDE KODU]],Tablo1[#All],3,0)," ")</f>
        <v>LSR 45</v>
      </c>
      <c r="P169" s="100" t="str">
        <f>IFERROR(VLOOKUP(Tablo5[[#This Row],[HAMMADDE KODU]],Tablo1[#All],4,0)," ")</f>
        <v>SETA</v>
      </c>
      <c r="Q169" s="100">
        <f>IFERROR(VLOOKUP(Tablo5[[#This Row],[ÜRÜN KODU]],YMKODLARI!$A$1:$K$363,5,0)," ")</f>
        <v>59.7</v>
      </c>
      <c r="R169" s="100">
        <f>IFERROR(VLOOKUP(Tablo5[[#This Row],[ÜRÜN KODU]],YMKODLARI!$A$1:$K$363,6,0)," ")</f>
        <v>53.6</v>
      </c>
      <c r="S169" s="100">
        <f>IFERROR(Tablo5[[#This Row],[YOLLUK HARİÇ BASKI GRAMI]]/Tablo5[[#This Row],[KALIP GÖZ ADEDİ]]," ")</f>
        <v>8.9333333333333336</v>
      </c>
      <c r="T169" s="100">
        <f t="shared" si="16"/>
        <v>6.1000000000000014</v>
      </c>
      <c r="U169" s="100">
        <v>5</v>
      </c>
      <c r="V169" s="100">
        <f t="shared" si="15"/>
        <v>32.389600000000002</v>
      </c>
      <c r="W169" s="101">
        <f t="shared" si="17"/>
        <v>24.416666666666668</v>
      </c>
      <c r="X169" s="102">
        <f t="shared" si="18"/>
        <v>10.000000000000028</v>
      </c>
      <c r="Y169" s="100">
        <f t="shared" si="19"/>
        <v>6.3875000000000002</v>
      </c>
      <c r="Z169" s="100">
        <f t="shared" si="20"/>
        <v>3066</v>
      </c>
    </row>
    <row r="170" spans="1:26">
      <c r="A170" s="100" t="s">
        <v>32</v>
      </c>
      <c r="B170" s="108" t="str">
        <f>IFERROR(VLOOKUP(Tablo5[[#This Row],[ÜRÜN KODU]],YMKODLARI!$A$1:$K$363,2,0)," ")</f>
        <v>GENİŞ AĞIZ BİBERON UCU</v>
      </c>
      <c r="C170" s="99">
        <v>44076</v>
      </c>
      <c r="D170" s="100" t="s">
        <v>29</v>
      </c>
      <c r="E170" s="101">
        <v>0.33333333333333331</v>
      </c>
      <c r="F170" s="101">
        <v>0.75</v>
      </c>
      <c r="G170" s="100">
        <f>IFERROR(VLOOKUP(Tablo5[[#This Row],[ÜRÜN KODU]],YMKODLARI!$A$1:$K$363,3,0)," ")</f>
        <v>6</v>
      </c>
      <c r="H170" s="100">
        <f>IFERROR(VLOOKUP(Tablo5[[#This Row],[ÜRÜN KODU]],YMKODLARI!$A$1:$K$363,4,0)," ")</f>
        <v>45</v>
      </c>
      <c r="I170" s="100">
        <v>552</v>
      </c>
      <c r="J170" s="100" t="str">
        <f>IFERROR(VLOOKUP(Tablo5[[#This Row],[ÜRÜN KODU]],YMKODLARI!$A$1:$K$363,9,0)," ")</f>
        <v>Şeffaf</v>
      </c>
      <c r="K170" s="100" t="str">
        <f>IFERROR(VLOOKUP(Tablo5[[#This Row],[BOYA KODU]],Tablo14[#All],4,0)," ")</f>
        <v xml:space="preserve"> </v>
      </c>
      <c r="L170" s="100" t="str">
        <f>IFERROR(VLOOKUP(Tablo5[[#This Row],[BOYA KODU]],Tablo14[#All],6,0)," ")</f>
        <v xml:space="preserve"> </v>
      </c>
      <c r="M170" s="100" t="str">
        <f t="shared" si="14"/>
        <v xml:space="preserve"> </v>
      </c>
      <c r="N170" s="100" t="str">
        <f>IFERROR(VLOOKUP(Tablo5[[#This Row],[ÜRÜN KODU]],YMKODLARI!$A$1:$K$363,8,0)," ")</f>
        <v>HM 003</v>
      </c>
      <c r="O170" s="100" t="str">
        <f>IFERROR(VLOOKUP(Tablo5[[#This Row],[HAMMADDE KODU]],Tablo1[#All],3,0)," ")</f>
        <v>LSR 45</v>
      </c>
      <c r="P170" s="100" t="str">
        <f>IFERROR(VLOOKUP(Tablo5[[#This Row],[HAMMADDE KODU]],Tablo1[#All],4,0)," ")</f>
        <v>SETA</v>
      </c>
      <c r="Q170" s="100">
        <f>IFERROR(VLOOKUP(Tablo5[[#This Row],[ÜRÜN KODU]],YMKODLARI!$A$1:$K$363,5,0)," ")</f>
        <v>59.7</v>
      </c>
      <c r="R170" s="100">
        <f>IFERROR(VLOOKUP(Tablo5[[#This Row],[ÜRÜN KODU]],YMKODLARI!$A$1:$K$363,6,0)," ")</f>
        <v>53.6</v>
      </c>
      <c r="S170" s="100">
        <f>IFERROR(Tablo5[[#This Row],[YOLLUK HARİÇ BASKI GRAMI]]/Tablo5[[#This Row],[KALIP GÖZ ADEDİ]]," ")</f>
        <v>8.9333333333333336</v>
      </c>
      <c r="T170" s="100">
        <f t="shared" si="16"/>
        <v>6.1000000000000014</v>
      </c>
      <c r="U170" s="100">
        <v>4.5</v>
      </c>
      <c r="V170" s="100">
        <f t="shared" si="15"/>
        <v>34.087199999999996</v>
      </c>
      <c r="W170" s="101">
        <f t="shared" si="17"/>
        <v>24.416666666666668</v>
      </c>
      <c r="X170" s="102">
        <f t="shared" si="18"/>
        <v>10.000000000000028</v>
      </c>
      <c r="Y170" s="100">
        <f t="shared" si="19"/>
        <v>6.9</v>
      </c>
      <c r="Z170" s="100">
        <f t="shared" si="20"/>
        <v>3312</v>
      </c>
    </row>
    <row r="171" spans="1:26">
      <c r="A171" s="100" t="s">
        <v>32</v>
      </c>
      <c r="B171" s="108" t="str">
        <f>IFERROR(VLOOKUP(Tablo5[[#This Row],[ÜRÜN KODU]],YMKODLARI!$A$1:$K$363,2,0)," ")</f>
        <v>GENİŞ AĞIZ BİBERON UCU</v>
      </c>
      <c r="C171" s="99">
        <v>44077</v>
      </c>
      <c r="D171" s="100" t="s">
        <v>29</v>
      </c>
      <c r="E171" s="101">
        <v>0.33333333333333331</v>
      </c>
      <c r="F171" s="101">
        <v>0.75</v>
      </c>
      <c r="G171" s="100">
        <f>IFERROR(VLOOKUP(Tablo5[[#This Row],[ÜRÜN KODU]],YMKODLARI!$A$1:$K$363,3,0)," ")</f>
        <v>6</v>
      </c>
      <c r="H171" s="100">
        <f>IFERROR(VLOOKUP(Tablo5[[#This Row],[ÜRÜN KODU]],YMKODLARI!$A$1:$K$363,4,0)," ")</f>
        <v>45</v>
      </c>
      <c r="I171" s="100">
        <v>528</v>
      </c>
      <c r="J171" s="100" t="str">
        <f>IFERROR(VLOOKUP(Tablo5[[#This Row],[ÜRÜN KODU]],YMKODLARI!$A$1:$K$363,9,0)," ")</f>
        <v>Şeffaf</v>
      </c>
      <c r="K171" s="100" t="str">
        <f>IFERROR(VLOOKUP(Tablo5[[#This Row],[BOYA KODU]],Tablo14[#All],4,0)," ")</f>
        <v xml:space="preserve"> </v>
      </c>
      <c r="L171" s="100" t="str">
        <f>IFERROR(VLOOKUP(Tablo5[[#This Row],[BOYA KODU]],Tablo14[#All],6,0)," ")</f>
        <v xml:space="preserve"> </v>
      </c>
      <c r="M171" s="100" t="str">
        <f t="shared" si="14"/>
        <v xml:space="preserve"> </v>
      </c>
      <c r="N171" s="100" t="str">
        <f>IFERROR(VLOOKUP(Tablo5[[#This Row],[ÜRÜN KODU]],YMKODLARI!$A$1:$K$363,8,0)," ")</f>
        <v>HM 003</v>
      </c>
      <c r="O171" s="100" t="str">
        <f>IFERROR(VLOOKUP(Tablo5[[#This Row],[HAMMADDE KODU]],Tablo1[#All],3,0)," ")</f>
        <v>LSR 45</v>
      </c>
      <c r="P171" s="100" t="str">
        <f>IFERROR(VLOOKUP(Tablo5[[#This Row],[HAMMADDE KODU]],Tablo1[#All],4,0)," ")</f>
        <v>SETA</v>
      </c>
      <c r="Q171" s="100">
        <f>IFERROR(VLOOKUP(Tablo5[[#This Row],[ÜRÜN KODU]],YMKODLARI!$A$1:$K$363,5,0)," ")</f>
        <v>59.7</v>
      </c>
      <c r="R171" s="100">
        <f>IFERROR(VLOOKUP(Tablo5[[#This Row],[ÜRÜN KODU]],YMKODLARI!$A$1:$K$363,6,0)," ")</f>
        <v>53.6</v>
      </c>
      <c r="S171" s="100">
        <f>IFERROR(Tablo5[[#This Row],[YOLLUK HARİÇ BASKI GRAMI]]/Tablo5[[#This Row],[KALIP GÖZ ADEDİ]]," ")</f>
        <v>8.9333333333333336</v>
      </c>
      <c r="T171" s="100">
        <f t="shared" si="16"/>
        <v>6.1000000000000014</v>
      </c>
      <c r="U171" s="100">
        <v>4.5</v>
      </c>
      <c r="V171" s="100">
        <f t="shared" si="15"/>
        <v>32.800799999999995</v>
      </c>
      <c r="W171" s="101">
        <f t="shared" si="17"/>
        <v>24.416666666666668</v>
      </c>
      <c r="X171" s="102">
        <f t="shared" si="18"/>
        <v>10.000000000000028</v>
      </c>
      <c r="Y171" s="100">
        <f t="shared" si="19"/>
        <v>6.6</v>
      </c>
      <c r="Z171" s="100">
        <f t="shared" si="20"/>
        <v>3168</v>
      </c>
    </row>
    <row r="172" spans="1:26">
      <c r="A172" s="100" t="s">
        <v>32</v>
      </c>
      <c r="B172" s="108" t="str">
        <f>IFERROR(VLOOKUP(Tablo5[[#This Row],[ÜRÜN KODU]],YMKODLARI!$A$1:$K$363,2,0)," ")</f>
        <v>GENİŞ AĞIZ BİBERON UCU</v>
      </c>
      <c r="C172" s="99">
        <v>44078</v>
      </c>
      <c r="D172" s="100" t="s">
        <v>29</v>
      </c>
      <c r="E172" s="101">
        <v>0.33333333333333331</v>
      </c>
      <c r="F172" s="101">
        <v>0.75</v>
      </c>
      <c r="G172" s="100">
        <f>IFERROR(VLOOKUP(Tablo5[[#This Row],[ÜRÜN KODU]],YMKODLARI!$A$1:$K$363,3,0)," ")</f>
        <v>6</v>
      </c>
      <c r="H172" s="100">
        <f>IFERROR(VLOOKUP(Tablo5[[#This Row],[ÜRÜN KODU]],YMKODLARI!$A$1:$K$363,4,0)," ")</f>
        <v>45</v>
      </c>
      <c r="I172" s="100">
        <v>524</v>
      </c>
      <c r="J172" s="100" t="str">
        <f>IFERROR(VLOOKUP(Tablo5[[#This Row],[ÜRÜN KODU]],YMKODLARI!$A$1:$K$363,9,0)," ")</f>
        <v>Şeffaf</v>
      </c>
      <c r="K172" s="100" t="str">
        <f>IFERROR(VLOOKUP(Tablo5[[#This Row],[BOYA KODU]],Tablo14[#All],4,0)," ")</f>
        <v xml:space="preserve"> </v>
      </c>
      <c r="L172" s="100" t="str">
        <f>IFERROR(VLOOKUP(Tablo5[[#This Row],[BOYA KODU]],Tablo14[#All],6,0)," ")</f>
        <v xml:space="preserve"> </v>
      </c>
      <c r="M172" s="100" t="str">
        <f t="shared" si="14"/>
        <v xml:space="preserve"> </v>
      </c>
      <c r="N172" s="100" t="str">
        <f>IFERROR(VLOOKUP(Tablo5[[#This Row],[ÜRÜN KODU]],YMKODLARI!$A$1:$K$363,8,0)," ")</f>
        <v>HM 003</v>
      </c>
      <c r="O172" s="100" t="str">
        <f>IFERROR(VLOOKUP(Tablo5[[#This Row],[HAMMADDE KODU]],Tablo1[#All],3,0)," ")</f>
        <v>LSR 45</v>
      </c>
      <c r="P172" s="100" t="str">
        <f>IFERROR(VLOOKUP(Tablo5[[#This Row],[HAMMADDE KODU]],Tablo1[#All],4,0)," ")</f>
        <v>SETA</v>
      </c>
      <c r="Q172" s="100">
        <f>IFERROR(VLOOKUP(Tablo5[[#This Row],[ÜRÜN KODU]],YMKODLARI!$A$1:$K$363,5,0)," ")</f>
        <v>59.7</v>
      </c>
      <c r="R172" s="100">
        <f>IFERROR(VLOOKUP(Tablo5[[#This Row],[ÜRÜN KODU]],YMKODLARI!$A$1:$K$363,6,0)," ")</f>
        <v>53.6</v>
      </c>
      <c r="S172" s="100">
        <f>IFERROR(Tablo5[[#This Row],[YOLLUK HARİÇ BASKI GRAMI]]/Tablo5[[#This Row],[KALIP GÖZ ADEDİ]]," ")</f>
        <v>8.9333333333333336</v>
      </c>
      <c r="T172" s="100">
        <f t="shared" si="16"/>
        <v>6.1000000000000014</v>
      </c>
      <c r="U172" s="100">
        <v>3.5</v>
      </c>
      <c r="V172" s="100">
        <f t="shared" si="15"/>
        <v>31.586400000000001</v>
      </c>
      <c r="W172" s="101">
        <f t="shared" si="17"/>
        <v>24.416666666666668</v>
      </c>
      <c r="X172" s="102">
        <f t="shared" si="18"/>
        <v>10.000000000000028</v>
      </c>
      <c r="Y172" s="100">
        <f t="shared" si="19"/>
        <v>6.55</v>
      </c>
      <c r="Z172" s="100">
        <f t="shared" si="20"/>
        <v>3144</v>
      </c>
    </row>
    <row r="173" spans="1:26">
      <c r="A173" s="100" t="s">
        <v>41</v>
      </c>
      <c r="B173" s="108" t="str">
        <f>IFERROR(VLOOKUP(Tablo5[[#This Row],[ÜRÜN KODU]],YMKODLARI!$A$1:$K$363,2,0)," ")</f>
        <v>AKITMAZ BİBERON UCU</v>
      </c>
      <c r="C173" s="99">
        <v>44111</v>
      </c>
      <c r="D173" s="100" t="s">
        <v>33</v>
      </c>
      <c r="E173" s="101">
        <v>0.6875</v>
      </c>
      <c r="F173" s="101">
        <v>0.75</v>
      </c>
      <c r="G173" s="100">
        <f>IFERROR(VLOOKUP(Tablo5[[#This Row],[ÜRÜN KODU]],YMKODLARI!$A$1:$K$363,3,0)," ")</f>
        <v>6</v>
      </c>
      <c r="H173" s="100">
        <f>IFERROR(VLOOKUP(Tablo5[[#This Row],[ÜRÜN KODU]],YMKODLARI!$A$1:$K$363,4,0)," ")</f>
        <v>55</v>
      </c>
      <c r="I173" s="100">
        <v>99</v>
      </c>
      <c r="J173" s="100" t="str">
        <f>IFERROR(VLOOKUP(Tablo5[[#This Row],[ÜRÜN KODU]],YMKODLARI!$A$1:$K$363,9,0)," ")</f>
        <v>Şeffaf</v>
      </c>
      <c r="K173" s="100" t="str">
        <f>IFERROR(VLOOKUP(Tablo5[[#This Row],[BOYA KODU]],Tablo14[#All],4,0)," ")</f>
        <v xml:space="preserve"> </v>
      </c>
      <c r="L173" s="100" t="str">
        <f>IFERROR(VLOOKUP(Tablo5[[#This Row],[BOYA KODU]],Tablo14[#All],6,0)," ")</f>
        <v xml:space="preserve"> </v>
      </c>
      <c r="M173" s="100" t="str">
        <f t="shared" si="14"/>
        <v xml:space="preserve"> </v>
      </c>
      <c r="N173" s="100" t="str">
        <f>IFERROR(VLOOKUP(Tablo5[[#This Row],[ÜRÜN KODU]],YMKODLARI!$A$1:$K$363,8,0)," ")</f>
        <v>HM 003</v>
      </c>
      <c r="O173" s="100" t="str">
        <f>IFERROR(VLOOKUP(Tablo5[[#This Row],[HAMMADDE KODU]],Tablo1[#All],3,0)," ")</f>
        <v>LSR 45</v>
      </c>
      <c r="P173" s="100" t="str">
        <f>IFERROR(VLOOKUP(Tablo5[[#This Row],[HAMMADDE KODU]],Tablo1[#All],4,0)," ")</f>
        <v>SETA</v>
      </c>
      <c r="Q173" s="100">
        <f>IFERROR(VLOOKUP(Tablo5[[#This Row],[ÜRÜN KODU]],YMKODLARI!$A$1:$K$363,5,0)," ")</f>
        <v>56.1</v>
      </c>
      <c r="R173" s="100">
        <f>IFERROR(VLOOKUP(Tablo5[[#This Row],[ÜRÜN KODU]],YMKODLARI!$A$1:$K$363,6,0)," ")</f>
        <v>50.2</v>
      </c>
      <c r="S173" s="100">
        <f>IFERROR(Tablo5[[#This Row],[YOLLUK HARİÇ BASKI GRAMI]]/Tablo5[[#This Row],[KALIP GÖZ ADEDİ]]," ")</f>
        <v>8.3666666666666671</v>
      </c>
      <c r="T173" s="100">
        <f t="shared" si="16"/>
        <v>5.8999999999999986</v>
      </c>
      <c r="U173" s="100">
        <v>1.2</v>
      </c>
      <c r="V173" s="100">
        <f t="shared" si="15"/>
        <v>6.1698000000000004</v>
      </c>
      <c r="W173" s="101">
        <f t="shared" si="17"/>
        <v>24.0625</v>
      </c>
      <c r="X173" s="102">
        <f t="shared" si="18"/>
        <v>1.5</v>
      </c>
      <c r="Y173" s="100">
        <f t="shared" si="19"/>
        <v>1.5125</v>
      </c>
      <c r="Z173" s="100">
        <f t="shared" si="20"/>
        <v>594</v>
      </c>
    </row>
    <row r="174" spans="1:26">
      <c r="A174" s="100" t="s">
        <v>41</v>
      </c>
      <c r="B174" s="108" t="str">
        <f>IFERROR(VLOOKUP(Tablo5[[#This Row],[ÜRÜN KODU]],YMKODLARI!$A$1:$K$363,2,0)," ")</f>
        <v>AKITMAZ BİBERON UCU</v>
      </c>
      <c r="C174" s="99">
        <v>44112</v>
      </c>
      <c r="D174" s="100" t="s">
        <v>33</v>
      </c>
      <c r="E174" s="101">
        <v>0.33680555555555558</v>
      </c>
      <c r="F174" s="101">
        <v>0.75</v>
      </c>
      <c r="G174" s="100">
        <f>IFERROR(VLOOKUP(Tablo5[[#This Row],[ÜRÜN KODU]],YMKODLARI!$A$1:$K$363,3,0)," ")</f>
        <v>6</v>
      </c>
      <c r="H174" s="100">
        <f>IFERROR(VLOOKUP(Tablo5[[#This Row],[ÜRÜN KODU]],YMKODLARI!$A$1:$K$363,4,0)," ")</f>
        <v>55</v>
      </c>
      <c r="I174" s="100">
        <v>424</v>
      </c>
      <c r="J174" s="100" t="str">
        <f>IFERROR(VLOOKUP(Tablo5[[#This Row],[ÜRÜN KODU]],YMKODLARI!$A$1:$K$363,9,0)," ")</f>
        <v>Şeffaf</v>
      </c>
      <c r="K174" s="100" t="str">
        <f>IFERROR(VLOOKUP(Tablo5[[#This Row],[BOYA KODU]],Tablo14[#All],4,0)," ")</f>
        <v xml:space="preserve"> </v>
      </c>
      <c r="L174" s="100" t="str">
        <f>IFERROR(VLOOKUP(Tablo5[[#This Row],[BOYA KODU]],Tablo14[#All],6,0)," ")</f>
        <v xml:space="preserve"> </v>
      </c>
      <c r="M174" s="100" t="str">
        <f t="shared" si="14"/>
        <v xml:space="preserve"> </v>
      </c>
      <c r="N174" s="100" t="str">
        <f>IFERROR(VLOOKUP(Tablo5[[#This Row],[ÜRÜN KODU]],YMKODLARI!$A$1:$K$363,8,0)," ")</f>
        <v>HM 003</v>
      </c>
      <c r="O174" s="100" t="str">
        <f>IFERROR(VLOOKUP(Tablo5[[#This Row],[HAMMADDE KODU]],Tablo1[#All],3,0)," ")</f>
        <v>LSR 45</v>
      </c>
      <c r="P174" s="100" t="str">
        <f>IFERROR(VLOOKUP(Tablo5[[#This Row],[HAMMADDE KODU]],Tablo1[#All],4,0)," ")</f>
        <v>SETA</v>
      </c>
      <c r="Q174" s="100">
        <f>IFERROR(VLOOKUP(Tablo5[[#This Row],[ÜRÜN KODU]],YMKODLARI!$A$1:$K$363,5,0)," ")</f>
        <v>56.1</v>
      </c>
      <c r="R174" s="100">
        <f>IFERROR(VLOOKUP(Tablo5[[#This Row],[ÜRÜN KODU]],YMKODLARI!$A$1:$K$363,6,0)," ")</f>
        <v>50.2</v>
      </c>
      <c r="S174" s="100">
        <f>IFERROR(Tablo5[[#This Row],[YOLLUK HARİÇ BASKI GRAMI]]/Tablo5[[#This Row],[KALIP GÖZ ADEDİ]]," ")</f>
        <v>8.3666666666666671</v>
      </c>
      <c r="T174" s="100">
        <f t="shared" si="16"/>
        <v>5.8999999999999986</v>
      </c>
      <c r="U174" s="100">
        <v>2.8</v>
      </c>
      <c r="V174" s="100">
        <f t="shared" si="15"/>
        <v>24.084800000000005</v>
      </c>
      <c r="W174" s="101">
        <f t="shared" si="17"/>
        <v>24.413194444444443</v>
      </c>
      <c r="X174" s="102">
        <f t="shared" si="18"/>
        <v>9.9166666666666288</v>
      </c>
      <c r="Y174" s="100">
        <f t="shared" si="19"/>
        <v>6.4777777777777779</v>
      </c>
      <c r="Z174" s="100">
        <f t="shared" si="20"/>
        <v>2544</v>
      </c>
    </row>
    <row r="175" spans="1:26">
      <c r="A175" s="100" t="s">
        <v>41</v>
      </c>
      <c r="B175" s="108" t="str">
        <f>IFERROR(VLOOKUP(Tablo5[[#This Row],[ÜRÜN KODU]],YMKODLARI!$A$1:$K$363,2,0)," ")</f>
        <v>AKITMAZ BİBERON UCU</v>
      </c>
      <c r="C175" s="99">
        <v>44113</v>
      </c>
      <c r="D175" s="100" t="s">
        <v>33</v>
      </c>
      <c r="E175" s="101">
        <v>0.34375</v>
      </c>
      <c r="F175" s="101">
        <v>0.75</v>
      </c>
      <c r="G175" s="100">
        <f>IFERROR(VLOOKUP(Tablo5[[#This Row],[ÜRÜN KODU]],YMKODLARI!$A$1:$K$363,3,0)," ")</f>
        <v>6</v>
      </c>
      <c r="H175" s="100">
        <f>IFERROR(VLOOKUP(Tablo5[[#This Row],[ÜRÜN KODU]],YMKODLARI!$A$1:$K$363,4,0)," ")</f>
        <v>55</v>
      </c>
      <c r="I175" s="100">
        <v>393</v>
      </c>
      <c r="J175" s="100" t="str">
        <f>IFERROR(VLOOKUP(Tablo5[[#This Row],[ÜRÜN KODU]],YMKODLARI!$A$1:$K$363,9,0)," ")</f>
        <v>Şeffaf</v>
      </c>
      <c r="K175" s="100" t="str">
        <f>IFERROR(VLOOKUP(Tablo5[[#This Row],[BOYA KODU]],Tablo14[#All],4,0)," ")</f>
        <v xml:space="preserve"> </v>
      </c>
      <c r="L175" s="100" t="str">
        <f>IFERROR(VLOOKUP(Tablo5[[#This Row],[BOYA KODU]],Tablo14[#All],6,0)," ")</f>
        <v xml:space="preserve"> </v>
      </c>
      <c r="M175" s="100" t="str">
        <f t="shared" si="14"/>
        <v xml:space="preserve"> </v>
      </c>
      <c r="N175" s="100" t="str">
        <f>IFERROR(VLOOKUP(Tablo5[[#This Row],[ÜRÜN KODU]],YMKODLARI!$A$1:$K$363,8,0)," ")</f>
        <v>HM 003</v>
      </c>
      <c r="O175" s="100" t="str">
        <f>IFERROR(VLOOKUP(Tablo5[[#This Row],[HAMMADDE KODU]],Tablo1[#All],3,0)," ")</f>
        <v>LSR 45</v>
      </c>
      <c r="P175" s="100" t="str">
        <f>IFERROR(VLOOKUP(Tablo5[[#This Row],[HAMMADDE KODU]],Tablo1[#All],4,0)," ")</f>
        <v>SETA</v>
      </c>
      <c r="Q175" s="100">
        <f>IFERROR(VLOOKUP(Tablo5[[#This Row],[ÜRÜN KODU]],YMKODLARI!$A$1:$K$363,5,0)," ")</f>
        <v>56.1</v>
      </c>
      <c r="R175" s="100">
        <f>IFERROR(VLOOKUP(Tablo5[[#This Row],[ÜRÜN KODU]],YMKODLARI!$A$1:$K$363,6,0)," ")</f>
        <v>50.2</v>
      </c>
      <c r="S175" s="100">
        <f>IFERROR(Tablo5[[#This Row],[YOLLUK HARİÇ BASKI GRAMI]]/Tablo5[[#This Row],[KALIP GÖZ ADEDİ]]," ")</f>
        <v>8.3666666666666671</v>
      </c>
      <c r="T175" s="100">
        <f t="shared" si="16"/>
        <v>5.8999999999999986</v>
      </c>
      <c r="U175" s="100">
        <v>2.8</v>
      </c>
      <c r="V175" s="100">
        <f t="shared" si="15"/>
        <v>22.528600000000004</v>
      </c>
      <c r="W175" s="101">
        <f t="shared" si="17"/>
        <v>24.40625</v>
      </c>
      <c r="X175" s="102">
        <f t="shared" si="18"/>
        <v>9.75</v>
      </c>
      <c r="Y175" s="100">
        <f t="shared" si="19"/>
        <v>6.0041666666666664</v>
      </c>
      <c r="Z175" s="100">
        <f t="shared" si="20"/>
        <v>2358</v>
      </c>
    </row>
    <row r="176" spans="1:26">
      <c r="A176" s="100" t="s">
        <v>41</v>
      </c>
      <c r="B176" s="108" t="str">
        <f>IFERROR(VLOOKUP(Tablo5[[#This Row],[ÜRÜN KODU]],YMKODLARI!$A$1:$K$363,2,0)," ")</f>
        <v>AKITMAZ BİBERON UCU</v>
      </c>
      <c r="C176" s="99">
        <v>44116</v>
      </c>
      <c r="D176" s="100" t="s">
        <v>29</v>
      </c>
      <c r="E176" s="101">
        <v>0.33333333333333331</v>
      </c>
      <c r="F176" s="101">
        <v>0.75</v>
      </c>
      <c r="G176" s="100">
        <f>IFERROR(VLOOKUP(Tablo5[[#This Row],[ÜRÜN KODU]],YMKODLARI!$A$1:$K$363,3,0)," ")</f>
        <v>6</v>
      </c>
      <c r="H176" s="100">
        <f>IFERROR(VLOOKUP(Tablo5[[#This Row],[ÜRÜN KODU]],YMKODLARI!$A$1:$K$363,4,0)," ")</f>
        <v>55</v>
      </c>
      <c r="I176" s="100">
        <v>378</v>
      </c>
      <c r="J176" s="100" t="str">
        <f>IFERROR(VLOOKUP(Tablo5[[#This Row],[ÜRÜN KODU]],YMKODLARI!$A$1:$K$363,9,0)," ")</f>
        <v>Şeffaf</v>
      </c>
      <c r="K176" s="100" t="str">
        <f>IFERROR(VLOOKUP(Tablo5[[#This Row],[BOYA KODU]],Tablo14[#All],4,0)," ")</f>
        <v xml:space="preserve"> </v>
      </c>
      <c r="L176" s="100" t="str">
        <f>IFERROR(VLOOKUP(Tablo5[[#This Row],[BOYA KODU]],Tablo14[#All],6,0)," ")</f>
        <v xml:space="preserve"> </v>
      </c>
      <c r="M176" s="100" t="str">
        <f t="shared" si="14"/>
        <v xml:space="preserve"> </v>
      </c>
      <c r="N176" s="100" t="str">
        <f>IFERROR(VLOOKUP(Tablo5[[#This Row],[ÜRÜN KODU]],YMKODLARI!$A$1:$K$363,8,0)," ")</f>
        <v>HM 003</v>
      </c>
      <c r="O176" s="100" t="str">
        <f>IFERROR(VLOOKUP(Tablo5[[#This Row],[HAMMADDE KODU]],Tablo1[#All],3,0)," ")</f>
        <v>LSR 45</v>
      </c>
      <c r="P176" s="100" t="str">
        <f>IFERROR(VLOOKUP(Tablo5[[#This Row],[HAMMADDE KODU]],Tablo1[#All],4,0)," ")</f>
        <v>SETA</v>
      </c>
      <c r="Q176" s="100">
        <f>IFERROR(VLOOKUP(Tablo5[[#This Row],[ÜRÜN KODU]],YMKODLARI!$A$1:$K$363,5,0)," ")</f>
        <v>56.1</v>
      </c>
      <c r="R176" s="100">
        <f>IFERROR(VLOOKUP(Tablo5[[#This Row],[ÜRÜN KODU]],YMKODLARI!$A$1:$K$363,6,0)," ")</f>
        <v>50.2</v>
      </c>
      <c r="S176" s="100">
        <f>IFERROR(Tablo5[[#This Row],[YOLLUK HARİÇ BASKI GRAMI]]/Tablo5[[#This Row],[KALIP GÖZ ADEDİ]]," ")</f>
        <v>8.3666666666666671</v>
      </c>
      <c r="T176" s="100">
        <f t="shared" si="16"/>
        <v>5.8999999999999986</v>
      </c>
      <c r="U176" s="100">
        <v>3.2</v>
      </c>
      <c r="V176" s="100">
        <f t="shared" si="15"/>
        <v>22.175600000000003</v>
      </c>
      <c r="W176" s="101">
        <f t="shared" si="17"/>
        <v>24.416666666666668</v>
      </c>
      <c r="X176" s="102">
        <f t="shared" si="18"/>
        <v>10.000000000000028</v>
      </c>
      <c r="Y176" s="100">
        <f t="shared" si="19"/>
        <v>5.7750000000000004</v>
      </c>
      <c r="Z176" s="100">
        <f t="shared" si="20"/>
        <v>2268</v>
      </c>
    </row>
    <row r="177" spans="1:26">
      <c r="A177" s="100" t="s">
        <v>42</v>
      </c>
      <c r="B177" s="108" t="str">
        <f>IFERROR(VLOOKUP(Tablo5[[#This Row],[ÜRÜN KODU]],YMKODLARI!$A$1:$K$363,2,0)," ")</f>
        <v>DAMAK EMZİK UCU 2 NO</v>
      </c>
      <c r="C177" s="99">
        <v>44117</v>
      </c>
      <c r="D177" s="100" t="s">
        <v>33</v>
      </c>
      <c r="E177" s="101">
        <v>0.6875</v>
      </c>
      <c r="F177" s="101">
        <v>0.75</v>
      </c>
      <c r="G177" s="100">
        <f>IFERROR(VLOOKUP(Tablo5[[#This Row],[ÜRÜN KODU]],YMKODLARI!$A$1:$K$363,3,0)," ")</f>
        <v>8</v>
      </c>
      <c r="H177" s="100">
        <f>IFERROR(VLOOKUP(Tablo5[[#This Row],[ÜRÜN KODU]],YMKODLARI!$A$1:$K$363,4,0)," ")</f>
        <v>30</v>
      </c>
      <c r="I177" s="100">
        <v>180</v>
      </c>
      <c r="J177" s="100" t="str">
        <f>IFERROR(VLOOKUP(Tablo5[[#This Row],[ÜRÜN KODU]],YMKODLARI!$A$1:$K$363,9,0)," ")</f>
        <v>Şeffaf</v>
      </c>
      <c r="K177" s="100" t="str">
        <f>IFERROR(VLOOKUP(Tablo5[[#This Row],[BOYA KODU]],Tablo14[#All],4,0)," ")</f>
        <v xml:space="preserve"> </v>
      </c>
      <c r="L177" s="100" t="str">
        <f>IFERROR(VLOOKUP(Tablo5[[#This Row],[BOYA KODU]],Tablo14[#All],6,0)," ")</f>
        <v xml:space="preserve"> </v>
      </c>
      <c r="M177" s="100" t="str">
        <f t="shared" si="14"/>
        <v xml:space="preserve"> </v>
      </c>
      <c r="N177" s="100" t="str">
        <f>IFERROR(VLOOKUP(Tablo5[[#This Row],[ÜRÜN KODU]],YMKODLARI!$A$1:$K$363,8,0)," ")</f>
        <v>HM 004</v>
      </c>
      <c r="O177" s="100" t="str">
        <f>IFERROR(VLOOKUP(Tablo5[[#This Row],[HAMMADDE KODU]],Tablo1[#All],3,0)," ")</f>
        <v>LSR 50</v>
      </c>
      <c r="P177" s="100" t="str">
        <f>IFERROR(VLOOKUP(Tablo5[[#This Row],[HAMMADDE KODU]],Tablo1[#All],4,0)," ")</f>
        <v>TERRA</v>
      </c>
      <c r="Q177" s="100">
        <f>IFERROR(VLOOKUP(Tablo5[[#This Row],[ÜRÜN KODU]],YMKODLARI!$A$1:$K$363,5,0)," ")</f>
        <v>21.9</v>
      </c>
      <c r="R177" s="100">
        <f>IFERROR(VLOOKUP(Tablo5[[#This Row],[ÜRÜN KODU]],YMKODLARI!$A$1:$K$363,6,0)," ")</f>
        <v>16.100000000000001</v>
      </c>
      <c r="S177" s="100">
        <f>IFERROR(Tablo5[[#This Row],[YOLLUK HARİÇ BASKI GRAMI]]/Tablo5[[#This Row],[KALIP GÖZ ADEDİ]]," ")</f>
        <v>2.0125000000000002</v>
      </c>
      <c r="T177" s="100">
        <f t="shared" si="16"/>
        <v>5.7999999999999972</v>
      </c>
      <c r="U177" s="100">
        <v>1.9</v>
      </c>
      <c r="V177" s="100">
        <f t="shared" si="15"/>
        <v>4.798</v>
      </c>
      <c r="W177" s="101">
        <f t="shared" si="17"/>
        <v>24.0625</v>
      </c>
      <c r="X177" s="102">
        <f t="shared" si="18"/>
        <v>1.5</v>
      </c>
      <c r="Y177" s="100">
        <f t="shared" si="19"/>
        <v>1.5</v>
      </c>
      <c r="Z177" s="100">
        <f t="shared" si="20"/>
        <v>1440</v>
      </c>
    </row>
    <row r="178" spans="1:26">
      <c r="A178" s="100" t="s">
        <v>42</v>
      </c>
      <c r="B178" s="108" t="str">
        <f>IFERROR(VLOOKUP(Tablo5[[#This Row],[ÜRÜN KODU]],YMKODLARI!$A$1:$K$363,2,0)," ")</f>
        <v>DAMAK EMZİK UCU 2 NO</v>
      </c>
      <c r="C178" s="99">
        <v>44118</v>
      </c>
      <c r="D178" s="100" t="s">
        <v>33</v>
      </c>
      <c r="E178" s="101">
        <v>0.38194444444444442</v>
      </c>
      <c r="F178" s="101">
        <v>0.75</v>
      </c>
      <c r="G178" s="100">
        <f>IFERROR(VLOOKUP(Tablo5[[#This Row],[ÜRÜN KODU]],YMKODLARI!$A$1:$K$363,3,0)," ")</f>
        <v>8</v>
      </c>
      <c r="H178" s="100">
        <f>IFERROR(VLOOKUP(Tablo5[[#This Row],[ÜRÜN KODU]],YMKODLARI!$A$1:$K$363,4,0)," ")</f>
        <v>30</v>
      </c>
      <c r="I178" s="100">
        <v>864</v>
      </c>
      <c r="J178" s="100" t="str">
        <f>IFERROR(VLOOKUP(Tablo5[[#This Row],[ÜRÜN KODU]],YMKODLARI!$A$1:$K$363,9,0)," ")</f>
        <v>Şeffaf</v>
      </c>
      <c r="K178" s="100" t="str">
        <f>IFERROR(VLOOKUP(Tablo5[[#This Row],[BOYA KODU]],Tablo14[#All],4,0)," ")</f>
        <v xml:space="preserve"> </v>
      </c>
      <c r="L178" s="100" t="str">
        <f>IFERROR(VLOOKUP(Tablo5[[#This Row],[BOYA KODU]],Tablo14[#All],6,0)," ")</f>
        <v xml:space="preserve"> </v>
      </c>
      <c r="M178" s="100" t="str">
        <f t="shared" si="14"/>
        <v xml:space="preserve"> </v>
      </c>
      <c r="N178" s="100" t="str">
        <f>IFERROR(VLOOKUP(Tablo5[[#This Row],[ÜRÜN KODU]],YMKODLARI!$A$1:$K$363,8,0)," ")</f>
        <v>HM 004</v>
      </c>
      <c r="O178" s="100" t="str">
        <f>IFERROR(VLOOKUP(Tablo5[[#This Row],[HAMMADDE KODU]],Tablo1[#All],3,0)," ")</f>
        <v>LSR 50</v>
      </c>
      <c r="P178" s="100" t="str">
        <f>IFERROR(VLOOKUP(Tablo5[[#This Row],[HAMMADDE KODU]],Tablo1[#All],4,0)," ")</f>
        <v>TERRA</v>
      </c>
      <c r="Q178" s="100">
        <f>IFERROR(VLOOKUP(Tablo5[[#This Row],[ÜRÜN KODU]],YMKODLARI!$A$1:$K$363,5,0)," ")</f>
        <v>21.9</v>
      </c>
      <c r="R178" s="100">
        <f>IFERROR(VLOOKUP(Tablo5[[#This Row],[ÜRÜN KODU]],YMKODLARI!$A$1:$K$363,6,0)," ")</f>
        <v>16.100000000000001</v>
      </c>
      <c r="S178" s="100">
        <f>IFERROR(Tablo5[[#This Row],[YOLLUK HARİÇ BASKI GRAMI]]/Tablo5[[#This Row],[KALIP GÖZ ADEDİ]]," ")</f>
        <v>2.0125000000000002</v>
      </c>
      <c r="T178" s="100">
        <f t="shared" si="16"/>
        <v>5.7999999999999972</v>
      </c>
      <c r="U178" s="100">
        <v>5.2</v>
      </c>
      <c r="V178" s="100">
        <f t="shared" si="15"/>
        <v>19.110400000000002</v>
      </c>
      <c r="W178" s="101">
        <f t="shared" si="17"/>
        <v>24.368055555555557</v>
      </c>
      <c r="X178" s="102">
        <f t="shared" si="18"/>
        <v>8.8333333333333712</v>
      </c>
      <c r="Y178" s="100">
        <f t="shared" si="19"/>
        <v>7.2</v>
      </c>
      <c r="Z178" s="100">
        <f t="shared" si="20"/>
        <v>6912</v>
      </c>
    </row>
    <row r="179" spans="1:26">
      <c r="A179" s="100" t="s">
        <v>42</v>
      </c>
      <c r="B179" s="108" t="str">
        <f>IFERROR(VLOOKUP(Tablo5[[#This Row],[ÜRÜN KODU]],YMKODLARI!$A$1:$K$363,2,0)," ")</f>
        <v>DAMAK EMZİK UCU 2 NO</v>
      </c>
      <c r="C179" s="99">
        <v>44119</v>
      </c>
      <c r="D179" s="100" t="s">
        <v>47</v>
      </c>
      <c r="E179" s="101">
        <v>0.46527777777777773</v>
      </c>
      <c r="F179" s="101">
        <v>0.75</v>
      </c>
      <c r="G179" s="100">
        <f>IFERROR(VLOOKUP(Tablo5[[#This Row],[ÜRÜN KODU]],YMKODLARI!$A$1:$K$363,3,0)," ")</f>
        <v>8</v>
      </c>
      <c r="H179" s="100">
        <f>IFERROR(VLOOKUP(Tablo5[[#This Row],[ÜRÜN KODU]],YMKODLARI!$A$1:$K$363,4,0)," ")</f>
        <v>30</v>
      </c>
      <c r="I179" s="100">
        <v>692</v>
      </c>
      <c r="J179" s="100" t="str">
        <f>IFERROR(VLOOKUP(Tablo5[[#This Row],[ÜRÜN KODU]],YMKODLARI!$A$1:$K$363,9,0)," ")</f>
        <v>Şeffaf</v>
      </c>
      <c r="K179" s="100" t="str">
        <f>IFERROR(VLOOKUP(Tablo5[[#This Row],[BOYA KODU]],Tablo14[#All],4,0)," ")</f>
        <v xml:space="preserve"> </v>
      </c>
      <c r="L179" s="100" t="str">
        <f>IFERROR(VLOOKUP(Tablo5[[#This Row],[BOYA KODU]],Tablo14[#All],6,0)," ")</f>
        <v xml:space="preserve"> </v>
      </c>
      <c r="M179" s="100" t="str">
        <f t="shared" si="14"/>
        <v xml:space="preserve"> </v>
      </c>
      <c r="N179" s="100" t="str">
        <f>IFERROR(VLOOKUP(Tablo5[[#This Row],[ÜRÜN KODU]],YMKODLARI!$A$1:$K$363,8,0)," ")</f>
        <v>HM 004</v>
      </c>
      <c r="O179" s="100" t="str">
        <f>IFERROR(VLOOKUP(Tablo5[[#This Row],[HAMMADDE KODU]],Tablo1[#All],3,0)," ")</f>
        <v>LSR 50</v>
      </c>
      <c r="P179" s="100" t="str">
        <f>IFERROR(VLOOKUP(Tablo5[[#This Row],[HAMMADDE KODU]],Tablo1[#All],4,0)," ")</f>
        <v>TERRA</v>
      </c>
      <c r="Q179" s="100">
        <f>IFERROR(VLOOKUP(Tablo5[[#This Row],[ÜRÜN KODU]],YMKODLARI!$A$1:$K$363,5,0)," ")</f>
        <v>21.9</v>
      </c>
      <c r="R179" s="100">
        <f>IFERROR(VLOOKUP(Tablo5[[#This Row],[ÜRÜN KODU]],YMKODLARI!$A$1:$K$363,6,0)," ")</f>
        <v>16.100000000000001</v>
      </c>
      <c r="S179" s="100">
        <f>IFERROR(Tablo5[[#This Row],[YOLLUK HARİÇ BASKI GRAMI]]/Tablo5[[#This Row],[KALIP GÖZ ADEDİ]]," ")</f>
        <v>2.0125000000000002</v>
      </c>
      <c r="T179" s="100">
        <f t="shared" si="16"/>
        <v>5.7999999999999972</v>
      </c>
      <c r="U179" s="100">
        <v>4.3</v>
      </c>
      <c r="V179" s="100">
        <f t="shared" si="15"/>
        <v>15.441200000000002</v>
      </c>
      <c r="W179" s="101">
        <f t="shared" si="17"/>
        <v>24.284722222222221</v>
      </c>
      <c r="X179" s="102">
        <f t="shared" si="18"/>
        <v>6.8333333333333144</v>
      </c>
      <c r="Y179" s="100">
        <f t="shared" si="19"/>
        <v>5.7666666666666666</v>
      </c>
      <c r="Z179" s="100">
        <f t="shared" si="20"/>
        <v>5536</v>
      </c>
    </row>
    <row r="180" spans="1:26">
      <c r="A180" s="100" t="s">
        <v>42</v>
      </c>
      <c r="B180" s="108" t="str">
        <f>IFERROR(VLOOKUP(Tablo5[[#This Row],[ÜRÜN KODU]],YMKODLARI!$A$1:$K$363,2,0)," ")</f>
        <v>DAMAK EMZİK UCU 2 NO</v>
      </c>
      <c r="C180" s="99">
        <v>44120</v>
      </c>
      <c r="D180" s="100" t="s">
        <v>47</v>
      </c>
      <c r="E180" s="101">
        <v>0.34027777777777773</v>
      </c>
      <c r="F180" s="101">
        <v>0.75</v>
      </c>
      <c r="G180" s="100">
        <f>IFERROR(VLOOKUP(Tablo5[[#This Row],[ÜRÜN KODU]],YMKODLARI!$A$1:$K$363,3,0)," ")</f>
        <v>8</v>
      </c>
      <c r="H180" s="100">
        <f>IFERROR(VLOOKUP(Tablo5[[#This Row],[ÜRÜN KODU]],YMKODLARI!$A$1:$K$363,4,0)," ")</f>
        <v>30</v>
      </c>
      <c r="I180" s="100">
        <v>472</v>
      </c>
      <c r="J180" s="100" t="str">
        <f>IFERROR(VLOOKUP(Tablo5[[#This Row],[ÜRÜN KODU]],YMKODLARI!$A$1:$K$363,9,0)," ")</f>
        <v>Şeffaf</v>
      </c>
      <c r="K180" s="100" t="str">
        <f>IFERROR(VLOOKUP(Tablo5[[#This Row],[BOYA KODU]],Tablo14[#All],4,0)," ")</f>
        <v xml:space="preserve"> </v>
      </c>
      <c r="L180" s="100" t="str">
        <f>IFERROR(VLOOKUP(Tablo5[[#This Row],[BOYA KODU]],Tablo14[#All],6,0)," ")</f>
        <v xml:space="preserve"> </v>
      </c>
      <c r="M180" s="100" t="str">
        <f t="shared" si="14"/>
        <v xml:space="preserve"> </v>
      </c>
      <c r="N180" s="100" t="str">
        <f>IFERROR(VLOOKUP(Tablo5[[#This Row],[ÜRÜN KODU]],YMKODLARI!$A$1:$K$363,8,0)," ")</f>
        <v>HM 004</v>
      </c>
      <c r="O180" s="100" t="str">
        <f>IFERROR(VLOOKUP(Tablo5[[#This Row],[HAMMADDE KODU]],Tablo1[#All],3,0)," ")</f>
        <v>LSR 50</v>
      </c>
      <c r="P180" s="100" t="str">
        <f>IFERROR(VLOOKUP(Tablo5[[#This Row],[HAMMADDE KODU]],Tablo1[#All],4,0)," ")</f>
        <v>TERRA</v>
      </c>
      <c r="Q180" s="100">
        <f>IFERROR(VLOOKUP(Tablo5[[#This Row],[ÜRÜN KODU]],YMKODLARI!$A$1:$K$363,5,0)," ")</f>
        <v>21.9</v>
      </c>
      <c r="R180" s="100">
        <f>IFERROR(VLOOKUP(Tablo5[[#This Row],[ÜRÜN KODU]],YMKODLARI!$A$1:$K$363,6,0)," ")</f>
        <v>16.100000000000001</v>
      </c>
      <c r="S180" s="100">
        <f>IFERROR(Tablo5[[#This Row],[YOLLUK HARİÇ BASKI GRAMI]]/Tablo5[[#This Row],[KALIP GÖZ ADEDİ]]," ")</f>
        <v>2.0125000000000002</v>
      </c>
      <c r="T180" s="100">
        <f t="shared" si="16"/>
        <v>5.7999999999999972</v>
      </c>
      <c r="U180" s="100">
        <v>3.6</v>
      </c>
      <c r="V180" s="100">
        <f t="shared" si="15"/>
        <v>11.199200000000001</v>
      </c>
      <c r="W180" s="101">
        <f t="shared" si="17"/>
        <v>24.409722222222221</v>
      </c>
      <c r="X180" s="102">
        <f t="shared" si="18"/>
        <v>9.8333333333333144</v>
      </c>
      <c r="Y180" s="100">
        <f t="shared" si="19"/>
        <v>3.9333333333333331</v>
      </c>
      <c r="Z180" s="100">
        <f t="shared" si="20"/>
        <v>3776</v>
      </c>
    </row>
    <row r="181" spans="1:26">
      <c r="A181" s="100" t="s">
        <v>42</v>
      </c>
      <c r="B181" s="108" t="str">
        <f>IFERROR(VLOOKUP(Tablo5[[#This Row],[ÜRÜN KODU]],YMKODLARI!$A$1:$K$363,2,0)," ")</f>
        <v>DAMAK EMZİK UCU 2 NO</v>
      </c>
      <c r="C181" s="99">
        <v>44123</v>
      </c>
      <c r="D181" s="100" t="s">
        <v>47</v>
      </c>
      <c r="E181" s="101">
        <v>0.375</v>
      </c>
      <c r="F181" s="101">
        <v>0.83333333333333337</v>
      </c>
      <c r="G181" s="100">
        <f>IFERROR(VLOOKUP(Tablo5[[#This Row],[ÜRÜN KODU]],YMKODLARI!$A$1:$K$363,3,0)," ")</f>
        <v>8</v>
      </c>
      <c r="H181" s="100">
        <f>IFERROR(VLOOKUP(Tablo5[[#This Row],[ÜRÜN KODU]],YMKODLARI!$A$1:$K$363,4,0)," ")</f>
        <v>30</v>
      </c>
      <c r="I181" s="100">
        <v>850</v>
      </c>
      <c r="J181" s="100" t="str">
        <f>IFERROR(VLOOKUP(Tablo5[[#This Row],[ÜRÜN KODU]],YMKODLARI!$A$1:$K$363,9,0)," ")</f>
        <v>Şeffaf</v>
      </c>
      <c r="K181" s="100" t="str">
        <f>IFERROR(VLOOKUP(Tablo5[[#This Row],[BOYA KODU]],Tablo14[#All],4,0)," ")</f>
        <v xml:space="preserve"> </v>
      </c>
      <c r="L181" s="100" t="str">
        <f>IFERROR(VLOOKUP(Tablo5[[#This Row],[BOYA KODU]],Tablo14[#All],6,0)," ")</f>
        <v xml:space="preserve"> </v>
      </c>
      <c r="M181" s="100" t="str">
        <f t="shared" si="14"/>
        <v xml:space="preserve"> </v>
      </c>
      <c r="N181" s="100" t="str">
        <f>IFERROR(VLOOKUP(Tablo5[[#This Row],[ÜRÜN KODU]],YMKODLARI!$A$1:$K$363,8,0)," ")</f>
        <v>HM 004</v>
      </c>
      <c r="O181" s="100" t="str">
        <f>IFERROR(VLOOKUP(Tablo5[[#This Row],[HAMMADDE KODU]],Tablo1[#All],3,0)," ")</f>
        <v>LSR 50</v>
      </c>
      <c r="P181" s="100" t="str">
        <f>IFERROR(VLOOKUP(Tablo5[[#This Row],[HAMMADDE KODU]],Tablo1[#All],4,0)," ")</f>
        <v>TERRA</v>
      </c>
      <c r="Q181" s="100">
        <f>IFERROR(VLOOKUP(Tablo5[[#This Row],[ÜRÜN KODU]],YMKODLARI!$A$1:$K$363,5,0)," ")</f>
        <v>21.9</v>
      </c>
      <c r="R181" s="100">
        <f>IFERROR(VLOOKUP(Tablo5[[#This Row],[ÜRÜN KODU]],YMKODLARI!$A$1:$K$363,6,0)," ")</f>
        <v>16.100000000000001</v>
      </c>
      <c r="S181" s="100">
        <f>IFERROR(Tablo5[[#This Row],[YOLLUK HARİÇ BASKI GRAMI]]/Tablo5[[#This Row],[KALIP GÖZ ADEDİ]]," ")</f>
        <v>2.0125000000000002</v>
      </c>
      <c r="T181" s="100">
        <f t="shared" si="16"/>
        <v>5.7999999999999972</v>
      </c>
      <c r="U181" s="100">
        <v>6</v>
      </c>
      <c r="V181" s="100">
        <f t="shared" si="15"/>
        <v>19.685000000000002</v>
      </c>
      <c r="W181" s="101">
        <f t="shared" si="17"/>
        <v>24.458333333333332</v>
      </c>
      <c r="X181" s="102">
        <f t="shared" si="18"/>
        <v>10.999999999999972</v>
      </c>
      <c r="Y181" s="100">
        <f t="shared" si="19"/>
        <v>7.083333333333333</v>
      </c>
      <c r="Z181" s="100">
        <f t="shared" si="20"/>
        <v>6800</v>
      </c>
    </row>
    <row r="182" spans="1:26">
      <c r="A182" s="100" t="s">
        <v>42</v>
      </c>
      <c r="B182" s="108" t="str">
        <f>IFERROR(VLOOKUP(Tablo5[[#This Row],[ÜRÜN KODU]],YMKODLARI!$A$1:$K$363,2,0)," ")</f>
        <v>DAMAK EMZİK UCU 2 NO</v>
      </c>
      <c r="C182" s="99">
        <v>44124</v>
      </c>
      <c r="D182" s="100" t="s">
        <v>29</v>
      </c>
      <c r="E182" s="101">
        <v>0.5</v>
      </c>
      <c r="F182" s="101">
        <v>0.83333333333333337</v>
      </c>
      <c r="G182" s="100">
        <f>IFERROR(VLOOKUP(Tablo5[[#This Row],[ÜRÜN KODU]],YMKODLARI!$A$1:$K$363,3,0)," ")</f>
        <v>8</v>
      </c>
      <c r="H182" s="100">
        <f>IFERROR(VLOOKUP(Tablo5[[#This Row],[ÜRÜN KODU]],YMKODLARI!$A$1:$K$363,4,0)," ")</f>
        <v>30</v>
      </c>
      <c r="I182" s="100">
        <v>825</v>
      </c>
      <c r="J182" s="100" t="str">
        <f>IFERROR(VLOOKUP(Tablo5[[#This Row],[ÜRÜN KODU]],YMKODLARI!$A$1:$K$363,9,0)," ")</f>
        <v>Şeffaf</v>
      </c>
      <c r="K182" s="100" t="str">
        <f>IFERROR(VLOOKUP(Tablo5[[#This Row],[BOYA KODU]],Tablo14[#All],4,0)," ")</f>
        <v xml:space="preserve"> </v>
      </c>
      <c r="L182" s="100" t="str">
        <f>IFERROR(VLOOKUP(Tablo5[[#This Row],[BOYA KODU]],Tablo14[#All],6,0)," ")</f>
        <v xml:space="preserve"> </v>
      </c>
      <c r="M182" s="100" t="str">
        <f t="shared" si="14"/>
        <v xml:space="preserve"> </v>
      </c>
      <c r="N182" s="100" t="str">
        <f>IFERROR(VLOOKUP(Tablo5[[#This Row],[ÜRÜN KODU]],YMKODLARI!$A$1:$K$363,8,0)," ")</f>
        <v>HM 004</v>
      </c>
      <c r="O182" s="100" t="str">
        <f>IFERROR(VLOOKUP(Tablo5[[#This Row],[HAMMADDE KODU]],Tablo1[#All],3,0)," ")</f>
        <v>LSR 50</v>
      </c>
      <c r="P182" s="100" t="str">
        <f>IFERROR(VLOOKUP(Tablo5[[#This Row],[HAMMADDE KODU]],Tablo1[#All],4,0)," ")</f>
        <v>TERRA</v>
      </c>
      <c r="Q182" s="100">
        <f>IFERROR(VLOOKUP(Tablo5[[#This Row],[ÜRÜN KODU]],YMKODLARI!$A$1:$K$363,5,0)," ")</f>
        <v>21.9</v>
      </c>
      <c r="R182" s="100">
        <f>IFERROR(VLOOKUP(Tablo5[[#This Row],[ÜRÜN KODU]],YMKODLARI!$A$1:$K$363,6,0)," ")</f>
        <v>16.100000000000001</v>
      </c>
      <c r="S182" s="100">
        <f>IFERROR(Tablo5[[#This Row],[YOLLUK HARİÇ BASKI GRAMI]]/Tablo5[[#This Row],[KALIP GÖZ ADEDİ]]," ")</f>
        <v>2.0125000000000002</v>
      </c>
      <c r="T182" s="100">
        <f t="shared" si="16"/>
        <v>5.7999999999999972</v>
      </c>
      <c r="U182" s="100">
        <v>5</v>
      </c>
      <c r="V182" s="100">
        <f t="shared" si="15"/>
        <v>18.282500000000002</v>
      </c>
      <c r="W182" s="101">
        <f t="shared" si="17"/>
        <v>24.333333333333332</v>
      </c>
      <c r="X182" s="102">
        <f t="shared" si="18"/>
        <v>7.9999999999999716</v>
      </c>
      <c r="Y182" s="100">
        <f t="shared" si="19"/>
        <v>6.875</v>
      </c>
      <c r="Z182" s="100">
        <f t="shared" si="20"/>
        <v>6600</v>
      </c>
    </row>
    <row r="183" spans="1:26">
      <c r="A183" s="100" t="s">
        <v>42</v>
      </c>
      <c r="B183" s="108" t="str">
        <f>IFERROR(VLOOKUP(Tablo5[[#This Row],[ÜRÜN KODU]],YMKODLARI!$A$1:$K$363,2,0)," ")</f>
        <v>DAMAK EMZİK UCU 2 NO</v>
      </c>
      <c r="C183" s="99">
        <v>44125</v>
      </c>
      <c r="D183" s="100" t="s">
        <v>47</v>
      </c>
      <c r="E183" s="101">
        <v>0.41666666666666669</v>
      </c>
      <c r="F183" s="101">
        <v>0.58680555555555558</v>
      </c>
      <c r="G183" s="100">
        <f>IFERROR(VLOOKUP(Tablo5[[#This Row],[ÜRÜN KODU]],YMKODLARI!$A$1:$K$363,3,0)," ")</f>
        <v>8</v>
      </c>
      <c r="H183" s="100">
        <f>IFERROR(VLOOKUP(Tablo5[[#This Row],[ÜRÜN KODU]],YMKODLARI!$A$1:$K$363,4,0)," ")</f>
        <v>30</v>
      </c>
      <c r="I183" s="100">
        <v>321</v>
      </c>
      <c r="J183" s="100" t="str">
        <f>IFERROR(VLOOKUP(Tablo5[[#This Row],[ÜRÜN KODU]],YMKODLARI!$A$1:$K$363,9,0)," ")</f>
        <v>Şeffaf</v>
      </c>
      <c r="K183" s="100" t="str">
        <f>IFERROR(VLOOKUP(Tablo5[[#This Row],[BOYA KODU]],Tablo14[#All],4,0)," ")</f>
        <v xml:space="preserve"> </v>
      </c>
      <c r="L183" s="100" t="str">
        <f>IFERROR(VLOOKUP(Tablo5[[#This Row],[BOYA KODU]],Tablo14[#All],6,0)," ")</f>
        <v xml:space="preserve"> </v>
      </c>
      <c r="M183" s="100" t="str">
        <f t="shared" si="14"/>
        <v xml:space="preserve"> </v>
      </c>
      <c r="N183" s="100" t="str">
        <f>IFERROR(VLOOKUP(Tablo5[[#This Row],[ÜRÜN KODU]],YMKODLARI!$A$1:$K$363,8,0)," ")</f>
        <v>HM 004</v>
      </c>
      <c r="O183" s="100" t="str">
        <f>IFERROR(VLOOKUP(Tablo5[[#This Row],[HAMMADDE KODU]],Tablo1[#All],3,0)," ")</f>
        <v>LSR 50</v>
      </c>
      <c r="P183" s="100" t="str">
        <f>IFERROR(VLOOKUP(Tablo5[[#This Row],[HAMMADDE KODU]],Tablo1[#All],4,0)," ")</f>
        <v>TERRA</v>
      </c>
      <c r="Q183" s="100">
        <f>IFERROR(VLOOKUP(Tablo5[[#This Row],[ÜRÜN KODU]],YMKODLARI!$A$1:$K$363,5,0)," ")</f>
        <v>21.9</v>
      </c>
      <c r="R183" s="100">
        <f>IFERROR(VLOOKUP(Tablo5[[#This Row],[ÜRÜN KODU]],YMKODLARI!$A$1:$K$363,6,0)," ")</f>
        <v>16.100000000000001</v>
      </c>
      <c r="S183" s="100">
        <f>IFERROR(Tablo5[[#This Row],[YOLLUK HARİÇ BASKI GRAMI]]/Tablo5[[#This Row],[KALIP GÖZ ADEDİ]]," ")</f>
        <v>2.0125000000000002</v>
      </c>
      <c r="T183" s="100">
        <f t="shared" si="16"/>
        <v>5.7999999999999972</v>
      </c>
      <c r="U183" s="100">
        <v>2</v>
      </c>
      <c r="V183" s="100">
        <f t="shared" si="15"/>
        <v>7.1681000000000008</v>
      </c>
      <c r="W183" s="101">
        <f t="shared" si="17"/>
        <v>24.170138888888889</v>
      </c>
      <c r="X183" s="102">
        <f t="shared" si="18"/>
        <v>4.0833333333333428</v>
      </c>
      <c r="Y183" s="100">
        <f t="shared" si="19"/>
        <v>2.6749999999999998</v>
      </c>
      <c r="Z183" s="100">
        <f t="shared" si="20"/>
        <v>2568</v>
      </c>
    </row>
    <row r="184" spans="1:26">
      <c r="A184" s="100" t="s">
        <v>26</v>
      </c>
      <c r="B184" s="108" t="str">
        <f>IFERROR(VLOOKUP(Tablo5[[#This Row],[ÜRÜN KODU]],YMKODLARI!$A$1:$K$363,2,0)," ")</f>
        <v>DAMAK EMZİK UCU 1 NO</v>
      </c>
      <c r="C184" s="99">
        <v>44125</v>
      </c>
      <c r="D184" s="100" t="s">
        <v>27</v>
      </c>
      <c r="E184" s="101">
        <v>0.77083333333333337</v>
      </c>
      <c r="F184" s="101">
        <v>0.83333333333333337</v>
      </c>
      <c r="G184" s="100">
        <f>IFERROR(VLOOKUP(Tablo5[[#This Row],[ÜRÜN KODU]],YMKODLARI!$A$1:$K$363,3,0)," ")</f>
        <v>8</v>
      </c>
      <c r="H184" s="100">
        <f>IFERROR(VLOOKUP(Tablo5[[#This Row],[ÜRÜN KODU]],YMKODLARI!$A$1:$K$363,4,0)," ")</f>
        <v>30</v>
      </c>
      <c r="I184" s="100">
        <v>187</v>
      </c>
      <c r="J184" s="100" t="str">
        <f>IFERROR(VLOOKUP(Tablo5[[#This Row],[ÜRÜN KODU]],YMKODLARI!$A$1:$K$363,9,0)," ")</f>
        <v>Şeffaf</v>
      </c>
      <c r="K184" s="100" t="str">
        <f>IFERROR(VLOOKUP(Tablo5[[#This Row],[BOYA KODU]],Tablo14[#All],4,0)," ")</f>
        <v xml:space="preserve"> </v>
      </c>
      <c r="L184" s="100" t="str">
        <f>IFERROR(VLOOKUP(Tablo5[[#This Row],[BOYA KODU]],Tablo14[#All],6,0)," ")</f>
        <v xml:space="preserve"> </v>
      </c>
      <c r="M184" s="100" t="str">
        <f t="shared" si="14"/>
        <v xml:space="preserve"> </v>
      </c>
      <c r="N184" s="100" t="str">
        <f>IFERROR(VLOOKUP(Tablo5[[#This Row],[ÜRÜN KODU]],YMKODLARI!$A$1:$K$363,8,0)," ")</f>
        <v>HM 004</v>
      </c>
      <c r="O184" s="100" t="str">
        <f>IFERROR(VLOOKUP(Tablo5[[#This Row],[HAMMADDE KODU]],Tablo1[#All],3,0)," ")</f>
        <v>LSR 50</v>
      </c>
      <c r="P184" s="100" t="str">
        <f>IFERROR(VLOOKUP(Tablo5[[#This Row],[HAMMADDE KODU]],Tablo1[#All],4,0)," ")</f>
        <v>TERRA</v>
      </c>
      <c r="Q184" s="100">
        <f>IFERROR(VLOOKUP(Tablo5[[#This Row],[ÜRÜN KODU]],YMKODLARI!$A$1:$K$363,5,0)," ")</f>
        <v>20.399999999999999</v>
      </c>
      <c r="R184" s="100">
        <f>IFERROR(VLOOKUP(Tablo5[[#This Row],[ÜRÜN KODU]],YMKODLARI!$A$1:$K$363,6,0)," ")</f>
        <v>14.2</v>
      </c>
      <c r="S184" s="100">
        <f>IFERROR(Tablo5[[#This Row],[YOLLUK HARİÇ BASKI GRAMI]]/Tablo5[[#This Row],[KALIP GÖZ ADEDİ]]," ")</f>
        <v>1.7749999999999999</v>
      </c>
      <c r="T184" s="100">
        <f t="shared" si="16"/>
        <v>6.1999999999999993</v>
      </c>
      <c r="U184" s="100"/>
      <c r="V184" s="100">
        <f t="shared" si="15"/>
        <v>2.6554000000000002</v>
      </c>
      <c r="W184" s="101">
        <f t="shared" si="17"/>
        <v>24.0625</v>
      </c>
      <c r="X184" s="102">
        <f t="shared" si="18"/>
        <v>1.5</v>
      </c>
      <c r="Y184" s="100">
        <f t="shared" si="19"/>
        <v>1.5583333333333333</v>
      </c>
      <c r="Z184" s="100">
        <f t="shared" si="20"/>
        <v>1496</v>
      </c>
    </row>
    <row r="185" spans="1:26">
      <c r="A185" s="100" t="s">
        <v>26</v>
      </c>
      <c r="B185" s="108" t="str">
        <f>IFERROR(VLOOKUP(Tablo5[[#This Row],[ÜRÜN KODU]],YMKODLARI!$A$1:$K$363,2,0)," ")</f>
        <v>DAMAK EMZİK UCU 1 NO</v>
      </c>
      <c r="C185" s="99">
        <v>44126</v>
      </c>
      <c r="D185" s="100" t="s">
        <v>29</v>
      </c>
      <c r="E185" s="101">
        <v>0.3611111111111111</v>
      </c>
      <c r="F185" s="101">
        <v>0.83333333333333337</v>
      </c>
      <c r="G185" s="100">
        <f>IFERROR(VLOOKUP(Tablo5[[#This Row],[ÜRÜN KODU]],YMKODLARI!$A$1:$K$363,3,0)," ")</f>
        <v>8</v>
      </c>
      <c r="H185" s="100">
        <f>IFERROR(VLOOKUP(Tablo5[[#This Row],[ÜRÜN KODU]],YMKODLARI!$A$1:$K$363,4,0)," ")</f>
        <v>30</v>
      </c>
      <c r="I185" s="100">
        <v>1208</v>
      </c>
      <c r="J185" s="100" t="str">
        <f>IFERROR(VLOOKUP(Tablo5[[#This Row],[ÜRÜN KODU]],YMKODLARI!$A$1:$K$363,9,0)," ")</f>
        <v>Şeffaf</v>
      </c>
      <c r="K185" s="100" t="str">
        <f>IFERROR(VLOOKUP(Tablo5[[#This Row],[BOYA KODU]],Tablo14[#All],4,0)," ")</f>
        <v xml:space="preserve"> </v>
      </c>
      <c r="L185" s="100" t="str">
        <f>IFERROR(VLOOKUP(Tablo5[[#This Row],[BOYA KODU]],Tablo14[#All],6,0)," ")</f>
        <v xml:space="preserve"> </v>
      </c>
      <c r="M185" s="100" t="str">
        <f t="shared" si="14"/>
        <v xml:space="preserve"> </v>
      </c>
      <c r="N185" s="100" t="str">
        <f>IFERROR(VLOOKUP(Tablo5[[#This Row],[ÜRÜN KODU]],YMKODLARI!$A$1:$K$363,8,0)," ")</f>
        <v>HM 004</v>
      </c>
      <c r="O185" s="100" t="str">
        <f>IFERROR(VLOOKUP(Tablo5[[#This Row],[HAMMADDE KODU]],Tablo1[#All],3,0)," ")</f>
        <v>LSR 50</v>
      </c>
      <c r="P185" s="100" t="str">
        <f>IFERROR(VLOOKUP(Tablo5[[#This Row],[HAMMADDE KODU]],Tablo1[#All],4,0)," ")</f>
        <v>TERRA</v>
      </c>
      <c r="Q185" s="100">
        <f>IFERROR(VLOOKUP(Tablo5[[#This Row],[ÜRÜN KODU]],YMKODLARI!$A$1:$K$363,5,0)," ")</f>
        <v>20.399999999999999</v>
      </c>
      <c r="R185" s="100">
        <f>IFERROR(VLOOKUP(Tablo5[[#This Row],[ÜRÜN KODU]],YMKODLARI!$A$1:$K$363,6,0)," ")</f>
        <v>14.2</v>
      </c>
      <c r="S185" s="100">
        <f>IFERROR(Tablo5[[#This Row],[YOLLUK HARİÇ BASKI GRAMI]]/Tablo5[[#This Row],[KALIP GÖZ ADEDİ]]," ")</f>
        <v>1.7749999999999999</v>
      </c>
      <c r="T185" s="100">
        <f t="shared" si="16"/>
        <v>6.1999999999999993</v>
      </c>
      <c r="U185" s="100">
        <v>8</v>
      </c>
      <c r="V185" s="100">
        <f t="shared" si="15"/>
        <v>25.153599999999997</v>
      </c>
      <c r="W185" s="101">
        <f t="shared" si="17"/>
        <v>24.472222222222221</v>
      </c>
      <c r="X185" s="102">
        <f t="shared" si="18"/>
        <v>11.333333333333314</v>
      </c>
      <c r="Y185" s="100">
        <f t="shared" si="19"/>
        <v>10.066666666666666</v>
      </c>
      <c r="Z185" s="100">
        <f t="shared" si="20"/>
        <v>9664</v>
      </c>
    </row>
    <row r="186" spans="1:26">
      <c r="A186" s="100" t="s">
        <v>26</v>
      </c>
      <c r="B186" s="108" t="str">
        <f>IFERROR(VLOOKUP(Tablo5[[#This Row],[ÜRÜN KODU]],YMKODLARI!$A$1:$K$363,2,0)," ")</f>
        <v>DAMAK EMZİK UCU 1 NO</v>
      </c>
      <c r="C186" s="99">
        <v>44127</v>
      </c>
      <c r="D186" s="100" t="s">
        <v>29</v>
      </c>
      <c r="E186" s="101">
        <v>0.33333333333333331</v>
      </c>
      <c r="F186" s="101">
        <v>0.75</v>
      </c>
      <c r="G186" s="100">
        <f>IFERROR(VLOOKUP(Tablo5[[#This Row],[ÜRÜN KODU]],YMKODLARI!$A$1:$K$363,3,0)," ")</f>
        <v>8</v>
      </c>
      <c r="H186" s="100">
        <f>IFERROR(VLOOKUP(Tablo5[[#This Row],[ÜRÜN KODU]],YMKODLARI!$A$1:$K$363,4,0)," ")</f>
        <v>30</v>
      </c>
      <c r="I186" s="100">
        <v>933</v>
      </c>
      <c r="J186" s="100" t="str">
        <f>IFERROR(VLOOKUP(Tablo5[[#This Row],[ÜRÜN KODU]],YMKODLARI!$A$1:$K$363,9,0)," ")</f>
        <v>Şeffaf</v>
      </c>
      <c r="K186" s="100" t="str">
        <f>IFERROR(VLOOKUP(Tablo5[[#This Row],[BOYA KODU]],Tablo14[#All],4,0)," ")</f>
        <v xml:space="preserve"> </v>
      </c>
      <c r="L186" s="100" t="str">
        <f>IFERROR(VLOOKUP(Tablo5[[#This Row],[BOYA KODU]],Tablo14[#All],6,0)," ")</f>
        <v xml:space="preserve"> </v>
      </c>
      <c r="M186" s="100" t="str">
        <f t="shared" si="14"/>
        <v xml:space="preserve"> </v>
      </c>
      <c r="N186" s="100" t="str">
        <f>IFERROR(VLOOKUP(Tablo5[[#This Row],[ÜRÜN KODU]],YMKODLARI!$A$1:$K$363,8,0)," ")</f>
        <v>HM 004</v>
      </c>
      <c r="O186" s="100" t="str">
        <f>IFERROR(VLOOKUP(Tablo5[[#This Row],[HAMMADDE KODU]],Tablo1[#All],3,0)," ")</f>
        <v>LSR 50</v>
      </c>
      <c r="P186" s="100" t="str">
        <f>IFERROR(VLOOKUP(Tablo5[[#This Row],[HAMMADDE KODU]],Tablo1[#All],4,0)," ")</f>
        <v>TERRA</v>
      </c>
      <c r="Q186" s="100">
        <f>IFERROR(VLOOKUP(Tablo5[[#This Row],[ÜRÜN KODU]],YMKODLARI!$A$1:$K$363,5,0)," ")</f>
        <v>20.399999999999999</v>
      </c>
      <c r="R186" s="100">
        <f>IFERROR(VLOOKUP(Tablo5[[#This Row],[ÜRÜN KODU]],YMKODLARI!$A$1:$K$363,6,0)," ")</f>
        <v>14.2</v>
      </c>
      <c r="S186" s="100">
        <f>IFERROR(Tablo5[[#This Row],[YOLLUK HARİÇ BASKI GRAMI]]/Tablo5[[#This Row],[KALIP GÖZ ADEDİ]]," ")</f>
        <v>1.7749999999999999</v>
      </c>
      <c r="T186" s="100">
        <f t="shared" si="16"/>
        <v>6.1999999999999993</v>
      </c>
      <c r="U186" s="100">
        <v>6</v>
      </c>
      <c r="V186" s="100">
        <f t="shared" si="15"/>
        <v>19.248599999999996</v>
      </c>
      <c r="W186" s="101">
        <f t="shared" si="17"/>
        <v>24.416666666666668</v>
      </c>
      <c r="X186" s="102">
        <f t="shared" si="18"/>
        <v>10.000000000000028</v>
      </c>
      <c r="Y186" s="100">
        <f t="shared" si="19"/>
        <v>7.7750000000000004</v>
      </c>
      <c r="Z186" s="100">
        <f t="shared" si="20"/>
        <v>7464</v>
      </c>
    </row>
    <row r="187" spans="1:26">
      <c r="A187" s="100" t="s">
        <v>26</v>
      </c>
      <c r="B187" s="108" t="str">
        <f>IFERROR(VLOOKUP(Tablo5[[#This Row],[ÜRÜN KODU]],YMKODLARI!$A$1:$K$363,2,0)," ")</f>
        <v>DAMAK EMZİK UCU 1 NO</v>
      </c>
      <c r="C187" s="99">
        <v>44130</v>
      </c>
      <c r="D187" s="100" t="s">
        <v>47</v>
      </c>
      <c r="E187" s="101">
        <v>0.375</v>
      </c>
      <c r="F187" s="101">
        <v>0.66666666666666663</v>
      </c>
      <c r="G187" s="100">
        <f>IFERROR(VLOOKUP(Tablo5[[#This Row],[ÜRÜN KODU]],YMKODLARI!$A$1:$K$363,3,0)," ")</f>
        <v>8</v>
      </c>
      <c r="H187" s="100">
        <f>IFERROR(VLOOKUP(Tablo5[[#This Row],[ÜRÜN KODU]],YMKODLARI!$A$1:$K$363,4,0)," ")</f>
        <v>30</v>
      </c>
      <c r="I187" s="100">
        <v>691</v>
      </c>
      <c r="J187" s="100" t="str">
        <f>IFERROR(VLOOKUP(Tablo5[[#This Row],[ÜRÜN KODU]],YMKODLARI!$A$1:$K$363,9,0)," ")</f>
        <v>Şeffaf</v>
      </c>
      <c r="K187" s="100" t="str">
        <f>IFERROR(VLOOKUP(Tablo5[[#This Row],[BOYA KODU]],Tablo14[#All],4,0)," ")</f>
        <v xml:space="preserve"> </v>
      </c>
      <c r="L187" s="100" t="str">
        <f>IFERROR(VLOOKUP(Tablo5[[#This Row],[BOYA KODU]],Tablo14[#All],6,0)," ")</f>
        <v xml:space="preserve"> </v>
      </c>
      <c r="M187" s="100" t="str">
        <f t="shared" si="14"/>
        <v xml:space="preserve"> </v>
      </c>
      <c r="N187" s="100" t="str">
        <f>IFERROR(VLOOKUP(Tablo5[[#This Row],[ÜRÜN KODU]],YMKODLARI!$A$1:$K$363,8,0)," ")</f>
        <v>HM 004</v>
      </c>
      <c r="O187" s="100" t="str">
        <f>IFERROR(VLOOKUP(Tablo5[[#This Row],[HAMMADDE KODU]],Tablo1[#All],3,0)," ")</f>
        <v>LSR 50</v>
      </c>
      <c r="P187" s="100" t="str">
        <f>IFERROR(VLOOKUP(Tablo5[[#This Row],[HAMMADDE KODU]],Tablo1[#All],4,0)," ")</f>
        <v>TERRA</v>
      </c>
      <c r="Q187" s="100">
        <f>IFERROR(VLOOKUP(Tablo5[[#This Row],[ÜRÜN KODU]],YMKODLARI!$A$1:$K$363,5,0)," ")</f>
        <v>20.399999999999999</v>
      </c>
      <c r="R187" s="100">
        <f>IFERROR(VLOOKUP(Tablo5[[#This Row],[ÜRÜN KODU]],YMKODLARI!$A$1:$K$363,6,0)," ")</f>
        <v>14.2</v>
      </c>
      <c r="S187" s="100">
        <f>IFERROR(Tablo5[[#This Row],[YOLLUK HARİÇ BASKI GRAMI]]/Tablo5[[#This Row],[KALIP GÖZ ADEDİ]]," ")</f>
        <v>1.7749999999999999</v>
      </c>
      <c r="T187" s="100">
        <f t="shared" si="16"/>
        <v>6.1999999999999993</v>
      </c>
      <c r="U187" s="100">
        <v>5</v>
      </c>
      <c r="V187" s="100">
        <f t="shared" si="15"/>
        <v>14.812199999999999</v>
      </c>
      <c r="W187" s="101">
        <f t="shared" si="17"/>
        <v>24.291666666666668</v>
      </c>
      <c r="X187" s="102">
        <f t="shared" si="18"/>
        <v>7.0000000000000284</v>
      </c>
      <c r="Y187" s="100">
        <f t="shared" si="19"/>
        <v>5.7583333333333337</v>
      </c>
      <c r="Z187" s="100">
        <f t="shared" si="20"/>
        <v>5528</v>
      </c>
    </row>
    <row r="188" spans="1:26">
      <c r="A188" s="100" t="s">
        <v>26</v>
      </c>
      <c r="B188" s="108" t="str">
        <f>IFERROR(VLOOKUP(Tablo5[[#This Row],[ÜRÜN KODU]],YMKODLARI!$A$1:$K$363,2,0)," ")</f>
        <v>DAMAK EMZİK UCU 1 NO</v>
      </c>
      <c r="C188" s="99">
        <v>44131</v>
      </c>
      <c r="D188" s="100" t="s">
        <v>47</v>
      </c>
      <c r="E188" s="101">
        <v>0.375</v>
      </c>
      <c r="F188" s="101">
        <v>0.64583333333333337</v>
      </c>
      <c r="G188" s="100">
        <f>IFERROR(VLOOKUP(Tablo5[[#This Row],[ÜRÜN KODU]],YMKODLARI!$A$1:$K$363,3,0)," ")</f>
        <v>8</v>
      </c>
      <c r="H188" s="100">
        <f>IFERROR(VLOOKUP(Tablo5[[#This Row],[ÜRÜN KODU]],YMKODLARI!$A$1:$K$363,4,0)," ")</f>
        <v>30</v>
      </c>
      <c r="I188" s="100">
        <v>506</v>
      </c>
      <c r="J188" s="100" t="str">
        <f>IFERROR(VLOOKUP(Tablo5[[#This Row],[ÜRÜN KODU]],YMKODLARI!$A$1:$K$363,9,0)," ")</f>
        <v>Şeffaf</v>
      </c>
      <c r="K188" s="100" t="str">
        <f>IFERROR(VLOOKUP(Tablo5[[#This Row],[BOYA KODU]],Tablo14[#All],4,0)," ")</f>
        <v xml:space="preserve"> </v>
      </c>
      <c r="L188" s="100" t="str">
        <f>IFERROR(VLOOKUP(Tablo5[[#This Row],[BOYA KODU]],Tablo14[#All],6,0)," ")</f>
        <v xml:space="preserve"> </v>
      </c>
      <c r="M188" s="100" t="str">
        <f t="shared" si="14"/>
        <v xml:space="preserve"> </v>
      </c>
      <c r="N188" s="100" t="str">
        <f>IFERROR(VLOOKUP(Tablo5[[#This Row],[ÜRÜN KODU]],YMKODLARI!$A$1:$K$363,8,0)," ")</f>
        <v>HM 004</v>
      </c>
      <c r="O188" s="100" t="str">
        <f>IFERROR(VLOOKUP(Tablo5[[#This Row],[HAMMADDE KODU]],Tablo1[#All],3,0)," ")</f>
        <v>LSR 50</v>
      </c>
      <c r="P188" s="100" t="str">
        <f>IFERROR(VLOOKUP(Tablo5[[#This Row],[HAMMADDE KODU]],Tablo1[#All],4,0)," ")</f>
        <v>TERRA</v>
      </c>
      <c r="Q188" s="100">
        <f>IFERROR(VLOOKUP(Tablo5[[#This Row],[ÜRÜN KODU]],YMKODLARI!$A$1:$K$363,5,0)," ")</f>
        <v>20.399999999999999</v>
      </c>
      <c r="R188" s="100">
        <f>IFERROR(VLOOKUP(Tablo5[[#This Row],[ÜRÜN KODU]],YMKODLARI!$A$1:$K$363,6,0)," ")</f>
        <v>14.2</v>
      </c>
      <c r="S188" s="100">
        <f>IFERROR(Tablo5[[#This Row],[YOLLUK HARİÇ BASKI GRAMI]]/Tablo5[[#This Row],[KALIP GÖZ ADEDİ]]," ")</f>
        <v>1.7749999999999999</v>
      </c>
      <c r="T188" s="100">
        <f t="shared" si="16"/>
        <v>6.1999999999999993</v>
      </c>
      <c r="U188" s="100">
        <v>3.7</v>
      </c>
      <c r="V188" s="100">
        <f t="shared" si="15"/>
        <v>10.885200000000001</v>
      </c>
      <c r="W188" s="101">
        <f t="shared" si="17"/>
        <v>24.270833333333332</v>
      </c>
      <c r="X188" s="102">
        <f t="shared" si="18"/>
        <v>6.4999999999999716</v>
      </c>
      <c r="Y188" s="100">
        <f t="shared" si="19"/>
        <v>4.2166666666666668</v>
      </c>
      <c r="Z188" s="100">
        <f t="shared" si="20"/>
        <v>4048</v>
      </c>
    </row>
    <row r="189" spans="1:26">
      <c r="A189" s="100" t="s">
        <v>26</v>
      </c>
      <c r="B189" s="108" t="str">
        <f>IFERROR(VLOOKUP(Tablo5[[#This Row],[ÜRÜN KODU]],YMKODLARI!$A$1:$K$363,2,0)," ")</f>
        <v>DAMAK EMZİK UCU 1 NO</v>
      </c>
      <c r="C189" s="99">
        <v>44132</v>
      </c>
      <c r="D189" s="100" t="s">
        <v>47</v>
      </c>
      <c r="E189" s="101">
        <v>0.34027777777777773</v>
      </c>
      <c r="F189" s="101">
        <v>0.47222222222222227</v>
      </c>
      <c r="G189" s="100">
        <f>IFERROR(VLOOKUP(Tablo5[[#This Row],[ÜRÜN KODU]],YMKODLARI!$A$1:$K$363,3,0)," ")</f>
        <v>8</v>
      </c>
      <c r="H189" s="100">
        <f>IFERROR(VLOOKUP(Tablo5[[#This Row],[ÜRÜN KODU]],YMKODLARI!$A$1:$K$363,4,0)," ")</f>
        <v>30</v>
      </c>
      <c r="I189" s="100">
        <v>109</v>
      </c>
      <c r="J189" s="100" t="str">
        <f>IFERROR(VLOOKUP(Tablo5[[#This Row],[ÜRÜN KODU]],YMKODLARI!$A$1:$K$363,9,0)," ")</f>
        <v>Şeffaf</v>
      </c>
      <c r="K189" s="100" t="str">
        <f>IFERROR(VLOOKUP(Tablo5[[#This Row],[BOYA KODU]],Tablo14[#All],4,0)," ")</f>
        <v xml:space="preserve"> </v>
      </c>
      <c r="L189" s="100" t="str">
        <f>IFERROR(VLOOKUP(Tablo5[[#This Row],[BOYA KODU]],Tablo14[#All],6,0)," ")</f>
        <v xml:space="preserve"> </v>
      </c>
      <c r="M189" s="100" t="str">
        <f t="shared" si="14"/>
        <v xml:space="preserve"> </v>
      </c>
      <c r="N189" s="100" t="str">
        <f>IFERROR(VLOOKUP(Tablo5[[#This Row],[ÜRÜN KODU]],YMKODLARI!$A$1:$K$363,8,0)," ")</f>
        <v>HM 004</v>
      </c>
      <c r="O189" s="100" t="str">
        <f>IFERROR(VLOOKUP(Tablo5[[#This Row],[HAMMADDE KODU]],Tablo1[#All],3,0)," ")</f>
        <v>LSR 50</v>
      </c>
      <c r="P189" s="100" t="str">
        <f>IFERROR(VLOOKUP(Tablo5[[#This Row],[HAMMADDE KODU]],Tablo1[#All],4,0)," ")</f>
        <v>TERRA</v>
      </c>
      <c r="Q189" s="100">
        <f>IFERROR(VLOOKUP(Tablo5[[#This Row],[ÜRÜN KODU]],YMKODLARI!$A$1:$K$363,5,0)," ")</f>
        <v>20.399999999999999</v>
      </c>
      <c r="R189" s="100">
        <f>IFERROR(VLOOKUP(Tablo5[[#This Row],[ÜRÜN KODU]],YMKODLARI!$A$1:$K$363,6,0)," ")</f>
        <v>14.2</v>
      </c>
      <c r="S189" s="100">
        <f>IFERROR(Tablo5[[#This Row],[YOLLUK HARİÇ BASKI GRAMI]]/Tablo5[[#This Row],[KALIP GÖZ ADEDİ]]," ")</f>
        <v>1.7749999999999999</v>
      </c>
      <c r="T189" s="100">
        <f t="shared" si="16"/>
        <v>6.1999999999999993</v>
      </c>
      <c r="U189" s="100">
        <v>1</v>
      </c>
      <c r="V189" s="100">
        <f t="shared" si="15"/>
        <v>2.5478000000000001</v>
      </c>
      <c r="W189" s="101">
        <f t="shared" si="17"/>
        <v>24.131944444444443</v>
      </c>
      <c r="X189" s="102">
        <f t="shared" si="18"/>
        <v>3.1666666666666288</v>
      </c>
      <c r="Y189" s="100">
        <f t="shared" si="19"/>
        <v>0.90833333333333333</v>
      </c>
      <c r="Z189" s="100">
        <f t="shared" si="20"/>
        <v>872</v>
      </c>
    </row>
    <row r="190" spans="1:26">
      <c r="A190" s="100" t="s">
        <v>26</v>
      </c>
      <c r="B190" s="108" t="str">
        <f>IFERROR(VLOOKUP(Tablo5[[#This Row],[ÜRÜN KODU]],YMKODLARI!$A$1:$K$363,2,0)," ")</f>
        <v>DAMAK EMZİK UCU 1 NO</v>
      </c>
      <c r="C190" s="99">
        <v>44132</v>
      </c>
      <c r="D190" s="100" t="s">
        <v>47</v>
      </c>
      <c r="E190" s="101">
        <v>0.64583333333333337</v>
      </c>
      <c r="F190" s="101">
        <v>0.75</v>
      </c>
      <c r="G190" s="100">
        <f>IFERROR(VLOOKUP(Tablo5[[#This Row],[ÜRÜN KODU]],YMKODLARI!$A$1:$K$363,3,0)," ")</f>
        <v>8</v>
      </c>
      <c r="H190" s="100">
        <f>IFERROR(VLOOKUP(Tablo5[[#This Row],[ÜRÜN KODU]],YMKODLARI!$A$1:$K$363,4,0)," ")</f>
        <v>30</v>
      </c>
      <c r="I190" s="100">
        <v>195</v>
      </c>
      <c r="J190" s="100" t="str">
        <f>IFERROR(VLOOKUP(Tablo5[[#This Row],[ÜRÜN KODU]],YMKODLARI!$A$1:$K$363,9,0)," ")</f>
        <v>Şeffaf</v>
      </c>
      <c r="K190" s="100" t="str">
        <f>IFERROR(VLOOKUP(Tablo5[[#This Row],[BOYA KODU]],Tablo14[#All],4,0)," ")</f>
        <v xml:space="preserve"> </v>
      </c>
      <c r="L190" s="100" t="str">
        <f>IFERROR(VLOOKUP(Tablo5[[#This Row],[BOYA KODU]],Tablo14[#All],6,0)," ")</f>
        <v xml:space="preserve"> </v>
      </c>
      <c r="M190" s="100" t="str">
        <f t="shared" si="14"/>
        <v xml:space="preserve"> </v>
      </c>
      <c r="N190" s="100" t="str">
        <f>IFERROR(VLOOKUP(Tablo5[[#This Row],[ÜRÜN KODU]],YMKODLARI!$A$1:$K$363,8,0)," ")</f>
        <v>HM 004</v>
      </c>
      <c r="O190" s="100" t="str">
        <f>IFERROR(VLOOKUP(Tablo5[[#This Row],[HAMMADDE KODU]],Tablo1[#All],3,0)," ")</f>
        <v>LSR 50</v>
      </c>
      <c r="P190" s="100" t="str">
        <f>IFERROR(VLOOKUP(Tablo5[[#This Row],[HAMMADDE KODU]],Tablo1[#All],4,0)," ")</f>
        <v>TERRA</v>
      </c>
      <c r="Q190" s="100">
        <f>IFERROR(VLOOKUP(Tablo5[[#This Row],[ÜRÜN KODU]],YMKODLARI!$A$1:$K$363,5,0)," ")</f>
        <v>20.399999999999999</v>
      </c>
      <c r="R190" s="100">
        <f>IFERROR(VLOOKUP(Tablo5[[#This Row],[ÜRÜN KODU]],YMKODLARI!$A$1:$K$363,6,0)," ")</f>
        <v>14.2</v>
      </c>
      <c r="S190" s="100">
        <f>IFERROR(Tablo5[[#This Row],[YOLLUK HARİÇ BASKI GRAMI]]/Tablo5[[#This Row],[KALIP GÖZ ADEDİ]]," ")</f>
        <v>1.7749999999999999</v>
      </c>
      <c r="T190" s="100">
        <f t="shared" si="16"/>
        <v>6.1999999999999993</v>
      </c>
      <c r="U190" s="100">
        <v>1.5</v>
      </c>
      <c r="V190" s="100">
        <f t="shared" si="15"/>
        <v>4.2690000000000001</v>
      </c>
      <c r="W190" s="101">
        <f t="shared" si="17"/>
        <v>24.104166666666668</v>
      </c>
      <c r="X190" s="102">
        <f t="shared" si="18"/>
        <v>2.5000000000000284</v>
      </c>
      <c r="Y190" s="100">
        <f t="shared" si="19"/>
        <v>1.625</v>
      </c>
      <c r="Z190" s="100">
        <f t="shared" si="20"/>
        <v>1560</v>
      </c>
    </row>
    <row r="191" spans="1:26">
      <c r="A191" s="100" t="s">
        <v>26</v>
      </c>
      <c r="B191" s="108" t="str">
        <f>IFERROR(VLOOKUP(Tablo5[[#This Row],[ÜRÜN KODU]],YMKODLARI!$A$1:$K$363,2,0)," ")</f>
        <v>DAMAK EMZİK UCU 1 NO</v>
      </c>
      <c r="C191" s="99">
        <v>44134</v>
      </c>
      <c r="D191" s="100" t="s">
        <v>29</v>
      </c>
      <c r="E191" s="101">
        <v>0.44791666666666669</v>
      </c>
      <c r="F191" s="101">
        <v>0.73611111111111116</v>
      </c>
      <c r="G191" s="100">
        <f>IFERROR(VLOOKUP(Tablo5[[#This Row],[ÜRÜN KODU]],YMKODLARI!$A$1:$K$363,3,0)," ")</f>
        <v>8</v>
      </c>
      <c r="H191" s="100">
        <f>IFERROR(VLOOKUP(Tablo5[[#This Row],[ÜRÜN KODU]],YMKODLARI!$A$1:$K$363,4,0)," ")</f>
        <v>30</v>
      </c>
      <c r="I191" s="100">
        <v>652</v>
      </c>
      <c r="J191" s="100" t="str">
        <f>IFERROR(VLOOKUP(Tablo5[[#This Row],[ÜRÜN KODU]],YMKODLARI!$A$1:$K$363,9,0)," ")</f>
        <v>Şeffaf</v>
      </c>
      <c r="K191" s="100" t="str">
        <f>IFERROR(VLOOKUP(Tablo5[[#This Row],[BOYA KODU]],Tablo14[#All],4,0)," ")</f>
        <v xml:space="preserve"> </v>
      </c>
      <c r="L191" s="100" t="str">
        <f>IFERROR(VLOOKUP(Tablo5[[#This Row],[BOYA KODU]],Tablo14[#All],6,0)," ")</f>
        <v xml:space="preserve"> </v>
      </c>
      <c r="M191" s="100" t="str">
        <f t="shared" si="14"/>
        <v xml:space="preserve"> </v>
      </c>
      <c r="N191" s="100" t="str">
        <f>IFERROR(VLOOKUP(Tablo5[[#This Row],[ÜRÜN KODU]],YMKODLARI!$A$1:$K$363,8,0)," ")</f>
        <v>HM 004</v>
      </c>
      <c r="O191" s="100" t="str">
        <f>IFERROR(VLOOKUP(Tablo5[[#This Row],[HAMMADDE KODU]],Tablo1[#All],3,0)," ")</f>
        <v>LSR 50</v>
      </c>
      <c r="P191" s="100" t="str">
        <f>IFERROR(VLOOKUP(Tablo5[[#This Row],[HAMMADDE KODU]],Tablo1[#All],4,0)," ")</f>
        <v>TERRA</v>
      </c>
      <c r="Q191" s="100">
        <f>IFERROR(VLOOKUP(Tablo5[[#This Row],[ÜRÜN KODU]],YMKODLARI!$A$1:$K$363,5,0)," ")</f>
        <v>20.399999999999999</v>
      </c>
      <c r="R191" s="100">
        <f>IFERROR(VLOOKUP(Tablo5[[#This Row],[ÜRÜN KODU]],YMKODLARI!$A$1:$K$363,6,0)," ")</f>
        <v>14.2</v>
      </c>
      <c r="S191" s="100">
        <f>IFERROR(Tablo5[[#This Row],[YOLLUK HARİÇ BASKI GRAMI]]/Tablo5[[#This Row],[KALIP GÖZ ADEDİ]]," ")</f>
        <v>1.7749999999999999</v>
      </c>
      <c r="T191" s="100">
        <f t="shared" si="16"/>
        <v>6.1999999999999993</v>
      </c>
      <c r="U191" s="100">
        <v>4.5</v>
      </c>
      <c r="V191" s="100">
        <f t="shared" si="15"/>
        <v>13.7584</v>
      </c>
      <c r="W191" s="101">
        <f t="shared" si="17"/>
        <v>24.288194444444443</v>
      </c>
      <c r="X191" s="102">
        <f t="shared" si="18"/>
        <v>6.9166666666666288</v>
      </c>
      <c r="Y191" s="100">
        <f t="shared" si="19"/>
        <v>5.4333333333333336</v>
      </c>
      <c r="Z191" s="100">
        <f t="shared" si="20"/>
        <v>5216</v>
      </c>
    </row>
    <row r="192" spans="1:26">
      <c r="A192" s="100" t="s">
        <v>26</v>
      </c>
      <c r="B192" s="108" t="str">
        <f>IFERROR(VLOOKUP(Tablo5[[#This Row],[ÜRÜN KODU]],YMKODLARI!$A$1:$K$363,2,0)," ")</f>
        <v>DAMAK EMZİK UCU 1 NO</v>
      </c>
      <c r="C192" s="99">
        <v>44160</v>
      </c>
      <c r="D192" s="100" t="s">
        <v>29</v>
      </c>
      <c r="E192" s="101">
        <v>0.70833333333333337</v>
      </c>
      <c r="F192" s="101">
        <v>0.75</v>
      </c>
      <c r="G192" s="100">
        <f>IFERROR(VLOOKUP(Tablo5[[#This Row],[ÜRÜN KODU]],YMKODLARI!$A$1:$K$363,3,0)," ")</f>
        <v>8</v>
      </c>
      <c r="H192" s="100">
        <f>IFERROR(VLOOKUP(Tablo5[[#This Row],[ÜRÜN KODU]],YMKODLARI!$A$1:$K$363,4,0)," ")</f>
        <v>30</v>
      </c>
      <c r="I192" s="100">
        <v>89</v>
      </c>
      <c r="J192" s="100" t="str">
        <f>IFERROR(VLOOKUP(Tablo5[[#This Row],[ÜRÜN KODU]],YMKODLARI!$A$1:$K$363,9,0)," ")</f>
        <v>Şeffaf</v>
      </c>
      <c r="K192" s="100" t="str">
        <f>IFERROR(VLOOKUP(Tablo5[[#This Row],[BOYA KODU]],Tablo14[#All],4,0)," ")</f>
        <v xml:space="preserve"> </v>
      </c>
      <c r="L192" s="100" t="str">
        <f>IFERROR(VLOOKUP(Tablo5[[#This Row],[BOYA KODU]],Tablo14[#All],6,0)," ")</f>
        <v xml:space="preserve"> </v>
      </c>
      <c r="M192" s="100" t="str">
        <f t="shared" si="14"/>
        <v xml:space="preserve"> </v>
      </c>
      <c r="N192" s="100" t="str">
        <f>IFERROR(VLOOKUP(Tablo5[[#This Row],[ÜRÜN KODU]],YMKODLARI!$A$1:$K$363,8,0)," ")</f>
        <v>HM 004</v>
      </c>
      <c r="O192" s="100" t="str">
        <f>IFERROR(VLOOKUP(Tablo5[[#This Row],[HAMMADDE KODU]],Tablo1[#All],3,0)," ")</f>
        <v>LSR 50</v>
      </c>
      <c r="P192" s="100" t="str">
        <f>IFERROR(VLOOKUP(Tablo5[[#This Row],[HAMMADDE KODU]],Tablo1[#All],4,0)," ")</f>
        <v>TERRA</v>
      </c>
      <c r="Q192" s="100">
        <f>IFERROR(VLOOKUP(Tablo5[[#This Row],[ÜRÜN KODU]],YMKODLARI!$A$1:$K$363,5,0)," ")</f>
        <v>20.399999999999999</v>
      </c>
      <c r="R192" s="100">
        <f>IFERROR(VLOOKUP(Tablo5[[#This Row],[ÜRÜN KODU]],YMKODLARI!$A$1:$K$363,6,0)," ")</f>
        <v>14.2</v>
      </c>
      <c r="S192" s="100">
        <f>IFERROR(Tablo5[[#This Row],[YOLLUK HARİÇ BASKI GRAMI]]/Tablo5[[#This Row],[KALIP GÖZ ADEDİ]]," ")</f>
        <v>1.7749999999999999</v>
      </c>
      <c r="T192" s="100">
        <f t="shared" si="16"/>
        <v>6.1999999999999993</v>
      </c>
      <c r="U192" s="100"/>
      <c r="V192" s="100">
        <f t="shared" si="15"/>
        <v>1.2638</v>
      </c>
      <c r="W192" s="101">
        <f t="shared" si="17"/>
        <v>24.041666666666668</v>
      </c>
      <c r="X192" s="102">
        <f t="shared" si="18"/>
        <v>1.0000000000000284</v>
      </c>
      <c r="Y192" s="100">
        <f t="shared" si="19"/>
        <v>0.7416666666666667</v>
      </c>
      <c r="Z192" s="100">
        <f t="shared" si="20"/>
        <v>712</v>
      </c>
    </row>
    <row r="193" spans="1:26">
      <c r="A193" s="100" t="s">
        <v>26</v>
      </c>
      <c r="B193" s="108" t="str">
        <f>IFERROR(VLOOKUP(Tablo5[[#This Row],[ÜRÜN KODU]],YMKODLARI!$A$1:$K$363,2,0)," ")</f>
        <v>DAMAK EMZİK UCU 1 NO</v>
      </c>
      <c r="C193" s="99">
        <v>44161</v>
      </c>
      <c r="D193" s="100" t="s">
        <v>29</v>
      </c>
      <c r="E193" s="101">
        <v>0.375</v>
      </c>
      <c r="F193" s="101">
        <v>0.75</v>
      </c>
      <c r="G193" s="100">
        <f>IFERROR(VLOOKUP(Tablo5[[#This Row],[ÜRÜN KODU]],YMKODLARI!$A$1:$K$363,3,0)," ")</f>
        <v>8</v>
      </c>
      <c r="H193" s="100">
        <f>IFERROR(VLOOKUP(Tablo5[[#This Row],[ÜRÜN KODU]],YMKODLARI!$A$1:$K$363,4,0)," ")</f>
        <v>30</v>
      </c>
      <c r="I193" s="100">
        <v>883</v>
      </c>
      <c r="J193" s="100" t="str">
        <f>IFERROR(VLOOKUP(Tablo5[[#This Row],[ÜRÜN KODU]],YMKODLARI!$A$1:$K$363,9,0)," ")</f>
        <v>Şeffaf</v>
      </c>
      <c r="K193" s="100" t="str">
        <f>IFERROR(VLOOKUP(Tablo5[[#This Row],[BOYA KODU]],Tablo14[#All],4,0)," ")</f>
        <v xml:space="preserve"> </v>
      </c>
      <c r="L193" s="100" t="str">
        <f>IFERROR(VLOOKUP(Tablo5[[#This Row],[BOYA KODU]],Tablo14[#All],6,0)," ")</f>
        <v xml:space="preserve"> </v>
      </c>
      <c r="M193" s="100" t="str">
        <f t="shared" si="14"/>
        <v xml:space="preserve"> </v>
      </c>
      <c r="N193" s="100" t="str">
        <f>IFERROR(VLOOKUP(Tablo5[[#This Row],[ÜRÜN KODU]],YMKODLARI!$A$1:$K$363,8,0)," ")</f>
        <v>HM 004</v>
      </c>
      <c r="O193" s="100" t="str">
        <f>IFERROR(VLOOKUP(Tablo5[[#This Row],[HAMMADDE KODU]],Tablo1[#All],3,0)," ")</f>
        <v>LSR 50</v>
      </c>
      <c r="P193" s="100" t="str">
        <f>IFERROR(VLOOKUP(Tablo5[[#This Row],[HAMMADDE KODU]],Tablo1[#All],4,0)," ")</f>
        <v>TERRA</v>
      </c>
      <c r="Q193" s="100">
        <f>IFERROR(VLOOKUP(Tablo5[[#This Row],[ÜRÜN KODU]],YMKODLARI!$A$1:$K$363,5,0)," ")</f>
        <v>20.399999999999999</v>
      </c>
      <c r="R193" s="100">
        <f>IFERROR(VLOOKUP(Tablo5[[#This Row],[ÜRÜN KODU]],YMKODLARI!$A$1:$K$363,6,0)," ")</f>
        <v>14.2</v>
      </c>
      <c r="S193" s="100">
        <f>IFERROR(Tablo5[[#This Row],[YOLLUK HARİÇ BASKI GRAMI]]/Tablo5[[#This Row],[KALIP GÖZ ADEDİ]]," ")</f>
        <v>1.7749999999999999</v>
      </c>
      <c r="T193" s="100">
        <f t="shared" si="16"/>
        <v>6.1999999999999993</v>
      </c>
      <c r="U193" s="100">
        <v>2</v>
      </c>
      <c r="V193" s="100">
        <f t="shared" si="15"/>
        <v>14.538599999999999</v>
      </c>
      <c r="W193" s="101">
        <f t="shared" si="17"/>
        <v>24.375</v>
      </c>
      <c r="X193" s="102">
        <f t="shared" si="18"/>
        <v>9</v>
      </c>
      <c r="Y193" s="100">
        <f t="shared" si="19"/>
        <v>7.3583333333333334</v>
      </c>
      <c r="Z193" s="100">
        <f t="shared" si="20"/>
        <v>7064</v>
      </c>
    </row>
    <row r="194" spans="1:26">
      <c r="A194" s="100"/>
      <c r="B194" s="108" t="str">
        <f>IFERROR(VLOOKUP(Tablo5[[#This Row],[ÜRÜN KODU]],YMKODLARI!$A$1:$K$363,2,0)," ")</f>
        <v xml:space="preserve"> </v>
      </c>
      <c r="C194" s="99"/>
      <c r="D194" s="100"/>
      <c r="E194" s="101"/>
      <c r="F194" s="101"/>
      <c r="G194" s="100" t="str">
        <f>IFERROR(VLOOKUP(Tablo5[[#This Row],[ÜRÜN KODU]],YMKODLARI!$A$1:$K$363,3,0)," ")</f>
        <v xml:space="preserve"> </v>
      </c>
      <c r="H194" s="100" t="str">
        <f>IFERROR(VLOOKUP(Tablo5[[#This Row],[ÜRÜN KODU]],YMKODLARI!$A$1:$K$363,4,0)," ")</f>
        <v xml:space="preserve"> </v>
      </c>
      <c r="I194" s="100"/>
      <c r="J194" s="100" t="str">
        <f>IFERROR(VLOOKUP(Tablo5[[#This Row],[ÜRÜN KODU]],YMKODLARI!$A$1:$K$363,9,0)," ")</f>
        <v xml:space="preserve"> </v>
      </c>
      <c r="K194" s="100" t="str">
        <f>IFERROR(VLOOKUP(Tablo5[[#This Row],[BOYA KODU]],Tablo14[#All],4,0)," ")</f>
        <v xml:space="preserve"> </v>
      </c>
      <c r="L194" s="100" t="str">
        <f>IFERROR(VLOOKUP(Tablo5[[#This Row],[BOYA KODU]],Tablo14[#All],6,0)," ")</f>
        <v xml:space="preserve"> </v>
      </c>
      <c r="M194" s="100" t="str">
        <f t="shared" si="14"/>
        <v xml:space="preserve"> </v>
      </c>
      <c r="N194" s="100" t="str">
        <f>IFERROR(VLOOKUP(Tablo5[[#This Row],[ÜRÜN KODU]],YMKODLARI!$A$1:$K$363,8,0)," ")</f>
        <v xml:space="preserve"> </v>
      </c>
      <c r="O194" s="100" t="str">
        <f>IFERROR(VLOOKUP(Tablo5[[#This Row],[HAMMADDE KODU]],Tablo1[#All],3,0)," ")</f>
        <v xml:space="preserve"> </v>
      </c>
      <c r="P194" s="100" t="str">
        <f>IFERROR(VLOOKUP(Tablo5[[#This Row],[HAMMADDE KODU]],Tablo1[#All],4,0)," ")</f>
        <v xml:space="preserve"> </v>
      </c>
      <c r="Q194" s="100" t="str">
        <f>IFERROR(VLOOKUP(Tablo5[[#This Row],[ÜRÜN KODU]],YMKODLARI!$A$1:$K$363,5,0)," ")</f>
        <v xml:space="preserve"> </v>
      </c>
      <c r="R194" s="100" t="str">
        <f>IFERROR(VLOOKUP(Tablo5[[#This Row],[ÜRÜN KODU]],YMKODLARI!$A$1:$K$363,6,0)," ")</f>
        <v xml:space="preserve"> </v>
      </c>
      <c r="S194" s="100" t="str">
        <f>IFERROR(Tablo5[[#This Row],[YOLLUK HARİÇ BASKI GRAMI]]/Tablo5[[#This Row],[KALIP GÖZ ADEDİ]]," ")</f>
        <v xml:space="preserve"> </v>
      </c>
      <c r="T194" s="100" t="str">
        <f t="shared" si="16"/>
        <v xml:space="preserve"> </v>
      </c>
      <c r="U194" s="100"/>
      <c r="V194" s="100" t="str">
        <f t="shared" si="15"/>
        <v xml:space="preserve"> </v>
      </c>
      <c r="W194" s="101">
        <f t="shared" si="17"/>
        <v>24</v>
      </c>
      <c r="X194" s="102">
        <f t="shared" si="18"/>
        <v>0</v>
      </c>
      <c r="Y194" s="100" t="str">
        <f t="shared" si="19"/>
        <v xml:space="preserve"> </v>
      </c>
      <c r="Z194" s="100" t="str">
        <f t="shared" si="20"/>
        <v xml:space="preserve"> </v>
      </c>
    </row>
    <row r="195" spans="1:26">
      <c r="A195" s="100"/>
      <c r="B195" s="108" t="str">
        <f>IFERROR(VLOOKUP(Tablo5[[#This Row],[ÜRÜN KODU]],YMKODLARI!$A$1:$K$363,2,0)," ")</f>
        <v xml:space="preserve"> </v>
      </c>
      <c r="C195" s="99"/>
      <c r="D195" s="100"/>
      <c r="E195" s="101"/>
      <c r="F195" s="101"/>
      <c r="G195" s="100" t="str">
        <f>IFERROR(VLOOKUP(Tablo5[[#This Row],[ÜRÜN KODU]],YMKODLARI!$A$1:$K$363,3,0)," ")</f>
        <v xml:space="preserve"> </v>
      </c>
      <c r="H195" s="100" t="str">
        <f>IFERROR(VLOOKUP(Tablo5[[#This Row],[ÜRÜN KODU]],YMKODLARI!$A$1:$K$363,4,0)," ")</f>
        <v xml:space="preserve"> </v>
      </c>
      <c r="I195" s="100"/>
      <c r="J195" s="100" t="str">
        <f>IFERROR(VLOOKUP(Tablo5[[#This Row],[ÜRÜN KODU]],YMKODLARI!$A$1:$K$363,9,0)," ")</f>
        <v xml:space="preserve"> </v>
      </c>
      <c r="K195" s="100" t="str">
        <f>IFERROR(VLOOKUP(Tablo5[[#This Row],[BOYA KODU]],Tablo14[#All],4,0)," ")</f>
        <v xml:space="preserve"> </v>
      </c>
      <c r="L195" s="100" t="str">
        <f>IFERROR(VLOOKUP(Tablo5[[#This Row],[BOYA KODU]],Tablo14[#All],6,0)," ")</f>
        <v xml:space="preserve"> </v>
      </c>
      <c r="M195" s="100" t="str">
        <f t="shared" ref="M195:M258" si="21">IFERROR((I195*Q195)*L195," ")</f>
        <v xml:space="preserve"> </v>
      </c>
      <c r="N195" s="100" t="str">
        <f>IFERROR(VLOOKUP(Tablo5[[#This Row],[ÜRÜN KODU]],YMKODLARI!$A$1:$K$363,8,0)," ")</f>
        <v xml:space="preserve"> </v>
      </c>
      <c r="O195" s="100" t="str">
        <f>IFERROR(VLOOKUP(Tablo5[[#This Row],[HAMMADDE KODU]],Tablo1[#All],3,0)," ")</f>
        <v xml:space="preserve"> </v>
      </c>
      <c r="P195" s="100" t="str">
        <f>IFERROR(VLOOKUP(Tablo5[[#This Row],[HAMMADDE KODU]],Tablo1[#All],4,0)," ")</f>
        <v xml:space="preserve"> </v>
      </c>
      <c r="Q195" s="100" t="str">
        <f>IFERROR(VLOOKUP(Tablo5[[#This Row],[ÜRÜN KODU]],YMKODLARI!$A$1:$K$363,5,0)," ")</f>
        <v xml:space="preserve"> </v>
      </c>
      <c r="R195" s="100" t="str">
        <f>IFERROR(VLOOKUP(Tablo5[[#This Row],[ÜRÜN KODU]],YMKODLARI!$A$1:$K$363,6,0)," ")</f>
        <v xml:space="preserve"> </v>
      </c>
      <c r="S195" s="100" t="str">
        <f>IFERROR(Tablo5[[#This Row],[YOLLUK HARİÇ BASKI GRAMI]]/Tablo5[[#This Row],[KALIP GÖZ ADEDİ]]," ")</f>
        <v xml:space="preserve"> </v>
      </c>
      <c r="T195" s="100" t="str">
        <f t="shared" si="16"/>
        <v xml:space="preserve"> </v>
      </c>
      <c r="U195" s="100"/>
      <c r="V195" s="100" t="str">
        <f t="shared" ref="V195:V258" si="22">IFERROR(U195+(R195*I195) /1000," ")</f>
        <v xml:space="preserve"> </v>
      </c>
      <c r="W195" s="101">
        <f t="shared" si="17"/>
        <v>24</v>
      </c>
      <c r="X195" s="102">
        <f t="shared" si="18"/>
        <v>0</v>
      </c>
      <c r="Y195" s="100" t="str">
        <f t="shared" si="19"/>
        <v xml:space="preserve"> </v>
      </c>
      <c r="Z195" s="100" t="str">
        <f t="shared" si="20"/>
        <v xml:space="preserve"> </v>
      </c>
    </row>
    <row r="196" spans="1:26">
      <c r="A196" s="100"/>
      <c r="B196" s="108" t="str">
        <f>IFERROR(VLOOKUP(Tablo5[[#This Row],[ÜRÜN KODU]],YMKODLARI!$A$1:$K$363,2,0)," ")</f>
        <v xml:space="preserve"> </v>
      </c>
      <c r="C196" s="99"/>
      <c r="D196" s="100"/>
      <c r="E196" s="101"/>
      <c r="F196" s="101"/>
      <c r="G196" s="100" t="str">
        <f>IFERROR(VLOOKUP(Tablo5[[#This Row],[ÜRÜN KODU]],YMKODLARI!$A$1:$K$363,3,0)," ")</f>
        <v xml:space="preserve"> </v>
      </c>
      <c r="H196" s="100" t="str">
        <f>IFERROR(VLOOKUP(Tablo5[[#This Row],[ÜRÜN KODU]],YMKODLARI!$A$1:$K$363,4,0)," ")</f>
        <v xml:space="preserve"> </v>
      </c>
      <c r="I196" s="100"/>
      <c r="J196" s="100" t="str">
        <f>IFERROR(VLOOKUP(Tablo5[[#This Row],[ÜRÜN KODU]],YMKODLARI!$A$1:$K$363,9,0)," ")</f>
        <v xml:space="preserve"> </v>
      </c>
      <c r="K196" s="100" t="str">
        <f>IFERROR(VLOOKUP(Tablo5[[#This Row],[BOYA KODU]],Tablo14[#All],4,0)," ")</f>
        <v xml:space="preserve"> </v>
      </c>
      <c r="L196" s="100" t="str">
        <f>IFERROR(VLOOKUP(Tablo5[[#This Row],[BOYA KODU]],Tablo14[#All],6,0)," ")</f>
        <v xml:space="preserve"> </v>
      </c>
      <c r="M196" s="100" t="str">
        <f t="shared" si="21"/>
        <v xml:space="preserve"> </v>
      </c>
      <c r="N196" s="100" t="str">
        <f>IFERROR(VLOOKUP(Tablo5[[#This Row],[ÜRÜN KODU]],YMKODLARI!$A$1:$K$363,8,0)," ")</f>
        <v xml:space="preserve"> </v>
      </c>
      <c r="O196" s="100" t="str">
        <f>IFERROR(VLOOKUP(Tablo5[[#This Row],[HAMMADDE KODU]],Tablo1[#All],3,0)," ")</f>
        <v xml:space="preserve"> </v>
      </c>
      <c r="P196" s="100" t="str">
        <f>IFERROR(VLOOKUP(Tablo5[[#This Row],[HAMMADDE KODU]],Tablo1[#All],4,0)," ")</f>
        <v xml:space="preserve"> </v>
      </c>
      <c r="Q196" s="100" t="str">
        <f>IFERROR(VLOOKUP(Tablo5[[#This Row],[ÜRÜN KODU]],YMKODLARI!$A$1:$K$363,5,0)," ")</f>
        <v xml:space="preserve"> </v>
      </c>
      <c r="R196" s="100" t="str">
        <f>IFERROR(VLOOKUP(Tablo5[[#This Row],[ÜRÜN KODU]],YMKODLARI!$A$1:$K$363,6,0)," ")</f>
        <v xml:space="preserve"> </v>
      </c>
      <c r="S196" s="100" t="str">
        <f>IFERROR(Tablo5[[#This Row],[YOLLUK HARİÇ BASKI GRAMI]]/Tablo5[[#This Row],[KALIP GÖZ ADEDİ]]," ")</f>
        <v xml:space="preserve"> </v>
      </c>
      <c r="T196" s="100" t="str">
        <f t="shared" ref="T196:T259" si="23">IFERROR(Q196-R196," ")</f>
        <v xml:space="preserve"> </v>
      </c>
      <c r="U196" s="100"/>
      <c r="V196" s="100" t="str">
        <f t="shared" si="22"/>
        <v xml:space="preserve"> </v>
      </c>
      <c r="W196" s="101">
        <f t="shared" ref="W196:W259" si="24">IFERROR(24-(E196-F196)," ")</f>
        <v>24</v>
      </c>
      <c r="X196" s="102">
        <f t="shared" ref="X196:X259" si="25">IFERROR((W196-INT(W196))*24," ")</f>
        <v>0</v>
      </c>
      <c r="Y196" s="100" t="str">
        <f t="shared" ref="Y196:Y259" si="26">IFERROR(H196*I196/3600," ")</f>
        <v xml:space="preserve"> </v>
      </c>
      <c r="Z196" s="100" t="str">
        <f t="shared" ref="Z196:Z259" si="27">IFERROR(I196*G196," " )</f>
        <v xml:space="preserve"> </v>
      </c>
    </row>
    <row r="197" spans="1:26">
      <c r="A197" s="100"/>
      <c r="B197" s="108" t="str">
        <f>IFERROR(VLOOKUP(Tablo5[[#This Row],[ÜRÜN KODU]],YMKODLARI!$A$1:$K$363,2,0)," ")</f>
        <v xml:space="preserve"> </v>
      </c>
      <c r="C197" s="99"/>
      <c r="D197" s="100"/>
      <c r="E197" s="101"/>
      <c r="F197" s="101"/>
      <c r="G197" s="100" t="str">
        <f>IFERROR(VLOOKUP(Tablo5[[#This Row],[ÜRÜN KODU]],YMKODLARI!$A$1:$K$363,3,0)," ")</f>
        <v xml:space="preserve"> </v>
      </c>
      <c r="H197" s="100" t="str">
        <f>IFERROR(VLOOKUP(Tablo5[[#This Row],[ÜRÜN KODU]],YMKODLARI!$A$1:$K$363,4,0)," ")</f>
        <v xml:space="preserve"> </v>
      </c>
      <c r="I197" s="100"/>
      <c r="J197" s="100" t="str">
        <f>IFERROR(VLOOKUP(Tablo5[[#This Row],[ÜRÜN KODU]],YMKODLARI!$A$1:$K$363,9,0)," ")</f>
        <v xml:space="preserve"> </v>
      </c>
      <c r="K197" s="100" t="str">
        <f>IFERROR(VLOOKUP(Tablo5[[#This Row],[BOYA KODU]],Tablo14[#All],4,0)," ")</f>
        <v xml:space="preserve"> </v>
      </c>
      <c r="L197" s="100" t="str">
        <f>IFERROR(VLOOKUP(Tablo5[[#This Row],[BOYA KODU]],Tablo14[#All],6,0)," ")</f>
        <v xml:space="preserve"> </v>
      </c>
      <c r="M197" s="100" t="str">
        <f t="shared" si="21"/>
        <v xml:space="preserve"> </v>
      </c>
      <c r="N197" s="100" t="str">
        <f>IFERROR(VLOOKUP(Tablo5[[#This Row],[ÜRÜN KODU]],YMKODLARI!$A$1:$K$363,8,0)," ")</f>
        <v xml:space="preserve"> </v>
      </c>
      <c r="O197" s="100" t="str">
        <f>IFERROR(VLOOKUP(Tablo5[[#This Row],[HAMMADDE KODU]],Tablo1[#All],3,0)," ")</f>
        <v xml:space="preserve"> </v>
      </c>
      <c r="P197" s="100" t="str">
        <f>IFERROR(VLOOKUP(Tablo5[[#This Row],[HAMMADDE KODU]],Tablo1[#All],4,0)," ")</f>
        <v xml:space="preserve"> </v>
      </c>
      <c r="Q197" s="100" t="str">
        <f>IFERROR(VLOOKUP(Tablo5[[#This Row],[ÜRÜN KODU]],YMKODLARI!$A$1:$K$363,5,0)," ")</f>
        <v xml:space="preserve"> </v>
      </c>
      <c r="R197" s="100" t="str">
        <f>IFERROR(VLOOKUP(Tablo5[[#This Row],[ÜRÜN KODU]],YMKODLARI!$A$1:$K$363,6,0)," ")</f>
        <v xml:space="preserve"> </v>
      </c>
      <c r="S197" s="100" t="str">
        <f>IFERROR(Tablo5[[#This Row],[YOLLUK HARİÇ BASKI GRAMI]]/Tablo5[[#This Row],[KALIP GÖZ ADEDİ]]," ")</f>
        <v xml:space="preserve"> </v>
      </c>
      <c r="T197" s="100" t="str">
        <f t="shared" si="23"/>
        <v xml:space="preserve"> </v>
      </c>
      <c r="U197" s="100"/>
      <c r="V197" s="100" t="str">
        <f t="shared" si="22"/>
        <v xml:space="preserve"> </v>
      </c>
      <c r="W197" s="101">
        <f t="shared" si="24"/>
        <v>24</v>
      </c>
      <c r="X197" s="102">
        <f t="shared" si="25"/>
        <v>0</v>
      </c>
      <c r="Y197" s="100" t="str">
        <f t="shared" si="26"/>
        <v xml:space="preserve"> </v>
      </c>
      <c r="Z197" s="100" t="str">
        <f t="shared" si="27"/>
        <v xml:space="preserve"> </v>
      </c>
    </row>
    <row r="198" spans="1:26">
      <c r="A198" s="100"/>
      <c r="B198" s="108" t="str">
        <f>IFERROR(VLOOKUP(Tablo5[[#This Row],[ÜRÜN KODU]],YMKODLARI!$A$1:$K$363,2,0)," ")</f>
        <v xml:space="preserve"> </v>
      </c>
      <c r="C198" s="99"/>
      <c r="D198" s="100"/>
      <c r="E198" s="101"/>
      <c r="F198" s="101"/>
      <c r="G198" s="100" t="str">
        <f>IFERROR(VLOOKUP(Tablo5[[#This Row],[ÜRÜN KODU]],YMKODLARI!$A$1:$K$363,3,0)," ")</f>
        <v xml:space="preserve"> </v>
      </c>
      <c r="H198" s="100" t="str">
        <f>IFERROR(VLOOKUP(Tablo5[[#This Row],[ÜRÜN KODU]],YMKODLARI!$A$1:$K$363,4,0)," ")</f>
        <v xml:space="preserve"> </v>
      </c>
      <c r="I198" s="100"/>
      <c r="J198" s="100" t="str">
        <f>IFERROR(VLOOKUP(Tablo5[[#This Row],[ÜRÜN KODU]],YMKODLARI!$A$1:$K$363,9,0)," ")</f>
        <v xml:space="preserve"> </v>
      </c>
      <c r="K198" s="100" t="str">
        <f>IFERROR(VLOOKUP(Tablo5[[#This Row],[BOYA KODU]],Tablo14[#All],4,0)," ")</f>
        <v xml:space="preserve"> </v>
      </c>
      <c r="L198" s="100" t="str">
        <f>IFERROR(VLOOKUP(Tablo5[[#This Row],[BOYA KODU]],Tablo14[#All],6,0)," ")</f>
        <v xml:space="preserve"> </v>
      </c>
      <c r="M198" s="100" t="str">
        <f t="shared" si="21"/>
        <v xml:space="preserve"> </v>
      </c>
      <c r="N198" s="100" t="str">
        <f>IFERROR(VLOOKUP(Tablo5[[#This Row],[ÜRÜN KODU]],YMKODLARI!$A$1:$K$363,8,0)," ")</f>
        <v xml:space="preserve"> </v>
      </c>
      <c r="O198" s="100" t="str">
        <f>IFERROR(VLOOKUP(Tablo5[[#This Row],[HAMMADDE KODU]],Tablo1[#All],3,0)," ")</f>
        <v xml:space="preserve"> </v>
      </c>
      <c r="P198" s="100" t="str">
        <f>IFERROR(VLOOKUP(Tablo5[[#This Row],[HAMMADDE KODU]],Tablo1[#All],4,0)," ")</f>
        <v xml:space="preserve"> </v>
      </c>
      <c r="Q198" s="100" t="str">
        <f>IFERROR(VLOOKUP(Tablo5[[#This Row],[ÜRÜN KODU]],YMKODLARI!$A$1:$K$363,5,0)," ")</f>
        <v xml:space="preserve"> </v>
      </c>
      <c r="R198" s="100" t="str">
        <f>IFERROR(VLOOKUP(Tablo5[[#This Row],[ÜRÜN KODU]],YMKODLARI!$A$1:$K$363,6,0)," ")</f>
        <v xml:space="preserve"> </v>
      </c>
      <c r="S198" s="100" t="str">
        <f>IFERROR(Tablo5[[#This Row],[YOLLUK HARİÇ BASKI GRAMI]]/Tablo5[[#This Row],[KALIP GÖZ ADEDİ]]," ")</f>
        <v xml:space="preserve"> </v>
      </c>
      <c r="T198" s="100" t="str">
        <f t="shared" si="23"/>
        <v xml:space="preserve"> </v>
      </c>
      <c r="U198" s="100"/>
      <c r="V198" s="100" t="str">
        <f t="shared" si="22"/>
        <v xml:space="preserve"> </v>
      </c>
      <c r="W198" s="101">
        <f t="shared" si="24"/>
        <v>24</v>
      </c>
      <c r="X198" s="102">
        <f t="shared" si="25"/>
        <v>0</v>
      </c>
      <c r="Y198" s="100" t="str">
        <f t="shared" si="26"/>
        <v xml:space="preserve"> </v>
      </c>
      <c r="Z198" s="100" t="str">
        <f t="shared" si="27"/>
        <v xml:space="preserve"> </v>
      </c>
    </row>
    <row r="199" spans="1:26">
      <c r="A199" s="100"/>
      <c r="B199" s="108" t="str">
        <f>IFERROR(VLOOKUP(Tablo5[[#This Row],[ÜRÜN KODU]],YMKODLARI!$A$1:$K$363,2,0)," ")</f>
        <v xml:space="preserve"> </v>
      </c>
      <c r="C199" s="99"/>
      <c r="D199" s="100"/>
      <c r="E199" s="101"/>
      <c r="F199" s="101"/>
      <c r="G199" s="100" t="str">
        <f>IFERROR(VLOOKUP(Tablo5[[#This Row],[ÜRÜN KODU]],YMKODLARI!$A$1:$K$363,3,0)," ")</f>
        <v xml:space="preserve"> </v>
      </c>
      <c r="H199" s="100" t="str">
        <f>IFERROR(VLOOKUP(Tablo5[[#This Row],[ÜRÜN KODU]],YMKODLARI!$A$1:$K$363,4,0)," ")</f>
        <v xml:space="preserve"> </v>
      </c>
      <c r="I199" s="100"/>
      <c r="J199" s="100" t="str">
        <f>IFERROR(VLOOKUP(Tablo5[[#This Row],[ÜRÜN KODU]],YMKODLARI!$A$1:$K$363,9,0)," ")</f>
        <v xml:space="preserve"> </v>
      </c>
      <c r="K199" s="100" t="str">
        <f>IFERROR(VLOOKUP(Tablo5[[#This Row],[BOYA KODU]],Tablo14[#All],4,0)," ")</f>
        <v xml:space="preserve"> </v>
      </c>
      <c r="L199" s="100" t="str">
        <f>IFERROR(VLOOKUP(Tablo5[[#This Row],[BOYA KODU]],Tablo14[#All],6,0)," ")</f>
        <v xml:space="preserve"> </v>
      </c>
      <c r="M199" s="100" t="str">
        <f t="shared" si="21"/>
        <v xml:space="preserve"> </v>
      </c>
      <c r="N199" s="100" t="str">
        <f>IFERROR(VLOOKUP(Tablo5[[#This Row],[ÜRÜN KODU]],YMKODLARI!$A$1:$K$363,8,0)," ")</f>
        <v xml:space="preserve"> </v>
      </c>
      <c r="O199" s="100" t="str">
        <f>IFERROR(VLOOKUP(Tablo5[[#This Row],[HAMMADDE KODU]],Tablo1[#All],3,0)," ")</f>
        <v xml:space="preserve"> </v>
      </c>
      <c r="P199" s="100" t="str">
        <f>IFERROR(VLOOKUP(Tablo5[[#This Row],[HAMMADDE KODU]],Tablo1[#All],4,0)," ")</f>
        <v xml:space="preserve"> </v>
      </c>
      <c r="Q199" s="100" t="str">
        <f>IFERROR(VLOOKUP(Tablo5[[#This Row],[ÜRÜN KODU]],YMKODLARI!$A$1:$K$363,5,0)," ")</f>
        <v xml:space="preserve"> </v>
      </c>
      <c r="R199" s="100" t="str">
        <f>IFERROR(VLOOKUP(Tablo5[[#This Row],[ÜRÜN KODU]],YMKODLARI!$A$1:$K$363,6,0)," ")</f>
        <v xml:space="preserve"> </v>
      </c>
      <c r="S199" s="100" t="str">
        <f>IFERROR(Tablo5[[#This Row],[YOLLUK HARİÇ BASKI GRAMI]]/Tablo5[[#This Row],[KALIP GÖZ ADEDİ]]," ")</f>
        <v xml:space="preserve"> </v>
      </c>
      <c r="T199" s="100" t="str">
        <f t="shared" si="23"/>
        <v xml:space="preserve"> </v>
      </c>
      <c r="U199" s="100"/>
      <c r="V199" s="100" t="str">
        <f t="shared" si="22"/>
        <v xml:space="preserve"> </v>
      </c>
      <c r="W199" s="101">
        <f t="shared" si="24"/>
        <v>24</v>
      </c>
      <c r="X199" s="102">
        <f t="shared" si="25"/>
        <v>0</v>
      </c>
      <c r="Y199" s="100" t="str">
        <f t="shared" si="26"/>
        <v xml:space="preserve"> </v>
      </c>
      <c r="Z199" s="100" t="str">
        <f t="shared" si="27"/>
        <v xml:space="preserve"> </v>
      </c>
    </row>
    <row r="200" spans="1:26">
      <c r="A200" s="100"/>
      <c r="B200" s="108" t="str">
        <f>IFERROR(VLOOKUP(Tablo5[[#This Row],[ÜRÜN KODU]],YMKODLARI!$A$1:$K$363,2,0)," ")</f>
        <v xml:space="preserve"> </v>
      </c>
      <c r="C200" s="99"/>
      <c r="D200" s="100"/>
      <c r="E200" s="101"/>
      <c r="F200" s="101"/>
      <c r="G200" s="100" t="str">
        <f>IFERROR(VLOOKUP(Tablo5[[#This Row],[ÜRÜN KODU]],YMKODLARI!$A$1:$K$363,3,0)," ")</f>
        <v xml:space="preserve"> </v>
      </c>
      <c r="H200" s="100" t="str">
        <f>IFERROR(VLOOKUP(Tablo5[[#This Row],[ÜRÜN KODU]],YMKODLARI!$A$1:$K$363,4,0)," ")</f>
        <v xml:space="preserve"> </v>
      </c>
      <c r="I200" s="100"/>
      <c r="J200" s="100" t="str">
        <f>IFERROR(VLOOKUP(Tablo5[[#This Row],[ÜRÜN KODU]],YMKODLARI!$A$1:$K$363,9,0)," ")</f>
        <v xml:space="preserve"> </v>
      </c>
      <c r="K200" s="100" t="str">
        <f>IFERROR(VLOOKUP(Tablo5[[#This Row],[BOYA KODU]],Tablo14[#All],4,0)," ")</f>
        <v xml:space="preserve"> </v>
      </c>
      <c r="L200" s="100" t="str">
        <f>IFERROR(VLOOKUP(Tablo5[[#This Row],[BOYA KODU]],Tablo14[#All],6,0)," ")</f>
        <v xml:space="preserve"> </v>
      </c>
      <c r="M200" s="100" t="str">
        <f t="shared" si="21"/>
        <v xml:space="preserve"> </v>
      </c>
      <c r="N200" s="100" t="str">
        <f>IFERROR(VLOOKUP(Tablo5[[#This Row],[ÜRÜN KODU]],YMKODLARI!$A$1:$K$363,8,0)," ")</f>
        <v xml:space="preserve"> </v>
      </c>
      <c r="O200" s="100" t="str">
        <f>IFERROR(VLOOKUP(Tablo5[[#This Row],[HAMMADDE KODU]],Tablo1[#All],3,0)," ")</f>
        <v xml:space="preserve"> </v>
      </c>
      <c r="P200" s="100" t="str">
        <f>IFERROR(VLOOKUP(Tablo5[[#This Row],[HAMMADDE KODU]],Tablo1[#All],4,0)," ")</f>
        <v xml:space="preserve"> </v>
      </c>
      <c r="Q200" s="100" t="str">
        <f>IFERROR(VLOOKUP(Tablo5[[#This Row],[ÜRÜN KODU]],YMKODLARI!$A$1:$K$363,5,0)," ")</f>
        <v xml:space="preserve"> </v>
      </c>
      <c r="R200" s="100" t="str">
        <f>IFERROR(VLOOKUP(Tablo5[[#This Row],[ÜRÜN KODU]],YMKODLARI!$A$1:$K$363,6,0)," ")</f>
        <v xml:space="preserve"> </v>
      </c>
      <c r="S200" s="100" t="str">
        <f>IFERROR(Tablo5[[#This Row],[YOLLUK HARİÇ BASKI GRAMI]]/Tablo5[[#This Row],[KALIP GÖZ ADEDİ]]," ")</f>
        <v xml:space="preserve"> </v>
      </c>
      <c r="T200" s="100" t="str">
        <f t="shared" si="23"/>
        <v xml:space="preserve"> </v>
      </c>
      <c r="U200" s="100"/>
      <c r="V200" s="100" t="str">
        <f t="shared" si="22"/>
        <v xml:space="preserve"> </v>
      </c>
      <c r="W200" s="101">
        <f t="shared" si="24"/>
        <v>24</v>
      </c>
      <c r="X200" s="102">
        <f t="shared" si="25"/>
        <v>0</v>
      </c>
      <c r="Y200" s="100" t="str">
        <f t="shared" si="26"/>
        <v xml:space="preserve"> </v>
      </c>
      <c r="Z200" s="100" t="str">
        <f t="shared" si="27"/>
        <v xml:space="preserve"> </v>
      </c>
    </row>
    <row r="201" spans="1:26">
      <c r="A201" s="100"/>
      <c r="B201" s="108" t="str">
        <f>IFERROR(VLOOKUP(Tablo5[[#This Row],[ÜRÜN KODU]],YMKODLARI!$A$1:$K$363,2,0)," ")</f>
        <v xml:space="preserve"> </v>
      </c>
      <c r="C201" s="99"/>
      <c r="D201" s="100"/>
      <c r="E201" s="101"/>
      <c r="F201" s="101"/>
      <c r="G201" s="100" t="str">
        <f>IFERROR(VLOOKUP(Tablo5[[#This Row],[ÜRÜN KODU]],YMKODLARI!$A$1:$K$363,3,0)," ")</f>
        <v xml:space="preserve"> </v>
      </c>
      <c r="H201" s="100" t="str">
        <f>IFERROR(VLOOKUP(Tablo5[[#This Row],[ÜRÜN KODU]],YMKODLARI!$A$1:$K$363,4,0)," ")</f>
        <v xml:space="preserve"> </v>
      </c>
      <c r="I201" s="100"/>
      <c r="J201" s="100" t="str">
        <f>IFERROR(VLOOKUP(Tablo5[[#This Row],[ÜRÜN KODU]],YMKODLARI!$A$1:$K$363,9,0)," ")</f>
        <v xml:space="preserve"> </v>
      </c>
      <c r="K201" s="100" t="str">
        <f>IFERROR(VLOOKUP(Tablo5[[#This Row],[BOYA KODU]],Tablo14[#All],4,0)," ")</f>
        <v xml:space="preserve"> </v>
      </c>
      <c r="L201" s="100" t="str">
        <f>IFERROR(VLOOKUP(Tablo5[[#This Row],[BOYA KODU]],Tablo14[#All],6,0)," ")</f>
        <v xml:space="preserve"> </v>
      </c>
      <c r="M201" s="100" t="str">
        <f t="shared" si="21"/>
        <v xml:space="preserve"> </v>
      </c>
      <c r="N201" s="100" t="str">
        <f>IFERROR(VLOOKUP(Tablo5[[#This Row],[ÜRÜN KODU]],YMKODLARI!$A$1:$K$363,8,0)," ")</f>
        <v xml:space="preserve"> </v>
      </c>
      <c r="O201" s="100" t="str">
        <f>IFERROR(VLOOKUP(Tablo5[[#This Row],[HAMMADDE KODU]],Tablo1[#All],3,0)," ")</f>
        <v xml:space="preserve"> </v>
      </c>
      <c r="P201" s="100" t="str">
        <f>IFERROR(VLOOKUP(Tablo5[[#This Row],[HAMMADDE KODU]],Tablo1[#All],4,0)," ")</f>
        <v xml:space="preserve"> </v>
      </c>
      <c r="Q201" s="100" t="str">
        <f>IFERROR(VLOOKUP(Tablo5[[#This Row],[ÜRÜN KODU]],YMKODLARI!$A$1:$K$363,5,0)," ")</f>
        <v xml:space="preserve"> </v>
      </c>
      <c r="R201" s="100" t="str">
        <f>IFERROR(VLOOKUP(Tablo5[[#This Row],[ÜRÜN KODU]],YMKODLARI!$A$1:$K$363,6,0)," ")</f>
        <v xml:space="preserve"> </v>
      </c>
      <c r="S201" s="100" t="str">
        <f>IFERROR(Tablo5[[#This Row],[YOLLUK HARİÇ BASKI GRAMI]]/Tablo5[[#This Row],[KALIP GÖZ ADEDİ]]," ")</f>
        <v xml:space="preserve"> </v>
      </c>
      <c r="T201" s="100" t="str">
        <f t="shared" si="23"/>
        <v xml:space="preserve"> </v>
      </c>
      <c r="U201" s="100"/>
      <c r="V201" s="100" t="str">
        <f t="shared" si="22"/>
        <v xml:space="preserve"> </v>
      </c>
      <c r="W201" s="101">
        <f t="shared" si="24"/>
        <v>24</v>
      </c>
      <c r="X201" s="102">
        <f t="shared" si="25"/>
        <v>0</v>
      </c>
      <c r="Y201" s="100" t="str">
        <f t="shared" si="26"/>
        <v xml:space="preserve"> </v>
      </c>
      <c r="Z201" s="100" t="str">
        <f t="shared" si="27"/>
        <v xml:space="preserve"> </v>
      </c>
    </row>
    <row r="202" spans="1:26">
      <c r="A202" s="100"/>
      <c r="B202" s="108" t="str">
        <f>IFERROR(VLOOKUP(Tablo5[[#This Row],[ÜRÜN KODU]],YMKODLARI!$A$1:$K$363,2,0)," ")</f>
        <v xml:space="preserve"> </v>
      </c>
      <c r="C202" s="99"/>
      <c r="D202" s="100"/>
      <c r="E202" s="101"/>
      <c r="F202" s="101"/>
      <c r="G202" s="100" t="str">
        <f>IFERROR(VLOOKUP(Tablo5[[#This Row],[ÜRÜN KODU]],YMKODLARI!$A$1:$K$363,3,0)," ")</f>
        <v xml:space="preserve"> </v>
      </c>
      <c r="H202" s="100" t="str">
        <f>IFERROR(VLOOKUP(Tablo5[[#This Row],[ÜRÜN KODU]],YMKODLARI!$A$1:$K$363,4,0)," ")</f>
        <v xml:space="preserve"> </v>
      </c>
      <c r="I202" s="100"/>
      <c r="J202" s="100" t="str">
        <f>IFERROR(VLOOKUP(Tablo5[[#This Row],[ÜRÜN KODU]],YMKODLARI!$A$1:$K$363,9,0)," ")</f>
        <v xml:space="preserve"> </v>
      </c>
      <c r="K202" s="100" t="str">
        <f>IFERROR(VLOOKUP(Tablo5[[#This Row],[BOYA KODU]],Tablo14[#All],4,0)," ")</f>
        <v xml:space="preserve"> </v>
      </c>
      <c r="L202" s="100" t="str">
        <f>IFERROR(VLOOKUP(Tablo5[[#This Row],[BOYA KODU]],Tablo14[#All],6,0)," ")</f>
        <v xml:space="preserve"> </v>
      </c>
      <c r="M202" s="100" t="str">
        <f t="shared" si="21"/>
        <v xml:space="preserve"> </v>
      </c>
      <c r="N202" s="100" t="str">
        <f>IFERROR(VLOOKUP(Tablo5[[#This Row],[ÜRÜN KODU]],YMKODLARI!$A$1:$K$363,8,0)," ")</f>
        <v xml:space="preserve"> </v>
      </c>
      <c r="O202" s="100" t="str">
        <f>IFERROR(VLOOKUP(Tablo5[[#This Row],[HAMMADDE KODU]],Tablo1[#All],3,0)," ")</f>
        <v xml:space="preserve"> </v>
      </c>
      <c r="P202" s="100" t="str">
        <f>IFERROR(VLOOKUP(Tablo5[[#This Row],[HAMMADDE KODU]],Tablo1[#All],4,0)," ")</f>
        <v xml:space="preserve"> </v>
      </c>
      <c r="Q202" s="100" t="str">
        <f>IFERROR(VLOOKUP(Tablo5[[#This Row],[ÜRÜN KODU]],YMKODLARI!$A$1:$K$363,5,0)," ")</f>
        <v xml:space="preserve"> </v>
      </c>
      <c r="R202" s="100" t="str">
        <f>IFERROR(VLOOKUP(Tablo5[[#This Row],[ÜRÜN KODU]],YMKODLARI!$A$1:$K$363,6,0)," ")</f>
        <v xml:space="preserve"> </v>
      </c>
      <c r="S202" s="100" t="str">
        <f>IFERROR(Tablo5[[#This Row],[YOLLUK HARİÇ BASKI GRAMI]]/Tablo5[[#This Row],[KALIP GÖZ ADEDİ]]," ")</f>
        <v xml:space="preserve"> </v>
      </c>
      <c r="T202" s="100" t="str">
        <f t="shared" si="23"/>
        <v xml:space="preserve"> </v>
      </c>
      <c r="U202" s="100"/>
      <c r="V202" s="100" t="str">
        <f t="shared" si="22"/>
        <v xml:space="preserve"> </v>
      </c>
      <c r="W202" s="101">
        <f t="shared" si="24"/>
        <v>24</v>
      </c>
      <c r="X202" s="102">
        <f t="shared" si="25"/>
        <v>0</v>
      </c>
      <c r="Y202" s="100" t="str">
        <f t="shared" si="26"/>
        <v xml:space="preserve"> </v>
      </c>
      <c r="Z202" s="100" t="str">
        <f t="shared" si="27"/>
        <v xml:space="preserve"> </v>
      </c>
    </row>
    <row r="203" spans="1:26">
      <c r="A203" s="100"/>
      <c r="B203" s="108" t="str">
        <f>IFERROR(VLOOKUP(Tablo5[[#This Row],[ÜRÜN KODU]],YMKODLARI!$A$1:$K$363,2,0)," ")</f>
        <v xml:space="preserve"> </v>
      </c>
      <c r="C203" s="99"/>
      <c r="D203" s="100"/>
      <c r="E203" s="101"/>
      <c r="F203" s="101"/>
      <c r="G203" s="100" t="str">
        <f>IFERROR(VLOOKUP(Tablo5[[#This Row],[ÜRÜN KODU]],YMKODLARI!$A$1:$K$363,3,0)," ")</f>
        <v xml:space="preserve"> </v>
      </c>
      <c r="H203" s="100" t="str">
        <f>IFERROR(VLOOKUP(Tablo5[[#This Row],[ÜRÜN KODU]],YMKODLARI!$A$1:$K$363,4,0)," ")</f>
        <v xml:space="preserve"> </v>
      </c>
      <c r="I203" s="100"/>
      <c r="J203" s="100" t="str">
        <f>IFERROR(VLOOKUP(Tablo5[[#This Row],[ÜRÜN KODU]],YMKODLARI!$A$1:$K$363,9,0)," ")</f>
        <v xml:space="preserve"> </v>
      </c>
      <c r="K203" s="100" t="str">
        <f>IFERROR(VLOOKUP(Tablo5[[#This Row],[BOYA KODU]],Tablo14[#All],4,0)," ")</f>
        <v xml:space="preserve"> </v>
      </c>
      <c r="L203" s="100" t="str">
        <f>IFERROR(VLOOKUP(Tablo5[[#This Row],[BOYA KODU]],Tablo14[#All],6,0)," ")</f>
        <v xml:space="preserve"> </v>
      </c>
      <c r="M203" s="100" t="str">
        <f t="shared" si="21"/>
        <v xml:space="preserve"> </v>
      </c>
      <c r="N203" s="100" t="str">
        <f>IFERROR(VLOOKUP(Tablo5[[#This Row],[ÜRÜN KODU]],YMKODLARI!$A$1:$K$363,8,0)," ")</f>
        <v xml:space="preserve"> </v>
      </c>
      <c r="O203" s="100" t="str">
        <f>IFERROR(VLOOKUP(Tablo5[[#This Row],[HAMMADDE KODU]],Tablo1[#All],3,0)," ")</f>
        <v xml:space="preserve"> </v>
      </c>
      <c r="P203" s="100" t="str">
        <f>IFERROR(VLOOKUP(Tablo5[[#This Row],[HAMMADDE KODU]],Tablo1[#All],4,0)," ")</f>
        <v xml:space="preserve"> </v>
      </c>
      <c r="Q203" s="100" t="str">
        <f>IFERROR(VLOOKUP(Tablo5[[#This Row],[ÜRÜN KODU]],YMKODLARI!$A$1:$K$363,5,0)," ")</f>
        <v xml:space="preserve"> </v>
      </c>
      <c r="R203" s="100" t="str">
        <f>IFERROR(VLOOKUP(Tablo5[[#This Row],[ÜRÜN KODU]],YMKODLARI!$A$1:$K$363,6,0)," ")</f>
        <v xml:space="preserve"> </v>
      </c>
      <c r="S203" s="100" t="str">
        <f>IFERROR(Tablo5[[#This Row],[YOLLUK HARİÇ BASKI GRAMI]]/Tablo5[[#This Row],[KALIP GÖZ ADEDİ]]," ")</f>
        <v xml:space="preserve"> </v>
      </c>
      <c r="T203" s="100" t="str">
        <f t="shared" si="23"/>
        <v xml:space="preserve"> </v>
      </c>
      <c r="U203" s="100"/>
      <c r="V203" s="100" t="str">
        <f t="shared" si="22"/>
        <v xml:space="preserve"> </v>
      </c>
      <c r="W203" s="101">
        <f t="shared" si="24"/>
        <v>24</v>
      </c>
      <c r="X203" s="102">
        <f t="shared" si="25"/>
        <v>0</v>
      </c>
      <c r="Y203" s="100" t="str">
        <f t="shared" si="26"/>
        <v xml:space="preserve"> </v>
      </c>
      <c r="Z203" s="100" t="str">
        <f t="shared" si="27"/>
        <v xml:space="preserve"> </v>
      </c>
    </row>
    <row r="204" spans="1:26">
      <c r="A204" s="100"/>
      <c r="B204" s="108" t="str">
        <f>IFERROR(VLOOKUP(Tablo5[[#This Row],[ÜRÜN KODU]],YMKODLARI!$A$1:$K$363,2,0)," ")</f>
        <v xml:space="preserve"> </v>
      </c>
      <c r="C204" s="99"/>
      <c r="D204" s="100"/>
      <c r="E204" s="101"/>
      <c r="F204" s="101"/>
      <c r="G204" s="100" t="str">
        <f>IFERROR(VLOOKUP(Tablo5[[#This Row],[ÜRÜN KODU]],YMKODLARI!$A$1:$K$363,3,0)," ")</f>
        <v xml:space="preserve"> </v>
      </c>
      <c r="H204" s="100" t="str">
        <f>IFERROR(VLOOKUP(Tablo5[[#This Row],[ÜRÜN KODU]],YMKODLARI!$A$1:$K$363,4,0)," ")</f>
        <v xml:space="preserve"> </v>
      </c>
      <c r="I204" s="100"/>
      <c r="J204" s="100" t="str">
        <f>IFERROR(VLOOKUP(Tablo5[[#This Row],[ÜRÜN KODU]],YMKODLARI!$A$1:$K$363,9,0)," ")</f>
        <v xml:space="preserve"> </v>
      </c>
      <c r="K204" s="100" t="str">
        <f>IFERROR(VLOOKUP(Tablo5[[#This Row],[BOYA KODU]],Tablo14[#All],4,0)," ")</f>
        <v xml:space="preserve"> </v>
      </c>
      <c r="L204" s="100" t="str">
        <f>IFERROR(VLOOKUP(Tablo5[[#This Row],[BOYA KODU]],Tablo14[#All],6,0)," ")</f>
        <v xml:space="preserve"> </v>
      </c>
      <c r="M204" s="100" t="str">
        <f t="shared" si="21"/>
        <v xml:space="preserve"> </v>
      </c>
      <c r="N204" s="100" t="str">
        <f>IFERROR(VLOOKUP(Tablo5[[#This Row],[ÜRÜN KODU]],YMKODLARI!$A$1:$K$363,8,0)," ")</f>
        <v xml:space="preserve"> </v>
      </c>
      <c r="O204" s="100" t="str">
        <f>IFERROR(VLOOKUP(Tablo5[[#This Row],[HAMMADDE KODU]],Tablo1[#All],3,0)," ")</f>
        <v xml:space="preserve"> </v>
      </c>
      <c r="P204" s="100" t="str">
        <f>IFERROR(VLOOKUP(Tablo5[[#This Row],[HAMMADDE KODU]],Tablo1[#All],4,0)," ")</f>
        <v xml:space="preserve"> </v>
      </c>
      <c r="Q204" s="100" t="str">
        <f>IFERROR(VLOOKUP(Tablo5[[#This Row],[ÜRÜN KODU]],YMKODLARI!$A$1:$K$363,5,0)," ")</f>
        <v xml:space="preserve"> </v>
      </c>
      <c r="R204" s="100" t="str">
        <f>IFERROR(VLOOKUP(Tablo5[[#This Row],[ÜRÜN KODU]],YMKODLARI!$A$1:$K$363,6,0)," ")</f>
        <v xml:space="preserve"> </v>
      </c>
      <c r="S204" s="100" t="str">
        <f>IFERROR(Tablo5[[#This Row],[YOLLUK HARİÇ BASKI GRAMI]]/Tablo5[[#This Row],[KALIP GÖZ ADEDİ]]," ")</f>
        <v xml:space="preserve"> </v>
      </c>
      <c r="T204" s="100" t="str">
        <f t="shared" si="23"/>
        <v xml:space="preserve"> </v>
      </c>
      <c r="U204" s="100"/>
      <c r="V204" s="100" t="str">
        <f t="shared" si="22"/>
        <v xml:space="preserve"> </v>
      </c>
      <c r="W204" s="101">
        <f t="shared" si="24"/>
        <v>24</v>
      </c>
      <c r="X204" s="102">
        <f t="shared" si="25"/>
        <v>0</v>
      </c>
      <c r="Y204" s="100" t="str">
        <f t="shared" si="26"/>
        <v xml:space="preserve"> </v>
      </c>
      <c r="Z204" s="100" t="str">
        <f t="shared" si="27"/>
        <v xml:space="preserve"> </v>
      </c>
    </row>
    <row r="205" spans="1:26">
      <c r="A205" s="100"/>
      <c r="B205" s="108" t="str">
        <f>IFERROR(VLOOKUP(Tablo5[[#This Row],[ÜRÜN KODU]],YMKODLARI!$A$1:$K$363,2,0)," ")</f>
        <v xml:space="preserve"> </v>
      </c>
      <c r="C205" s="99"/>
      <c r="D205" s="100"/>
      <c r="E205" s="101"/>
      <c r="F205" s="101"/>
      <c r="G205" s="100" t="str">
        <f>IFERROR(VLOOKUP(Tablo5[[#This Row],[ÜRÜN KODU]],YMKODLARI!$A$1:$K$363,3,0)," ")</f>
        <v xml:space="preserve"> </v>
      </c>
      <c r="H205" s="100" t="str">
        <f>IFERROR(VLOOKUP(Tablo5[[#This Row],[ÜRÜN KODU]],YMKODLARI!$A$1:$K$363,4,0)," ")</f>
        <v xml:space="preserve"> </v>
      </c>
      <c r="I205" s="100"/>
      <c r="J205" s="100" t="str">
        <f>IFERROR(VLOOKUP(Tablo5[[#This Row],[ÜRÜN KODU]],YMKODLARI!$A$1:$K$363,9,0)," ")</f>
        <v xml:space="preserve"> </v>
      </c>
      <c r="K205" s="100" t="str">
        <f>IFERROR(VLOOKUP(Tablo5[[#This Row],[BOYA KODU]],Tablo14[#All],4,0)," ")</f>
        <v xml:space="preserve"> </v>
      </c>
      <c r="L205" s="100" t="str">
        <f>IFERROR(VLOOKUP(Tablo5[[#This Row],[BOYA KODU]],Tablo14[#All],6,0)," ")</f>
        <v xml:space="preserve"> </v>
      </c>
      <c r="M205" s="100" t="str">
        <f t="shared" si="21"/>
        <v xml:space="preserve"> </v>
      </c>
      <c r="N205" s="100" t="str">
        <f>IFERROR(VLOOKUP(Tablo5[[#This Row],[ÜRÜN KODU]],YMKODLARI!$A$1:$K$363,8,0)," ")</f>
        <v xml:space="preserve"> </v>
      </c>
      <c r="O205" s="100" t="str">
        <f>IFERROR(VLOOKUP(Tablo5[[#This Row],[HAMMADDE KODU]],Tablo1[#All],3,0)," ")</f>
        <v xml:space="preserve"> </v>
      </c>
      <c r="P205" s="100" t="str">
        <f>IFERROR(VLOOKUP(Tablo5[[#This Row],[HAMMADDE KODU]],Tablo1[#All],4,0)," ")</f>
        <v xml:space="preserve"> </v>
      </c>
      <c r="Q205" s="100" t="str">
        <f>IFERROR(VLOOKUP(Tablo5[[#This Row],[ÜRÜN KODU]],YMKODLARI!$A$1:$K$363,5,0)," ")</f>
        <v xml:space="preserve"> </v>
      </c>
      <c r="R205" s="100" t="str">
        <f>IFERROR(VLOOKUP(Tablo5[[#This Row],[ÜRÜN KODU]],YMKODLARI!$A$1:$K$363,6,0)," ")</f>
        <v xml:space="preserve"> </v>
      </c>
      <c r="S205" s="100" t="str">
        <f>IFERROR(Tablo5[[#This Row],[YOLLUK HARİÇ BASKI GRAMI]]/Tablo5[[#This Row],[KALIP GÖZ ADEDİ]]," ")</f>
        <v xml:space="preserve"> </v>
      </c>
      <c r="T205" s="100" t="str">
        <f t="shared" si="23"/>
        <v xml:space="preserve"> </v>
      </c>
      <c r="U205" s="100"/>
      <c r="V205" s="100" t="str">
        <f t="shared" si="22"/>
        <v xml:space="preserve"> </v>
      </c>
      <c r="W205" s="101">
        <f t="shared" si="24"/>
        <v>24</v>
      </c>
      <c r="X205" s="102">
        <f t="shared" si="25"/>
        <v>0</v>
      </c>
      <c r="Y205" s="100" t="str">
        <f t="shared" si="26"/>
        <v xml:space="preserve"> </v>
      </c>
      <c r="Z205" s="100" t="str">
        <f t="shared" si="27"/>
        <v xml:space="preserve"> </v>
      </c>
    </row>
    <row r="206" spans="1:26">
      <c r="A206" s="100"/>
      <c r="B206" s="108" t="str">
        <f>IFERROR(VLOOKUP(Tablo5[[#This Row],[ÜRÜN KODU]],YMKODLARI!$A$1:$K$363,2,0)," ")</f>
        <v xml:space="preserve"> </v>
      </c>
      <c r="C206" s="99"/>
      <c r="D206" s="100"/>
      <c r="E206" s="101"/>
      <c r="F206" s="101"/>
      <c r="G206" s="100" t="str">
        <f>IFERROR(VLOOKUP(Tablo5[[#This Row],[ÜRÜN KODU]],YMKODLARI!$A$1:$K$363,3,0)," ")</f>
        <v xml:space="preserve"> </v>
      </c>
      <c r="H206" s="100" t="str">
        <f>IFERROR(VLOOKUP(Tablo5[[#This Row],[ÜRÜN KODU]],YMKODLARI!$A$1:$K$363,4,0)," ")</f>
        <v xml:space="preserve"> </v>
      </c>
      <c r="I206" s="100"/>
      <c r="J206" s="100" t="str">
        <f>IFERROR(VLOOKUP(Tablo5[[#This Row],[ÜRÜN KODU]],YMKODLARI!$A$1:$K$363,9,0)," ")</f>
        <v xml:space="preserve"> </v>
      </c>
      <c r="K206" s="100" t="str">
        <f>IFERROR(VLOOKUP(Tablo5[[#This Row],[BOYA KODU]],Tablo14[#All],4,0)," ")</f>
        <v xml:space="preserve"> </v>
      </c>
      <c r="L206" s="100" t="str">
        <f>IFERROR(VLOOKUP(Tablo5[[#This Row],[BOYA KODU]],Tablo14[#All],6,0)," ")</f>
        <v xml:space="preserve"> </v>
      </c>
      <c r="M206" s="100" t="str">
        <f t="shared" si="21"/>
        <v xml:space="preserve"> </v>
      </c>
      <c r="N206" s="100" t="str">
        <f>IFERROR(VLOOKUP(Tablo5[[#This Row],[ÜRÜN KODU]],YMKODLARI!$A$1:$K$363,8,0)," ")</f>
        <v xml:space="preserve"> </v>
      </c>
      <c r="O206" s="100" t="str">
        <f>IFERROR(VLOOKUP(Tablo5[[#This Row],[HAMMADDE KODU]],Tablo1[#All],3,0)," ")</f>
        <v xml:space="preserve"> </v>
      </c>
      <c r="P206" s="100" t="str">
        <f>IFERROR(VLOOKUP(Tablo5[[#This Row],[HAMMADDE KODU]],Tablo1[#All],4,0)," ")</f>
        <v xml:space="preserve"> </v>
      </c>
      <c r="Q206" s="100" t="str">
        <f>IFERROR(VLOOKUP(Tablo5[[#This Row],[ÜRÜN KODU]],YMKODLARI!$A$1:$K$363,5,0)," ")</f>
        <v xml:space="preserve"> </v>
      </c>
      <c r="R206" s="100" t="str">
        <f>IFERROR(VLOOKUP(Tablo5[[#This Row],[ÜRÜN KODU]],YMKODLARI!$A$1:$K$363,6,0)," ")</f>
        <v xml:space="preserve"> </v>
      </c>
      <c r="S206" s="100" t="str">
        <f>IFERROR(Tablo5[[#This Row],[YOLLUK HARİÇ BASKI GRAMI]]/Tablo5[[#This Row],[KALIP GÖZ ADEDİ]]," ")</f>
        <v xml:space="preserve"> </v>
      </c>
      <c r="T206" s="100" t="str">
        <f t="shared" si="23"/>
        <v xml:space="preserve"> </v>
      </c>
      <c r="U206" s="100"/>
      <c r="V206" s="100" t="str">
        <f t="shared" si="22"/>
        <v xml:space="preserve"> </v>
      </c>
      <c r="W206" s="101">
        <f t="shared" si="24"/>
        <v>24</v>
      </c>
      <c r="X206" s="102">
        <f t="shared" si="25"/>
        <v>0</v>
      </c>
      <c r="Y206" s="100" t="str">
        <f t="shared" si="26"/>
        <v xml:space="preserve"> </v>
      </c>
      <c r="Z206" s="100" t="str">
        <f t="shared" si="27"/>
        <v xml:space="preserve"> </v>
      </c>
    </row>
    <row r="207" spans="1:26">
      <c r="A207" s="100"/>
      <c r="B207" s="108" t="str">
        <f>IFERROR(VLOOKUP(Tablo5[[#This Row],[ÜRÜN KODU]],YMKODLARI!$A$1:$K$363,2,0)," ")</f>
        <v xml:space="preserve"> </v>
      </c>
      <c r="C207" s="99"/>
      <c r="D207" s="100"/>
      <c r="E207" s="101"/>
      <c r="F207" s="101"/>
      <c r="G207" s="100" t="str">
        <f>IFERROR(VLOOKUP(Tablo5[[#This Row],[ÜRÜN KODU]],YMKODLARI!$A$1:$K$363,3,0)," ")</f>
        <v xml:space="preserve"> </v>
      </c>
      <c r="H207" s="100" t="str">
        <f>IFERROR(VLOOKUP(Tablo5[[#This Row],[ÜRÜN KODU]],YMKODLARI!$A$1:$K$363,4,0)," ")</f>
        <v xml:space="preserve"> </v>
      </c>
      <c r="I207" s="100"/>
      <c r="J207" s="100" t="str">
        <f>IFERROR(VLOOKUP(Tablo5[[#This Row],[ÜRÜN KODU]],YMKODLARI!$A$1:$K$363,9,0)," ")</f>
        <v xml:space="preserve"> </v>
      </c>
      <c r="K207" s="100" t="str">
        <f>IFERROR(VLOOKUP(Tablo5[[#This Row],[BOYA KODU]],Tablo14[#All],4,0)," ")</f>
        <v xml:space="preserve"> </v>
      </c>
      <c r="L207" s="100" t="str">
        <f>IFERROR(VLOOKUP(Tablo5[[#This Row],[BOYA KODU]],Tablo14[#All],6,0)," ")</f>
        <v xml:space="preserve"> </v>
      </c>
      <c r="M207" s="100" t="str">
        <f t="shared" si="21"/>
        <v xml:space="preserve"> </v>
      </c>
      <c r="N207" s="100" t="str">
        <f>IFERROR(VLOOKUP(Tablo5[[#This Row],[ÜRÜN KODU]],YMKODLARI!$A$1:$K$363,8,0)," ")</f>
        <v xml:space="preserve"> </v>
      </c>
      <c r="O207" s="100" t="str">
        <f>IFERROR(VLOOKUP(Tablo5[[#This Row],[HAMMADDE KODU]],Tablo1[#All],3,0)," ")</f>
        <v xml:space="preserve"> </v>
      </c>
      <c r="P207" s="100" t="str">
        <f>IFERROR(VLOOKUP(Tablo5[[#This Row],[HAMMADDE KODU]],Tablo1[#All],4,0)," ")</f>
        <v xml:space="preserve"> </v>
      </c>
      <c r="Q207" s="100" t="str">
        <f>IFERROR(VLOOKUP(Tablo5[[#This Row],[ÜRÜN KODU]],YMKODLARI!$A$1:$K$363,5,0)," ")</f>
        <v xml:space="preserve"> </v>
      </c>
      <c r="R207" s="100" t="str">
        <f>IFERROR(VLOOKUP(Tablo5[[#This Row],[ÜRÜN KODU]],YMKODLARI!$A$1:$K$363,6,0)," ")</f>
        <v xml:space="preserve"> </v>
      </c>
      <c r="S207" s="100" t="str">
        <f>IFERROR(Tablo5[[#This Row],[YOLLUK HARİÇ BASKI GRAMI]]/Tablo5[[#This Row],[KALIP GÖZ ADEDİ]]," ")</f>
        <v xml:space="preserve"> </v>
      </c>
      <c r="T207" s="100" t="str">
        <f t="shared" si="23"/>
        <v xml:space="preserve"> </v>
      </c>
      <c r="U207" s="100"/>
      <c r="V207" s="100" t="str">
        <f t="shared" si="22"/>
        <v xml:space="preserve"> </v>
      </c>
      <c r="W207" s="101">
        <f t="shared" si="24"/>
        <v>24</v>
      </c>
      <c r="X207" s="102">
        <f t="shared" si="25"/>
        <v>0</v>
      </c>
      <c r="Y207" s="100" t="str">
        <f t="shared" si="26"/>
        <v xml:space="preserve"> </v>
      </c>
      <c r="Z207" s="100" t="str">
        <f t="shared" si="27"/>
        <v xml:space="preserve"> </v>
      </c>
    </row>
    <row r="208" spans="1:26">
      <c r="A208" s="100"/>
      <c r="B208" s="108" t="str">
        <f>IFERROR(VLOOKUP(Tablo5[[#This Row],[ÜRÜN KODU]],YMKODLARI!$A$1:$K$363,2,0)," ")</f>
        <v xml:space="preserve"> </v>
      </c>
      <c r="C208" s="99"/>
      <c r="D208" s="100"/>
      <c r="E208" s="101"/>
      <c r="F208" s="101"/>
      <c r="G208" s="100" t="str">
        <f>IFERROR(VLOOKUP(Tablo5[[#This Row],[ÜRÜN KODU]],YMKODLARI!$A$1:$K$363,3,0)," ")</f>
        <v xml:space="preserve"> </v>
      </c>
      <c r="H208" s="100" t="str">
        <f>IFERROR(VLOOKUP(Tablo5[[#This Row],[ÜRÜN KODU]],YMKODLARI!$A$1:$K$363,4,0)," ")</f>
        <v xml:space="preserve"> </v>
      </c>
      <c r="I208" s="100"/>
      <c r="J208" s="100" t="str">
        <f>IFERROR(VLOOKUP(Tablo5[[#This Row],[ÜRÜN KODU]],YMKODLARI!$A$1:$K$363,9,0)," ")</f>
        <v xml:space="preserve"> </v>
      </c>
      <c r="K208" s="100" t="str">
        <f>IFERROR(VLOOKUP(Tablo5[[#This Row],[BOYA KODU]],Tablo14[#All],4,0)," ")</f>
        <v xml:space="preserve"> </v>
      </c>
      <c r="L208" s="100" t="str">
        <f>IFERROR(VLOOKUP(Tablo5[[#This Row],[BOYA KODU]],Tablo14[#All],6,0)," ")</f>
        <v xml:space="preserve"> </v>
      </c>
      <c r="M208" s="100" t="str">
        <f t="shared" si="21"/>
        <v xml:space="preserve"> </v>
      </c>
      <c r="N208" s="100" t="str">
        <f>IFERROR(VLOOKUP(Tablo5[[#This Row],[ÜRÜN KODU]],YMKODLARI!$A$1:$K$363,8,0)," ")</f>
        <v xml:space="preserve"> </v>
      </c>
      <c r="O208" s="100" t="str">
        <f>IFERROR(VLOOKUP(Tablo5[[#This Row],[HAMMADDE KODU]],Tablo1[#All],3,0)," ")</f>
        <v xml:space="preserve"> </v>
      </c>
      <c r="P208" s="100" t="str">
        <f>IFERROR(VLOOKUP(Tablo5[[#This Row],[HAMMADDE KODU]],Tablo1[#All],4,0)," ")</f>
        <v xml:space="preserve"> </v>
      </c>
      <c r="Q208" s="100" t="str">
        <f>IFERROR(VLOOKUP(Tablo5[[#This Row],[ÜRÜN KODU]],YMKODLARI!$A$1:$K$363,5,0)," ")</f>
        <v xml:space="preserve"> </v>
      </c>
      <c r="R208" s="100" t="str">
        <f>IFERROR(VLOOKUP(Tablo5[[#This Row],[ÜRÜN KODU]],YMKODLARI!$A$1:$K$363,6,0)," ")</f>
        <v xml:space="preserve"> </v>
      </c>
      <c r="S208" s="100" t="str">
        <f>IFERROR(Tablo5[[#This Row],[YOLLUK HARİÇ BASKI GRAMI]]/Tablo5[[#This Row],[KALIP GÖZ ADEDİ]]," ")</f>
        <v xml:space="preserve"> </v>
      </c>
      <c r="T208" s="100" t="str">
        <f t="shared" si="23"/>
        <v xml:space="preserve"> </v>
      </c>
      <c r="U208" s="100"/>
      <c r="V208" s="100" t="str">
        <f t="shared" si="22"/>
        <v xml:space="preserve"> </v>
      </c>
      <c r="W208" s="101">
        <f t="shared" si="24"/>
        <v>24</v>
      </c>
      <c r="X208" s="102">
        <f t="shared" si="25"/>
        <v>0</v>
      </c>
      <c r="Y208" s="100" t="str">
        <f t="shared" si="26"/>
        <v xml:space="preserve"> </v>
      </c>
      <c r="Z208" s="100" t="str">
        <f t="shared" si="27"/>
        <v xml:space="preserve"> </v>
      </c>
    </row>
    <row r="209" spans="1:26">
      <c r="A209" s="100"/>
      <c r="B209" s="108" t="str">
        <f>IFERROR(VLOOKUP(Tablo5[[#This Row],[ÜRÜN KODU]],YMKODLARI!$A$1:$K$363,2,0)," ")</f>
        <v xml:space="preserve"> </v>
      </c>
      <c r="C209" s="99"/>
      <c r="D209" s="100"/>
      <c r="E209" s="101"/>
      <c r="F209" s="101"/>
      <c r="G209" s="100" t="str">
        <f>IFERROR(VLOOKUP(Tablo5[[#This Row],[ÜRÜN KODU]],YMKODLARI!$A$1:$K$363,3,0)," ")</f>
        <v xml:space="preserve"> </v>
      </c>
      <c r="H209" s="100" t="str">
        <f>IFERROR(VLOOKUP(Tablo5[[#This Row],[ÜRÜN KODU]],YMKODLARI!$A$1:$K$363,4,0)," ")</f>
        <v xml:space="preserve"> </v>
      </c>
      <c r="I209" s="100"/>
      <c r="J209" s="100" t="str">
        <f>IFERROR(VLOOKUP(Tablo5[[#This Row],[ÜRÜN KODU]],YMKODLARI!$A$1:$K$363,9,0)," ")</f>
        <v xml:space="preserve"> </v>
      </c>
      <c r="K209" s="100" t="str">
        <f>IFERROR(VLOOKUP(Tablo5[[#This Row],[BOYA KODU]],Tablo14[#All],4,0)," ")</f>
        <v xml:space="preserve"> </v>
      </c>
      <c r="L209" s="100" t="str">
        <f>IFERROR(VLOOKUP(Tablo5[[#This Row],[BOYA KODU]],Tablo14[#All],6,0)," ")</f>
        <v xml:space="preserve"> </v>
      </c>
      <c r="M209" s="100" t="str">
        <f t="shared" si="21"/>
        <v xml:space="preserve"> </v>
      </c>
      <c r="N209" s="100" t="str">
        <f>IFERROR(VLOOKUP(Tablo5[[#This Row],[ÜRÜN KODU]],YMKODLARI!$A$1:$K$363,8,0)," ")</f>
        <v xml:space="preserve"> </v>
      </c>
      <c r="O209" s="100" t="str">
        <f>IFERROR(VLOOKUP(Tablo5[[#This Row],[HAMMADDE KODU]],Tablo1[#All],3,0)," ")</f>
        <v xml:space="preserve"> </v>
      </c>
      <c r="P209" s="100" t="str">
        <f>IFERROR(VLOOKUP(Tablo5[[#This Row],[HAMMADDE KODU]],Tablo1[#All],4,0)," ")</f>
        <v xml:space="preserve"> </v>
      </c>
      <c r="Q209" s="100" t="str">
        <f>IFERROR(VLOOKUP(Tablo5[[#This Row],[ÜRÜN KODU]],YMKODLARI!$A$1:$K$363,5,0)," ")</f>
        <v xml:space="preserve"> </v>
      </c>
      <c r="R209" s="100" t="str">
        <f>IFERROR(VLOOKUP(Tablo5[[#This Row],[ÜRÜN KODU]],YMKODLARI!$A$1:$K$363,6,0)," ")</f>
        <v xml:space="preserve"> </v>
      </c>
      <c r="S209" s="100" t="str">
        <f>IFERROR(Tablo5[[#This Row],[YOLLUK HARİÇ BASKI GRAMI]]/Tablo5[[#This Row],[KALIP GÖZ ADEDİ]]," ")</f>
        <v xml:space="preserve"> </v>
      </c>
      <c r="T209" s="100" t="str">
        <f t="shared" si="23"/>
        <v xml:space="preserve"> </v>
      </c>
      <c r="U209" s="100"/>
      <c r="V209" s="100" t="str">
        <f t="shared" si="22"/>
        <v xml:space="preserve"> </v>
      </c>
      <c r="W209" s="101">
        <f t="shared" si="24"/>
        <v>24</v>
      </c>
      <c r="X209" s="102">
        <f t="shared" si="25"/>
        <v>0</v>
      </c>
      <c r="Y209" s="100" t="str">
        <f t="shared" si="26"/>
        <v xml:space="preserve"> </v>
      </c>
      <c r="Z209" s="100" t="str">
        <f t="shared" si="27"/>
        <v xml:space="preserve"> </v>
      </c>
    </row>
    <row r="210" spans="1:26">
      <c r="A210" s="100"/>
      <c r="B210" s="108" t="str">
        <f>IFERROR(VLOOKUP(Tablo5[[#This Row],[ÜRÜN KODU]],YMKODLARI!$A$1:$K$363,2,0)," ")</f>
        <v xml:space="preserve"> </v>
      </c>
      <c r="C210" s="99"/>
      <c r="D210" s="100"/>
      <c r="E210" s="101"/>
      <c r="F210" s="101"/>
      <c r="G210" s="100" t="str">
        <f>IFERROR(VLOOKUP(Tablo5[[#This Row],[ÜRÜN KODU]],YMKODLARI!$A$1:$K$363,3,0)," ")</f>
        <v xml:space="preserve"> </v>
      </c>
      <c r="H210" s="100" t="str">
        <f>IFERROR(VLOOKUP(Tablo5[[#This Row],[ÜRÜN KODU]],YMKODLARI!$A$1:$K$363,4,0)," ")</f>
        <v xml:space="preserve"> </v>
      </c>
      <c r="I210" s="100"/>
      <c r="J210" s="100" t="str">
        <f>IFERROR(VLOOKUP(Tablo5[[#This Row],[ÜRÜN KODU]],YMKODLARI!$A$1:$K$363,9,0)," ")</f>
        <v xml:space="preserve"> </v>
      </c>
      <c r="K210" s="100" t="str">
        <f>IFERROR(VLOOKUP(Tablo5[[#This Row],[BOYA KODU]],Tablo14[#All],4,0)," ")</f>
        <v xml:space="preserve"> </v>
      </c>
      <c r="L210" s="100" t="str">
        <f>IFERROR(VLOOKUP(Tablo5[[#This Row],[BOYA KODU]],Tablo14[#All],6,0)," ")</f>
        <v xml:space="preserve"> </v>
      </c>
      <c r="M210" s="100" t="str">
        <f t="shared" si="21"/>
        <v xml:space="preserve"> </v>
      </c>
      <c r="N210" s="100" t="str">
        <f>IFERROR(VLOOKUP(Tablo5[[#This Row],[ÜRÜN KODU]],YMKODLARI!$A$1:$K$363,8,0)," ")</f>
        <v xml:space="preserve"> </v>
      </c>
      <c r="O210" s="100" t="str">
        <f>IFERROR(VLOOKUP(Tablo5[[#This Row],[HAMMADDE KODU]],Tablo1[#All],3,0)," ")</f>
        <v xml:space="preserve"> </v>
      </c>
      <c r="P210" s="100" t="str">
        <f>IFERROR(VLOOKUP(Tablo5[[#This Row],[HAMMADDE KODU]],Tablo1[#All],4,0)," ")</f>
        <v xml:space="preserve"> </v>
      </c>
      <c r="Q210" s="100" t="str">
        <f>IFERROR(VLOOKUP(Tablo5[[#This Row],[ÜRÜN KODU]],YMKODLARI!$A$1:$K$363,5,0)," ")</f>
        <v xml:space="preserve"> </v>
      </c>
      <c r="R210" s="100" t="str">
        <f>IFERROR(VLOOKUP(Tablo5[[#This Row],[ÜRÜN KODU]],YMKODLARI!$A$1:$K$363,6,0)," ")</f>
        <v xml:space="preserve"> </v>
      </c>
      <c r="S210" s="100" t="str">
        <f>IFERROR(Tablo5[[#This Row],[YOLLUK HARİÇ BASKI GRAMI]]/Tablo5[[#This Row],[KALIP GÖZ ADEDİ]]," ")</f>
        <v xml:space="preserve"> </v>
      </c>
      <c r="T210" s="100" t="str">
        <f t="shared" si="23"/>
        <v xml:space="preserve"> </v>
      </c>
      <c r="U210" s="100"/>
      <c r="V210" s="100" t="str">
        <f t="shared" si="22"/>
        <v xml:space="preserve"> </v>
      </c>
      <c r="W210" s="101">
        <f t="shared" si="24"/>
        <v>24</v>
      </c>
      <c r="X210" s="102">
        <f t="shared" si="25"/>
        <v>0</v>
      </c>
      <c r="Y210" s="100" t="str">
        <f t="shared" si="26"/>
        <v xml:space="preserve"> </v>
      </c>
      <c r="Z210" s="100" t="str">
        <f t="shared" si="27"/>
        <v xml:space="preserve"> </v>
      </c>
    </row>
    <row r="211" spans="1:26">
      <c r="A211" s="100"/>
      <c r="B211" s="108" t="str">
        <f>IFERROR(VLOOKUP(Tablo5[[#This Row],[ÜRÜN KODU]],YMKODLARI!$A$1:$K$363,2,0)," ")</f>
        <v xml:space="preserve"> </v>
      </c>
      <c r="C211" s="99"/>
      <c r="D211" s="100"/>
      <c r="E211" s="101"/>
      <c r="F211" s="101"/>
      <c r="G211" s="100" t="str">
        <f>IFERROR(VLOOKUP(Tablo5[[#This Row],[ÜRÜN KODU]],YMKODLARI!$A$1:$K$363,3,0)," ")</f>
        <v xml:space="preserve"> </v>
      </c>
      <c r="H211" s="100" t="str">
        <f>IFERROR(VLOOKUP(Tablo5[[#This Row],[ÜRÜN KODU]],YMKODLARI!$A$1:$K$363,4,0)," ")</f>
        <v xml:space="preserve"> </v>
      </c>
      <c r="I211" s="100"/>
      <c r="J211" s="100" t="str">
        <f>IFERROR(VLOOKUP(Tablo5[[#This Row],[ÜRÜN KODU]],YMKODLARI!$A$1:$K$363,9,0)," ")</f>
        <v xml:space="preserve"> </v>
      </c>
      <c r="K211" s="100" t="str">
        <f>IFERROR(VLOOKUP(Tablo5[[#This Row],[BOYA KODU]],Tablo14[#All],4,0)," ")</f>
        <v xml:space="preserve"> </v>
      </c>
      <c r="L211" s="100" t="str">
        <f>IFERROR(VLOOKUP(Tablo5[[#This Row],[BOYA KODU]],Tablo14[#All],6,0)," ")</f>
        <v xml:space="preserve"> </v>
      </c>
      <c r="M211" s="100" t="str">
        <f t="shared" si="21"/>
        <v xml:space="preserve"> </v>
      </c>
      <c r="N211" s="100" t="str">
        <f>IFERROR(VLOOKUP(Tablo5[[#This Row],[ÜRÜN KODU]],YMKODLARI!$A$1:$K$363,8,0)," ")</f>
        <v xml:space="preserve"> </v>
      </c>
      <c r="O211" s="100" t="str">
        <f>IFERROR(VLOOKUP(Tablo5[[#This Row],[HAMMADDE KODU]],Tablo1[#All],3,0)," ")</f>
        <v xml:space="preserve"> </v>
      </c>
      <c r="P211" s="100" t="str">
        <f>IFERROR(VLOOKUP(Tablo5[[#This Row],[HAMMADDE KODU]],Tablo1[#All],4,0)," ")</f>
        <v xml:space="preserve"> </v>
      </c>
      <c r="Q211" s="100" t="str">
        <f>IFERROR(VLOOKUP(Tablo5[[#This Row],[ÜRÜN KODU]],YMKODLARI!$A$1:$K$363,5,0)," ")</f>
        <v xml:space="preserve"> </v>
      </c>
      <c r="R211" s="100" t="str">
        <f>IFERROR(VLOOKUP(Tablo5[[#This Row],[ÜRÜN KODU]],YMKODLARI!$A$1:$K$363,6,0)," ")</f>
        <v xml:space="preserve"> </v>
      </c>
      <c r="S211" s="100" t="str">
        <f>IFERROR(Tablo5[[#This Row],[YOLLUK HARİÇ BASKI GRAMI]]/Tablo5[[#This Row],[KALIP GÖZ ADEDİ]]," ")</f>
        <v xml:space="preserve"> </v>
      </c>
      <c r="T211" s="100" t="str">
        <f t="shared" si="23"/>
        <v xml:space="preserve"> </v>
      </c>
      <c r="U211" s="100"/>
      <c r="V211" s="100" t="str">
        <f t="shared" si="22"/>
        <v xml:space="preserve"> </v>
      </c>
      <c r="W211" s="101">
        <f t="shared" si="24"/>
        <v>24</v>
      </c>
      <c r="X211" s="102">
        <f t="shared" si="25"/>
        <v>0</v>
      </c>
      <c r="Y211" s="100" t="str">
        <f t="shared" si="26"/>
        <v xml:space="preserve"> </v>
      </c>
      <c r="Z211" s="100" t="str">
        <f t="shared" si="27"/>
        <v xml:space="preserve"> </v>
      </c>
    </row>
    <row r="212" spans="1:26">
      <c r="A212" s="100"/>
      <c r="B212" s="108" t="str">
        <f>IFERROR(VLOOKUP(Tablo5[[#This Row],[ÜRÜN KODU]],YMKODLARI!$A$1:$K$363,2,0)," ")</f>
        <v xml:space="preserve"> </v>
      </c>
      <c r="C212" s="99"/>
      <c r="D212" s="100"/>
      <c r="E212" s="101"/>
      <c r="F212" s="101"/>
      <c r="G212" s="100" t="str">
        <f>IFERROR(VLOOKUP(Tablo5[[#This Row],[ÜRÜN KODU]],YMKODLARI!$A$1:$K$363,3,0)," ")</f>
        <v xml:space="preserve"> </v>
      </c>
      <c r="H212" s="100" t="str">
        <f>IFERROR(VLOOKUP(Tablo5[[#This Row],[ÜRÜN KODU]],YMKODLARI!$A$1:$K$363,4,0)," ")</f>
        <v xml:space="preserve"> </v>
      </c>
      <c r="I212" s="100"/>
      <c r="J212" s="100" t="str">
        <f>IFERROR(VLOOKUP(Tablo5[[#This Row],[ÜRÜN KODU]],YMKODLARI!$A$1:$K$363,9,0)," ")</f>
        <v xml:space="preserve"> </v>
      </c>
      <c r="K212" s="100" t="str">
        <f>IFERROR(VLOOKUP(Tablo5[[#This Row],[BOYA KODU]],Tablo14[#All],4,0)," ")</f>
        <v xml:space="preserve"> </v>
      </c>
      <c r="L212" s="100" t="str">
        <f>IFERROR(VLOOKUP(Tablo5[[#This Row],[BOYA KODU]],Tablo14[#All],6,0)," ")</f>
        <v xml:space="preserve"> </v>
      </c>
      <c r="M212" s="100" t="str">
        <f t="shared" si="21"/>
        <v xml:space="preserve"> </v>
      </c>
      <c r="N212" s="100" t="str">
        <f>IFERROR(VLOOKUP(Tablo5[[#This Row],[ÜRÜN KODU]],YMKODLARI!$A$1:$K$363,8,0)," ")</f>
        <v xml:space="preserve"> </v>
      </c>
      <c r="O212" s="100" t="str">
        <f>IFERROR(VLOOKUP(Tablo5[[#This Row],[HAMMADDE KODU]],Tablo1[#All],3,0)," ")</f>
        <v xml:space="preserve"> </v>
      </c>
      <c r="P212" s="100" t="str">
        <f>IFERROR(VLOOKUP(Tablo5[[#This Row],[HAMMADDE KODU]],Tablo1[#All],4,0)," ")</f>
        <v xml:space="preserve"> </v>
      </c>
      <c r="Q212" s="100" t="str">
        <f>IFERROR(VLOOKUP(Tablo5[[#This Row],[ÜRÜN KODU]],YMKODLARI!$A$1:$K$363,5,0)," ")</f>
        <v xml:space="preserve"> </v>
      </c>
      <c r="R212" s="100" t="str">
        <f>IFERROR(VLOOKUP(Tablo5[[#This Row],[ÜRÜN KODU]],YMKODLARI!$A$1:$K$363,6,0)," ")</f>
        <v xml:space="preserve"> </v>
      </c>
      <c r="S212" s="100" t="str">
        <f>IFERROR(Tablo5[[#This Row],[YOLLUK HARİÇ BASKI GRAMI]]/Tablo5[[#This Row],[KALIP GÖZ ADEDİ]]," ")</f>
        <v xml:space="preserve"> </v>
      </c>
      <c r="T212" s="100" t="str">
        <f t="shared" si="23"/>
        <v xml:space="preserve"> </v>
      </c>
      <c r="U212" s="100"/>
      <c r="V212" s="100" t="str">
        <f t="shared" si="22"/>
        <v xml:space="preserve"> </v>
      </c>
      <c r="W212" s="101">
        <f t="shared" si="24"/>
        <v>24</v>
      </c>
      <c r="X212" s="102">
        <f t="shared" si="25"/>
        <v>0</v>
      </c>
      <c r="Y212" s="100" t="str">
        <f t="shared" si="26"/>
        <v xml:space="preserve"> </v>
      </c>
      <c r="Z212" s="100" t="str">
        <f t="shared" si="27"/>
        <v xml:space="preserve"> </v>
      </c>
    </row>
    <row r="213" spans="1:26">
      <c r="A213" s="100"/>
      <c r="B213" s="108" t="str">
        <f>IFERROR(VLOOKUP(Tablo5[[#This Row],[ÜRÜN KODU]],YMKODLARI!$A$1:$K$363,2,0)," ")</f>
        <v xml:space="preserve"> </v>
      </c>
      <c r="C213" s="99"/>
      <c r="D213" s="100"/>
      <c r="E213" s="101"/>
      <c r="F213" s="101"/>
      <c r="G213" s="100" t="str">
        <f>IFERROR(VLOOKUP(Tablo5[[#This Row],[ÜRÜN KODU]],YMKODLARI!$A$1:$K$363,3,0)," ")</f>
        <v xml:space="preserve"> </v>
      </c>
      <c r="H213" s="100" t="str">
        <f>IFERROR(VLOOKUP(Tablo5[[#This Row],[ÜRÜN KODU]],YMKODLARI!$A$1:$K$363,4,0)," ")</f>
        <v xml:space="preserve"> </v>
      </c>
      <c r="I213" s="100"/>
      <c r="J213" s="100" t="str">
        <f>IFERROR(VLOOKUP(Tablo5[[#This Row],[ÜRÜN KODU]],YMKODLARI!$A$1:$K$363,9,0)," ")</f>
        <v xml:space="preserve"> </v>
      </c>
      <c r="K213" s="100" t="str">
        <f>IFERROR(VLOOKUP(Tablo5[[#This Row],[BOYA KODU]],Tablo14[#All],4,0)," ")</f>
        <v xml:space="preserve"> </v>
      </c>
      <c r="L213" s="100" t="str">
        <f>IFERROR(VLOOKUP(Tablo5[[#This Row],[BOYA KODU]],Tablo14[#All],6,0)," ")</f>
        <v xml:space="preserve"> </v>
      </c>
      <c r="M213" s="100" t="str">
        <f t="shared" si="21"/>
        <v xml:space="preserve"> </v>
      </c>
      <c r="N213" s="100" t="str">
        <f>IFERROR(VLOOKUP(Tablo5[[#This Row],[ÜRÜN KODU]],YMKODLARI!$A$1:$K$363,8,0)," ")</f>
        <v xml:space="preserve"> </v>
      </c>
      <c r="O213" s="100" t="str">
        <f>IFERROR(VLOOKUP(Tablo5[[#This Row],[HAMMADDE KODU]],Tablo1[#All],3,0)," ")</f>
        <v xml:space="preserve"> </v>
      </c>
      <c r="P213" s="100" t="str">
        <f>IFERROR(VLOOKUP(Tablo5[[#This Row],[HAMMADDE KODU]],Tablo1[#All],4,0)," ")</f>
        <v xml:space="preserve"> </v>
      </c>
      <c r="Q213" s="100" t="str">
        <f>IFERROR(VLOOKUP(Tablo5[[#This Row],[ÜRÜN KODU]],YMKODLARI!$A$1:$K$363,5,0)," ")</f>
        <v xml:space="preserve"> </v>
      </c>
      <c r="R213" s="100" t="str">
        <f>IFERROR(VLOOKUP(Tablo5[[#This Row],[ÜRÜN KODU]],YMKODLARI!$A$1:$K$363,6,0)," ")</f>
        <v xml:space="preserve"> </v>
      </c>
      <c r="S213" s="100" t="str">
        <f>IFERROR(Tablo5[[#This Row],[YOLLUK HARİÇ BASKI GRAMI]]/Tablo5[[#This Row],[KALIP GÖZ ADEDİ]]," ")</f>
        <v xml:space="preserve"> </v>
      </c>
      <c r="T213" s="100" t="str">
        <f t="shared" si="23"/>
        <v xml:space="preserve"> </v>
      </c>
      <c r="U213" s="100"/>
      <c r="V213" s="100" t="str">
        <f t="shared" si="22"/>
        <v xml:space="preserve"> </v>
      </c>
      <c r="W213" s="101">
        <f t="shared" si="24"/>
        <v>24</v>
      </c>
      <c r="X213" s="102">
        <f t="shared" si="25"/>
        <v>0</v>
      </c>
      <c r="Y213" s="100" t="str">
        <f t="shared" si="26"/>
        <v xml:space="preserve"> </v>
      </c>
      <c r="Z213" s="100" t="str">
        <f t="shared" si="27"/>
        <v xml:space="preserve"> </v>
      </c>
    </row>
    <row r="214" spans="1:26">
      <c r="A214" s="100"/>
      <c r="B214" s="108" t="str">
        <f>IFERROR(VLOOKUP(Tablo5[[#This Row],[ÜRÜN KODU]],YMKODLARI!$A$1:$K$363,2,0)," ")</f>
        <v xml:space="preserve"> </v>
      </c>
      <c r="C214" s="99"/>
      <c r="D214" s="100"/>
      <c r="E214" s="101"/>
      <c r="F214" s="101"/>
      <c r="G214" s="100" t="str">
        <f>IFERROR(VLOOKUP(Tablo5[[#This Row],[ÜRÜN KODU]],YMKODLARI!$A$1:$K$363,3,0)," ")</f>
        <v xml:space="preserve"> </v>
      </c>
      <c r="H214" s="100" t="str">
        <f>IFERROR(VLOOKUP(Tablo5[[#This Row],[ÜRÜN KODU]],YMKODLARI!$A$1:$K$363,4,0)," ")</f>
        <v xml:space="preserve"> </v>
      </c>
      <c r="I214" s="100"/>
      <c r="J214" s="100" t="str">
        <f>IFERROR(VLOOKUP(Tablo5[[#This Row],[ÜRÜN KODU]],YMKODLARI!$A$1:$K$363,9,0)," ")</f>
        <v xml:space="preserve"> </v>
      </c>
      <c r="K214" s="100" t="str">
        <f>IFERROR(VLOOKUP(Tablo5[[#This Row],[BOYA KODU]],Tablo14[#All],4,0)," ")</f>
        <v xml:space="preserve"> </v>
      </c>
      <c r="L214" s="100" t="str">
        <f>IFERROR(VLOOKUP(Tablo5[[#This Row],[BOYA KODU]],Tablo14[#All],6,0)," ")</f>
        <v xml:space="preserve"> </v>
      </c>
      <c r="M214" s="100" t="str">
        <f t="shared" si="21"/>
        <v xml:space="preserve"> </v>
      </c>
      <c r="N214" s="100" t="str">
        <f>IFERROR(VLOOKUP(Tablo5[[#This Row],[ÜRÜN KODU]],YMKODLARI!$A$1:$K$363,8,0)," ")</f>
        <v xml:space="preserve"> </v>
      </c>
      <c r="O214" s="100" t="str">
        <f>IFERROR(VLOOKUP(Tablo5[[#This Row],[HAMMADDE KODU]],Tablo1[#All],3,0)," ")</f>
        <v xml:space="preserve"> </v>
      </c>
      <c r="P214" s="100" t="str">
        <f>IFERROR(VLOOKUP(Tablo5[[#This Row],[HAMMADDE KODU]],Tablo1[#All],4,0)," ")</f>
        <v xml:space="preserve"> </v>
      </c>
      <c r="Q214" s="100" t="str">
        <f>IFERROR(VLOOKUP(Tablo5[[#This Row],[ÜRÜN KODU]],YMKODLARI!$A$1:$K$363,5,0)," ")</f>
        <v xml:space="preserve"> </v>
      </c>
      <c r="R214" s="100" t="str">
        <f>IFERROR(VLOOKUP(Tablo5[[#This Row],[ÜRÜN KODU]],YMKODLARI!$A$1:$K$363,6,0)," ")</f>
        <v xml:space="preserve"> </v>
      </c>
      <c r="S214" s="100" t="str">
        <f>IFERROR(Tablo5[[#This Row],[YOLLUK HARİÇ BASKI GRAMI]]/Tablo5[[#This Row],[KALIP GÖZ ADEDİ]]," ")</f>
        <v xml:space="preserve"> </v>
      </c>
      <c r="T214" s="100" t="str">
        <f t="shared" si="23"/>
        <v xml:space="preserve"> </v>
      </c>
      <c r="U214" s="100"/>
      <c r="V214" s="100" t="str">
        <f t="shared" si="22"/>
        <v xml:space="preserve"> </v>
      </c>
      <c r="W214" s="101">
        <f t="shared" si="24"/>
        <v>24</v>
      </c>
      <c r="X214" s="102">
        <f t="shared" si="25"/>
        <v>0</v>
      </c>
      <c r="Y214" s="100" t="str">
        <f t="shared" si="26"/>
        <v xml:space="preserve"> </v>
      </c>
      <c r="Z214" s="100" t="str">
        <f t="shared" si="27"/>
        <v xml:space="preserve"> </v>
      </c>
    </row>
    <row r="215" spans="1:26">
      <c r="A215" s="100"/>
      <c r="B215" s="108" t="str">
        <f>IFERROR(VLOOKUP(Tablo5[[#This Row],[ÜRÜN KODU]],YMKODLARI!$A$1:$K$363,2,0)," ")</f>
        <v xml:space="preserve"> </v>
      </c>
      <c r="C215" s="99"/>
      <c r="D215" s="100"/>
      <c r="E215" s="101"/>
      <c r="F215" s="101"/>
      <c r="G215" s="100" t="str">
        <f>IFERROR(VLOOKUP(Tablo5[[#This Row],[ÜRÜN KODU]],YMKODLARI!$A$1:$K$363,3,0)," ")</f>
        <v xml:space="preserve"> </v>
      </c>
      <c r="H215" s="100" t="str">
        <f>IFERROR(VLOOKUP(Tablo5[[#This Row],[ÜRÜN KODU]],YMKODLARI!$A$1:$K$363,4,0)," ")</f>
        <v xml:space="preserve"> </v>
      </c>
      <c r="I215" s="100"/>
      <c r="J215" s="100" t="str">
        <f>IFERROR(VLOOKUP(Tablo5[[#This Row],[ÜRÜN KODU]],YMKODLARI!$A$1:$K$363,9,0)," ")</f>
        <v xml:space="preserve"> </v>
      </c>
      <c r="K215" s="100" t="str">
        <f>IFERROR(VLOOKUP(Tablo5[[#This Row],[BOYA KODU]],Tablo14[#All],4,0)," ")</f>
        <v xml:space="preserve"> </v>
      </c>
      <c r="L215" s="100" t="str">
        <f>IFERROR(VLOOKUP(Tablo5[[#This Row],[BOYA KODU]],Tablo14[#All],6,0)," ")</f>
        <v xml:space="preserve"> </v>
      </c>
      <c r="M215" s="100" t="str">
        <f t="shared" si="21"/>
        <v xml:space="preserve"> </v>
      </c>
      <c r="N215" s="100" t="str">
        <f>IFERROR(VLOOKUP(Tablo5[[#This Row],[ÜRÜN KODU]],YMKODLARI!$A$1:$K$363,8,0)," ")</f>
        <v xml:space="preserve"> </v>
      </c>
      <c r="O215" s="100" t="str">
        <f>IFERROR(VLOOKUP(Tablo5[[#This Row],[HAMMADDE KODU]],Tablo1[#All],3,0)," ")</f>
        <v xml:space="preserve"> </v>
      </c>
      <c r="P215" s="100" t="str">
        <f>IFERROR(VLOOKUP(Tablo5[[#This Row],[HAMMADDE KODU]],Tablo1[#All],4,0)," ")</f>
        <v xml:space="preserve"> </v>
      </c>
      <c r="Q215" s="100" t="str">
        <f>IFERROR(VLOOKUP(Tablo5[[#This Row],[ÜRÜN KODU]],YMKODLARI!$A$1:$K$363,5,0)," ")</f>
        <v xml:space="preserve"> </v>
      </c>
      <c r="R215" s="100" t="str">
        <f>IFERROR(VLOOKUP(Tablo5[[#This Row],[ÜRÜN KODU]],YMKODLARI!$A$1:$K$363,6,0)," ")</f>
        <v xml:space="preserve"> </v>
      </c>
      <c r="S215" s="100" t="str">
        <f>IFERROR(Tablo5[[#This Row],[YOLLUK HARİÇ BASKI GRAMI]]/Tablo5[[#This Row],[KALIP GÖZ ADEDİ]]," ")</f>
        <v xml:space="preserve"> </v>
      </c>
      <c r="T215" s="100" t="str">
        <f t="shared" si="23"/>
        <v xml:space="preserve"> </v>
      </c>
      <c r="U215" s="100"/>
      <c r="V215" s="100" t="str">
        <f t="shared" si="22"/>
        <v xml:space="preserve"> </v>
      </c>
      <c r="W215" s="101">
        <f t="shared" si="24"/>
        <v>24</v>
      </c>
      <c r="X215" s="102">
        <f t="shared" si="25"/>
        <v>0</v>
      </c>
      <c r="Y215" s="100" t="str">
        <f t="shared" si="26"/>
        <v xml:space="preserve"> </v>
      </c>
      <c r="Z215" s="100" t="str">
        <f t="shared" si="27"/>
        <v xml:space="preserve"> </v>
      </c>
    </row>
    <row r="216" spans="1:26">
      <c r="A216" s="100"/>
      <c r="B216" s="108" t="str">
        <f>IFERROR(VLOOKUP(Tablo5[[#This Row],[ÜRÜN KODU]],YMKODLARI!$A$1:$K$363,2,0)," ")</f>
        <v xml:space="preserve"> </v>
      </c>
      <c r="C216" s="99"/>
      <c r="D216" s="100"/>
      <c r="E216" s="101"/>
      <c r="F216" s="101"/>
      <c r="G216" s="100" t="str">
        <f>IFERROR(VLOOKUP(Tablo5[[#This Row],[ÜRÜN KODU]],YMKODLARI!$A$1:$K$363,3,0)," ")</f>
        <v xml:space="preserve"> </v>
      </c>
      <c r="H216" s="100" t="str">
        <f>IFERROR(VLOOKUP(Tablo5[[#This Row],[ÜRÜN KODU]],YMKODLARI!$A$1:$K$363,4,0)," ")</f>
        <v xml:space="preserve"> </v>
      </c>
      <c r="I216" s="100"/>
      <c r="J216" s="100" t="str">
        <f>IFERROR(VLOOKUP(Tablo5[[#This Row],[ÜRÜN KODU]],YMKODLARI!$A$1:$K$363,9,0)," ")</f>
        <v xml:space="preserve"> </v>
      </c>
      <c r="K216" s="100" t="str">
        <f>IFERROR(VLOOKUP(Tablo5[[#This Row],[BOYA KODU]],Tablo14[#All],4,0)," ")</f>
        <v xml:space="preserve"> </v>
      </c>
      <c r="L216" s="100" t="str">
        <f>IFERROR(VLOOKUP(Tablo5[[#This Row],[BOYA KODU]],Tablo14[#All],6,0)," ")</f>
        <v xml:space="preserve"> </v>
      </c>
      <c r="M216" s="100" t="str">
        <f t="shared" si="21"/>
        <v xml:space="preserve"> </v>
      </c>
      <c r="N216" s="100" t="str">
        <f>IFERROR(VLOOKUP(Tablo5[[#This Row],[ÜRÜN KODU]],YMKODLARI!$A$1:$K$363,8,0)," ")</f>
        <v xml:space="preserve"> </v>
      </c>
      <c r="O216" s="100" t="str">
        <f>IFERROR(VLOOKUP(Tablo5[[#This Row],[HAMMADDE KODU]],Tablo1[#All],3,0)," ")</f>
        <v xml:space="preserve"> </v>
      </c>
      <c r="P216" s="100" t="str">
        <f>IFERROR(VLOOKUP(Tablo5[[#This Row],[HAMMADDE KODU]],Tablo1[#All],4,0)," ")</f>
        <v xml:space="preserve"> </v>
      </c>
      <c r="Q216" s="100" t="str">
        <f>IFERROR(VLOOKUP(Tablo5[[#This Row],[ÜRÜN KODU]],YMKODLARI!$A$1:$K$363,5,0)," ")</f>
        <v xml:space="preserve"> </v>
      </c>
      <c r="R216" s="100" t="str">
        <f>IFERROR(VLOOKUP(Tablo5[[#This Row],[ÜRÜN KODU]],YMKODLARI!$A$1:$K$363,6,0)," ")</f>
        <v xml:space="preserve"> </v>
      </c>
      <c r="S216" s="100" t="str">
        <f>IFERROR(Tablo5[[#This Row],[YOLLUK HARİÇ BASKI GRAMI]]/Tablo5[[#This Row],[KALIP GÖZ ADEDİ]]," ")</f>
        <v xml:space="preserve"> </v>
      </c>
      <c r="T216" s="100" t="str">
        <f t="shared" si="23"/>
        <v xml:space="preserve"> </v>
      </c>
      <c r="U216" s="100"/>
      <c r="V216" s="100" t="str">
        <f t="shared" si="22"/>
        <v xml:space="preserve"> </v>
      </c>
      <c r="W216" s="101">
        <f t="shared" si="24"/>
        <v>24</v>
      </c>
      <c r="X216" s="102">
        <f t="shared" si="25"/>
        <v>0</v>
      </c>
      <c r="Y216" s="100" t="str">
        <f t="shared" si="26"/>
        <v xml:space="preserve"> </v>
      </c>
      <c r="Z216" s="100" t="str">
        <f t="shared" si="27"/>
        <v xml:space="preserve"> </v>
      </c>
    </row>
    <row r="217" spans="1:26">
      <c r="A217" s="100"/>
      <c r="B217" s="108" t="str">
        <f>IFERROR(VLOOKUP(Tablo5[[#This Row],[ÜRÜN KODU]],YMKODLARI!$A$1:$K$363,2,0)," ")</f>
        <v xml:space="preserve"> </v>
      </c>
      <c r="C217" s="99"/>
      <c r="D217" s="100"/>
      <c r="E217" s="101"/>
      <c r="F217" s="101"/>
      <c r="G217" s="100" t="str">
        <f>IFERROR(VLOOKUP(Tablo5[[#This Row],[ÜRÜN KODU]],YMKODLARI!$A$1:$K$363,3,0)," ")</f>
        <v xml:space="preserve"> </v>
      </c>
      <c r="H217" s="100" t="str">
        <f>IFERROR(VLOOKUP(Tablo5[[#This Row],[ÜRÜN KODU]],YMKODLARI!$A$1:$K$363,4,0)," ")</f>
        <v xml:space="preserve"> </v>
      </c>
      <c r="I217" s="100"/>
      <c r="J217" s="100" t="str">
        <f>IFERROR(VLOOKUP(Tablo5[[#This Row],[ÜRÜN KODU]],YMKODLARI!$A$1:$K$363,9,0)," ")</f>
        <v xml:space="preserve"> </v>
      </c>
      <c r="K217" s="100" t="str">
        <f>IFERROR(VLOOKUP(Tablo5[[#This Row],[BOYA KODU]],Tablo14[#All],4,0)," ")</f>
        <v xml:space="preserve"> </v>
      </c>
      <c r="L217" s="100" t="str">
        <f>IFERROR(VLOOKUP(Tablo5[[#This Row],[BOYA KODU]],Tablo14[#All],6,0)," ")</f>
        <v xml:space="preserve"> </v>
      </c>
      <c r="M217" s="100" t="str">
        <f t="shared" si="21"/>
        <v xml:space="preserve"> </v>
      </c>
      <c r="N217" s="100" t="str">
        <f>IFERROR(VLOOKUP(Tablo5[[#This Row],[ÜRÜN KODU]],YMKODLARI!$A$1:$K$363,8,0)," ")</f>
        <v xml:space="preserve"> </v>
      </c>
      <c r="O217" s="100" t="str">
        <f>IFERROR(VLOOKUP(Tablo5[[#This Row],[HAMMADDE KODU]],Tablo1[#All],3,0)," ")</f>
        <v xml:space="preserve"> </v>
      </c>
      <c r="P217" s="100" t="str">
        <f>IFERROR(VLOOKUP(Tablo5[[#This Row],[HAMMADDE KODU]],Tablo1[#All],4,0)," ")</f>
        <v xml:space="preserve"> </v>
      </c>
      <c r="Q217" s="100" t="str">
        <f>IFERROR(VLOOKUP(Tablo5[[#This Row],[ÜRÜN KODU]],YMKODLARI!$A$1:$K$363,5,0)," ")</f>
        <v xml:space="preserve"> </v>
      </c>
      <c r="R217" s="100" t="str">
        <f>IFERROR(VLOOKUP(Tablo5[[#This Row],[ÜRÜN KODU]],YMKODLARI!$A$1:$K$363,6,0)," ")</f>
        <v xml:space="preserve"> </v>
      </c>
      <c r="S217" s="100" t="str">
        <f>IFERROR(Tablo5[[#This Row],[YOLLUK HARİÇ BASKI GRAMI]]/Tablo5[[#This Row],[KALIP GÖZ ADEDİ]]," ")</f>
        <v xml:space="preserve"> </v>
      </c>
      <c r="T217" s="100" t="str">
        <f t="shared" si="23"/>
        <v xml:space="preserve"> </v>
      </c>
      <c r="U217" s="100"/>
      <c r="V217" s="100" t="str">
        <f t="shared" si="22"/>
        <v xml:space="preserve"> </v>
      </c>
      <c r="W217" s="101">
        <f t="shared" si="24"/>
        <v>24</v>
      </c>
      <c r="X217" s="102">
        <f t="shared" si="25"/>
        <v>0</v>
      </c>
      <c r="Y217" s="100" t="str">
        <f t="shared" si="26"/>
        <v xml:space="preserve"> </v>
      </c>
      <c r="Z217" s="100" t="str">
        <f t="shared" si="27"/>
        <v xml:space="preserve"> </v>
      </c>
    </row>
    <row r="218" spans="1:26">
      <c r="A218" s="100"/>
      <c r="B218" s="108" t="str">
        <f>IFERROR(VLOOKUP(Tablo5[[#This Row],[ÜRÜN KODU]],YMKODLARI!$A$1:$K$363,2,0)," ")</f>
        <v xml:space="preserve"> </v>
      </c>
      <c r="C218" s="99"/>
      <c r="D218" s="100"/>
      <c r="E218" s="101"/>
      <c r="F218" s="101"/>
      <c r="G218" s="100" t="str">
        <f>IFERROR(VLOOKUP(Tablo5[[#This Row],[ÜRÜN KODU]],YMKODLARI!$A$1:$K$363,3,0)," ")</f>
        <v xml:space="preserve"> </v>
      </c>
      <c r="H218" s="100" t="str">
        <f>IFERROR(VLOOKUP(Tablo5[[#This Row],[ÜRÜN KODU]],YMKODLARI!$A$1:$K$363,4,0)," ")</f>
        <v xml:space="preserve"> </v>
      </c>
      <c r="I218" s="100"/>
      <c r="J218" s="100" t="str">
        <f>IFERROR(VLOOKUP(Tablo5[[#This Row],[ÜRÜN KODU]],YMKODLARI!$A$1:$K$363,9,0)," ")</f>
        <v xml:space="preserve"> </v>
      </c>
      <c r="K218" s="100" t="str">
        <f>IFERROR(VLOOKUP(Tablo5[[#This Row],[BOYA KODU]],Tablo14[#All],4,0)," ")</f>
        <v xml:space="preserve"> </v>
      </c>
      <c r="L218" s="100" t="str">
        <f>IFERROR(VLOOKUP(Tablo5[[#This Row],[BOYA KODU]],Tablo14[#All],6,0)," ")</f>
        <v xml:space="preserve"> </v>
      </c>
      <c r="M218" s="100" t="str">
        <f t="shared" si="21"/>
        <v xml:space="preserve"> </v>
      </c>
      <c r="N218" s="100" t="str">
        <f>IFERROR(VLOOKUP(Tablo5[[#This Row],[ÜRÜN KODU]],YMKODLARI!$A$1:$K$363,8,0)," ")</f>
        <v xml:space="preserve"> </v>
      </c>
      <c r="O218" s="100" t="str">
        <f>IFERROR(VLOOKUP(Tablo5[[#This Row],[HAMMADDE KODU]],Tablo1[#All],3,0)," ")</f>
        <v xml:space="preserve"> </v>
      </c>
      <c r="P218" s="100" t="str">
        <f>IFERROR(VLOOKUP(Tablo5[[#This Row],[HAMMADDE KODU]],Tablo1[#All],4,0)," ")</f>
        <v xml:space="preserve"> </v>
      </c>
      <c r="Q218" s="100" t="str">
        <f>IFERROR(VLOOKUP(Tablo5[[#This Row],[ÜRÜN KODU]],YMKODLARI!$A$1:$K$363,5,0)," ")</f>
        <v xml:space="preserve"> </v>
      </c>
      <c r="R218" s="100" t="str">
        <f>IFERROR(VLOOKUP(Tablo5[[#This Row],[ÜRÜN KODU]],YMKODLARI!$A$1:$K$363,6,0)," ")</f>
        <v xml:space="preserve"> </v>
      </c>
      <c r="S218" s="100" t="str">
        <f>IFERROR(Tablo5[[#This Row],[YOLLUK HARİÇ BASKI GRAMI]]/Tablo5[[#This Row],[KALIP GÖZ ADEDİ]]," ")</f>
        <v xml:space="preserve"> </v>
      </c>
      <c r="T218" s="100" t="str">
        <f t="shared" si="23"/>
        <v xml:space="preserve"> </v>
      </c>
      <c r="U218" s="100"/>
      <c r="V218" s="100" t="str">
        <f t="shared" si="22"/>
        <v xml:space="preserve"> </v>
      </c>
      <c r="W218" s="101">
        <f t="shared" si="24"/>
        <v>24</v>
      </c>
      <c r="X218" s="102">
        <f t="shared" si="25"/>
        <v>0</v>
      </c>
      <c r="Y218" s="100" t="str">
        <f t="shared" si="26"/>
        <v xml:space="preserve"> </v>
      </c>
      <c r="Z218" s="100" t="str">
        <f t="shared" si="27"/>
        <v xml:space="preserve"> </v>
      </c>
    </row>
    <row r="219" spans="1:26">
      <c r="A219" s="100"/>
      <c r="B219" s="108" t="str">
        <f>IFERROR(VLOOKUP(Tablo5[[#This Row],[ÜRÜN KODU]],YMKODLARI!$A$1:$K$363,2,0)," ")</f>
        <v xml:space="preserve"> </v>
      </c>
      <c r="C219" s="99"/>
      <c r="D219" s="100"/>
      <c r="E219" s="101"/>
      <c r="F219" s="101"/>
      <c r="G219" s="100" t="str">
        <f>IFERROR(VLOOKUP(Tablo5[[#This Row],[ÜRÜN KODU]],YMKODLARI!$A$1:$K$363,3,0)," ")</f>
        <v xml:space="preserve"> </v>
      </c>
      <c r="H219" s="100" t="str">
        <f>IFERROR(VLOOKUP(Tablo5[[#This Row],[ÜRÜN KODU]],YMKODLARI!$A$1:$K$363,4,0)," ")</f>
        <v xml:space="preserve"> </v>
      </c>
      <c r="I219" s="100"/>
      <c r="J219" s="100" t="str">
        <f>IFERROR(VLOOKUP(Tablo5[[#This Row],[ÜRÜN KODU]],YMKODLARI!$A$1:$K$363,9,0)," ")</f>
        <v xml:space="preserve"> </v>
      </c>
      <c r="K219" s="100" t="str">
        <f>IFERROR(VLOOKUP(Tablo5[[#This Row],[BOYA KODU]],Tablo14[#All],4,0)," ")</f>
        <v xml:space="preserve"> </v>
      </c>
      <c r="L219" s="100" t="str">
        <f>IFERROR(VLOOKUP(Tablo5[[#This Row],[BOYA KODU]],Tablo14[#All],6,0)," ")</f>
        <v xml:space="preserve"> </v>
      </c>
      <c r="M219" s="100" t="str">
        <f t="shared" si="21"/>
        <v xml:space="preserve"> </v>
      </c>
      <c r="N219" s="100" t="str">
        <f>IFERROR(VLOOKUP(Tablo5[[#This Row],[ÜRÜN KODU]],YMKODLARI!$A$1:$K$363,8,0)," ")</f>
        <v xml:space="preserve"> </v>
      </c>
      <c r="O219" s="100" t="str">
        <f>IFERROR(VLOOKUP(Tablo5[[#This Row],[HAMMADDE KODU]],Tablo1[#All],3,0)," ")</f>
        <v xml:space="preserve"> </v>
      </c>
      <c r="P219" s="100" t="str">
        <f>IFERROR(VLOOKUP(Tablo5[[#This Row],[HAMMADDE KODU]],Tablo1[#All],4,0)," ")</f>
        <v xml:space="preserve"> </v>
      </c>
      <c r="Q219" s="100" t="str">
        <f>IFERROR(VLOOKUP(Tablo5[[#This Row],[ÜRÜN KODU]],YMKODLARI!$A$1:$K$363,5,0)," ")</f>
        <v xml:space="preserve"> </v>
      </c>
      <c r="R219" s="100" t="str">
        <f>IFERROR(VLOOKUP(Tablo5[[#This Row],[ÜRÜN KODU]],YMKODLARI!$A$1:$K$363,6,0)," ")</f>
        <v xml:space="preserve"> </v>
      </c>
      <c r="S219" s="100" t="str">
        <f>IFERROR(Tablo5[[#This Row],[YOLLUK HARİÇ BASKI GRAMI]]/Tablo5[[#This Row],[KALIP GÖZ ADEDİ]]," ")</f>
        <v xml:space="preserve"> </v>
      </c>
      <c r="T219" s="100" t="str">
        <f t="shared" si="23"/>
        <v xml:space="preserve"> </v>
      </c>
      <c r="U219" s="100"/>
      <c r="V219" s="100" t="str">
        <f t="shared" si="22"/>
        <v xml:space="preserve"> </v>
      </c>
      <c r="W219" s="101">
        <f t="shared" si="24"/>
        <v>24</v>
      </c>
      <c r="X219" s="102">
        <f t="shared" si="25"/>
        <v>0</v>
      </c>
      <c r="Y219" s="100" t="str">
        <f t="shared" si="26"/>
        <v xml:space="preserve"> </v>
      </c>
      <c r="Z219" s="100" t="str">
        <f t="shared" si="27"/>
        <v xml:space="preserve"> </v>
      </c>
    </row>
    <row r="220" spans="1:26">
      <c r="A220" s="100"/>
      <c r="B220" s="108" t="str">
        <f>IFERROR(VLOOKUP(Tablo5[[#This Row],[ÜRÜN KODU]],YMKODLARI!$A$1:$K$363,2,0)," ")</f>
        <v xml:space="preserve"> </v>
      </c>
      <c r="C220" s="99"/>
      <c r="D220" s="100"/>
      <c r="E220" s="101"/>
      <c r="F220" s="101"/>
      <c r="G220" s="100" t="str">
        <f>IFERROR(VLOOKUP(Tablo5[[#This Row],[ÜRÜN KODU]],YMKODLARI!$A$1:$K$363,3,0)," ")</f>
        <v xml:space="preserve"> </v>
      </c>
      <c r="H220" s="100" t="str">
        <f>IFERROR(VLOOKUP(Tablo5[[#This Row],[ÜRÜN KODU]],YMKODLARI!$A$1:$K$363,4,0)," ")</f>
        <v xml:space="preserve"> </v>
      </c>
      <c r="I220" s="100"/>
      <c r="J220" s="100" t="str">
        <f>IFERROR(VLOOKUP(Tablo5[[#This Row],[ÜRÜN KODU]],YMKODLARI!$A$1:$K$363,9,0)," ")</f>
        <v xml:space="preserve"> </v>
      </c>
      <c r="K220" s="100" t="str">
        <f>IFERROR(VLOOKUP(Tablo5[[#This Row],[BOYA KODU]],Tablo14[#All],4,0)," ")</f>
        <v xml:space="preserve"> </v>
      </c>
      <c r="L220" s="100" t="str">
        <f>IFERROR(VLOOKUP(Tablo5[[#This Row],[BOYA KODU]],Tablo14[#All],6,0)," ")</f>
        <v xml:space="preserve"> </v>
      </c>
      <c r="M220" s="100" t="str">
        <f t="shared" si="21"/>
        <v xml:space="preserve"> </v>
      </c>
      <c r="N220" s="100" t="str">
        <f>IFERROR(VLOOKUP(Tablo5[[#This Row],[ÜRÜN KODU]],YMKODLARI!$A$1:$K$363,8,0)," ")</f>
        <v xml:space="preserve"> </v>
      </c>
      <c r="O220" s="100" t="str">
        <f>IFERROR(VLOOKUP(Tablo5[[#This Row],[HAMMADDE KODU]],Tablo1[#All],3,0)," ")</f>
        <v xml:space="preserve"> </v>
      </c>
      <c r="P220" s="100" t="str">
        <f>IFERROR(VLOOKUP(Tablo5[[#This Row],[HAMMADDE KODU]],Tablo1[#All],4,0)," ")</f>
        <v xml:space="preserve"> </v>
      </c>
      <c r="Q220" s="100" t="str">
        <f>IFERROR(VLOOKUP(Tablo5[[#This Row],[ÜRÜN KODU]],YMKODLARI!$A$1:$K$363,5,0)," ")</f>
        <v xml:space="preserve"> </v>
      </c>
      <c r="R220" s="100" t="str">
        <f>IFERROR(VLOOKUP(Tablo5[[#This Row],[ÜRÜN KODU]],YMKODLARI!$A$1:$K$363,6,0)," ")</f>
        <v xml:space="preserve"> </v>
      </c>
      <c r="S220" s="100" t="str">
        <f>IFERROR(Tablo5[[#This Row],[YOLLUK HARİÇ BASKI GRAMI]]/Tablo5[[#This Row],[KALIP GÖZ ADEDİ]]," ")</f>
        <v xml:space="preserve"> </v>
      </c>
      <c r="T220" s="100" t="str">
        <f t="shared" si="23"/>
        <v xml:space="preserve"> </v>
      </c>
      <c r="U220" s="100"/>
      <c r="V220" s="100" t="str">
        <f t="shared" si="22"/>
        <v xml:space="preserve"> </v>
      </c>
      <c r="W220" s="101">
        <f t="shared" si="24"/>
        <v>24</v>
      </c>
      <c r="X220" s="102">
        <f t="shared" si="25"/>
        <v>0</v>
      </c>
      <c r="Y220" s="100" t="str">
        <f t="shared" si="26"/>
        <v xml:space="preserve"> </v>
      </c>
      <c r="Z220" s="100" t="str">
        <f t="shared" si="27"/>
        <v xml:space="preserve"> </v>
      </c>
    </row>
    <row r="221" spans="1:26">
      <c r="A221" s="100"/>
      <c r="B221" s="108" t="str">
        <f>IFERROR(VLOOKUP(Tablo5[[#This Row],[ÜRÜN KODU]],YMKODLARI!$A$1:$K$363,2,0)," ")</f>
        <v xml:space="preserve"> </v>
      </c>
      <c r="C221" s="99"/>
      <c r="D221" s="100"/>
      <c r="E221" s="101"/>
      <c r="F221" s="101"/>
      <c r="G221" s="100" t="str">
        <f>IFERROR(VLOOKUP(Tablo5[[#This Row],[ÜRÜN KODU]],YMKODLARI!$A$1:$K$363,3,0)," ")</f>
        <v xml:space="preserve"> </v>
      </c>
      <c r="H221" s="100" t="str">
        <f>IFERROR(VLOOKUP(Tablo5[[#This Row],[ÜRÜN KODU]],YMKODLARI!$A$1:$K$363,4,0)," ")</f>
        <v xml:space="preserve"> </v>
      </c>
      <c r="I221" s="100"/>
      <c r="J221" s="100" t="str">
        <f>IFERROR(VLOOKUP(Tablo5[[#This Row],[ÜRÜN KODU]],YMKODLARI!$A$1:$K$363,9,0)," ")</f>
        <v xml:space="preserve"> </v>
      </c>
      <c r="K221" s="100" t="str">
        <f>IFERROR(VLOOKUP(Tablo5[[#This Row],[BOYA KODU]],Tablo14[#All],4,0)," ")</f>
        <v xml:space="preserve"> </v>
      </c>
      <c r="L221" s="100" t="str">
        <f>IFERROR(VLOOKUP(Tablo5[[#This Row],[BOYA KODU]],Tablo14[#All],6,0)," ")</f>
        <v xml:space="preserve"> </v>
      </c>
      <c r="M221" s="100" t="str">
        <f t="shared" si="21"/>
        <v xml:space="preserve"> </v>
      </c>
      <c r="N221" s="100" t="str">
        <f>IFERROR(VLOOKUP(Tablo5[[#This Row],[ÜRÜN KODU]],YMKODLARI!$A$1:$K$363,8,0)," ")</f>
        <v xml:space="preserve"> </v>
      </c>
      <c r="O221" s="100" t="str">
        <f>IFERROR(VLOOKUP(Tablo5[[#This Row],[HAMMADDE KODU]],Tablo1[#All],3,0)," ")</f>
        <v xml:space="preserve"> </v>
      </c>
      <c r="P221" s="100" t="str">
        <f>IFERROR(VLOOKUP(Tablo5[[#This Row],[HAMMADDE KODU]],Tablo1[#All],4,0)," ")</f>
        <v xml:space="preserve"> </v>
      </c>
      <c r="Q221" s="100" t="str">
        <f>IFERROR(VLOOKUP(Tablo5[[#This Row],[ÜRÜN KODU]],YMKODLARI!$A$1:$K$363,5,0)," ")</f>
        <v xml:space="preserve"> </v>
      </c>
      <c r="R221" s="100" t="str">
        <f>IFERROR(VLOOKUP(Tablo5[[#This Row],[ÜRÜN KODU]],YMKODLARI!$A$1:$K$363,6,0)," ")</f>
        <v xml:space="preserve"> </v>
      </c>
      <c r="S221" s="100" t="str">
        <f>IFERROR(Tablo5[[#This Row],[YOLLUK HARİÇ BASKI GRAMI]]/Tablo5[[#This Row],[KALIP GÖZ ADEDİ]]," ")</f>
        <v xml:space="preserve"> </v>
      </c>
      <c r="T221" s="100" t="str">
        <f t="shared" si="23"/>
        <v xml:space="preserve"> </v>
      </c>
      <c r="U221" s="100"/>
      <c r="V221" s="100" t="str">
        <f t="shared" si="22"/>
        <v xml:space="preserve"> </v>
      </c>
      <c r="W221" s="101">
        <f t="shared" si="24"/>
        <v>24</v>
      </c>
      <c r="X221" s="102">
        <f t="shared" si="25"/>
        <v>0</v>
      </c>
      <c r="Y221" s="100" t="str">
        <f t="shared" si="26"/>
        <v xml:space="preserve"> </v>
      </c>
      <c r="Z221" s="100" t="str">
        <f t="shared" si="27"/>
        <v xml:space="preserve"> </v>
      </c>
    </row>
    <row r="222" spans="1:26">
      <c r="A222" s="100"/>
      <c r="B222" s="108" t="str">
        <f>IFERROR(VLOOKUP(Tablo5[[#This Row],[ÜRÜN KODU]],YMKODLARI!$A$1:$K$363,2,0)," ")</f>
        <v xml:space="preserve"> </v>
      </c>
      <c r="C222" s="99"/>
      <c r="D222" s="100"/>
      <c r="E222" s="101"/>
      <c r="F222" s="101"/>
      <c r="G222" s="100" t="str">
        <f>IFERROR(VLOOKUP(Tablo5[[#This Row],[ÜRÜN KODU]],YMKODLARI!$A$1:$K$363,3,0)," ")</f>
        <v xml:space="preserve"> </v>
      </c>
      <c r="H222" s="100" t="str">
        <f>IFERROR(VLOOKUP(Tablo5[[#This Row],[ÜRÜN KODU]],YMKODLARI!$A$1:$K$363,4,0)," ")</f>
        <v xml:space="preserve"> </v>
      </c>
      <c r="I222" s="100"/>
      <c r="J222" s="100" t="str">
        <f>IFERROR(VLOOKUP(Tablo5[[#This Row],[ÜRÜN KODU]],YMKODLARI!$A$1:$K$363,9,0)," ")</f>
        <v xml:space="preserve"> </v>
      </c>
      <c r="K222" s="100" t="str">
        <f>IFERROR(VLOOKUP(Tablo5[[#This Row],[BOYA KODU]],Tablo14[#All],4,0)," ")</f>
        <v xml:space="preserve"> </v>
      </c>
      <c r="L222" s="100" t="str">
        <f>IFERROR(VLOOKUP(Tablo5[[#This Row],[BOYA KODU]],Tablo14[#All],6,0)," ")</f>
        <v xml:space="preserve"> </v>
      </c>
      <c r="M222" s="100" t="str">
        <f t="shared" si="21"/>
        <v xml:space="preserve"> </v>
      </c>
      <c r="N222" s="100" t="str">
        <f>IFERROR(VLOOKUP(Tablo5[[#This Row],[ÜRÜN KODU]],YMKODLARI!$A$1:$K$363,8,0)," ")</f>
        <v xml:space="preserve"> </v>
      </c>
      <c r="O222" s="100" t="str">
        <f>IFERROR(VLOOKUP(Tablo5[[#This Row],[HAMMADDE KODU]],Tablo1[#All],3,0)," ")</f>
        <v xml:space="preserve"> </v>
      </c>
      <c r="P222" s="100" t="str">
        <f>IFERROR(VLOOKUP(Tablo5[[#This Row],[HAMMADDE KODU]],Tablo1[#All],4,0)," ")</f>
        <v xml:space="preserve"> </v>
      </c>
      <c r="Q222" s="100" t="str">
        <f>IFERROR(VLOOKUP(Tablo5[[#This Row],[ÜRÜN KODU]],YMKODLARI!$A$1:$K$363,5,0)," ")</f>
        <v xml:space="preserve"> </v>
      </c>
      <c r="R222" s="100" t="str">
        <f>IFERROR(VLOOKUP(Tablo5[[#This Row],[ÜRÜN KODU]],YMKODLARI!$A$1:$K$363,6,0)," ")</f>
        <v xml:space="preserve"> </v>
      </c>
      <c r="S222" s="100" t="str">
        <f>IFERROR(Tablo5[[#This Row],[YOLLUK HARİÇ BASKI GRAMI]]/Tablo5[[#This Row],[KALIP GÖZ ADEDİ]]," ")</f>
        <v xml:space="preserve"> </v>
      </c>
      <c r="T222" s="100" t="str">
        <f t="shared" si="23"/>
        <v xml:space="preserve"> </v>
      </c>
      <c r="U222" s="100"/>
      <c r="V222" s="100" t="str">
        <f t="shared" si="22"/>
        <v xml:space="preserve"> </v>
      </c>
      <c r="W222" s="101">
        <f t="shared" si="24"/>
        <v>24</v>
      </c>
      <c r="X222" s="102">
        <f t="shared" si="25"/>
        <v>0</v>
      </c>
      <c r="Y222" s="100" t="str">
        <f t="shared" si="26"/>
        <v xml:space="preserve"> </v>
      </c>
      <c r="Z222" s="100" t="str">
        <f t="shared" si="27"/>
        <v xml:space="preserve"> </v>
      </c>
    </row>
    <row r="223" spans="1:26">
      <c r="A223" s="100"/>
      <c r="B223" s="108" t="str">
        <f>IFERROR(VLOOKUP(Tablo5[[#This Row],[ÜRÜN KODU]],YMKODLARI!$A$1:$K$363,2,0)," ")</f>
        <v xml:space="preserve"> </v>
      </c>
      <c r="C223" s="99"/>
      <c r="D223" s="100"/>
      <c r="E223" s="101"/>
      <c r="F223" s="101"/>
      <c r="G223" s="100" t="str">
        <f>IFERROR(VLOOKUP(Tablo5[[#This Row],[ÜRÜN KODU]],YMKODLARI!$A$1:$K$363,3,0)," ")</f>
        <v xml:space="preserve"> </v>
      </c>
      <c r="H223" s="100" t="str">
        <f>IFERROR(VLOOKUP(Tablo5[[#This Row],[ÜRÜN KODU]],YMKODLARI!$A$1:$K$363,4,0)," ")</f>
        <v xml:space="preserve"> </v>
      </c>
      <c r="I223" s="100"/>
      <c r="J223" s="100" t="str">
        <f>IFERROR(VLOOKUP(Tablo5[[#This Row],[ÜRÜN KODU]],YMKODLARI!$A$1:$K$363,9,0)," ")</f>
        <v xml:space="preserve"> </v>
      </c>
      <c r="K223" s="100" t="str">
        <f>IFERROR(VLOOKUP(Tablo5[[#This Row],[BOYA KODU]],Tablo14[#All],4,0)," ")</f>
        <v xml:space="preserve"> </v>
      </c>
      <c r="L223" s="100" t="str">
        <f>IFERROR(VLOOKUP(Tablo5[[#This Row],[BOYA KODU]],Tablo14[#All],6,0)," ")</f>
        <v xml:space="preserve"> </v>
      </c>
      <c r="M223" s="100" t="str">
        <f t="shared" si="21"/>
        <v xml:space="preserve"> </v>
      </c>
      <c r="N223" s="100" t="str">
        <f>IFERROR(VLOOKUP(Tablo5[[#This Row],[ÜRÜN KODU]],YMKODLARI!$A$1:$K$363,8,0)," ")</f>
        <v xml:space="preserve"> </v>
      </c>
      <c r="O223" s="100" t="str">
        <f>IFERROR(VLOOKUP(Tablo5[[#This Row],[HAMMADDE KODU]],Tablo1[#All],3,0)," ")</f>
        <v xml:space="preserve"> </v>
      </c>
      <c r="P223" s="100" t="str">
        <f>IFERROR(VLOOKUP(Tablo5[[#This Row],[HAMMADDE KODU]],Tablo1[#All],4,0)," ")</f>
        <v xml:space="preserve"> </v>
      </c>
      <c r="Q223" s="100" t="str">
        <f>IFERROR(VLOOKUP(Tablo5[[#This Row],[ÜRÜN KODU]],YMKODLARI!$A$1:$K$363,5,0)," ")</f>
        <v xml:space="preserve"> </v>
      </c>
      <c r="R223" s="100" t="str">
        <f>IFERROR(VLOOKUP(Tablo5[[#This Row],[ÜRÜN KODU]],YMKODLARI!$A$1:$K$363,6,0)," ")</f>
        <v xml:space="preserve"> </v>
      </c>
      <c r="S223" s="100" t="str">
        <f>IFERROR(Tablo5[[#This Row],[YOLLUK HARİÇ BASKI GRAMI]]/Tablo5[[#This Row],[KALIP GÖZ ADEDİ]]," ")</f>
        <v xml:space="preserve"> </v>
      </c>
      <c r="T223" s="100" t="str">
        <f t="shared" si="23"/>
        <v xml:space="preserve"> </v>
      </c>
      <c r="U223" s="100"/>
      <c r="V223" s="100" t="str">
        <f t="shared" si="22"/>
        <v xml:space="preserve"> </v>
      </c>
      <c r="W223" s="101">
        <f t="shared" si="24"/>
        <v>24</v>
      </c>
      <c r="X223" s="102">
        <f t="shared" si="25"/>
        <v>0</v>
      </c>
      <c r="Y223" s="100" t="str">
        <f t="shared" si="26"/>
        <v xml:space="preserve"> </v>
      </c>
      <c r="Z223" s="100" t="str">
        <f t="shared" si="27"/>
        <v xml:space="preserve"> </v>
      </c>
    </row>
    <row r="224" spans="1:26">
      <c r="A224" s="100"/>
      <c r="B224" s="108" t="str">
        <f>IFERROR(VLOOKUP(Tablo5[[#This Row],[ÜRÜN KODU]],YMKODLARI!$A$1:$K$363,2,0)," ")</f>
        <v xml:space="preserve"> </v>
      </c>
      <c r="C224" s="99"/>
      <c r="D224" s="100"/>
      <c r="E224" s="101"/>
      <c r="F224" s="101"/>
      <c r="G224" s="100" t="str">
        <f>IFERROR(VLOOKUP(Tablo5[[#This Row],[ÜRÜN KODU]],YMKODLARI!$A$1:$K$363,3,0)," ")</f>
        <v xml:space="preserve"> </v>
      </c>
      <c r="H224" s="100" t="str">
        <f>IFERROR(VLOOKUP(Tablo5[[#This Row],[ÜRÜN KODU]],YMKODLARI!$A$1:$K$363,4,0)," ")</f>
        <v xml:space="preserve"> </v>
      </c>
      <c r="I224" s="100"/>
      <c r="J224" s="100" t="str">
        <f>IFERROR(VLOOKUP(Tablo5[[#This Row],[ÜRÜN KODU]],YMKODLARI!$A$1:$K$363,9,0)," ")</f>
        <v xml:space="preserve"> </v>
      </c>
      <c r="K224" s="100" t="str">
        <f>IFERROR(VLOOKUP(Tablo5[[#This Row],[BOYA KODU]],Tablo14[#All],4,0)," ")</f>
        <v xml:space="preserve"> </v>
      </c>
      <c r="L224" s="100" t="str">
        <f>IFERROR(VLOOKUP(Tablo5[[#This Row],[BOYA KODU]],Tablo14[#All],6,0)," ")</f>
        <v xml:space="preserve"> </v>
      </c>
      <c r="M224" s="100" t="str">
        <f t="shared" si="21"/>
        <v xml:space="preserve"> </v>
      </c>
      <c r="N224" s="100" t="str">
        <f>IFERROR(VLOOKUP(Tablo5[[#This Row],[ÜRÜN KODU]],YMKODLARI!$A$1:$K$363,8,0)," ")</f>
        <v xml:space="preserve"> </v>
      </c>
      <c r="O224" s="100" t="str">
        <f>IFERROR(VLOOKUP(Tablo5[[#This Row],[HAMMADDE KODU]],Tablo1[#All],3,0)," ")</f>
        <v xml:space="preserve"> </v>
      </c>
      <c r="P224" s="100" t="str">
        <f>IFERROR(VLOOKUP(Tablo5[[#This Row],[HAMMADDE KODU]],Tablo1[#All],4,0)," ")</f>
        <v xml:space="preserve"> </v>
      </c>
      <c r="Q224" s="100" t="str">
        <f>IFERROR(VLOOKUP(Tablo5[[#This Row],[ÜRÜN KODU]],YMKODLARI!$A$1:$K$363,5,0)," ")</f>
        <v xml:space="preserve"> </v>
      </c>
      <c r="R224" s="100" t="str">
        <f>IFERROR(VLOOKUP(Tablo5[[#This Row],[ÜRÜN KODU]],YMKODLARI!$A$1:$K$363,6,0)," ")</f>
        <v xml:space="preserve"> </v>
      </c>
      <c r="S224" s="100" t="str">
        <f>IFERROR(Tablo5[[#This Row],[YOLLUK HARİÇ BASKI GRAMI]]/Tablo5[[#This Row],[KALIP GÖZ ADEDİ]]," ")</f>
        <v xml:space="preserve"> </v>
      </c>
      <c r="T224" s="100" t="str">
        <f t="shared" si="23"/>
        <v xml:space="preserve"> </v>
      </c>
      <c r="U224" s="100"/>
      <c r="V224" s="100" t="str">
        <f t="shared" si="22"/>
        <v xml:space="preserve"> </v>
      </c>
      <c r="W224" s="101">
        <f t="shared" si="24"/>
        <v>24</v>
      </c>
      <c r="X224" s="102">
        <f t="shared" si="25"/>
        <v>0</v>
      </c>
      <c r="Y224" s="100" t="str">
        <f t="shared" si="26"/>
        <v xml:space="preserve"> </v>
      </c>
      <c r="Z224" s="100" t="str">
        <f t="shared" si="27"/>
        <v xml:space="preserve"> </v>
      </c>
    </row>
    <row r="225" spans="1:26">
      <c r="A225" s="100"/>
      <c r="B225" s="108" t="str">
        <f>IFERROR(VLOOKUP(Tablo5[[#This Row],[ÜRÜN KODU]],YMKODLARI!$A$1:$K$363,2,0)," ")</f>
        <v xml:space="preserve"> </v>
      </c>
      <c r="C225" s="99"/>
      <c r="D225" s="100"/>
      <c r="E225" s="101"/>
      <c r="F225" s="101"/>
      <c r="G225" s="100" t="str">
        <f>IFERROR(VLOOKUP(Tablo5[[#This Row],[ÜRÜN KODU]],YMKODLARI!$A$1:$K$363,3,0)," ")</f>
        <v xml:space="preserve"> </v>
      </c>
      <c r="H225" s="100" t="str">
        <f>IFERROR(VLOOKUP(Tablo5[[#This Row],[ÜRÜN KODU]],YMKODLARI!$A$1:$K$363,4,0)," ")</f>
        <v xml:space="preserve"> </v>
      </c>
      <c r="I225" s="100"/>
      <c r="J225" s="100" t="str">
        <f>IFERROR(VLOOKUP(Tablo5[[#This Row],[ÜRÜN KODU]],YMKODLARI!$A$1:$K$363,9,0)," ")</f>
        <v xml:space="preserve"> </v>
      </c>
      <c r="K225" s="100" t="str">
        <f>IFERROR(VLOOKUP(Tablo5[[#This Row],[BOYA KODU]],Tablo14[#All],4,0)," ")</f>
        <v xml:space="preserve"> </v>
      </c>
      <c r="L225" s="100" t="str">
        <f>IFERROR(VLOOKUP(Tablo5[[#This Row],[BOYA KODU]],Tablo14[#All],6,0)," ")</f>
        <v xml:space="preserve"> </v>
      </c>
      <c r="M225" s="100" t="str">
        <f t="shared" si="21"/>
        <v xml:space="preserve"> </v>
      </c>
      <c r="N225" s="100" t="str">
        <f>IFERROR(VLOOKUP(Tablo5[[#This Row],[ÜRÜN KODU]],YMKODLARI!$A$1:$K$363,8,0)," ")</f>
        <v xml:space="preserve"> </v>
      </c>
      <c r="O225" s="100" t="str">
        <f>IFERROR(VLOOKUP(Tablo5[[#This Row],[HAMMADDE KODU]],Tablo1[#All],3,0)," ")</f>
        <v xml:space="preserve"> </v>
      </c>
      <c r="P225" s="100" t="str">
        <f>IFERROR(VLOOKUP(Tablo5[[#This Row],[HAMMADDE KODU]],Tablo1[#All],4,0)," ")</f>
        <v xml:space="preserve"> </v>
      </c>
      <c r="Q225" s="100" t="str">
        <f>IFERROR(VLOOKUP(Tablo5[[#This Row],[ÜRÜN KODU]],YMKODLARI!$A$1:$K$363,5,0)," ")</f>
        <v xml:space="preserve"> </v>
      </c>
      <c r="R225" s="100" t="str">
        <f>IFERROR(VLOOKUP(Tablo5[[#This Row],[ÜRÜN KODU]],YMKODLARI!$A$1:$K$363,6,0)," ")</f>
        <v xml:space="preserve"> </v>
      </c>
      <c r="S225" s="100" t="str">
        <f>IFERROR(Tablo5[[#This Row],[YOLLUK HARİÇ BASKI GRAMI]]/Tablo5[[#This Row],[KALIP GÖZ ADEDİ]]," ")</f>
        <v xml:space="preserve"> </v>
      </c>
      <c r="T225" s="100" t="str">
        <f t="shared" si="23"/>
        <v xml:space="preserve"> </v>
      </c>
      <c r="U225" s="100"/>
      <c r="V225" s="100" t="str">
        <f t="shared" si="22"/>
        <v xml:space="preserve"> </v>
      </c>
      <c r="W225" s="101">
        <f t="shared" si="24"/>
        <v>24</v>
      </c>
      <c r="X225" s="102">
        <f t="shared" si="25"/>
        <v>0</v>
      </c>
      <c r="Y225" s="100" t="str">
        <f t="shared" si="26"/>
        <v xml:space="preserve"> </v>
      </c>
      <c r="Z225" s="100" t="str">
        <f t="shared" si="27"/>
        <v xml:space="preserve"> </v>
      </c>
    </row>
    <row r="226" spans="1:26">
      <c r="A226" s="100"/>
      <c r="B226" s="108" t="str">
        <f>IFERROR(VLOOKUP(Tablo5[[#This Row],[ÜRÜN KODU]],YMKODLARI!$A$1:$K$363,2,0)," ")</f>
        <v xml:space="preserve"> </v>
      </c>
      <c r="C226" s="99"/>
      <c r="D226" s="100"/>
      <c r="E226" s="101"/>
      <c r="F226" s="101"/>
      <c r="G226" s="100" t="str">
        <f>IFERROR(VLOOKUP(Tablo5[[#This Row],[ÜRÜN KODU]],YMKODLARI!$A$1:$K$363,3,0)," ")</f>
        <v xml:space="preserve"> </v>
      </c>
      <c r="H226" s="100" t="str">
        <f>IFERROR(VLOOKUP(Tablo5[[#This Row],[ÜRÜN KODU]],YMKODLARI!$A$1:$K$363,4,0)," ")</f>
        <v xml:space="preserve"> </v>
      </c>
      <c r="I226" s="100"/>
      <c r="J226" s="100" t="str">
        <f>IFERROR(VLOOKUP(Tablo5[[#This Row],[ÜRÜN KODU]],YMKODLARI!$A$1:$K$363,9,0)," ")</f>
        <v xml:space="preserve"> </v>
      </c>
      <c r="K226" s="100" t="str">
        <f>IFERROR(VLOOKUP(Tablo5[[#This Row],[BOYA KODU]],Tablo14[#All],4,0)," ")</f>
        <v xml:space="preserve"> </v>
      </c>
      <c r="L226" s="100" t="str">
        <f>IFERROR(VLOOKUP(Tablo5[[#This Row],[BOYA KODU]],Tablo14[#All],6,0)," ")</f>
        <v xml:space="preserve"> </v>
      </c>
      <c r="M226" s="100" t="str">
        <f t="shared" si="21"/>
        <v xml:space="preserve"> </v>
      </c>
      <c r="N226" s="100" t="str">
        <f>IFERROR(VLOOKUP(Tablo5[[#This Row],[ÜRÜN KODU]],YMKODLARI!$A$1:$K$363,8,0)," ")</f>
        <v xml:space="preserve"> </v>
      </c>
      <c r="O226" s="100" t="str">
        <f>IFERROR(VLOOKUP(Tablo5[[#This Row],[HAMMADDE KODU]],Tablo1[#All],3,0)," ")</f>
        <v xml:space="preserve"> </v>
      </c>
      <c r="P226" s="100" t="str">
        <f>IFERROR(VLOOKUP(Tablo5[[#This Row],[HAMMADDE KODU]],Tablo1[#All],4,0)," ")</f>
        <v xml:space="preserve"> </v>
      </c>
      <c r="Q226" s="100" t="str">
        <f>IFERROR(VLOOKUP(Tablo5[[#This Row],[ÜRÜN KODU]],YMKODLARI!$A$1:$K$363,5,0)," ")</f>
        <v xml:space="preserve"> </v>
      </c>
      <c r="R226" s="100" t="str">
        <f>IFERROR(VLOOKUP(Tablo5[[#This Row],[ÜRÜN KODU]],YMKODLARI!$A$1:$K$363,6,0)," ")</f>
        <v xml:space="preserve"> </v>
      </c>
      <c r="S226" s="100" t="str">
        <f>IFERROR(Tablo5[[#This Row],[YOLLUK HARİÇ BASKI GRAMI]]/Tablo5[[#This Row],[KALIP GÖZ ADEDİ]]," ")</f>
        <v xml:space="preserve"> </v>
      </c>
      <c r="T226" s="100" t="str">
        <f t="shared" si="23"/>
        <v xml:space="preserve"> </v>
      </c>
      <c r="U226" s="100"/>
      <c r="V226" s="100" t="str">
        <f t="shared" si="22"/>
        <v xml:space="preserve"> </v>
      </c>
      <c r="W226" s="101">
        <f t="shared" si="24"/>
        <v>24</v>
      </c>
      <c r="X226" s="102">
        <f t="shared" si="25"/>
        <v>0</v>
      </c>
      <c r="Y226" s="100" t="str">
        <f t="shared" si="26"/>
        <v xml:space="preserve"> </v>
      </c>
      <c r="Z226" s="100" t="str">
        <f t="shared" si="27"/>
        <v xml:space="preserve"> </v>
      </c>
    </row>
    <row r="227" spans="1:26">
      <c r="A227" s="100"/>
      <c r="B227" s="108" t="str">
        <f>IFERROR(VLOOKUP(Tablo5[[#This Row],[ÜRÜN KODU]],YMKODLARI!$A$1:$K$363,2,0)," ")</f>
        <v xml:space="preserve"> </v>
      </c>
      <c r="C227" s="99"/>
      <c r="D227" s="100"/>
      <c r="E227" s="101"/>
      <c r="F227" s="101"/>
      <c r="G227" s="100" t="str">
        <f>IFERROR(VLOOKUP(Tablo5[[#This Row],[ÜRÜN KODU]],YMKODLARI!$A$1:$K$363,3,0)," ")</f>
        <v xml:space="preserve"> </v>
      </c>
      <c r="H227" s="100" t="str">
        <f>IFERROR(VLOOKUP(Tablo5[[#This Row],[ÜRÜN KODU]],YMKODLARI!$A$1:$K$363,4,0)," ")</f>
        <v xml:space="preserve"> </v>
      </c>
      <c r="I227" s="100"/>
      <c r="J227" s="100" t="str">
        <f>IFERROR(VLOOKUP(Tablo5[[#This Row],[ÜRÜN KODU]],YMKODLARI!$A$1:$K$363,9,0)," ")</f>
        <v xml:space="preserve"> </v>
      </c>
      <c r="K227" s="100" t="str">
        <f>IFERROR(VLOOKUP(Tablo5[[#This Row],[BOYA KODU]],Tablo14[#All],4,0)," ")</f>
        <v xml:space="preserve"> </v>
      </c>
      <c r="L227" s="100" t="str">
        <f>IFERROR(VLOOKUP(Tablo5[[#This Row],[BOYA KODU]],Tablo14[#All],6,0)," ")</f>
        <v xml:space="preserve"> </v>
      </c>
      <c r="M227" s="100" t="str">
        <f t="shared" si="21"/>
        <v xml:space="preserve"> </v>
      </c>
      <c r="N227" s="100" t="str">
        <f>IFERROR(VLOOKUP(Tablo5[[#This Row],[ÜRÜN KODU]],YMKODLARI!$A$1:$K$363,8,0)," ")</f>
        <v xml:space="preserve"> </v>
      </c>
      <c r="O227" s="100" t="str">
        <f>IFERROR(VLOOKUP(Tablo5[[#This Row],[HAMMADDE KODU]],Tablo1[#All],3,0)," ")</f>
        <v xml:space="preserve"> </v>
      </c>
      <c r="P227" s="100" t="str">
        <f>IFERROR(VLOOKUP(Tablo5[[#This Row],[HAMMADDE KODU]],Tablo1[#All],4,0)," ")</f>
        <v xml:space="preserve"> </v>
      </c>
      <c r="Q227" s="100" t="str">
        <f>IFERROR(VLOOKUP(Tablo5[[#This Row],[ÜRÜN KODU]],YMKODLARI!$A$1:$K$363,5,0)," ")</f>
        <v xml:space="preserve"> </v>
      </c>
      <c r="R227" s="100" t="str">
        <f>IFERROR(VLOOKUP(Tablo5[[#This Row],[ÜRÜN KODU]],YMKODLARI!$A$1:$K$363,6,0)," ")</f>
        <v xml:space="preserve"> </v>
      </c>
      <c r="S227" s="100" t="str">
        <f>IFERROR(Tablo5[[#This Row],[YOLLUK HARİÇ BASKI GRAMI]]/Tablo5[[#This Row],[KALIP GÖZ ADEDİ]]," ")</f>
        <v xml:space="preserve"> </v>
      </c>
      <c r="T227" s="100" t="str">
        <f t="shared" si="23"/>
        <v xml:space="preserve"> </v>
      </c>
      <c r="U227" s="100"/>
      <c r="V227" s="100" t="str">
        <f t="shared" si="22"/>
        <v xml:space="preserve"> </v>
      </c>
      <c r="W227" s="101">
        <f t="shared" si="24"/>
        <v>24</v>
      </c>
      <c r="X227" s="102">
        <f t="shared" si="25"/>
        <v>0</v>
      </c>
      <c r="Y227" s="100" t="str">
        <f t="shared" si="26"/>
        <v xml:space="preserve"> </v>
      </c>
      <c r="Z227" s="100" t="str">
        <f t="shared" si="27"/>
        <v xml:space="preserve"> </v>
      </c>
    </row>
    <row r="228" spans="1:26">
      <c r="A228" s="100"/>
      <c r="B228" s="108" t="str">
        <f>IFERROR(VLOOKUP(Tablo5[[#This Row],[ÜRÜN KODU]],YMKODLARI!$A$1:$K$363,2,0)," ")</f>
        <v xml:space="preserve"> </v>
      </c>
      <c r="C228" s="99"/>
      <c r="D228" s="100"/>
      <c r="E228" s="101"/>
      <c r="F228" s="101"/>
      <c r="G228" s="100" t="str">
        <f>IFERROR(VLOOKUP(Tablo5[[#This Row],[ÜRÜN KODU]],YMKODLARI!$A$1:$K$363,3,0)," ")</f>
        <v xml:space="preserve"> </v>
      </c>
      <c r="H228" s="100" t="str">
        <f>IFERROR(VLOOKUP(Tablo5[[#This Row],[ÜRÜN KODU]],YMKODLARI!$A$1:$K$363,4,0)," ")</f>
        <v xml:space="preserve"> </v>
      </c>
      <c r="I228" s="100"/>
      <c r="J228" s="100" t="str">
        <f>IFERROR(VLOOKUP(Tablo5[[#This Row],[ÜRÜN KODU]],YMKODLARI!$A$1:$K$363,9,0)," ")</f>
        <v xml:space="preserve"> </v>
      </c>
      <c r="K228" s="100" t="str">
        <f>IFERROR(VLOOKUP(Tablo5[[#This Row],[BOYA KODU]],Tablo14[#All],4,0)," ")</f>
        <v xml:space="preserve"> </v>
      </c>
      <c r="L228" s="100" t="str">
        <f>IFERROR(VLOOKUP(Tablo5[[#This Row],[BOYA KODU]],Tablo14[#All],6,0)," ")</f>
        <v xml:space="preserve"> </v>
      </c>
      <c r="M228" s="100" t="str">
        <f t="shared" si="21"/>
        <v xml:space="preserve"> </v>
      </c>
      <c r="N228" s="100" t="str">
        <f>IFERROR(VLOOKUP(Tablo5[[#This Row],[ÜRÜN KODU]],YMKODLARI!$A$1:$K$363,8,0)," ")</f>
        <v xml:space="preserve"> </v>
      </c>
      <c r="O228" s="100" t="str">
        <f>IFERROR(VLOOKUP(Tablo5[[#This Row],[HAMMADDE KODU]],Tablo1[#All],3,0)," ")</f>
        <v xml:space="preserve"> </v>
      </c>
      <c r="P228" s="100" t="str">
        <f>IFERROR(VLOOKUP(Tablo5[[#This Row],[HAMMADDE KODU]],Tablo1[#All],4,0)," ")</f>
        <v xml:space="preserve"> </v>
      </c>
      <c r="Q228" s="100" t="str">
        <f>IFERROR(VLOOKUP(Tablo5[[#This Row],[ÜRÜN KODU]],YMKODLARI!$A$1:$K$363,5,0)," ")</f>
        <v xml:space="preserve"> </v>
      </c>
      <c r="R228" s="100" t="str">
        <f>IFERROR(VLOOKUP(Tablo5[[#This Row],[ÜRÜN KODU]],YMKODLARI!$A$1:$K$363,6,0)," ")</f>
        <v xml:space="preserve"> </v>
      </c>
      <c r="S228" s="100" t="str">
        <f>IFERROR(Tablo5[[#This Row],[YOLLUK HARİÇ BASKI GRAMI]]/Tablo5[[#This Row],[KALIP GÖZ ADEDİ]]," ")</f>
        <v xml:space="preserve"> </v>
      </c>
      <c r="T228" s="100" t="str">
        <f t="shared" si="23"/>
        <v xml:space="preserve"> </v>
      </c>
      <c r="U228" s="100"/>
      <c r="V228" s="100" t="str">
        <f t="shared" si="22"/>
        <v xml:space="preserve"> </v>
      </c>
      <c r="W228" s="101">
        <f t="shared" si="24"/>
        <v>24</v>
      </c>
      <c r="X228" s="102">
        <f t="shared" si="25"/>
        <v>0</v>
      </c>
      <c r="Y228" s="100" t="str">
        <f t="shared" si="26"/>
        <v xml:space="preserve"> </v>
      </c>
      <c r="Z228" s="100" t="str">
        <f t="shared" si="27"/>
        <v xml:space="preserve"> </v>
      </c>
    </row>
    <row r="229" spans="1:26">
      <c r="A229" s="100"/>
      <c r="B229" s="108" t="str">
        <f>IFERROR(VLOOKUP(Tablo5[[#This Row],[ÜRÜN KODU]],YMKODLARI!$A$1:$K$363,2,0)," ")</f>
        <v xml:space="preserve"> </v>
      </c>
      <c r="C229" s="99"/>
      <c r="D229" s="100"/>
      <c r="E229" s="101"/>
      <c r="F229" s="101"/>
      <c r="G229" s="100" t="str">
        <f>IFERROR(VLOOKUP(Tablo5[[#This Row],[ÜRÜN KODU]],YMKODLARI!$A$1:$K$363,3,0)," ")</f>
        <v xml:space="preserve"> </v>
      </c>
      <c r="H229" s="100" t="str">
        <f>IFERROR(VLOOKUP(Tablo5[[#This Row],[ÜRÜN KODU]],YMKODLARI!$A$1:$K$363,4,0)," ")</f>
        <v xml:space="preserve"> </v>
      </c>
      <c r="I229" s="100"/>
      <c r="J229" s="100" t="str">
        <f>IFERROR(VLOOKUP(Tablo5[[#This Row],[ÜRÜN KODU]],YMKODLARI!$A$1:$K$363,9,0)," ")</f>
        <v xml:space="preserve"> </v>
      </c>
      <c r="K229" s="100" t="str">
        <f>IFERROR(VLOOKUP(Tablo5[[#This Row],[BOYA KODU]],Tablo14[#All],4,0)," ")</f>
        <v xml:space="preserve"> </v>
      </c>
      <c r="L229" s="100" t="str">
        <f>IFERROR(VLOOKUP(Tablo5[[#This Row],[BOYA KODU]],Tablo14[#All],6,0)," ")</f>
        <v xml:space="preserve"> </v>
      </c>
      <c r="M229" s="100" t="str">
        <f t="shared" si="21"/>
        <v xml:space="preserve"> </v>
      </c>
      <c r="N229" s="100" t="str">
        <f>IFERROR(VLOOKUP(Tablo5[[#This Row],[ÜRÜN KODU]],YMKODLARI!$A$1:$K$363,8,0)," ")</f>
        <v xml:space="preserve"> </v>
      </c>
      <c r="O229" s="100" t="str">
        <f>IFERROR(VLOOKUP(Tablo5[[#This Row],[HAMMADDE KODU]],Tablo1[#All],3,0)," ")</f>
        <v xml:space="preserve"> </v>
      </c>
      <c r="P229" s="100" t="str">
        <f>IFERROR(VLOOKUP(Tablo5[[#This Row],[HAMMADDE KODU]],Tablo1[#All],4,0)," ")</f>
        <v xml:space="preserve"> </v>
      </c>
      <c r="Q229" s="100" t="str">
        <f>IFERROR(VLOOKUP(Tablo5[[#This Row],[ÜRÜN KODU]],YMKODLARI!$A$1:$K$363,5,0)," ")</f>
        <v xml:space="preserve"> </v>
      </c>
      <c r="R229" s="100" t="str">
        <f>IFERROR(VLOOKUP(Tablo5[[#This Row],[ÜRÜN KODU]],YMKODLARI!$A$1:$K$363,6,0)," ")</f>
        <v xml:space="preserve"> </v>
      </c>
      <c r="S229" s="100" t="str">
        <f>IFERROR(Tablo5[[#This Row],[YOLLUK HARİÇ BASKI GRAMI]]/Tablo5[[#This Row],[KALIP GÖZ ADEDİ]]," ")</f>
        <v xml:space="preserve"> </v>
      </c>
      <c r="T229" s="100" t="str">
        <f t="shared" si="23"/>
        <v xml:space="preserve"> </v>
      </c>
      <c r="U229" s="100"/>
      <c r="V229" s="100" t="str">
        <f t="shared" si="22"/>
        <v xml:space="preserve"> </v>
      </c>
      <c r="W229" s="101">
        <f t="shared" si="24"/>
        <v>24</v>
      </c>
      <c r="X229" s="102">
        <f t="shared" si="25"/>
        <v>0</v>
      </c>
      <c r="Y229" s="100" t="str">
        <f t="shared" si="26"/>
        <v xml:space="preserve"> </v>
      </c>
      <c r="Z229" s="100" t="str">
        <f t="shared" si="27"/>
        <v xml:space="preserve"> </v>
      </c>
    </row>
    <row r="230" spans="1:26">
      <c r="A230" s="100"/>
      <c r="B230" s="108" t="str">
        <f>IFERROR(VLOOKUP(Tablo5[[#This Row],[ÜRÜN KODU]],YMKODLARI!$A$1:$K$363,2,0)," ")</f>
        <v xml:space="preserve"> </v>
      </c>
      <c r="C230" s="99"/>
      <c r="D230" s="100"/>
      <c r="E230" s="101"/>
      <c r="F230" s="101"/>
      <c r="G230" s="100" t="str">
        <f>IFERROR(VLOOKUP(Tablo5[[#This Row],[ÜRÜN KODU]],YMKODLARI!$A$1:$K$363,3,0)," ")</f>
        <v xml:space="preserve"> </v>
      </c>
      <c r="H230" s="100" t="str">
        <f>IFERROR(VLOOKUP(Tablo5[[#This Row],[ÜRÜN KODU]],YMKODLARI!$A$1:$K$363,4,0)," ")</f>
        <v xml:space="preserve"> </v>
      </c>
      <c r="I230" s="100"/>
      <c r="J230" s="100" t="str">
        <f>IFERROR(VLOOKUP(Tablo5[[#This Row],[ÜRÜN KODU]],YMKODLARI!$A$1:$K$363,9,0)," ")</f>
        <v xml:space="preserve"> </v>
      </c>
      <c r="K230" s="100" t="str">
        <f>IFERROR(VLOOKUP(Tablo5[[#This Row],[BOYA KODU]],Tablo14[#All],4,0)," ")</f>
        <v xml:space="preserve"> </v>
      </c>
      <c r="L230" s="100" t="str">
        <f>IFERROR(VLOOKUP(Tablo5[[#This Row],[BOYA KODU]],Tablo14[#All],6,0)," ")</f>
        <v xml:space="preserve"> </v>
      </c>
      <c r="M230" s="100" t="str">
        <f t="shared" si="21"/>
        <v xml:space="preserve"> </v>
      </c>
      <c r="N230" s="100" t="str">
        <f>IFERROR(VLOOKUP(Tablo5[[#This Row],[ÜRÜN KODU]],YMKODLARI!$A$1:$K$363,8,0)," ")</f>
        <v xml:space="preserve"> </v>
      </c>
      <c r="O230" s="100" t="str">
        <f>IFERROR(VLOOKUP(Tablo5[[#This Row],[HAMMADDE KODU]],Tablo1[#All],3,0)," ")</f>
        <v xml:space="preserve"> </v>
      </c>
      <c r="P230" s="100" t="str">
        <f>IFERROR(VLOOKUP(Tablo5[[#This Row],[HAMMADDE KODU]],Tablo1[#All],4,0)," ")</f>
        <v xml:space="preserve"> </v>
      </c>
      <c r="Q230" s="100" t="str">
        <f>IFERROR(VLOOKUP(Tablo5[[#This Row],[ÜRÜN KODU]],YMKODLARI!$A$1:$K$363,5,0)," ")</f>
        <v xml:space="preserve"> </v>
      </c>
      <c r="R230" s="100" t="str">
        <f>IFERROR(VLOOKUP(Tablo5[[#This Row],[ÜRÜN KODU]],YMKODLARI!$A$1:$K$363,6,0)," ")</f>
        <v xml:space="preserve"> </v>
      </c>
      <c r="S230" s="100" t="str">
        <f>IFERROR(Tablo5[[#This Row],[YOLLUK HARİÇ BASKI GRAMI]]/Tablo5[[#This Row],[KALIP GÖZ ADEDİ]]," ")</f>
        <v xml:space="preserve"> </v>
      </c>
      <c r="T230" s="100" t="str">
        <f t="shared" si="23"/>
        <v xml:space="preserve"> </v>
      </c>
      <c r="U230" s="100"/>
      <c r="V230" s="100" t="str">
        <f t="shared" si="22"/>
        <v xml:space="preserve"> </v>
      </c>
      <c r="W230" s="101">
        <f t="shared" si="24"/>
        <v>24</v>
      </c>
      <c r="X230" s="102">
        <f t="shared" si="25"/>
        <v>0</v>
      </c>
      <c r="Y230" s="100" t="str">
        <f t="shared" si="26"/>
        <v xml:space="preserve"> </v>
      </c>
      <c r="Z230" s="100" t="str">
        <f t="shared" si="27"/>
        <v xml:space="preserve"> </v>
      </c>
    </row>
    <row r="231" spans="1:26">
      <c r="A231" s="100"/>
      <c r="B231" s="108" t="str">
        <f>IFERROR(VLOOKUP(Tablo5[[#This Row],[ÜRÜN KODU]],YMKODLARI!$A$1:$K$363,2,0)," ")</f>
        <v xml:space="preserve"> </v>
      </c>
      <c r="C231" s="99"/>
      <c r="D231" s="100"/>
      <c r="E231" s="101"/>
      <c r="F231" s="101"/>
      <c r="G231" s="100" t="str">
        <f>IFERROR(VLOOKUP(Tablo5[[#This Row],[ÜRÜN KODU]],YMKODLARI!$A$1:$K$363,3,0)," ")</f>
        <v xml:space="preserve"> </v>
      </c>
      <c r="H231" s="100" t="str">
        <f>IFERROR(VLOOKUP(Tablo5[[#This Row],[ÜRÜN KODU]],YMKODLARI!$A$1:$K$363,4,0)," ")</f>
        <v xml:space="preserve"> </v>
      </c>
      <c r="I231" s="100"/>
      <c r="J231" s="100" t="str">
        <f>IFERROR(VLOOKUP(Tablo5[[#This Row],[ÜRÜN KODU]],YMKODLARI!$A$1:$K$363,9,0)," ")</f>
        <v xml:space="preserve"> </v>
      </c>
      <c r="K231" s="100" t="str">
        <f>IFERROR(VLOOKUP(Tablo5[[#This Row],[BOYA KODU]],Tablo14[#All],4,0)," ")</f>
        <v xml:space="preserve"> </v>
      </c>
      <c r="L231" s="100" t="str">
        <f>IFERROR(VLOOKUP(Tablo5[[#This Row],[BOYA KODU]],Tablo14[#All],6,0)," ")</f>
        <v xml:space="preserve"> </v>
      </c>
      <c r="M231" s="100" t="str">
        <f t="shared" si="21"/>
        <v xml:space="preserve"> </v>
      </c>
      <c r="N231" s="100" t="str">
        <f>IFERROR(VLOOKUP(Tablo5[[#This Row],[ÜRÜN KODU]],YMKODLARI!$A$1:$K$363,8,0)," ")</f>
        <v xml:space="preserve"> </v>
      </c>
      <c r="O231" s="100" t="str">
        <f>IFERROR(VLOOKUP(Tablo5[[#This Row],[HAMMADDE KODU]],Tablo1[#All],3,0)," ")</f>
        <v xml:space="preserve"> </v>
      </c>
      <c r="P231" s="100" t="str">
        <f>IFERROR(VLOOKUP(Tablo5[[#This Row],[HAMMADDE KODU]],Tablo1[#All],4,0)," ")</f>
        <v xml:space="preserve"> </v>
      </c>
      <c r="Q231" s="100" t="str">
        <f>IFERROR(VLOOKUP(Tablo5[[#This Row],[ÜRÜN KODU]],YMKODLARI!$A$1:$K$363,5,0)," ")</f>
        <v xml:space="preserve"> </v>
      </c>
      <c r="R231" s="100" t="str">
        <f>IFERROR(VLOOKUP(Tablo5[[#This Row],[ÜRÜN KODU]],YMKODLARI!$A$1:$K$363,6,0)," ")</f>
        <v xml:space="preserve"> </v>
      </c>
      <c r="S231" s="100" t="str">
        <f>IFERROR(Tablo5[[#This Row],[YOLLUK HARİÇ BASKI GRAMI]]/Tablo5[[#This Row],[KALIP GÖZ ADEDİ]]," ")</f>
        <v xml:space="preserve"> </v>
      </c>
      <c r="T231" s="100" t="str">
        <f t="shared" si="23"/>
        <v xml:space="preserve"> </v>
      </c>
      <c r="U231" s="100"/>
      <c r="V231" s="100" t="str">
        <f t="shared" si="22"/>
        <v xml:space="preserve"> </v>
      </c>
      <c r="W231" s="101">
        <f t="shared" si="24"/>
        <v>24</v>
      </c>
      <c r="X231" s="102">
        <f t="shared" si="25"/>
        <v>0</v>
      </c>
      <c r="Y231" s="100" t="str">
        <f t="shared" si="26"/>
        <v xml:space="preserve"> </v>
      </c>
      <c r="Z231" s="100" t="str">
        <f t="shared" si="27"/>
        <v xml:space="preserve"> </v>
      </c>
    </row>
    <row r="232" spans="1:26">
      <c r="A232" s="100"/>
      <c r="B232" s="108" t="str">
        <f>IFERROR(VLOOKUP(Tablo5[[#This Row],[ÜRÜN KODU]],YMKODLARI!$A$1:$K$363,2,0)," ")</f>
        <v xml:space="preserve"> </v>
      </c>
      <c r="C232" s="99"/>
      <c r="D232" s="100"/>
      <c r="E232" s="101"/>
      <c r="F232" s="101"/>
      <c r="G232" s="100" t="str">
        <f>IFERROR(VLOOKUP(Tablo5[[#This Row],[ÜRÜN KODU]],YMKODLARI!$A$1:$K$363,3,0)," ")</f>
        <v xml:space="preserve"> </v>
      </c>
      <c r="H232" s="100" t="str">
        <f>IFERROR(VLOOKUP(Tablo5[[#This Row],[ÜRÜN KODU]],YMKODLARI!$A$1:$K$363,4,0)," ")</f>
        <v xml:space="preserve"> </v>
      </c>
      <c r="I232" s="100"/>
      <c r="J232" s="100" t="str">
        <f>IFERROR(VLOOKUP(Tablo5[[#This Row],[ÜRÜN KODU]],YMKODLARI!$A$1:$K$363,9,0)," ")</f>
        <v xml:space="preserve"> </v>
      </c>
      <c r="K232" s="100" t="str">
        <f>IFERROR(VLOOKUP(Tablo5[[#This Row],[BOYA KODU]],Tablo14[#All],4,0)," ")</f>
        <v xml:space="preserve"> </v>
      </c>
      <c r="L232" s="100" t="str">
        <f>IFERROR(VLOOKUP(Tablo5[[#This Row],[BOYA KODU]],Tablo14[#All],6,0)," ")</f>
        <v xml:space="preserve"> </v>
      </c>
      <c r="M232" s="100" t="str">
        <f t="shared" si="21"/>
        <v xml:space="preserve"> </v>
      </c>
      <c r="N232" s="100" t="str">
        <f>IFERROR(VLOOKUP(Tablo5[[#This Row],[ÜRÜN KODU]],YMKODLARI!$A$1:$K$363,8,0)," ")</f>
        <v xml:space="preserve"> </v>
      </c>
      <c r="O232" s="100" t="str">
        <f>IFERROR(VLOOKUP(Tablo5[[#This Row],[HAMMADDE KODU]],Tablo1[#All],3,0)," ")</f>
        <v xml:space="preserve"> </v>
      </c>
      <c r="P232" s="100" t="str">
        <f>IFERROR(VLOOKUP(Tablo5[[#This Row],[HAMMADDE KODU]],Tablo1[#All],4,0)," ")</f>
        <v xml:space="preserve"> </v>
      </c>
      <c r="Q232" s="100" t="str">
        <f>IFERROR(VLOOKUP(Tablo5[[#This Row],[ÜRÜN KODU]],YMKODLARI!$A$1:$K$363,5,0)," ")</f>
        <v xml:space="preserve"> </v>
      </c>
      <c r="R232" s="100" t="str">
        <f>IFERROR(VLOOKUP(Tablo5[[#This Row],[ÜRÜN KODU]],YMKODLARI!$A$1:$K$363,6,0)," ")</f>
        <v xml:space="preserve"> </v>
      </c>
      <c r="S232" s="100" t="str">
        <f>IFERROR(Tablo5[[#This Row],[YOLLUK HARİÇ BASKI GRAMI]]/Tablo5[[#This Row],[KALIP GÖZ ADEDİ]]," ")</f>
        <v xml:space="preserve"> </v>
      </c>
      <c r="T232" s="100" t="str">
        <f t="shared" si="23"/>
        <v xml:space="preserve"> </v>
      </c>
      <c r="U232" s="100"/>
      <c r="V232" s="100" t="str">
        <f t="shared" si="22"/>
        <v xml:space="preserve"> </v>
      </c>
      <c r="W232" s="101">
        <f t="shared" si="24"/>
        <v>24</v>
      </c>
      <c r="X232" s="102">
        <f t="shared" si="25"/>
        <v>0</v>
      </c>
      <c r="Y232" s="100" t="str">
        <f t="shared" si="26"/>
        <v xml:space="preserve"> </v>
      </c>
      <c r="Z232" s="100" t="str">
        <f t="shared" si="27"/>
        <v xml:space="preserve"> </v>
      </c>
    </row>
    <row r="233" spans="1:26">
      <c r="A233" s="100"/>
      <c r="B233" s="108" t="str">
        <f>IFERROR(VLOOKUP(Tablo5[[#This Row],[ÜRÜN KODU]],YMKODLARI!$A$1:$K$363,2,0)," ")</f>
        <v xml:space="preserve"> </v>
      </c>
      <c r="C233" s="99"/>
      <c r="D233" s="100"/>
      <c r="E233" s="101"/>
      <c r="F233" s="101"/>
      <c r="G233" s="100" t="str">
        <f>IFERROR(VLOOKUP(Tablo5[[#This Row],[ÜRÜN KODU]],YMKODLARI!$A$1:$K$363,3,0)," ")</f>
        <v xml:space="preserve"> </v>
      </c>
      <c r="H233" s="100" t="str">
        <f>IFERROR(VLOOKUP(Tablo5[[#This Row],[ÜRÜN KODU]],YMKODLARI!$A$1:$K$363,4,0)," ")</f>
        <v xml:space="preserve"> </v>
      </c>
      <c r="I233" s="100"/>
      <c r="J233" s="100" t="str">
        <f>IFERROR(VLOOKUP(Tablo5[[#This Row],[ÜRÜN KODU]],YMKODLARI!$A$1:$K$363,9,0)," ")</f>
        <v xml:space="preserve"> </v>
      </c>
      <c r="K233" s="100" t="str">
        <f>IFERROR(VLOOKUP(Tablo5[[#This Row],[BOYA KODU]],Tablo14[#All],4,0)," ")</f>
        <v xml:space="preserve"> </v>
      </c>
      <c r="L233" s="100" t="str">
        <f>IFERROR(VLOOKUP(Tablo5[[#This Row],[BOYA KODU]],Tablo14[#All],6,0)," ")</f>
        <v xml:space="preserve"> </v>
      </c>
      <c r="M233" s="100" t="str">
        <f t="shared" si="21"/>
        <v xml:space="preserve"> </v>
      </c>
      <c r="N233" s="100" t="str">
        <f>IFERROR(VLOOKUP(Tablo5[[#This Row],[ÜRÜN KODU]],YMKODLARI!$A$1:$K$363,8,0)," ")</f>
        <v xml:space="preserve"> </v>
      </c>
      <c r="O233" s="100" t="str">
        <f>IFERROR(VLOOKUP(Tablo5[[#This Row],[HAMMADDE KODU]],Tablo1[#All],3,0)," ")</f>
        <v xml:space="preserve"> </v>
      </c>
      <c r="P233" s="100" t="str">
        <f>IFERROR(VLOOKUP(Tablo5[[#This Row],[HAMMADDE KODU]],Tablo1[#All],4,0)," ")</f>
        <v xml:space="preserve"> </v>
      </c>
      <c r="Q233" s="100" t="str">
        <f>IFERROR(VLOOKUP(Tablo5[[#This Row],[ÜRÜN KODU]],YMKODLARI!$A$1:$K$363,5,0)," ")</f>
        <v xml:space="preserve"> </v>
      </c>
      <c r="R233" s="100" t="str">
        <f>IFERROR(VLOOKUP(Tablo5[[#This Row],[ÜRÜN KODU]],YMKODLARI!$A$1:$K$363,6,0)," ")</f>
        <v xml:space="preserve"> </v>
      </c>
      <c r="S233" s="100" t="str">
        <f>IFERROR(Tablo5[[#This Row],[YOLLUK HARİÇ BASKI GRAMI]]/Tablo5[[#This Row],[KALIP GÖZ ADEDİ]]," ")</f>
        <v xml:space="preserve"> </v>
      </c>
      <c r="T233" s="100" t="str">
        <f t="shared" si="23"/>
        <v xml:space="preserve"> </v>
      </c>
      <c r="U233" s="100"/>
      <c r="V233" s="100" t="str">
        <f t="shared" si="22"/>
        <v xml:space="preserve"> </v>
      </c>
      <c r="W233" s="101">
        <f t="shared" si="24"/>
        <v>24</v>
      </c>
      <c r="X233" s="102">
        <f t="shared" si="25"/>
        <v>0</v>
      </c>
      <c r="Y233" s="100" t="str">
        <f t="shared" si="26"/>
        <v xml:space="preserve"> </v>
      </c>
      <c r="Z233" s="100" t="str">
        <f t="shared" si="27"/>
        <v xml:space="preserve"> </v>
      </c>
    </row>
    <row r="234" spans="1:26">
      <c r="A234" s="100"/>
      <c r="B234" s="108" t="str">
        <f>IFERROR(VLOOKUP(Tablo5[[#This Row],[ÜRÜN KODU]],YMKODLARI!$A$1:$K$363,2,0)," ")</f>
        <v xml:space="preserve"> </v>
      </c>
      <c r="C234" s="99"/>
      <c r="D234" s="100"/>
      <c r="E234" s="101"/>
      <c r="F234" s="101"/>
      <c r="G234" s="100" t="str">
        <f>IFERROR(VLOOKUP(Tablo5[[#This Row],[ÜRÜN KODU]],YMKODLARI!$A$1:$K$363,3,0)," ")</f>
        <v xml:space="preserve"> </v>
      </c>
      <c r="H234" s="100" t="str">
        <f>IFERROR(VLOOKUP(Tablo5[[#This Row],[ÜRÜN KODU]],YMKODLARI!$A$1:$K$363,4,0)," ")</f>
        <v xml:space="preserve"> </v>
      </c>
      <c r="I234" s="100"/>
      <c r="J234" s="100" t="str">
        <f>IFERROR(VLOOKUP(Tablo5[[#This Row],[ÜRÜN KODU]],YMKODLARI!$A$1:$K$363,9,0)," ")</f>
        <v xml:space="preserve"> </v>
      </c>
      <c r="K234" s="100" t="str">
        <f>IFERROR(VLOOKUP(Tablo5[[#This Row],[BOYA KODU]],Tablo14[#All],4,0)," ")</f>
        <v xml:space="preserve"> </v>
      </c>
      <c r="L234" s="100" t="str">
        <f>IFERROR(VLOOKUP(Tablo5[[#This Row],[BOYA KODU]],Tablo14[#All],6,0)," ")</f>
        <v xml:space="preserve"> </v>
      </c>
      <c r="M234" s="100" t="str">
        <f t="shared" si="21"/>
        <v xml:space="preserve"> </v>
      </c>
      <c r="N234" s="100" t="str">
        <f>IFERROR(VLOOKUP(Tablo5[[#This Row],[ÜRÜN KODU]],YMKODLARI!$A$1:$K$363,8,0)," ")</f>
        <v xml:space="preserve"> </v>
      </c>
      <c r="O234" s="100" t="str">
        <f>IFERROR(VLOOKUP(Tablo5[[#This Row],[HAMMADDE KODU]],Tablo1[#All],3,0)," ")</f>
        <v xml:space="preserve"> </v>
      </c>
      <c r="P234" s="100" t="str">
        <f>IFERROR(VLOOKUP(Tablo5[[#This Row],[HAMMADDE KODU]],Tablo1[#All],4,0)," ")</f>
        <v xml:space="preserve"> </v>
      </c>
      <c r="Q234" s="100" t="str">
        <f>IFERROR(VLOOKUP(Tablo5[[#This Row],[ÜRÜN KODU]],YMKODLARI!$A$1:$K$363,5,0)," ")</f>
        <v xml:space="preserve"> </v>
      </c>
      <c r="R234" s="100" t="str">
        <f>IFERROR(VLOOKUP(Tablo5[[#This Row],[ÜRÜN KODU]],YMKODLARI!$A$1:$K$363,6,0)," ")</f>
        <v xml:space="preserve"> </v>
      </c>
      <c r="S234" s="100" t="str">
        <f>IFERROR(Tablo5[[#This Row],[YOLLUK HARİÇ BASKI GRAMI]]/Tablo5[[#This Row],[KALIP GÖZ ADEDİ]]," ")</f>
        <v xml:space="preserve"> </v>
      </c>
      <c r="T234" s="100" t="str">
        <f t="shared" si="23"/>
        <v xml:space="preserve"> </v>
      </c>
      <c r="U234" s="100"/>
      <c r="V234" s="100" t="str">
        <f t="shared" si="22"/>
        <v xml:space="preserve"> </v>
      </c>
      <c r="W234" s="101">
        <f t="shared" si="24"/>
        <v>24</v>
      </c>
      <c r="X234" s="102">
        <f t="shared" si="25"/>
        <v>0</v>
      </c>
      <c r="Y234" s="100" t="str">
        <f t="shared" si="26"/>
        <v xml:space="preserve"> </v>
      </c>
      <c r="Z234" s="100" t="str">
        <f t="shared" si="27"/>
        <v xml:space="preserve"> </v>
      </c>
    </row>
    <row r="235" spans="1:26">
      <c r="A235" s="100"/>
      <c r="B235" s="108" t="str">
        <f>IFERROR(VLOOKUP(Tablo5[[#This Row],[ÜRÜN KODU]],YMKODLARI!$A$1:$K$363,2,0)," ")</f>
        <v xml:space="preserve"> </v>
      </c>
      <c r="C235" s="99"/>
      <c r="D235" s="100"/>
      <c r="E235" s="101"/>
      <c r="F235" s="101"/>
      <c r="G235" s="100" t="str">
        <f>IFERROR(VLOOKUP(Tablo5[[#This Row],[ÜRÜN KODU]],YMKODLARI!$A$1:$K$363,3,0)," ")</f>
        <v xml:space="preserve"> </v>
      </c>
      <c r="H235" s="100" t="str">
        <f>IFERROR(VLOOKUP(Tablo5[[#This Row],[ÜRÜN KODU]],YMKODLARI!$A$1:$K$363,4,0)," ")</f>
        <v xml:space="preserve"> </v>
      </c>
      <c r="I235" s="100"/>
      <c r="J235" s="100" t="str">
        <f>IFERROR(VLOOKUP(Tablo5[[#This Row],[ÜRÜN KODU]],YMKODLARI!$A$1:$K$363,9,0)," ")</f>
        <v xml:space="preserve"> </v>
      </c>
      <c r="K235" s="100" t="str">
        <f>IFERROR(VLOOKUP(Tablo5[[#This Row],[BOYA KODU]],Tablo14[#All],4,0)," ")</f>
        <v xml:space="preserve"> </v>
      </c>
      <c r="L235" s="100" t="str">
        <f>IFERROR(VLOOKUP(Tablo5[[#This Row],[BOYA KODU]],Tablo14[#All],6,0)," ")</f>
        <v xml:space="preserve"> </v>
      </c>
      <c r="M235" s="100" t="str">
        <f t="shared" si="21"/>
        <v xml:space="preserve"> </v>
      </c>
      <c r="N235" s="100" t="str">
        <f>IFERROR(VLOOKUP(Tablo5[[#This Row],[ÜRÜN KODU]],YMKODLARI!$A$1:$K$363,8,0)," ")</f>
        <v xml:space="preserve"> </v>
      </c>
      <c r="O235" s="100" t="str">
        <f>IFERROR(VLOOKUP(Tablo5[[#This Row],[HAMMADDE KODU]],Tablo1[#All],3,0)," ")</f>
        <v xml:space="preserve"> </v>
      </c>
      <c r="P235" s="100" t="str">
        <f>IFERROR(VLOOKUP(Tablo5[[#This Row],[HAMMADDE KODU]],Tablo1[#All],4,0)," ")</f>
        <v xml:space="preserve"> </v>
      </c>
      <c r="Q235" s="100" t="str">
        <f>IFERROR(VLOOKUP(Tablo5[[#This Row],[ÜRÜN KODU]],YMKODLARI!$A$1:$K$363,5,0)," ")</f>
        <v xml:space="preserve"> </v>
      </c>
      <c r="R235" s="100" t="str">
        <f>IFERROR(VLOOKUP(Tablo5[[#This Row],[ÜRÜN KODU]],YMKODLARI!$A$1:$K$363,6,0)," ")</f>
        <v xml:space="preserve"> </v>
      </c>
      <c r="S235" s="100" t="str">
        <f>IFERROR(Tablo5[[#This Row],[YOLLUK HARİÇ BASKI GRAMI]]/Tablo5[[#This Row],[KALIP GÖZ ADEDİ]]," ")</f>
        <v xml:space="preserve"> </v>
      </c>
      <c r="T235" s="100" t="str">
        <f t="shared" si="23"/>
        <v xml:space="preserve"> </v>
      </c>
      <c r="U235" s="100"/>
      <c r="V235" s="100" t="str">
        <f t="shared" si="22"/>
        <v xml:space="preserve"> </v>
      </c>
      <c r="W235" s="101">
        <f t="shared" si="24"/>
        <v>24</v>
      </c>
      <c r="X235" s="102">
        <f t="shared" si="25"/>
        <v>0</v>
      </c>
      <c r="Y235" s="100" t="str">
        <f t="shared" si="26"/>
        <v xml:space="preserve"> </v>
      </c>
      <c r="Z235" s="100" t="str">
        <f t="shared" si="27"/>
        <v xml:space="preserve"> </v>
      </c>
    </row>
    <row r="236" spans="1:26">
      <c r="A236" s="100"/>
      <c r="B236" s="108" t="str">
        <f>IFERROR(VLOOKUP(Tablo5[[#This Row],[ÜRÜN KODU]],YMKODLARI!$A$1:$K$363,2,0)," ")</f>
        <v xml:space="preserve"> </v>
      </c>
      <c r="C236" s="99"/>
      <c r="D236" s="100"/>
      <c r="E236" s="101"/>
      <c r="F236" s="101"/>
      <c r="G236" s="100" t="str">
        <f>IFERROR(VLOOKUP(Tablo5[[#This Row],[ÜRÜN KODU]],YMKODLARI!$A$1:$K$363,3,0)," ")</f>
        <v xml:space="preserve"> </v>
      </c>
      <c r="H236" s="100" t="str">
        <f>IFERROR(VLOOKUP(Tablo5[[#This Row],[ÜRÜN KODU]],YMKODLARI!$A$1:$K$363,4,0)," ")</f>
        <v xml:space="preserve"> </v>
      </c>
      <c r="I236" s="100"/>
      <c r="J236" s="100" t="str">
        <f>IFERROR(VLOOKUP(Tablo5[[#This Row],[ÜRÜN KODU]],YMKODLARI!$A$1:$K$363,9,0)," ")</f>
        <v xml:space="preserve"> </v>
      </c>
      <c r="K236" s="100" t="str">
        <f>IFERROR(VLOOKUP(Tablo5[[#This Row],[BOYA KODU]],Tablo14[#All],4,0)," ")</f>
        <v xml:space="preserve"> </v>
      </c>
      <c r="L236" s="100" t="str">
        <f>IFERROR(VLOOKUP(Tablo5[[#This Row],[BOYA KODU]],Tablo14[#All],6,0)," ")</f>
        <v xml:space="preserve"> </v>
      </c>
      <c r="M236" s="100" t="str">
        <f t="shared" si="21"/>
        <v xml:space="preserve"> </v>
      </c>
      <c r="N236" s="100" t="str">
        <f>IFERROR(VLOOKUP(Tablo5[[#This Row],[ÜRÜN KODU]],YMKODLARI!$A$1:$K$363,8,0)," ")</f>
        <v xml:space="preserve"> </v>
      </c>
      <c r="O236" s="100" t="str">
        <f>IFERROR(VLOOKUP(Tablo5[[#This Row],[HAMMADDE KODU]],Tablo1[#All],3,0)," ")</f>
        <v xml:space="preserve"> </v>
      </c>
      <c r="P236" s="100" t="str">
        <f>IFERROR(VLOOKUP(Tablo5[[#This Row],[HAMMADDE KODU]],Tablo1[#All],4,0)," ")</f>
        <v xml:space="preserve"> </v>
      </c>
      <c r="Q236" s="100" t="str">
        <f>IFERROR(VLOOKUP(Tablo5[[#This Row],[ÜRÜN KODU]],YMKODLARI!$A$1:$K$363,5,0)," ")</f>
        <v xml:space="preserve"> </v>
      </c>
      <c r="R236" s="100" t="str">
        <f>IFERROR(VLOOKUP(Tablo5[[#This Row],[ÜRÜN KODU]],YMKODLARI!$A$1:$K$363,6,0)," ")</f>
        <v xml:space="preserve"> </v>
      </c>
      <c r="S236" s="100" t="str">
        <f>IFERROR(Tablo5[[#This Row],[YOLLUK HARİÇ BASKI GRAMI]]/Tablo5[[#This Row],[KALIP GÖZ ADEDİ]]," ")</f>
        <v xml:space="preserve"> </v>
      </c>
      <c r="T236" s="100" t="str">
        <f t="shared" si="23"/>
        <v xml:space="preserve"> </v>
      </c>
      <c r="U236" s="100"/>
      <c r="V236" s="100" t="str">
        <f t="shared" si="22"/>
        <v xml:space="preserve"> </v>
      </c>
      <c r="W236" s="101">
        <f t="shared" si="24"/>
        <v>24</v>
      </c>
      <c r="X236" s="102">
        <f t="shared" si="25"/>
        <v>0</v>
      </c>
      <c r="Y236" s="100" t="str">
        <f t="shared" si="26"/>
        <v xml:space="preserve"> </v>
      </c>
      <c r="Z236" s="100" t="str">
        <f t="shared" si="27"/>
        <v xml:space="preserve"> </v>
      </c>
    </row>
    <row r="237" spans="1:26">
      <c r="A237" s="100"/>
      <c r="B237" s="108" t="str">
        <f>IFERROR(VLOOKUP(Tablo5[[#This Row],[ÜRÜN KODU]],YMKODLARI!$A$1:$K$363,2,0)," ")</f>
        <v xml:space="preserve"> </v>
      </c>
      <c r="C237" s="99"/>
      <c r="D237" s="100"/>
      <c r="E237" s="101"/>
      <c r="F237" s="101"/>
      <c r="G237" s="100" t="str">
        <f>IFERROR(VLOOKUP(Tablo5[[#This Row],[ÜRÜN KODU]],YMKODLARI!$A$1:$K$363,3,0)," ")</f>
        <v xml:space="preserve"> </v>
      </c>
      <c r="H237" s="100" t="str">
        <f>IFERROR(VLOOKUP(Tablo5[[#This Row],[ÜRÜN KODU]],YMKODLARI!$A$1:$K$363,4,0)," ")</f>
        <v xml:space="preserve"> </v>
      </c>
      <c r="I237" s="100"/>
      <c r="J237" s="100" t="str">
        <f>IFERROR(VLOOKUP(Tablo5[[#This Row],[ÜRÜN KODU]],YMKODLARI!$A$1:$K$363,9,0)," ")</f>
        <v xml:space="preserve"> </v>
      </c>
      <c r="K237" s="100" t="str">
        <f>IFERROR(VLOOKUP(Tablo5[[#This Row],[BOYA KODU]],Tablo14[#All],4,0)," ")</f>
        <v xml:space="preserve"> </v>
      </c>
      <c r="L237" s="100" t="str">
        <f>IFERROR(VLOOKUP(Tablo5[[#This Row],[BOYA KODU]],Tablo14[#All],6,0)," ")</f>
        <v xml:space="preserve"> </v>
      </c>
      <c r="M237" s="100" t="str">
        <f t="shared" si="21"/>
        <v xml:space="preserve"> </v>
      </c>
      <c r="N237" s="100" t="str">
        <f>IFERROR(VLOOKUP(Tablo5[[#This Row],[ÜRÜN KODU]],YMKODLARI!$A$1:$K$363,8,0)," ")</f>
        <v xml:space="preserve"> </v>
      </c>
      <c r="O237" s="100" t="str">
        <f>IFERROR(VLOOKUP(Tablo5[[#This Row],[HAMMADDE KODU]],Tablo1[#All],3,0)," ")</f>
        <v xml:space="preserve"> </v>
      </c>
      <c r="P237" s="100" t="str">
        <f>IFERROR(VLOOKUP(Tablo5[[#This Row],[HAMMADDE KODU]],Tablo1[#All],4,0)," ")</f>
        <v xml:space="preserve"> </v>
      </c>
      <c r="Q237" s="100" t="str">
        <f>IFERROR(VLOOKUP(Tablo5[[#This Row],[ÜRÜN KODU]],YMKODLARI!$A$1:$K$363,5,0)," ")</f>
        <v xml:space="preserve"> </v>
      </c>
      <c r="R237" s="100" t="str">
        <f>IFERROR(VLOOKUP(Tablo5[[#This Row],[ÜRÜN KODU]],YMKODLARI!$A$1:$K$363,6,0)," ")</f>
        <v xml:space="preserve"> </v>
      </c>
      <c r="S237" s="100" t="str">
        <f>IFERROR(Tablo5[[#This Row],[YOLLUK HARİÇ BASKI GRAMI]]/Tablo5[[#This Row],[KALIP GÖZ ADEDİ]]," ")</f>
        <v xml:space="preserve"> </v>
      </c>
      <c r="T237" s="100" t="str">
        <f t="shared" si="23"/>
        <v xml:space="preserve"> </v>
      </c>
      <c r="U237" s="100"/>
      <c r="V237" s="100" t="str">
        <f t="shared" si="22"/>
        <v xml:space="preserve"> </v>
      </c>
      <c r="W237" s="101">
        <f t="shared" si="24"/>
        <v>24</v>
      </c>
      <c r="X237" s="102">
        <f t="shared" si="25"/>
        <v>0</v>
      </c>
      <c r="Y237" s="100" t="str">
        <f t="shared" si="26"/>
        <v xml:space="preserve"> </v>
      </c>
      <c r="Z237" s="100" t="str">
        <f t="shared" si="27"/>
        <v xml:space="preserve"> </v>
      </c>
    </row>
    <row r="238" spans="1:26">
      <c r="A238" s="100"/>
      <c r="B238" s="108" t="str">
        <f>IFERROR(VLOOKUP(Tablo5[[#This Row],[ÜRÜN KODU]],YMKODLARI!$A$1:$K$363,2,0)," ")</f>
        <v xml:space="preserve"> </v>
      </c>
      <c r="C238" s="99"/>
      <c r="D238" s="100"/>
      <c r="E238" s="101"/>
      <c r="F238" s="101"/>
      <c r="G238" s="100" t="str">
        <f>IFERROR(VLOOKUP(Tablo5[[#This Row],[ÜRÜN KODU]],YMKODLARI!$A$1:$K$363,3,0)," ")</f>
        <v xml:space="preserve"> </v>
      </c>
      <c r="H238" s="100" t="str">
        <f>IFERROR(VLOOKUP(Tablo5[[#This Row],[ÜRÜN KODU]],YMKODLARI!$A$1:$K$363,4,0)," ")</f>
        <v xml:space="preserve"> </v>
      </c>
      <c r="I238" s="100"/>
      <c r="J238" s="100" t="str">
        <f>IFERROR(VLOOKUP(Tablo5[[#This Row],[ÜRÜN KODU]],YMKODLARI!$A$1:$K$363,9,0)," ")</f>
        <v xml:space="preserve"> </v>
      </c>
      <c r="K238" s="100" t="str">
        <f>IFERROR(VLOOKUP(Tablo5[[#This Row],[BOYA KODU]],Tablo14[#All],4,0)," ")</f>
        <v xml:space="preserve"> </v>
      </c>
      <c r="L238" s="100" t="str">
        <f>IFERROR(VLOOKUP(Tablo5[[#This Row],[BOYA KODU]],Tablo14[#All],6,0)," ")</f>
        <v xml:space="preserve"> </v>
      </c>
      <c r="M238" s="100" t="str">
        <f t="shared" si="21"/>
        <v xml:space="preserve"> </v>
      </c>
      <c r="N238" s="100" t="str">
        <f>IFERROR(VLOOKUP(Tablo5[[#This Row],[ÜRÜN KODU]],YMKODLARI!$A$1:$K$363,8,0)," ")</f>
        <v xml:space="preserve"> </v>
      </c>
      <c r="O238" s="100" t="str">
        <f>IFERROR(VLOOKUP(Tablo5[[#This Row],[HAMMADDE KODU]],Tablo1[#All],3,0)," ")</f>
        <v xml:space="preserve"> </v>
      </c>
      <c r="P238" s="100" t="str">
        <f>IFERROR(VLOOKUP(Tablo5[[#This Row],[HAMMADDE KODU]],Tablo1[#All],4,0)," ")</f>
        <v xml:space="preserve"> </v>
      </c>
      <c r="Q238" s="100" t="str">
        <f>IFERROR(VLOOKUP(Tablo5[[#This Row],[ÜRÜN KODU]],YMKODLARI!$A$1:$K$363,5,0)," ")</f>
        <v xml:space="preserve"> </v>
      </c>
      <c r="R238" s="100" t="str">
        <f>IFERROR(VLOOKUP(Tablo5[[#This Row],[ÜRÜN KODU]],YMKODLARI!$A$1:$K$363,6,0)," ")</f>
        <v xml:space="preserve"> </v>
      </c>
      <c r="S238" s="100" t="str">
        <f>IFERROR(Tablo5[[#This Row],[YOLLUK HARİÇ BASKI GRAMI]]/Tablo5[[#This Row],[KALIP GÖZ ADEDİ]]," ")</f>
        <v xml:space="preserve"> </v>
      </c>
      <c r="T238" s="100" t="str">
        <f t="shared" si="23"/>
        <v xml:space="preserve"> </v>
      </c>
      <c r="U238" s="100"/>
      <c r="V238" s="100" t="str">
        <f t="shared" si="22"/>
        <v xml:space="preserve"> </v>
      </c>
      <c r="W238" s="101">
        <f t="shared" si="24"/>
        <v>24</v>
      </c>
      <c r="X238" s="102">
        <f t="shared" si="25"/>
        <v>0</v>
      </c>
      <c r="Y238" s="100" t="str">
        <f t="shared" si="26"/>
        <v xml:space="preserve"> </v>
      </c>
      <c r="Z238" s="100" t="str">
        <f t="shared" si="27"/>
        <v xml:space="preserve"> </v>
      </c>
    </row>
    <row r="239" spans="1:26">
      <c r="A239" s="100"/>
      <c r="B239" s="108" t="str">
        <f>IFERROR(VLOOKUP(Tablo5[[#This Row],[ÜRÜN KODU]],YMKODLARI!$A$1:$K$363,2,0)," ")</f>
        <v xml:space="preserve"> </v>
      </c>
      <c r="C239" s="99"/>
      <c r="D239" s="100"/>
      <c r="E239" s="101"/>
      <c r="F239" s="101"/>
      <c r="G239" s="100" t="str">
        <f>IFERROR(VLOOKUP(Tablo5[[#This Row],[ÜRÜN KODU]],YMKODLARI!$A$1:$K$363,3,0)," ")</f>
        <v xml:space="preserve"> </v>
      </c>
      <c r="H239" s="100" t="str">
        <f>IFERROR(VLOOKUP(Tablo5[[#This Row],[ÜRÜN KODU]],YMKODLARI!$A$1:$K$363,4,0)," ")</f>
        <v xml:space="preserve"> </v>
      </c>
      <c r="I239" s="100"/>
      <c r="J239" s="100" t="str">
        <f>IFERROR(VLOOKUP(Tablo5[[#This Row],[ÜRÜN KODU]],YMKODLARI!$A$1:$K$363,9,0)," ")</f>
        <v xml:space="preserve"> </v>
      </c>
      <c r="K239" s="100" t="str">
        <f>IFERROR(VLOOKUP(Tablo5[[#This Row],[BOYA KODU]],Tablo14[#All],4,0)," ")</f>
        <v xml:space="preserve"> </v>
      </c>
      <c r="L239" s="100" t="str">
        <f>IFERROR(VLOOKUP(Tablo5[[#This Row],[BOYA KODU]],Tablo14[#All],6,0)," ")</f>
        <v xml:space="preserve"> </v>
      </c>
      <c r="M239" s="100" t="str">
        <f t="shared" si="21"/>
        <v xml:space="preserve"> </v>
      </c>
      <c r="N239" s="100" t="str">
        <f>IFERROR(VLOOKUP(Tablo5[[#This Row],[ÜRÜN KODU]],YMKODLARI!$A$1:$K$363,8,0)," ")</f>
        <v xml:space="preserve"> </v>
      </c>
      <c r="O239" s="100" t="str">
        <f>IFERROR(VLOOKUP(Tablo5[[#This Row],[HAMMADDE KODU]],Tablo1[#All],3,0)," ")</f>
        <v xml:space="preserve"> </v>
      </c>
      <c r="P239" s="100" t="str">
        <f>IFERROR(VLOOKUP(Tablo5[[#This Row],[HAMMADDE KODU]],Tablo1[#All],4,0)," ")</f>
        <v xml:space="preserve"> </v>
      </c>
      <c r="Q239" s="100" t="str">
        <f>IFERROR(VLOOKUP(Tablo5[[#This Row],[ÜRÜN KODU]],YMKODLARI!$A$1:$K$363,5,0)," ")</f>
        <v xml:space="preserve"> </v>
      </c>
      <c r="R239" s="100" t="str">
        <f>IFERROR(VLOOKUP(Tablo5[[#This Row],[ÜRÜN KODU]],YMKODLARI!$A$1:$K$363,6,0)," ")</f>
        <v xml:space="preserve"> </v>
      </c>
      <c r="S239" s="100" t="str">
        <f>IFERROR(Tablo5[[#This Row],[YOLLUK HARİÇ BASKI GRAMI]]/Tablo5[[#This Row],[KALIP GÖZ ADEDİ]]," ")</f>
        <v xml:space="preserve"> </v>
      </c>
      <c r="T239" s="100" t="str">
        <f t="shared" si="23"/>
        <v xml:space="preserve"> </v>
      </c>
      <c r="U239" s="100"/>
      <c r="V239" s="100" t="str">
        <f t="shared" si="22"/>
        <v xml:space="preserve"> </v>
      </c>
      <c r="W239" s="101">
        <f t="shared" si="24"/>
        <v>24</v>
      </c>
      <c r="X239" s="102">
        <f t="shared" si="25"/>
        <v>0</v>
      </c>
      <c r="Y239" s="100" t="str">
        <f t="shared" si="26"/>
        <v xml:space="preserve"> </v>
      </c>
      <c r="Z239" s="100" t="str">
        <f t="shared" si="27"/>
        <v xml:space="preserve"> </v>
      </c>
    </row>
    <row r="240" spans="1:26">
      <c r="A240" s="100"/>
      <c r="B240" s="108" t="str">
        <f>IFERROR(VLOOKUP(Tablo5[[#This Row],[ÜRÜN KODU]],YMKODLARI!$A$1:$K$363,2,0)," ")</f>
        <v xml:space="preserve"> </v>
      </c>
      <c r="C240" s="99"/>
      <c r="D240" s="100"/>
      <c r="E240" s="101"/>
      <c r="F240" s="101"/>
      <c r="G240" s="100" t="str">
        <f>IFERROR(VLOOKUP(Tablo5[[#This Row],[ÜRÜN KODU]],YMKODLARI!$A$1:$K$363,3,0)," ")</f>
        <v xml:space="preserve"> </v>
      </c>
      <c r="H240" s="100" t="str">
        <f>IFERROR(VLOOKUP(Tablo5[[#This Row],[ÜRÜN KODU]],YMKODLARI!$A$1:$K$363,4,0)," ")</f>
        <v xml:space="preserve"> </v>
      </c>
      <c r="I240" s="100"/>
      <c r="J240" s="100" t="str">
        <f>IFERROR(VLOOKUP(Tablo5[[#This Row],[ÜRÜN KODU]],YMKODLARI!$A$1:$K$363,9,0)," ")</f>
        <v xml:space="preserve"> </v>
      </c>
      <c r="K240" s="100" t="str">
        <f>IFERROR(VLOOKUP(Tablo5[[#This Row],[BOYA KODU]],Tablo14[#All],4,0)," ")</f>
        <v xml:space="preserve"> </v>
      </c>
      <c r="L240" s="100" t="str">
        <f>IFERROR(VLOOKUP(Tablo5[[#This Row],[BOYA KODU]],Tablo14[#All],6,0)," ")</f>
        <v xml:space="preserve"> </v>
      </c>
      <c r="M240" s="100" t="str">
        <f t="shared" si="21"/>
        <v xml:space="preserve"> </v>
      </c>
      <c r="N240" s="100" t="str">
        <f>IFERROR(VLOOKUP(Tablo5[[#This Row],[ÜRÜN KODU]],YMKODLARI!$A$1:$K$363,8,0)," ")</f>
        <v xml:space="preserve"> </v>
      </c>
      <c r="O240" s="100" t="str">
        <f>IFERROR(VLOOKUP(Tablo5[[#This Row],[HAMMADDE KODU]],Tablo1[#All],3,0)," ")</f>
        <v xml:space="preserve"> </v>
      </c>
      <c r="P240" s="100" t="str">
        <f>IFERROR(VLOOKUP(Tablo5[[#This Row],[HAMMADDE KODU]],Tablo1[#All],4,0)," ")</f>
        <v xml:space="preserve"> </v>
      </c>
      <c r="Q240" s="100" t="str">
        <f>IFERROR(VLOOKUP(Tablo5[[#This Row],[ÜRÜN KODU]],YMKODLARI!$A$1:$K$363,5,0)," ")</f>
        <v xml:space="preserve"> </v>
      </c>
      <c r="R240" s="100" t="str">
        <f>IFERROR(VLOOKUP(Tablo5[[#This Row],[ÜRÜN KODU]],YMKODLARI!$A$1:$K$363,6,0)," ")</f>
        <v xml:space="preserve"> </v>
      </c>
      <c r="S240" s="100" t="str">
        <f>IFERROR(Tablo5[[#This Row],[YOLLUK HARİÇ BASKI GRAMI]]/Tablo5[[#This Row],[KALIP GÖZ ADEDİ]]," ")</f>
        <v xml:space="preserve"> </v>
      </c>
      <c r="T240" s="100" t="str">
        <f t="shared" si="23"/>
        <v xml:space="preserve"> </v>
      </c>
      <c r="U240" s="100"/>
      <c r="V240" s="100" t="str">
        <f t="shared" si="22"/>
        <v xml:space="preserve"> </v>
      </c>
      <c r="W240" s="101">
        <f t="shared" si="24"/>
        <v>24</v>
      </c>
      <c r="X240" s="102">
        <f t="shared" si="25"/>
        <v>0</v>
      </c>
      <c r="Y240" s="100" t="str">
        <f t="shared" si="26"/>
        <v xml:space="preserve"> </v>
      </c>
      <c r="Z240" s="100" t="str">
        <f t="shared" si="27"/>
        <v xml:space="preserve"> </v>
      </c>
    </row>
    <row r="241" spans="1:26">
      <c r="A241" s="100"/>
      <c r="B241" s="108" t="str">
        <f>IFERROR(VLOOKUP(Tablo5[[#This Row],[ÜRÜN KODU]],YMKODLARI!$A$1:$K$363,2,0)," ")</f>
        <v xml:space="preserve"> </v>
      </c>
      <c r="C241" s="99"/>
      <c r="D241" s="100"/>
      <c r="E241" s="101"/>
      <c r="F241" s="101"/>
      <c r="G241" s="100" t="str">
        <f>IFERROR(VLOOKUP(Tablo5[[#This Row],[ÜRÜN KODU]],YMKODLARI!$A$1:$K$363,3,0)," ")</f>
        <v xml:space="preserve"> </v>
      </c>
      <c r="H241" s="100" t="str">
        <f>IFERROR(VLOOKUP(Tablo5[[#This Row],[ÜRÜN KODU]],YMKODLARI!$A$1:$K$363,4,0)," ")</f>
        <v xml:space="preserve"> </v>
      </c>
      <c r="I241" s="100"/>
      <c r="J241" s="100" t="str">
        <f>IFERROR(VLOOKUP(Tablo5[[#This Row],[ÜRÜN KODU]],YMKODLARI!$A$1:$K$363,9,0)," ")</f>
        <v xml:space="preserve"> </v>
      </c>
      <c r="K241" s="100" t="str">
        <f>IFERROR(VLOOKUP(Tablo5[[#This Row],[BOYA KODU]],Tablo14[#All],4,0)," ")</f>
        <v xml:space="preserve"> </v>
      </c>
      <c r="L241" s="100" t="str">
        <f>IFERROR(VLOOKUP(Tablo5[[#This Row],[BOYA KODU]],Tablo14[#All],6,0)," ")</f>
        <v xml:space="preserve"> </v>
      </c>
      <c r="M241" s="100" t="str">
        <f t="shared" si="21"/>
        <v xml:space="preserve"> </v>
      </c>
      <c r="N241" s="100" t="str">
        <f>IFERROR(VLOOKUP(Tablo5[[#This Row],[ÜRÜN KODU]],YMKODLARI!$A$1:$K$363,8,0)," ")</f>
        <v xml:space="preserve"> </v>
      </c>
      <c r="O241" s="100" t="str">
        <f>IFERROR(VLOOKUP(Tablo5[[#This Row],[HAMMADDE KODU]],Tablo1[#All],3,0)," ")</f>
        <v xml:space="preserve"> </v>
      </c>
      <c r="P241" s="100" t="str">
        <f>IFERROR(VLOOKUP(Tablo5[[#This Row],[HAMMADDE KODU]],Tablo1[#All],4,0)," ")</f>
        <v xml:space="preserve"> </v>
      </c>
      <c r="Q241" s="100" t="str">
        <f>IFERROR(VLOOKUP(Tablo5[[#This Row],[ÜRÜN KODU]],YMKODLARI!$A$1:$K$363,5,0)," ")</f>
        <v xml:space="preserve"> </v>
      </c>
      <c r="R241" s="100" t="str">
        <f>IFERROR(VLOOKUP(Tablo5[[#This Row],[ÜRÜN KODU]],YMKODLARI!$A$1:$K$363,6,0)," ")</f>
        <v xml:space="preserve"> </v>
      </c>
      <c r="S241" s="100" t="str">
        <f>IFERROR(Tablo5[[#This Row],[YOLLUK HARİÇ BASKI GRAMI]]/Tablo5[[#This Row],[KALIP GÖZ ADEDİ]]," ")</f>
        <v xml:space="preserve"> </v>
      </c>
      <c r="T241" s="100" t="str">
        <f t="shared" si="23"/>
        <v xml:space="preserve"> </v>
      </c>
      <c r="U241" s="100"/>
      <c r="V241" s="100" t="str">
        <f t="shared" si="22"/>
        <v xml:space="preserve"> </v>
      </c>
      <c r="W241" s="101">
        <f t="shared" si="24"/>
        <v>24</v>
      </c>
      <c r="X241" s="102">
        <f t="shared" si="25"/>
        <v>0</v>
      </c>
      <c r="Y241" s="100" t="str">
        <f t="shared" si="26"/>
        <v xml:space="preserve"> </v>
      </c>
      <c r="Z241" s="100" t="str">
        <f t="shared" si="27"/>
        <v xml:space="preserve"> </v>
      </c>
    </row>
    <row r="242" spans="1:26">
      <c r="A242" s="100"/>
      <c r="B242" s="108" t="str">
        <f>IFERROR(VLOOKUP(Tablo5[[#This Row],[ÜRÜN KODU]],YMKODLARI!$A$1:$K$363,2,0)," ")</f>
        <v xml:space="preserve"> </v>
      </c>
      <c r="C242" s="99"/>
      <c r="D242" s="100"/>
      <c r="E242" s="101"/>
      <c r="F242" s="101"/>
      <c r="G242" s="100" t="str">
        <f>IFERROR(VLOOKUP(Tablo5[[#This Row],[ÜRÜN KODU]],YMKODLARI!$A$1:$K$363,3,0)," ")</f>
        <v xml:space="preserve"> </v>
      </c>
      <c r="H242" s="100" t="str">
        <f>IFERROR(VLOOKUP(Tablo5[[#This Row],[ÜRÜN KODU]],YMKODLARI!$A$1:$K$363,4,0)," ")</f>
        <v xml:space="preserve"> </v>
      </c>
      <c r="I242" s="100"/>
      <c r="J242" s="100" t="str">
        <f>IFERROR(VLOOKUP(Tablo5[[#This Row],[ÜRÜN KODU]],YMKODLARI!$A$1:$K$363,9,0)," ")</f>
        <v xml:space="preserve"> </v>
      </c>
      <c r="K242" s="100" t="str">
        <f>IFERROR(VLOOKUP(Tablo5[[#This Row],[BOYA KODU]],Tablo14[#All],4,0)," ")</f>
        <v xml:space="preserve"> </v>
      </c>
      <c r="L242" s="100" t="str">
        <f>IFERROR(VLOOKUP(Tablo5[[#This Row],[BOYA KODU]],Tablo14[#All],6,0)," ")</f>
        <v xml:space="preserve"> </v>
      </c>
      <c r="M242" s="100" t="str">
        <f t="shared" si="21"/>
        <v xml:space="preserve"> </v>
      </c>
      <c r="N242" s="100" t="str">
        <f>IFERROR(VLOOKUP(Tablo5[[#This Row],[ÜRÜN KODU]],YMKODLARI!$A$1:$K$363,8,0)," ")</f>
        <v xml:space="preserve"> </v>
      </c>
      <c r="O242" s="100" t="str">
        <f>IFERROR(VLOOKUP(Tablo5[[#This Row],[HAMMADDE KODU]],Tablo1[#All],3,0)," ")</f>
        <v xml:space="preserve"> </v>
      </c>
      <c r="P242" s="100" t="str">
        <f>IFERROR(VLOOKUP(Tablo5[[#This Row],[HAMMADDE KODU]],Tablo1[#All],4,0)," ")</f>
        <v xml:space="preserve"> </v>
      </c>
      <c r="Q242" s="100" t="str">
        <f>IFERROR(VLOOKUP(Tablo5[[#This Row],[ÜRÜN KODU]],YMKODLARI!$A$1:$K$363,5,0)," ")</f>
        <v xml:space="preserve"> </v>
      </c>
      <c r="R242" s="100" t="str">
        <f>IFERROR(VLOOKUP(Tablo5[[#This Row],[ÜRÜN KODU]],YMKODLARI!$A$1:$K$363,6,0)," ")</f>
        <v xml:space="preserve"> </v>
      </c>
      <c r="S242" s="100" t="str">
        <f>IFERROR(Tablo5[[#This Row],[YOLLUK HARİÇ BASKI GRAMI]]/Tablo5[[#This Row],[KALIP GÖZ ADEDİ]]," ")</f>
        <v xml:space="preserve"> </v>
      </c>
      <c r="T242" s="100" t="str">
        <f t="shared" si="23"/>
        <v xml:space="preserve"> </v>
      </c>
      <c r="U242" s="100"/>
      <c r="V242" s="100" t="str">
        <f t="shared" si="22"/>
        <v xml:space="preserve"> </v>
      </c>
      <c r="W242" s="101">
        <f t="shared" si="24"/>
        <v>24</v>
      </c>
      <c r="X242" s="102">
        <f t="shared" si="25"/>
        <v>0</v>
      </c>
      <c r="Y242" s="100" t="str">
        <f t="shared" si="26"/>
        <v xml:space="preserve"> </v>
      </c>
      <c r="Z242" s="100" t="str">
        <f t="shared" si="27"/>
        <v xml:space="preserve"> </v>
      </c>
    </row>
    <row r="243" spans="1:26">
      <c r="A243" s="100"/>
      <c r="B243" s="108" t="str">
        <f>IFERROR(VLOOKUP(Tablo5[[#This Row],[ÜRÜN KODU]],YMKODLARI!$A$1:$K$363,2,0)," ")</f>
        <v xml:space="preserve"> </v>
      </c>
      <c r="C243" s="99"/>
      <c r="D243" s="100"/>
      <c r="E243" s="101"/>
      <c r="F243" s="101"/>
      <c r="G243" s="100" t="str">
        <f>IFERROR(VLOOKUP(Tablo5[[#This Row],[ÜRÜN KODU]],YMKODLARI!$A$1:$K$363,3,0)," ")</f>
        <v xml:space="preserve"> </v>
      </c>
      <c r="H243" s="100" t="str">
        <f>IFERROR(VLOOKUP(Tablo5[[#This Row],[ÜRÜN KODU]],YMKODLARI!$A$1:$K$363,4,0)," ")</f>
        <v xml:space="preserve"> </v>
      </c>
      <c r="I243" s="100"/>
      <c r="J243" s="100" t="str">
        <f>IFERROR(VLOOKUP(Tablo5[[#This Row],[ÜRÜN KODU]],YMKODLARI!$A$1:$K$363,9,0)," ")</f>
        <v xml:space="preserve"> </v>
      </c>
      <c r="K243" s="100" t="str">
        <f>IFERROR(VLOOKUP(Tablo5[[#This Row],[BOYA KODU]],Tablo14[#All],4,0)," ")</f>
        <v xml:space="preserve"> </v>
      </c>
      <c r="L243" s="100" t="str">
        <f>IFERROR(VLOOKUP(Tablo5[[#This Row],[BOYA KODU]],Tablo14[#All],6,0)," ")</f>
        <v xml:space="preserve"> </v>
      </c>
      <c r="M243" s="100" t="str">
        <f t="shared" si="21"/>
        <v xml:space="preserve"> </v>
      </c>
      <c r="N243" s="100" t="str">
        <f>IFERROR(VLOOKUP(Tablo5[[#This Row],[ÜRÜN KODU]],YMKODLARI!$A$1:$K$363,8,0)," ")</f>
        <v xml:space="preserve"> </v>
      </c>
      <c r="O243" s="100" t="str">
        <f>IFERROR(VLOOKUP(Tablo5[[#This Row],[HAMMADDE KODU]],Tablo1[#All],3,0)," ")</f>
        <v xml:space="preserve"> </v>
      </c>
      <c r="P243" s="100" t="str">
        <f>IFERROR(VLOOKUP(Tablo5[[#This Row],[HAMMADDE KODU]],Tablo1[#All],4,0)," ")</f>
        <v xml:space="preserve"> </v>
      </c>
      <c r="Q243" s="100" t="str">
        <f>IFERROR(VLOOKUP(Tablo5[[#This Row],[ÜRÜN KODU]],YMKODLARI!$A$1:$K$363,5,0)," ")</f>
        <v xml:space="preserve"> </v>
      </c>
      <c r="R243" s="100" t="str">
        <f>IFERROR(VLOOKUP(Tablo5[[#This Row],[ÜRÜN KODU]],YMKODLARI!$A$1:$K$363,6,0)," ")</f>
        <v xml:space="preserve"> </v>
      </c>
      <c r="S243" s="100" t="str">
        <f>IFERROR(Tablo5[[#This Row],[YOLLUK HARİÇ BASKI GRAMI]]/Tablo5[[#This Row],[KALIP GÖZ ADEDİ]]," ")</f>
        <v xml:space="preserve"> </v>
      </c>
      <c r="T243" s="100" t="str">
        <f t="shared" si="23"/>
        <v xml:space="preserve"> </v>
      </c>
      <c r="U243" s="100"/>
      <c r="V243" s="100" t="str">
        <f t="shared" si="22"/>
        <v xml:space="preserve"> </v>
      </c>
      <c r="W243" s="101">
        <f t="shared" si="24"/>
        <v>24</v>
      </c>
      <c r="X243" s="102">
        <f t="shared" si="25"/>
        <v>0</v>
      </c>
      <c r="Y243" s="100" t="str">
        <f t="shared" si="26"/>
        <v xml:space="preserve"> </v>
      </c>
      <c r="Z243" s="100" t="str">
        <f t="shared" si="27"/>
        <v xml:space="preserve"> </v>
      </c>
    </row>
    <row r="244" spans="1:26">
      <c r="A244" s="100"/>
      <c r="B244" s="108" t="str">
        <f>IFERROR(VLOOKUP(Tablo5[[#This Row],[ÜRÜN KODU]],YMKODLARI!$A$1:$K$363,2,0)," ")</f>
        <v xml:space="preserve"> </v>
      </c>
      <c r="C244" s="99"/>
      <c r="D244" s="100"/>
      <c r="E244" s="101"/>
      <c r="F244" s="101"/>
      <c r="G244" s="100" t="str">
        <f>IFERROR(VLOOKUP(Tablo5[[#This Row],[ÜRÜN KODU]],YMKODLARI!$A$1:$K$363,3,0)," ")</f>
        <v xml:space="preserve"> </v>
      </c>
      <c r="H244" s="100" t="str">
        <f>IFERROR(VLOOKUP(Tablo5[[#This Row],[ÜRÜN KODU]],YMKODLARI!$A$1:$K$363,4,0)," ")</f>
        <v xml:space="preserve"> </v>
      </c>
      <c r="I244" s="100"/>
      <c r="J244" s="100" t="str">
        <f>IFERROR(VLOOKUP(Tablo5[[#This Row],[ÜRÜN KODU]],YMKODLARI!$A$1:$K$363,9,0)," ")</f>
        <v xml:space="preserve"> </v>
      </c>
      <c r="K244" s="100" t="str">
        <f>IFERROR(VLOOKUP(Tablo5[[#This Row],[BOYA KODU]],Tablo14[#All],4,0)," ")</f>
        <v xml:space="preserve"> </v>
      </c>
      <c r="L244" s="100" t="str">
        <f>IFERROR(VLOOKUP(Tablo5[[#This Row],[BOYA KODU]],Tablo14[#All],6,0)," ")</f>
        <v xml:space="preserve"> </v>
      </c>
      <c r="M244" s="100" t="str">
        <f t="shared" si="21"/>
        <v xml:space="preserve"> </v>
      </c>
      <c r="N244" s="100" t="str">
        <f>IFERROR(VLOOKUP(Tablo5[[#This Row],[ÜRÜN KODU]],YMKODLARI!$A$1:$K$363,8,0)," ")</f>
        <v xml:space="preserve"> </v>
      </c>
      <c r="O244" s="100" t="str">
        <f>IFERROR(VLOOKUP(Tablo5[[#This Row],[HAMMADDE KODU]],Tablo1[#All],3,0)," ")</f>
        <v xml:space="preserve"> </v>
      </c>
      <c r="P244" s="100" t="str">
        <f>IFERROR(VLOOKUP(Tablo5[[#This Row],[HAMMADDE KODU]],Tablo1[#All],4,0)," ")</f>
        <v xml:space="preserve"> </v>
      </c>
      <c r="Q244" s="100" t="str">
        <f>IFERROR(VLOOKUP(Tablo5[[#This Row],[ÜRÜN KODU]],YMKODLARI!$A$1:$K$363,5,0)," ")</f>
        <v xml:space="preserve"> </v>
      </c>
      <c r="R244" s="100" t="str">
        <f>IFERROR(VLOOKUP(Tablo5[[#This Row],[ÜRÜN KODU]],YMKODLARI!$A$1:$K$363,6,0)," ")</f>
        <v xml:space="preserve"> </v>
      </c>
      <c r="S244" s="100" t="str">
        <f>IFERROR(Tablo5[[#This Row],[YOLLUK HARİÇ BASKI GRAMI]]/Tablo5[[#This Row],[KALIP GÖZ ADEDİ]]," ")</f>
        <v xml:space="preserve"> </v>
      </c>
      <c r="T244" s="100" t="str">
        <f t="shared" si="23"/>
        <v xml:space="preserve"> </v>
      </c>
      <c r="U244" s="100"/>
      <c r="V244" s="100" t="str">
        <f t="shared" si="22"/>
        <v xml:space="preserve"> </v>
      </c>
      <c r="W244" s="101">
        <f t="shared" si="24"/>
        <v>24</v>
      </c>
      <c r="X244" s="102">
        <f t="shared" si="25"/>
        <v>0</v>
      </c>
      <c r="Y244" s="100" t="str">
        <f t="shared" si="26"/>
        <v xml:space="preserve"> </v>
      </c>
      <c r="Z244" s="100" t="str">
        <f t="shared" si="27"/>
        <v xml:space="preserve"> </v>
      </c>
    </row>
    <row r="245" spans="1:26">
      <c r="A245" s="100"/>
      <c r="B245" s="108" t="str">
        <f>IFERROR(VLOOKUP(Tablo5[[#This Row],[ÜRÜN KODU]],YMKODLARI!$A$1:$K$363,2,0)," ")</f>
        <v xml:space="preserve"> </v>
      </c>
      <c r="C245" s="99"/>
      <c r="D245" s="100"/>
      <c r="E245" s="101"/>
      <c r="F245" s="101"/>
      <c r="G245" s="100" t="str">
        <f>IFERROR(VLOOKUP(Tablo5[[#This Row],[ÜRÜN KODU]],YMKODLARI!$A$1:$K$363,3,0)," ")</f>
        <v xml:space="preserve"> </v>
      </c>
      <c r="H245" s="100" t="str">
        <f>IFERROR(VLOOKUP(Tablo5[[#This Row],[ÜRÜN KODU]],YMKODLARI!$A$1:$K$363,4,0)," ")</f>
        <v xml:space="preserve"> </v>
      </c>
      <c r="I245" s="100"/>
      <c r="J245" s="100" t="str">
        <f>IFERROR(VLOOKUP(Tablo5[[#This Row],[ÜRÜN KODU]],YMKODLARI!$A$1:$K$363,9,0)," ")</f>
        <v xml:space="preserve"> </v>
      </c>
      <c r="K245" s="100" t="str">
        <f>IFERROR(VLOOKUP(Tablo5[[#This Row],[BOYA KODU]],Tablo14[#All],4,0)," ")</f>
        <v xml:space="preserve"> </v>
      </c>
      <c r="L245" s="100" t="str">
        <f>IFERROR(VLOOKUP(Tablo5[[#This Row],[BOYA KODU]],Tablo14[#All],6,0)," ")</f>
        <v xml:space="preserve"> </v>
      </c>
      <c r="M245" s="100" t="str">
        <f t="shared" si="21"/>
        <v xml:space="preserve"> </v>
      </c>
      <c r="N245" s="100" t="str">
        <f>IFERROR(VLOOKUP(Tablo5[[#This Row],[ÜRÜN KODU]],YMKODLARI!$A$1:$K$363,8,0)," ")</f>
        <v xml:space="preserve"> </v>
      </c>
      <c r="O245" s="100" t="str">
        <f>IFERROR(VLOOKUP(Tablo5[[#This Row],[HAMMADDE KODU]],Tablo1[#All],3,0)," ")</f>
        <v xml:space="preserve"> </v>
      </c>
      <c r="P245" s="100" t="str">
        <f>IFERROR(VLOOKUP(Tablo5[[#This Row],[HAMMADDE KODU]],Tablo1[#All],4,0)," ")</f>
        <v xml:space="preserve"> </v>
      </c>
      <c r="Q245" s="100" t="str">
        <f>IFERROR(VLOOKUP(Tablo5[[#This Row],[ÜRÜN KODU]],YMKODLARI!$A$1:$K$363,5,0)," ")</f>
        <v xml:space="preserve"> </v>
      </c>
      <c r="R245" s="100" t="str">
        <f>IFERROR(VLOOKUP(Tablo5[[#This Row],[ÜRÜN KODU]],YMKODLARI!$A$1:$K$363,6,0)," ")</f>
        <v xml:space="preserve"> </v>
      </c>
      <c r="S245" s="100" t="str">
        <f>IFERROR(Tablo5[[#This Row],[YOLLUK HARİÇ BASKI GRAMI]]/Tablo5[[#This Row],[KALIP GÖZ ADEDİ]]," ")</f>
        <v xml:space="preserve"> </v>
      </c>
      <c r="T245" s="100" t="str">
        <f t="shared" si="23"/>
        <v xml:space="preserve"> </v>
      </c>
      <c r="U245" s="100"/>
      <c r="V245" s="100" t="str">
        <f t="shared" si="22"/>
        <v xml:space="preserve"> </v>
      </c>
      <c r="W245" s="101">
        <f t="shared" si="24"/>
        <v>24</v>
      </c>
      <c r="X245" s="102">
        <f t="shared" si="25"/>
        <v>0</v>
      </c>
      <c r="Y245" s="100" t="str">
        <f t="shared" si="26"/>
        <v xml:space="preserve"> </v>
      </c>
      <c r="Z245" s="100" t="str">
        <f t="shared" si="27"/>
        <v xml:space="preserve"> </v>
      </c>
    </row>
    <row r="246" spans="1:26">
      <c r="A246" s="100"/>
      <c r="B246" s="108" t="str">
        <f>IFERROR(VLOOKUP(Tablo5[[#This Row],[ÜRÜN KODU]],YMKODLARI!$A$1:$K$363,2,0)," ")</f>
        <v xml:space="preserve"> </v>
      </c>
      <c r="C246" s="99"/>
      <c r="D246" s="100"/>
      <c r="E246" s="101"/>
      <c r="F246" s="101"/>
      <c r="G246" s="100" t="str">
        <f>IFERROR(VLOOKUP(Tablo5[[#This Row],[ÜRÜN KODU]],YMKODLARI!$A$1:$K$363,3,0)," ")</f>
        <v xml:space="preserve"> </v>
      </c>
      <c r="H246" s="100" t="str">
        <f>IFERROR(VLOOKUP(Tablo5[[#This Row],[ÜRÜN KODU]],YMKODLARI!$A$1:$K$363,4,0)," ")</f>
        <v xml:space="preserve"> </v>
      </c>
      <c r="I246" s="100"/>
      <c r="J246" s="100" t="str">
        <f>IFERROR(VLOOKUP(Tablo5[[#This Row],[ÜRÜN KODU]],YMKODLARI!$A$1:$K$363,9,0)," ")</f>
        <v xml:space="preserve"> </v>
      </c>
      <c r="K246" s="100" t="str">
        <f>IFERROR(VLOOKUP(Tablo5[[#This Row],[BOYA KODU]],Tablo14[#All],4,0)," ")</f>
        <v xml:space="preserve"> </v>
      </c>
      <c r="L246" s="100" t="str">
        <f>IFERROR(VLOOKUP(Tablo5[[#This Row],[BOYA KODU]],Tablo14[#All],6,0)," ")</f>
        <v xml:space="preserve"> </v>
      </c>
      <c r="M246" s="100" t="str">
        <f t="shared" si="21"/>
        <v xml:space="preserve"> </v>
      </c>
      <c r="N246" s="100" t="str">
        <f>IFERROR(VLOOKUP(Tablo5[[#This Row],[ÜRÜN KODU]],YMKODLARI!$A$1:$K$363,8,0)," ")</f>
        <v xml:space="preserve"> </v>
      </c>
      <c r="O246" s="100" t="str">
        <f>IFERROR(VLOOKUP(Tablo5[[#This Row],[HAMMADDE KODU]],Tablo1[#All],3,0)," ")</f>
        <v xml:space="preserve"> </v>
      </c>
      <c r="P246" s="100" t="str">
        <f>IFERROR(VLOOKUP(Tablo5[[#This Row],[HAMMADDE KODU]],Tablo1[#All],4,0)," ")</f>
        <v xml:space="preserve"> </v>
      </c>
      <c r="Q246" s="100" t="str">
        <f>IFERROR(VLOOKUP(Tablo5[[#This Row],[ÜRÜN KODU]],YMKODLARI!$A$1:$K$363,5,0)," ")</f>
        <v xml:space="preserve"> </v>
      </c>
      <c r="R246" s="100" t="str">
        <f>IFERROR(VLOOKUP(Tablo5[[#This Row],[ÜRÜN KODU]],YMKODLARI!$A$1:$K$363,6,0)," ")</f>
        <v xml:space="preserve"> </v>
      </c>
      <c r="S246" s="100" t="str">
        <f>IFERROR(Tablo5[[#This Row],[YOLLUK HARİÇ BASKI GRAMI]]/Tablo5[[#This Row],[KALIP GÖZ ADEDİ]]," ")</f>
        <v xml:space="preserve"> </v>
      </c>
      <c r="T246" s="100" t="str">
        <f t="shared" si="23"/>
        <v xml:space="preserve"> </v>
      </c>
      <c r="U246" s="100"/>
      <c r="V246" s="100" t="str">
        <f t="shared" si="22"/>
        <v xml:space="preserve"> </v>
      </c>
      <c r="W246" s="101">
        <f t="shared" si="24"/>
        <v>24</v>
      </c>
      <c r="X246" s="102">
        <f t="shared" si="25"/>
        <v>0</v>
      </c>
      <c r="Y246" s="100" t="str">
        <f t="shared" si="26"/>
        <v xml:space="preserve"> </v>
      </c>
      <c r="Z246" s="100" t="str">
        <f t="shared" si="27"/>
        <v xml:space="preserve"> </v>
      </c>
    </row>
    <row r="247" spans="1:26">
      <c r="A247" s="100"/>
      <c r="B247" s="108" t="str">
        <f>IFERROR(VLOOKUP(Tablo5[[#This Row],[ÜRÜN KODU]],YMKODLARI!$A$1:$K$363,2,0)," ")</f>
        <v xml:space="preserve"> </v>
      </c>
      <c r="C247" s="99"/>
      <c r="D247" s="100"/>
      <c r="E247" s="101"/>
      <c r="F247" s="101"/>
      <c r="G247" s="100" t="str">
        <f>IFERROR(VLOOKUP(Tablo5[[#This Row],[ÜRÜN KODU]],YMKODLARI!$A$1:$K$363,3,0)," ")</f>
        <v xml:space="preserve"> </v>
      </c>
      <c r="H247" s="100" t="str">
        <f>IFERROR(VLOOKUP(Tablo5[[#This Row],[ÜRÜN KODU]],YMKODLARI!$A$1:$K$363,4,0)," ")</f>
        <v xml:space="preserve"> </v>
      </c>
      <c r="I247" s="100"/>
      <c r="J247" s="100" t="str">
        <f>IFERROR(VLOOKUP(Tablo5[[#This Row],[ÜRÜN KODU]],YMKODLARI!$A$1:$K$363,9,0)," ")</f>
        <v xml:space="preserve"> </v>
      </c>
      <c r="K247" s="100" t="str">
        <f>IFERROR(VLOOKUP(Tablo5[[#This Row],[BOYA KODU]],Tablo14[#All],4,0)," ")</f>
        <v xml:space="preserve"> </v>
      </c>
      <c r="L247" s="100" t="str">
        <f>IFERROR(VLOOKUP(Tablo5[[#This Row],[BOYA KODU]],Tablo14[#All],6,0)," ")</f>
        <v xml:space="preserve"> </v>
      </c>
      <c r="M247" s="100" t="str">
        <f t="shared" si="21"/>
        <v xml:space="preserve"> </v>
      </c>
      <c r="N247" s="100" t="str">
        <f>IFERROR(VLOOKUP(Tablo5[[#This Row],[ÜRÜN KODU]],YMKODLARI!$A$1:$K$363,8,0)," ")</f>
        <v xml:space="preserve"> </v>
      </c>
      <c r="O247" s="100" t="str">
        <f>IFERROR(VLOOKUP(Tablo5[[#This Row],[HAMMADDE KODU]],Tablo1[#All],3,0)," ")</f>
        <v xml:space="preserve"> </v>
      </c>
      <c r="P247" s="100" t="str">
        <f>IFERROR(VLOOKUP(Tablo5[[#This Row],[HAMMADDE KODU]],Tablo1[#All],4,0)," ")</f>
        <v xml:space="preserve"> </v>
      </c>
      <c r="Q247" s="100" t="str">
        <f>IFERROR(VLOOKUP(Tablo5[[#This Row],[ÜRÜN KODU]],YMKODLARI!$A$1:$K$363,5,0)," ")</f>
        <v xml:space="preserve"> </v>
      </c>
      <c r="R247" s="100" t="str">
        <f>IFERROR(VLOOKUP(Tablo5[[#This Row],[ÜRÜN KODU]],YMKODLARI!$A$1:$K$363,6,0)," ")</f>
        <v xml:space="preserve"> </v>
      </c>
      <c r="S247" s="100" t="str">
        <f>IFERROR(Tablo5[[#This Row],[YOLLUK HARİÇ BASKI GRAMI]]/Tablo5[[#This Row],[KALIP GÖZ ADEDİ]]," ")</f>
        <v xml:space="preserve"> </v>
      </c>
      <c r="T247" s="100" t="str">
        <f t="shared" si="23"/>
        <v xml:space="preserve"> </v>
      </c>
      <c r="U247" s="100"/>
      <c r="V247" s="100" t="str">
        <f t="shared" si="22"/>
        <v xml:space="preserve"> </v>
      </c>
      <c r="W247" s="101">
        <f t="shared" si="24"/>
        <v>24</v>
      </c>
      <c r="X247" s="102">
        <f t="shared" si="25"/>
        <v>0</v>
      </c>
      <c r="Y247" s="100" t="str">
        <f t="shared" si="26"/>
        <v xml:space="preserve"> </v>
      </c>
      <c r="Z247" s="100" t="str">
        <f t="shared" si="27"/>
        <v xml:space="preserve"> </v>
      </c>
    </row>
    <row r="248" spans="1:26">
      <c r="A248" s="100"/>
      <c r="B248" s="108" t="str">
        <f>IFERROR(VLOOKUP(Tablo5[[#This Row],[ÜRÜN KODU]],YMKODLARI!$A$1:$K$363,2,0)," ")</f>
        <v xml:space="preserve"> </v>
      </c>
      <c r="C248" s="99"/>
      <c r="D248" s="100"/>
      <c r="E248" s="101"/>
      <c r="F248" s="101"/>
      <c r="G248" s="100" t="str">
        <f>IFERROR(VLOOKUP(Tablo5[[#This Row],[ÜRÜN KODU]],YMKODLARI!$A$1:$K$363,3,0)," ")</f>
        <v xml:space="preserve"> </v>
      </c>
      <c r="H248" s="100" t="str">
        <f>IFERROR(VLOOKUP(Tablo5[[#This Row],[ÜRÜN KODU]],YMKODLARI!$A$1:$K$363,4,0)," ")</f>
        <v xml:space="preserve"> </v>
      </c>
      <c r="I248" s="100"/>
      <c r="J248" s="100" t="str">
        <f>IFERROR(VLOOKUP(Tablo5[[#This Row],[ÜRÜN KODU]],YMKODLARI!$A$1:$K$363,9,0)," ")</f>
        <v xml:space="preserve"> </v>
      </c>
      <c r="K248" s="100" t="str">
        <f>IFERROR(VLOOKUP(Tablo5[[#This Row],[BOYA KODU]],Tablo14[#All],4,0)," ")</f>
        <v xml:space="preserve"> </v>
      </c>
      <c r="L248" s="100" t="str">
        <f>IFERROR(VLOOKUP(Tablo5[[#This Row],[BOYA KODU]],Tablo14[#All],6,0)," ")</f>
        <v xml:space="preserve"> </v>
      </c>
      <c r="M248" s="100" t="str">
        <f t="shared" si="21"/>
        <v xml:space="preserve"> </v>
      </c>
      <c r="N248" s="100" t="str">
        <f>IFERROR(VLOOKUP(Tablo5[[#This Row],[ÜRÜN KODU]],YMKODLARI!$A$1:$K$363,8,0)," ")</f>
        <v xml:space="preserve"> </v>
      </c>
      <c r="O248" s="100" t="str">
        <f>IFERROR(VLOOKUP(Tablo5[[#This Row],[HAMMADDE KODU]],Tablo1[#All],3,0)," ")</f>
        <v xml:space="preserve"> </v>
      </c>
      <c r="P248" s="100" t="str">
        <f>IFERROR(VLOOKUP(Tablo5[[#This Row],[HAMMADDE KODU]],Tablo1[#All],4,0)," ")</f>
        <v xml:space="preserve"> </v>
      </c>
      <c r="Q248" s="100" t="str">
        <f>IFERROR(VLOOKUP(Tablo5[[#This Row],[ÜRÜN KODU]],YMKODLARI!$A$1:$K$363,5,0)," ")</f>
        <v xml:space="preserve"> </v>
      </c>
      <c r="R248" s="100" t="str">
        <f>IFERROR(VLOOKUP(Tablo5[[#This Row],[ÜRÜN KODU]],YMKODLARI!$A$1:$K$363,6,0)," ")</f>
        <v xml:space="preserve"> </v>
      </c>
      <c r="S248" s="100" t="str">
        <f>IFERROR(Tablo5[[#This Row],[YOLLUK HARİÇ BASKI GRAMI]]/Tablo5[[#This Row],[KALIP GÖZ ADEDİ]]," ")</f>
        <v xml:space="preserve"> </v>
      </c>
      <c r="T248" s="100" t="str">
        <f t="shared" si="23"/>
        <v xml:space="preserve"> </v>
      </c>
      <c r="U248" s="100"/>
      <c r="V248" s="100" t="str">
        <f t="shared" si="22"/>
        <v xml:space="preserve"> </v>
      </c>
      <c r="W248" s="101">
        <f t="shared" si="24"/>
        <v>24</v>
      </c>
      <c r="X248" s="102">
        <f t="shared" si="25"/>
        <v>0</v>
      </c>
      <c r="Y248" s="100" t="str">
        <f t="shared" si="26"/>
        <v xml:space="preserve"> </v>
      </c>
      <c r="Z248" s="100" t="str">
        <f t="shared" si="27"/>
        <v xml:space="preserve"> </v>
      </c>
    </row>
    <row r="249" spans="1:26">
      <c r="A249" s="100"/>
      <c r="B249" s="108" t="str">
        <f>IFERROR(VLOOKUP(Tablo5[[#This Row],[ÜRÜN KODU]],YMKODLARI!$A$1:$K$363,2,0)," ")</f>
        <v xml:space="preserve"> </v>
      </c>
      <c r="C249" s="99"/>
      <c r="D249" s="100"/>
      <c r="E249" s="101"/>
      <c r="F249" s="101"/>
      <c r="G249" s="100" t="str">
        <f>IFERROR(VLOOKUP(Tablo5[[#This Row],[ÜRÜN KODU]],YMKODLARI!$A$1:$K$363,3,0)," ")</f>
        <v xml:space="preserve"> </v>
      </c>
      <c r="H249" s="100" t="str">
        <f>IFERROR(VLOOKUP(Tablo5[[#This Row],[ÜRÜN KODU]],YMKODLARI!$A$1:$K$363,4,0)," ")</f>
        <v xml:space="preserve"> </v>
      </c>
      <c r="I249" s="100"/>
      <c r="J249" s="100" t="str">
        <f>IFERROR(VLOOKUP(Tablo5[[#This Row],[ÜRÜN KODU]],YMKODLARI!$A$1:$K$363,9,0)," ")</f>
        <v xml:space="preserve"> </v>
      </c>
      <c r="K249" s="100" t="str">
        <f>IFERROR(VLOOKUP(Tablo5[[#This Row],[BOYA KODU]],Tablo14[#All],4,0)," ")</f>
        <v xml:space="preserve"> </v>
      </c>
      <c r="L249" s="100" t="str">
        <f>IFERROR(VLOOKUP(Tablo5[[#This Row],[BOYA KODU]],Tablo14[#All],6,0)," ")</f>
        <v xml:space="preserve"> </v>
      </c>
      <c r="M249" s="100" t="str">
        <f t="shared" si="21"/>
        <v xml:space="preserve"> </v>
      </c>
      <c r="N249" s="100" t="str">
        <f>IFERROR(VLOOKUP(Tablo5[[#This Row],[ÜRÜN KODU]],YMKODLARI!$A$1:$K$363,8,0)," ")</f>
        <v xml:space="preserve"> </v>
      </c>
      <c r="O249" s="100" t="str">
        <f>IFERROR(VLOOKUP(Tablo5[[#This Row],[HAMMADDE KODU]],Tablo1[#All],3,0)," ")</f>
        <v xml:space="preserve"> </v>
      </c>
      <c r="P249" s="100" t="str">
        <f>IFERROR(VLOOKUP(Tablo5[[#This Row],[HAMMADDE KODU]],Tablo1[#All],4,0)," ")</f>
        <v xml:space="preserve"> </v>
      </c>
      <c r="Q249" s="100" t="str">
        <f>IFERROR(VLOOKUP(Tablo5[[#This Row],[ÜRÜN KODU]],YMKODLARI!$A$1:$K$363,5,0)," ")</f>
        <v xml:space="preserve"> </v>
      </c>
      <c r="R249" s="100" t="str">
        <f>IFERROR(VLOOKUP(Tablo5[[#This Row],[ÜRÜN KODU]],YMKODLARI!$A$1:$K$363,6,0)," ")</f>
        <v xml:space="preserve"> </v>
      </c>
      <c r="S249" s="100" t="str">
        <f>IFERROR(Tablo5[[#This Row],[YOLLUK HARİÇ BASKI GRAMI]]/Tablo5[[#This Row],[KALIP GÖZ ADEDİ]]," ")</f>
        <v xml:space="preserve"> </v>
      </c>
      <c r="T249" s="100" t="str">
        <f t="shared" si="23"/>
        <v xml:space="preserve"> </v>
      </c>
      <c r="U249" s="100"/>
      <c r="V249" s="100" t="str">
        <f t="shared" si="22"/>
        <v xml:space="preserve"> </v>
      </c>
      <c r="W249" s="101">
        <f t="shared" si="24"/>
        <v>24</v>
      </c>
      <c r="X249" s="102">
        <f t="shared" si="25"/>
        <v>0</v>
      </c>
      <c r="Y249" s="100" t="str">
        <f t="shared" si="26"/>
        <v xml:space="preserve"> </v>
      </c>
      <c r="Z249" s="100" t="str">
        <f t="shared" si="27"/>
        <v xml:space="preserve"> </v>
      </c>
    </row>
    <row r="250" spans="1:26">
      <c r="A250" s="100"/>
      <c r="B250" s="108" t="str">
        <f>IFERROR(VLOOKUP(Tablo5[[#This Row],[ÜRÜN KODU]],YMKODLARI!$A$1:$K$363,2,0)," ")</f>
        <v xml:space="preserve"> </v>
      </c>
      <c r="C250" s="99"/>
      <c r="D250" s="100"/>
      <c r="E250" s="101"/>
      <c r="F250" s="101"/>
      <c r="G250" s="100" t="str">
        <f>IFERROR(VLOOKUP(Tablo5[[#This Row],[ÜRÜN KODU]],YMKODLARI!$A$1:$K$363,3,0)," ")</f>
        <v xml:space="preserve"> </v>
      </c>
      <c r="H250" s="100" t="str">
        <f>IFERROR(VLOOKUP(Tablo5[[#This Row],[ÜRÜN KODU]],YMKODLARI!$A$1:$K$363,4,0)," ")</f>
        <v xml:space="preserve"> </v>
      </c>
      <c r="I250" s="100"/>
      <c r="J250" s="100" t="str">
        <f>IFERROR(VLOOKUP(Tablo5[[#This Row],[ÜRÜN KODU]],YMKODLARI!$A$1:$K$363,9,0)," ")</f>
        <v xml:space="preserve"> </v>
      </c>
      <c r="K250" s="100" t="str">
        <f>IFERROR(VLOOKUP(Tablo5[[#This Row],[BOYA KODU]],Tablo14[#All],4,0)," ")</f>
        <v xml:space="preserve"> </v>
      </c>
      <c r="L250" s="100" t="str">
        <f>IFERROR(VLOOKUP(Tablo5[[#This Row],[BOYA KODU]],Tablo14[#All],6,0)," ")</f>
        <v xml:space="preserve"> </v>
      </c>
      <c r="M250" s="100" t="str">
        <f t="shared" si="21"/>
        <v xml:space="preserve"> </v>
      </c>
      <c r="N250" s="100" t="str">
        <f>IFERROR(VLOOKUP(Tablo5[[#This Row],[ÜRÜN KODU]],YMKODLARI!$A$1:$K$363,8,0)," ")</f>
        <v xml:space="preserve"> </v>
      </c>
      <c r="O250" s="100" t="str">
        <f>IFERROR(VLOOKUP(Tablo5[[#This Row],[HAMMADDE KODU]],Tablo1[#All],3,0)," ")</f>
        <v xml:space="preserve"> </v>
      </c>
      <c r="P250" s="100" t="str">
        <f>IFERROR(VLOOKUP(Tablo5[[#This Row],[HAMMADDE KODU]],Tablo1[#All],4,0)," ")</f>
        <v xml:space="preserve"> </v>
      </c>
      <c r="Q250" s="100" t="str">
        <f>IFERROR(VLOOKUP(Tablo5[[#This Row],[ÜRÜN KODU]],YMKODLARI!$A$1:$K$363,5,0)," ")</f>
        <v xml:space="preserve"> </v>
      </c>
      <c r="R250" s="100" t="str">
        <f>IFERROR(VLOOKUP(Tablo5[[#This Row],[ÜRÜN KODU]],YMKODLARI!$A$1:$K$363,6,0)," ")</f>
        <v xml:space="preserve"> </v>
      </c>
      <c r="S250" s="100" t="str">
        <f>IFERROR(Tablo5[[#This Row],[YOLLUK HARİÇ BASKI GRAMI]]/Tablo5[[#This Row],[KALIP GÖZ ADEDİ]]," ")</f>
        <v xml:space="preserve"> </v>
      </c>
      <c r="T250" s="100" t="str">
        <f t="shared" si="23"/>
        <v xml:space="preserve"> </v>
      </c>
      <c r="U250" s="100"/>
      <c r="V250" s="100" t="str">
        <f t="shared" si="22"/>
        <v xml:space="preserve"> </v>
      </c>
      <c r="W250" s="101">
        <f t="shared" si="24"/>
        <v>24</v>
      </c>
      <c r="X250" s="102">
        <f t="shared" si="25"/>
        <v>0</v>
      </c>
      <c r="Y250" s="100" t="str">
        <f t="shared" si="26"/>
        <v xml:space="preserve"> </v>
      </c>
      <c r="Z250" s="100" t="str">
        <f t="shared" si="27"/>
        <v xml:space="preserve"> </v>
      </c>
    </row>
    <row r="251" spans="1:26">
      <c r="A251" s="100"/>
      <c r="B251" s="108" t="str">
        <f>IFERROR(VLOOKUP(Tablo5[[#This Row],[ÜRÜN KODU]],YMKODLARI!$A$1:$K$363,2,0)," ")</f>
        <v xml:space="preserve"> </v>
      </c>
      <c r="C251" s="99"/>
      <c r="D251" s="100"/>
      <c r="E251" s="101"/>
      <c r="F251" s="101"/>
      <c r="G251" s="100" t="str">
        <f>IFERROR(VLOOKUP(Tablo5[[#This Row],[ÜRÜN KODU]],YMKODLARI!$A$1:$K$363,3,0)," ")</f>
        <v xml:space="preserve"> </v>
      </c>
      <c r="H251" s="100" t="str">
        <f>IFERROR(VLOOKUP(Tablo5[[#This Row],[ÜRÜN KODU]],YMKODLARI!$A$1:$K$363,4,0)," ")</f>
        <v xml:space="preserve"> </v>
      </c>
      <c r="I251" s="100"/>
      <c r="J251" s="100" t="str">
        <f>IFERROR(VLOOKUP(Tablo5[[#This Row],[ÜRÜN KODU]],YMKODLARI!$A$1:$K$363,9,0)," ")</f>
        <v xml:space="preserve"> </v>
      </c>
      <c r="K251" s="100" t="str">
        <f>IFERROR(VLOOKUP(Tablo5[[#This Row],[BOYA KODU]],Tablo14[#All],4,0)," ")</f>
        <v xml:space="preserve"> </v>
      </c>
      <c r="L251" s="100" t="str">
        <f>IFERROR(VLOOKUP(Tablo5[[#This Row],[BOYA KODU]],Tablo14[#All],6,0)," ")</f>
        <v xml:space="preserve"> </v>
      </c>
      <c r="M251" s="100" t="str">
        <f t="shared" si="21"/>
        <v xml:space="preserve"> </v>
      </c>
      <c r="N251" s="100" t="str">
        <f>IFERROR(VLOOKUP(Tablo5[[#This Row],[ÜRÜN KODU]],YMKODLARI!$A$1:$K$363,8,0)," ")</f>
        <v xml:space="preserve"> </v>
      </c>
      <c r="O251" s="100" t="str">
        <f>IFERROR(VLOOKUP(Tablo5[[#This Row],[HAMMADDE KODU]],Tablo1[#All],3,0)," ")</f>
        <v xml:space="preserve"> </v>
      </c>
      <c r="P251" s="100" t="str">
        <f>IFERROR(VLOOKUP(Tablo5[[#This Row],[HAMMADDE KODU]],Tablo1[#All],4,0)," ")</f>
        <v xml:space="preserve"> </v>
      </c>
      <c r="Q251" s="100" t="str">
        <f>IFERROR(VLOOKUP(Tablo5[[#This Row],[ÜRÜN KODU]],YMKODLARI!$A$1:$K$363,5,0)," ")</f>
        <v xml:space="preserve"> </v>
      </c>
      <c r="R251" s="100" t="str">
        <f>IFERROR(VLOOKUP(Tablo5[[#This Row],[ÜRÜN KODU]],YMKODLARI!$A$1:$K$363,6,0)," ")</f>
        <v xml:space="preserve"> </v>
      </c>
      <c r="S251" s="100" t="str">
        <f>IFERROR(Tablo5[[#This Row],[YOLLUK HARİÇ BASKI GRAMI]]/Tablo5[[#This Row],[KALIP GÖZ ADEDİ]]," ")</f>
        <v xml:space="preserve"> </v>
      </c>
      <c r="T251" s="100" t="str">
        <f t="shared" si="23"/>
        <v xml:space="preserve"> </v>
      </c>
      <c r="U251" s="100"/>
      <c r="V251" s="100" t="str">
        <f t="shared" si="22"/>
        <v xml:space="preserve"> </v>
      </c>
      <c r="W251" s="101">
        <f t="shared" si="24"/>
        <v>24</v>
      </c>
      <c r="X251" s="102">
        <f t="shared" si="25"/>
        <v>0</v>
      </c>
      <c r="Y251" s="100" t="str">
        <f t="shared" si="26"/>
        <v xml:space="preserve"> </v>
      </c>
      <c r="Z251" s="100" t="str">
        <f t="shared" si="27"/>
        <v xml:space="preserve"> </v>
      </c>
    </row>
    <row r="252" spans="1:26">
      <c r="A252" s="100"/>
      <c r="B252" s="108" t="str">
        <f>IFERROR(VLOOKUP(Tablo5[[#This Row],[ÜRÜN KODU]],YMKODLARI!$A$1:$K$363,2,0)," ")</f>
        <v xml:space="preserve"> </v>
      </c>
      <c r="C252" s="99"/>
      <c r="D252" s="100"/>
      <c r="E252" s="101"/>
      <c r="F252" s="101"/>
      <c r="G252" s="100" t="str">
        <f>IFERROR(VLOOKUP(Tablo5[[#This Row],[ÜRÜN KODU]],YMKODLARI!$A$1:$K$363,3,0)," ")</f>
        <v xml:space="preserve"> </v>
      </c>
      <c r="H252" s="100" t="str">
        <f>IFERROR(VLOOKUP(Tablo5[[#This Row],[ÜRÜN KODU]],YMKODLARI!$A$1:$K$363,4,0)," ")</f>
        <v xml:space="preserve"> </v>
      </c>
      <c r="I252" s="100"/>
      <c r="J252" s="100" t="str">
        <f>IFERROR(VLOOKUP(Tablo5[[#This Row],[ÜRÜN KODU]],YMKODLARI!$A$1:$K$363,9,0)," ")</f>
        <v xml:space="preserve"> </v>
      </c>
      <c r="K252" s="100" t="str">
        <f>IFERROR(VLOOKUP(Tablo5[[#This Row],[BOYA KODU]],Tablo14[#All],4,0)," ")</f>
        <v xml:space="preserve"> </v>
      </c>
      <c r="L252" s="100" t="str">
        <f>IFERROR(VLOOKUP(Tablo5[[#This Row],[BOYA KODU]],Tablo14[#All],6,0)," ")</f>
        <v xml:space="preserve"> </v>
      </c>
      <c r="M252" s="100" t="str">
        <f t="shared" si="21"/>
        <v xml:space="preserve"> </v>
      </c>
      <c r="N252" s="100" t="str">
        <f>IFERROR(VLOOKUP(Tablo5[[#This Row],[ÜRÜN KODU]],YMKODLARI!$A$1:$K$363,8,0)," ")</f>
        <v xml:space="preserve"> </v>
      </c>
      <c r="O252" s="100" t="str">
        <f>IFERROR(VLOOKUP(Tablo5[[#This Row],[HAMMADDE KODU]],Tablo1[#All],3,0)," ")</f>
        <v xml:space="preserve"> </v>
      </c>
      <c r="P252" s="100" t="str">
        <f>IFERROR(VLOOKUP(Tablo5[[#This Row],[HAMMADDE KODU]],Tablo1[#All],4,0)," ")</f>
        <v xml:space="preserve"> </v>
      </c>
      <c r="Q252" s="100" t="str">
        <f>IFERROR(VLOOKUP(Tablo5[[#This Row],[ÜRÜN KODU]],YMKODLARI!$A$1:$K$363,5,0)," ")</f>
        <v xml:space="preserve"> </v>
      </c>
      <c r="R252" s="100" t="str">
        <f>IFERROR(VLOOKUP(Tablo5[[#This Row],[ÜRÜN KODU]],YMKODLARI!$A$1:$K$363,6,0)," ")</f>
        <v xml:space="preserve"> </v>
      </c>
      <c r="S252" s="100" t="str">
        <f>IFERROR(Tablo5[[#This Row],[YOLLUK HARİÇ BASKI GRAMI]]/Tablo5[[#This Row],[KALIP GÖZ ADEDİ]]," ")</f>
        <v xml:space="preserve"> </v>
      </c>
      <c r="T252" s="100" t="str">
        <f t="shared" si="23"/>
        <v xml:space="preserve"> </v>
      </c>
      <c r="U252" s="100"/>
      <c r="V252" s="100" t="str">
        <f t="shared" si="22"/>
        <v xml:space="preserve"> </v>
      </c>
      <c r="W252" s="101">
        <f t="shared" si="24"/>
        <v>24</v>
      </c>
      <c r="X252" s="102">
        <f t="shared" si="25"/>
        <v>0</v>
      </c>
      <c r="Y252" s="100" t="str">
        <f t="shared" si="26"/>
        <v xml:space="preserve"> </v>
      </c>
      <c r="Z252" s="100" t="str">
        <f t="shared" si="27"/>
        <v xml:space="preserve"> </v>
      </c>
    </row>
    <row r="253" spans="1:26">
      <c r="A253" s="100"/>
      <c r="B253" s="108" t="str">
        <f>IFERROR(VLOOKUP(Tablo5[[#This Row],[ÜRÜN KODU]],YMKODLARI!$A$1:$K$363,2,0)," ")</f>
        <v xml:space="preserve"> </v>
      </c>
      <c r="C253" s="99"/>
      <c r="D253" s="100"/>
      <c r="E253" s="101"/>
      <c r="F253" s="101"/>
      <c r="G253" s="100" t="str">
        <f>IFERROR(VLOOKUP(Tablo5[[#This Row],[ÜRÜN KODU]],YMKODLARI!$A$1:$K$363,3,0)," ")</f>
        <v xml:space="preserve"> </v>
      </c>
      <c r="H253" s="100" t="str">
        <f>IFERROR(VLOOKUP(Tablo5[[#This Row],[ÜRÜN KODU]],YMKODLARI!$A$1:$K$363,4,0)," ")</f>
        <v xml:space="preserve"> </v>
      </c>
      <c r="I253" s="100"/>
      <c r="J253" s="100" t="str">
        <f>IFERROR(VLOOKUP(Tablo5[[#This Row],[ÜRÜN KODU]],YMKODLARI!$A$1:$K$363,9,0)," ")</f>
        <v xml:space="preserve"> </v>
      </c>
      <c r="K253" s="100" t="str">
        <f>IFERROR(VLOOKUP(Tablo5[[#This Row],[BOYA KODU]],Tablo14[#All],4,0)," ")</f>
        <v xml:space="preserve"> </v>
      </c>
      <c r="L253" s="100" t="str">
        <f>IFERROR(VLOOKUP(Tablo5[[#This Row],[BOYA KODU]],Tablo14[#All],6,0)," ")</f>
        <v xml:space="preserve"> </v>
      </c>
      <c r="M253" s="100" t="str">
        <f t="shared" si="21"/>
        <v xml:space="preserve"> </v>
      </c>
      <c r="N253" s="100" t="str">
        <f>IFERROR(VLOOKUP(Tablo5[[#This Row],[ÜRÜN KODU]],YMKODLARI!$A$1:$K$363,8,0)," ")</f>
        <v xml:space="preserve"> </v>
      </c>
      <c r="O253" s="100" t="str">
        <f>IFERROR(VLOOKUP(Tablo5[[#This Row],[HAMMADDE KODU]],Tablo1[#All],3,0)," ")</f>
        <v xml:space="preserve"> </v>
      </c>
      <c r="P253" s="100" t="str">
        <f>IFERROR(VLOOKUP(Tablo5[[#This Row],[HAMMADDE KODU]],Tablo1[#All],4,0)," ")</f>
        <v xml:space="preserve"> </v>
      </c>
      <c r="Q253" s="100" t="str">
        <f>IFERROR(VLOOKUP(Tablo5[[#This Row],[ÜRÜN KODU]],YMKODLARI!$A$1:$K$363,5,0)," ")</f>
        <v xml:space="preserve"> </v>
      </c>
      <c r="R253" s="100" t="str">
        <f>IFERROR(VLOOKUP(Tablo5[[#This Row],[ÜRÜN KODU]],YMKODLARI!$A$1:$K$363,6,0)," ")</f>
        <v xml:space="preserve"> </v>
      </c>
      <c r="S253" s="100" t="str">
        <f>IFERROR(Tablo5[[#This Row],[YOLLUK HARİÇ BASKI GRAMI]]/Tablo5[[#This Row],[KALIP GÖZ ADEDİ]]," ")</f>
        <v xml:space="preserve"> </v>
      </c>
      <c r="T253" s="100" t="str">
        <f t="shared" si="23"/>
        <v xml:space="preserve"> </v>
      </c>
      <c r="U253" s="100"/>
      <c r="V253" s="100" t="str">
        <f t="shared" si="22"/>
        <v xml:space="preserve"> </v>
      </c>
      <c r="W253" s="101">
        <f t="shared" si="24"/>
        <v>24</v>
      </c>
      <c r="X253" s="102">
        <f t="shared" si="25"/>
        <v>0</v>
      </c>
      <c r="Y253" s="100" t="str">
        <f t="shared" si="26"/>
        <v xml:space="preserve"> </v>
      </c>
      <c r="Z253" s="100" t="str">
        <f t="shared" si="27"/>
        <v xml:space="preserve"> </v>
      </c>
    </row>
    <row r="254" spans="1:26">
      <c r="A254" s="100"/>
      <c r="B254" s="108" t="str">
        <f>IFERROR(VLOOKUP(Tablo5[[#This Row],[ÜRÜN KODU]],YMKODLARI!$A$1:$K$363,2,0)," ")</f>
        <v xml:space="preserve"> </v>
      </c>
      <c r="C254" s="99"/>
      <c r="D254" s="100"/>
      <c r="E254" s="101"/>
      <c r="F254" s="101"/>
      <c r="G254" s="100" t="str">
        <f>IFERROR(VLOOKUP(Tablo5[[#This Row],[ÜRÜN KODU]],YMKODLARI!$A$1:$K$363,3,0)," ")</f>
        <v xml:space="preserve"> </v>
      </c>
      <c r="H254" s="100" t="str">
        <f>IFERROR(VLOOKUP(Tablo5[[#This Row],[ÜRÜN KODU]],YMKODLARI!$A$1:$K$363,4,0)," ")</f>
        <v xml:space="preserve"> </v>
      </c>
      <c r="I254" s="100"/>
      <c r="J254" s="100" t="str">
        <f>IFERROR(VLOOKUP(Tablo5[[#This Row],[ÜRÜN KODU]],YMKODLARI!$A$1:$K$363,9,0)," ")</f>
        <v xml:space="preserve"> </v>
      </c>
      <c r="K254" s="100" t="str">
        <f>IFERROR(VLOOKUP(Tablo5[[#This Row],[BOYA KODU]],Tablo14[#All],4,0)," ")</f>
        <v xml:space="preserve"> </v>
      </c>
      <c r="L254" s="100" t="str">
        <f>IFERROR(VLOOKUP(Tablo5[[#This Row],[BOYA KODU]],Tablo14[#All],6,0)," ")</f>
        <v xml:space="preserve"> </v>
      </c>
      <c r="M254" s="100" t="str">
        <f t="shared" si="21"/>
        <v xml:space="preserve"> </v>
      </c>
      <c r="N254" s="100" t="str">
        <f>IFERROR(VLOOKUP(Tablo5[[#This Row],[ÜRÜN KODU]],YMKODLARI!$A$1:$K$363,8,0)," ")</f>
        <v xml:space="preserve"> </v>
      </c>
      <c r="O254" s="100" t="str">
        <f>IFERROR(VLOOKUP(Tablo5[[#This Row],[HAMMADDE KODU]],Tablo1[#All],3,0)," ")</f>
        <v xml:space="preserve"> </v>
      </c>
      <c r="P254" s="100" t="str">
        <f>IFERROR(VLOOKUP(Tablo5[[#This Row],[HAMMADDE KODU]],Tablo1[#All],4,0)," ")</f>
        <v xml:space="preserve"> </v>
      </c>
      <c r="Q254" s="100" t="str">
        <f>IFERROR(VLOOKUP(Tablo5[[#This Row],[ÜRÜN KODU]],YMKODLARI!$A$1:$K$363,5,0)," ")</f>
        <v xml:space="preserve"> </v>
      </c>
      <c r="R254" s="100" t="str">
        <f>IFERROR(VLOOKUP(Tablo5[[#This Row],[ÜRÜN KODU]],YMKODLARI!$A$1:$K$363,6,0)," ")</f>
        <v xml:space="preserve"> </v>
      </c>
      <c r="S254" s="100" t="str">
        <f>IFERROR(Tablo5[[#This Row],[YOLLUK HARİÇ BASKI GRAMI]]/Tablo5[[#This Row],[KALIP GÖZ ADEDİ]]," ")</f>
        <v xml:space="preserve"> </v>
      </c>
      <c r="T254" s="100" t="str">
        <f t="shared" si="23"/>
        <v xml:space="preserve"> </v>
      </c>
      <c r="U254" s="100"/>
      <c r="V254" s="100" t="str">
        <f t="shared" si="22"/>
        <v xml:space="preserve"> </v>
      </c>
      <c r="W254" s="101">
        <f t="shared" si="24"/>
        <v>24</v>
      </c>
      <c r="X254" s="102">
        <f t="shared" si="25"/>
        <v>0</v>
      </c>
      <c r="Y254" s="100" t="str">
        <f t="shared" si="26"/>
        <v xml:space="preserve"> </v>
      </c>
      <c r="Z254" s="100" t="str">
        <f t="shared" si="27"/>
        <v xml:space="preserve"> </v>
      </c>
    </row>
    <row r="255" spans="1:26">
      <c r="A255" s="100"/>
      <c r="B255" s="108" t="str">
        <f>IFERROR(VLOOKUP(Tablo5[[#This Row],[ÜRÜN KODU]],YMKODLARI!$A$1:$K$363,2,0)," ")</f>
        <v xml:space="preserve"> </v>
      </c>
      <c r="C255" s="99"/>
      <c r="D255" s="100"/>
      <c r="E255" s="101"/>
      <c r="F255" s="101"/>
      <c r="G255" s="100" t="str">
        <f>IFERROR(VLOOKUP(Tablo5[[#This Row],[ÜRÜN KODU]],YMKODLARI!$A$1:$K$363,3,0)," ")</f>
        <v xml:space="preserve"> </v>
      </c>
      <c r="H255" s="100" t="str">
        <f>IFERROR(VLOOKUP(Tablo5[[#This Row],[ÜRÜN KODU]],YMKODLARI!$A$1:$K$363,4,0)," ")</f>
        <v xml:space="preserve"> </v>
      </c>
      <c r="I255" s="100"/>
      <c r="J255" s="100" t="str">
        <f>IFERROR(VLOOKUP(Tablo5[[#This Row],[ÜRÜN KODU]],YMKODLARI!$A$1:$K$363,9,0)," ")</f>
        <v xml:space="preserve"> </v>
      </c>
      <c r="K255" s="100" t="str">
        <f>IFERROR(VLOOKUP(Tablo5[[#This Row],[BOYA KODU]],Tablo14[#All],4,0)," ")</f>
        <v xml:space="preserve"> </v>
      </c>
      <c r="L255" s="100" t="str">
        <f>IFERROR(VLOOKUP(Tablo5[[#This Row],[BOYA KODU]],Tablo14[#All],6,0)," ")</f>
        <v xml:space="preserve"> </v>
      </c>
      <c r="M255" s="100" t="str">
        <f t="shared" si="21"/>
        <v xml:space="preserve"> </v>
      </c>
      <c r="N255" s="100" t="str">
        <f>IFERROR(VLOOKUP(Tablo5[[#This Row],[ÜRÜN KODU]],YMKODLARI!$A$1:$K$363,8,0)," ")</f>
        <v xml:space="preserve"> </v>
      </c>
      <c r="O255" s="100" t="str">
        <f>IFERROR(VLOOKUP(Tablo5[[#This Row],[HAMMADDE KODU]],Tablo1[#All],3,0)," ")</f>
        <v xml:space="preserve"> </v>
      </c>
      <c r="P255" s="100" t="str">
        <f>IFERROR(VLOOKUP(Tablo5[[#This Row],[HAMMADDE KODU]],Tablo1[#All],4,0)," ")</f>
        <v xml:space="preserve"> </v>
      </c>
      <c r="Q255" s="100" t="str">
        <f>IFERROR(VLOOKUP(Tablo5[[#This Row],[ÜRÜN KODU]],YMKODLARI!$A$1:$K$363,5,0)," ")</f>
        <v xml:space="preserve"> </v>
      </c>
      <c r="R255" s="100" t="str">
        <f>IFERROR(VLOOKUP(Tablo5[[#This Row],[ÜRÜN KODU]],YMKODLARI!$A$1:$K$363,6,0)," ")</f>
        <v xml:space="preserve"> </v>
      </c>
      <c r="S255" s="100" t="str">
        <f>IFERROR(Tablo5[[#This Row],[YOLLUK HARİÇ BASKI GRAMI]]/Tablo5[[#This Row],[KALIP GÖZ ADEDİ]]," ")</f>
        <v xml:space="preserve"> </v>
      </c>
      <c r="T255" s="100" t="str">
        <f t="shared" si="23"/>
        <v xml:space="preserve"> </v>
      </c>
      <c r="U255" s="100"/>
      <c r="V255" s="100" t="str">
        <f t="shared" si="22"/>
        <v xml:space="preserve"> </v>
      </c>
      <c r="W255" s="101">
        <f t="shared" si="24"/>
        <v>24</v>
      </c>
      <c r="X255" s="102">
        <f t="shared" si="25"/>
        <v>0</v>
      </c>
      <c r="Y255" s="100" t="str">
        <f t="shared" si="26"/>
        <v xml:space="preserve"> </v>
      </c>
      <c r="Z255" s="100" t="str">
        <f t="shared" si="27"/>
        <v xml:space="preserve"> </v>
      </c>
    </row>
    <row r="256" spans="1:26">
      <c r="A256" s="100"/>
      <c r="B256" s="108" t="str">
        <f>IFERROR(VLOOKUP(Tablo5[[#This Row],[ÜRÜN KODU]],YMKODLARI!$A$1:$K$363,2,0)," ")</f>
        <v xml:space="preserve"> </v>
      </c>
      <c r="C256" s="99"/>
      <c r="D256" s="100"/>
      <c r="E256" s="101"/>
      <c r="F256" s="101"/>
      <c r="G256" s="100" t="str">
        <f>IFERROR(VLOOKUP(Tablo5[[#This Row],[ÜRÜN KODU]],YMKODLARI!$A$1:$K$363,3,0)," ")</f>
        <v xml:space="preserve"> </v>
      </c>
      <c r="H256" s="100" t="str">
        <f>IFERROR(VLOOKUP(Tablo5[[#This Row],[ÜRÜN KODU]],YMKODLARI!$A$1:$K$363,4,0)," ")</f>
        <v xml:space="preserve"> </v>
      </c>
      <c r="I256" s="100"/>
      <c r="J256" s="100" t="str">
        <f>IFERROR(VLOOKUP(Tablo5[[#This Row],[ÜRÜN KODU]],YMKODLARI!$A$1:$K$363,9,0)," ")</f>
        <v xml:space="preserve"> </v>
      </c>
      <c r="K256" s="100" t="str">
        <f>IFERROR(VLOOKUP(Tablo5[[#This Row],[BOYA KODU]],Tablo14[#All],4,0)," ")</f>
        <v xml:space="preserve"> </v>
      </c>
      <c r="L256" s="100" t="str">
        <f>IFERROR(VLOOKUP(Tablo5[[#This Row],[BOYA KODU]],Tablo14[#All],6,0)," ")</f>
        <v xml:space="preserve"> </v>
      </c>
      <c r="M256" s="100" t="str">
        <f t="shared" si="21"/>
        <v xml:space="preserve"> </v>
      </c>
      <c r="N256" s="100" t="str">
        <f>IFERROR(VLOOKUP(Tablo5[[#This Row],[ÜRÜN KODU]],YMKODLARI!$A$1:$K$363,8,0)," ")</f>
        <v xml:space="preserve"> </v>
      </c>
      <c r="O256" s="100" t="str">
        <f>IFERROR(VLOOKUP(Tablo5[[#This Row],[HAMMADDE KODU]],Tablo1[#All],3,0)," ")</f>
        <v xml:space="preserve"> </v>
      </c>
      <c r="P256" s="100" t="str">
        <f>IFERROR(VLOOKUP(Tablo5[[#This Row],[HAMMADDE KODU]],Tablo1[#All],4,0)," ")</f>
        <v xml:space="preserve"> </v>
      </c>
      <c r="Q256" s="100" t="str">
        <f>IFERROR(VLOOKUP(Tablo5[[#This Row],[ÜRÜN KODU]],YMKODLARI!$A$1:$K$363,5,0)," ")</f>
        <v xml:space="preserve"> </v>
      </c>
      <c r="R256" s="100" t="str">
        <f>IFERROR(VLOOKUP(Tablo5[[#This Row],[ÜRÜN KODU]],YMKODLARI!$A$1:$K$363,6,0)," ")</f>
        <v xml:space="preserve"> </v>
      </c>
      <c r="S256" s="100" t="str">
        <f>IFERROR(Tablo5[[#This Row],[YOLLUK HARİÇ BASKI GRAMI]]/Tablo5[[#This Row],[KALIP GÖZ ADEDİ]]," ")</f>
        <v xml:space="preserve"> </v>
      </c>
      <c r="T256" s="100" t="str">
        <f t="shared" si="23"/>
        <v xml:space="preserve"> </v>
      </c>
      <c r="U256" s="100"/>
      <c r="V256" s="100" t="str">
        <f t="shared" si="22"/>
        <v xml:space="preserve"> </v>
      </c>
      <c r="W256" s="101">
        <f t="shared" si="24"/>
        <v>24</v>
      </c>
      <c r="X256" s="102">
        <f t="shared" si="25"/>
        <v>0</v>
      </c>
      <c r="Y256" s="100" t="str">
        <f t="shared" si="26"/>
        <v xml:space="preserve"> </v>
      </c>
      <c r="Z256" s="100" t="str">
        <f t="shared" si="27"/>
        <v xml:space="preserve"> </v>
      </c>
    </row>
    <row r="257" spans="1:26">
      <c r="A257" s="100"/>
      <c r="B257" s="108" t="str">
        <f>IFERROR(VLOOKUP(Tablo5[[#This Row],[ÜRÜN KODU]],YMKODLARI!$A$1:$K$363,2,0)," ")</f>
        <v xml:space="preserve"> </v>
      </c>
      <c r="C257" s="99"/>
      <c r="D257" s="100"/>
      <c r="E257" s="101"/>
      <c r="F257" s="101"/>
      <c r="G257" s="100" t="str">
        <f>IFERROR(VLOOKUP(Tablo5[[#This Row],[ÜRÜN KODU]],YMKODLARI!$A$1:$K$363,3,0)," ")</f>
        <v xml:space="preserve"> </v>
      </c>
      <c r="H257" s="100" t="str">
        <f>IFERROR(VLOOKUP(Tablo5[[#This Row],[ÜRÜN KODU]],YMKODLARI!$A$1:$K$363,4,0)," ")</f>
        <v xml:space="preserve"> </v>
      </c>
      <c r="I257" s="100"/>
      <c r="J257" s="100" t="str">
        <f>IFERROR(VLOOKUP(Tablo5[[#This Row],[ÜRÜN KODU]],YMKODLARI!$A$1:$K$363,9,0)," ")</f>
        <v xml:space="preserve"> </v>
      </c>
      <c r="K257" s="100" t="str">
        <f>IFERROR(VLOOKUP(Tablo5[[#This Row],[BOYA KODU]],Tablo14[#All],4,0)," ")</f>
        <v xml:space="preserve"> </v>
      </c>
      <c r="L257" s="100" t="str">
        <f>IFERROR(VLOOKUP(Tablo5[[#This Row],[BOYA KODU]],Tablo14[#All],6,0)," ")</f>
        <v xml:space="preserve"> </v>
      </c>
      <c r="M257" s="100" t="str">
        <f t="shared" si="21"/>
        <v xml:space="preserve"> </v>
      </c>
      <c r="N257" s="100" t="str">
        <f>IFERROR(VLOOKUP(Tablo5[[#This Row],[ÜRÜN KODU]],YMKODLARI!$A$1:$K$363,8,0)," ")</f>
        <v xml:space="preserve"> </v>
      </c>
      <c r="O257" s="100" t="str">
        <f>IFERROR(VLOOKUP(Tablo5[[#This Row],[HAMMADDE KODU]],Tablo1[#All],3,0)," ")</f>
        <v xml:space="preserve"> </v>
      </c>
      <c r="P257" s="100" t="str">
        <f>IFERROR(VLOOKUP(Tablo5[[#This Row],[HAMMADDE KODU]],Tablo1[#All],4,0)," ")</f>
        <v xml:space="preserve"> </v>
      </c>
      <c r="Q257" s="100" t="str">
        <f>IFERROR(VLOOKUP(Tablo5[[#This Row],[ÜRÜN KODU]],YMKODLARI!$A$1:$K$363,5,0)," ")</f>
        <v xml:space="preserve"> </v>
      </c>
      <c r="R257" s="100" t="str">
        <f>IFERROR(VLOOKUP(Tablo5[[#This Row],[ÜRÜN KODU]],YMKODLARI!$A$1:$K$363,6,0)," ")</f>
        <v xml:space="preserve"> </v>
      </c>
      <c r="S257" s="100" t="str">
        <f>IFERROR(Tablo5[[#This Row],[YOLLUK HARİÇ BASKI GRAMI]]/Tablo5[[#This Row],[KALIP GÖZ ADEDİ]]," ")</f>
        <v xml:space="preserve"> </v>
      </c>
      <c r="T257" s="100" t="str">
        <f t="shared" si="23"/>
        <v xml:space="preserve"> </v>
      </c>
      <c r="U257" s="100"/>
      <c r="V257" s="100" t="str">
        <f t="shared" si="22"/>
        <v xml:space="preserve"> </v>
      </c>
      <c r="W257" s="101">
        <f t="shared" si="24"/>
        <v>24</v>
      </c>
      <c r="X257" s="102">
        <f t="shared" si="25"/>
        <v>0</v>
      </c>
      <c r="Y257" s="100" t="str">
        <f t="shared" si="26"/>
        <v xml:space="preserve"> </v>
      </c>
      <c r="Z257" s="100" t="str">
        <f t="shared" si="27"/>
        <v xml:space="preserve"> </v>
      </c>
    </row>
    <row r="258" spans="1:26">
      <c r="A258" s="100"/>
      <c r="B258" s="108" t="str">
        <f>IFERROR(VLOOKUP(Tablo5[[#This Row],[ÜRÜN KODU]],YMKODLARI!$A$1:$K$363,2,0)," ")</f>
        <v xml:space="preserve"> </v>
      </c>
      <c r="C258" s="99"/>
      <c r="D258" s="100"/>
      <c r="E258" s="101"/>
      <c r="F258" s="101"/>
      <c r="G258" s="100" t="str">
        <f>IFERROR(VLOOKUP(Tablo5[[#This Row],[ÜRÜN KODU]],YMKODLARI!$A$1:$K$363,3,0)," ")</f>
        <v xml:space="preserve"> </v>
      </c>
      <c r="H258" s="100" t="str">
        <f>IFERROR(VLOOKUP(Tablo5[[#This Row],[ÜRÜN KODU]],YMKODLARI!$A$1:$K$363,4,0)," ")</f>
        <v xml:space="preserve"> </v>
      </c>
      <c r="I258" s="100"/>
      <c r="J258" s="100" t="str">
        <f>IFERROR(VLOOKUP(Tablo5[[#This Row],[ÜRÜN KODU]],YMKODLARI!$A$1:$K$363,9,0)," ")</f>
        <v xml:space="preserve"> </v>
      </c>
      <c r="K258" s="100" t="str">
        <f>IFERROR(VLOOKUP(Tablo5[[#This Row],[BOYA KODU]],Tablo14[#All],4,0)," ")</f>
        <v xml:space="preserve"> </v>
      </c>
      <c r="L258" s="100" t="str">
        <f>IFERROR(VLOOKUP(Tablo5[[#This Row],[BOYA KODU]],Tablo14[#All],6,0)," ")</f>
        <v xml:space="preserve"> </v>
      </c>
      <c r="M258" s="100" t="str">
        <f t="shared" si="21"/>
        <v xml:space="preserve"> </v>
      </c>
      <c r="N258" s="100" t="str">
        <f>IFERROR(VLOOKUP(Tablo5[[#This Row],[ÜRÜN KODU]],YMKODLARI!$A$1:$K$363,8,0)," ")</f>
        <v xml:space="preserve"> </v>
      </c>
      <c r="O258" s="100" t="str">
        <f>IFERROR(VLOOKUP(Tablo5[[#This Row],[HAMMADDE KODU]],Tablo1[#All],3,0)," ")</f>
        <v xml:space="preserve"> </v>
      </c>
      <c r="P258" s="100" t="str">
        <f>IFERROR(VLOOKUP(Tablo5[[#This Row],[HAMMADDE KODU]],Tablo1[#All],4,0)," ")</f>
        <v xml:space="preserve"> </v>
      </c>
      <c r="Q258" s="100" t="str">
        <f>IFERROR(VLOOKUP(Tablo5[[#This Row],[ÜRÜN KODU]],YMKODLARI!$A$1:$K$363,5,0)," ")</f>
        <v xml:space="preserve"> </v>
      </c>
      <c r="R258" s="100" t="str">
        <f>IFERROR(VLOOKUP(Tablo5[[#This Row],[ÜRÜN KODU]],YMKODLARI!$A$1:$K$363,6,0)," ")</f>
        <v xml:space="preserve"> </v>
      </c>
      <c r="S258" s="100" t="str">
        <f>IFERROR(Tablo5[[#This Row],[YOLLUK HARİÇ BASKI GRAMI]]/Tablo5[[#This Row],[KALIP GÖZ ADEDİ]]," ")</f>
        <v xml:space="preserve"> </v>
      </c>
      <c r="T258" s="100" t="str">
        <f t="shared" si="23"/>
        <v xml:space="preserve"> </v>
      </c>
      <c r="U258" s="100"/>
      <c r="V258" s="100" t="str">
        <f t="shared" si="22"/>
        <v xml:space="preserve"> </v>
      </c>
      <c r="W258" s="101">
        <f t="shared" si="24"/>
        <v>24</v>
      </c>
      <c r="X258" s="102">
        <f t="shared" si="25"/>
        <v>0</v>
      </c>
      <c r="Y258" s="100" t="str">
        <f t="shared" si="26"/>
        <v xml:space="preserve"> </v>
      </c>
      <c r="Z258" s="100" t="str">
        <f t="shared" si="27"/>
        <v xml:space="preserve"> </v>
      </c>
    </row>
    <row r="259" spans="1:26">
      <c r="A259" s="100"/>
      <c r="B259" s="108" t="str">
        <f>IFERROR(VLOOKUP(Tablo5[[#This Row],[ÜRÜN KODU]],YMKODLARI!$A$1:$K$363,2,0)," ")</f>
        <v xml:space="preserve"> </v>
      </c>
      <c r="C259" s="99"/>
      <c r="D259" s="100"/>
      <c r="E259" s="101"/>
      <c r="F259" s="101"/>
      <c r="G259" s="100" t="str">
        <f>IFERROR(VLOOKUP(Tablo5[[#This Row],[ÜRÜN KODU]],YMKODLARI!$A$1:$K$363,3,0)," ")</f>
        <v xml:space="preserve"> </v>
      </c>
      <c r="H259" s="100" t="str">
        <f>IFERROR(VLOOKUP(Tablo5[[#This Row],[ÜRÜN KODU]],YMKODLARI!$A$1:$K$363,4,0)," ")</f>
        <v xml:space="preserve"> </v>
      </c>
      <c r="I259" s="100"/>
      <c r="J259" s="100" t="str">
        <f>IFERROR(VLOOKUP(Tablo5[[#This Row],[ÜRÜN KODU]],YMKODLARI!$A$1:$K$363,9,0)," ")</f>
        <v xml:space="preserve"> </v>
      </c>
      <c r="K259" s="100" t="str">
        <f>IFERROR(VLOOKUP(Tablo5[[#This Row],[BOYA KODU]],Tablo14[#All],4,0)," ")</f>
        <v xml:space="preserve"> </v>
      </c>
      <c r="L259" s="100" t="str">
        <f>IFERROR(VLOOKUP(Tablo5[[#This Row],[BOYA KODU]],Tablo14[#All],6,0)," ")</f>
        <v xml:space="preserve"> </v>
      </c>
      <c r="M259" s="100" t="str">
        <f t="shared" ref="M259:M322" si="28">IFERROR((I259*Q259)*L259," ")</f>
        <v xml:space="preserve"> </v>
      </c>
      <c r="N259" s="100" t="str">
        <f>IFERROR(VLOOKUP(Tablo5[[#This Row],[ÜRÜN KODU]],YMKODLARI!$A$1:$K$363,8,0)," ")</f>
        <v xml:space="preserve"> </v>
      </c>
      <c r="O259" s="100" t="str">
        <f>IFERROR(VLOOKUP(Tablo5[[#This Row],[HAMMADDE KODU]],Tablo1[#All],3,0)," ")</f>
        <v xml:space="preserve"> </v>
      </c>
      <c r="P259" s="100" t="str">
        <f>IFERROR(VLOOKUP(Tablo5[[#This Row],[HAMMADDE KODU]],Tablo1[#All],4,0)," ")</f>
        <v xml:space="preserve"> </v>
      </c>
      <c r="Q259" s="100" t="str">
        <f>IFERROR(VLOOKUP(Tablo5[[#This Row],[ÜRÜN KODU]],YMKODLARI!$A$1:$K$363,5,0)," ")</f>
        <v xml:space="preserve"> </v>
      </c>
      <c r="R259" s="100" t="str">
        <f>IFERROR(VLOOKUP(Tablo5[[#This Row],[ÜRÜN KODU]],YMKODLARI!$A$1:$K$363,6,0)," ")</f>
        <v xml:space="preserve"> </v>
      </c>
      <c r="S259" s="100" t="str">
        <f>IFERROR(Tablo5[[#This Row],[YOLLUK HARİÇ BASKI GRAMI]]/Tablo5[[#This Row],[KALIP GÖZ ADEDİ]]," ")</f>
        <v xml:space="preserve"> </v>
      </c>
      <c r="T259" s="100" t="str">
        <f t="shared" si="23"/>
        <v xml:space="preserve"> </v>
      </c>
      <c r="U259" s="100"/>
      <c r="V259" s="100" t="str">
        <f t="shared" ref="V259:V322" si="29">IFERROR(U259+(R259*I259) /1000," ")</f>
        <v xml:space="preserve"> </v>
      </c>
      <c r="W259" s="101">
        <f t="shared" si="24"/>
        <v>24</v>
      </c>
      <c r="X259" s="102">
        <f t="shared" si="25"/>
        <v>0</v>
      </c>
      <c r="Y259" s="100" t="str">
        <f t="shared" si="26"/>
        <v xml:space="preserve"> </v>
      </c>
      <c r="Z259" s="100" t="str">
        <f t="shared" si="27"/>
        <v xml:space="preserve"> </v>
      </c>
    </row>
    <row r="260" spans="1:26">
      <c r="A260" s="100"/>
      <c r="B260" s="108" t="str">
        <f>IFERROR(VLOOKUP(Tablo5[[#This Row],[ÜRÜN KODU]],YMKODLARI!$A$1:$K$363,2,0)," ")</f>
        <v xml:space="preserve"> </v>
      </c>
      <c r="C260" s="99"/>
      <c r="D260" s="100"/>
      <c r="E260" s="101"/>
      <c r="F260" s="101"/>
      <c r="G260" s="100" t="str">
        <f>IFERROR(VLOOKUP(Tablo5[[#This Row],[ÜRÜN KODU]],YMKODLARI!$A$1:$K$363,3,0)," ")</f>
        <v xml:space="preserve"> </v>
      </c>
      <c r="H260" s="100" t="str">
        <f>IFERROR(VLOOKUP(Tablo5[[#This Row],[ÜRÜN KODU]],YMKODLARI!$A$1:$K$363,4,0)," ")</f>
        <v xml:space="preserve"> </v>
      </c>
      <c r="I260" s="100"/>
      <c r="J260" s="100" t="str">
        <f>IFERROR(VLOOKUP(Tablo5[[#This Row],[ÜRÜN KODU]],YMKODLARI!$A$1:$K$363,9,0)," ")</f>
        <v xml:space="preserve"> </v>
      </c>
      <c r="K260" s="100" t="str">
        <f>IFERROR(VLOOKUP(Tablo5[[#This Row],[BOYA KODU]],Tablo14[#All],4,0)," ")</f>
        <v xml:space="preserve"> </v>
      </c>
      <c r="L260" s="100" t="str">
        <f>IFERROR(VLOOKUP(Tablo5[[#This Row],[BOYA KODU]],Tablo14[#All],6,0)," ")</f>
        <v xml:space="preserve"> </v>
      </c>
      <c r="M260" s="100" t="str">
        <f t="shared" si="28"/>
        <v xml:space="preserve"> </v>
      </c>
      <c r="N260" s="100" t="str">
        <f>IFERROR(VLOOKUP(Tablo5[[#This Row],[ÜRÜN KODU]],YMKODLARI!$A$1:$K$363,8,0)," ")</f>
        <v xml:space="preserve"> </v>
      </c>
      <c r="O260" s="100" t="str">
        <f>IFERROR(VLOOKUP(Tablo5[[#This Row],[HAMMADDE KODU]],Tablo1[#All],3,0)," ")</f>
        <v xml:space="preserve"> </v>
      </c>
      <c r="P260" s="100" t="str">
        <f>IFERROR(VLOOKUP(Tablo5[[#This Row],[HAMMADDE KODU]],Tablo1[#All],4,0)," ")</f>
        <v xml:space="preserve"> </v>
      </c>
      <c r="Q260" s="100" t="str">
        <f>IFERROR(VLOOKUP(Tablo5[[#This Row],[ÜRÜN KODU]],YMKODLARI!$A$1:$K$363,5,0)," ")</f>
        <v xml:space="preserve"> </v>
      </c>
      <c r="R260" s="100" t="str">
        <f>IFERROR(VLOOKUP(Tablo5[[#This Row],[ÜRÜN KODU]],YMKODLARI!$A$1:$K$363,6,0)," ")</f>
        <v xml:space="preserve"> </v>
      </c>
      <c r="S260" s="100" t="str">
        <f>IFERROR(Tablo5[[#This Row],[YOLLUK HARİÇ BASKI GRAMI]]/Tablo5[[#This Row],[KALIP GÖZ ADEDİ]]," ")</f>
        <v xml:space="preserve"> </v>
      </c>
      <c r="T260" s="100" t="str">
        <f t="shared" ref="T260:T323" si="30">IFERROR(Q260-R260," ")</f>
        <v xml:space="preserve"> </v>
      </c>
      <c r="U260" s="100"/>
      <c r="V260" s="100" t="str">
        <f t="shared" si="29"/>
        <v xml:space="preserve"> </v>
      </c>
      <c r="W260" s="101">
        <f t="shared" ref="W260:W323" si="31">IFERROR(24-(E260-F260)," ")</f>
        <v>24</v>
      </c>
      <c r="X260" s="102">
        <f t="shared" ref="X260:X323" si="32">IFERROR((W260-INT(W260))*24," ")</f>
        <v>0</v>
      </c>
      <c r="Y260" s="100" t="str">
        <f t="shared" ref="Y260:Y323" si="33">IFERROR(H260*I260/3600," ")</f>
        <v xml:space="preserve"> </v>
      </c>
      <c r="Z260" s="100" t="str">
        <f t="shared" ref="Z260:Z323" si="34">IFERROR(I260*G260," " )</f>
        <v xml:space="preserve"> </v>
      </c>
    </row>
    <row r="261" spans="1:26">
      <c r="A261" s="100"/>
      <c r="B261" s="108" t="str">
        <f>IFERROR(VLOOKUP(Tablo5[[#This Row],[ÜRÜN KODU]],YMKODLARI!$A$1:$K$363,2,0)," ")</f>
        <v xml:space="preserve"> </v>
      </c>
      <c r="C261" s="99"/>
      <c r="D261" s="100"/>
      <c r="E261" s="101"/>
      <c r="F261" s="101"/>
      <c r="G261" s="100" t="str">
        <f>IFERROR(VLOOKUP(Tablo5[[#This Row],[ÜRÜN KODU]],YMKODLARI!$A$1:$K$363,3,0)," ")</f>
        <v xml:space="preserve"> </v>
      </c>
      <c r="H261" s="100" t="str">
        <f>IFERROR(VLOOKUP(Tablo5[[#This Row],[ÜRÜN KODU]],YMKODLARI!$A$1:$K$363,4,0)," ")</f>
        <v xml:space="preserve"> </v>
      </c>
      <c r="I261" s="100"/>
      <c r="J261" s="100" t="str">
        <f>IFERROR(VLOOKUP(Tablo5[[#This Row],[ÜRÜN KODU]],YMKODLARI!$A$1:$K$363,9,0)," ")</f>
        <v xml:space="preserve"> </v>
      </c>
      <c r="K261" s="100" t="str">
        <f>IFERROR(VLOOKUP(Tablo5[[#This Row],[BOYA KODU]],Tablo14[#All],4,0)," ")</f>
        <v xml:space="preserve"> </v>
      </c>
      <c r="L261" s="100" t="str">
        <f>IFERROR(VLOOKUP(Tablo5[[#This Row],[BOYA KODU]],Tablo14[#All],6,0)," ")</f>
        <v xml:space="preserve"> </v>
      </c>
      <c r="M261" s="100" t="str">
        <f t="shared" si="28"/>
        <v xml:space="preserve"> </v>
      </c>
      <c r="N261" s="100" t="str">
        <f>IFERROR(VLOOKUP(Tablo5[[#This Row],[ÜRÜN KODU]],YMKODLARI!$A$1:$K$363,8,0)," ")</f>
        <v xml:space="preserve"> </v>
      </c>
      <c r="O261" s="100" t="str">
        <f>IFERROR(VLOOKUP(Tablo5[[#This Row],[HAMMADDE KODU]],Tablo1[#All],3,0)," ")</f>
        <v xml:space="preserve"> </v>
      </c>
      <c r="P261" s="100" t="str">
        <f>IFERROR(VLOOKUP(Tablo5[[#This Row],[HAMMADDE KODU]],Tablo1[#All],4,0)," ")</f>
        <v xml:space="preserve"> </v>
      </c>
      <c r="Q261" s="100" t="str">
        <f>IFERROR(VLOOKUP(Tablo5[[#This Row],[ÜRÜN KODU]],YMKODLARI!$A$1:$K$363,5,0)," ")</f>
        <v xml:space="preserve"> </v>
      </c>
      <c r="R261" s="100" t="str">
        <f>IFERROR(VLOOKUP(Tablo5[[#This Row],[ÜRÜN KODU]],YMKODLARI!$A$1:$K$363,6,0)," ")</f>
        <v xml:space="preserve"> </v>
      </c>
      <c r="S261" s="100" t="str">
        <f>IFERROR(Tablo5[[#This Row],[YOLLUK HARİÇ BASKI GRAMI]]/Tablo5[[#This Row],[KALIP GÖZ ADEDİ]]," ")</f>
        <v xml:space="preserve"> </v>
      </c>
      <c r="T261" s="100" t="str">
        <f t="shared" si="30"/>
        <v xml:space="preserve"> </v>
      </c>
      <c r="U261" s="100"/>
      <c r="V261" s="100" t="str">
        <f t="shared" si="29"/>
        <v xml:space="preserve"> </v>
      </c>
      <c r="W261" s="101">
        <f t="shared" si="31"/>
        <v>24</v>
      </c>
      <c r="X261" s="102">
        <f t="shared" si="32"/>
        <v>0</v>
      </c>
      <c r="Y261" s="100" t="str">
        <f t="shared" si="33"/>
        <v xml:space="preserve"> </v>
      </c>
      <c r="Z261" s="100" t="str">
        <f t="shared" si="34"/>
        <v xml:space="preserve"> </v>
      </c>
    </row>
    <row r="262" spans="1:26">
      <c r="A262" s="100"/>
      <c r="B262" s="108" t="str">
        <f>IFERROR(VLOOKUP(Tablo5[[#This Row],[ÜRÜN KODU]],YMKODLARI!$A$1:$K$363,2,0)," ")</f>
        <v xml:space="preserve"> </v>
      </c>
      <c r="C262" s="99"/>
      <c r="D262" s="100"/>
      <c r="E262" s="101"/>
      <c r="F262" s="101"/>
      <c r="G262" s="100" t="str">
        <f>IFERROR(VLOOKUP(Tablo5[[#This Row],[ÜRÜN KODU]],YMKODLARI!$A$1:$K$363,3,0)," ")</f>
        <v xml:space="preserve"> </v>
      </c>
      <c r="H262" s="100" t="str">
        <f>IFERROR(VLOOKUP(Tablo5[[#This Row],[ÜRÜN KODU]],YMKODLARI!$A$1:$K$363,4,0)," ")</f>
        <v xml:space="preserve"> </v>
      </c>
      <c r="I262" s="100"/>
      <c r="J262" s="100" t="str">
        <f>IFERROR(VLOOKUP(Tablo5[[#This Row],[ÜRÜN KODU]],YMKODLARI!$A$1:$K$363,9,0)," ")</f>
        <v xml:space="preserve"> </v>
      </c>
      <c r="K262" s="100" t="str">
        <f>IFERROR(VLOOKUP(Tablo5[[#This Row],[BOYA KODU]],Tablo14[#All],4,0)," ")</f>
        <v xml:space="preserve"> </v>
      </c>
      <c r="L262" s="100" t="str">
        <f>IFERROR(VLOOKUP(Tablo5[[#This Row],[BOYA KODU]],Tablo14[#All],6,0)," ")</f>
        <v xml:space="preserve"> </v>
      </c>
      <c r="M262" s="100" t="str">
        <f t="shared" si="28"/>
        <v xml:space="preserve"> </v>
      </c>
      <c r="N262" s="100" t="str">
        <f>IFERROR(VLOOKUP(Tablo5[[#This Row],[ÜRÜN KODU]],YMKODLARI!$A$1:$K$363,8,0)," ")</f>
        <v xml:space="preserve"> </v>
      </c>
      <c r="O262" s="100" t="str">
        <f>IFERROR(VLOOKUP(Tablo5[[#This Row],[HAMMADDE KODU]],Tablo1[#All],3,0)," ")</f>
        <v xml:space="preserve"> </v>
      </c>
      <c r="P262" s="100" t="str">
        <f>IFERROR(VLOOKUP(Tablo5[[#This Row],[HAMMADDE KODU]],Tablo1[#All],4,0)," ")</f>
        <v xml:space="preserve"> </v>
      </c>
      <c r="Q262" s="100" t="str">
        <f>IFERROR(VLOOKUP(Tablo5[[#This Row],[ÜRÜN KODU]],YMKODLARI!$A$1:$K$363,5,0)," ")</f>
        <v xml:space="preserve"> </v>
      </c>
      <c r="R262" s="100" t="str">
        <f>IFERROR(VLOOKUP(Tablo5[[#This Row],[ÜRÜN KODU]],YMKODLARI!$A$1:$K$363,6,0)," ")</f>
        <v xml:space="preserve"> </v>
      </c>
      <c r="S262" s="100" t="str">
        <f>IFERROR(Tablo5[[#This Row],[YOLLUK HARİÇ BASKI GRAMI]]/Tablo5[[#This Row],[KALIP GÖZ ADEDİ]]," ")</f>
        <v xml:space="preserve"> </v>
      </c>
      <c r="T262" s="100" t="str">
        <f t="shared" si="30"/>
        <v xml:space="preserve"> </v>
      </c>
      <c r="U262" s="100"/>
      <c r="V262" s="100" t="str">
        <f t="shared" si="29"/>
        <v xml:space="preserve"> </v>
      </c>
      <c r="W262" s="101">
        <f t="shared" si="31"/>
        <v>24</v>
      </c>
      <c r="X262" s="102">
        <f t="shared" si="32"/>
        <v>0</v>
      </c>
      <c r="Y262" s="100" t="str">
        <f t="shared" si="33"/>
        <v xml:space="preserve"> </v>
      </c>
      <c r="Z262" s="100" t="str">
        <f t="shared" si="34"/>
        <v xml:space="preserve"> </v>
      </c>
    </row>
    <row r="263" spans="1:26">
      <c r="A263" s="100"/>
      <c r="B263" s="108" t="str">
        <f>IFERROR(VLOOKUP(Tablo5[[#This Row],[ÜRÜN KODU]],YMKODLARI!$A$1:$K$363,2,0)," ")</f>
        <v xml:space="preserve"> </v>
      </c>
      <c r="C263" s="99"/>
      <c r="D263" s="100"/>
      <c r="E263" s="101"/>
      <c r="F263" s="101"/>
      <c r="G263" s="100" t="str">
        <f>IFERROR(VLOOKUP(Tablo5[[#This Row],[ÜRÜN KODU]],YMKODLARI!$A$1:$K$363,3,0)," ")</f>
        <v xml:space="preserve"> </v>
      </c>
      <c r="H263" s="100" t="str">
        <f>IFERROR(VLOOKUP(Tablo5[[#This Row],[ÜRÜN KODU]],YMKODLARI!$A$1:$K$363,4,0)," ")</f>
        <v xml:space="preserve"> </v>
      </c>
      <c r="I263" s="100"/>
      <c r="J263" s="100" t="str">
        <f>IFERROR(VLOOKUP(Tablo5[[#This Row],[ÜRÜN KODU]],YMKODLARI!$A$1:$K$363,9,0)," ")</f>
        <v xml:space="preserve"> </v>
      </c>
      <c r="K263" s="100" t="str">
        <f>IFERROR(VLOOKUP(Tablo5[[#This Row],[BOYA KODU]],Tablo14[#All],4,0)," ")</f>
        <v xml:space="preserve"> </v>
      </c>
      <c r="L263" s="100" t="str">
        <f>IFERROR(VLOOKUP(Tablo5[[#This Row],[BOYA KODU]],Tablo14[#All],6,0)," ")</f>
        <v xml:space="preserve"> </v>
      </c>
      <c r="M263" s="100" t="str">
        <f t="shared" si="28"/>
        <v xml:space="preserve"> </v>
      </c>
      <c r="N263" s="100" t="str">
        <f>IFERROR(VLOOKUP(Tablo5[[#This Row],[ÜRÜN KODU]],YMKODLARI!$A$1:$K$363,8,0)," ")</f>
        <v xml:space="preserve"> </v>
      </c>
      <c r="O263" s="100" t="str">
        <f>IFERROR(VLOOKUP(Tablo5[[#This Row],[HAMMADDE KODU]],Tablo1[#All],3,0)," ")</f>
        <v xml:space="preserve"> </v>
      </c>
      <c r="P263" s="100" t="str">
        <f>IFERROR(VLOOKUP(Tablo5[[#This Row],[HAMMADDE KODU]],Tablo1[#All],4,0)," ")</f>
        <v xml:space="preserve"> </v>
      </c>
      <c r="Q263" s="100" t="str">
        <f>IFERROR(VLOOKUP(Tablo5[[#This Row],[ÜRÜN KODU]],YMKODLARI!$A$1:$K$363,5,0)," ")</f>
        <v xml:space="preserve"> </v>
      </c>
      <c r="R263" s="100" t="str">
        <f>IFERROR(VLOOKUP(Tablo5[[#This Row],[ÜRÜN KODU]],YMKODLARI!$A$1:$K$363,6,0)," ")</f>
        <v xml:space="preserve"> </v>
      </c>
      <c r="S263" s="100" t="str">
        <f>IFERROR(Tablo5[[#This Row],[YOLLUK HARİÇ BASKI GRAMI]]/Tablo5[[#This Row],[KALIP GÖZ ADEDİ]]," ")</f>
        <v xml:space="preserve"> </v>
      </c>
      <c r="T263" s="100" t="str">
        <f t="shared" si="30"/>
        <v xml:space="preserve"> </v>
      </c>
      <c r="U263" s="100"/>
      <c r="V263" s="100" t="str">
        <f t="shared" si="29"/>
        <v xml:space="preserve"> </v>
      </c>
      <c r="W263" s="101">
        <f t="shared" si="31"/>
        <v>24</v>
      </c>
      <c r="X263" s="102">
        <f t="shared" si="32"/>
        <v>0</v>
      </c>
      <c r="Y263" s="100" t="str">
        <f t="shared" si="33"/>
        <v xml:space="preserve"> </v>
      </c>
      <c r="Z263" s="100" t="str">
        <f t="shared" si="34"/>
        <v xml:space="preserve"> </v>
      </c>
    </row>
    <row r="264" spans="1:26">
      <c r="A264" s="100"/>
      <c r="B264" s="108" t="str">
        <f>IFERROR(VLOOKUP(Tablo5[[#This Row],[ÜRÜN KODU]],YMKODLARI!$A$1:$K$363,2,0)," ")</f>
        <v xml:space="preserve"> </v>
      </c>
      <c r="C264" s="99"/>
      <c r="D264" s="100"/>
      <c r="E264" s="101"/>
      <c r="F264" s="101"/>
      <c r="G264" s="100" t="str">
        <f>IFERROR(VLOOKUP(Tablo5[[#This Row],[ÜRÜN KODU]],YMKODLARI!$A$1:$K$363,3,0)," ")</f>
        <v xml:space="preserve"> </v>
      </c>
      <c r="H264" s="100" t="str">
        <f>IFERROR(VLOOKUP(Tablo5[[#This Row],[ÜRÜN KODU]],YMKODLARI!$A$1:$K$363,4,0)," ")</f>
        <v xml:space="preserve"> </v>
      </c>
      <c r="I264" s="100"/>
      <c r="J264" s="100" t="str">
        <f>IFERROR(VLOOKUP(Tablo5[[#This Row],[ÜRÜN KODU]],YMKODLARI!$A$1:$K$363,9,0)," ")</f>
        <v xml:space="preserve"> </v>
      </c>
      <c r="K264" s="100" t="str">
        <f>IFERROR(VLOOKUP(Tablo5[[#This Row],[BOYA KODU]],Tablo14[#All],4,0)," ")</f>
        <v xml:space="preserve"> </v>
      </c>
      <c r="L264" s="100" t="str">
        <f>IFERROR(VLOOKUP(Tablo5[[#This Row],[BOYA KODU]],Tablo14[#All],6,0)," ")</f>
        <v xml:space="preserve"> </v>
      </c>
      <c r="M264" s="100" t="str">
        <f t="shared" si="28"/>
        <v xml:space="preserve"> </v>
      </c>
      <c r="N264" s="100" t="str">
        <f>IFERROR(VLOOKUP(Tablo5[[#This Row],[ÜRÜN KODU]],YMKODLARI!$A$1:$K$363,8,0)," ")</f>
        <v xml:space="preserve"> </v>
      </c>
      <c r="O264" s="100" t="str">
        <f>IFERROR(VLOOKUP(Tablo5[[#This Row],[HAMMADDE KODU]],Tablo1[#All],3,0)," ")</f>
        <v xml:space="preserve"> </v>
      </c>
      <c r="P264" s="100" t="str">
        <f>IFERROR(VLOOKUP(Tablo5[[#This Row],[HAMMADDE KODU]],Tablo1[#All],4,0)," ")</f>
        <v xml:space="preserve"> </v>
      </c>
      <c r="Q264" s="100" t="str">
        <f>IFERROR(VLOOKUP(Tablo5[[#This Row],[ÜRÜN KODU]],YMKODLARI!$A$1:$K$363,5,0)," ")</f>
        <v xml:space="preserve"> </v>
      </c>
      <c r="R264" s="100" t="str">
        <f>IFERROR(VLOOKUP(Tablo5[[#This Row],[ÜRÜN KODU]],YMKODLARI!$A$1:$K$363,6,0)," ")</f>
        <v xml:space="preserve"> </v>
      </c>
      <c r="S264" s="100" t="str">
        <f>IFERROR(Tablo5[[#This Row],[YOLLUK HARİÇ BASKI GRAMI]]/Tablo5[[#This Row],[KALIP GÖZ ADEDİ]]," ")</f>
        <v xml:space="preserve"> </v>
      </c>
      <c r="T264" s="100" t="str">
        <f t="shared" si="30"/>
        <v xml:space="preserve"> </v>
      </c>
      <c r="U264" s="100"/>
      <c r="V264" s="100" t="str">
        <f t="shared" si="29"/>
        <v xml:space="preserve"> </v>
      </c>
      <c r="W264" s="101">
        <f t="shared" si="31"/>
        <v>24</v>
      </c>
      <c r="X264" s="102">
        <f t="shared" si="32"/>
        <v>0</v>
      </c>
      <c r="Y264" s="100" t="str">
        <f t="shared" si="33"/>
        <v xml:space="preserve"> </v>
      </c>
      <c r="Z264" s="100" t="str">
        <f t="shared" si="34"/>
        <v xml:space="preserve"> </v>
      </c>
    </row>
    <row r="265" spans="1:26">
      <c r="A265" s="100"/>
      <c r="B265" s="108" t="str">
        <f>IFERROR(VLOOKUP(Tablo5[[#This Row],[ÜRÜN KODU]],YMKODLARI!$A$1:$K$363,2,0)," ")</f>
        <v xml:space="preserve"> </v>
      </c>
      <c r="C265" s="99"/>
      <c r="D265" s="100"/>
      <c r="E265" s="101"/>
      <c r="F265" s="101"/>
      <c r="G265" s="100" t="str">
        <f>IFERROR(VLOOKUP(Tablo5[[#This Row],[ÜRÜN KODU]],YMKODLARI!$A$1:$K$363,3,0)," ")</f>
        <v xml:space="preserve"> </v>
      </c>
      <c r="H265" s="100" t="str">
        <f>IFERROR(VLOOKUP(Tablo5[[#This Row],[ÜRÜN KODU]],YMKODLARI!$A$1:$K$363,4,0)," ")</f>
        <v xml:space="preserve"> </v>
      </c>
      <c r="I265" s="100"/>
      <c r="J265" s="100" t="str">
        <f>IFERROR(VLOOKUP(Tablo5[[#This Row],[ÜRÜN KODU]],YMKODLARI!$A$1:$K$363,9,0)," ")</f>
        <v xml:space="preserve"> </v>
      </c>
      <c r="K265" s="100" t="str">
        <f>IFERROR(VLOOKUP(Tablo5[[#This Row],[BOYA KODU]],Tablo14[#All],4,0)," ")</f>
        <v xml:space="preserve"> </v>
      </c>
      <c r="L265" s="100" t="str">
        <f>IFERROR(VLOOKUP(Tablo5[[#This Row],[BOYA KODU]],Tablo14[#All],6,0)," ")</f>
        <v xml:space="preserve"> </v>
      </c>
      <c r="M265" s="100" t="str">
        <f t="shared" si="28"/>
        <v xml:space="preserve"> </v>
      </c>
      <c r="N265" s="100" t="str">
        <f>IFERROR(VLOOKUP(Tablo5[[#This Row],[ÜRÜN KODU]],YMKODLARI!$A$1:$K$363,8,0)," ")</f>
        <v xml:space="preserve"> </v>
      </c>
      <c r="O265" s="100" t="str">
        <f>IFERROR(VLOOKUP(Tablo5[[#This Row],[HAMMADDE KODU]],Tablo1[#All],3,0)," ")</f>
        <v xml:space="preserve"> </v>
      </c>
      <c r="P265" s="100" t="str">
        <f>IFERROR(VLOOKUP(Tablo5[[#This Row],[HAMMADDE KODU]],Tablo1[#All],4,0)," ")</f>
        <v xml:space="preserve"> </v>
      </c>
      <c r="Q265" s="100" t="str">
        <f>IFERROR(VLOOKUP(Tablo5[[#This Row],[ÜRÜN KODU]],YMKODLARI!$A$1:$K$363,5,0)," ")</f>
        <v xml:space="preserve"> </v>
      </c>
      <c r="R265" s="100" t="str">
        <f>IFERROR(VLOOKUP(Tablo5[[#This Row],[ÜRÜN KODU]],YMKODLARI!$A$1:$K$363,6,0)," ")</f>
        <v xml:space="preserve"> </v>
      </c>
      <c r="S265" s="100" t="str">
        <f>IFERROR(Tablo5[[#This Row],[YOLLUK HARİÇ BASKI GRAMI]]/Tablo5[[#This Row],[KALIP GÖZ ADEDİ]]," ")</f>
        <v xml:space="preserve"> </v>
      </c>
      <c r="T265" s="100" t="str">
        <f t="shared" si="30"/>
        <v xml:space="preserve"> </v>
      </c>
      <c r="U265" s="100"/>
      <c r="V265" s="100" t="str">
        <f t="shared" si="29"/>
        <v xml:space="preserve"> </v>
      </c>
      <c r="W265" s="101">
        <f t="shared" si="31"/>
        <v>24</v>
      </c>
      <c r="X265" s="102">
        <f t="shared" si="32"/>
        <v>0</v>
      </c>
      <c r="Y265" s="100" t="str">
        <f t="shared" si="33"/>
        <v xml:space="preserve"> </v>
      </c>
      <c r="Z265" s="100" t="str">
        <f t="shared" si="34"/>
        <v xml:space="preserve"> </v>
      </c>
    </row>
    <row r="266" spans="1:26">
      <c r="A266" s="100"/>
      <c r="B266" s="108" t="str">
        <f>IFERROR(VLOOKUP(Tablo5[[#This Row],[ÜRÜN KODU]],YMKODLARI!$A$1:$K$363,2,0)," ")</f>
        <v xml:space="preserve"> </v>
      </c>
      <c r="C266" s="99"/>
      <c r="D266" s="100"/>
      <c r="E266" s="101"/>
      <c r="F266" s="101"/>
      <c r="G266" s="100" t="str">
        <f>IFERROR(VLOOKUP(Tablo5[[#This Row],[ÜRÜN KODU]],YMKODLARI!$A$1:$K$363,3,0)," ")</f>
        <v xml:space="preserve"> </v>
      </c>
      <c r="H266" s="100" t="str">
        <f>IFERROR(VLOOKUP(Tablo5[[#This Row],[ÜRÜN KODU]],YMKODLARI!$A$1:$K$363,4,0)," ")</f>
        <v xml:space="preserve"> </v>
      </c>
      <c r="I266" s="100"/>
      <c r="J266" s="100" t="str">
        <f>IFERROR(VLOOKUP(Tablo5[[#This Row],[ÜRÜN KODU]],YMKODLARI!$A$1:$K$363,9,0)," ")</f>
        <v xml:space="preserve"> </v>
      </c>
      <c r="K266" s="100" t="str">
        <f>IFERROR(VLOOKUP(Tablo5[[#This Row],[BOYA KODU]],Tablo14[#All],4,0)," ")</f>
        <v xml:space="preserve"> </v>
      </c>
      <c r="L266" s="100" t="str">
        <f>IFERROR(VLOOKUP(Tablo5[[#This Row],[BOYA KODU]],Tablo14[#All],6,0)," ")</f>
        <v xml:space="preserve"> </v>
      </c>
      <c r="M266" s="100" t="str">
        <f t="shared" si="28"/>
        <v xml:space="preserve"> </v>
      </c>
      <c r="N266" s="100" t="str">
        <f>IFERROR(VLOOKUP(Tablo5[[#This Row],[ÜRÜN KODU]],YMKODLARI!$A$1:$K$363,8,0)," ")</f>
        <v xml:space="preserve"> </v>
      </c>
      <c r="O266" s="100" t="str">
        <f>IFERROR(VLOOKUP(Tablo5[[#This Row],[HAMMADDE KODU]],Tablo1[#All],3,0)," ")</f>
        <v xml:space="preserve"> </v>
      </c>
      <c r="P266" s="100" t="str">
        <f>IFERROR(VLOOKUP(Tablo5[[#This Row],[HAMMADDE KODU]],Tablo1[#All],4,0)," ")</f>
        <v xml:space="preserve"> </v>
      </c>
      <c r="Q266" s="100" t="str">
        <f>IFERROR(VLOOKUP(Tablo5[[#This Row],[ÜRÜN KODU]],YMKODLARI!$A$1:$K$363,5,0)," ")</f>
        <v xml:space="preserve"> </v>
      </c>
      <c r="R266" s="100" t="str">
        <f>IFERROR(VLOOKUP(Tablo5[[#This Row],[ÜRÜN KODU]],YMKODLARI!$A$1:$K$363,6,0)," ")</f>
        <v xml:space="preserve"> </v>
      </c>
      <c r="S266" s="100" t="str">
        <f>IFERROR(Tablo5[[#This Row],[YOLLUK HARİÇ BASKI GRAMI]]/Tablo5[[#This Row],[KALIP GÖZ ADEDİ]]," ")</f>
        <v xml:space="preserve"> </v>
      </c>
      <c r="T266" s="100" t="str">
        <f t="shared" si="30"/>
        <v xml:space="preserve"> </v>
      </c>
      <c r="U266" s="100"/>
      <c r="V266" s="100" t="str">
        <f t="shared" si="29"/>
        <v xml:space="preserve"> </v>
      </c>
      <c r="W266" s="101">
        <f t="shared" si="31"/>
        <v>24</v>
      </c>
      <c r="X266" s="102">
        <f t="shared" si="32"/>
        <v>0</v>
      </c>
      <c r="Y266" s="100" t="str">
        <f t="shared" si="33"/>
        <v xml:space="preserve"> </v>
      </c>
      <c r="Z266" s="100" t="str">
        <f t="shared" si="34"/>
        <v xml:space="preserve"> </v>
      </c>
    </row>
    <row r="267" spans="1:26">
      <c r="A267" s="100"/>
      <c r="B267" s="108" t="str">
        <f>IFERROR(VLOOKUP(Tablo5[[#This Row],[ÜRÜN KODU]],YMKODLARI!$A$1:$K$363,2,0)," ")</f>
        <v xml:space="preserve"> </v>
      </c>
      <c r="C267" s="99"/>
      <c r="D267" s="100"/>
      <c r="E267" s="101"/>
      <c r="F267" s="101"/>
      <c r="G267" s="100" t="str">
        <f>IFERROR(VLOOKUP(Tablo5[[#This Row],[ÜRÜN KODU]],YMKODLARI!$A$1:$K$363,3,0)," ")</f>
        <v xml:space="preserve"> </v>
      </c>
      <c r="H267" s="100" t="str">
        <f>IFERROR(VLOOKUP(Tablo5[[#This Row],[ÜRÜN KODU]],YMKODLARI!$A$1:$K$363,4,0)," ")</f>
        <v xml:space="preserve"> </v>
      </c>
      <c r="I267" s="100"/>
      <c r="J267" s="100" t="str">
        <f>IFERROR(VLOOKUP(Tablo5[[#This Row],[ÜRÜN KODU]],YMKODLARI!$A$1:$K$363,9,0)," ")</f>
        <v xml:space="preserve"> </v>
      </c>
      <c r="K267" s="100" t="str">
        <f>IFERROR(VLOOKUP(Tablo5[[#This Row],[BOYA KODU]],Tablo14[#All],4,0)," ")</f>
        <v xml:space="preserve"> </v>
      </c>
      <c r="L267" s="100" t="str">
        <f>IFERROR(VLOOKUP(Tablo5[[#This Row],[BOYA KODU]],Tablo14[#All],6,0)," ")</f>
        <v xml:space="preserve"> </v>
      </c>
      <c r="M267" s="100" t="str">
        <f t="shared" si="28"/>
        <v xml:space="preserve"> </v>
      </c>
      <c r="N267" s="100" t="str">
        <f>IFERROR(VLOOKUP(Tablo5[[#This Row],[ÜRÜN KODU]],YMKODLARI!$A$1:$K$363,8,0)," ")</f>
        <v xml:space="preserve"> </v>
      </c>
      <c r="O267" s="100" t="str">
        <f>IFERROR(VLOOKUP(Tablo5[[#This Row],[HAMMADDE KODU]],Tablo1[#All],3,0)," ")</f>
        <v xml:space="preserve"> </v>
      </c>
      <c r="P267" s="100" t="str">
        <f>IFERROR(VLOOKUP(Tablo5[[#This Row],[HAMMADDE KODU]],Tablo1[#All],4,0)," ")</f>
        <v xml:space="preserve"> </v>
      </c>
      <c r="Q267" s="100" t="str">
        <f>IFERROR(VLOOKUP(Tablo5[[#This Row],[ÜRÜN KODU]],YMKODLARI!$A$1:$K$363,5,0)," ")</f>
        <v xml:space="preserve"> </v>
      </c>
      <c r="R267" s="100" t="str">
        <f>IFERROR(VLOOKUP(Tablo5[[#This Row],[ÜRÜN KODU]],YMKODLARI!$A$1:$K$363,6,0)," ")</f>
        <v xml:space="preserve"> </v>
      </c>
      <c r="S267" s="100" t="str">
        <f>IFERROR(Tablo5[[#This Row],[YOLLUK HARİÇ BASKI GRAMI]]/Tablo5[[#This Row],[KALIP GÖZ ADEDİ]]," ")</f>
        <v xml:space="preserve"> </v>
      </c>
      <c r="T267" s="100" t="str">
        <f t="shared" si="30"/>
        <v xml:space="preserve"> </v>
      </c>
      <c r="U267" s="100"/>
      <c r="V267" s="100" t="str">
        <f t="shared" si="29"/>
        <v xml:space="preserve"> </v>
      </c>
      <c r="W267" s="101">
        <f t="shared" si="31"/>
        <v>24</v>
      </c>
      <c r="X267" s="102">
        <f t="shared" si="32"/>
        <v>0</v>
      </c>
      <c r="Y267" s="100" t="str">
        <f t="shared" si="33"/>
        <v xml:space="preserve"> </v>
      </c>
      <c r="Z267" s="100" t="str">
        <f t="shared" si="34"/>
        <v xml:space="preserve"> </v>
      </c>
    </row>
    <row r="268" spans="1:26">
      <c r="A268" s="100"/>
      <c r="B268" s="108" t="str">
        <f>IFERROR(VLOOKUP(Tablo5[[#This Row],[ÜRÜN KODU]],YMKODLARI!$A$1:$K$363,2,0)," ")</f>
        <v xml:space="preserve"> </v>
      </c>
      <c r="C268" s="99"/>
      <c r="D268" s="100"/>
      <c r="E268" s="101"/>
      <c r="F268" s="101"/>
      <c r="G268" s="100" t="str">
        <f>IFERROR(VLOOKUP(Tablo5[[#This Row],[ÜRÜN KODU]],YMKODLARI!$A$1:$K$363,3,0)," ")</f>
        <v xml:space="preserve"> </v>
      </c>
      <c r="H268" s="100" t="str">
        <f>IFERROR(VLOOKUP(Tablo5[[#This Row],[ÜRÜN KODU]],YMKODLARI!$A$1:$K$363,4,0)," ")</f>
        <v xml:space="preserve"> </v>
      </c>
      <c r="I268" s="100"/>
      <c r="J268" s="100" t="str">
        <f>IFERROR(VLOOKUP(Tablo5[[#This Row],[ÜRÜN KODU]],YMKODLARI!$A$1:$K$363,9,0)," ")</f>
        <v xml:space="preserve"> </v>
      </c>
      <c r="K268" s="100" t="str">
        <f>IFERROR(VLOOKUP(Tablo5[[#This Row],[BOYA KODU]],Tablo14[#All],4,0)," ")</f>
        <v xml:space="preserve"> </v>
      </c>
      <c r="L268" s="100" t="str">
        <f>IFERROR(VLOOKUP(Tablo5[[#This Row],[BOYA KODU]],Tablo14[#All],6,0)," ")</f>
        <v xml:space="preserve"> </v>
      </c>
      <c r="M268" s="100" t="str">
        <f t="shared" si="28"/>
        <v xml:space="preserve"> </v>
      </c>
      <c r="N268" s="100" t="str">
        <f>IFERROR(VLOOKUP(Tablo5[[#This Row],[ÜRÜN KODU]],YMKODLARI!$A$1:$K$363,8,0)," ")</f>
        <v xml:space="preserve"> </v>
      </c>
      <c r="O268" s="100" t="str">
        <f>IFERROR(VLOOKUP(Tablo5[[#This Row],[HAMMADDE KODU]],Tablo1[#All],3,0)," ")</f>
        <v xml:space="preserve"> </v>
      </c>
      <c r="P268" s="100" t="str">
        <f>IFERROR(VLOOKUP(Tablo5[[#This Row],[HAMMADDE KODU]],Tablo1[#All],4,0)," ")</f>
        <v xml:space="preserve"> </v>
      </c>
      <c r="Q268" s="100" t="str">
        <f>IFERROR(VLOOKUP(Tablo5[[#This Row],[ÜRÜN KODU]],YMKODLARI!$A$1:$K$363,5,0)," ")</f>
        <v xml:space="preserve"> </v>
      </c>
      <c r="R268" s="100" t="str">
        <f>IFERROR(VLOOKUP(Tablo5[[#This Row],[ÜRÜN KODU]],YMKODLARI!$A$1:$K$363,6,0)," ")</f>
        <v xml:space="preserve"> </v>
      </c>
      <c r="S268" s="100" t="str">
        <f>IFERROR(Tablo5[[#This Row],[YOLLUK HARİÇ BASKI GRAMI]]/Tablo5[[#This Row],[KALIP GÖZ ADEDİ]]," ")</f>
        <v xml:space="preserve"> </v>
      </c>
      <c r="T268" s="100" t="str">
        <f t="shared" si="30"/>
        <v xml:space="preserve"> </v>
      </c>
      <c r="U268" s="100"/>
      <c r="V268" s="100" t="str">
        <f t="shared" si="29"/>
        <v xml:space="preserve"> </v>
      </c>
      <c r="W268" s="101">
        <f t="shared" si="31"/>
        <v>24</v>
      </c>
      <c r="X268" s="102">
        <f t="shared" si="32"/>
        <v>0</v>
      </c>
      <c r="Y268" s="100" t="str">
        <f t="shared" si="33"/>
        <v xml:space="preserve"> </v>
      </c>
      <c r="Z268" s="100" t="str">
        <f t="shared" si="34"/>
        <v xml:space="preserve"> </v>
      </c>
    </row>
    <row r="269" spans="1:26">
      <c r="A269" s="100"/>
      <c r="B269" s="108" t="str">
        <f>IFERROR(VLOOKUP(Tablo5[[#This Row],[ÜRÜN KODU]],YMKODLARI!$A$1:$K$363,2,0)," ")</f>
        <v xml:space="preserve"> </v>
      </c>
      <c r="C269" s="99"/>
      <c r="D269" s="100"/>
      <c r="E269" s="101"/>
      <c r="F269" s="101"/>
      <c r="G269" s="100" t="str">
        <f>IFERROR(VLOOKUP(Tablo5[[#This Row],[ÜRÜN KODU]],YMKODLARI!$A$1:$K$363,3,0)," ")</f>
        <v xml:space="preserve"> </v>
      </c>
      <c r="H269" s="100" t="str">
        <f>IFERROR(VLOOKUP(Tablo5[[#This Row],[ÜRÜN KODU]],YMKODLARI!$A$1:$K$363,4,0)," ")</f>
        <v xml:space="preserve"> </v>
      </c>
      <c r="I269" s="100"/>
      <c r="J269" s="100" t="str">
        <f>IFERROR(VLOOKUP(Tablo5[[#This Row],[ÜRÜN KODU]],YMKODLARI!$A$1:$K$363,9,0)," ")</f>
        <v xml:space="preserve"> </v>
      </c>
      <c r="K269" s="100" t="str">
        <f>IFERROR(VLOOKUP(Tablo5[[#This Row],[BOYA KODU]],Tablo14[#All],4,0)," ")</f>
        <v xml:space="preserve"> </v>
      </c>
      <c r="L269" s="100" t="str">
        <f>IFERROR(VLOOKUP(Tablo5[[#This Row],[BOYA KODU]],Tablo14[#All],6,0)," ")</f>
        <v xml:space="preserve"> </v>
      </c>
      <c r="M269" s="100" t="str">
        <f t="shared" si="28"/>
        <v xml:space="preserve"> </v>
      </c>
      <c r="N269" s="100" t="str">
        <f>IFERROR(VLOOKUP(Tablo5[[#This Row],[ÜRÜN KODU]],YMKODLARI!$A$1:$K$363,8,0)," ")</f>
        <v xml:space="preserve"> </v>
      </c>
      <c r="O269" s="100" t="str">
        <f>IFERROR(VLOOKUP(Tablo5[[#This Row],[HAMMADDE KODU]],Tablo1[#All],3,0)," ")</f>
        <v xml:space="preserve"> </v>
      </c>
      <c r="P269" s="100" t="str">
        <f>IFERROR(VLOOKUP(Tablo5[[#This Row],[HAMMADDE KODU]],Tablo1[#All],4,0)," ")</f>
        <v xml:space="preserve"> </v>
      </c>
      <c r="Q269" s="100" t="str">
        <f>IFERROR(VLOOKUP(Tablo5[[#This Row],[ÜRÜN KODU]],YMKODLARI!$A$1:$K$363,5,0)," ")</f>
        <v xml:space="preserve"> </v>
      </c>
      <c r="R269" s="100" t="str">
        <f>IFERROR(VLOOKUP(Tablo5[[#This Row],[ÜRÜN KODU]],YMKODLARI!$A$1:$K$363,6,0)," ")</f>
        <v xml:space="preserve"> </v>
      </c>
      <c r="S269" s="100" t="str">
        <f>IFERROR(Tablo5[[#This Row],[YOLLUK HARİÇ BASKI GRAMI]]/Tablo5[[#This Row],[KALIP GÖZ ADEDİ]]," ")</f>
        <v xml:space="preserve"> </v>
      </c>
      <c r="T269" s="100" t="str">
        <f t="shared" si="30"/>
        <v xml:space="preserve"> </v>
      </c>
      <c r="U269" s="100"/>
      <c r="V269" s="100" t="str">
        <f t="shared" si="29"/>
        <v xml:space="preserve"> </v>
      </c>
      <c r="W269" s="101">
        <f t="shared" si="31"/>
        <v>24</v>
      </c>
      <c r="X269" s="102">
        <f t="shared" si="32"/>
        <v>0</v>
      </c>
      <c r="Y269" s="100" t="str">
        <f t="shared" si="33"/>
        <v xml:space="preserve"> </v>
      </c>
      <c r="Z269" s="100" t="str">
        <f t="shared" si="34"/>
        <v xml:space="preserve"> </v>
      </c>
    </row>
    <row r="270" spans="1:26">
      <c r="A270" s="100"/>
      <c r="B270" s="108" t="str">
        <f>IFERROR(VLOOKUP(Tablo5[[#This Row],[ÜRÜN KODU]],YMKODLARI!$A$1:$K$363,2,0)," ")</f>
        <v xml:space="preserve"> </v>
      </c>
      <c r="C270" s="99"/>
      <c r="D270" s="100"/>
      <c r="E270" s="101"/>
      <c r="F270" s="101"/>
      <c r="G270" s="100" t="str">
        <f>IFERROR(VLOOKUP(Tablo5[[#This Row],[ÜRÜN KODU]],YMKODLARI!$A$1:$K$363,3,0)," ")</f>
        <v xml:space="preserve"> </v>
      </c>
      <c r="H270" s="100" t="str">
        <f>IFERROR(VLOOKUP(Tablo5[[#This Row],[ÜRÜN KODU]],YMKODLARI!$A$1:$K$363,4,0)," ")</f>
        <v xml:space="preserve"> </v>
      </c>
      <c r="I270" s="100"/>
      <c r="J270" s="100" t="str">
        <f>IFERROR(VLOOKUP(Tablo5[[#This Row],[ÜRÜN KODU]],YMKODLARI!$A$1:$K$363,9,0)," ")</f>
        <v xml:space="preserve"> </v>
      </c>
      <c r="K270" s="100" t="str">
        <f>IFERROR(VLOOKUP(Tablo5[[#This Row],[BOYA KODU]],Tablo14[#All],4,0)," ")</f>
        <v xml:space="preserve"> </v>
      </c>
      <c r="L270" s="100" t="str">
        <f>IFERROR(VLOOKUP(Tablo5[[#This Row],[BOYA KODU]],Tablo14[#All],6,0)," ")</f>
        <v xml:space="preserve"> </v>
      </c>
      <c r="M270" s="100" t="str">
        <f t="shared" si="28"/>
        <v xml:space="preserve"> </v>
      </c>
      <c r="N270" s="100" t="str">
        <f>IFERROR(VLOOKUP(Tablo5[[#This Row],[ÜRÜN KODU]],YMKODLARI!$A$1:$K$363,8,0)," ")</f>
        <v xml:space="preserve"> </v>
      </c>
      <c r="O270" s="100" t="str">
        <f>IFERROR(VLOOKUP(Tablo5[[#This Row],[HAMMADDE KODU]],Tablo1[#All],3,0)," ")</f>
        <v xml:space="preserve"> </v>
      </c>
      <c r="P270" s="100" t="str">
        <f>IFERROR(VLOOKUP(Tablo5[[#This Row],[HAMMADDE KODU]],Tablo1[#All],4,0)," ")</f>
        <v xml:space="preserve"> </v>
      </c>
      <c r="Q270" s="100" t="str">
        <f>IFERROR(VLOOKUP(Tablo5[[#This Row],[ÜRÜN KODU]],YMKODLARI!$A$1:$K$363,5,0)," ")</f>
        <v xml:space="preserve"> </v>
      </c>
      <c r="R270" s="100" t="str">
        <f>IFERROR(VLOOKUP(Tablo5[[#This Row],[ÜRÜN KODU]],YMKODLARI!$A$1:$K$363,6,0)," ")</f>
        <v xml:space="preserve"> </v>
      </c>
      <c r="S270" s="100" t="str">
        <f>IFERROR(Tablo5[[#This Row],[YOLLUK HARİÇ BASKI GRAMI]]/Tablo5[[#This Row],[KALIP GÖZ ADEDİ]]," ")</f>
        <v xml:space="preserve"> </v>
      </c>
      <c r="T270" s="100" t="str">
        <f t="shared" si="30"/>
        <v xml:space="preserve"> </v>
      </c>
      <c r="U270" s="100"/>
      <c r="V270" s="100" t="str">
        <f t="shared" si="29"/>
        <v xml:space="preserve"> </v>
      </c>
      <c r="W270" s="101">
        <f t="shared" si="31"/>
        <v>24</v>
      </c>
      <c r="X270" s="102">
        <f t="shared" si="32"/>
        <v>0</v>
      </c>
      <c r="Y270" s="100" t="str">
        <f t="shared" si="33"/>
        <v xml:space="preserve"> </v>
      </c>
      <c r="Z270" s="100" t="str">
        <f t="shared" si="34"/>
        <v xml:space="preserve"> </v>
      </c>
    </row>
    <row r="271" spans="1:26">
      <c r="A271" s="100"/>
      <c r="B271" s="108" t="str">
        <f>IFERROR(VLOOKUP(Tablo5[[#This Row],[ÜRÜN KODU]],YMKODLARI!$A$1:$K$363,2,0)," ")</f>
        <v xml:space="preserve"> </v>
      </c>
      <c r="C271" s="99"/>
      <c r="D271" s="100"/>
      <c r="E271" s="101"/>
      <c r="F271" s="101"/>
      <c r="G271" s="100" t="str">
        <f>IFERROR(VLOOKUP(Tablo5[[#This Row],[ÜRÜN KODU]],YMKODLARI!$A$1:$K$363,3,0)," ")</f>
        <v xml:space="preserve"> </v>
      </c>
      <c r="H271" s="100" t="str">
        <f>IFERROR(VLOOKUP(Tablo5[[#This Row],[ÜRÜN KODU]],YMKODLARI!$A$1:$K$363,4,0)," ")</f>
        <v xml:space="preserve"> </v>
      </c>
      <c r="I271" s="100"/>
      <c r="J271" s="100" t="str">
        <f>IFERROR(VLOOKUP(Tablo5[[#This Row],[ÜRÜN KODU]],YMKODLARI!$A$1:$K$363,9,0)," ")</f>
        <v xml:space="preserve"> </v>
      </c>
      <c r="K271" s="100" t="str">
        <f>IFERROR(VLOOKUP(Tablo5[[#This Row],[BOYA KODU]],Tablo14[#All],4,0)," ")</f>
        <v xml:space="preserve"> </v>
      </c>
      <c r="L271" s="100" t="str">
        <f>IFERROR(VLOOKUP(Tablo5[[#This Row],[BOYA KODU]],Tablo14[#All],6,0)," ")</f>
        <v xml:space="preserve"> </v>
      </c>
      <c r="M271" s="100" t="str">
        <f t="shared" si="28"/>
        <v xml:space="preserve"> </v>
      </c>
      <c r="N271" s="100" t="str">
        <f>IFERROR(VLOOKUP(Tablo5[[#This Row],[ÜRÜN KODU]],YMKODLARI!$A$1:$K$363,8,0)," ")</f>
        <v xml:space="preserve"> </v>
      </c>
      <c r="O271" s="100" t="str">
        <f>IFERROR(VLOOKUP(Tablo5[[#This Row],[HAMMADDE KODU]],Tablo1[#All],3,0)," ")</f>
        <v xml:space="preserve"> </v>
      </c>
      <c r="P271" s="100" t="str">
        <f>IFERROR(VLOOKUP(Tablo5[[#This Row],[HAMMADDE KODU]],Tablo1[#All],4,0)," ")</f>
        <v xml:space="preserve"> </v>
      </c>
      <c r="Q271" s="100" t="str">
        <f>IFERROR(VLOOKUP(Tablo5[[#This Row],[ÜRÜN KODU]],YMKODLARI!$A$1:$K$363,5,0)," ")</f>
        <v xml:space="preserve"> </v>
      </c>
      <c r="R271" s="100" t="str">
        <f>IFERROR(VLOOKUP(Tablo5[[#This Row],[ÜRÜN KODU]],YMKODLARI!$A$1:$K$363,6,0)," ")</f>
        <v xml:space="preserve"> </v>
      </c>
      <c r="S271" s="100" t="str">
        <f>IFERROR(Tablo5[[#This Row],[YOLLUK HARİÇ BASKI GRAMI]]/Tablo5[[#This Row],[KALIP GÖZ ADEDİ]]," ")</f>
        <v xml:space="preserve"> </v>
      </c>
      <c r="T271" s="100" t="str">
        <f t="shared" si="30"/>
        <v xml:space="preserve"> </v>
      </c>
      <c r="U271" s="100"/>
      <c r="V271" s="100" t="str">
        <f t="shared" si="29"/>
        <v xml:space="preserve"> </v>
      </c>
      <c r="W271" s="101">
        <f t="shared" si="31"/>
        <v>24</v>
      </c>
      <c r="X271" s="102">
        <f t="shared" si="32"/>
        <v>0</v>
      </c>
      <c r="Y271" s="100" t="str">
        <f t="shared" si="33"/>
        <v xml:space="preserve"> </v>
      </c>
      <c r="Z271" s="100" t="str">
        <f t="shared" si="34"/>
        <v xml:space="preserve"> </v>
      </c>
    </row>
    <row r="272" spans="1:26">
      <c r="A272" s="100"/>
      <c r="B272" s="108" t="str">
        <f>IFERROR(VLOOKUP(Tablo5[[#This Row],[ÜRÜN KODU]],YMKODLARI!$A$1:$K$363,2,0)," ")</f>
        <v xml:space="preserve"> </v>
      </c>
      <c r="C272" s="99"/>
      <c r="D272" s="100"/>
      <c r="E272" s="101"/>
      <c r="F272" s="101"/>
      <c r="G272" s="100" t="str">
        <f>IFERROR(VLOOKUP(Tablo5[[#This Row],[ÜRÜN KODU]],YMKODLARI!$A$1:$K$363,3,0)," ")</f>
        <v xml:space="preserve"> </v>
      </c>
      <c r="H272" s="100" t="str">
        <f>IFERROR(VLOOKUP(Tablo5[[#This Row],[ÜRÜN KODU]],YMKODLARI!$A$1:$K$363,4,0)," ")</f>
        <v xml:space="preserve"> </v>
      </c>
      <c r="I272" s="100"/>
      <c r="J272" s="100" t="str">
        <f>IFERROR(VLOOKUP(Tablo5[[#This Row],[ÜRÜN KODU]],YMKODLARI!$A$1:$K$363,9,0)," ")</f>
        <v xml:space="preserve"> </v>
      </c>
      <c r="K272" s="100" t="str">
        <f>IFERROR(VLOOKUP(Tablo5[[#This Row],[BOYA KODU]],Tablo14[#All],4,0)," ")</f>
        <v xml:space="preserve"> </v>
      </c>
      <c r="L272" s="100" t="str">
        <f>IFERROR(VLOOKUP(Tablo5[[#This Row],[BOYA KODU]],Tablo14[#All],6,0)," ")</f>
        <v xml:space="preserve"> </v>
      </c>
      <c r="M272" s="100" t="str">
        <f t="shared" si="28"/>
        <v xml:space="preserve"> </v>
      </c>
      <c r="N272" s="100" t="str">
        <f>IFERROR(VLOOKUP(Tablo5[[#This Row],[ÜRÜN KODU]],YMKODLARI!$A$1:$K$363,8,0)," ")</f>
        <v xml:space="preserve"> </v>
      </c>
      <c r="O272" s="100" t="str">
        <f>IFERROR(VLOOKUP(Tablo5[[#This Row],[HAMMADDE KODU]],Tablo1[#All],3,0)," ")</f>
        <v xml:space="preserve"> </v>
      </c>
      <c r="P272" s="100" t="str">
        <f>IFERROR(VLOOKUP(Tablo5[[#This Row],[HAMMADDE KODU]],Tablo1[#All],4,0)," ")</f>
        <v xml:space="preserve"> </v>
      </c>
      <c r="Q272" s="100" t="str">
        <f>IFERROR(VLOOKUP(Tablo5[[#This Row],[ÜRÜN KODU]],YMKODLARI!$A$1:$K$363,5,0)," ")</f>
        <v xml:space="preserve"> </v>
      </c>
      <c r="R272" s="100" t="str">
        <f>IFERROR(VLOOKUP(Tablo5[[#This Row],[ÜRÜN KODU]],YMKODLARI!$A$1:$K$363,6,0)," ")</f>
        <v xml:space="preserve"> </v>
      </c>
      <c r="S272" s="100" t="str">
        <f>IFERROR(Tablo5[[#This Row],[YOLLUK HARİÇ BASKI GRAMI]]/Tablo5[[#This Row],[KALIP GÖZ ADEDİ]]," ")</f>
        <v xml:space="preserve"> </v>
      </c>
      <c r="T272" s="100" t="str">
        <f t="shared" si="30"/>
        <v xml:space="preserve"> </v>
      </c>
      <c r="U272" s="100"/>
      <c r="V272" s="100" t="str">
        <f t="shared" si="29"/>
        <v xml:space="preserve"> </v>
      </c>
      <c r="W272" s="101">
        <f t="shared" si="31"/>
        <v>24</v>
      </c>
      <c r="X272" s="102">
        <f t="shared" si="32"/>
        <v>0</v>
      </c>
      <c r="Y272" s="100" t="str">
        <f t="shared" si="33"/>
        <v xml:space="preserve"> </v>
      </c>
      <c r="Z272" s="100" t="str">
        <f t="shared" si="34"/>
        <v xml:space="preserve"> </v>
      </c>
    </row>
    <row r="273" spans="1:26">
      <c r="A273" s="100"/>
      <c r="B273" s="108" t="str">
        <f>IFERROR(VLOOKUP(Tablo5[[#This Row],[ÜRÜN KODU]],YMKODLARI!$A$1:$K$363,2,0)," ")</f>
        <v xml:space="preserve"> </v>
      </c>
      <c r="C273" s="99"/>
      <c r="D273" s="100"/>
      <c r="E273" s="101"/>
      <c r="F273" s="101"/>
      <c r="G273" s="100" t="str">
        <f>IFERROR(VLOOKUP(Tablo5[[#This Row],[ÜRÜN KODU]],YMKODLARI!$A$1:$K$363,3,0)," ")</f>
        <v xml:space="preserve"> </v>
      </c>
      <c r="H273" s="100" t="str">
        <f>IFERROR(VLOOKUP(Tablo5[[#This Row],[ÜRÜN KODU]],YMKODLARI!$A$1:$K$363,4,0)," ")</f>
        <v xml:space="preserve"> </v>
      </c>
      <c r="I273" s="100"/>
      <c r="J273" s="100" t="str">
        <f>IFERROR(VLOOKUP(Tablo5[[#This Row],[ÜRÜN KODU]],YMKODLARI!$A$1:$K$363,9,0)," ")</f>
        <v xml:space="preserve"> </v>
      </c>
      <c r="K273" s="100" t="str">
        <f>IFERROR(VLOOKUP(Tablo5[[#This Row],[BOYA KODU]],Tablo14[#All],4,0)," ")</f>
        <v xml:space="preserve"> </v>
      </c>
      <c r="L273" s="100" t="str">
        <f>IFERROR(VLOOKUP(Tablo5[[#This Row],[BOYA KODU]],Tablo14[#All],6,0)," ")</f>
        <v xml:space="preserve"> </v>
      </c>
      <c r="M273" s="100" t="str">
        <f t="shared" si="28"/>
        <v xml:space="preserve"> </v>
      </c>
      <c r="N273" s="100" t="str">
        <f>IFERROR(VLOOKUP(Tablo5[[#This Row],[ÜRÜN KODU]],YMKODLARI!$A$1:$K$363,8,0)," ")</f>
        <v xml:space="preserve"> </v>
      </c>
      <c r="O273" s="100" t="str">
        <f>IFERROR(VLOOKUP(Tablo5[[#This Row],[HAMMADDE KODU]],Tablo1[#All],3,0)," ")</f>
        <v xml:space="preserve"> </v>
      </c>
      <c r="P273" s="100" t="str">
        <f>IFERROR(VLOOKUP(Tablo5[[#This Row],[HAMMADDE KODU]],Tablo1[#All],4,0)," ")</f>
        <v xml:space="preserve"> </v>
      </c>
      <c r="Q273" s="100" t="str">
        <f>IFERROR(VLOOKUP(Tablo5[[#This Row],[ÜRÜN KODU]],YMKODLARI!$A$1:$K$363,5,0)," ")</f>
        <v xml:space="preserve"> </v>
      </c>
      <c r="R273" s="100" t="str">
        <f>IFERROR(VLOOKUP(Tablo5[[#This Row],[ÜRÜN KODU]],YMKODLARI!$A$1:$K$363,6,0)," ")</f>
        <v xml:space="preserve"> </v>
      </c>
      <c r="S273" s="100" t="str">
        <f>IFERROR(Tablo5[[#This Row],[YOLLUK HARİÇ BASKI GRAMI]]/Tablo5[[#This Row],[KALIP GÖZ ADEDİ]]," ")</f>
        <v xml:space="preserve"> </v>
      </c>
      <c r="T273" s="100" t="str">
        <f t="shared" si="30"/>
        <v xml:space="preserve"> </v>
      </c>
      <c r="U273" s="100"/>
      <c r="V273" s="100" t="str">
        <f t="shared" si="29"/>
        <v xml:space="preserve"> </v>
      </c>
      <c r="W273" s="101">
        <f t="shared" si="31"/>
        <v>24</v>
      </c>
      <c r="X273" s="102">
        <f t="shared" si="32"/>
        <v>0</v>
      </c>
      <c r="Y273" s="100" t="str">
        <f t="shared" si="33"/>
        <v xml:space="preserve"> </v>
      </c>
      <c r="Z273" s="100" t="str">
        <f t="shared" si="34"/>
        <v xml:space="preserve"> </v>
      </c>
    </row>
    <row r="274" spans="1:26">
      <c r="A274" s="100"/>
      <c r="B274" s="108" t="str">
        <f>IFERROR(VLOOKUP(Tablo5[[#This Row],[ÜRÜN KODU]],YMKODLARI!$A$1:$K$363,2,0)," ")</f>
        <v xml:space="preserve"> </v>
      </c>
      <c r="C274" s="99"/>
      <c r="D274" s="100"/>
      <c r="E274" s="101"/>
      <c r="F274" s="101"/>
      <c r="G274" s="100" t="str">
        <f>IFERROR(VLOOKUP(Tablo5[[#This Row],[ÜRÜN KODU]],YMKODLARI!$A$1:$K$363,3,0)," ")</f>
        <v xml:space="preserve"> </v>
      </c>
      <c r="H274" s="100" t="str">
        <f>IFERROR(VLOOKUP(Tablo5[[#This Row],[ÜRÜN KODU]],YMKODLARI!$A$1:$K$363,4,0)," ")</f>
        <v xml:space="preserve"> </v>
      </c>
      <c r="I274" s="100"/>
      <c r="J274" s="100" t="str">
        <f>IFERROR(VLOOKUP(Tablo5[[#This Row],[ÜRÜN KODU]],YMKODLARI!$A$1:$K$363,9,0)," ")</f>
        <v xml:space="preserve"> </v>
      </c>
      <c r="K274" s="100" t="str">
        <f>IFERROR(VLOOKUP(Tablo5[[#This Row],[BOYA KODU]],Tablo14[#All],4,0)," ")</f>
        <v xml:space="preserve"> </v>
      </c>
      <c r="L274" s="100" t="str">
        <f>IFERROR(VLOOKUP(Tablo5[[#This Row],[BOYA KODU]],Tablo14[#All],6,0)," ")</f>
        <v xml:space="preserve"> </v>
      </c>
      <c r="M274" s="100" t="str">
        <f t="shared" si="28"/>
        <v xml:space="preserve"> </v>
      </c>
      <c r="N274" s="100" t="str">
        <f>IFERROR(VLOOKUP(Tablo5[[#This Row],[ÜRÜN KODU]],YMKODLARI!$A$1:$K$363,8,0)," ")</f>
        <v xml:space="preserve"> </v>
      </c>
      <c r="O274" s="100" t="str">
        <f>IFERROR(VLOOKUP(Tablo5[[#This Row],[HAMMADDE KODU]],Tablo1[#All],3,0)," ")</f>
        <v xml:space="preserve"> </v>
      </c>
      <c r="P274" s="100" t="str">
        <f>IFERROR(VLOOKUP(Tablo5[[#This Row],[HAMMADDE KODU]],Tablo1[#All],4,0)," ")</f>
        <v xml:space="preserve"> </v>
      </c>
      <c r="Q274" s="100" t="str">
        <f>IFERROR(VLOOKUP(Tablo5[[#This Row],[ÜRÜN KODU]],YMKODLARI!$A$1:$K$363,5,0)," ")</f>
        <v xml:space="preserve"> </v>
      </c>
      <c r="R274" s="100" t="str">
        <f>IFERROR(VLOOKUP(Tablo5[[#This Row],[ÜRÜN KODU]],YMKODLARI!$A$1:$K$363,6,0)," ")</f>
        <v xml:space="preserve"> </v>
      </c>
      <c r="S274" s="100" t="str">
        <f>IFERROR(Tablo5[[#This Row],[YOLLUK HARİÇ BASKI GRAMI]]/Tablo5[[#This Row],[KALIP GÖZ ADEDİ]]," ")</f>
        <v xml:space="preserve"> </v>
      </c>
      <c r="T274" s="100" t="str">
        <f t="shared" si="30"/>
        <v xml:space="preserve"> </v>
      </c>
      <c r="U274" s="100"/>
      <c r="V274" s="100" t="str">
        <f t="shared" si="29"/>
        <v xml:space="preserve"> </v>
      </c>
      <c r="W274" s="101">
        <f t="shared" si="31"/>
        <v>24</v>
      </c>
      <c r="X274" s="102">
        <f t="shared" si="32"/>
        <v>0</v>
      </c>
      <c r="Y274" s="100" t="str">
        <f t="shared" si="33"/>
        <v xml:space="preserve"> </v>
      </c>
      <c r="Z274" s="100" t="str">
        <f t="shared" si="34"/>
        <v xml:space="preserve"> </v>
      </c>
    </row>
    <row r="275" spans="1:26">
      <c r="A275" s="100"/>
      <c r="B275" s="108" t="str">
        <f>IFERROR(VLOOKUP(Tablo5[[#This Row],[ÜRÜN KODU]],YMKODLARI!$A$1:$K$363,2,0)," ")</f>
        <v xml:space="preserve"> </v>
      </c>
      <c r="C275" s="99"/>
      <c r="D275" s="100"/>
      <c r="E275" s="101"/>
      <c r="F275" s="101"/>
      <c r="G275" s="100" t="str">
        <f>IFERROR(VLOOKUP(Tablo5[[#This Row],[ÜRÜN KODU]],YMKODLARI!$A$1:$K$363,3,0)," ")</f>
        <v xml:space="preserve"> </v>
      </c>
      <c r="H275" s="100" t="str">
        <f>IFERROR(VLOOKUP(Tablo5[[#This Row],[ÜRÜN KODU]],YMKODLARI!$A$1:$K$363,4,0)," ")</f>
        <v xml:space="preserve"> </v>
      </c>
      <c r="I275" s="100"/>
      <c r="J275" s="100" t="str">
        <f>IFERROR(VLOOKUP(Tablo5[[#This Row],[ÜRÜN KODU]],YMKODLARI!$A$1:$K$363,9,0)," ")</f>
        <v xml:space="preserve"> </v>
      </c>
      <c r="K275" s="100" t="str">
        <f>IFERROR(VLOOKUP(Tablo5[[#This Row],[BOYA KODU]],Tablo14[#All],4,0)," ")</f>
        <v xml:space="preserve"> </v>
      </c>
      <c r="L275" s="100" t="str">
        <f>IFERROR(VLOOKUP(Tablo5[[#This Row],[BOYA KODU]],Tablo14[#All],6,0)," ")</f>
        <v xml:space="preserve"> </v>
      </c>
      <c r="M275" s="100" t="str">
        <f t="shared" si="28"/>
        <v xml:space="preserve"> </v>
      </c>
      <c r="N275" s="100" t="str">
        <f>IFERROR(VLOOKUP(Tablo5[[#This Row],[ÜRÜN KODU]],YMKODLARI!$A$1:$K$363,8,0)," ")</f>
        <v xml:space="preserve"> </v>
      </c>
      <c r="O275" s="100" t="str">
        <f>IFERROR(VLOOKUP(Tablo5[[#This Row],[HAMMADDE KODU]],Tablo1[#All],3,0)," ")</f>
        <v xml:space="preserve"> </v>
      </c>
      <c r="P275" s="100" t="str">
        <f>IFERROR(VLOOKUP(Tablo5[[#This Row],[HAMMADDE KODU]],Tablo1[#All],4,0)," ")</f>
        <v xml:space="preserve"> </v>
      </c>
      <c r="Q275" s="100" t="str">
        <f>IFERROR(VLOOKUP(Tablo5[[#This Row],[ÜRÜN KODU]],YMKODLARI!$A$1:$K$363,5,0)," ")</f>
        <v xml:space="preserve"> </v>
      </c>
      <c r="R275" s="100" t="str">
        <f>IFERROR(VLOOKUP(Tablo5[[#This Row],[ÜRÜN KODU]],YMKODLARI!$A$1:$K$363,6,0)," ")</f>
        <v xml:space="preserve"> </v>
      </c>
      <c r="S275" s="100" t="str">
        <f>IFERROR(Tablo5[[#This Row],[YOLLUK HARİÇ BASKI GRAMI]]/Tablo5[[#This Row],[KALIP GÖZ ADEDİ]]," ")</f>
        <v xml:space="preserve"> </v>
      </c>
      <c r="T275" s="100" t="str">
        <f t="shared" si="30"/>
        <v xml:space="preserve"> </v>
      </c>
      <c r="U275" s="100"/>
      <c r="V275" s="100" t="str">
        <f t="shared" si="29"/>
        <v xml:space="preserve"> </v>
      </c>
      <c r="W275" s="101">
        <f t="shared" si="31"/>
        <v>24</v>
      </c>
      <c r="X275" s="102">
        <f t="shared" si="32"/>
        <v>0</v>
      </c>
      <c r="Y275" s="100" t="str">
        <f t="shared" si="33"/>
        <v xml:space="preserve"> </v>
      </c>
      <c r="Z275" s="100" t="str">
        <f t="shared" si="34"/>
        <v xml:space="preserve"> </v>
      </c>
    </row>
    <row r="276" spans="1:26">
      <c r="A276" s="100"/>
      <c r="B276" s="108" t="str">
        <f>IFERROR(VLOOKUP(Tablo5[[#This Row],[ÜRÜN KODU]],YMKODLARI!$A$1:$K$363,2,0)," ")</f>
        <v xml:space="preserve"> </v>
      </c>
      <c r="C276" s="99"/>
      <c r="D276" s="100"/>
      <c r="E276" s="101"/>
      <c r="F276" s="101"/>
      <c r="G276" s="100" t="str">
        <f>IFERROR(VLOOKUP(Tablo5[[#This Row],[ÜRÜN KODU]],YMKODLARI!$A$1:$K$363,3,0)," ")</f>
        <v xml:space="preserve"> </v>
      </c>
      <c r="H276" s="100" t="str">
        <f>IFERROR(VLOOKUP(Tablo5[[#This Row],[ÜRÜN KODU]],YMKODLARI!$A$1:$K$363,4,0)," ")</f>
        <v xml:space="preserve"> </v>
      </c>
      <c r="I276" s="100"/>
      <c r="J276" s="100" t="str">
        <f>IFERROR(VLOOKUP(Tablo5[[#This Row],[ÜRÜN KODU]],YMKODLARI!$A$1:$K$363,9,0)," ")</f>
        <v xml:space="preserve"> </v>
      </c>
      <c r="K276" s="100" t="str">
        <f>IFERROR(VLOOKUP(Tablo5[[#This Row],[BOYA KODU]],Tablo14[#All],4,0)," ")</f>
        <v xml:space="preserve"> </v>
      </c>
      <c r="L276" s="100" t="str">
        <f>IFERROR(VLOOKUP(Tablo5[[#This Row],[BOYA KODU]],Tablo14[#All],6,0)," ")</f>
        <v xml:space="preserve"> </v>
      </c>
      <c r="M276" s="100" t="str">
        <f t="shared" si="28"/>
        <v xml:space="preserve"> </v>
      </c>
      <c r="N276" s="100" t="str">
        <f>IFERROR(VLOOKUP(Tablo5[[#This Row],[ÜRÜN KODU]],YMKODLARI!$A$1:$K$363,8,0)," ")</f>
        <v xml:space="preserve"> </v>
      </c>
      <c r="O276" s="100" t="str">
        <f>IFERROR(VLOOKUP(Tablo5[[#This Row],[HAMMADDE KODU]],Tablo1[#All],3,0)," ")</f>
        <v xml:space="preserve"> </v>
      </c>
      <c r="P276" s="100" t="str">
        <f>IFERROR(VLOOKUP(Tablo5[[#This Row],[HAMMADDE KODU]],Tablo1[#All],4,0)," ")</f>
        <v xml:space="preserve"> </v>
      </c>
      <c r="Q276" s="100" t="str">
        <f>IFERROR(VLOOKUP(Tablo5[[#This Row],[ÜRÜN KODU]],YMKODLARI!$A$1:$K$363,5,0)," ")</f>
        <v xml:space="preserve"> </v>
      </c>
      <c r="R276" s="100" t="str">
        <f>IFERROR(VLOOKUP(Tablo5[[#This Row],[ÜRÜN KODU]],YMKODLARI!$A$1:$K$363,6,0)," ")</f>
        <v xml:space="preserve"> </v>
      </c>
      <c r="S276" s="100" t="str">
        <f>IFERROR(Tablo5[[#This Row],[YOLLUK HARİÇ BASKI GRAMI]]/Tablo5[[#This Row],[KALIP GÖZ ADEDİ]]," ")</f>
        <v xml:space="preserve"> </v>
      </c>
      <c r="T276" s="100" t="str">
        <f t="shared" si="30"/>
        <v xml:space="preserve"> </v>
      </c>
      <c r="U276" s="100"/>
      <c r="V276" s="100" t="str">
        <f t="shared" si="29"/>
        <v xml:space="preserve"> </v>
      </c>
      <c r="W276" s="101">
        <f t="shared" si="31"/>
        <v>24</v>
      </c>
      <c r="X276" s="102">
        <f t="shared" si="32"/>
        <v>0</v>
      </c>
      <c r="Y276" s="100" t="str">
        <f t="shared" si="33"/>
        <v xml:space="preserve"> </v>
      </c>
      <c r="Z276" s="100" t="str">
        <f t="shared" si="34"/>
        <v xml:space="preserve"> </v>
      </c>
    </row>
    <row r="277" spans="1:26">
      <c r="A277" s="100"/>
      <c r="B277" s="108" t="str">
        <f>IFERROR(VLOOKUP(Tablo5[[#This Row],[ÜRÜN KODU]],YMKODLARI!$A$1:$K$363,2,0)," ")</f>
        <v xml:space="preserve"> </v>
      </c>
      <c r="C277" s="99"/>
      <c r="D277" s="100"/>
      <c r="E277" s="101"/>
      <c r="F277" s="101"/>
      <c r="G277" s="100" t="str">
        <f>IFERROR(VLOOKUP(Tablo5[[#This Row],[ÜRÜN KODU]],YMKODLARI!$A$1:$K$363,3,0)," ")</f>
        <v xml:space="preserve"> </v>
      </c>
      <c r="H277" s="100" t="str">
        <f>IFERROR(VLOOKUP(Tablo5[[#This Row],[ÜRÜN KODU]],YMKODLARI!$A$1:$K$363,4,0)," ")</f>
        <v xml:space="preserve"> </v>
      </c>
      <c r="I277" s="100"/>
      <c r="J277" s="100" t="str">
        <f>IFERROR(VLOOKUP(Tablo5[[#This Row],[ÜRÜN KODU]],YMKODLARI!$A$1:$K$363,9,0)," ")</f>
        <v xml:space="preserve"> </v>
      </c>
      <c r="K277" s="100" t="str">
        <f>IFERROR(VLOOKUP(Tablo5[[#This Row],[BOYA KODU]],Tablo14[#All],4,0)," ")</f>
        <v xml:space="preserve"> </v>
      </c>
      <c r="L277" s="100" t="str">
        <f>IFERROR(VLOOKUP(Tablo5[[#This Row],[BOYA KODU]],Tablo14[#All],6,0)," ")</f>
        <v xml:space="preserve"> </v>
      </c>
      <c r="M277" s="100" t="str">
        <f t="shared" si="28"/>
        <v xml:space="preserve"> </v>
      </c>
      <c r="N277" s="100" t="str">
        <f>IFERROR(VLOOKUP(Tablo5[[#This Row],[ÜRÜN KODU]],YMKODLARI!$A$1:$K$363,8,0)," ")</f>
        <v xml:space="preserve"> </v>
      </c>
      <c r="O277" s="100" t="str">
        <f>IFERROR(VLOOKUP(Tablo5[[#This Row],[HAMMADDE KODU]],Tablo1[#All],3,0)," ")</f>
        <v xml:space="preserve"> </v>
      </c>
      <c r="P277" s="100" t="str">
        <f>IFERROR(VLOOKUP(Tablo5[[#This Row],[HAMMADDE KODU]],Tablo1[#All],4,0)," ")</f>
        <v xml:space="preserve"> </v>
      </c>
      <c r="Q277" s="100" t="str">
        <f>IFERROR(VLOOKUP(Tablo5[[#This Row],[ÜRÜN KODU]],YMKODLARI!$A$1:$K$363,5,0)," ")</f>
        <v xml:space="preserve"> </v>
      </c>
      <c r="R277" s="100" t="str">
        <f>IFERROR(VLOOKUP(Tablo5[[#This Row],[ÜRÜN KODU]],YMKODLARI!$A$1:$K$363,6,0)," ")</f>
        <v xml:space="preserve"> </v>
      </c>
      <c r="S277" s="100" t="str">
        <f>IFERROR(Tablo5[[#This Row],[YOLLUK HARİÇ BASKI GRAMI]]/Tablo5[[#This Row],[KALIP GÖZ ADEDİ]]," ")</f>
        <v xml:space="preserve"> </v>
      </c>
      <c r="T277" s="100" t="str">
        <f t="shared" si="30"/>
        <v xml:space="preserve"> </v>
      </c>
      <c r="U277" s="100"/>
      <c r="V277" s="100" t="str">
        <f t="shared" si="29"/>
        <v xml:space="preserve"> </v>
      </c>
      <c r="W277" s="101">
        <f t="shared" si="31"/>
        <v>24</v>
      </c>
      <c r="X277" s="102">
        <f t="shared" si="32"/>
        <v>0</v>
      </c>
      <c r="Y277" s="100" t="str">
        <f t="shared" si="33"/>
        <v xml:space="preserve"> </v>
      </c>
      <c r="Z277" s="100" t="str">
        <f t="shared" si="34"/>
        <v xml:space="preserve"> </v>
      </c>
    </row>
    <row r="278" spans="1:26">
      <c r="A278" s="100"/>
      <c r="B278" s="108" t="str">
        <f>IFERROR(VLOOKUP(Tablo5[[#This Row],[ÜRÜN KODU]],YMKODLARI!$A$1:$K$363,2,0)," ")</f>
        <v xml:space="preserve"> </v>
      </c>
      <c r="C278" s="99"/>
      <c r="D278" s="100"/>
      <c r="E278" s="101"/>
      <c r="F278" s="101"/>
      <c r="G278" s="100" t="str">
        <f>IFERROR(VLOOKUP(Tablo5[[#This Row],[ÜRÜN KODU]],YMKODLARI!$A$1:$K$363,3,0)," ")</f>
        <v xml:space="preserve"> </v>
      </c>
      <c r="H278" s="100" t="str">
        <f>IFERROR(VLOOKUP(Tablo5[[#This Row],[ÜRÜN KODU]],YMKODLARI!$A$1:$K$363,4,0)," ")</f>
        <v xml:space="preserve"> </v>
      </c>
      <c r="I278" s="100"/>
      <c r="J278" s="100" t="str">
        <f>IFERROR(VLOOKUP(Tablo5[[#This Row],[ÜRÜN KODU]],YMKODLARI!$A$1:$K$363,9,0)," ")</f>
        <v xml:space="preserve"> </v>
      </c>
      <c r="K278" s="100" t="str">
        <f>IFERROR(VLOOKUP(Tablo5[[#This Row],[BOYA KODU]],Tablo14[#All],4,0)," ")</f>
        <v xml:space="preserve"> </v>
      </c>
      <c r="L278" s="100" t="str">
        <f>IFERROR(VLOOKUP(Tablo5[[#This Row],[BOYA KODU]],Tablo14[#All],6,0)," ")</f>
        <v xml:space="preserve"> </v>
      </c>
      <c r="M278" s="100" t="str">
        <f t="shared" si="28"/>
        <v xml:space="preserve"> </v>
      </c>
      <c r="N278" s="100" t="str">
        <f>IFERROR(VLOOKUP(Tablo5[[#This Row],[ÜRÜN KODU]],YMKODLARI!$A$1:$K$363,8,0)," ")</f>
        <v xml:space="preserve"> </v>
      </c>
      <c r="O278" s="100" t="str">
        <f>IFERROR(VLOOKUP(Tablo5[[#This Row],[HAMMADDE KODU]],Tablo1[#All],3,0)," ")</f>
        <v xml:space="preserve"> </v>
      </c>
      <c r="P278" s="100" t="str">
        <f>IFERROR(VLOOKUP(Tablo5[[#This Row],[HAMMADDE KODU]],Tablo1[#All],4,0)," ")</f>
        <v xml:space="preserve"> </v>
      </c>
      <c r="Q278" s="100" t="str">
        <f>IFERROR(VLOOKUP(Tablo5[[#This Row],[ÜRÜN KODU]],YMKODLARI!$A$1:$K$363,5,0)," ")</f>
        <v xml:space="preserve"> </v>
      </c>
      <c r="R278" s="100" t="str">
        <f>IFERROR(VLOOKUP(Tablo5[[#This Row],[ÜRÜN KODU]],YMKODLARI!$A$1:$K$363,6,0)," ")</f>
        <v xml:space="preserve"> </v>
      </c>
      <c r="S278" s="100" t="str">
        <f>IFERROR(Tablo5[[#This Row],[YOLLUK HARİÇ BASKI GRAMI]]/Tablo5[[#This Row],[KALIP GÖZ ADEDİ]]," ")</f>
        <v xml:space="preserve"> </v>
      </c>
      <c r="T278" s="100" t="str">
        <f t="shared" si="30"/>
        <v xml:space="preserve"> </v>
      </c>
      <c r="U278" s="100"/>
      <c r="V278" s="100" t="str">
        <f t="shared" si="29"/>
        <v xml:space="preserve"> </v>
      </c>
      <c r="W278" s="101">
        <f t="shared" si="31"/>
        <v>24</v>
      </c>
      <c r="X278" s="102">
        <f t="shared" si="32"/>
        <v>0</v>
      </c>
      <c r="Y278" s="100" t="str">
        <f t="shared" si="33"/>
        <v xml:space="preserve"> </v>
      </c>
      <c r="Z278" s="100" t="str">
        <f t="shared" si="34"/>
        <v xml:space="preserve"> </v>
      </c>
    </row>
    <row r="279" spans="1:26">
      <c r="A279" s="100"/>
      <c r="B279" s="108" t="str">
        <f>IFERROR(VLOOKUP(Tablo5[[#This Row],[ÜRÜN KODU]],YMKODLARI!$A$1:$K$363,2,0)," ")</f>
        <v xml:space="preserve"> </v>
      </c>
      <c r="C279" s="99"/>
      <c r="D279" s="100"/>
      <c r="E279" s="101"/>
      <c r="F279" s="101"/>
      <c r="G279" s="100" t="str">
        <f>IFERROR(VLOOKUP(Tablo5[[#This Row],[ÜRÜN KODU]],YMKODLARI!$A$1:$K$363,3,0)," ")</f>
        <v xml:space="preserve"> </v>
      </c>
      <c r="H279" s="100" t="str">
        <f>IFERROR(VLOOKUP(Tablo5[[#This Row],[ÜRÜN KODU]],YMKODLARI!$A$1:$K$363,4,0)," ")</f>
        <v xml:space="preserve"> </v>
      </c>
      <c r="I279" s="100"/>
      <c r="J279" s="100" t="str">
        <f>IFERROR(VLOOKUP(Tablo5[[#This Row],[ÜRÜN KODU]],YMKODLARI!$A$1:$K$363,9,0)," ")</f>
        <v xml:space="preserve"> </v>
      </c>
      <c r="K279" s="100" t="str">
        <f>IFERROR(VLOOKUP(Tablo5[[#This Row],[BOYA KODU]],Tablo14[#All],4,0)," ")</f>
        <v xml:space="preserve"> </v>
      </c>
      <c r="L279" s="100" t="str">
        <f>IFERROR(VLOOKUP(Tablo5[[#This Row],[BOYA KODU]],Tablo14[#All],6,0)," ")</f>
        <v xml:space="preserve"> </v>
      </c>
      <c r="M279" s="100" t="str">
        <f t="shared" si="28"/>
        <v xml:space="preserve"> </v>
      </c>
      <c r="N279" s="100" t="str">
        <f>IFERROR(VLOOKUP(Tablo5[[#This Row],[ÜRÜN KODU]],YMKODLARI!$A$1:$K$363,8,0)," ")</f>
        <v xml:space="preserve"> </v>
      </c>
      <c r="O279" s="100" t="str">
        <f>IFERROR(VLOOKUP(Tablo5[[#This Row],[HAMMADDE KODU]],Tablo1[#All],3,0)," ")</f>
        <v xml:space="preserve"> </v>
      </c>
      <c r="P279" s="100" t="str">
        <f>IFERROR(VLOOKUP(Tablo5[[#This Row],[HAMMADDE KODU]],Tablo1[#All],4,0)," ")</f>
        <v xml:space="preserve"> </v>
      </c>
      <c r="Q279" s="100" t="str">
        <f>IFERROR(VLOOKUP(Tablo5[[#This Row],[ÜRÜN KODU]],YMKODLARI!$A$1:$K$363,5,0)," ")</f>
        <v xml:space="preserve"> </v>
      </c>
      <c r="R279" s="100" t="str">
        <f>IFERROR(VLOOKUP(Tablo5[[#This Row],[ÜRÜN KODU]],YMKODLARI!$A$1:$K$363,6,0)," ")</f>
        <v xml:space="preserve"> </v>
      </c>
      <c r="S279" s="100" t="str">
        <f>IFERROR(Tablo5[[#This Row],[YOLLUK HARİÇ BASKI GRAMI]]/Tablo5[[#This Row],[KALIP GÖZ ADEDİ]]," ")</f>
        <v xml:space="preserve"> </v>
      </c>
      <c r="T279" s="100" t="str">
        <f t="shared" si="30"/>
        <v xml:space="preserve"> </v>
      </c>
      <c r="U279" s="100"/>
      <c r="V279" s="100" t="str">
        <f t="shared" si="29"/>
        <v xml:space="preserve"> </v>
      </c>
      <c r="W279" s="101">
        <f t="shared" si="31"/>
        <v>24</v>
      </c>
      <c r="X279" s="102">
        <f t="shared" si="32"/>
        <v>0</v>
      </c>
      <c r="Y279" s="100" t="str">
        <f t="shared" si="33"/>
        <v xml:space="preserve"> </v>
      </c>
      <c r="Z279" s="100" t="str">
        <f t="shared" si="34"/>
        <v xml:space="preserve"> </v>
      </c>
    </row>
    <row r="280" spans="1:26">
      <c r="A280" s="100"/>
      <c r="B280" s="108" t="str">
        <f>IFERROR(VLOOKUP(Tablo5[[#This Row],[ÜRÜN KODU]],YMKODLARI!$A$1:$K$363,2,0)," ")</f>
        <v xml:space="preserve"> </v>
      </c>
      <c r="C280" s="99"/>
      <c r="D280" s="100"/>
      <c r="E280" s="101"/>
      <c r="F280" s="101"/>
      <c r="G280" s="100" t="str">
        <f>IFERROR(VLOOKUP(Tablo5[[#This Row],[ÜRÜN KODU]],YMKODLARI!$A$1:$K$363,3,0)," ")</f>
        <v xml:space="preserve"> </v>
      </c>
      <c r="H280" s="100" t="str">
        <f>IFERROR(VLOOKUP(Tablo5[[#This Row],[ÜRÜN KODU]],YMKODLARI!$A$1:$K$363,4,0)," ")</f>
        <v xml:space="preserve"> </v>
      </c>
      <c r="I280" s="100"/>
      <c r="J280" s="100" t="str">
        <f>IFERROR(VLOOKUP(Tablo5[[#This Row],[ÜRÜN KODU]],YMKODLARI!$A$1:$K$363,9,0)," ")</f>
        <v xml:space="preserve"> </v>
      </c>
      <c r="K280" s="100" t="str">
        <f>IFERROR(VLOOKUP(Tablo5[[#This Row],[BOYA KODU]],Tablo14[#All],4,0)," ")</f>
        <v xml:space="preserve"> </v>
      </c>
      <c r="L280" s="100" t="str">
        <f>IFERROR(VLOOKUP(Tablo5[[#This Row],[BOYA KODU]],Tablo14[#All],6,0)," ")</f>
        <v xml:space="preserve"> </v>
      </c>
      <c r="M280" s="100" t="str">
        <f t="shared" si="28"/>
        <v xml:space="preserve"> </v>
      </c>
      <c r="N280" s="100" t="str">
        <f>IFERROR(VLOOKUP(Tablo5[[#This Row],[ÜRÜN KODU]],YMKODLARI!$A$1:$K$363,8,0)," ")</f>
        <v xml:space="preserve"> </v>
      </c>
      <c r="O280" s="100" t="str">
        <f>IFERROR(VLOOKUP(Tablo5[[#This Row],[HAMMADDE KODU]],Tablo1[#All],3,0)," ")</f>
        <v xml:space="preserve"> </v>
      </c>
      <c r="P280" s="100" t="str">
        <f>IFERROR(VLOOKUP(Tablo5[[#This Row],[HAMMADDE KODU]],Tablo1[#All],4,0)," ")</f>
        <v xml:space="preserve"> </v>
      </c>
      <c r="Q280" s="100" t="str">
        <f>IFERROR(VLOOKUP(Tablo5[[#This Row],[ÜRÜN KODU]],YMKODLARI!$A$1:$K$363,5,0)," ")</f>
        <v xml:space="preserve"> </v>
      </c>
      <c r="R280" s="100" t="str">
        <f>IFERROR(VLOOKUP(Tablo5[[#This Row],[ÜRÜN KODU]],YMKODLARI!$A$1:$K$363,6,0)," ")</f>
        <v xml:space="preserve"> </v>
      </c>
      <c r="S280" s="100" t="str">
        <f>IFERROR(Tablo5[[#This Row],[YOLLUK HARİÇ BASKI GRAMI]]/Tablo5[[#This Row],[KALIP GÖZ ADEDİ]]," ")</f>
        <v xml:space="preserve"> </v>
      </c>
      <c r="T280" s="100" t="str">
        <f t="shared" si="30"/>
        <v xml:space="preserve"> </v>
      </c>
      <c r="U280" s="100"/>
      <c r="V280" s="100" t="str">
        <f t="shared" si="29"/>
        <v xml:space="preserve"> </v>
      </c>
      <c r="W280" s="101">
        <f t="shared" si="31"/>
        <v>24</v>
      </c>
      <c r="X280" s="102">
        <f t="shared" si="32"/>
        <v>0</v>
      </c>
      <c r="Y280" s="100" t="str">
        <f t="shared" si="33"/>
        <v xml:space="preserve"> </v>
      </c>
      <c r="Z280" s="100" t="str">
        <f t="shared" si="34"/>
        <v xml:space="preserve"> </v>
      </c>
    </row>
    <row r="281" spans="1:26">
      <c r="A281" s="100"/>
      <c r="B281" s="108" t="str">
        <f>IFERROR(VLOOKUP(Tablo5[[#This Row],[ÜRÜN KODU]],YMKODLARI!$A$1:$K$363,2,0)," ")</f>
        <v xml:space="preserve"> </v>
      </c>
      <c r="C281" s="99"/>
      <c r="D281" s="100"/>
      <c r="E281" s="101"/>
      <c r="F281" s="101"/>
      <c r="G281" s="100" t="str">
        <f>IFERROR(VLOOKUP(Tablo5[[#This Row],[ÜRÜN KODU]],YMKODLARI!$A$1:$K$363,3,0)," ")</f>
        <v xml:space="preserve"> </v>
      </c>
      <c r="H281" s="100" t="str">
        <f>IFERROR(VLOOKUP(Tablo5[[#This Row],[ÜRÜN KODU]],YMKODLARI!$A$1:$K$363,4,0)," ")</f>
        <v xml:space="preserve"> </v>
      </c>
      <c r="I281" s="100"/>
      <c r="J281" s="100" t="str">
        <f>IFERROR(VLOOKUP(Tablo5[[#This Row],[ÜRÜN KODU]],YMKODLARI!$A$1:$K$363,9,0)," ")</f>
        <v xml:space="preserve"> </v>
      </c>
      <c r="K281" s="100" t="str">
        <f>IFERROR(VLOOKUP(Tablo5[[#This Row],[BOYA KODU]],Tablo14[#All],4,0)," ")</f>
        <v xml:space="preserve"> </v>
      </c>
      <c r="L281" s="100" t="str">
        <f>IFERROR(VLOOKUP(Tablo5[[#This Row],[BOYA KODU]],Tablo14[#All],6,0)," ")</f>
        <v xml:space="preserve"> </v>
      </c>
      <c r="M281" s="100" t="str">
        <f t="shared" si="28"/>
        <v xml:space="preserve"> </v>
      </c>
      <c r="N281" s="100" t="str">
        <f>IFERROR(VLOOKUP(Tablo5[[#This Row],[ÜRÜN KODU]],YMKODLARI!$A$1:$K$363,8,0)," ")</f>
        <v xml:space="preserve"> </v>
      </c>
      <c r="O281" s="100" t="str">
        <f>IFERROR(VLOOKUP(Tablo5[[#This Row],[HAMMADDE KODU]],Tablo1[#All],3,0)," ")</f>
        <v xml:space="preserve"> </v>
      </c>
      <c r="P281" s="100" t="str">
        <f>IFERROR(VLOOKUP(Tablo5[[#This Row],[HAMMADDE KODU]],Tablo1[#All],4,0)," ")</f>
        <v xml:space="preserve"> </v>
      </c>
      <c r="Q281" s="100" t="str">
        <f>IFERROR(VLOOKUP(Tablo5[[#This Row],[ÜRÜN KODU]],YMKODLARI!$A$1:$K$363,5,0)," ")</f>
        <v xml:space="preserve"> </v>
      </c>
      <c r="R281" s="100" t="str">
        <f>IFERROR(VLOOKUP(Tablo5[[#This Row],[ÜRÜN KODU]],YMKODLARI!$A$1:$K$363,6,0)," ")</f>
        <v xml:space="preserve"> </v>
      </c>
      <c r="S281" s="100" t="str">
        <f>IFERROR(Tablo5[[#This Row],[YOLLUK HARİÇ BASKI GRAMI]]/Tablo5[[#This Row],[KALIP GÖZ ADEDİ]]," ")</f>
        <v xml:space="preserve"> </v>
      </c>
      <c r="T281" s="100" t="str">
        <f t="shared" si="30"/>
        <v xml:space="preserve"> </v>
      </c>
      <c r="U281" s="100"/>
      <c r="V281" s="100" t="str">
        <f t="shared" si="29"/>
        <v xml:space="preserve"> </v>
      </c>
      <c r="W281" s="101">
        <f t="shared" si="31"/>
        <v>24</v>
      </c>
      <c r="X281" s="102">
        <f t="shared" si="32"/>
        <v>0</v>
      </c>
      <c r="Y281" s="100" t="str">
        <f t="shared" si="33"/>
        <v xml:space="preserve"> </v>
      </c>
      <c r="Z281" s="100" t="str">
        <f t="shared" si="34"/>
        <v xml:space="preserve"> </v>
      </c>
    </row>
    <row r="282" spans="1:26">
      <c r="A282" s="100"/>
      <c r="B282" s="108" t="str">
        <f>IFERROR(VLOOKUP(Tablo5[[#This Row],[ÜRÜN KODU]],YMKODLARI!$A$1:$K$363,2,0)," ")</f>
        <v xml:space="preserve"> </v>
      </c>
      <c r="C282" s="99"/>
      <c r="D282" s="100"/>
      <c r="E282" s="101"/>
      <c r="F282" s="101"/>
      <c r="G282" s="100" t="str">
        <f>IFERROR(VLOOKUP(Tablo5[[#This Row],[ÜRÜN KODU]],YMKODLARI!$A$1:$K$363,3,0)," ")</f>
        <v xml:space="preserve"> </v>
      </c>
      <c r="H282" s="100" t="str">
        <f>IFERROR(VLOOKUP(Tablo5[[#This Row],[ÜRÜN KODU]],YMKODLARI!$A$1:$K$363,4,0)," ")</f>
        <v xml:space="preserve"> </v>
      </c>
      <c r="I282" s="100"/>
      <c r="J282" s="100" t="str">
        <f>IFERROR(VLOOKUP(Tablo5[[#This Row],[ÜRÜN KODU]],YMKODLARI!$A$1:$K$363,9,0)," ")</f>
        <v xml:space="preserve"> </v>
      </c>
      <c r="K282" s="100" t="str">
        <f>IFERROR(VLOOKUP(Tablo5[[#This Row],[BOYA KODU]],Tablo14[#All],4,0)," ")</f>
        <v xml:space="preserve"> </v>
      </c>
      <c r="L282" s="100" t="str">
        <f>IFERROR(VLOOKUP(Tablo5[[#This Row],[BOYA KODU]],Tablo14[#All],6,0)," ")</f>
        <v xml:space="preserve"> </v>
      </c>
      <c r="M282" s="100" t="str">
        <f t="shared" si="28"/>
        <v xml:space="preserve"> </v>
      </c>
      <c r="N282" s="100" t="str">
        <f>IFERROR(VLOOKUP(Tablo5[[#This Row],[ÜRÜN KODU]],YMKODLARI!$A$1:$K$363,8,0)," ")</f>
        <v xml:space="preserve"> </v>
      </c>
      <c r="O282" s="100" t="str">
        <f>IFERROR(VLOOKUP(Tablo5[[#This Row],[HAMMADDE KODU]],Tablo1[#All],3,0)," ")</f>
        <v xml:space="preserve"> </v>
      </c>
      <c r="P282" s="100" t="str">
        <f>IFERROR(VLOOKUP(Tablo5[[#This Row],[HAMMADDE KODU]],Tablo1[#All],4,0)," ")</f>
        <v xml:space="preserve"> </v>
      </c>
      <c r="Q282" s="100" t="str">
        <f>IFERROR(VLOOKUP(Tablo5[[#This Row],[ÜRÜN KODU]],YMKODLARI!$A$1:$K$363,5,0)," ")</f>
        <v xml:space="preserve"> </v>
      </c>
      <c r="R282" s="100" t="str">
        <f>IFERROR(VLOOKUP(Tablo5[[#This Row],[ÜRÜN KODU]],YMKODLARI!$A$1:$K$363,6,0)," ")</f>
        <v xml:space="preserve"> </v>
      </c>
      <c r="S282" s="100" t="str">
        <f>IFERROR(Tablo5[[#This Row],[YOLLUK HARİÇ BASKI GRAMI]]/Tablo5[[#This Row],[KALIP GÖZ ADEDİ]]," ")</f>
        <v xml:space="preserve"> </v>
      </c>
      <c r="T282" s="100" t="str">
        <f t="shared" si="30"/>
        <v xml:space="preserve"> </v>
      </c>
      <c r="U282" s="100"/>
      <c r="V282" s="100" t="str">
        <f t="shared" si="29"/>
        <v xml:space="preserve"> </v>
      </c>
      <c r="W282" s="101">
        <f t="shared" si="31"/>
        <v>24</v>
      </c>
      <c r="X282" s="102">
        <f t="shared" si="32"/>
        <v>0</v>
      </c>
      <c r="Y282" s="100" t="str">
        <f t="shared" si="33"/>
        <v xml:space="preserve"> </v>
      </c>
      <c r="Z282" s="100" t="str">
        <f t="shared" si="34"/>
        <v xml:space="preserve"> </v>
      </c>
    </row>
    <row r="283" spans="1:26">
      <c r="A283" s="100"/>
      <c r="B283" s="108" t="str">
        <f>IFERROR(VLOOKUP(Tablo5[[#This Row],[ÜRÜN KODU]],YMKODLARI!$A$1:$K$363,2,0)," ")</f>
        <v xml:space="preserve"> </v>
      </c>
      <c r="C283" s="99"/>
      <c r="D283" s="100"/>
      <c r="E283" s="101"/>
      <c r="F283" s="101"/>
      <c r="G283" s="100" t="str">
        <f>IFERROR(VLOOKUP(Tablo5[[#This Row],[ÜRÜN KODU]],YMKODLARI!$A$1:$K$363,3,0)," ")</f>
        <v xml:space="preserve"> </v>
      </c>
      <c r="H283" s="100" t="str">
        <f>IFERROR(VLOOKUP(Tablo5[[#This Row],[ÜRÜN KODU]],YMKODLARI!$A$1:$K$363,4,0)," ")</f>
        <v xml:space="preserve"> </v>
      </c>
      <c r="I283" s="100"/>
      <c r="J283" s="100" t="str">
        <f>IFERROR(VLOOKUP(Tablo5[[#This Row],[ÜRÜN KODU]],YMKODLARI!$A$1:$K$363,9,0)," ")</f>
        <v xml:space="preserve"> </v>
      </c>
      <c r="K283" s="100" t="str">
        <f>IFERROR(VLOOKUP(Tablo5[[#This Row],[BOYA KODU]],Tablo14[#All],4,0)," ")</f>
        <v xml:space="preserve"> </v>
      </c>
      <c r="L283" s="100" t="str">
        <f>IFERROR(VLOOKUP(Tablo5[[#This Row],[BOYA KODU]],Tablo14[#All],6,0)," ")</f>
        <v xml:space="preserve"> </v>
      </c>
      <c r="M283" s="100" t="str">
        <f t="shared" si="28"/>
        <v xml:space="preserve"> </v>
      </c>
      <c r="N283" s="100" t="str">
        <f>IFERROR(VLOOKUP(Tablo5[[#This Row],[ÜRÜN KODU]],YMKODLARI!$A$1:$K$363,8,0)," ")</f>
        <v xml:space="preserve"> </v>
      </c>
      <c r="O283" s="100" t="str">
        <f>IFERROR(VLOOKUP(Tablo5[[#This Row],[HAMMADDE KODU]],Tablo1[#All],3,0)," ")</f>
        <v xml:space="preserve"> </v>
      </c>
      <c r="P283" s="100" t="str">
        <f>IFERROR(VLOOKUP(Tablo5[[#This Row],[HAMMADDE KODU]],Tablo1[#All],4,0)," ")</f>
        <v xml:space="preserve"> </v>
      </c>
      <c r="Q283" s="100" t="str">
        <f>IFERROR(VLOOKUP(Tablo5[[#This Row],[ÜRÜN KODU]],YMKODLARI!$A$1:$K$363,5,0)," ")</f>
        <v xml:space="preserve"> </v>
      </c>
      <c r="R283" s="100" t="str">
        <f>IFERROR(VLOOKUP(Tablo5[[#This Row],[ÜRÜN KODU]],YMKODLARI!$A$1:$K$363,6,0)," ")</f>
        <v xml:space="preserve"> </v>
      </c>
      <c r="S283" s="100" t="str">
        <f>IFERROR(Tablo5[[#This Row],[YOLLUK HARİÇ BASKI GRAMI]]/Tablo5[[#This Row],[KALIP GÖZ ADEDİ]]," ")</f>
        <v xml:space="preserve"> </v>
      </c>
      <c r="T283" s="100" t="str">
        <f t="shared" si="30"/>
        <v xml:space="preserve"> </v>
      </c>
      <c r="U283" s="100"/>
      <c r="V283" s="100" t="str">
        <f t="shared" si="29"/>
        <v xml:space="preserve"> </v>
      </c>
      <c r="W283" s="101">
        <f t="shared" si="31"/>
        <v>24</v>
      </c>
      <c r="X283" s="102">
        <f t="shared" si="32"/>
        <v>0</v>
      </c>
      <c r="Y283" s="100" t="str">
        <f t="shared" si="33"/>
        <v xml:space="preserve"> </v>
      </c>
      <c r="Z283" s="100" t="str">
        <f t="shared" si="34"/>
        <v xml:space="preserve"> </v>
      </c>
    </row>
    <row r="284" spans="1:26">
      <c r="A284" s="100"/>
      <c r="B284" s="108" t="str">
        <f>IFERROR(VLOOKUP(Tablo5[[#This Row],[ÜRÜN KODU]],YMKODLARI!$A$1:$K$363,2,0)," ")</f>
        <v xml:space="preserve"> </v>
      </c>
      <c r="C284" s="99"/>
      <c r="D284" s="100"/>
      <c r="E284" s="101"/>
      <c r="F284" s="101"/>
      <c r="G284" s="100" t="str">
        <f>IFERROR(VLOOKUP(Tablo5[[#This Row],[ÜRÜN KODU]],YMKODLARI!$A$1:$K$363,3,0)," ")</f>
        <v xml:space="preserve"> </v>
      </c>
      <c r="H284" s="100" t="str">
        <f>IFERROR(VLOOKUP(Tablo5[[#This Row],[ÜRÜN KODU]],YMKODLARI!$A$1:$K$363,4,0)," ")</f>
        <v xml:space="preserve"> </v>
      </c>
      <c r="I284" s="100"/>
      <c r="J284" s="100" t="str">
        <f>IFERROR(VLOOKUP(Tablo5[[#This Row],[ÜRÜN KODU]],YMKODLARI!$A$1:$K$363,9,0)," ")</f>
        <v xml:space="preserve"> </v>
      </c>
      <c r="K284" s="100" t="str">
        <f>IFERROR(VLOOKUP(Tablo5[[#This Row],[BOYA KODU]],Tablo14[#All],4,0)," ")</f>
        <v xml:space="preserve"> </v>
      </c>
      <c r="L284" s="100" t="str">
        <f>IFERROR(VLOOKUP(Tablo5[[#This Row],[BOYA KODU]],Tablo14[#All],6,0)," ")</f>
        <v xml:space="preserve"> </v>
      </c>
      <c r="M284" s="100" t="str">
        <f t="shared" si="28"/>
        <v xml:space="preserve"> </v>
      </c>
      <c r="N284" s="100" t="str">
        <f>IFERROR(VLOOKUP(Tablo5[[#This Row],[ÜRÜN KODU]],YMKODLARI!$A$1:$K$363,8,0)," ")</f>
        <v xml:space="preserve"> </v>
      </c>
      <c r="O284" s="100" t="str">
        <f>IFERROR(VLOOKUP(Tablo5[[#This Row],[HAMMADDE KODU]],Tablo1[#All],3,0)," ")</f>
        <v xml:space="preserve"> </v>
      </c>
      <c r="P284" s="100" t="str">
        <f>IFERROR(VLOOKUP(Tablo5[[#This Row],[HAMMADDE KODU]],Tablo1[#All],4,0)," ")</f>
        <v xml:space="preserve"> </v>
      </c>
      <c r="Q284" s="100" t="str">
        <f>IFERROR(VLOOKUP(Tablo5[[#This Row],[ÜRÜN KODU]],YMKODLARI!$A$1:$K$363,5,0)," ")</f>
        <v xml:space="preserve"> </v>
      </c>
      <c r="R284" s="100" t="str">
        <f>IFERROR(VLOOKUP(Tablo5[[#This Row],[ÜRÜN KODU]],YMKODLARI!$A$1:$K$363,6,0)," ")</f>
        <v xml:space="preserve"> </v>
      </c>
      <c r="S284" s="100" t="str">
        <f>IFERROR(Tablo5[[#This Row],[YOLLUK HARİÇ BASKI GRAMI]]/Tablo5[[#This Row],[KALIP GÖZ ADEDİ]]," ")</f>
        <v xml:space="preserve"> </v>
      </c>
      <c r="T284" s="100" t="str">
        <f t="shared" si="30"/>
        <v xml:space="preserve"> </v>
      </c>
      <c r="U284" s="100"/>
      <c r="V284" s="100" t="str">
        <f t="shared" si="29"/>
        <v xml:space="preserve"> </v>
      </c>
      <c r="W284" s="101">
        <f t="shared" si="31"/>
        <v>24</v>
      </c>
      <c r="X284" s="102">
        <f t="shared" si="32"/>
        <v>0</v>
      </c>
      <c r="Y284" s="100" t="str">
        <f t="shared" si="33"/>
        <v xml:space="preserve"> </v>
      </c>
      <c r="Z284" s="100" t="str">
        <f t="shared" si="34"/>
        <v xml:space="preserve"> </v>
      </c>
    </row>
    <row r="285" spans="1:26">
      <c r="A285" s="100"/>
      <c r="B285" s="108" t="str">
        <f>IFERROR(VLOOKUP(Tablo5[[#This Row],[ÜRÜN KODU]],YMKODLARI!$A$1:$K$363,2,0)," ")</f>
        <v xml:space="preserve"> </v>
      </c>
      <c r="C285" s="99"/>
      <c r="D285" s="100"/>
      <c r="E285" s="101"/>
      <c r="F285" s="101"/>
      <c r="G285" s="100" t="str">
        <f>IFERROR(VLOOKUP(Tablo5[[#This Row],[ÜRÜN KODU]],YMKODLARI!$A$1:$K$363,3,0)," ")</f>
        <v xml:space="preserve"> </v>
      </c>
      <c r="H285" s="100" t="str">
        <f>IFERROR(VLOOKUP(Tablo5[[#This Row],[ÜRÜN KODU]],YMKODLARI!$A$1:$K$363,4,0)," ")</f>
        <v xml:space="preserve"> </v>
      </c>
      <c r="I285" s="100"/>
      <c r="J285" s="100" t="str">
        <f>IFERROR(VLOOKUP(Tablo5[[#This Row],[ÜRÜN KODU]],YMKODLARI!$A$1:$K$363,9,0)," ")</f>
        <v xml:space="preserve"> </v>
      </c>
      <c r="K285" s="100" t="str">
        <f>IFERROR(VLOOKUP(Tablo5[[#This Row],[BOYA KODU]],Tablo14[#All],4,0)," ")</f>
        <v xml:space="preserve"> </v>
      </c>
      <c r="L285" s="100" t="str">
        <f>IFERROR(VLOOKUP(Tablo5[[#This Row],[BOYA KODU]],Tablo14[#All],6,0)," ")</f>
        <v xml:space="preserve"> </v>
      </c>
      <c r="M285" s="100" t="str">
        <f t="shared" si="28"/>
        <v xml:space="preserve"> </v>
      </c>
      <c r="N285" s="100" t="str">
        <f>IFERROR(VLOOKUP(Tablo5[[#This Row],[ÜRÜN KODU]],YMKODLARI!$A$1:$K$363,8,0)," ")</f>
        <v xml:space="preserve"> </v>
      </c>
      <c r="O285" s="100" t="str">
        <f>IFERROR(VLOOKUP(Tablo5[[#This Row],[HAMMADDE KODU]],Tablo1[#All],3,0)," ")</f>
        <v xml:space="preserve"> </v>
      </c>
      <c r="P285" s="100" t="str">
        <f>IFERROR(VLOOKUP(Tablo5[[#This Row],[HAMMADDE KODU]],Tablo1[#All],4,0)," ")</f>
        <v xml:space="preserve"> </v>
      </c>
      <c r="Q285" s="100" t="str">
        <f>IFERROR(VLOOKUP(Tablo5[[#This Row],[ÜRÜN KODU]],YMKODLARI!$A$1:$K$363,5,0)," ")</f>
        <v xml:space="preserve"> </v>
      </c>
      <c r="R285" s="100" t="str">
        <f>IFERROR(VLOOKUP(Tablo5[[#This Row],[ÜRÜN KODU]],YMKODLARI!$A$1:$K$363,6,0)," ")</f>
        <v xml:space="preserve"> </v>
      </c>
      <c r="S285" s="100" t="str">
        <f>IFERROR(Tablo5[[#This Row],[YOLLUK HARİÇ BASKI GRAMI]]/Tablo5[[#This Row],[KALIP GÖZ ADEDİ]]," ")</f>
        <v xml:space="preserve"> </v>
      </c>
      <c r="T285" s="100" t="str">
        <f t="shared" si="30"/>
        <v xml:space="preserve"> </v>
      </c>
      <c r="U285" s="100"/>
      <c r="V285" s="100" t="str">
        <f t="shared" si="29"/>
        <v xml:space="preserve"> </v>
      </c>
      <c r="W285" s="101">
        <f t="shared" si="31"/>
        <v>24</v>
      </c>
      <c r="X285" s="102">
        <f t="shared" si="32"/>
        <v>0</v>
      </c>
      <c r="Y285" s="100" t="str">
        <f t="shared" si="33"/>
        <v xml:space="preserve"> </v>
      </c>
      <c r="Z285" s="100" t="str">
        <f t="shared" si="34"/>
        <v xml:space="preserve"> </v>
      </c>
    </row>
    <row r="286" spans="1:26">
      <c r="A286" s="100"/>
      <c r="B286" s="108" t="str">
        <f>IFERROR(VLOOKUP(Tablo5[[#This Row],[ÜRÜN KODU]],YMKODLARI!$A$1:$K$363,2,0)," ")</f>
        <v xml:space="preserve"> </v>
      </c>
      <c r="C286" s="99"/>
      <c r="D286" s="100"/>
      <c r="E286" s="101"/>
      <c r="F286" s="101"/>
      <c r="G286" s="100" t="str">
        <f>IFERROR(VLOOKUP(Tablo5[[#This Row],[ÜRÜN KODU]],YMKODLARI!$A$1:$K$363,3,0)," ")</f>
        <v xml:space="preserve"> </v>
      </c>
      <c r="H286" s="100" t="str">
        <f>IFERROR(VLOOKUP(Tablo5[[#This Row],[ÜRÜN KODU]],YMKODLARI!$A$1:$K$363,4,0)," ")</f>
        <v xml:space="preserve"> </v>
      </c>
      <c r="I286" s="100"/>
      <c r="J286" s="100" t="str">
        <f>IFERROR(VLOOKUP(Tablo5[[#This Row],[ÜRÜN KODU]],YMKODLARI!$A$1:$K$363,9,0)," ")</f>
        <v xml:space="preserve"> </v>
      </c>
      <c r="K286" s="100" t="str">
        <f>IFERROR(VLOOKUP(Tablo5[[#This Row],[BOYA KODU]],Tablo14[#All],4,0)," ")</f>
        <v xml:space="preserve"> </v>
      </c>
      <c r="L286" s="100" t="str">
        <f>IFERROR(VLOOKUP(Tablo5[[#This Row],[BOYA KODU]],Tablo14[#All],6,0)," ")</f>
        <v xml:space="preserve"> </v>
      </c>
      <c r="M286" s="100" t="str">
        <f t="shared" si="28"/>
        <v xml:space="preserve"> </v>
      </c>
      <c r="N286" s="100" t="str">
        <f>IFERROR(VLOOKUP(Tablo5[[#This Row],[ÜRÜN KODU]],YMKODLARI!$A$1:$K$363,8,0)," ")</f>
        <v xml:space="preserve"> </v>
      </c>
      <c r="O286" s="100" t="str">
        <f>IFERROR(VLOOKUP(Tablo5[[#This Row],[HAMMADDE KODU]],Tablo1[#All],3,0)," ")</f>
        <v xml:space="preserve"> </v>
      </c>
      <c r="P286" s="100" t="str">
        <f>IFERROR(VLOOKUP(Tablo5[[#This Row],[HAMMADDE KODU]],Tablo1[#All],4,0)," ")</f>
        <v xml:space="preserve"> </v>
      </c>
      <c r="Q286" s="100" t="str">
        <f>IFERROR(VLOOKUP(Tablo5[[#This Row],[ÜRÜN KODU]],YMKODLARI!$A$1:$K$363,5,0)," ")</f>
        <v xml:space="preserve"> </v>
      </c>
      <c r="R286" s="100" t="str">
        <f>IFERROR(VLOOKUP(Tablo5[[#This Row],[ÜRÜN KODU]],YMKODLARI!$A$1:$K$363,6,0)," ")</f>
        <v xml:space="preserve"> </v>
      </c>
      <c r="S286" s="100" t="str">
        <f>IFERROR(Tablo5[[#This Row],[YOLLUK HARİÇ BASKI GRAMI]]/Tablo5[[#This Row],[KALIP GÖZ ADEDİ]]," ")</f>
        <v xml:space="preserve"> </v>
      </c>
      <c r="T286" s="100" t="str">
        <f t="shared" si="30"/>
        <v xml:space="preserve"> </v>
      </c>
      <c r="U286" s="100"/>
      <c r="V286" s="100" t="str">
        <f t="shared" si="29"/>
        <v xml:space="preserve"> </v>
      </c>
      <c r="W286" s="101">
        <f t="shared" si="31"/>
        <v>24</v>
      </c>
      <c r="X286" s="102">
        <f t="shared" si="32"/>
        <v>0</v>
      </c>
      <c r="Y286" s="100" t="str">
        <f t="shared" si="33"/>
        <v xml:space="preserve"> </v>
      </c>
      <c r="Z286" s="100" t="str">
        <f t="shared" si="34"/>
        <v xml:space="preserve"> </v>
      </c>
    </row>
    <row r="287" spans="1:26">
      <c r="A287" s="100"/>
      <c r="B287" s="108" t="str">
        <f>IFERROR(VLOOKUP(Tablo5[[#This Row],[ÜRÜN KODU]],YMKODLARI!$A$1:$K$363,2,0)," ")</f>
        <v xml:space="preserve"> </v>
      </c>
      <c r="C287" s="99"/>
      <c r="D287" s="100"/>
      <c r="E287" s="101"/>
      <c r="F287" s="101"/>
      <c r="G287" s="100" t="str">
        <f>IFERROR(VLOOKUP(Tablo5[[#This Row],[ÜRÜN KODU]],YMKODLARI!$A$1:$K$363,3,0)," ")</f>
        <v xml:space="preserve"> </v>
      </c>
      <c r="H287" s="100" t="str">
        <f>IFERROR(VLOOKUP(Tablo5[[#This Row],[ÜRÜN KODU]],YMKODLARI!$A$1:$K$363,4,0)," ")</f>
        <v xml:space="preserve"> </v>
      </c>
      <c r="I287" s="100"/>
      <c r="J287" s="100" t="str">
        <f>IFERROR(VLOOKUP(Tablo5[[#This Row],[ÜRÜN KODU]],YMKODLARI!$A$1:$K$363,9,0)," ")</f>
        <v xml:space="preserve"> </v>
      </c>
      <c r="K287" s="100" t="str">
        <f>IFERROR(VLOOKUP(Tablo5[[#This Row],[BOYA KODU]],Tablo14[#All],4,0)," ")</f>
        <v xml:space="preserve"> </v>
      </c>
      <c r="L287" s="100" t="str">
        <f>IFERROR(VLOOKUP(Tablo5[[#This Row],[BOYA KODU]],Tablo14[#All],6,0)," ")</f>
        <v xml:space="preserve"> </v>
      </c>
      <c r="M287" s="100" t="str">
        <f t="shared" si="28"/>
        <v xml:space="preserve"> </v>
      </c>
      <c r="N287" s="100" t="str">
        <f>IFERROR(VLOOKUP(Tablo5[[#This Row],[ÜRÜN KODU]],YMKODLARI!$A$1:$K$363,8,0)," ")</f>
        <v xml:space="preserve"> </v>
      </c>
      <c r="O287" s="100" t="str">
        <f>IFERROR(VLOOKUP(Tablo5[[#This Row],[HAMMADDE KODU]],Tablo1[#All],3,0)," ")</f>
        <v xml:space="preserve"> </v>
      </c>
      <c r="P287" s="100" t="str">
        <f>IFERROR(VLOOKUP(Tablo5[[#This Row],[HAMMADDE KODU]],Tablo1[#All],4,0)," ")</f>
        <v xml:space="preserve"> </v>
      </c>
      <c r="Q287" s="100" t="str">
        <f>IFERROR(VLOOKUP(Tablo5[[#This Row],[ÜRÜN KODU]],YMKODLARI!$A$1:$K$363,5,0)," ")</f>
        <v xml:space="preserve"> </v>
      </c>
      <c r="R287" s="100" t="str">
        <f>IFERROR(VLOOKUP(Tablo5[[#This Row],[ÜRÜN KODU]],YMKODLARI!$A$1:$K$363,6,0)," ")</f>
        <v xml:space="preserve"> </v>
      </c>
      <c r="S287" s="100" t="str">
        <f>IFERROR(Tablo5[[#This Row],[YOLLUK HARİÇ BASKI GRAMI]]/Tablo5[[#This Row],[KALIP GÖZ ADEDİ]]," ")</f>
        <v xml:space="preserve"> </v>
      </c>
      <c r="T287" s="100" t="str">
        <f t="shared" si="30"/>
        <v xml:space="preserve"> </v>
      </c>
      <c r="U287" s="100"/>
      <c r="V287" s="100" t="str">
        <f t="shared" si="29"/>
        <v xml:space="preserve"> </v>
      </c>
      <c r="W287" s="101">
        <f t="shared" si="31"/>
        <v>24</v>
      </c>
      <c r="X287" s="102">
        <f t="shared" si="32"/>
        <v>0</v>
      </c>
      <c r="Y287" s="100" t="str">
        <f t="shared" si="33"/>
        <v xml:space="preserve"> </v>
      </c>
      <c r="Z287" s="100" t="str">
        <f t="shared" si="34"/>
        <v xml:space="preserve"> </v>
      </c>
    </row>
    <row r="288" spans="1:26">
      <c r="A288" s="100"/>
      <c r="B288" s="108" t="str">
        <f>IFERROR(VLOOKUP(Tablo5[[#This Row],[ÜRÜN KODU]],YMKODLARI!$A$1:$K$363,2,0)," ")</f>
        <v xml:space="preserve"> </v>
      </c>
      <c r="C288" s="99"/>
      <c r="D288" s="100"/>
      <c r="E288" s="101"/>
      <c r="F288" s="101"/>
      <c r="G288" s="100" t="str">
        <f>IFERROR(VLOOKUP(Tablo5[[#This Row],[ÜRÜN KODU]],YMKODLARI!$A$1:$K$363,3,0)," ")</f>
        <v xml:space="preserve"> </v>
      </c>
      <c r="H288" s="100" t="str">
        <f>IFERROR(VLOOKUP(Tablo5[[#This Row],[ÜRÜN KODU]],YMKODLARI!$A$1:$K$363,4,0)," ")</f>
        <v xml:space="preserve"> </v>
      </c>
      <c r="I288" s="100"/>
      <c r="J288" s="100" t="str">
        <f>IFERROR(VLOOKUP(Tablo5[[#This Row],[ÜRÜN KODU]],YMKODLARI!$A$1:$K$363,9,0)," ")</f>
        <v xml:space="preserve"> </v>
      </c>
      <c r="K288" s="100" t="str">
        <f>IFERROR(VLOOKUP(Tablo5[[#This Row],[BOYA KODU]],Tablo14[#All],4,0)," ")</f>
        <v xml:space="preserve"> </v>
      </c>
      <c r="L288" s="100" t="str">
        <f>IFERROR(VLOOKUP(Tablo5[[#This Row],[BOYA KODU]],Tablo14[#All],6,0)," ")</f>
        <v xml:space="preserve"> </v>
      </c>
      <c r="M288" s="100" t="str">
        <f t="shared" si="28"/>
        <v xml:space="preserve"> </v>
      </c>
      <c r="N288" s="100" t="str">
        <f>IFERROR(VLOOKUP(Tablo5[[#This Row],[ÜRÜN KODU]],YMKODLARI!$A$1:$K$363,8,0)," ")</f>
        <v xml:space="preserve"> </v>
      </c>
      <c r="O288" s="100" t="str">
        <f>IFERROR(VLOOKUP(Tablo5[[#This Row],[HAMMADDE KODU]],Tablo1[#All],3,0)," ")</f>
        <v xml:space="preserve"> </v>
      </c>
      <c r="P288" s="100" t="str">
        <f>IFERROR(VLOOKUP(Tablo5[[#This Row],[HAMMADDE KODU]],Tablo1[#All],4,0)," ")</f>
        <v xml:space="preserve"> </v>
      </c>
      <c r="Q288" s="100" t="str">
        <f>IFERROR(VLOOKUP(Tablo5[[#This Row],[ÜRÜN KODU]],YMKODLARI!$A$1:$K$363,5,0)," ")</f>
        <v xml:space="preserve"> </v>
      </c>
      <c r="R288" s="100" t="str">
        <f>IFERROR(VLOOKUP(Tablo5[[#This Row],[ÜRÜN KODU]],YMKODLARI!$A$1:$K$363,6,0)," ")</f>
        <v xml:space="preserve"> </v>
      </c>
      <c r="S288" s="100" t="str">
        <f>IFERROR(Tablo5[[#This Row],[YOLLUK HARİÇ BASKI GRAMI]]/Tablo5[[#This Row],[KALIP GÖZ ADEDİ]]," ")</f>
        <v xml:space="preserve"> </v>
      </c>
      <c r="T288" s="100" t="str">
        <f t="shared" si="30"/>
        <v xml:space="preserve"> </v>
      </c>
      <c r="U288" s="100"/>
      <c r="V288" s="100" t="str">
        <f t="shared" si="29"/>
        <v xml:space="preserve"> </v>
      </c>
      <c r="W288" s="101">
        <f t="shared" si="31"/>
        <v>24</v>
      </c>
      <c r="X288" s="102">
        <f t="shared" si="32"/>
        <v>0</v>
      </c>
      <c r="Y288" s="100" t="str">
        <f t="shared" si="33"/>
        <v xml:space="preserve"> </v>
      </c>
      <c r="Z288" s="100" t="str">
        <f t="shared" si="34"/>
        <v xml:space="preserve"> </v>
      </c>
    </row>
    <row r="289" spans="1:26">
      <c r="A289" s="100"/>
      <c r="B289" s="108" t="str">
        <f>IFERROR(VLOOKUP(Tablo5[[#This Row],[ÜRÜN KODU]],YMKODLARI!$A$1:$K$363,2,0)," ")</f>
        <v xml:space="preserve"> </v>
      </c>
      <c r="C289" s="99"/>
      <c r="D289" s="100"/>
      <c r="E289" s="101"/>
      <c r="F289" s="101"/>
      <c r="G289" s="100" t="str">
        <f>IFERROR(VLOOKUP(Tablo5[[#This Row],[ÜRÜN KODU]],YMKODLARI!$A$1:$K$363,3,0)," ")</f>
        <v xml:space="preserve"> </v>
      </c>
      <c r="H289" s="100" t="str">
        <f>IFERROR(VLOOKUP(Tablo5[[#This Row],[ÜRÜN KODU]],YMKODLARI!$A$1:$K$363,4,0)," ")</f>
        <v xml:space="preserve"> </v>
      </c>
      <c r="I289" s="100"/>
      <c r="J289" s="100" t="str">
        <f>IFERROR(VLOOKUP(Tablo5[[#This Row],[ÜRÜN KODU]],YMKODLARI!$A$1:$K$363,9,0)," ")</f>
        <v xml:space="preserve"> </v>
      </c>
      <c r="K289" s="100" t="str">
        <f>IFERROR(VLOOKUP(Tablo5[[#This Row],[BOYA KODU]],Tablo14[#All],4,0)," ")</f>
        <v xml:space="preserve"> </v>
      </c>
      <c r="L289" s="100" t="str">
        <f>IFERROR(VLOOKUP(Tablo5[[#This Row],[BOYA KODU]],Tablo14[#All],6,0)," ")</f>
        <v xml:space="preserve"> </v>
      </c>
      <c r="M289" s="100" t="str">
        <f t="shared" si="28"/>
        <v xml:space="preserve"> </v>
      </c>
      <c r="N289" s="100" t="str">
        <f>IFERROR(VLOOKUP(Tablo5[[#This Row],[ÜRÜN KODU]],YMKODLARI!$A$1:$K$363,8,0)," ")</f>
        <v xml:space="preserve"> </v>
      </c>
      <c r="O289" s="100" t="str">
        <f>IFERROR(VLOOKUP(Tablo5[[#This Row],[HAMMADDE KODU]],Tablo1[#All],3,0)," ")</f>
        <v xml:space="preserve"> </v>
      </c>
      <c r="P289" s="100" t="str">
        <f>IFERROR(VLOOKUP(Tablo5[[#This Row],[HAMMADDE KODU]],Tablo1[#All],4,0)," ")</f>
        <v xml:space="preserve"> </v>
      </c>
      <c r="Q289" s="100" t="str">
        <f>IFERROR(VLOOKUP(Tablo5[[#This Row],[ÜRÜN KODU]],YMKODLARI!$A$1:$K$363,5,0)," ")</f>
        <v xml:space="preserve"> </v>
      </c>
      <c r="R289" s="100" t="str">
        <f>IFERROR(VLOOKUP(Tablo5[[#This Row],[ÜRÜN KODU]],YMKODLARI!$A$1:$K$363,6,0)," ")</f>
        <v xml:space="preserve"> </v>
      </c>
      <c r="S289" s="100" t="str">
        <f>IFERROR(Tablo5[[#This Row],[YOLLUK HARİÇ BASKI GRAMI]]/Tablo5[[#This Row],[KALIP GÖZ ADEDİ]]," ")</f>
        <v xml:space="preserve"> </v>
      </c>
      <c r="T289" s="100" t="str">
        <f t="shared" si="30"/>
        <v xml:space="preserve"> </v>
      </c>
      <c r="U289" s="100"/>
      <c r="V289" s="100" t="str">
        <f t="shared" si="29"/>
        <v xml:space="preserve"> </v>
      </c>
      <c r="W289" s="101">
        <f t="shared" si="31"/>
        <v>24</v>
      </c>
      <c r="X289" s="102">
        <f t="shared" si="32"/>
        <v>0</v>
      </c>
      <c r="Y289" s="100" t="str">
        <f t="shared" si="33"/>
        <v xml:space="preserve"> </v>
      </c>
      <c r="Z289" s="100" t="str">
        <f t="shared" si="34"/>
        <v xml:space="preserve"> </v>
      </c>
    </row>
    <row r="290" spans="1:26">
      <c r="A290" s="100"/>
      <c r="B290" s="108" t="str">
        <f>IFERROR(VLOOKUP(Tablo5[[#This Row],[ÜRÜN KODU]],YMKODLARI!$A$1:$K$363,2,0)," ")</f>
        <v xml:space="preserve"> </v>
      </c>
      <c r="C290" s="99"/>
      <c r="D290" s="100"/>
      <c r="E290" s="101"/>
      <c r="F290" s="101"/>
      <c r="G290" s="100" t="str">
        <f>IFERROR(VLOOKUP(Tablo5[[#This Row],[ÜRÜN KODU]],YMKODLARI!$A$1:$K$363,3,0)," ")</f>
        <v xml:space="preserve"> </v>
      </c>
      <c r="H290" s="100" t="str">
        <f>IFERROR(VLOOKUP(Tablo5[[#This Row],[ÜRÜN KODU]],YMKODLARI!$A$1:$K$363,4,0)," ")</f>
        <v xml:space="preserve"> </v>
      </c>
      <c r="I290" s="100"/>
      <c r="J290" s="100" t="str">
        <f>IFERROR(VLOOKUP(Tablo5[[#This Row],[ÜRÜN KODU]],YMKODLARI!$A$1:$K$363,9,0)," ")</f>
        <v xml:space="preserve"> </v>
      </c>
      <c r="K290" s="100" t="str">
        <f>IFERROR(VLOOKUP(Tablo5[[#This Row],[BOYA KODU]],Tablo14[#All],4,0)," ")</f>
        <v xml:space="preserve"> </v>
      </c>
      <c r="L290" s="100" t="str">
        <f>IFERROR(VLOOKUP(Tablo5[[#This Row],[BOYA KODU]],Tablo14[#All],6,0)," ")</f>
        <v xml:space="preserve"> </v>
      </c>
      <c r="M290" s="100" t="str">
        <f t="shared" si="28"/>
        <v xml:space="preserve"> </v>
      </c>
      <c r="N290" s="100" t="str">
        <f>IFERROR(VLOOKUP(Tablo5[[#This Row],[ÜRÜN KODU]],YMKODLARI!$A$1:$K$363,8,0)," ")</f>
        <v xml:space="preserve"> </v>
      </c>
      <c r="O290" s="100" t="str">
        <f>IFERROR(VLOOKUP(Tablo5[[#This Row],[HAMMADDE KODU]],Tablo1[#All],3,0)," ")</f>
        <v xml:space="preserve"> </v>
      </c>
      <c r="P290" s="100" t="str">
        <f>IFERROR(VLOOKUP(Tablo5[[#This Row],[HAMMADDE KODU]],Tablo1[#All],4,0)," ")</f>
        <v xml:space="preserve"> </v>
      </c>
      <c r="Q290" s="100" t="str">
        <f>IFERROR(VLOOKUP(Tablo5[[#This Row],[ÜRÜN KODU]],YMKODLARI!$A$1:$K$363,5,0)," ")</f>
        <v xml:space="preserve"> </v>
      </c>
      <c r="R290" s="100" t="str">
        <f>IFERROR(VLOOKUP(Tablo5[[#This Row],[ÜRÜN KODU]],YMKODLARI!$A$1:$K$363,6,0)," ")</f>
        <v xml:space="preserve"> </v>
      </c>
      <c r="S290" s="100" t="str">
        <f>IFERROR(Tablo5[[#This Row],[YOLLUK HARİÇ BASKI GRAMI]]/Tablo5[[#This Row],[KALIP GÖZ ADEDİ]]," ")</f>
        <v xml:space="preserve"> </v>
      </c>
      <c r="T290" s="100" t="str">
        <f t="shared" si="30"/>
        <v xml:space="preserve"> </v>
      </c>
      <c r="U290" s="100"/>
      <c r="V290" s="100" t="str">
        <f t="shared" si="29"/>
        <v xml:space="preserve"> </v>
      </c>
      <c r="W290" s="101">
        <f t="shared" si="31"/>
        <v>24</v>
      </c>
      <c r="X290" s="102">
        <f t="shared" si="32"/>
        <v>0</v>
      </c>
      <c r="Y290" s="100" t="str">
        <f t="shared" si="33"/>
        <v xml:space="preserve"> </v>
      </c>
      <c r="Z290" s="100" t="str">
        <f t="shared" si="34"/>
        <v xml:space="preserve"> </v>
      </c>
    </row>
    <row r="291" spans="1:26">
      <c r="A291" s="100"/>
      <c r="B291" s="108" t="str">
        <f>IFERROR(VLOOKUP(Tablo5[[#This Row],[ÜRÜN KODU]],YMKODLARI!$A$1:$K$363,2,0)," ")</f>
        <v xml:space="preserve"> </v>
      </c>
      <c r="C291" s="99"/>
      <c r="D291" s="100"/>
      <c r="E291" s="101"/>
      <c r="F291" s="101"/>
      <c r="G291" s="100" t="str">
        <f>IFERROR(VLOOKUP(Tablo5[[#This Row],[ÜRÜN KODU]],YMKODLARI!$A$1:$K$363,3,0)," ")</f>
        <v xml:space="preserve"> </v>
      </c>
      <c r="H291" s="100" t="str">
        <f>IFERROR(VLOOKUP(Tablo5[[#This Row],[ÜRÜN KODU]],YMKODLARI!$A$1:$K$363,4,0)," ")</f>
        <v xml:space="preserve"> </v>
      </c>
      <c r="I291" s="100"/>
      <c r="J291" s="100" t="str">
        <f>IFERROR(VLOOKUP(Tablo5[[#This Row],[ÜRÜN KODU]],YMKODLARI!$A$1:$K$363,9,0)," ")</f>
        <v xml:space="preserve"> </v>
      </c>
      <c r="K291" s="100" t="str">
        <f>IFERROR(VLOOKUP(Tablo5[[#This Row],[BOYA KODU]],Tablo14[#All],4,0)," ")</f>
        <v xml:space="preserve"> </v>
      </c>
      <c r="L291" s="100" t="str">
        <f>IFERROR(VLOOKUP(Tablo5[[#This Row],[BOYA KODU]],Tablo14[#All],6,0)," ")</f>
        <v xml:space="preserve"> </v>
      </c>
      <c r="M291" s="100" t="str">
        <f t="shared" si="28"/>
        <v xml:space="preserve"> </v>
      </c>
      <c r="N291" s="100" t="str">
        <f>IFERROR(VLOOKUP(Tablo5[[#This Row],[ÜRÜN KODU]],YMKODLARI!$A$1:$K$363,8,0)," ")</f>
        <v xml:space="preserve"> </v>
      </c>
      <c r="O291" s="100" t="str">
        <f>IFERROR(VLOOKUP(Tablo5[[#This Row],[HAMMADDE KODU]],Tablo1[#All],3,0)," ")</f>
        <v xml:space="preserve"> </v>
      </c>
      <c r="P291" s="100" t="str">
        <f>IFERROR(VLOOKUP(Tablo5[[#This Row],[HAMMADDE KODU]],Tablo1[#All],4,0)," ")</f>
        <v xml:space="preserve"> </v>
      </c>
      <c r="Q291" s="100" t="str">
        <f>IFERROR(VLOOKUP(Tablo5[[#This Row],[ÜRÜN KODU]],YMKODLARI!$A$1:$K$363,5,0)," ")</f>
        <v xml:space="preserve"> </v>
      </c>
      <c r="R291" s="100" t="str">
        <f>IFERROR(VLOOKUP(Tablo5[[#This Row],[ÜRÜN KODU]],YMKODLARI!$A$1:$K$363,6,0)," ")</f>
        <v xml:space="preserve"> </v>
      </c>
      <c r="S291" s="100" t="str">
        <f>IFERROR(Tablo5[[#This Row],[YOLLUK HARİÇ BASKI GRAMI]]/Tablo5[[#This Row],[KALIP GÖZ ADEDİ]]," ")</f>
        <v xml:space="preserve"> </v>
      </c>
      <c r="T291" s="100" t="str">
        <f t="shared" si="30"/>
        <v xml:space="preserve"> </v>
      </c>
      <c r="U291" s="100"/>
      <c r="V291" s="100" t="str">
        <f t="shared" si="29"/>
        <v xml:space="preserve"> </v>
      </c>
      <c r="W291" s="101">
        <f t="shared" si="31"/>
        <v>24</v>
      </c>
      <c r="X291" s="102">
        <f t="shared" si="32"/>
        <v>0</v>
      </c>
      <c r="Y291" s="100" t="str">
        <f t="shared" si="33"/>
        <v xml:space="preserve"> </v>
      </c>
      <c r="Z291" s="100" t="str">
        <f t="shared" si="34"/>
        <v xml:space="preserve"> </v>
      </c>
    </row>
    <row r="292" spans="1:26">
      <c r="A292" s="100"/>
      <c r="B292" s="108" t="str">
        <f>IFERROR(VLOOKUP(Tablo5[[#This Row],[ÜRÜN KODU]],YMKODLARI!$A$1:$K$363,2,0)," ")</f>
        <v xml:space="preserve"> </v>
      </c>
      <c r="C292" s="99"/>
      <c r="D292" s="100"/>
      <c r="E292" s="101"/>
      <c r="F292" s="101"/>
      <c r="G292" s="100" t="str">
        <f>IFERROR(VLOOKUP(Tablo5[[#This Row],[ÜRÜN KODU]],YMKODLARI!$A$1:$K$363,3,0)," ")</f>
        <v xml:space="preserve"> </v>
      </c>
      <c r="H292" s="100" t="str">
        <f>IFERROR(VLOOKUP(Tablo5[[#This Row],[ÜRÜN KODU]],YMKODLARI!$A$1:$K$363,4,0)," ")</f>
        <v xml:space="preserve"> </v>
      </c>
      <c r="I292" s="100"/>
      <c r="J292" s="100" t="str">
        <f>IFERROR(VLOOKUP(Tablo5[[#This Row],[ÜRÜN KODU]],YMKODLARI!$A$1:$K$363,9,0)," ")</f>
        <v xml:space="preserve"> </v>
      </c>
      <c r="K292" s="100" t="str">
        <f>IFERROR(VLOOKUP(Tablo5[[#This Row],[BOYA KODU]],Tablo14[#All],4,0)," ")</f>
        <v xml:space="preserve"> </v>
      </c>
      <c r="L292" s="100" t="str">
        <f>IFERROR(VLOOKUP(Tablo5[[#This Row],[BOYA KODU]],Tablo14[#All],6,0)," ")</f>
        <v xml:space="preserve"> </v>
      </c>
      <c r="M292" s="100" t="str">
        <f t="shared" si="28"/>
        <v xml:space="preserve"> </v>
      </c>
      <c r="N292" s="100" t="str">
        <f>IFERROR(VLOOKUP(Tablo5[[#This Row],[ÜRÜN KODU]],YMKODLARI!$A$1:$K$363,8,0)," ")</f>
        <v xml:space="preserve"> </v>
      </c>
      <c r="O292" s="100" t="str">
        <f>IFERROR(VLOOKUP(Tablo5[[#This Row],[HAMMADDE KODU]],Tablo1[#All],3,0)," ")</f>
        <v xml:space="preserve"> </v>
      </c>
      <c r="P292" s="100" t="str">
        <f>IFERROR(VLOOKUP(Tablo5[[#This Row],[HAMMADDE KODU]],Tablo1[#All],4,0)," ")</f>
        <v xml:space="preserve"> </v>
      </c>
      <c r="Q292" s="100" t="str">
        <f>IFERROR(VLOOKUP(Tablo5[[#This Row],[ÜRÜN KODU]],YMKODLARI!$A$1:$K$363,5,0)," ")</f>
        <v xml:space="preserve"> </v>
      </c>
      <c r="R292" s="100" t="str">
        <f>IFERROR(VLOOKUP(Tablo5[[#This Row],[ÜRÜN KODU]],YMKODLARI!$A$1:$K$363,6,0)," ")</f>
        <v xml:space="preserve"> </v>
      </c>
      <c r="S292" s="100" t="str">
        <f>IFERROR(Tablo5[[#This Row],[YOLLUK HARİÇ BASKI GRAMI]]/Tablo5[[#This Row],[KALIP GÖZ ADEDİ]]," ")</f>
        <v xml:space="preserve"> </v>
      </c>
      <c r="T292" s="100" t="str">
        <f t="shared" si="30"/>
        <v xml:space="preserve"> </v>
      </c>
      <c r="U292" s="100"/>
      <c r="V292" s="100" t="str">
        <f t="shared" si="29"/>
        <v xml:space="preserve"> </v>
      </c>
      <c r="W292" s="101">
        <f t="shared" si="31"/>
        <v>24</v>
      </c>
      <c r="X292" s="102">
        <f t="shared" si="32"/>
        <v>0</v>
      </c>
      <c r="Y292" s="100" t="str">
        <f t="shared" si="33"/>
        <v xml:space="preserve"> </v>
      </c>
      <c r="Z292" s="100" t="str">
        <f t="shared" si="34"/>
        <v xml:space="preserve"> </v>
      </c>
    </row>
    <row r="293" spans="1:26">
      <c r="A293" s="100"/>
      <c r="B293" s="108" t="str">
        <f>IFERROR(VLOOKUP(Tablo5[[#This Row],[ÜRÜN KODU]],YMKODLARI!$A$1:$K$363,2,0)," ")</f>
        <v xml:space="preserve"> </v>
      </c>
      <c r="C293" s="99"/>
      <c r="D293" s="100"/>
      <c r="E293" s="101"/>
      <c r="F293" s="101"/>
      <c r="G293" s="100" t="str">
        <f>IFERROR(VLOOKUP(Tablo5[[#This Row],[ÜRÜN KODU]],YMKODLARI!$A$1:$K$363,3,0)," ")</f>
        <v xml:space="preserve"> </v>
      </c>
      <c r="H293" s="100" t="str">
        <f>IFERROR(VLOOKUP(Tablo5[[#This Row],[ÜRÜN KODU]],YMKODLARI!$A$1:$K$363,4,0)," ")</f>
        <v xml:space="preserve"> </v>
      </c>
      <c r="I293" s="100"/>
      <c r="J293" s="100" t="str">
        <f>IFERROR(VLOOKUP(Tablo5[[#This Row],[ÜRÜN KODU]],YMKODLARI!$A$1:$K$363,9,0)," ")</f>
        <v xml:space="preserve"> </v>
      </c>
      <c r="K293" s="100" t="str">
        <f>IFERROR(VLOOKUP(Tablo5[[#This Row],[BOYA KODU]],Tablo14[#All],4,0)," ")</f>
        <v xml:space="preserve"> </v>
      </c>
      <c r="L293" s="100" t="str">
        <f>IFERROR(VLOOKUP(Tablo5[[#This Row],[BOYA KODU]],Tablo14[#All],6,0)," ")</f>
        <v xml:space="preserve"> </v>
      </c>
      <c r="M293" s="100" t="str">
        <f t="shared" si="28"/>
        <v xml:space="preserve"> </v>
      </c>
      <c r="N293" s="100" t="str">
        <f>IFERROR(VLOOKUP(Tablo5[[#This Row],[ÜRÜN KODU]],YMKODLARI!$A$1:$K$363,8,0)," ")</f>
        <v xml:space="preserve"> </v>
      </c>
      <c r="O293" s="100" t="str">
        <f>IFERROR(VLOOKUP(Tablo5[[#This Row],[HAMMADDE KODU]],Tablo1[#All],3,0)," ")</f>
        <v xml:space="preserve"> </v>
      </c>
      <c r="P293" s="100" t="str">
        <f>IFERROR(VLOOKUP(Tablo5[[#This Row],[HAMMADDE KODU]],Tablo1[#All],4,0)," ")</f>
        <v xml:space="preserve"> </v>
      </c>
      <c r="Q293" s="100" t="str">
        <f>IFERROR(VLOOKUP(Tablo5[[#This Row],[ÜRÜN KODU]],YMKODLARI!$A$1:$K$363,5,0)," ")</f>
        <v xml:space="preserve"> </v>
      </c>
      <c r="R293" s="100" t="str">
        <f>IFERROR(VLOOKUP(Tablo5[[#This Row],[ÜRÜN KODU]],YMKODLARI!$A$1:$K$363,6,0)," ")</f>
        <v xml:space="preserve"> </v>
      </c>
      <c r="S293" s="100" t="str">
        <f>IFERROR(Tablo5[[#This Row],[YOLLUK HARİÇ BASKI GRAMI]]/Tablo5[[#This Row],[KALIP GÖZ ADEDİ]]," ")</f>
        <v xml:space="preserve"> </v>
      </c>
      <c r="T293" s="100" t="str">
        <f t="shared" si="30"/>
        <v xml:space="preserve"> </v>
      </c>
      <c r="U293" s="100"/>
      <c r="V293" s="100" t="str">
        <f t="shared" si="29"/>
        <v xml:space="preserve"> </v>
      </c>
      <c r="W293" s="101">
        <f t="shared" si="31"/>
        <v>24</v>
      </c>
      <c r="X293" s="102">
        <f t="shared" si="32"/>
        <v>0</v>
      </c>
      <c r="Y293" s="100" t="str">
        <f t="shared" si="33"/>
        <v xml:space="preserve"> </v>
      </c>
      <c r="Z293" s="100" t="str">
        <f t="shared" si="34"/>
        <v xml:space="preserve"> </v>
      </c>
    </row>
    <row r="294" spans="1:26">
      <c r="A294" s="100"/>
      <c r="B294" s="108" t="str">
        <f>IFERROR(VLOOKUP(Tablo5[[#This Row],[ÜRÜN KODU]],YMKODLARI!$A$1:$K$363,2,0)," ")</f>
        <v xml:space="preserve"> </v>
      </c>
      <c r="C294" s="99"/>
      <c r="D294" s="100"/>
      <c r="E294" s="101"/>
      <c r="F294" s="101"/>
      <c r="G294" s="100" t="str">
        <f>IFERROR(VLOOKUP(Tablo5[[#This Row],[ÜRÜN KODU]],YMKODLARI!$A$1:$K$363,3,0)," ")</f>
        <v xml:space="preserve"> </v>
      </c>
      <c r="H294" s="100" t="str">
        <f>IFERROR(VLOOKUP(Tablo5[[#This Row],[ÜRÜN KODU]],YMKODLARI!$A$1:$K$363,4,0)," ")</f>
        <v xml:space="preserve"> </v>
      </c>
      <c r="I294" s="100"/>
      <c r="J294" s="100" t="str">
        <f>IFERROR(VLOOKUP(Tablo5[[#This Row],[ÜRÜN KODU]],YMKODLARI!$A$1:$K$363,9,0)," ")</f>
        <v xml:space="preserve"> </v>
      </c>
      <c r="K294" s="100" t="str">
        <f>IFERROR(VLOOKUP(Tablo5[[#This Row],[BOYA KODU]],Tablo14[#All],4,0)," ")</f>
        <v xml:space="preserve"> </v>
      </c>
      <c r="L294" s="100" t="str">
        <f>IFERROR(VLOOKUP(Tablo5[[#This Row],[BOYA KODU]],Tablo14[#All],6,0)," ")</f>
        <v xml:space="preserve"> </v>
      </c>
      <c r="M294" s="100" t="str">
        <f t="shared" si="28"/>
        <v xml:space="preserve"> </v>
      </c>
      <c r="N294" s="100" t="str">
        <f>IFERROR(VLOOKUP(Tablo5[[#This Row],[ÜRÜN KODU]],YMKODLARI!$A$1:$K$363,8,0)," ")</f>
        <v xml:space="preserve"> </v>
      </c>
      <c r="O294" s="100" t="str">
        <f>IFERROR(VLOOKUP(Tablo5[[#This Row],[HAMMADDE KODU]],Tablo1[#All],3,0)," ")</f>
        <v xml:space="preserve"> </v>
      </c>
      <c r="P294" s="100" t="str">
        <f>IFERROR(VLOOKUP(Tablo5[[#This Row],[HAMMADDE KODU]],Tablo1[#All],4,0)," ")</f>
        <v xml:space="preserve"> </v>
      </c>
      <c r="Q294" s="100" t="str">
        <f>IFERROR(VLOOKUP(Tablo5[[#This Row],[ÜRÜN KODU]],YMKODLARI!$A$1:$K$363,5,0)," ")</f>
        <v xml:space="preserve"> </v>
      </c>
      <c r="R294" s="100" t="str">
        <f>IFERROR(VLOOKUP(Tablo5[[#This Row],[ÜRÜN KODU]],YMKODLARI!$A$1:$K$363,6,0)," ")</f>
        <v xml:space="preserve"> </v>
      </c>
      <c r="S294" s="100" t="str">
        <f>IFERROR(Tablo5[[#This Row],[YOLLUK HARİÇ BASKI GRAMI]]/Tablo5[[#This Row],[KALIP GÖZ ADEDİ]]," ")</f>
        <v xml:space="preserve"> </v>
      </c>
      <c r="T294" s="100" t="str">
        <f t="shared" si="30"/>
        <v xml:space="preserve"> </v>
      </c>
      <c r="U294" s="100"/>
      <c r="V294" s="100" t="str">
        <f t="shared" si="29"/>
        <v xml:space="preserve"> </v>
      </c>
      <c r="W294" s="101">
        <f t="shared" si="31"/>
        <v>24</v>
      </c>
      <c r="X294" s="102">
        <f t="shared" si="32"/>
        <v>0</v>
      </c>
      <c r="Y294" s="100" t="str">
        <f t="shared" si="33"/>
        <v xml:space="preserve"> </v>
      </c>
      <c r="Z294" s="100" t="str">
        <f t="shared" si="34"/>
        <v xml:space="preserve"> </v>
      </c>
    </row>
    <row r="295" spans="1:26">
      <c r="A295" s="100"/>
      <c r="B295" s="108" t="str">
        <f>IFERROR(VLOOKUP(Tablo5[[#This Row],[ÜRÜN KODU]],YMKODLARI!$A$1:$K$363,2,0)," ")</f>
        <v xml:space="preserve"> </v>
      </c>
      <c r="C295" s="99"/>
      <c r="D295" s="100"/>
      <c r="E295" s="101"/>
      <c r="F295" s="101"/>
      <c r="G295" s="100" t="str">
        <f>IFERROR(VLOOKUP(Tablo5[[#This Row],[ÜRÜN KODU]],YMKODLARI!$A$1:$K$363,3,0)," ")</f>
        <v xml:space="preserve"> </v>
      </c>
      <c r="H295" s="100" t="str">
        <f>IFERROR(VLOOKUP(Tablo5[[#This Row],[ÜRÜN KODU]],YMKODLARI!$A$1:$K$363,4,0)," ")</f>
        <v xml:space="preserve"> </v>
      </c>
      <c r="I295" s="100"/>
      <c r="J295" s="100" t="str">
        <f>IFERROR(VLOOKUP(Tablo5[[#This Row],[ÜRÜN KODU]],YMKODLARI!$A$1:$K$363,9,0)," ")</f>
        <v xml:space="preserve"> </v>
      </c>
      <c r="K295" s="100" t="str">
        <f>IFERROR(VLOOKUP(Tablo5[[#This Row],[BOYA KODU]],Tablo14[#All],4,0)," ")</f>
        <v xml:space="preserve"> </v>
      </c>
      <c r="L295" s="100" t="str">
        <f>IFERROR(VLOOKUP(Tablo5[[#This Row],[BOYA KODU]],Tablo14[#All],6,0)," ")</f>
        <v xml:space="preserve"> </v>
      </c>
      <c r="M295" s="100" t="str">
        <f t="shared" si="28"/>
        <v xml:space="preserve"> </v>
      </c>
      <c r="N295" s="100" t="str">
        <f>IFERROR(VLOOKUP(Tablo5[[#This Row],[ÜRÜN KODU]],YMKODLARI!$A$1:$K$363,8,0)," ")</f>
        <v xml:space="preserve"> </v>
      </c>
      <c r="O295" s="100" t="str">
        <f>IFERROR(VLOOKUP(Tablo5[[#This Row],[HAMMADDE KODU]],Tablo1[#All],3,0)," ")</f>
        <v xml:space="preserve"> </v>
      </c>
      <c r="P295" s="100" t="str">
        <f>IFERROR(VLOOKUP(Tablo5[[#This Row],[HAMMADDE KODU]],Tablo1[#All],4,0)," ")</f>
        <v xml:space="preserve"> </v>
      </c>
      <c r="Q295" s="100" t="str">
        <f>IFERROR(VLOOKUP(Tablo5[[#This Row],[ÜRÜN KODU]],YMKODLARI!$A$1:$K$363,5,0)," ")</f>
        <v xml:space="preserve"> </v>
      </c>
      <c r="R295" s="100" t="str">
        <f>IFERROR(VLOOKUP(Tablo5[[#This Row],[ÜRÜN KODU]],YMKODLARI!$A$1:$K$363,6,0)," ")</f>
        <v xml:space="preserve"> </v>
      </c>
      <c r="S295" s="100" t="str">
        <f>IFERROR(Tablo5[[#This Row],[YOLLUK HARİÇ BASKI GRAMI]]/Tablo5[[#This Row],[KALIP GÖZ ADEDİ]]," ")</f>
        <v xml:space="preserve"> </v>
      </c>
      <c r="T295" s="100" t="str">
        <f t="shared" si="30"/>
        <v xml:space="preserve"> </v>
      </c>
      <c r="U295" s="100"/>
      <c r="V295" s="100" t="str">
        <f t="shared" si="29"/>
        <v xml:space="preserve"> </v>
      </c>
      <c r="W295" s="101">
        <f t="shared" si="31"/>
        <v>24</v>
      </c>
      <c r="X295" s="102">
        <f t="shared" si="32"/>
        <v>0</v>
      </c>
      <c r="Y295" s="100" t="str">
        <f t="shared" si="33"/>
        <v xml:space="preserve"> </v>
      </c>
      <c r="Z295" s="100" t="str">
        <f t="shared" si="34"/>
        <v xml:space="preserve"> </v>
      </c>
    </row>
    <row r="296" spans="1:26">
      <c r="A296" s="100"/>
      <c r="B296" s="108" t="str">
        <f>IFERROR(VLOOKUP(Tablo5[[#This Row],[ÜRÜN KODU]],YMKODLARI!$A$1:$K$363,2,0)," ")</f>
        <v xml:space="preserve"> </v>
      </c>
      <c r="C296" s="99"/>
      <c r="D296" s="100"/>
      <c r="E296" s="101"/>
      <c r="F296" s="101"/>
      <c r="G296" s="100" t="str">
        <f>IFERROR(VLOOKUP(Tablo5[[#This Row],[ÜRÜN KODU]],YMKODLARI!$A$1:$K$363,3,0)," ")</f>
        <v xml:space="preserve"> </v>
      </c>
      <c r="H296" s="100" t="str">
        <f>IFERROR(VLOOKUP(Tablo5[[#This Row],[ÜRÜN KODU]],YMKODLARI!$A$1:$K$363,4,0)," ")</f>
        <v xml:space="preserve"> </v>
      </c>
      <c r="I296" s="100"/>
      <c r="J296" s="100" t="str">
        <f>IFERROR(VLOOKUP(Tablo5[[#This Row],[ÜRÜN KODU]],YMKODLARI!$A$1:$K$363,9,0)," ")</f>
        <v xml:space="preserve"> </v>
      </c>
      <c r="K296" s="100" t="str">
        <f>IFERROR(VLOOKUP(Tablo5[[#This Row],[BOYA KODU]],Tablo14[#All],4,0)," ")</f>
        <v xml:space="preserve"> </v>
      </c>
      <c r="L296" s="100" t="str">
        <f>IFERROR(VLOOKUP(Tablo5[[#This Row],[BOYA KODU]],Tablo14[#All],6,0)," ")</f>
        <v xml:space="preserve"> </v>
      </c>
      <c r="M296" s="100" t="str">
        <f t="shared" si="28"/>
        <v xml:space="preserve"> </v>
      </c>
      <c r="N296" s="100" t="str">
        <f>IFERROR(VLOOKUP(Tablo5[[#This Row],[ÜRÜN KODU]],YMKODLARI!$A$1:$K$363,8,0)," ")</f>
        <v xml:space="preserve"> </v>
      </c>
      <c r="O296" s="100" t="str">
        <f>IFERROR(VLOOKUP(Tablo5[[#This Row],[HAMMADDE KODU]],Tablo1[#All],3,0)," ")</f>
        <v xml:space="preserve"> </v>
      </c>
      <c r="P296" s="100" t="str">
        <f>IFERROR(VLOOKUP(Tablo5[[#This Row],[HAMMADDE KODU]],Tablo1[#All],4,0)," ")</f>
        <v xml:space="preserve"> </v>
      </c>
      <c r="Q296" s="100" t="str">
        <f>IFERROR(VLOOKUP(Tablo5[[#This Row],[ÜRÜN KODU]],YMKODLARI!$A$1:$K$363,5,0)," ")</f>
        <v xml:space="preserve"> </v>
      </c>
      <c r="R296" s="100" t="str">
        <f>IFERROR(VLOOKUP(Tablo5[[#This Row],[ÜRÜN KODU]],YMKODLARI!$A$1:$K$363,6,0)," ")</f>
        <v xml:space="preserve"> </v>
      </c>
      <c r="S296" s="100" t="str">
        <f>IFERROR(Tablo5[[#This Row],[YOLLUK HARİÇ BASKI GRAMI]]/Tablo5[[#This Row],[KALIP GÖZ ADEDİ]]," ")</f>
        <v xml:space="preserve"> </v>
      </c>
      <c r="T296" s="100" t="str">
        <f t="shared" si="30"/>
        <v xml:space="preserve"> </v>
      </c>
      <c r="U296" s="100"/>
      <c r="V296" s="100" t="str">
        <f t="shared" si="29"/>
        <v xml:space="preserve"> </v>
      </c>
      <c r="W296" s="101">
        <f t="shared" si="31"/>
        <v>24</v>
      </c>
      <c r="X296" s="102">
        <f t="shared" si="32"/>
        <v>0</v>
      </c>
      <c r="Y296" s="100" t="str">
        <f t="shared" si="33"/>
        <v xml:space="preserve"> </v>
      </c>
      <c r="Z296" s="100" t="str">
        <f t="shared" si="34"/>
        <v xml:space="preserve"> </v>
      </c>
    </row>
    <row r="297" spans="1:26">
      <c r="A297" s="100"/>
      <c r="B297" s="108" t="str">
        <f>IFERROR(VLOOKUP(Tablo5[[#This Row],[ÜRÜN KODU]],YMKODLARI!$A$1:$K$363,2,0)," ")</f>
        <v xml:space="preserve"> </v>
      </c>
      <c r="C297" s="99"/>
      <c r="D297" s="100"/>
      <c r="E297" s="101"/>
      <c r="F297" s="101"/>
      <c r="G297" s="100" t="str">
        <f>IFERROR(VLOOKUP(Tablo5[[#This Row],[ÜRÜN KODU]],YMKODLARI!$A$1:$K$363,3,0)," ")</f>
        <v xml:space="preserve"> </v>
      </c>
      <c r="H297" s="100" t="str">
        <f>IFERROR(VLOOKUP(Tablo5[[#This Row],[ÜRÜN KODU]],YMKODLARI!$A$1:$K$363,4,0)," ")</f>
        <v xml:space="preserve"> </v>
      </c>
      <c r="I297" s="100"/>
      <c r="J297" s="100" t="str">
        <f>IFERROR(VLOOKUP(Tablo5[[#This Row],[ÜRÜN KODU]],YMKODLARI!$A$1:$K$363,9,0)," ")</f>
        <v xml:space="preserve"> </v>
      </c>
      <c r="K297" s="100" t="str">
        <f>IFERROR(VLOOKUP(Tablo5[[#This Row],[BOYA KODU]],Tablo14[#All],4,0)," ")</f>
        <v xml:space="preserve"> </v>
      </c>
      <c r="L297" s="100" t="str">
        <f>IFERROR(VLOOKUP(Tablo5[[#This Row],[BOYA KODU]],Tablo14[#All],6,0)," ")</f>
        <v xml:space="preserve"> </v>
      </c>
      <c r="M297" s="100" t="str">
        <f t="shared" si="28"/>
        <v xml:space="preserve"> </v>
      </c>
      <c r="N297" s="100" t="str">
        <f>IFERROR(VLOOKUP(Tablo5[[#This Row],[ÜRÜN KODU]],YMKODLARI!$A$1:$K$363,8,0)," ")</f>
        <v xml:space="preserve"> </v>
      </c>
      <c r="O297" s="100" t="str">
        <f>IFERROR(VLOOKUP(Tablo5[[#This Row],[HAMMADDE KODU]],Tablo1[#All],3,0)," ")</f>
        <v xml:space="preserve"> </v>
      </c>
      <c r="P297" s="100" t="str">
        <f>IFERROR(VLOOKUP(Tablo5[[#This Row],[HAMMADDE KODU]],Tablo1[#All],4,0)," ")</f>
        <v xml:space="preserve"> </v>
      </c>
      <c r="Q297" s="100" t="str">
        <f>IFERROR(VLOOKUP(Tablo5[[#This Row],[ÜRÜN KODU]],YMKODLARI!$A$1:$K$363,5,0)," ")</f>
        <v xml:space="preserve"> </v>
      </c>
      <c r="R297" s="100" t="str">
        <f>IFERROR(VLOOKUP(Tablo5[[#This Row],[ÜRÜN KODU]],YMKODLARI!$A$1:$K$363,6,0)," ")</f>
        <v xml:space="preserve"> </v>
      </c>
      <c r="S297" s="100" t="str">
        <f>IFERROR(Tablo5[[#This Row],[YOLLUK HARİÇ BASKI GRAMI]]/Tablo5[[#This Row],[KALIP GÖZ ADEDİ]]," ")</f>
        <v xml:space="preserve"> </v>
      </c>
      <c r="T297" s="100" t="str">
        <f t="shared" si="30"/>
        <v xml:space="preserve"> </v>
      </c>
      <c r="U297" s="100"/>
      <c r="V297" s="100" t="str">
        <f t="shared" si="29"/>
        <v xml:space="preserve"> </v>
      </c>
      <c r="W297" s="101">
        <f t="shared" si="31"/>
        <v>24</v>
      </c>
      <c r="X297" s="102">
        <f t="shared" si="32"/>
        <v>0</v>
      </c>
      <c r="Y297" s="100" t="str">
        <f t="shared" si="33"/>
        <v xml:space="preserve"> </v>
      </c>
      <c r="Z297" s="100" t="str">
        <f t="shared" si="34"/>
        <v xml:space="preserve"> </v>
      </c>
    </row>
    <row r="298" spans="1:26">
      <c r="A298" s="100"/>
      <c r="B298" s="108" t="str">
        <f>IFERROR(VLOOKUP(Tablo5[[#This Row],[ÜRÜN KODU]],YMKODLARI!$A$1:$K$363,2,0)," ")</f>
        <v xml:space="preserve"> </v>
      </c>
      <c r="C298" s="99"/>
      <c r="D298" s="100"/>
      <c r="E298" s="101"/>
      <c r="F298" s="101"/>
      <c r="G298" s="100" t="str">
        <f>IFERROR(VLOOKUP(Tablo5[[#This Row],[ÜRÜN KODU]],YMKODLARI!$A$1:$K$363,3,0)," ")</f>
        <v xml:space="preserve"> </v>
      </c>
      <c r="H298" s="100" t="str">
        <f>IFERROR(VLOOKUP(Tablo5[[#This Row],[ÜRÜN KODU]],YMKODLARI!$A$1:$K$363,4,0)," ")</f>
        <v xml:space="preserve"> </v>
      </c>
      <c r="I298" s="100"/>
      <c r="J298" s="100" t="str">
        <f>IFERROR(VLOOKUP(Tablo5[[#This Row],[ÜRÜN KODU]],YMKODLARI!$A$1:$K$363,9,0)," ")</f>
        <v xml:space="preserve"> </v>
      </c>
      <c r="K298" s="100" t="str">
        <f>IFERROR(VLOOKUP(Tablo5[[#This Row],[BOYA KODU]],Tablo14[#All],4,0)," ")</f>
        <v xml:space="preserve"> </v>
      </c>
      <c r="L298" s="100" t="str">
        <f>IFERROR(VLOOKUP(Tablo5[[#This Row],[BOYA KODU]],Tablo14[#All],6,0)," ")</f>
        <v xml:space="preserve"> </v>
      </c>
      <c r="M298" s="100" t="str">
        <f t="shared" si="28"/>
        <v xml:space="preserve"> </v>
      </c>
      <c r="N298" s="100" t="str">
        <f>IFERROR(VLOOKUP(Tablo5[[#This Row],[ÜRÜN KODU]],YMKODLARI!$A$1:$K$363,8,0)," ")</f>
        <v xml:space="preserve"> </v>
      </c>
      <c r="O298" s="100" t="str">
        <f>IFERROR(VLOOKUP(Tablo5[[#This Row],[HAMMADDE KODU]],Tablo1[#All],3,0)," ")</f>
        <v xml:space="preserve"> </v>
      </c>
      <c r="P298" s="100" t="str">
        <f>IFERROR(VLOOKUP(Tablo5[[#This Row],[HAMMADDE KODU]],Tablo1[#All],4,0)," ")</f>
        <v xml:space="preserve"> </v>
      </c>
      <c r="Q298" s="100" t="str">
        <f>IFERROR(VLOOKUP(Tablo5[[#This Row],[ÜRÜN KODU]],YMKODLARI!$A$1:$K$363,5,0)," ")</f>
        <v xml:space="preserve"> </v>
      </c>
      <c r="R298" s="100" t="str">
        <f>IFERROR(VLOOKUP(Tablo5[[#This Row],[ÜRÜN KODU]],YMKODLARI!$A$1:$K$363,6,0)," ")</f>
        <v xml:space="preserve"> </v>
      </c>
      <c r="S298" s="100" t="str">
        <f>IFERROR(Tablo5[[#This Row],[YOLLUK HARİÇ BASKI GRAMI]]/Tablo5[[#This Row],[KALIP GÖZ ADEDİ]]," ")</f>
        <v xml:space="preserve"> </v>
      </c>
      <c r="T298" s="100" t="str">
        <f t="shared" si="30"/>
        <v xml:space="preserve"> </v>
      </c>
      <c r="U298" s="100"/>
      <c r="V298" s="100" t="str">
        <f t="shared" si="29"/>
        <v xml:space="preserve"> </v>
      </c>
      <c r="W298" s="101">
        <f t="shared" si="31"/>
        <v>24</v>
      </c>
      <c r="X298" s="102">
        <f t="shared" si="32"/>
        <v>0</v>
      </c>
      <c r="Y298" s="100" t="str">
        <f t="shared" si="33"/>
        <v xml:space="preserve"> </v>
      </c>
      <c r="Z298" s="100" t="str">
        <f t="shared" si="34"/>
        <v xml:space="preserve"> </v>
      </c>
    </row>
    <row r="299" spans="1:26">
      <c r="A299" s="100"/>
      <c r="B299" s="108" t="str">
        <f>IFERROR(VLOOKUP(Tablo5[[#This Row],[ÜRÜN KODU]],YMKODLARI!$A$1:$K$363,2,0)," ")</f>
        <v xml:space="preserve"> </v>
      </c>
      <c r="C299" s="99"/>
      <c r="D299" s="100"/>
      <c r="E299" s="101"/>
      <c r="F299" s="101"/>
      <c r="G299" s="100" t="str">
        <f>IFERROR(VLOOKUP(Tablo5[[#This Row],[ÜRÜN KODU]],YMKODLARI!$A$1:$K$363,3,0)," ")</f>
        <v xml:space="preserve"> </v>
      </c>
      <c r="H299" s="100" t="str">
        <f>IFERROR(VLOOKUP(Tablo5[[#This Row],[ÜRÜN KODU]],YMKODLARI!$A$1:$K$363,4,0)," ")</f>
        <v xml:space="preserve"> </v>
      </c>
      <c r="I299" s="100"/>
      <c r="J299" s="100" t="str">
        <f>IFERROR(VLOOKUP(Tablo5[[#This Row],[ÜRÜN KODU]],YMKODLARI!$A$1:$K$363,9,0)," ")</f>
        <v xml:space="preserve"> </v>
      </c>
      <c r="K299" s="100" t="str">
        <f>IFERROR(VLOOKUP(Tablo5[[#This Row],[BOYA KODU]],Tablo14[#All],4,0)," ")</f>
        <v xml:space="preserve"> </v>
      </c>
      <c r="L299" s="100" t="str">
        <f>IFERROR(VLOOKUP(Tablo5[[#This Row],[BOYA KODU]],Tablo14[#All],6,0)," ")</f>
        <v xml:space="preserve"> </v>
      </c>
      <c r="M299" s="100" t="str">
        <f t="shared" si="28"/>
        <v xml:space="preserve"> </v>
      </c>
      <c r="N299" s="100" t="str">
        <f>IFERROR(VLOOKUP(Tablo5[[#This Row],[ÜRÜN KODU]],YMKODLARI!$A$1:$K$363,8,0)," ")</f>
        <v xml:space="preserve"> </v>
      </c>
      <c r="O299" s="100" t="str">
        <f>IFERROR(VLOOKUP(Tablo5[[#This Row],[HAMMADDE KODU]],Tablo1[#All],3,0)," ")</f>
        <v xml:space="preserve"> </v>
      </c>
      <c r="P299" s="100" t="str">
        <f>IFERROR(VLOOKUP(Tablo5[[#This Row],[HAMMADDE KODU]],Tablo1[#All],4,0)," ")</f>
        <v xml:space="preserve"> </v>
      </c>
      <c r="Q299" s="100" t="str">
        <f>IFERROR(VLOOKUP(Tablo5[[#This Row],[ÜRÜN KODU]],YMKODLARI!$A$1:$K$363,5,0)," ")</f>
        <v xml:space="preserve"> </v>
      </c>
      <c r="R299" s="100" t="str">
        <f>IFERROR(VLOOKUP(Tablo5[[#This Row],[ÜRÜN KODU]],YMKODLARI!$A$1:$K$363,6,0)," ")</f>
        <v xml:space="preserve"> </v>
      </c>
      <c r="S299" s="100" t="str">
        <f>IFERROR(Tablo5[[#This Row],[YOLLUK HARİÇ BASKI GRAMI]]/Tablo5[[#This Row],[KALIP GÖZ ADEDİ]]," ")</f>
        <v xml:space="preserve"> </v>
      </c>
      <c r="T299" s="100" t="str">
        <f t="shared" si="30"/>
        <v xml:space="preserve"> </v>
      </c>
      <c r="U299" s="100"/>
      <c r="V299" s="100" t="str">
        <f t="shared" si="29"/>
        <v xml:space="preserve"> </v>
      </c>
      <c r="W299" s="101">
        <f t="shared" si="31"/>
        <v>24</v>
      </c>
      <c r="X299" s="102">
        <f t="shared" si="32"/>
        <v>0</v>
      </c>
      <c r="Y299" s="100" t="str">
        <f t="shared" si="33"/>
        <v xml:space="preserve"> </v>
      </c>
      <c r="Z299" s="100" t="str">
        <f t="shared" si="34"/>
        <v xml:space="preserve"> </v>
      </c>
    </row>
    <row r="300" spans="1:26">
      <c r="A300" s="100"/>
      <c r="B300" s="108" t="str">
        <f>IFERROR(VLOOKUP(Tablo5[[#This Row],[ÜRÜN KODU]],YMKODLARI!$A$1:$K$363,2,0)," ")</f>
        <v xml:space="preserve"> </v>
      </c>
      <c r="C300" s="99"/>
      <c r="D300" s="100"/>
      <c r="E300" s="101"/>
      <c r="F300" s="101"/>
      <c r="G300" s="100" t="str">
        <f>IFERROR(VLOOKUP(Tablo5[[#This Row],[ÜRÜN KODU]],YMKODLARI!$A$1:$K$363,3,0)," ")</f>
        <v xml:space="preserve"> </v>
      </c>
      <c r="H300" s="100" t="str">
        <f>IFERROR(VLOOKUP(Tablo5[[#This Row],[ÜRÜN KODU]],YMKODLARI!$A$1:$K$363,4,0)," ")</f>
        <v xml:space="preserve"> </v>
      </c>
      <c r="I300" s="100"/>
      <c r="J300" s="100" t="str">
        <f>IFERROR(VLOOKUP(Tablo5[[#This Row],[ÜRÜN KODU]],YMKODLARI!$A$1:$K$363,9,0)," ")</f>
        <v xml:space="preserve"> </v>
      </c>
      <c r="K300" s="100" t="str">
        <f>IFERROR(VLOOKUP(Tablo5[[#This Row],[BOYA KODU]],Tablo14[#All],4,0)," ")</f>
        <v xml:space="preserve"> </v>
      </c>
      <c r="L300" s="100" t="str">
        <f>IFERROR(VLOOKUP(Tablo5[[#This Row],[BOYA KODU]],Tablo14[#All],6,0)," ")</f>
        <v xml:space="preserve"> </v>
      </c>
      <c r="M300" s="100" t="str">
        <f t="shared" si="28"/>
        <v xml:space="preserve"> </v>
      </c>
      <c r="N300" s="100" t="str">
        <f>IFERROR(VLOOKUP(Tablo5[[#This Row],[ÜRÜN KODU]],YMKODLARI!$A$1:$K$363,8,0)," ")</f>
        <v xml:space="preserve"> </v>
      </c>
      <c r="O300" s="100" t="str">
        <f>IFERROR(VLOOKUP(Tablo5[[#This Row],[HAMMADDE KODU]],Tablo1[#All],3,0)," ")</f>
        <v xml:space="preserve"> </v>
      </c>
      <c r="P300" s="100" t="str">
        <f>IFERROR(VLOOKUP(Tablo5[[#This Row],[HAMMADDE KODU]],Tablo1[#All],4,0)," ")</f>
        <v xml:space="preserve"> </v>
      </c>
      <c r="Q300" s="100" t="str">
        <f>IFERROR(VLOOKUP(Tablo5[[#This Row],[ÜRÜN KODU]],YMKODLARI!$A$1:$K$363,5,0)," ")</f>
        <v xml:space="preserve"> </v>
      </c>
      <c r="R300" s="100" t="str">
        <f>IFERROR(VLOOKUP(Tablo5[[#This Row],[ÜRÜN KODU]],YMKODLARI!$A$1:$K$363,6,0)," ")</f>
        <v xml:space="preserve"> </v>
      </c>
      <c r="S300" s="100" t="str">
        <f>IFERROR(Tablo5[[#This Row],[YOLLUK HARİÇ BASKI GRAMI]]/Tablo5[[#This Row],[KALIP GÖZ ADEDİ]]," ")</f>
        <v xml:space="preserve"> </v>
      </c>
      <c r="T300" s="100" t="str">
        <f t="shared" si="30"/>
        <v xml:space="preserve"> </v>
      </c>
      <c r="U300" s="100"/>
      <c r="V300" s="100" t="str">
        <f t="shared" si="29"/>
        <v xml:space="preserve"> </v>
      </c>
      <c r="W300" s="101">
        <f t="shared" si="31"/>
        <v>24</v>
      </c>
      <c r="X300" s="102">
        <f t="shared" si="32"/>
        <v>0</v>
      </c>
      <c r="Y300" s="100" t="str">
        <f t="shared" si="33"/>
        <v xml:space="preserve"> </v>
      </c>
      <c r="Z300" s="100" t="str">
        <f t="shared" si="34"/>
        <v xml:space="preserve"> </v>
      </c>
    </row>
    <row r="301" spans="1:26">
      <c r="A301" s="100"/>
      <c r="B301" s="108" t="str">
        <f>IFERROR(VLOOKUP(Tablo5[[#This Row],[ÜRÜN KODU]],YMKODLARI!$A$1:$K$363,2,0)," ")</f>
        <v xml:space="preserve"> </v>
      </c>
      <c r="C301" s="99"/>
      <c r="D301" s="100"/>
      <c r="E301" s="101"/>
      <c r="F301" s="101"/>
      <c r="G301" s="100" t="str">
        <f>IFERROR(VLOOKUP(Tablo5[[#This Row],[ÜRÜN KODU]],YMKODLARI!$A$1:$K$363,3,0)," ")</f>
        <v xml:space="preserve"> </v>
      </c>
      <c r="H301" s="100" t="str">
        <f>IFERROR(VLOOKUP(Tablo5[[#This Row],[ÜRÜN KODU]],YMKODLARI!$A$1:$K$363,4,0)," ")</f>
        <v xml:space="preserve"> </v>
      </c>
      <c r="I301" s="100"/>
      <c r="J301" s="100" t="str">
        <f>IFERROR(VLOOKUP(Tablo5[[#This Row],[ÜRÜN KODU]],YMKODLARI!$A$1:$K$363,9,0)," ")</f>
        <v xml:space="preserve"> </v>
      </c>
      <c r="K301" s="100" t="str">
        <f>IFERROR(VLOOKUP(Tablo5[[#This Row],[BOYA KODU]],Tablo14[#All],4,0)," ")</f>
        <v xml:space="preserve"> </v>
      </c>
      <c r="L301" s="100" t="str">
        <f>IFERROR(VLOOKUP(Tablo5[[#This Row],[BOYA KODU]],Tablo14[#All],6,0)," ")</f>
        <v xml:space="preserve"> </v>
      </c>
      <c r="M301" s="100" t="str">
        <f t="shared" si="28"/>
        <v xml:space="preserve"> </v>
      </c>
      <c r="N301" s="100" t="str">
        <f>IFERROR(VLOOKUP(Tablo5[[#This Row],[ÜRÜN KODU]],YMKODLARI!$A$1:$K$363,8,0)," ")</f>
        <v xml:space="preserve"> </v>
      </c>
      <c r="O301" s="100" t="str">
        <f>IFERROR(VLOOKUP(Tablo5[[#This Row],[HAMMADDE KODU]],Tablo1[#All],3,0)," ")</f>
        <v xml:space="preserve"> </v>
      </c>
      <c r="P301" s="100" t="str">
        <f>IFERROR(VLOOKUP(Tablo5[[#This Row],[HAMMADDE KODU]],Tablo1[#All],4,0)," ")</f>
        <v xml:space="preserve"> </v>
      </c>
      <c r="Q301" s="100" t="str">
        <f>IFERROR(VLOOKUP(Tablo5[[#This Row],[ÜRÜN KODU]],YMKODLARI!$A$1:$K$363,5,0)," ")</f>
        <v xml:space="preserve"> </v>
      </c>
      <c r="R301" s="100" t="str">
        <f>IFERROR(VLOOKUP(Tablo5[[#This Row],[ÜRÜN KODU]],YMKODLARI!$A$1:$K$363,6,0)," ")</f>
        <v xml:space="preserve"> </v>
      </c>
      <c r="S301" s="100" t="str">
        <f>IFERROR(Tablo5[[#This Row],[YOLLUK HARİÇ BASKI GRAMI]]/Tablo5[[#This Row],[KALIP GÖZ ADEDİ]]," ")</f>
        <v xml:space="preserve"> </v>
      </c>
      <c r="T301" s="100" t="str">
        <f t="shared" si="30"/>
        <v xml:space="preserve"> </v>
      </c>
      <c r="U301" s="100"/>
      <c r="V301" s="100" t="str">
        <f t="shared" si="29"/>
        <v xml:space="preserve"> </v>
      </c>
      <c r="W301" s="101">
        <f t="shared" si="31"/>
        <v>24</v>
      </c>
      <c r="X301" s="102">
        <f t="shared" si="32"/>
        <v>0</v>
      </c>
      <c r="Y301" s="100" t="str">
        <f t="shared" si="33"/>
        <v xml:space="preserve"> </v>
      </c>
      <c r="Z301" s="100" t="str">
        <f t="shared" si="34"/>
        <v xml:space="preserve"> </v>
      </c>
    </row>
    <row r="302" spans="1:26">
      <c r="A302" s="100"/>
      <c r="B302" s="108" t="str">
        <f>IFERROR(VLOOKUP(Tablo5[[#This Row],[ÜRÜN KODU]],YMKODLARI!$A$1:$K$363,2,0)," ")</f>
        <v xml:space="preserve"> </v>
      </c>
      <c r="C302" s="99"/>
      <c r="D302" s="100"/>
      <c r="E302" s="101"/>
      <c r="F302" s="101"/>
      <c r="G302" s="100" t="str">
        <f>IFERROR(VLOOKUP(Tablo5[[#This Row],[ÜRÜN KODU]],YMKODLARI!$A$1:$K$363,3,0)," ")</f>
        <v xml:space="preserve"> </v>
      </c>
      <c r="H302" s="100" t="str">
        <f>IFERROR(VLOOKUP(Tablo5[[#This Row],[ÜRÜN KODU]],YMKODLARI!$A$1:$K$363,4,0)," ")</f>
        <v xml:space="preserve"> </v>
      </c>
      <c r="I302" s="100"/>
      <c r="J302" s="100" t="str">
        <f>IFERROR(VLOOKUP(Tablo5[[#This Row],[ÜRÜN KODU]],YMKODLARI!$A$1:$K$363,9,0)," ")</f>
        <v xml:space="preserve"> </v>
      </c>
      <c r="K302" s="100" t="str">
        <f>IFERROR(VLOOKUP(Tablo5[[#This Row],[BOYA KODU]],Tablo14[#All],4,0)," ")</f>
        <v xml:space="preserve"> </v>
      </c>
      <c r="L302" s="100" t="str">
        <f>IFERROR(VLOOKUP(Tablo5[[#This Row],[BOYA KODU]],Tablo14[#All],6,0)," ")</f>
        <v xml:space="preserve"> </v>
      </c>
      <c r="M302" s="100" t="str">
        <f t="shared" si="28"/>
        <v xml:space="preserve"> </v>
      </c>
      <c r="N302" s="100" t="str">
        <f>IFERROR(VLOOKUP(Tablo5[[#This Row],[ÜRÜN KODU]],YMKODLARI!$A$1:$K$363,8,0)," ")</f>
        <v xml:space="preserve"> </v>
      </c>
      <c r="O302" s="100" t="str">
        <f>IFERROR(VLOOKUP(Tablo5[[#This Row],[HAMMADDE KODU]],Tablo1[#All],3,0)," ")</f>
        <v xml:space="preserve"> </v>
      </c>
      <c r="P302" s="100" t="str">
        <f>IFERROR(VLOOKUP(Tablo5[[#This Row],[HAMMADDE KODU]],Tablo1[#All],4,0)," ")</f>
        <v xml:space="preserve"> </v>
      </c>
      <c r="Q302" s="100" t="str">
        <f>IFERROR(VLOOKUP(Tablo5[[#This Row],[ÜRÜN KODU]],YMKODLARI!$A$1:$K$363,5,0)," ")</f>
        <v xml:space="preserve"> </v>
      </c>
      <c r="R302" s="100" t="str">
        <f>IFERROR(VLOOKUP(Tablo5[[#This Row],[ÜRÜN KODU]],YMKODLARI!$A$1:$K$363,6,0)," ")</f>
        <v xml:space="preserve"> </v>
      </c>
      <c r="S302" s="100" t="str">
        <f>IFERROR(Tablo5[[#This Row],[YOLLUK HARİÇ BASKI GRAMI]]/Tablo5[[#This Row],[KALIP GÖZ ADEDİ]]," ")</f>
        <v xml:space="preserve"> </v>
      </c>
      <c r="T302" s="100" t="str">
        <f t="shared" si="30"/>
        <v xml:space="preserve"> </v>
      </c>
      <c r="U302" s="100"/>
      <c r="V302" s="100" t="str">
        <f t="shared" si="29"/>
        <v xml:space="preserve"> </v>
      </c>
      <c r="W302" s="101">
        <f t="shared" si="31"/>
        <v>24</v>
      </c>
      <c r="X302" s="102">
        <f t="shared" si="32"/>
        <v>0</v>
      </c>
      <c r="Y302" s="100" t="str">
        <f t="shared" si="33"/>
        <v xml:space="preserve"> </v>
      </c>
      <c r="Z302" s="100" t="str">
        <f t="shared" si="34"/>
        <v xml:space="preserve"> </v>
      </c>
    </row>
    <row r="303" spans="1:26">
      <c r="A303" s="100"/>
      <c r="B303" s="108" t="str">
        <f>IFERROR(VLOOKUP(Tablo5[[#This Row],[ÜRÜN KODU]],YMKODLARI!$A$1:$K$363,2,0)," ")</f>
        <v xml:space="preserve"> </v>
      </c>
      <c r="C303" s="99"/>
      <c r="D303" s="100"/>
      <c r="E303" s="101"/>
      <c r="F303" s="101"/>
      <c r="G303" s="100" t="str">
        <f>IFERROR(VLOOKUP(Tablo5[[#This Row],[ÜRÜN KODU]],YMKODLARI!$A$1:$K$363,3,0)," ")</f>
        <v xml:space="preserve"> </v>
      </c>
      <c r="H303" s="100" t="str">
        <f>IFERROR(VLOOKUP(Tablo5[[#This Row],[ÜRÜN KODU]],YMKODLARI!$A$1:$K$363,4,0)," ")</f>
        <v xml:space="preserve"> </v>
      </c>
      <c r="I303" s="100"/>
      <c r="J303" s="100" t="str">
        <f>IFERROR(VLOOKUP(Tablo5[[#This Row],[ÜRÜN KODU]],YMKODLARI!$A$1:$K$363,9,0)," ")</f>
        <v xml:space="preserve"> </v>
      </c>
      <c r="K303" s="100" t="str">
        <f>IFERROR(VLOOKUP(Tablo5[[#This Row],[BOYA KODU]],Tablo14[#All],4,0)," ")</f>
        <v xml:space="preserve"> </v>
      </c>
      <c r="L303" s="100" t="str">
        <f>IFERROR(VLOOKUP(Tablo5[[#This Row],[BOYA KODU]],Tablo14[#All],6,0)," ")</f>
        <v xml:space="preserve"> </v>
      </c>
      <c r="M303" s="100" t="str">
        <f t="shared" si="28"/>
        <v xml:space="preserve"> </v>
      </c>
      <c r="N303" s="100" t="str">
        <f>IFERROR(VLOOKUP(Tablo5[[#This Row],[ÜRÜN KODU]],YMKODLARI!$A$1:$K$363,8,0)," ")</f>
        <v xml:space="preserve"> </v>
      </c>
      <c r="O303" s="100" t="str">
        <f>IFERROR(VLOOKUP(Tablo5[[#This Row],[HAMMADDE KODU]],Tablo1[#All],3,0)," ")</f>
        <v xml:space="preserve"> </v>
      </c>
      <c r="P303" s="100" t="str">
        <f>IFERROR(VLOOKUP(Tablo5[[#This Row],[HAMMADDE KODU]],Tablo1[#All],4,0)," ")</f>
        <v xml:space="preserve"> </v>
      </c>
      <c r="Q303" s="100" t="str">
        <f>IFERROR(VLOOKUP(Tablo5[[#This Row],[ÜRÜN KODU]],YMKODLARI!$A$1:$K$363,5,0)," ")</f>
        <v xml:space="preserve"> </v>
      </c>
      <c r="R303" s="100" t="str">
        <f>IFERROR(VLOOKUP(Tablo5[[#This Row],[ÜRÜN KODU]],YMKODLARI!$A$1:$K$363,6,0)," ")</f>
        <v xml:space="preserve"> </v>
      </c>
      <c r="S303" s="100" t="str">
        <f>IFERROR(Tablo5[[#This Row],[YOLLUK HARİÇ BASKI GRAMI]]/Tablo5[[#This Row],[KALIP GÖZ ADEDİ]]," ")</f>
        <v xml:space="preserve"> </v>
      </c>
      <c r="T303" s="100" t="str">
        <f t="shared" si="30"/>
        <v xml:space="preserve"> </v>
      </c>
      <c r="U303" s="100"/>
      <c r="V303" s="100" t="str">
        <f t="shared" si="29"/>
        <v xml:space="preserve"> </v>
      </c>
      <c r="W303" s="101">
        <f t="shared" si="31"/>
        <v>24</v>
      </c>
      <c r="X303" s="102">
        <f t="shared" si="32"/>
        <v>0</v>
      </c>
      <c r="Y303" s="100" t="str">
        <f t="shared" si="33"/>
        <v xml:space="preserve"> </v>
      </c>
      <c r="Z303" s="100" t="str">
        <f t="shared" si="34"/>
        <v xml:space="preserve"> </v>
      </c>
    </row>
    <row r="304" spans="1:26">
      <c r="A304" s="100"/>
      <c r="B304" s="108" t="str">
        <f>IFERROR(VLOOKUP(Tablo5[[#This Row],[ÜRÜN KODU]],YMKODLARI!$A$1:$K$363,2,0)," ")</f>
        <v xml:space="preserve"> </v>
      </c>
      <c r="C304" s="99"/>
      <c r="D304" s="100"/>
      <c r="E304" s="101"/>
      <c r="F304" s="101"/>
      <c r="G304" s="100" t="str">
        <f>IFERROR(VLOOKUP(Tablo5[[#This Row],[ÜRÜN KODU]],YMKODLARI!$A$1:$K$363,3,0)," ")</f>
        <v xml:space="preserve"> </v>
      </c>
      <c r="H304" s="100" t="str">
        <f>IFERROR(VLOOKUP(Tablo5[[#This Row],[ÜRÜN KODU]],YMKODLARI!$A$1:$K$363,4,0)," ")</f>
        <v xml:space="preserve"> </v>
      </c>
      <c r="I304" s="100"/>
      <c r="J304" s="100" t="str">
        <f>IFERROR(VLOOKUP(Tablo5[[#This Row],[ÜRÜN KODU]],YMKODLARI!$A$1:$K$363,9,0)," ")</f>
        <v xml:space="preserve"> </v>
      </c>
      <c r="K304" s="100" t="str">
        <f>IFERROR(VLOOKUP(Tablo5[[#This Row],[BOYA KODU]],Tablo14[#All],4,0)," ")</f>
        <v xml:space="preserve"> </v>
      </c>
      <c r="L304" s="100" t="str">
        <f>IFERROR(VLOOKUP(Tablo5[[#This Row],[BOYA KODU]],Tablo14[#All],6,0)," ")</f>
        <v xml:space="preserve"> </v>
      </c>
      <c r="M304" s="100" t="str">
        <f t="shared" si="28"/>
        <v xml:space="preserve"> </v>
      </c>
      <c r="N304" s="100" t="str">
        <f>IFERROR(VLOOKUP(Tablo5[[#This Row],[ÜRÜN KODU]],YMKODLARI!$A$1:$K$363,8,0)," ")</f>
        <v xml:space="preserve"> </v>
      </c>
      <c r="O304" s="100" t="str">
        <f>IFERROR(VLOOKUP(Tablo5[[#This Row],[HAMMADDE KODU]],Tablo1[#All],3,0)," ")</f>
        <v xml:space="preserve"> </v>
      </c>
      <c r="P304" s="100" t="str">
        <f>IFERROR(VLOOKUP(Tablo5[[#This Row],[HAMMADDE KODU]],Tablo1[#All],4,0)," ")</f>
        <v xml:space="preserve"> </v>
      </c>
      <c r="Q304" s="100" t="str">
        <f>IFERROR(VLOOKUP(Tablo5[[#This Row],[ÜRÜN KODU]],YMKODLARI!$A$1:$K$363,5,0)," ")</f>
        <v xml:space="preserve"> </v>
      </c>
      <c r="R304" s="100" t="str">
        <f>IFERROR(VLOOKUP(Tablo5[[#This Row],[ÜRÜN KODU]],YMKODLARI!$A$1:$K$363,6,0)," ")</f>
        <v xml:space="preserve"> </v>
      </c>
      <c r="S304" s="100" t="str">
        <f>IFERROR(Tablo5[[#This Row],[YOLLUK HARİÇ BASKI GRAMI]]/Tablo5[[#This Row],[KALIP GÖZ ADEDİ]]," ")</f>
        <v xml:space="preserve"> </v>
      </c>
      <c r="T304" s="100" t="str">
        <f t="shared" si="30"/>
        <v xml:space="preserve"> </v>
      </c>
      <c r="U304" s="100"/>
      <c r="V304" s="100" t="str">
        <f t="shared" si="29"/>
        <v xml:space="preserve"> </v>
      </c>
      <c r="W304" s="101">
        <f t="shared" si="31"/>
        <v>24</v>
      </c>
      <c r="X304" s="102">
        <f t="shared" si="32"/>
        <v>0</v>
      </c>
      <c r="Y304" s="100" t="str">
        <f t="shared" si="33"/>
        <v xml:space="preserve"> </v>
      </c>
      <c r="Z304" s="100" t="str">
        <f t="shared" si="34"/>
        <v xml:space="preserve"> </v>
      </c>
    </row>
    <row r="305" spans="1:26">
      <c r="A305" s="100"/>
      <c r="B305" s="108" t="str">
        <f>IFERROR(VLOOKUP(Tablo5[[#This Row],[ÜRÜN KODU]],YMKODLARI!$A$1:$K$363,2,0)," ")</f>
        <v xml:space="preserve"> </v>
      </c>
      <c r="C305" s="99"/>
      <c r="D305" s="100"/>
      <c r="E305" s="101"/>
      <c r="F305" s="101"/>
      <c r="G305" s="100" t="str">
        <f>IFERROR(VLOOKUP(Tablo5[[#This Row],[ÜRÜN KODU]],YMKODLARI!$A$1:$K$363,3,0)," ")</f>
        <v xml:space="preserve"> </v>
      </c>
      <c r="H305" s="100" t="str">
        <f>IFERROR(VLOOKUP(Tablo5[[#This Row],[ÜRÜN KODU]],YMKODLARI!$A$1:$K$363,4,0)," ")</f>
        <v xml:space="preserve"> </v>
      </c>
      <c r="I305" s="100"/>
      <c r="J305" s="100" t="str">
        <f>IFERROR(VLOOKUP(Tablo5[[#This Row],[ÜRÜN KODU]],YMKODLARI!$A$1:$K$363,9,0)," ")</f>
        <v xml:space="preserve"> </v>
      </c>
      <c r="K305" s="100" t="str">
        <f>IFERROR(VLOOKUP(Tablo5[[#This Row],[BOYA KODU]],Tablo14[#All],4,0)," ")</f>
        <v xml:space="preserve"> </v>
      </c>
      <c r="L305" s="100" t="str">
        <f>IFERROR(VLOOKUP(Tablo5[[#This Row],[BOYA KODU]],Tablo14[#All],6,0)," ")</f>
        <v xml:space="preserve"> </v>
      </c>
      <c r="M305" s="100" t="str">
        <f t="shared" si="28"/>
        <v xml:space="preserve"> </v>
      </c>
      <c r="N305" s="100" t="str">
        <f>IFERROR(VLOOKUP(Tablo5[[#This Row],[ÜRÜN KODU]],YMKODLARI!$A$1:$K$363,8,0)," ")</f>
        <v xml:space="preserve"> </v>
      </c>
      <c r="O305" s="100" t="str">
        <f>IFERROR(VLOOKUP(Tablo5[[#This Row],[HAMMADDE KODU]],Tablo1[#All],3,0)," ")</f>
        <v xml:space="preserve"> </v>
      </c>
      <c r="P305" s="100" t="str">
        <f>IFERROR(VLOOKUP(Tablo5[[#This Row],[HAMMADDE KODU]],Tablo1[#All],4,0)," ")</f>
        <v xml:space="preserve"> </v>
      </c>
      <c r="Q305" s="100" t="str">
        <f>IFERROR(VLOOKUP(Tablo5[[#This Row],[ÜRÜN KODU]],YMKODLARI!$A$1:$K$363,5,0)," ")</f>
        <v xml:space="preserve"> </v>
      </c>
      <c r="R305" s="100" t="str">
        <f>IFERROR(VLOOKUP(Tablo5[[#This Row],[ÜRÜN KODU]],YMKODLARI!$A$1:$K$363,6,0)," ")</f>
        <v xml:space="preserve"> </v>
      </c>
      <c r="S305" s="100" t="str">
        <f>IFERROR(Tablo5[[#This Row],[YOLLUK HARİÇ BASKI GRAMI]]/Tablo5[[#This Row],[KALIP GÖZ ADEDİ]]," ")</f>
        <v xml:space="preserve"> </v>
      </c>
      <c r="T305" s="100" t="str">
        <f t="shared" si="30"/>
        <v xml:space="preserve"> </v>
      </c>
      <c r="U305" s="100"/>
      <c r="V305" s="100" t="str">
        <f t="shared" si="29"/>
        <v xml:space="preserve"> </v>
      </c>
      <c r="W305" s="101">
        <f t="shared" si="31"/>
        <v>24</v>
      </c>
      <c r="X305" s="102">
        <f t="shared" si="32"/>
        <v>0</v>
      </c>
      <c r="Y305" s="100" t="str">
        <f t="shared" si="33"/>
        <v xml:space="preserve"> </v>
      </c>
      <c r="Z305" s="100" t="str">
        <f t="shared" si="34"/>
        <v xml:space="preserve"> </v>
      </c>
    </row>
    <row r="306" spans="1:26">
      <c r="A306" s="100"/>
      <c r="B306" s="108" t="str">
        <f>IFERROR(VLOOKUP(Tablo5[[#This Row],[ÜRÜN KODU]],YMKODLARI!$A$1:$K$363,2,0)," ")</f>
        <v xml:space="preserve"> </v>
      </c>
      <c r="C306" s="99"/>
      <c r="D306" s="100"/>
      <c r="E306" s="101"/>
      <c r="F306" s="101"/>
      <c r="G306" s="100" t="str">
        <f>IFERROR(VLOOKUP(Tablo5[[#This Row],[ÜRÜN KODU]],YMKODLARI!$A$1:$K$363,3,0)," ")</f>
        <v xml:space="preserve"> </v>
      </c>
      <c r="H306" s="100" t="str">
        <f>IFERROR(VLOOKUP(Tablo5[[#This Row],[ÜRÜN KODU]],YMKODLARI!$A$1:$K$363,4,0)," ")</f>
        <v xml:space="preserve"> </v>
      </c>
      <c r="I306" s="100"/>
      <c r="J306" s="100" t="str">
        <f>IFERROR(VLOOKUP(Tablo5[[#This Row],[ÜRÜN KODU]],YMKODLARI!$A$1:$K$363,9,0)," ")</f>
        <v xml:space="preserve"> </v>
      </c>
      <c r="K306" s="100" t="str">
        <f>IFERROR(VLOOKUP(Tablo5[[#This Row],[BOYA KODU]],Tablo14[#All],4,0)," ")</f>
        <v xml:space="preserve"> </v>
      </c>
      <c r="L306" s="100" t="str">
        <f>IFERROR(VLOOKUP(Tablo5[[#This Row],[BOYA KODU]],Tablo14[#All],6,0)," ")</f>
        <v xml:space="preserve"> </v>
      </c>
      <c r="M306" s="100" t="str">
        <f t="shared" si="28"/>
        <v xml:space="preserve"> </v>
      </c>
      <c r="N306" s="100" t="str">
        <f>IFERROR(VLOOKUP(Tablo5[[#This Row],[ÜRÜN KODU]],YMKODLARI!$A$1:$K$363,8,0)," ")</f>
        <v xml:space="preserve"> </v>
      </c>
      <c r="O306" s="100" t="str">
        <f>IFERROR(VLOOKUP(Tablo5[[#This Row],[HAMMADDE KODU]],Tablo1[#All],3,0)," ")</f>
        <v xml:space="preserve"> </v>
      </c>
      <c r="P306" s="100" t="str">
        <f>IFERROR(VLOOKUP(Tablo5[[#This Row],[HAMMADDE KODU]],Tablo1[#All],4,0)," ")</f>
        <v xml:space="preserve"> </v>
      </c>
      <c r="Q306" s="100" t="str">
        <f>IFERROR(VLOOKUP(Tablo5[[#This Row],[ÜRÜN KODU]],YMKODLARI!$A$1:$K$363,5,0)," ")</f>
        <v xml:space="preserve"> </v>
      </c>
      <c r="R306" s="100" t="str">
        <f>IFERROR(VLOOKUP(Tablo5[[#This Row],[ÜRÜN KODU]],YMKODLARI!$A$1:$K$363,6,0)," ")</f>
        <v xml:space="preserve"> </v>
      </c>
      <c r="S306" s="100" t="str">
        <f>IFERROR(Tablo5[[#This Row],[YOLLUK HARİÇ BASKI GRAMI]]/Tablo5[[#This Row],[KALIP GÖZ ADEDİ]]," ")</f>
        <v xml:space="preserve"> </v>
      </c>
      <c r="T306" s="100" t="str">
        <f t="shared" si="30"/>
        <v xml:space="preserve"> </v>
      </c>
      <c r="U306" s="100"/>
      <c r="V306" s="100" t="str">
        <f t="shared" si="29"/>
        <v xml:space="preserve"> </v>
      </c>
      <c r="W306" s="101">
        <f t="shared" si="31"/>
        <v>24</v>
      </c>
      <c r="X306" s="102">
        <f t="shared" si="32"/>
        <v>0</v>
      </c>
      <c r="Y306" s="100" t="str">
        <f t="shared" si="33"/>
        <v xml:space="preserve"> </v>
      </c>
      <c r="Z306" s="100" t="str">
        <f t="shared" si="34"/>
        <v xml:space="preserve"> </v>
      </c>
    </row>
    <row r="307" spans="1:26">
      <c r="A307" s="100"/>
      <c r="B307" s="108" t="str">
        <f>IFERROR(VLOOKUP(Tablo5[[#This Row],[ÜRÜN KODU]],YMKODLARI!$A$1:$K$363,2,0)," ")</f>
        <v xml:space="preserve"> </v>
      </c>
      <c r="C307" s="99"/>
      <c r="D307" s="100"/>
      <c r="E307" s="101"/>
      <c r="F307" s="101"/>
      <c r="G307" s="100" t="str">
        <f>IFERROR(VLOOKUP(Tablo5[[#This Row],[ÜRÜN KODU]],YMKODLARI!$A$1:$K$363,3,0)," ")</f>
        <v xml:space="preserve"> </v>
      </c>
      <c r="H307" s="100" t="str">
        <f>IFERROR(VLOOKUP(Tablo5[[#This Row],[ÜRÜN KODU]],YMKODLARI!$A$1:$K$363,4,0)," ")</f>
        <v xml:space="preserve"> </v>
      </c>
      <c r="I307" s="100"/>
      <c r="J307" s="100" t="str">
        <f>IFERROR(VLOOKUP(Tablo5[[#This Row],[ÜRÜN KODU]],YMKODLARI!$A$1:$K$363,9,0)," ")</f>
        <v xml:space="preserve"> </v>
      </c>
      <c r="K307" s="100" t="str">
        <f>IFERROR(VLOOKUP(Tablo5[[#This Row],[BOYA KODU]],Tablo14[#All],4,0)," ")</f>
        <v xml:space="preserve"> </v>
      </c>
      <c r="L307" s="100" t="str">
        <f>IFERROR(VLOOKUP(Tablo5[[#This Row],[BOYA KODU]],Tablo14[#All],6,0)," ")</f>
        <v xml:space="preserve"> </v>
      </c>
      <c r="M307" s="100" t="str">
        <f t="shared" si="28"/>
        <v xml:space="preserve"> </v>
      </c>
      <c r="N307" s="100" t="str">
        <f>IFERROR(VLOOKUP(Tablo5[[#This Row],[ÜRÜN KODU]],YMKODLARI!$A$1:$K$363,8,0)," ")</f>
        <v xml:space="preserve"> </v>
      </c>
      <c r="O307" s="100" t="str">
        <f>IFERROR(VLOOKUP(Tablo5[[#This Row],[HAMMADDE KODU]],Tablo1[#All],3,0)," ")</f>
        <v xml:space="preserve"> </v>
      </c>
      <c r="P307" s="100" t="str">
        <f>IFERROR(VLOOKUP(Tablo5[[#This Row],[HAMMADDE KODU]],Tablo1[#All],4,0)," ")</f>
        <v xml:space="preserve"> </v>
      </c>
      <c r="Q307" s="100" t="str">
        <f>IFERROR(VLOOKUP(Tablo5[[#This Row],[ÜRÜN KODU]],YMKODLARI!$A$1:$K$363,5,0)," ")</f>
        <v xml:space="preserve"> </v>
      </c>
      <c r="R307" s="100" t="str">
        <f>IFERROR(VLOOKUP(Tablo5[[#This Row],[ÜRÜN KODU]],YMKODLARI!$A$1:$K$363,6,0)," ")</f>
        <v xml:space="preserve"> </v>
      </c>
      <c r="S307" s="100" t="str">
        <f>IFERROR(Tablo5[[#This Row],[YOLLUK HARİÇ BASKI GRAMI]]/Tablo5[[#This Row],[KALIP GÖZ ADEDİ]]," ")</f>
        <v xml:space="preserve"> </v>
      </c>
      <c r="T307" s="100" t="str">
        <f t="shared" si="30"/>
        <v xml:space="preserve"> </v>
      </c>
      <c r="U307" s="100"/>
      <c r="V307" s="100" t="str">
        <f t="shared" si="29"/>
        <v xml:space="preserve"> </v>
      </c>
      <c r="W307" s="101">
        <f t="shared" si="31"/>
        <v>24</v>
      </c>
      <c r="X307" s="102">
        <f t="shared" si="32"/>
        <v>0</v>
      </c>
      <c r="Y307" s="100" t="str">
        <f t="shared" si="33"/>
        <v xml:space="preserve"> </v>
      </c>
      <c r="Z307" s="100" t="str">
        <f t="shared" si="34"/>
        <v xml:space="preserve"> </v>
      </c>
    </row>
    <row r="308" spans="1:26">
      <c r="A308" s="100"/>
      <c r="B308" s="108" t="str">
        <f>IFERROR(VLOOKUP(Tablo5[[#This Row],[ÜRÜN KODU]],YMKODLARI!$A$1:$K$363,2,0)," ")</f>
        <v xml:space="preserve"> </v>
      </c>
      <c r="C308" s="99"/>
      <c r="D308" s="100"/>
      <c r="E308" s="101"/>
      <c r="F308" s="101"/>
      <c r="G308" s="100" t="str">
        <f>IFERROR(VLOOKUP(Tablo5[[#This Row],[ÜRÜN KODU]],YMKODLARI!$A$1:$K$363,3,0)," ")</f>
        <v xml:space="preserve"> </v>
      </c>
      <c r="H308" s="100" t="str">
        <f>IFERROR(VLOOKUP(Tablo5[[#This Row],[ÜRÜN KODU]],YMKODLARI!$A$1:$K$363,4,0)," ")</f>
        <v xml:space="preserve"> </v>
      </c>
      <c r="I308" s="100"/>
      <c r="J308" s="100" t="str">
        <f>IFERROR(VLOOKUP(Tablo5[[#This Row],[ÜRÜN KODU]],YMKODLARI!$A$1:$K$363,9,0)," ")</f>
        <v xml:space="preserve"> </v>
      </c>
      <c r="K308" s="100" t="str">
        <f>IFERROR(VLOOKUP(Tablo5[[#This Row],[BOYA KODU]],Tablo14[#All],4,0)," ")</f>
        <v xml:space="preserve"> </v>
      </c>
      <c r="L308" s="100" t="str">
        <f>IFERROR(VLOOKUP(Tablo5[[#This Row],[BOYA KODU]],Tablo14[#All],6,0)," ")</f>
        <v xml:space="preserve"> </v>
      </c>
      <c r="M308" s="100" t="str">
        <f t="shared" si="28"/>
        <v xml:space="preserve"> </v>
      </c>
      <c r="N308" s="100" t="str">
        <f>IFERROR(VLOOKUP(Tablo5[[#This Row],[ÜRÜN KODU]],YMKODLARI!$A$1:$K$363,8,0)," ")</f>
        <v xml:space="preserve"> </v>
      </c>
      <c r="O308" s="100" t="str">
        <f>IFERROR(VLOOKUP(Tablo5[[#This Row],[HAMMADDE KODU]],Tablo1[#All],3,0)," ")</f>
        <v xml:space="preserve"> </v>
      </c>
      <c r="P308" s="100" t="str">
        <f>IFERROR(VLOOKUP(Tablo5[[#This Row],[HAMMADDE KODU]],Tablo1[#All],4,0)," ")</f>
        <v xml:space="preserve"> </v>
      </c>
      <c r="Q308" s="100" t="str">
        <f>IFERROR(VLOOKUP(Tablo5[[#This Row],[ÜRÜN KODU]],YMKODLARI!$A$1:$K$363,5,0)," ")</f>
        <v xml:space="preserve"> </v>
      </c>
      <c r="R308" s="100" t="str">
        <f>IFERROR(VLOOKUP(Tablo5[[#This Row],[ÜRÜN KODU]],YMKODLARI!$A$1:$K$363,6,0)," ")</f>
        <v xml:space="preserve"> </v>
      </c>
      <c r="S308" s="100" t="str">
        <f>IFERROR(Tablo5[[#This Row],[YOLLUK HARİÇ BASKI GRAMI]]/Tablo5[[#This Row],[KALIP GÖZ ADEDİ]]," ")</f>
        <v xml:space="preserve"> </v>
      </c>
      <c r="T308" s="100" t="str">
        <f t="shared" si="30"/>
        <v xml:space="preserve"> </v>
      </c>
      <c r="U308" s="100"/>
      <c r="V308" s="100" t="str">
        <f t="shared" si="29"/>
        <v xml:space="preserve"> </v>
      </c>
      <c r="W308" s="101">
        <f t="shared" si="31"/>
        <v>24</v>
      </c>
      <c r="X308" s="102">
        <f t="shared" si="32"/>
        <v>0</v>
      </c>
      <c r="Y308" s="100" t="str">
        <f t="shared" si="33"/>
        <v xml:space="preserve"> </v>
      </c>
      <c r="Z308" s="100" t="str">
        <f t="shared" si="34"/>
        <v xml:space="preserve"> </v>
      </c>
    </row>
    <row r="309" spans="1:26">
      <c r="A309" s="100"/>
      <c r="B309" s="108" t="str">
        <f>IFERROR(VLOOKUP(Tablo5[[#This Row],[ÜRÜN KODU]],YMKODLARI!$A$1:$K$363,2,0)," ")</f>
        <v xml:space="preserve"> </v>
      </c>
      <c r="C309" s="99"/>
      <c r="D309" s="100"/>
      <c r="E309" s="101"/>
      <c r="F309" s="101"/>
      <c r="G309" s="100" t="str">
        <f>IFERROR(VLOOKUP(Tablo5[[#This Row],[ÜRÜN KODU]],YMKODLARI!$A$1:$K$363,3,0)," ")</f>
        <v xml:space="preserve"> </v>
      </c>
      <c r="H309" s="100" t="str">
        <f>IFERROR(VLOOKUP(Tablo5[[#This Row],[ÜRÜN KODU]],YMKODLARI!$A$1:$K$363,4,0)," ")</f>
        <v xml:space="preserve"> </v>
      </c>
      <c r="I309" s="100"/>
      <c r="J309" s="100" t="str">
        <f>IFERROR(VLOOKUP(Tablo5[[#This Row],[ÜRÜN KODU]],YMKODLARI!$A$1:$K$363,9,0)," ")</f>
        <v xml:space="preserve"> </v>
      </c>
      <c r="K309" s="100" t="str">
        <f>IFERROR(VLOOKUP(Tablo5[[#This Row],[BOYA KODU]],Tablo14[#All],4,0)," ")</f>
        <v xml:space="preserve"> </v>
      </c>
      <c r="L309" s="100" t="str">
        <f>IFERROR(VLOOKUP(Tablo5[[#This Row],[BOYA KODU]],Tablo14[#All],6,0)," ")</f>
        <v xml:space="preserve"> </v>
      </c>
      <c r="M309" s="100" t="str">
        <f t="shared" si="28"/>
        <v xml:space="preserve"> </v>
      </c>
      <c r="N309" s="100" t="str">
        <f>IFERROR(VLOOKUP(Tablo5[[#This Row],[ÜRÜN KODU]],YMKODLARI!$A$1:$K$363,8,0)," ")</f>
        <v xml:space="preserve"> </v>
      </c>
      <c r="O309" s="100" t="str">
        <f>IFERROR(VLOOKUP(Tablo5[[#This Row],[HAMMADDE KODU]],Tablo1[#All],3,0)," ")</f>
        <v xml:space="preserve"> </v>
      </c>
      <c r="P309" s="100" t="str">
        <f>IFERROR(VLOOKUP(Tablo5[[#This Row],[HAMMADDE KODU]],Tablo1[#All],4,0)," ")</f>
        <v xml:space="preserve"> </v>
      </c>
      <c r="Q309" s="100" t="str">
        <f>IFERROR(VLOOKUP(Tablo5[[#This Row],[ÜRÜN KODU]],YMKODLARI!$A$1:$K$363,5,0)," ")</f>
        <v xml:space="preserve"> </v>
      </c>
      <c r="R309" s="100" t="str">
        <f>IFERROR(VLOOKUP(Tablo5[[#This Row],[ÜRÜN KODU]],YMKODLARI!$A$1:$K$363,6,0)," ")</f>
        <v xml:space="preserve"> </v>
      </c>
      <c r="S309" s="100" t="str">
        <f>IFERROR(Tablo5[[#This Row],[YOLLUK HARİÇ BASKI GRAMI]]/Tablo5[[#This Row],[KALIP GÖZ ADEDİ]]," ")</f>
        <v xml:space="preserve"> </v>
      </c>
      <c r="T309" s="100" t="str">
        <f t="shared" si="30"/>
        <v xml:space="preserve"> </v>
      </c>
      <c r="U309" s="100"/>
      <c r="V309" s="100" t="str">
        <f t="shared" si="29"/>
        <v xml:space="preserve"> </v>
      </c>
      <c r="W309" s="101">
        <f t="shared" si="31"/>
        <v>24</v>
      </c>
      <c r="X309" s="102">
        <f t="shared" si="32"/>
        <v>0</v>
      </c>
      <c r="Y309" s="100" t="str">
        <f t="shared" si="33"/>
        <v xml:space="preserve"> </v>
      </c>
      <c r="Z309" s="100" t="str">
        <f t="shared" si="34"/>
        <v xml:space="preserve"> </v>
      </c>
    </row>
    <row r="310" spans="1:26">
      <c r="A310" s="100"/>
      <c r="B310" s="108" t="str">
        <f>IFERROR(VLOOKUP(Tablo5[[#This Row],[ÜRÜN KODU]],YMKODLARI!$A$1:$K$363,2,0)," ")</f>
        <v xml:space="preserve"> </v>
      </c>
      <c r="C310" s="99"/>
      <c r="D310" s="100"/>
      <c r="E310" s="101"/>
      <c r="F310" s="101"/>
      <c r="G310" s="100" t="str">
        <f>IFERROR(VLOOKUP(Tablo5[[#This Row],[ÜRÜN KODU]],YMKODLARI!$A$1:$K$363,3,0)," ")</f>
        <v xml:space="preserve"> </v>
      </c>
      <c r="H310" s="100" t="str">
        <f>IFERROR(VLOOKUP(Tablo5[[#This Row],[ÜRÜN KODU]],YMKODLARI!$A$1:$K$363,4,0)," ")</f>
        <v xml:space="preserve"> </v>
      </c>
      <c r="I310" s="100"/>
      <c r="J310" s="100" t="str">
        <f>IFERROR(VLOOKUP(Tablo5[[#This Row],[ÜRÜN KODU]],YMKODLARI!$A$1:$K$363,9,0)," ")</f>
        <v xml:space="preserve"> </v>
      </c>
      <c r="K310" s="100" t="str">
        <f>IFERROR(VLOOKUP(Tablo5[[#This Row],[BOYA KODU]],Tablo14[#All],4,0)," ")</f>
        <v xml:space="preserve"> </v>
      </c>
      <c r="L310" s="100" t="str">
        <f>IFERROR(VLOOKUP(Tablo5[[#This Row],[BOYA KODU]],Tablo14[#All],6,0)," ")</f>
        <v xml:space="preserve"> </v>
      </c>
      <c r="M310" s="100" t="str">
        <f t="shared" si="28"/>
        <v xml:space="preserve"> </v>
      </c>
      <c r="N310" s="100" t="str">
        <f>IFERROR(VLOOKUP(Tablo5[[#This Row],[ÜRÜN KODU]],YMKODLARI!$A$1:$K$363,8,0)," ")</f>
        <v xml:space="preserve"> </v>
      </c>
      <c r="O310" s="100" t="str">
        <f>IFERROR(VLOOKUP(Tablo5[[#This Row],[HAMMADDE KODU]],Tablo1[#All],3,0)," ")</f>
        <v xml:space="preserve"> </v>
      </c>
      <c r="P310" s="100" t="str">
        <f>IFERROR(VLOOKUP(Tablo5[[#This Row],[HAMMADDE KODU]],Tablo1[#All],4,0)," ")</f>
        <v xml:space="preserve"> </v>
      </c>
      <c r="Q310" s="100" t="str">
        <f>IFERROR(VLOOKUP(Tablo5[[#This Row],[ÜRÜN KODU]],YMKODLARI!$A$1:$K$363,5,0)," ")</f>
        <v xml:space="preserve"> </v>
      </c>
      <c r="R310" s="100" t="str">
        <f>IFERROR(VLOOKUP(Tablo5[[#This Row],[ÜRÜN KODU]],YMKODLARI!$A$1:$K$363,6,0)," ")</f>
        <v xml:space="preserve"> </v>
      </c>
      <c r="S310" s="100" t="str">
        <f>IFERROR(Tablo5[[#This Row],[YOLLUK HARİÇ BASKI GRAMI]]/Tablo5[[#This Row],[KALIP GÖZ ADEDİ]]," ")</f>
        <v xml:space="preserve"> </v>
      </c>
      <c r="T310" s="100" t="str">
        <f t="shared" si="30"/>
        <v xml:space="preserve"> </v>
      </c>
      <c r="U310" s="100"/>
      <c r="V310" s="100" t="str">
        <f t="shared" si="29"/>
        <v xml:space="preserve"> </v>
      </c>
      <c r="W310" s="101">
        <f t="shared" si="31"/>
        <v>24</v>
      </c>
      <c r="X310" s="102">
        <f t="shared" si="32"/>
        <v>0</v>
      </c>
      <c r="Y310" s="100" t="str">
        <f t="shared" si="33"/>
        <v xml:space="preserve"> </v>
      </c>
      <c r="Z310" s="100" t="str">
        <f t="shared" si="34"/>
        <v xml:space="preserve"> </v>
      </c>
    </row>
    <row r="311" spans="1:26">
      <c r="A311" s="100"/>
      <c r="B311" s="108" t="str">
        <f>IFERROR(VLOOKUP(Tablo5[[#This Row],[ÜRÜN KODU]],YMKODLARI!$A$1:$K$363,2,0)," ")</f>
        <v xml:space="preserve"> </v>
      </c>
      <c r="C311" s="99"/>
      <c r="D311" s="100"/>
      <c r="E311" s="101"/>
      <c r="F311" s="101"/>
      <c r="G311" s="100" t="str">
        <f>IFERROR(VLOOKUP(Tablo5[[#This Row],[ÜRÜN KODU]],YMKODLARI!$A$1:$K$363,3,0)," ")</f>
        <v xml:space="preserve"> </v>
      </c>
      <c r="H311" s="100" t="str">
        <f>IFERROR(VLOOKUP(Tablo5[[#This Row],[ÜRÜN KODU]],YMKODLARI!$A$1:$K$363,4,0)," ")</f>
        <v xml:space="preserve"> </v>
      </c>
      <c r="I311" s="100"/>
      <c r="J311" s="100" t="str">
        <f>IFERROR(VLOOKUP(Tablo5[[#This Row],[ÜRÜN KODU]],YMKODLARI!$A$1:$K$363,9,0)," ")</f>
        <v xml:space="preserve"> </v>
      </c>
      <c r="K311" s="100" t="str">
        <f>IFERROR(VLOOKUP(Tablo5[[#This Row],[BOYA KODU]],Tablo14[#All],4,0)," ")</f>
        <v xml:space="preserve"> </v>
      </c>
      <c r="L311" s="100" t="str">
        <f>IFERROR(VLOOKUP(Tablo5[[#This Row],[BOYA KODU]],Tablo14[#All],6,0)," ")</f>
        <v xml:space="preserve"> </v>
      </c>
      <c r="M311" s="100" t="str">
        <f t="shared" si="28"/>
        <v xml:space="preserve"> </v>
      </c>
      <c r="N311" s="100" t="str">
        <f>IFERROR(VLOOKUP(Tablo5[[#This Row],[ÜRÜN KODU]],YMKODLARI!$A$1:$K$363,8,0)," ")</f>
        <v xml:space="preserve"> </v>
      </c>
      <c r="O311" s="100" t="str">
        <f>IFERROR(VLOOKUP(Tablo5[[#This Row],[HAMMADDE KODU]],Tablo1[#All],3,0)," ")</f>
        <v xml:space="preserve"> </v>
      </c>
      <c r="P311" s="100" t="str">
        <f>IFERROR(VLOOKUP(Tablo5[[#This Row],[HAMMADDE KODU]],Tablo1[#All],4,0)," ")</f>
        <v xml:space="preserve"> </v>
      </c>
      <c r="Q311" s="100" t="str">
        <f>IFERROR(VLOOKUP(Tablo5[[#This Row],[ÜRÜN KODU]],YMKODLARI!$A$1:$K$363,5,0)," ")</f>
        <v xml:space="preserve"> </v>
      </c>
      <c r="R311" s="100" t="str">
        <f>IFERROR(VLOOKUP(Tablo5[[#This Row],[ÜRÜN KODU]],YMKODLARI!$A$1:$K$363,6,0)," ")</f>
        <v xml:space="preserve"> </v>
      </c>
      <c r="S311" s="100" t="str">
        <f>IFERROR(Tablo5[[#This Row],[YOLLUK HARİÇ BASKI GRAMI]]/Tablo5[[#This Row],[KALIP GÖZ ADEDİ]]," ")</f>
        <v xml:space="preserve"> </v>
      </c>
      <c r="T311" s="100" t="str">
        <f t="shared" si="30"/>
        <v xml:space="preserve"> </v>
      </c>
      <c r="U311" s="100"/>
      <c r="V311" s="100" t="str">
        <f t="shared" si="29"/>
        <v xml:space="preserve"> </v>
      </c>
      <c r="W311" s="101">
        <f t="shared" si="31"/>
        <v>24</v>
      </c>
      <c r="X311" s="102">
        <f t="shared" si="32"/>
        <v>0</v>
      </c>
      <c r="Y311" s="100" t="str">
        <f t="shared" si="33"/>
        <v xml:space="preserve"> </v>
      </c>
      <c r="Z311" s="100" t="str">
        <f t="shared" si="34"/>
        <v xml:space="preserve"> </v>
      </c>
    </row>
    <row r="312" spans="1:26">
      <c r="A312" s="100"/>
      <c r="B312" s="108" t="str">
        <f>IFERROR(VLOOKUP(Tablo5[[#This Row],[ÜRÜN KODU]],YMKODLARI!$A$1:$K$363,2,0)," ")</f>
        <v xml:space="preserve"> </v>
      </c>
      <c r="C312" s="99"/>
      <c r="D312" s="100"/>
      <c r="E312" s="101"/>
      <c r="F312" s="101"/>
      <c r="G312" s="100" t="str">
        <f>IFERROR(VLOOKUP(Tablo5[[#This Row],[ÜRÜN KODU]],YMKODLARI!$A$1:$K$363,3,0)," ")</f>
        <v xml:space="preserve"> </v>
      </c>
      <c r="H312" s="100" t="str">
        <f>IFERROR(VLOOKUP(Tablo5[[#This Row],[ÜRÜN KODU]],YMKODLARI!$A$1:$K$363,4,0)," ")</f>
        <v xml:space="preserve"> </v>
      </c>
      <c r="I312" s="100"/>
      <c r="J312" s="100" t="str">
        <f>IFERROR(VLOOKUP(Tablo5[[#This Row],[ÜRÜN KODU]],YMKODLARI!$A$1:$K$363,9,0)," ")</f>
        <v xml:space="preserve"> </v>
      </c>
      <c r="K312" s="100" t="str">
        <f>IFERROR(VLOOKUP(Tablo5[[#This Row],[BOYA KODU]],Tablo14[#All],4,0)," ")</f>
        <v xml:space="preserve"> </v>
      </c>
      <c r="L312" s="100" t="str">
        <f>IFERROR(VLOOKUP(Tablo5[[#This Row],[BOYA KODU]],Tablo14[#All],6,0)," ")</f>
        <v xml:space="preserve"> </v>
      </c>
      <c r="M312" s="100" t="str">
        <f t="shared" si="28"/>
        <v xml:space="preserve"> </v>
      </c>
      <c r="N312" s="100" t="str">
        <f>IFERROR(VLOOKUP(Tablo5[[#This Row],[ÜRÜN KODU]],YMKODLARI!$A$1:$K$363,8,0)," ")</f>
        <v xml:space="preserve"> </v>
      </c>
      <c r="O312" s="100" t="str">
        <f>IFERROR(VLOOKUP(Tablo5[[#This Row],[HAMMADDE KODU]],Tablo1[#All],3,0)," ")</f>
        <v xml:space="preserve"> </v>
      </c>
      <c r="P312" s="100" t="str">
        <f>IFERROR(VLOOKUP(Tablo5[[#This Row],[HAMMADDE KODU]],Tablo1[#All],4,0)," ")</f>
        <v xml:space="preserve"> </v>
      </c>
      <c r="Q312" s="100" t="str">
        <f>IFERROR(VLOOKUP(Tablo5[[#This Row],[ÜRÜN KODU]],YMKODLARI!$A$1:$K$363,5,0)," ")</f>
        <v xml:space="preserve"> </v>
      </c>
      <c r="R312" s="100" t="str">
        <f>IFERROR(VLOOKUP(Tablo5[[#This Row],[ÜRÜN KODU]],YMKODLARI!$A$1:$K$363,6,0)," ")</f>
        <v xml:space="preserve"> </v>
      </c>
      <c r="S312" s="100" t="str">
        <f>IFERROR(Tablo5[[#This Row],[YOLLUK HARİÇ BASKI GRAMI]]/Tablo5[[#This Row],[KALIP GÖZ ADEDİ]]," ")</f>
        <v xml:space="preserve"> </v>
      </c>
      <c r="T312" s="100" t="str">
        <f t="shared" si="30"/>
        <v xml:space="preserve"> </v>
      </c>
      <c r="U312" s="100"/>
      <c r="V312" s="100" t="str">
        <f t="shared" si="29"/>
        <v xml:space="preserve"> </v>
      </c>
      <c r="W312" s="101">
        <f t="shared" si="31"/>
        <v>24</v>
      </c>
      <c r="X312" s="102">
        <f t="shared" si="32"/>
        <v>0</v>
      </c>
      <c r="Y312" s="100" t="str">
        <f t="shared" si="33"/>
        <v xml:space="preserve"> </v>
      </c>
      <c r="Z312" s="100" t="str">
        <f t="shared" si="34"/>
        <v xml:space="preserve"> </v>
      </c>
    </row>
    <row r="313" spans="1:26">
      <c r="A313" s="100"/>
      <c r="B313" s="108" t="str">
        <f>IFERROR(VLOOKUP(Tablo5[[#This Row],[ÜRÜN KODU]],YMKODLARI!$A$1:$K$363,2,0)," ")</f>
        <v xml:space="preserve"> </v>
      </c>
      <c r="C313" s="99"/>
      <c r="D313" s="100"/>
      <c r="E313" s="101"/>
      <c r="F313" s="101"/>
      <c r="G313" s="100" t="str">
        <f>IFERROR(VLOOKUP(Tablo5[[#This Row],[ÜRÜN KODU]],YMKODLARI!$A$1:$K$363,3,0)," ")</f>
        <v xml:space="preserve"> </v>
      </c>
      <c r="H313" s="100" t="str">
        <f>IFERROR(VLOOKUP(Tablo5[[#This Row],[ÜRÜN KODU]],YMKODLARI!$A$1:$K$363,4,0)," ")</f>
        <v xml:space="preserve"> </v>
      </c>
      <c r="I313" s="100"/>
      <c r="J313" s="100" t="str">
        <f>IFERROR(VLOOKUP(Tablo5[[#This Row],[ÜRÜN KODU]],YMKODLARI!$A$1:$K$363,9,0)," ")</f>
        <v xml:space="preserve"> </v>
      </c>
      <c r="K313" s="100" t="str">
        <f>IFERROR(VLOOKUP(Tablo5[[#This Row],[BOYA KODU]],Tablo14[#All],4,0)," ")</f>
        <v xml:space="preserve"> </v>
      </c>
      <c r="L313" s="100" t="str">
        <f>IFERROR(VLOOKUP(Tablo5[[#This Row],[BOYA KODU]],Tablo14[#All],6,0)," ")</f>
        <v xml:space="preserve"> </v>
      </c>
      <c r="M313" s="100" t="str">
        <f t="shared" si="28"/>
        <v xml:space="preserve"> </v>
      </c>
      <c r="N313" s="100" t="str">
        <f>IFERROR(VLOOKUP(Tablo5[[#This Row],[ÜRÜN KODU]],YMKODLARI!$A$1:$K$363,8,0)," ")</f>
        <v xml:space="preserve"> </v>
      </c>
      <c r="O313" s="100" t="str">
        <f>IFERROR(VLOOKUP(Tablo5[[#This Row],[HAMMADDE KODU]],Tablo1[#All],3,0)," ")</f>
        <v xml:space="preserve"> </v>
      </c>
      <c r="P313" s="100" t="str">
        <f>IFERROR(VLOOKUP(Tablo5[[#This Row],[HAMMADDE KODU]],Tablo1[#All],4,0)," ")</f>
        <v xml:space="preserve"> </v>
      </c>
      <c r="Q313" s="100" t="str">
        <f>IFERROR(VLOOKUP(Tablo5[[#This Row],[ÜRÜN KODU]],YMKODLARI!$A$1:$K$363,5,0)," ")</f>
        <v xml:space="preserve"> </v>
      </c>
      <c r="R313" s="100" t="str">
        <f>IFERROR(VLOOKUP(Tablo5[[#This Row],[ÜRÜN KODU]],YMKODLARI!$A$1:$K$363,6,0)," ")</f>
        <v xml:space="preserve"> </v>
      </c>
      <c r="S313" s="100" t="str">
        <f>IFERROR(Tablo5[[#This Row],[YOLLUK HARİÇ BASKI GRAMI]]/Tablo5[[#This Row],[KALIP GÖZ ADEDİ]]," ")</f>
        <v xml:space="preserve"> </v>
      </c>
      <c r="T313" s="100" t="str">
        <f t="shared" si="30"/>
        <v xml:space="preserve"> </v>
      </c>
      <c r="U313" s="100"/>
      <c r="V313" s="100" t="str">
        <f t="shared" si="29"/>
        <v xml:space="preserve"> </v>
      </c>
      <c r="W313" s="101">
        <f t="shared" si="31"/>
        <v>24</v>
      </c>
      <c r="X313" s="102">
        <f t="shared" si="32"/>
        <v>0</v>
      </c>
      <c r="Y313" s="100" t="str">
        <f t="shared" si="33"/>
        <v xml:space="preserve"> </v>
      </c>
      <c r="Z313" s="100" t="str">
        <f t="shared" si="34"/>
        <v xml:space="preserve"> </v>
      </c>
    </row>
    <row r="314" spans="1:26">
      <c r="A314" s="100"/>
      <c r="B314" s="108" t="str">
        <f>IFERROR(VLOOKUP(Tablo5[[#This Row],[ÜRÜN KODU]],YMKODLARI!$A$1:$K$363,2,0)," ")</f>
        <v xml:space="preserve"> </v>
      </c>
      <c r="C314" s="99"/>
      <c r="D314" s="100"/>
      <c r="E314" s="101"/>
      <c r="F314" s="101"/>
      <c r="G314" s="100" t="str">
        <f>IFERROR(VLOOKUP(Tablo5[[#This Row],[ÜRÜN KODU]],YMKODLARI!$A$1:$K$363,3,0)," ")</f>
        <v xml:space="preserve"> </v>
      </c>
      <c r="H314" s="100" t="str">
        <f>IFERROR(VLOOKUP(Tablo5[[#This Row],[ÜRÜN KODU]],YMKODLARI!$A$1:$K$363,4,0)," ")</f>
        <v xml:space="preserve"> </v>
      </c>
      <c r="I314" s="100"/>
      <c r="J314" s="100" t="str">
        <f>IFERROR(VLOOKUP(Tablo5[[#This Row],[ÜRÜN KODU]],YMKODLARI!$A$1:$K$363,9,0)," ")</f>
        <v xml:space="preserve"> </v>
      </c>
      <c r="K314" s="100" t="str">
        <f>IFERROR(VLOOKUP(Tablo5[[#This Row],[BOYA KODU]],Tablo14[#All],4,0)," ")</f>
        <v xml:space="preserve"> </v>
      </c>
      <c r="L314" s="100" t="str">
        <f>IFERROR(VLOOKUP(Tablo5[[#This Row],[BOYA KODU]],Tablo14[#All],6,0)," ")</f>
        <v xml:space="preserve"> </v>
      </c>
      <c r="M314" s="100" t="str">
        <f t="shared" si="28"/>
        <v xml:space="preserve"> </v>
      </c>
      <c r="N314" s="100" t="str">
        <f>IFERROR(VLOOKUP(Tablo5[[#This Row],[ÜRÜN KODU]],YMKODLARI!$A$1:$K$363,8,0)," ")</f>
        <v xml:space="preserve"> </v>
      </c>
      <c r="O314" s="100" t="str">
        <f>IFERROR(VLOOKUP(Tablo5[[#This Row],[HAMMADDE KODU]],Tablo1[#All],3,0)," ")</f>
        <v xml:space="preserve"> </v>
      </c>
      <c r="P314" s="100" t="str">
        <f>IFERROR(VLOOKUP(Tablo5[[#This Row],[HAMMADDE KODU]],Tablo1[#All],4,0)," ")</f>
        <v xml:space="preserve"> </v>
      </c>
      <c r="Q314" s="100" t="str">
        <f>IFERROR(VLOOKUP(Tablo5[[#This Row],[ÜRÜN KODU]],YMKODLARI!$A$1:$K$363,5,0)," ")</f>
        <v xml:space="preserve"> </v>
      </c>
      <c r="R314" s="100" t="str">
        <f>IFERROR(VLOOKUP(Tablo5[[#This Row],[ÜRÜN KODU]],YMKODLARI!$A$1:$K$363,6,0)," ")</f>
        <v xml:space="preserve"> </v>
      </c>
      <c r="S314" s="100" t="str">
        <f>IFERROR(Tablo5[[#This Row],[YOLLUK HARİÇ BASKI GRAMI]]/Tablo5[[#This Row],[KALIP GÖZ ADEDİ]]," ")</f>
        <v xml:space="preserve"> </v>
      </c>
      <c r="T314" s="100" t="str">
        <f t="shared" si="30"/>
        <v xml:space="preserve"> </v>
      </c>
      <c r="U314" s="100"/>
      <c r="V314" s="100" t="str">
        <f t="shared" si="29"/>
        <v xml:space="preserve"> </v>
      </c>
      <c r="W314" s="101">
        <f t="shared" si="31"/>
        <v>24</v>
      </c>
      <c r="X314" s="102">
        <f t="shared" si="32"/>
        <v>0</v>
      </c>
      <c r="Y314" s="100" t="str">
        <f t="shared" si="33"/>
        <v xml:space="preserve"> </v>
      </c>
      <c r="Z314" s="100" t="str">
        <f t="shared" si="34"/>
        <v xml:space="preserve"> </v>
      </c>
    </row>
    <row r="315" spans="1:26">
      <c r="A315" s="100"/>
      <c r="B315" s="108" t="str">
        <f>IFERROR(VLOOKUP(Tablo5[[#This Row],[ÜRÜN KODU]],YMKODLARI!$A$1:$K$363,2,0)," ")</f>
        <v xml:space="preserve"> </v>
      </c>
      <c r="C315" s="99"/>
      <c r="D315" s="100"/>
      <c r="E315" s="101"/>
      <c r="F315" s="101"/>
      <c r="G315" s="100" t="str">
        <f>IFERROR(VLOOKUP(Tablo5[[#This Row],[ÜRÜN KODU]],YMKODLARI!$A$1:$K$363,3,0)," ")</f>
        <v xml:space="preserve"> </v>
      </c>
      <c r="H315" s="100" t="str">
        <f>IFERROR(VLOOKUP(Tablo5[[#This Row],[ÜRÜN KODU]],YMKODLARI!$A$1:$K$363,4,0)," ")</f>
        <v xml:space="preserve"> </v>
      </c>
      <c r="I315" s="100"/>
      <c r="J315" s="100" t="str">
        <f>IFERROR(VLOOKUP(Tablo5[[#This Row],[ÜRÜN KODU]],YMKODLARI!$A$1:$K$363,9,0)," ")</f>
        <v xml:space="preserve"> </v>
      </c>
      <c r="K315" s="100" t="str">
        <f>IFERROR(VLOOKUP(Tablo5[[#This Row],[BOYA KODU]],Tablo14[#All],4,0)," ")</f>
        <v xml:space="preserve"> </v>
      </c>
      <c r="L315" s="100" t="str">
        <f>IFERROR(VLOOKUP(Tablo5[[#This Row],[BOYA KODU]],Tablo14[#All],6,0)," ")</f>
        <v xml:space="preserve"> </v>
      </c>
      <c r="M315" s="100" t="str">
        <f t="shared" si="28"/>
        <v xml:space="preserve"> </v>
      </c>
      <c r="N315" s="100" t="str">
        <f>IFERROR(VLOOKUP(Tablo5[[#This Row],[ÜRÜN KODU]],YMKODLARI!$A$1:$K$363,8,0)," ")</f>
        <v xml:space="preserve"> </v>
      </c>
      <c r="O315" s="100" t="str">
        <f>IFERROR(VLOOKUP(Tablo5[[#This Row],[HAMMADDE KODU]],Tablo1[#All],3,0)," ")</f>
        <v xml:space="preserve"> </v>
      </c>
      <c r="P315" s="100" t="str">
        <f>IFERROR(VLOOKUP(Tablo5[[#This Row],[HAMMADDE KODU]],Tablo1[#All],4,0)," ")</f>
        <v xml:space="preserve"> </v>
      </c>
      <c r="Q315" s="100" t="str">
        <f>IFERROR(VLOOKUP(Tablo5[[#This Row],[ÜRÜN KODU]],YMKODLARI!$A$1:$K$363,5,0)," ")</f>
        <v xml:space="preserve"> </v>
      </c>
      <c r="R315" s="100" t="str">
        <f>IFERROR(VLOOKUP(Tablo5[[#This Row],[ÜRÜN KODU]],YMKODLARI!$A$1:$K$363,6,0)," ")</f>
        <v xml:space="preserve"> </v>
      </c>
      <c r="S315" s="100" t="str">
        <f>IFERROR(Tablo5[[#This Row],[YOLLUK HARİÇ BASKI GRAMI]]/Tablo5[[#This Row],[KALIP GÖZ ADEDİ]]," ")</f>
        <v xml:space="preserve"> </v>
      </c>
      <c r="T315" s="100" t="str">
        <f t="shared" si="30"/>
        <v xml:space="preserve"> </v>
      </c>
      <c r="U315" s="100"/>
      <c r="V315" s="100" t="str">
        <f t="shared" si="29"/>
        <v xml:space="preserve"> </v>
      </c>
      <c r="W315" s="101">
        <f t="shared" si="31"/>
        <v>24</v>
      </c>
      <c r="X315" s="102">
        <f t="shared" si="32"/>
        <v>0</v>
      </c>
      <c r="Y315" s="100" t="str">
        <f t="shared" si="33"/>
        <v xml:space="preserve"> </v>
      </c>
      <c r="Z315" s="100" t="str">
        <f t="shared" si="34"/>
        <v xml:space="preserve"> </v>
      </c>
    </row>
    <row r="316" spans="1:26">
      <c r="A316" s="100"/>
      <c r="B316" s="108" t="str">
        <f>IFERROR(VLOOKUP(Tablo5[[#This Row],[ÜRÜN KODU]],YMKODLARI!$A$1:$K$363,2,0)," ")</f>
        <v xml:space="preserve"> </v>
      </c>
      <c r="C316" s="99"/>
      <c r="D316" s="100"/>
      <c r="E316" s="101"/>
      <c r="F316" s="101"/>
      <c r="G316" s="100" t="str">
        <f>IFERROR(VLOOKUP(Tablo5[[#This Row],[ÜRÜN KODU]],YMKODLARI!$A$1:$K$363,3,0)," ")</f>
        <v xml:space="preserve"> </v>
      </c>
      <c r="H316" s="100" t="str">
        <f>IFERROR(VLOOKUP(Tablo5[[#This Row],[ÜRÜN KODU]],YMKODLARI!$A$1:$K$363,4,0)," ")</f>
        <v xml:space="preserve"> </v>
      </c>
      <c r="I316" s="100"/>
      <c r="J316" s="100" t="str">
        <f>IFERROR(VLOOKUP(Tablo5[[#This Row],[ÜRÜN KODU]],YMKODLARI!$A$1:$K$363,9,0)," ")</f>
        <v xml:space="preserve"> </v>
      </c>
      <c r="K316" s="100" t="str">
        <f>IFERROR(VLOOKUP(Tablo5[[#This Row],[BOYA KODU]],Tablo14[#All],4,0)," ")</f>
        <v xml:space="preserve"> </v>
      </c>
      <c r="L316" s="100" t="str">
        <f>IFERROR(VLOOKUP(Tablo5[[#This Row],[BOYA KODU]],Tablo14[#All],6,0)," ")</f>
        <v xml:space="preserve"> </v>
      </c>
      <c r="M316" s="100" t="str">
        <f t="shared" si="28"/>
        <v xml:space="preserve"> </v>
      </c>
      <c r="N316" s="100" t="str">
        <f>IFERROR(VLOOKUP(Tablo5[[#This Row],[ÜRÜN KODU]],YMKODLARI!$A$1:$K$363,8,0)," ")</f>
        <v xml:space="preserve"> </v>
      </c>
      <c r="O316" s="100" t="str">
        <f>IFERROR(VLOOKUP(Tablo5[[#This Row],[HAMMADDE KODU]],Tablo1[#All],3,0)," ")</f>
        <v xml:space="preserve"> </v>
      </c>
      <c r="P316" s="100" t="str">
        <f>IFERROR(VLOOKUP(Tablo5[[#This Row],[HAMMADDE KODU]],Tablo1[#All],4,0)," ")</f>
        <v xml:space="preserve"> </v>
      </c>
      <c r="Q316" s="100" t="str">
        <f>IFERROR(VLOOKUP(Tablo5[[#This Row],[ÜRÜN KODU]],YMKODLARI!$A$1:$K$363,5,0)," ")</f>
        <v xml:space="preserve"> </v>
      </c>
      <c r="R316" s="100" t="str">
        <f>IFERROR(VLOOKUP(Tablo5[[#This Row],[ÜRÜN KODU]],YMKODLARI!$A$1:$K$363,6,0)," ")</f>
        <v xml:space="preserve"> </v>
      </c>
      <c r="S316" s="100" t="str">
        <f>IFERROR(Tablo5[[#This Row],[YOLLUK HARİÇ BASKI GRAMI]]/Tablo5[[#This Row],[KALIP GÖZ ADEDİ]]," ")</f>
        <v xml:space="preserve"> </v>
      </c>
      <c r="T316" s="100" t="str">
        <f t="shared" si="30"/>
        <v xml:space="preserve"> </v>
      </c>
      <c r="U316" s="100"/>
      <c r="V316" s="100" t="str">
        <f t="shared" si="29"/>
        <v xml:space="preserve"> </v>
      </c>
      <c r="W316" s="101">
        <f t="shared" si="31"/>
        <v>24</v>
      </c>
      <c r="X316" s="102">
        <f t="shared" si="32"/>
        <v>0</v>
      </c>
      <c r="Y316" s="100" t="str">
        <f t="shared" si="33"/>
        <v xml:space="preserve"> </v>
      </c>
      <c r="Z316" s="100" t="str">
        <f t="shared" si="34"/>
        <v xml:space="preserve"> </v>
      </c>
    </row>
    <row r="317" spans="1:26">
      <c r="A317" s="100"/>
      <c r="B317" s="108" t="str">
        <f>IFERROR(VLOOKUP(Tablo5[[#This Row],[ÜRÜN KODU]],YMKODLARI!$A$1:$K$363,2,0)," ")</f>
        <v xml:space="preserve"> </v>
      </c>
      <c r="C317" s="99"/>
      <c r="D317" s="100"/>
      <c r="E317" s="101"/>
      <c r="F317" s="101"/>
      <c r="G317" s="100" t="str">
        <f>IFERROR(VLOOKUP(Tablo5[[#This Row],[ÜRÜN KODU]],YMKODLARI!$A$1:$K$363,3,0)," ")</f>
        <v xml:space="preserve"> </v>
      </c>
      <c r="H317" s="100" t="str">
        <f>IFERROR(VLOOKUP(Tablo5[[#This Row],[ÜRÜN KODU]],YMKODLARI!$A$1:$K$363,4,0)," ")</f>
        <v xml:space="preserve"> </v>
      </c>
      <c r="I317" s="100"/>
      <c r="J317" s="100" t="str">
        <f>IFERROR(VLOOKUP(Tablo5[[#This Row],[ÜRÜN KODU]],YMKODLARI!$A$1:$K$363,9,0)," ")</f>
        <v xml:space="preserve"> </v>
      </c>
      <c r="K317" s="100" t="str">
        <f>IFERROR(VLOOKUP(Tablo5[[#This Row],[BOYA KODU]],Tablo14[#All],4,0)," ")</f>
        <v xml:space="preserve"> </v>
      </c>
      <c r="L317" s="100" t="str">
        <f>IFERROR(VLOOKUP(Tablo5[[#This Row],[BOYA KODU]],Tablo14[#All],6,0)," ")</f>
        <v xml:space="preserve"> </v>
      </c>
      <c r="M317" s="100" t="str">
        <f t="shared" si="28"/>
        <v xml:space="preserve"> </v>
      </c>
      <c r="N317" s="100" t="str">
        <f>IFERROR(VLOOKUP(Tablo5[[#This Row],[ÜRÜN KODU]],YMKODLARI!$A$1:$K$363,8,0)," ")</f>
        <v xml:space="preserve"> </v>
      </c>
      <c r="O317" s="100" t="str">
        <f>IFERROR(VLOOKUP(Tablo5[[#This Row],[HAMMADDE KODU]],Tablo1[#All],3,0)," ")</f>
        <v xml:space="preserve"> </v>
      </c>
      <c r="P317" s="100" t="str">
        <f>IFERROR(VLOOKUP(Tablo5[[#This Row],[HAMMADDE KODU]],Tablo1[#All],4,0)," ")</f>
        <v xml:space="preserve"> </v>
      </c>
      <c r="Q317" s="100" t="str">
        <f>IFERROR(VLOOKUP(Tablo5[[#This Row],[ÜRÜN KODU]],YMKODLARI!$A$1:$K$363,5,0)," ")</f>
        <v xml:space="preserve"> </v>
      </c>
      <c r="R317" s="100" t="str">
        <f>IFERROR(VLOOKUP(Tablo5[[#This Row],[ÜRÜN KODU]],YMKODLARI!$A$1:$K$363,6,0)," ")</f>
        <v xml:space="preserve"> </v>
      </c>
      <c r="S317" s="100" t="str">
        <f>IFERROR(Tablo5[[#This Row],[YOLLUK HARİÇ BASKI GRAMI]]/Tablo5[[#This Row],[KALIP GÖZ ADEDİ]]," ")</f>
        <v xml:space="preserve"> </v>
      </c>
      <c r="T317" s="100" t="str">
        <f t="shared" si="30"/>
        <v xml:space="preserve"> </v>
      </c>
      <c r="U317" s="100"/>
      <c r="V317" s="100" t="str">
        <f t="shared" si="29"/>
        <v xml:space="preserve"> </v>
      </c>
      <c r="W317" s="101">
        <f t="shared" si="31"/>
        <v>24</v>
      </c>
      <c r="X317" s="102">
        <f t="shared" si="32"/>
        <v>0</v>
      </c>
      <c r="Y317" s="100" t="str">
        <f t="shared" si="33"/>
        <v xml:space="preserve"> </v>
      </c>
      <c r="Z317" s="100" t="str">
        <f t="shared" si="34"/>
        <v xml:space="preserve"> </v>
      </c>
    </row>
    <row r="318" spans="1:26">
      <c r="A318" s="100"/>
      <c r="B318" s="108" t="str">
        <f>IFERROR(VLOOKUP(Tablo5[[#This Row],[ÜRÜN KODU]],YMKODLARI!$A$1:$K$363,2,0)," ")</f>
        <v xml:space="preserve"> </v>
      </c>
      <c r="C318" s="99"/>
      <c r="D318" s="100"/>
      <c r="E318" s="101"/>
      <c r="F318" s="101"/>
      <c r="G318" s="100" t="str">
        <f>IFERROR(VLOOKUP(Tablo5[[#This Row],[ÜRÜN KODU]],YMKODLARI!$A$1:$K$363,3,0)," ")</f>
        <v xml:space="preserve"> </v>
      </c>
      <c r="H318" s="100" t="str">
        <f>IFERROR(VLOOKUP(Tablo5[[#This Row],[ÜRÜN KODU]],YMKODLARI!$A$1:$K$363,4,0)," ")</f>
        <v xml:space="preserve"> </v>
      </c>
      <c r="I318" s="100"/>
      <c r="J318" s="100" t="str">
        <f>IFERROR(VLOOKUP(Tablo5[[#This Row],[ÜRÜN KODU]],YMKODLARI!$A$1:$K$363,9,0)," ")</f>
        <v xml:space="preserve"> </v>
      </c>
      <c r="K318" s="100" t="str">
        <f>IFERROR(VLOOKUP(Tablo5[[#This Row],[BOYA KODU]],Tablo14[#All],4,0)," ")</f>
        <v xml:space="preserve"> </v>
      </c>
      <c r="L318" s="100" t="str">
        <f>IFERROR(VLOOKUP(Tablo5[[#This Row],[BOYA KODU]],Tablo14[#All],6,0)," ")</f>
        <v xml:space="preserve"> </v>
      </c>
      <c r="M318" s="100" t="str">
        <f t="shared" si="28"/>
        <v xml:space="preserve"> </v>
      </c>
      <c r="N318" s="100" t="str">
        <f>IFERROR(VLOOKUP(Tablo5[[#This Row],[ÜRÜN KODU]],YMKODLARI!$A$1:$K$363,8,0)," ")</f>
        <v xml:space="preserve"> </v>
      </c>
      <c r="O318" s="100" t="str">
        <f>IFERROR(VLOOKUP(Tablo5[[#This Row],[HAMMADDE KODU]],Tablo1[#All],3,0)," ")</f>
        <v xml:space="preserve"> </v>
      </c>
      <c r="P318" s="100" t="str">
        <f>IFERROR(VLOOKUP(Tablo5[[#This Row],[HAMMADDE KODU]],Tablo1[#All],4,0)," ")</f>
        <v xml:space="preserve"> </v>
      </c>
      <c r="Q318" s="100" t="str">
        <f>IFERROR(VLOOKUP(Tablo5[[#This Row],[ÜRÜN KODU]],YMKODLARI!$A$1:$K$363,5,0)," ")</f>
        <v xml:space="preserve"> </v>
      </c>
      <c r="R318" s="100" t="str">
        <f>IFERROR(VLOOKUP(Tablo5[[#This Row],[ÜRÜN KODU]],YMKODLARI!$A$1:$K$363,6,0)," ")</f>
        <v xml:space="preserve"> </v>
      </c>
      <c r="S318" s="100" t="str">
        <f>IFERROR(Tablo5[[#This Row],[YOLLUK HARİÇ BASKI GRAMI]]/Tablo5[[#This Row],[KALIP GÖZ ADEDİ]]," ")</f>
        <v xml:space="preserve"> </v>
      </c>
      <c r="T318" s="100" t="str">
        <f t="shared" si="30"/>
        <v xml:space="preserve"> </v>
      </c>
      <c r="U318" s="100"/>
      <c r="V318" s="100" t="str">
        <f t="shared" si="29"/>
        <v xml:space="preserve"> </v>
      </c>
      <c r="W318" s="101">
        <f t="shared" si="31"/>
        <v>24</v>
      </c>
      <c r="X318" s="102">
        <f t="shared" si="32"/>
        <v>0</v>
      </c>
      <c r="Y318" s="100" t="str">
        <f t="shared" si="33"/>
        <v xml:space="preserve"> </v>
      </c>
      <c r="Z318" s="100" t="str">
        <f t="shared" si="34"/>
        <v xml:space="preserve"> </v>
      </c>
    </row>
    <row r="319" spans="1:26">
      <c r="A319" s="100"/>
      <c r="B319" s="108" t="str">
        <f>IFERROR(VLOOKUP(Tablo5[[#This Row],[ÜRÜN KODU]],YMKODLARI!$A$1:$K$363,2,0)," ")</f>
        <v xml:space="preserve"> </v>
      </c>
      <c r="C319" s="99"/>
      <c r="D319" s="100"/>
      <c r="E319" s="101"/>
      <c r="F319" s="101"/>
      <c r="G319" s="100" t="str">
        <f>IFERROR(VLOOKUP(Tablo5[[#This Row],[ÜRÜN KODU]],YMKODLARI!$A$1:$K$363,3,0)," ")</f>
        <v xml:space="preserve"> </v>
      </c>
      <c r="H319" s="100" t="str">
        <f>IFERROR(VLOOKUP(Tablo5[[#This Row],[ÜRÜN KODU]],YMKODLARI!$A$1:$K$363,4,0)," ")</f>
        <v xml:space="preserve"> </v>
      </c>
      <c r="I319" s="100"/>
      <c r="J319" s="100" t="str">
        <f>IFERROR(VLOOKUP(Tablo5[[#This Row],[ÜRÜN KODU]],YMKODLARI!$A$1:$K$363,9,0)," ")</f>
        <v xml:space="preserve"> </v>
      </c>
      <c r="K319" s="100" t="str">
        <f>IFERROR(VLOOKUP(Tablo5[[#This Row],[BOYA KODU]],Tablo14[#All],4,0)," ")</f>
        <v xml:space="preserve"> </v>
      </c>
      <c r="L319" s="100" t="str">
        <f>IFERROR(VLOOKUP(Tablo5[[#This Row],[BOYA KODU]],Tablo14[#All],6,0)," ")</f>
        <v xml:space="preserve"> </v>
      </c>
      <c r="M319" s="100" t="str">
        <f t="shared" si="28"/>
        <v xml:space="preserve"> </v>
      </c>
      <c r="N319" s="100" t="str">
        <f>IFERROR(VLOOKUP(Tablo5[[#This Row],[ÜRÜN KODU]],YMKODLARI!$A$1:$K$363,8,0)," ")</f>
        <v xml:space="preserve"> </v>
      </c>
      <c r="O319" s="100" t="str">
        <f>IFERROR(VLOOKUP(Tablo5[[#This Row],[HAMMADDE KODU]],Tablo1[#All],3,0)," ")</f>
        <v xml:space="preserve"> </v>
      </c>
      <c r="P319" s="100" t="str">
        <f>IFERROR(VLOOKUP(Tablo5[[#This Row],[HAMMADDE KODU]],Tablo1[#All],4,0)," ")</f>
        <v xml:space="preserve"> </v>
      </c>
      <c r="Q319" s="100" t="str">
        <f>IFERROR(VLOOKUP(Tablo5[[#This Row],[ÜRÜN KODU]],YMKODLARI!$A$1:$K$363,5,0)," ")</f>
        <v xml:space="preserve"> </v>
      </c>
      <c r="R319" s="100" t="str">
        <f>IFERROR(VLOOKUP(Tablo5[[#This Row],[ÜRÜN KODU]],YMKODLARI!$A$1:$K$363,6,0)," ")</f>
        <v xml:space="preserve"> </v>
      </c>
      <c r="S319" s="100" t="str">
        <f>IFERROR(Tablo5[[#This Row],[YOLLUK HARİÇ BASKI GRAMI]]/Tablo5[[#This Row],[KALIP GÖZ ADEDİ]]," ")</f>
        <v xml:space="preserve"> </v>
      </c>
      <c r="T319" s="100" t="str">
        <f t="shared" si="30"/>
        <v xml:space="preserve"> </v>
      </c>
      <c r="U319" s="100"/>
      <c r="V319" s="100" t="str">
        <f t="shared" si="29"/>
        <v xml:space="preserve"> </v>
      </c>
      <c r="W319" s="101">
        <f t="shared" si="31"/>
        <v>24</v>
      </c>
      <c r="X319" s="102">
        <f t="shared" si="32"/>
        <v>0</v>
      </c>
      <c r="Y319" s="100" t="str">
        <f t="shared" si="33"/>
        <v xml:space="preserve"> </v>
      </c>
      <c r="Z319" s="100" t="str">
        <f t="shared" si="34"/>
        <v xml:space="preserve"> </v>
      </c>
    </row>
    <row r="320" spans="1:26">
      <c r="A320" s="100"/>
      <c r="B320" s="108" t="str">
        <f>IFERROR(VLOOKUP(Tablo5[[#This Row],[ÜRÜN KODU]],YMKODLARI!$A$1:$K$363,2,0)," ")</f>
        <v xml:space="preserve"> </v>
      </c>
      <c r="C320" s="99"/>
      <c r="D320" s="100"/>
      <c r="E320" s="101"/>
      <c r="F320" s="101"/>
      <c r="G320" s="100" t="str">
        <f>IFERROR(VLOOKUP(Tablo5[[#This Row],[ÜRÜN KODU]],YMKODLARI!$A$1:$K$363,3,0)," ")</f>
        <v xml:space="preserve"> </v>
      </c>
      <c r="H320" s="100" t="str">
        <f>IFERROR(VLOOKUP(Tablo5[[#This Row],[ÜRÜN KODU]],YMKODLARI!$A$1:$K$363,4,0)," ")</f>
        <v xml:space="preserve"> </v>
      </c>
      <c r="I320" s="100"/>
      <c r="J320" s="100" t="str">
        <f>IFERROR(VLOOKUP(Tablo5[[#This Row],[ÜRÜN KODU]],YMKODLARI!$A$1:$K$363,9,0)," ")</f>
        <v xml:space="preserve"> </v>
      </c>
      <c r="K320" s="100" t="str">
        <f>IFERROR(VLOOKUP(Tablo5[[#This Row],[BOYA KODU]],Tablo14[#All],4,0)," ")</f>
        <v xml:space="preserve"> </v>
      </c>
      <c r="L320" s="100" t="str">
        <f>IFERROR(VLOOKUP(Tablo5[[#This Row],[BOYA KODU]],Tablo14[#All],6,0)," ")</f>
        <v xml:space="preserve"> </v>
      </c>
      <c r="M320" s="100" t="str">
        <f t="shared" si="28"/>
        <v xml:space="preserve"> </v>
      </c>
      <c r="N320" s="100" t="str">
        <f>IFERROR(VLOOKUP(Tablo5[[#This Row],[ÜRÜN KODU]],YMKODLARI!$A$1:$K$363,8,0)," ")</f>
        <v xml:space="preserve"> </v>
      </c>
      <c r="O320" s="100" t="str">
        <f>IFERROR(VLOOKUP(Tablo5[[#This Row],[HAMMADDE KODU]],Tablo1[#All],3,0)," ")</f>
        <v xml:space="preserve"> </v>
      </c>
      <c r="P320" s="100" t="str">
        <f>IFERROR(VLOOKUP(Tablo5[[#This Row],[HAMMADDE KODU]],Tablo1[#All],4,0)," ")</f>
        <v xml:space="preserve"> </v>
      </c>
      <c r="Q320" s="100" t="str">
        <f>IFERROR(VLOOKUP(Tablo5[[#This Row],[ÜRÜN KODU]],YMKODLARI!$A$1:$K$363,5,0)," ")</f>
        <v xml:space="preserve"> </v>
      </c>
      <c r="R320" s="100" t="str">
        <f>IFERROR(VLOOKUP(Tablo5[[#This Row],[ÜRÜN KODU]],YMKODLARI!$A$1:$K$363,6,0)," ")</f>
        <v xml:space="preserve"> </v>
      </c>
      <c r="S320" s="100" t="str">
        <f>IFERROR(Tablo5[[#This Row],[YOLLUK HARİÇ BASKI GRAMI]]/Tablo5[[#This Row],[KALIP GÖZ ADEDİ]]," ")</f>
        <v xml:space="preserve"> </v>
      </c>
      <c r="T320" s="100" t="str">
        <f t="shared" si="30"/>
        <v xml:space="preserve"> </v>
      </c>
      <c r="U320" s="100"/>
      <c r="V320" s="100" t="str">
        <f t="shared" si="29"/>
        <v xml:space="preserve"> </v>
      </c>
      <c r="W320" s="101">
        <f t="shared" si="31"/>
        <v>24</v>
      </c>
      <c r="X320" s="102">
        <f t="shared" si="32"/>
        <v>0</v>
      </c>
      <c r="Y320" s="100" t="str">
        <f t="shared" si="33"/>
        <v xml:space="preserve"> </v>
      </c>
      <c r="Z320" s="100" t="str">
        <f t="shared" si="34"/>
        <v xml:space="preserve"> </v>
      </c>
    </row>
    <row r="321" spans="1:26">
      <c r="A321" s="100"/>
      <c r="B321" s="108" t="str">
        <f>IFERROR(VLOOKUP(Tablo5[[#This Row],[ÜRÜN KODU]],YMKODLARI!$A$1:$K$363,2,0)," ")</f>
        <v xml:space="preserve"> </v>
      </c>
      <c r="C321" s="99"/>
      <c r="D321" s="100"/>
      <c r="E321" s="101"/>
      <c r="F321" s="101"/>
      <c r="G321" s="100" t="str">
        <f>IFERROR(VLOOKUP(Tablo5[[#This Row],[ÜRÜN KODU]],YMKODLARI!$A$1:$K$363,3,0)," ")</f>
        <v xml:space="preserve"> </v>
      </c>
      <c r="H321" s="100" t="str">
        <f>IFERROR(VLOOKUP(Tablo5[[#This Row],[ÜRÜN KODU]],YMKODLARI!$A$1:$K$363,4,0)," ")</f>
        <v xml:space="preserve"> </v>
      </c>
      <c r="I321" s="100"/>
      <c r="J321" s="100" t="str">
        <f>IFERROR(VLOOKUP(Tablo5[[#This Row],[ÜRÜN KODU]],YMKODLARI!$A$1:$K$363,9,0)," ")</f>
        <v xml:space="preserve"> </v>
      </c>
      <c r="K321" s="100" t="str">
        <f>IFERROR(VLOOKUP(Tablo5[[#This Row],[BOYA KODU]],Tablo14[#All],4,0)," ")</f>
        <v xml:space="preserve"> </v>
      </c>
      <c r="L321" s="100" t="str">
        <f>IFERROR(VLOOKUP(Tablo5[[#This Row],[BOYA KODU]],Tablo14[#All],6,0)," ")</f>
        <v xml:space="preserve"> </v>
      </c>
      <c r="M321" s="100" t="str">
        <f t="shared" si="28"/>
        <v xml:space="preserve"> </v>
      </c>
      <c r="N321" s="100" t="str">
        <f>IFERROR(VLOOKUP(Tablo5[[#This Row],[ÜRÜN KODU]],YMKODLARI!$A$1:$K$363,8,0)," ")</f>
        <v xml:space="preserve"> </v>
      </c>
      <c r="O321" s="100" t="str">
        <f>IFERROR(VLOOKUP(Tablo5[[#This Row],[HAMMADDE KODU]],Tablo1[#All],3,0)," ")</f>
        <v xml:space="preserve"> </v>
      </c>
      <c r="P321" s="100" t="str">
        <f>IFERROR(VLOOKUP(Tablo5[[#This Row],[HAMMADDE KODU]],Tablo1[#All],4,0)," ")</f>
        <v xml:space="preserve"> </v>
      </c>
      <c r="Q321" s="100" t="str">
        <f>IFERROR(VLOOKUP(Tablo5[[#This Row],[ÜRÜN KODU]],YMKODLARI!$A$1:$K$363,5,0)," ")</f>
        <v xml:space="preserve"> </v>
      </c>
      <c r="R321" s="100" t="str">
        <f>IFERROR(VLOOKUP(Tablo5[[#This Row],[ÜRÜN KODU]],YMKODLARI!$A$1:$K$363,6,0)," ")</f>
        <v xml:space="preserve"> </v>
      </c>
      <c r="S321" s="100" t="str">
        <f>IFERROR(Tablo5[[#This Row],[YOLLUK HARİÇ BASKI GRAMI]]/Tablo5[[#This Row],[KALIP GÖZ ADEDİ]]," ")</f>
        <v xml:space="preserve"> </v>
      </c>
      <c r="T321" s="100" t="str">
        <f t="shared" si="30"/>
        <v xml:space="preserve"> </v>
      </c>
      <c r="U321" s="100"/>
      <c r="V321" s="100" t="str">
        <f t="shared" si="29"/>
        <v xml:space="preserve"> </v>
      </c>
      <c r="W321" s="101">
        <f t="shared" si="31"/>
        <v>24</v>
      </c>
      <c r="X321" s="102">
        <f t="shared" si="32"/>
        <v>0</v>
      </c>
      <c r="Y321" s="100" t="str">
        <f t="shared" si="33"/>
        <v xml:space="preserve"> </v>
      </c>
      <c r="Z321" s="100" t="str">
        <f t="shared" si="34"/>
        <v xml:space="preserve"> </v>
      </c>
    </row>
    <row r="322" spans="1:26">
      <c r="A322" s="100"/>
      <c r="B322" s="108" t="str">
        <f>IFERROR(VLOOKUP(Tablo5[[#This Row],[ÜRÜN KODU]],YMKODLARI!$A$1:$K$363,2,0)," ")</f>
        <v xml:space="preserve"> </v>
      </c>
      <c r="C322" s="99"/>
      <c r="D322" s="100"/>
      <c r="E322" s="101"/>
      <c r="F322" s="101"/>
      <c r="G322" s="100" t="str">
        <f>IFERROR(VLOOKUP(Tablo5[[#This Row],[ÜRÜN KODU]],YMKODLARI!$A$1:$K$363,3,0)," ")</f>
        <v xml:space="preserve"> </v>
      </c>
      <c r="H322" s="100" t="str">
        <f>IFERROR(VLOOKUP(Tablo5[[#This Row],[ÜRÜN KODU]],YMKODLARI!$A$1:$K$363,4,0)," ")</f>
        <v xml:space="preserve"> </v>
      </c>
      <c r="I322" s="100"/>
      <c r="J322" s="100" t="str">
        <f>IFERROR(VLOOKUP(Tablo5[[#This Row],[ÜRÜN KODU]],YMKODLARI!$A$1:$K$363,9,0)," ")</f>
        <v xml:space="preserve"> </v>
      </c>
      <c r="K322" s="100" t="str">
        <f>IFERROR(VLOOKUP(Tablo5[[#This Row],[BOYA KODU]],Tablo14[#All],4,0)," ")</f>
        <v xml:space="preserve"> </v>
      </c>
      <c r="L322" s="100" t="str">
        <f>IFERROR(VLOOKUP(Tablo5[[#This Row],[BOYA KODU]],Tablo14[#All],6,0)," ")</f>
        <v xml:space="preserve"> </v>
      </c>
      <c r="M322" s="100" t="str">
        <f t="shared" si="28"/>
        <v xml:space="preserve"> </v>
      </c>
      <c r="N322" s="100" t="str">
        <f>IFERROR(VLOOKUP(Tablo5[[#This Row],[ÜRÜN KODU]],YMKODLARI!$A$1:$K$363,8,0)," ")</f>
        <v xml:space="preserve"> </v>
      </c>
      <c r="O322" s="100" t="str">
        <f>IFERROR(VLOOKUP(Tablo5[[#This Row],[HAMMADDE KODU]],Tablo1[#All],3,0)," ")</f>
        <v xml:space="preserve"> </v>
      </c>
      <c r="P322" s="100" t="str">
        <f>IFERROR(VLOOKUP(Tablo5[[#This Row],[HAMMADDE KODU]],Tablo1[#All],4,0)," ")</f>
        <v xml:space="preserve"> </v>
      </c>
      <c r="Q322" s="100" t="str">
        <f>IFERROR(VLOOKUP(Tablo5[[#This Row],[ÜRÜN KODU]],YMKODLARI!$A$1:$K$363,5,0)," ")</f>
        <v xml:space="preserve"> </v>
      </c>
      <c r="R322" s="100" t="str">
        <f>IFERROR(VLOOKUP(Tablo5[[#This Row],[ÜRÜN KODU]],YMKODLARI!$A$1:$K$363,6,0)," ")</f>
        <v xml:space="preserve"> </v>
      </c>
      <c r="S322" s="100" t="str">
        <f>IFERROR(Tablo5[[#This Row],[YOLLUK HARİÇ BASKI GRAMI]]/Tablo5[[#This Row],[KALIP GÖZ ADEDİ]]," ")</f>
        <v xml:space="preserve"> </v>
      </c>
      <c r="T322" s="100" t="str">
        <f t="shared" si="30"/>
        <v xml:space="preserve"> </v>
      </c>
      <c r="U322" s="100"/>
      <c r="V322" s="100" t="str">
        <f t="shared" si="29"/>
        <v xml:space="preserve"> </v>
      </c>
      <c r="W322" s="101">
        <f t="shared" si="31"/>
        <v>24</v>
      </c>
      <c r="X322" s="102">
        <f t="shared" si="32"/>
        <v>0</v>
      </c>
      <c r="Y322" s="100" t="str">
        <f t="shared" si="33"/>
        <v xml:space="preserve"> </v>
      </c>
      <c r="Z322" s="100" t="str">
        <f t="shared" si="34"/>
        <v xml:space="preserve"> </v>
      </c>
    </row>
    <row r="323" spans="1:26">
      <c r="A323" s="100"/>
      <c r="B323" s="108" t="str">
        <f>IFERROR(VLOOKUP(Tablo5[[#This Row],[ÜRÜN KODU]],YMKODLARI!$A$1:$K$363,2,0)," ")</f>
        <v xml:space="preserve"> </v>
      </c>
      <c r="C323" s="99"/>
      <c r="D323" s="100"/>
      <c r="E323" s="101"/>
      <c r="F323" s="101"/>
      <c r="G323" s="100" t="str">
        <f>IFERROR(VLOOKUP(Tablo5[[#This Row],[ÜRÜN KODU]],YMKODLARI!$A$1:$K$363,3,0)," ")</f>
        <v xml:space="preserve"> </v>
      </c>
      <c r="H323" s="100" t="str">
        <f>IFERROR(VLOOKUP(Tablo5[[#This Row],[ÜRÜN KODU]],YMKODLARI!$A$1:$K$363,4,0)," ")</f>
        <v xml:space="preserve"> </v>
      </c>
      <c r="I323" s="100"/>
      <c r="J323" s="100" t="str">
        <f>IFERROR(VLOOKUP(Tablo5[[#This Row],[ÜRÜN KODU]],YMKODLARI!$A$1:$K$363,9,0)," ")</f>
        <v xml:space="preserve"> </v>
      </c>
      <c r="K323" s="100" t="str">
        <f>IFERROR(VLOOKUP(Tablo5[[#This Row],[BOYA KODU]],Tablo14[#All],4,0)," ")</f>
        <v xml:space="preserve"> </v>
      </c>
      <c r="L323" s="100" t="str">
        <f>IFERROR(VLOOKUP(Tablo5[[#This Row],[BOYA KODU]],Tablo14[#All],6,0)," ")</f>
        <v xml:space="preserve"> </v>
      </c>
      <c r="M323" s="100" t="str">
        <f t="shared" ref="M323:M386" si="35">IFERROR((I323*Q323)*L323," ")</f>
        <v xml:space="preserve"> </v>
      </c>
      <c r="N323" s="100" t="str">
        <f>IFERROR(VLOOKUP(Tablo5[[#This Row],[ÜRÜN KODU]],YMKODLARI!$A$1:$K$363,8,0)," ")</f>
        <v xml:space="preserve"> </v>
      </c>
      <c r="O323" s="100" t="str">
        <f>IFERROR(VLOOKUP(Tablo5[[#This Row],[HAMMADDE KODU]],Tablo1[#All],3,0)," ")</f>
        <v xml:space="preserve"> </v>
      </c>
      <c r="P323" s="100" t="str">
        <f>IFERROR(VLOOKUP(Tablo5[[#This Row],[HAMMADDE KODU]],Tablo1[#All],4,0)," ")</f>
        <v xml:space="preserve"> </v>
      </c>
      <c r="Q323" s="100" t="str">
        <f>IFERROR(VLOOKUP(Tablo5[[#This Row],[ÜRÜN KODU]],YMKODLARI!$A$1:$K$363,5,0)," ")</f>
        <v xml:space="preserve"> </v>
      </c>
      <c r="R323" s="100" t="str">
        <f>IFERROR(VLOOKUP(Tablo5[[#This Row],[ÜRÜN KODU]],YMKODLARI!$A$1:$K$363,6,0)," ")</f>
        <v xml:space="preserve"> </v>
      </c>
      <c r="S323" s="100" t="str">
        <f>IFERROR(Tablo5[[#This Row],[YOLLUK HARİÇ BASKI GRAMI]]/Tablo5[[#This Row],[KALIP GÖZ ADEDİ]]," ")</f>
        <v xml:space="preserve"> </v>
      </c>
      <c r="T323" s="100" t="str">
        <f t="shared" si="30"/>
        <v xml:space="preserve"> </v>
      </c>
      <c r="U323" s="100"/>
      <c r="V323" s="100" t="str">
        <f t="shared" ref="V323:V386" si="36">IFERROR(U323+(R323*I323) /1000," ")</f>
        <v xml:space="preserve"> </v>
      </c>
      <c r="W323" s="101">
        <f t="shared" si="31"/>
        <v>24</v>
      </c>
      <c r="X323" s="102">
        <f t="shared" si="32"/>
        <v>0</v>
      </c>
      <c r="Y323" s="100" t="str">
        <f t="shared" si="33"/>
        <v xml:space="preserve"> </v>
      </c>
      <c r="Z323" s="100" t="str">
        <f t="shared" si="34"/>
        <v xml:space="preserve"> </v>
      </c>
    </row>
    <row r="324" spans="1:26">
      <c r="A324" s="100"/>
      <c r="B324" s="108" t="str">
        <f>IFERROR(VLOOKUP(Tablo5[[#This Row],[ÜRÜN KODU]],YMKODLARI!$A$1:$K$363,2,0)," ")</f>
        <v xml:space="preserve"> </v>
      </c>
      <c r="C324" s="99"/>
      <c r="D324" s="100"/>
      <c r="E324" s="101"/>
      <c r="F324" s="101"/>
      <c r="G324" s="100" t="str">
        <f>IFERROR(VLOOKUP(Tablo5[[#This Row],[ÜRÜN KODU]],YMKODLARI!$A$1:$K$363,3,0)," ")</f>
        <v xml:space="preserve"> </v>
      </c>
      <c r="H324" s="100" t="str">
        <f>IFERROR(VLOOKUP(Tablo5[[#This Row],[ÜRÜN KODU]],YMKODLARI!$A$1:$K$363,4,0)," ")</f>
        <v xml:space="preserve"> </v>
      </c>
      <c r="I324" s="100"/>
      <c r="J324" s="100" t="str">
        <f>IFERROR(VLOOKUP(Tablo5[[#This Row],[ÜRÜN KODU]],YMKODLARI!$A$1:$K$363,9,0)," ")</f>
        <v xml:space="preserve"> </v>
      </c>
      <c r="K324" s="100" t="str">
        <f>IFERROR(VLOOKUP(Tablo5[[#This Row],[BOYA KODU]],Tablo14[#All],4,0)," ")</f>
        <v xml:space="preserve"> </v>
      </c>
      <c r="L324" s="100" t="str">
        <f>IFERROR(VLOOKUP(Tablo5[[#This Row],[BOYA KODU]],Tablo14[#All],6,0)," ")</f>
        <v xml:space="preserve"> </v>
      </c>
      <c r="M324" s="100" t="str">
        <f t="shared" si="35"/>
        <v xml:space="preserve"> </v>
      </c>
      <c r="N324" s="100" t="str">
        <f>IFERROR(VLOOKUP(Tablo5[[#This Row],[ÜRÜN KODU]],YMKODLARI!$A$1:$K$363,8,0)," ")</f>
        <v xml:space="preserve"> </v>
      </c>
      <c r="O324" s="100" t="str">
        <f>IFERROR(VLOOKUP(Tablo5[[#This Row],[HAMMADDE KODU]],Tablo1[#All],3,0)," ")</f>
        <v xml:space="preserve"> </v>
      </c>
      <c r="P324" s="100" t="str">
        <f>IFERROR(VLOOKUP(Tablo5[[#This Row],[HAMMADDE KODU]],Tablo1[#All],4,0)," ")</f>
        <v xml:space="preserve"> </v>
      </c>
      <c r="Q324" s="100" t="str">
        <f>IFERROR(VLOOKUP(Tablo5[[#This Row],[ÜRÜN KODU]],YMKODLARI!$A$1:$K$363,5,0)," ")</f>
        <v xml:space="preserve"> </v>
      </c>
      <c r="R324" s="100" t="str">
        <f>IFERROR(VLOOKUP(Tablo5[[#This Row],[ÜRÜN KODU]],YMKODLARI!$A$1:$K$363,6,0)," ")</f>
        <v xml:space="preserve"> </v>
      </c>
      <c r="S324" s="100" t="str">
        <f>IFERROR(Tablo5[[#This Row],[YOLLUK HARİÇ BASKI GRAMI]]/Tablo5[[#This Row],[KALIP GÖZ ADEDİ]]," ")</f>
        <v xml:space="preserve"> </v>
      </c>
      <c r="T324" s="100" t="str">
        <f t="shared" ref="T324:T387" si="37">IFERROR(Q324-R324," ")</f>
        <v xml:space="preserve"> </v>
      </c>
      <c r="U324" s="100"/>
      <c r="V324" s="100" t="str">
        <f t="shared" si="36"/>
        <v xml:space="preserve"> </v>
      </c>
      <c r="W324" s="101">
        <f t="shared" ref="W324:W387" si="38">IFERROR(24-(E324-F324)," ")</f>
        <v>24</v>
      </c>
      <c r="X324" s="102">
        <f t="shared" ref="X324:X387" si="39">IFERROR((W324-INT(W324))*24," ")</f>
        <v>0</v>
      </c>
      <c r="Y324" s="100" t="str">
        <f t="shared" ref="Y324:Y387" si="40">IFERROR(H324*I324/3600," ")</f>
        <v xml:space="preserve"> </v>
      </c>
      <c r="Z324" s="100" t="str">
        <f t="shared" ref="Z324:Z387" si="41">IFERROR(I324*G324," " )</f>
        <v xml:space="preserve"> </v>
      </c>
    </row>
    <row r="325" spans="1:26">
      <c r="A325" s="100"/>
      <c r="B325" s="108" t="str">
        <f>IFERROR(VLOOKUP(Tablo5[[#This Row],[ÜRÜN KODU]],YMKODLARI!$A$1:$K$363,2,0)," ")</f>
        <v xml:space="preserve"> </v>
      </c>
      <c r="C325" s="99"/>
      <c r="D325" s="100"/>
      <c r="E325" s="101"/>
      <c r="F325" s="101"/>
      <c r="G325" s="100" t="str">
        <f>IFERROR(VLOOKUP(Tablo5[[#This Row],[ÜRÜN KODU]],YMKODLARI!$A$1:$K$363,3,0)," ")</f>
        <v xml:space="preserve"> </v>
      </c>
      <c r="H325" s="100" t="str">
        <f>IFERROR(VLOOKUP(Tablo5[[#This Row],[ÜRÜN KODU]],YMKODLARI!$A$1:$K$363,4,0)," ")</f>
        <v xml:space="preserve"> </v>
      </c>
      <c r="I325" s="100"/>
      <c r="J325" s="100" t="str">
        <f>IFERROR(VLOOKUP(Tablo5[[#This Row],[ÜRÜN KODU]],YMKODLARI!$A$1:$K$363,9,0)," ")</f>
        <v xml:space="preserve"> </v>
      </c>
      <c r="K325" s="100" t="str">
        <f>IFERROR(VLOOKUP(Tablo5[[#This Row],[BOYA KODU]],Tablo14[#All],4,0)," ")</f>
        <v xml:space="preserve"> </v>
      </c>
      <c r="L325" s="100" t="str">
        <f>IFERROR(VLOOKUP(Tablo5[[#This Row],[BOYA KODU]],Tablo14[#All],6,0)," ")</f>
        <v xml:space="preserve"> </v>
      </c>
      <c r="M325" s="100" t="str">
        <f t="shared" si="35"/>
        <v xml:space="preserve"> </v>
      </c>
      <c r="N325" s="100" t="str">
        <f>IFERROR(VLOOKUP(Tablo5[[#This Row],[ÜRÜN KODU]],YMKODLARI!$A$1:$K$363,8,0)," ")</f>
        <v xml:space="preserve"> </v>
      </c>
      <c r="O325" s="100" t="str">
        <f>IFERROR(VLOOKUP(Tablo5[[#This Row],[HAMMADDE KODU]],Tablo1[#All],3,0)," ")</f>
        <v xml:space="preserve"> </v>
      </c>
      <c r="P325" s="100" t="str">
        <f>IFERROR(VLOOKUP(Tablo5[[#This Row],[HAMMADDE KODU]],Tablo1[#All],4,0)," ")</f>
        <v xml:space="preserve"> </v>
      </c>
      <c r="Q325" s="100" t="str">
        <f>IFERROR(VLOOKUP(Tablo5[[#This Row],[ÜRÜN KODU]],YMKODLARI!$A$1:$K$363,5,0)," ")</f>
        <v xml:space="preserve"> </v>
      </c>
      <c r="R325" s="100" t="str">
        <f>IFERROR(VLOOKUP(Tablo5[[#This Row],[ÜRÜN KODU]],YMKODLARI!$A$1:$K$363,6,0)," ")</f>
        <v xml:space="preserve"> </v>
      </c>
      <c r="S325" s="100" t="str">
        <f>IFERROR(Tablo5[[#This Row],[YOLLUK HARİÇ BASKI GRAMI]]/Tablo5[[#This Row],[KALIP GÖZ ADEDİ]]," ")</f>
        <v xml:space="preserve"> </v>
      </c>
      <c r="T325" s="100" t="str">
        <f t="shared" si="37"/>
        <v xml:space="preserve"> </v>
      </c>
      <c r="U325" s="100"/>
      <c r="V325" s="100" t="str">
        <f t="shared" si="36"/>
        <v xml:space="preserve"> </v>
      </c>
      <c r="W325" s="101">
        <f t="shared" si="38"/>
        <v>24</v>
      </c>
      <c r="X325" s="102">
        <f t="shared" si="39"/>
        <v>0</v>
      </c>
      <c r="Y325" s="100" t="str">
        <f t="shared" si="40"/>
        <v xml:space="preserve"> </v>
      </c>
      <c r="Z325" s="100" t="str">
        <f t="shared" si="41"/>
        <v xml:space="preserve"> </v>
      </c>
    </row>
    <row r="326" spans="1:26">
      <c r="A326" s="100"/>
      <c r="B326" s="108" t="str">
        <f>IFERROR(VLOOKUP(Tablo5[[#This Row],[ÜRÜN KODU]],YMKODLARI!$A$1:$K$363,2,0)," ")</f>
        <v xml:space="preserve"> </v>
      </c>
      <c r="C326" s="99"/>
      <c r="D326" s="100"/>
      <c r="E326" s="101"/>
      <c r="F326" s="101"/>
      <c r="G326" s="100" t="str">
        <f>IFERROR(VLOOKUP(Tablo5[[#This Row],[ÜRÜN KODU]],YMKODLARI!$A$1:$K$363,3,0)," ")</f>
        <v xml:space="preserve"> </v>
      </c>
      <c r="H326" s="100" t="str">
        <f>IFERROR(VLOOKUP(Tablo5[[#This Row],[ÜRÜN KODU]],YMKODLARI!$A$1:$K$363,4,0)," ")</f>
        <v xml:space="preserve"> </v>
      </c>
      <c r="I326" s="100"/>
      <c r="J326" s="100" t="str">
        <f>IFERROR(VLOOKUP(Tablo5[[#This Row],[ÜRÜN KODU]],YMKODLARI!$A$1:$K$363,9,0)," ")</f>
        <v xml:space="preserve"> </v>
      </c>
      <c r="K326" s="100" t="str">
        <f>IFERROR(VLOOKUP(Tablo5[[#This Row],[BOYA KODU]],Tablo14[#All],4,0)," ")</f>
        <v xml:space="preserve"> </v>
      </c>
      <c r="L326" s="100" t="str">
        <f>IFERROR(VLOOKUP(Tablo5[[#This Row],[BOYA KODU]],Tablo14[#All],6,0)," ")</f>
        <v xml:space="preserve"> </v>
      </c>
      <c r="M326" s="100" t="str">
        <f t="shared" si="35"/>
        <v xml:space="preserve"> </v>
      </c>
      <c r="N326" s="100" t="str">
        <f>IFERROR(VLOOKUP(Tablo5[[#This Row],[ÜRÜN KODU]],YMKODLARI!$A$1:$K$363,8,0)," ")</f>
        <v xml:space="preserve"> </v>
      </c>
      <c r="O326" s="100" t="str">
        <f>IFERROR(VLOOKUP(Tablo5[[#This Row],[HAMMADDE KODU]],Tablo1[#All],3,0)," ")</f>
        <v xml:space="preserve"> </v>
      </c>
      <c r="P326" s="100" t="str">
        <f>IFERROR(VLOOKUP(Tablo5[[#This Row],[HAMMADDE KODU]],Tablo1[#All],4,0)," ")</f>
        <v xml:space="preserve"> </v>
      </c>
      <c r="Q326" s="100" t="str">
        <f>IFERROR(VLOOKUP(Tablo5[[#This Row],[ÜRÜN KODU]],YMKODLARI!$A$1:$K$363,5,0)," ")</f>
        <v xml:space="preserve"> </v>
      </c>
      <c r="R326" s="100" t="str">
        <f>IFERROR(VLOOKUP(Tablo5[[#This Row],[ÜRÜN KODU]],YMKODLARI!$A$1:$K$363,6,0)," ")</f>
        <v xml:space="preserve"> </v>
      </c>
      <c r="S326" s="100" t="str">
        <f>IFERROR(Tablo5[[#This Row],[YOLLUK HARİÇ BASKI GRAMI]]/Tablo5[[#This Row],[KALIP GÖZ ADEDİ]]," ")</f>
        <v xml:space="preserve"> </v>
      </c>
      <c r="T326" s="100" t="str">
        <f t="shared" si="37"/>
        <v xml:space="preserve"> </v>
      </c>
      <c r="U326" s="100"/>
      <c r="V326" s="100" t="str">
        <f t="shared" si="36"/>
        <v xml:space="preserve"> </v>
      </c>
      <c r="W326" s="101">
        <f t="shared" si="38"/>
        <v>24</v>
      </c>
      <c r="X326" s="102">
        <f t="shared" si="39"/>
        <v>0</v>
      </c>
      <c r="Y326" s="100" t="str">
        <f t="shared" si="40"/>
        <v xml:space="preserve"> </v>
      </c>
      <c r="Z326" s="100" t="str">
        <f t="shared" si="41"/>
        <v xml:space="preserve"> </v>
      </c>
    </row>
    <row r="327" spans="1:26">
      <c r="A327" s="100"/>
      <c r="B327" s="108" t="str">
        <f>IFERROR(VLOOKUP(Tablo5[[#This Row],[ÜRÜN KODU]],YMKODLARI!$A$1:$K$363,2,0)," ")</f>
        <v xml:space="preserve"> </v>
      </c>
      <c r="C327" s="99"/>
      <c r="D327" s="100"/>
      <c r="E327" s="101"/>
      <c r="F327" s="101"/>
      <c r="G327" s="100" t="str">
        <f>IFERROR(VLOOKUP(Tablo5[[#This Row],[ÜRÜN KODU]],YMKODLARI!$A$1:$K$363,3,0)," ")</f>
        <v xml:space="preserve"> </v>
      </c>
      <c r="H327" s="100" t="str">
        <f>IFERROR(VLOOKUP(Tablo5[[#This Row],[ÜRÜN KODU]],YMKODLARI!$A$1:$K$363,4,0)," ")</f>
        <v xml:space="preserve"> </v>
      </c>
      <c r="I327" s="100"/>
      <c r="J327" s="100" t="str">
        <f>IFERROR(VLOOKUP(Tablo5[[#This Row],[ÜRÜN KODU]],YMKODLARI!$A$1:$K$363,9,0)," ")</f>
        <v xml:space="preserve"> </v>
      </c>
      <c r="K327" s="100" t="str">
        <f>IFERROR(VLOOKUP(Tablo5[[#This Row],[BOYA KODU]],Tablo14[#All],4,0)," ")</f>
        <v xml:space="preserve"> </v>
      </c>
      <c r="L327" s="100" t="str">
        <f>IFERROR(VLOOKUP(Tablo5[[#This Row],[BOYA KODU]],Tablo14[#All],6,0)," ")</f>
        <v xml:space="preserve"> </v>
      </c>
      <c r="M327" s="100" t="str">
        <f t="shared" si="35"/>
        <v xml:space="preserve"> </v>
      </c>
      <c r="N327" s="100" t="str">
        <f>IFERROR(VLOOKUP(Tablo5[[#This Row],[ÜRÜN KODU]],YMKODLARI!$A$1:$K$363,8,0)," ")</f>
        <v xml:space="preserve"> </v>
      </c>
      <c r="O327" s="100" t="str">
        <f>IFERROR(VLOOKUP(Tablo5[[#This Row],[HAMMADDE KODU]],Tablo1[#All],3,0)," ")</f>
        <v xml:space="preserve"> </v>
      </c>
      <c r="P327" s="100" t="str">
        <f>IFERROR(VLOOKUP(Tablo5[[#This Row],[HAMMADDE KODU]],Tablo1[#All],4,0)," ")</f>
        <v xml:space="preserve"> </v>
      </c>
      <c r="Q327" s="100" t="str">
        <f>IFERROR(VLOOKUP(Tablo5[[#This Row],[ÜRÜN KODU]],YMKODLARI!$A$1:$K$363,5,0)," ")</f>
        <v xml:space="preserve"> </v>
      </c>
      <c r="R327" s="100" t="str">
        <f>IFERROR(VLOOKUP(Tablo5[[#This Row],[ÜRÜN KODU]],YMKODLARI!$A$1:$K$363,6,0)," ")</f>
        <v xml:space="preserve"> </v>
      </c>
      <c r="S327" s="100" t="str">
        <f>IFERROR(Tablo5[[#This Row],[YOLLUK HARİÇ BASKI GRAMI]]/Tablo5[[#This Row],[KALIP GÖZ ADEDİ]]," ")</f>
        <v xml:space="preserve"> </v>
      </c>
      <c r="T327" s="100" t="str">
        <f t="shared" si="37"/>
        <v xml:space="preserve"> </v>
      </c>
      <c r="U327" s="100"/>
      <c r="V327" s="100" t="str">
        <f t="shared" si="36"/>
        <v xml:space="preserve"> </v>
      </c>
      <c r="W327" s="101">
        <f t="shared" si="38"/>
        <v>24</v>
      </c>
      <c r="X327" s="102">
        <f t="shared" si="39"/>
        <v>0</v>
      </c>
      <c r="Y327" s="100" t="str">
        <f t="shared" si="40"/>
        <v xml:space="preserve"> </v>
      </c>
      <c r="Z327" s="100" t="str">
        <f t="shared" si="41"/>
        <v xml:space="preserve"> </v>
      </c>
    </row>
    <row r="328" spans="1:26">
      <c r="A328" s="100"/>
      <c r="B328" s="108" t="str">
        <f>IFERROR(VLOOKUP(Tablo5[[#This Row],[ÜRÜN KODU]],YMKODLARI!$A$1:$K$363,2,0)," ")</f>
        <v xml:space="preserve"> </v>
      </c>
      <c r="C328" s="99"/>
      <c r="D328" s="100"/>
      <c r="E328" s="101"/>
      <c r="F328" s="101"/>
      <c r="G328" s="100" t="str">
        <f>IFERROR(VLOOKUP(Tablo5[[#This Row],[ÜRÜN KODU]],YMKODLARI!$A$1:$K$363,3,0)," ")</f>
        <v xml:space="preserve"> </v>
      </c>
      <c r="H328" s="100" t="str">
        <f>IFERROR(VLOOKUP(Tablo5[[#This Row],[ÜRÜN KODU]],YMKODLARI!$A$1:$K$363,4,0)," ")</f>
        <v xml:space="preserve"> </v>
      </c>
      <c r="I328" s="100"/>
      <c r="J328" s="100" t="str">
        <f>IFERROR(VLOOKUP(Tablo5[[#This Row],[ÜRÜN KODU]],YMKODLARI!$A$1:$K$363,9,0)," ")</f>
        <v xml:space="preserve"> </v>
      </c>
      <c r="K328" s="100" t="str">
        <f>IFERROR(VLOOKUP(Tablo5[[#This Row],[BOYA KODU]],Tablo14[#All],4,0)," ")</f>
        <v xml:space="preserve"> </v>
      </c>
      <c r="L328" s="100" t="str">
        <f>IFERROR(VLOOKUP(Tablo5[[#This Row],[BOYA KODU]],Tablo14[#All],6,0)," ")</f>
        <v xml:space="preserve"> </v>
      </c>
      <c r="M328" s="100" t="str">
        <f t="shared" si="35"/>
        <v xml:space="preserve"> </v>
      </c>
      <c r="N328" s="100" t="str">
        <f>IFERROR(VLOOKUP(Tablo5[[#This Row],[ÜRÜN KODU]],YMKODLARI!$A$1:$K$363,8,0)," ")</f>
        <v xml:space="preserve"> </v>
      </c>
      <c r="O328" s="100" t="str">
        <f>IFERROR(VLOOKUP(Tablo5[[#This Row],[HAMMADDE KODU]],Tablo1[#All],3,0)," ")</f>
        <v xml:space="preserve"> </v>
      </c>
      <c r="P328" s="100" t="str">
        <f>IFERROR(VLOOKUP(Tablo5[[#This Row],[HAMMADDE KODU]],Tablo1[#All],4,0)," ")</f>
        <v xml:space="preserve"> </v>
      </c>
      <c r="Q328" s="100" t="str">
        <f>IFERROR(VLOOKUP(Tablo5[[#This Row],[ÜRÜN KODU]],YMKODLARI!$A$1:$K$363,5,0)," ")</f>
        <v xml:space="preserve"> </v>
      </c>
      <c r="R328" s="100" t="str">
        <f>IFERROR(VLOOKUP(Tablo5[[#This Row],[ÜRÜN KODU]],YMKODLARI!$A$1:$K$363,6,0)," ")</f>
        <v xml:space="preserve"> </v>
      </c>
      <c r="S328" s="100" t="str">
        <f>IFERROR(Tablo5[[#This Row],[YOLLUK HARİÇ BASKI GRAMI]]/Tablo5[[#This Row],[KALIP GÖZ ADEDİ]]," ")</f>
        <v xml:space="preserve"> </v>
      </c>
      <c r="T328" s="100" t="str">
        <f t="shared" si="37"/>
        <v xml:space="preserve"> </v>
      </c>
      <c r="U328" s="100"/>
      <c r="V328" s="100" t="str">
        <f t="shared" si="36"/>
        <v xml:space="preserve"> </v>
      </c>
      <c r="W328" s="101">
        <f t="shared" si="38"/>
        <v>24</v>
      </c>
      <c r="X328" s="102">
        <f t="shared" si="39"/>
        <v>0</v>
      </c>
      <c r="Y328" s="100" t="str">
        <f t="shared" si="40"/>
        <v xml:space="preserve"> </v>
      </c>
      <c r="Z328" s="100" t="str">
        <f t="shared" si="41"/>
        <v xml:space="preserve"> </v>
      </c>
    </row>
    <row r="329" spans="1:26">
      <c r="A329" s="100"/>
      <c r="B329" s="108" t="str">
        <f>IFERROR(VLOOKUP(Tablo5[[#This Row],[ÜRÜN KODU]],YMKODLARI!$A$1:$K$363,2,0)," ")</f>
        <v xml:space="preserve"> </v>
      </c>
      <c r="C329" s="99"/>
      <c r="D329" s="100"/>
      <c r="E329" s="101"/>
      <c r="F329" s="101"/>
      <c r="G329" s="100" t="str">
        <f>IFERROR(VLOOKUP(Tablo5[[#This Row],[ÜRÜN KODU]],YMKODLARI!$A$1:$K$363,3,0)," ")</f>
        <v xml:space="preserve"> </v>
      </c>
      <c r="H329" s="100" t="str">
        <f>IFERROR(VLOOKUP(Tablo5[[#This Row],[ÜRÜN KODU]],YMKODLARI!$A$1:$K$363,4,0)," ")</f>
        <v xml:space="preserve"> </v>
      </c>
      <c r="I329" s="100"/>
      <c r="J329" s="100" t="str">
        <f>IFERROR(VLOOKUP(Tablo5[[#This Row],[ÜRÜN KODU]],YMKODLARI!$A$1:$K$363,9,0)," ")</f>
        <v xml:space="preserve"> </v>
      </c>
      <c r="K329" s="100" t="str">
        <f>IFERROR(VLOOKUP(Tablo5[[#This Row],[BOYA KODU]],Tablo14[#All],4,0)," ")</f>
        <v xml:space="preserve"> </v>
      </c>
      <c r="L329" s="100" t="str">
        <f>IFERROR(VLOOKUP(Tablo5[[#This Row],[BOYA KODU]],Tablo14[#All],6,0)," ")</f>
        <v xml:space="preserve"> </v>
      </c>
      <c r="M329" s="100" t="str">
        <f t="shared" si="35"/>
        <v xml:space="preserve"> </v>
      </c>
      <c r="N329" s="100" t="str">
        <f>IFERROR(VLOOKUP(Tablo5[[#This Row],[ÜRÜN KODU]],YMKODLARI!$A$1:$K$363,8,0)," ")</f>
        <v xml:space="preserve"> </v>
      </c>
      <c r="O329" s="100" t="str">
        <f>IFERROR(VLOOKUP(Tablo5[[#This Row],[HAMMADDE KODU]],Tablo1[#All],3,0)," ")</f>
        <v xml:space="preserve"> </v>
      </c>
      <c r="P329" s="100" t="str">
        <f>IFERROR(VLOOKUP(Tablo5[[#This Row],[HAMMADDE KODU]],Tablo1[#All],4,0)," ")</f>
        <v xml:space="preserve"> </v>
      </c>
      <c r="Q329" s="100" t="str">
        <f>IFERROR(VLOOKUP(Tablo5[[#This Row],[ÜRÜN KODU]],YMKODLARI!$A$1:$K$363,5,0)," ")</f>
        <v xml:space="preserve"> </v>
      </c>
      <c r="R329" s="100" t="str">
        <f>IFERROR(VLOOKUP(Tablo5[[#This Row],[ÜRÜN KODU]],YMKODLARI!$A$1:$K$363,6,0)," ")</f>
        <v xml:space="preserve"> </v>
      </c>
      <c r="S329" s="100" t="str">
        <f>IFERROR(Tablo5[[#This Row],[YOLLUK HARİÇ BASKI GRAMI]]/Tablo5[[#This Row],[KALIP GÖZ ADEDİ]]," ")</f>
        <v xml:space="preserve"> </v>
      </c>
      <c r="T329" s="100" t="str">
        <f t="shared" si="37"/>
        <v xml:space="preserve"> </v>
      </c>
      <c r="U329" s="100"/>
      <c r="V329" s="100" t="str">
        <f t="shared" si="36"/>
        <v xml:space="preserve"> </v>
      </c>
      <c r="W329" s="101">
        <f t="shared" si="38"/>
        <v>24</v>
      </c>
      <c r="X329" s="102">
        <f t="shared" si="39"/>
        <v>0</v>
      </c>
      <c r="Y329" s="100" t="str">
        <f t="shared" si="40"/>
        <v xml:space="preserve"> </v>
      </c>
      <c r="Z329" s="100" t="str">
        <f t="shared" si="41"/>
        <v xml:space="preserve"> </v>
      </c>
    </row>
    <row r="330" spans="1:26">
      <c r="A330" s="100"/>
      <c r="B330" s="108" t="str">
        <f>IFERROR(VLOOKUP(Tablo5[[#This Row],[ÜRÜN KODU]],YMKODLARI!$A$1:$K$363,2,0)," ")</f>
        <v xml:space="preserve"> </v>
      </c>
      <c r="C330" s="99"/>
      <c r="D330" s="100"/>
      <c r="E330" s="101"/>
      <c r="F330" s="101"/>
      <c r="G330" s="100" t="str">
        <f>IFERROR(VLOOKUP(Tablo5[[#This Row],[ÜRÜN KODU]],YMKODLARI!$A$1:$K$363,3,0)," ")</f>
        <v xml:space="preserve"> </v>
      </c>
      <c r="H330" s="100" t="str">
        <f>IFERROR(VLOOKUP(Tablo5[[#This Row],[ÜRÜN KODU]],YMKODLARI!$A$1:$K$363,4,0)," ")</f>
        <v xml:space="preserve"> </v>
      </c>
      <c r="I330" s="100"/>
      <c r="J330" s="100" t="str">
        <f>IFERROR(VLOOKUP(Tablo5[[#This Row],[ÜRÜN KODU]],YMKODLARI!$A$1:$K$363,9,0)," ")</f>
        <v xml:space="preserve"> </v>
      </c>
      <c r="K330" s="100" t="str">
        <f>IFERROR(VLOOKUP(Tablo5[[#This Row],[BOYA KODU]],Tablo14[#All],4,0)," ")</f>
        <v xml:space="preserve"> </v>
      </c>
      <c r="L330" s="100" t="str">
        <f>IFERROR(VLOOKUP(Tablo5[[#This Row],[BOYA KODU]],Tablo14[#All],6,0)," ")</f>
        <v xml:space="preserve"> </v>
      </c>
      <c r="M330" s="100" t="str">
        <f t="shared" si="35"/>
        <v xml:space="preserve"> </v>
      </c>
      <c r="N330" s="100" t="str">
        <f>IFERROR(VLOOKUP(Tablo5[[#This Row],[ÜRÜN KODU]],YMKODLARI!$A$1:$K$363,8,0)," ")</f>
        <v xml:space="preserve"> </v>
      </c>
      <c r="O330" s="100" t="str">
        <f>IFERROR(VLOOKUP(Tablo5[[#This Row],[HAMMADDE KODU]],Tablo1[#All],3,0)," ")</f>
        <v xml:space="preserve"> </v>
      </c>
      <c r="P330" s="100" t="str">
        <f>IFERROR(VLOOKUP(Tablo5[[#This Row],[HAMMADDE KODU]],Tablo1[#All],4,0)," ")</f>
        <v xml:space="preserve"> </v>
      </c>
      <c r="Q330" s="100" t="str">
        <f>IFERROR(VLOOKUP(Tablo5[[#This Row],[ÜRÜN KODU]],YMKODLARI!$A$1:$K$363,5,0)," ")</f>
        <v xml:space="preserve"> </v>
      </c>
      <c r="R330" s="100" t="str">
        <f>IFERROR(VLOOKUP(Tablo5[[#This Row],[ÜRÜN KODU]],YMKODLARI!$A$1:$K$363,6,0)," ")</f>
        <v xml:space="preserve"> </v>
      </c>
      <c r="S330" s="100" t="str">
        <f>IFERROR(Tablo5[[#This Row],[YOLLUK HARİÇ BASKI GRAMI]]/Tablo5[[#This Row],[KALIP GÖZ ADEDİ]]," ")</f>
        <v xml:space="preserve"> </v>
      </c>
      <c r="T330" s="100" t="str">
        <f t="shared" si="37"/>
        <v xml:space="preserve"> </v>
      </c>
      <c r="U330" s="100"/>
      <c r="V330" s="100" t="str">
        <f t="shared" si="36"/>
        <v xml:space="preserve"> </v>
      </c>
      <c r="W330" s="101">
        <f t="shared" si="38"/>
        <v>24</v>
      </c>
      <c r="X330" s="102">
        <f t="shared" si="39"/>
        <v>0</v>
      </c>
      <c r="Y330" s="100" t="str">
        <f t="shared" si="40"/>
        <v xml:space="preserve"> </v>
      </c>
      <c r="Z330" s="100" t="str">
        <f t="shared" si="41"/>
        <v xml:space="preserve"> </v>
      </c>
    </row>
    <row r="331" spans="1:26">
      <c r="A331" s="100"/>
      <c r="B331" s="108" t="str">
        <f>IFERROR(VLOOKUP(Tablo5[[#This Row],[ÜRÜN KODU]],YMKODLARI!$A$1:$K$363,2,0)," ")</f>
        <v xml:space="preserve"> </v>
      </c>
      <c r="C331" s="99"/>
      <c r="D331" s="100"/>
      <c r="E331" s="101"/>
      <c r="F331" s="101"/>
      <c r="G331" s="100" t="str">
        <f>IFERROR(VLOOKUP(Tablo5[[#This Row],[ÜRÜN KODU]],YMKODLARI!$A$1:$K$363,3,0)," ")</f>
        <v xml:space="preserve"> </v>
      </c>
      <c r="H331" s="100" t="str">
        <f>IFERROR(VLOOKUP(Tablo5[[#This Row],[ÜRÜN KODU]],YMKODLARI!$A$1:$K$363,4,0)," ")</f>
        <v xml:space="preserve"> </v>
      </c>
      <c r="I331" s="100"/>
      <c r="J331" s="100" t="str">
        <f>IFERROR(VLOOKUP(Tablo5[[#This Row],[ÜRÜN KODU]],YMKODLARI!$A$1:$K$363,9,0)," ")</f>
        <v xml:space="preserve"> </v>
      </c>
      <c r="K331" s="100" t="str">
        <f>IFERROR(VLOOKUP(Tablo5[[#This Row],[BOYA KODU]],Tablo14[#All],4,0)," ")</f>
        <v xml:space="preserve"> </v>
      </c>
      <c r="L331" s="100" t="str">
        <f>IFERROR(VLOOKUP(Tablo5[[#This Row],[BOYA KODU]],Tablo14[#All],6,0)," ")</f>
        <v xml:space="preserve"> </v>
      </c>
      <c r="M331" s="100" t="str">
        <f t="shared" si="35"/>
        <v xml:space="preserve"> </v>
      </c>
      <c r="N331" s="100" t="str">
        <f>IFERROR(VLOOKUP(Tablo5[[#This Row],[ÜRÜN KODU]],YMKODLARI!$A$1:$K$363,8,0)," ")</f>
        <v xml:space="preserve"> </v>
      </c>
      <c r="O331" s="100" t="str">
        <f>IFERROR(VLOOKUP(Tablo5[[#This Row],[HAMMADDE KODU]],Tablo1[#All],3,0)," ")</f>
        <v xml:space="preserve"> </v>
      </c>
      <c r="P331" s="100" t="str">
        <f>IFERROR(VLOOKUP(Tablo5[[#This Row],[HAMMADDE KODU]],Tablo1[#All],4,0)," ")</f>
        <v xml:space="preserve"> </v>
      </c>
      <c r="Q331" s="100" t="str">
        <f>IFERROR(VLOOKUP(Tablo5[[#This Row],[ÜRÜN KODU]],YMKODLARI!$A$1:$K$363,5,0)," ")</f>
        <v xml:space="preserve"> </v>
      </c>
      <c r="R331" s="100" t="str">
        <f>IFERROR(VLOOKUP(Tablo5[[#This Row],[ÜRÜN KODU]],YMKODLARI!$A$1:$K$363,6,0)," ")</f>
        <v xml:space="preserve"> </v>
      </c>
      <c r="S331" s="100" t="str">
        <f>IFERROR(Tablo5[[#This Row],[YOLLUK HARİÇ BASKI GRAMI]]/Tablo5[[#This Row],[KALIP GÖZ ADEDİ]]," ")</f>
        <v xml:space="preserve"> </v>
      </c>
      <c r="T331" s="100" t="str">
        <f t="shared" si="37"/>
        <v xml:space="preserve"> </v>
      </c>
      <c r="U331" s="100"/>
      <c r="V331" s="100" t="str">
        <f t="shared" si="36"/>
        <v xml:space="preserve"> </v>
      </c>
      <c r="W331" s="101">
        <f t="shared" si="38"/>
        <v>24</v>
      </c>
      <c r="X331" s="102">
        <f t="shared" si="39"/>
        <v>0</v>
      </c>
      <c r="Y331" s="100" t="str">
        <f t="shared" si="40"/>
        <v xml:space="preserve"> </v>
      </c>
      <c r="Z331" s="100" t="str">
        <f t="shared" si="41"/>
        <v xml:space="preserve"> </v>
      </c>
    </row>
    <row r="332" spans="1:26">
      <c r="A332" s="100"/>
      <c r="B332" s="108" t="str">
        <f>IFERROR(VLOOKUP(Tablo5[[#This Row],[ÜRÜN KODU]],YMKODLARI!$A$1:$K$363,2,0)," ")</f>
        <v xml:space="preserve"> </v>
      </c>
      <c r="C332" s="99"/>
      <c r="D332" s="100"/>
      <c r="E332" s="101"/>
      <c r="F332" s="101"/>
      <c r="G332" s="100" t="str">
        <f>IFERROR(VLOOKUP(Tablo5[[#This Row],[ÜRÜN KODU]],YMKODLARI!$A$1:$K$363,3,0)," ")</f>
        <v xml:space="preserve"> </v>
      </c>
      <c r="H332" s="100" t="str">
        <f>IFERROR(VLOOKUP(Tablo5[[#This Row],[ÜRÜN KODU]],YMKODLARI!$A$1:$K$363,4,0)," ")</f>
        <v xml:space="preserve"> </v>
      </c>
      <c r="I332" s="100"/>
      <c r="J332" s="100" t="str">
        <f>IFERROR(VLOOKUP(Tablo5[[#This Row],[ÜRÜN KODU]],YMKODLARI!$A$1:$K$363,9,0)," ")</f>
        <v xml:space="preserve"> </v>
      </c>
      <c r="K332" s="100" t="str">
        <f>IFERROR(VLOOKUP(Tablo5[[#This Row],[BOYA KODU]],Tablo14[#All],4,0)," ")</f>
        <v xml:space="preserve"> </v>
      </c>
      <c r="L332" s="100" t="str">
        <f>IFERROR(VLOOKUP(Tablo5[[#This Row],[BOYA KODU]],Tablo14[#All],6,0)," ")</f>
        <v xml:space="preserve"> </v>
      </c>
      <c r="M332" s="100" t="str">
        <f t="shared" si="35"/>
        <v xml:space="preserve"> </v>
      </c>
      <c r="N332" s="100" t="str">
        <f>IFERROR(VLOOKUP(Tablo5[[#This Row],[ÜRÜN KODU]],YMKODLARI!$A$1:$K$363,8,0)," ")</f>
        <v xml:space="preserve"> </v>
      </c>
      <c r="O332" s="100" t="str">
        <f>IFERROR(VLOOKUP(Tablo5[[#This Row],[HAMMADDE KODU]],Tablo1[#All],3,0)," ")</f>
        <v xml:space="preserve"> </v>
      </c>
      <c r="P332" s="100" t="str">
        <f>IFERROR(VLOOKUP(Tablo5[[#This Row],[HAMMADDE KODU]],Tablo1[#All],4,0)," ")</f>
        <v xml:space="preserve"> </v>
      </c>
      <c r="Q332" s="100" t="str">
        <f>IFERROR(VLOOKUP(Tablo5[[#This Row],[ÜRÜN KODU]],YMKODLARI!$A$1:$K$363,5,0)," ")</f>
        <v xml:space="preserve"> </v>
      </c>
      <c r="R332" s="100" t="str">
        <f>IFERROR(VLOOKUP(Tablo5[[#This Row],[ÜRÜN KODU]],YMKODLARI!$A$1:$K$363,6,0)," ")</f>
        <v xml:space="preserve"> </v>
      </c>
      <c r="S332" s="100" t="str">
        <f>IFERROR(Tablo5[[#This Row],[YOLLUK HARİÇ BASKI GRAMI]]/Tablo5[[#This Row],[KALIP GÖZ ADEDİ]]," ")</f>
        <v xml:space="preserve"> </v>
      </c>
      <c r="T332" s="100" t="str">
        <f t="shared" si="37"/>
        <v xml:space="preserve"> </v>
      </c>
      <c r="U332" s="100"/>
      <c r="V332" s="100" t="str">
        <f t="shared" si="36"/>
        <v xml:space="preserve"> </v>
      </c>
      <c r="W332" s="101">
        <f t="shared" si="38"/>
        <v>24</v>
      </c>
      <c r="X332" s="102">
        <f t="shared" si="39"/>
        <v>0</v>
      </c>
      <c r="Y332" s="100" t="str">
        <f t="shared" si="40"/>
        <v xml:space="preserve"> </v>
      </c>
      <c r="Z332" s="100" t="str">
        <f t="shared" si="41"/>
        <v xml:space="preserve"> </v>
      </c>
    </row>
    <row r="333" spans="1:26">
      <c r="A333" s="100"/>
      <c r="B333" s="108" t="str">
        <f>IFERROR(VLOOKUP(Tablo5[[#This Row],[ÜRÜN KODU]],YMKODLARI!$A$1:$K$363,2,0)," ")</f>
        <v xml:space="preserve"> </v>
      </c>
      <c r="C333" s="99"/>
      <c r="D333" s="100"/>
      <c r="E333" s="101"/>
      <c r="F333" s="101"/>
      <c r="G333" s="100" t="str">
        <f>IFERROR(VLOOKUP(Tablo5[[#This Row],[ÜRÜN KODU]],YMKODLARI!$A$1:$K$363,3,0)," ")</f>
        <v xml:space="preserve"> </v>
      </c>
      <c r="H333" s="100" t="str">
        <f>IFERROR(VLOOKUP(Tablo5[[#This Row],[ÜRÜN KODU]],YMKODLARI!$A$1:$K$363,4,0)," ")</f>
        <v xml:space="preserve"> </v>
      </c>
      <c r="I333" s="100"/>
      <c r="J333" s="100" t="str">
        <f>IFERROR(VLOOKUP(Tablo5[[#This Row],[ÜRÜN KODU]],YMKODLARI!$A$1:$K$363,9,0)," ")</f>
        <v xml:space="preserve"> </v>
      </c>
      <c r="K333" s="100" t="str">
        <f>IFERROR(VLOOKUP(Tablo5[[#This Row],[BOYA KODU]],Tablo14[#All],4,0)," ")</f>
        <v xml:space="preserve"> </v>
      </c>
      <c r="L333" s="100" t="str">
        <f>IFERROR(VLOOKUP(Tablo5[[#This Row],[BOYA KODU]],Tablo14[#All],6,0)," ")</f>
        <v xml:space="preserve"> </v>
      </c>
      <c r="M333" s="100" t="str">
        <f t="shared" si="35"/>
        <v xml:space="preserve"> </v>
      </c>
      <c r="N333" s="100" t="str">
        <f>IFERROR(VLOOKUP(Tablo5[[#This Row],[ÜRÜN KODU]],YMKODLARI!$A$1:$K$363,8,0)," ")</f>
        <v xml:space="preserve"> </v>
      </c>
      <c r="O333" s="100" t="str">
        <f>IFERROR(VLOOKUP(Tablo5[[#This Row],[HAMMADDE KODU]],Tablo1[#All],3,0)," ")</f>
        <v xml:space="preserve"> </v>
      </c>
      <c r="P333" s="100" t="str">
        <f>IFERROR(VLOOKUP(Tablo5[[#This Row],[HAMMADDE KODU]],Tablo1[#All],4,0)," ")</f>
        <v xml:space="preserve"> </v>
      </c>
      <c r="Q333" s="100" t="str">
        <f>IFERROR(VLOOKUP(Tablo5[[#This Row],[ÜRÜN KODU]],YMKODLARI!$A$1:$K$363,5,0)," ")</f>
        <v xml:space="preserve"> </v>
      </c>
      <c r="R333" s="100" t="str">
        <f>IFERROR(VLOOKUP(Tablo5[[#This Row],[ÜRÜN KODU]],YMKODLARI!$A$1:$K$363,6,0)," ")</f>
        <v xml:space="preserve"> </v>
      </c>
      <c r="S333" s="100" t="str">
        <f>IFERROR(Tablo5[[#This Row],[YOLLUK HARİÇ BASKI GRAMI]]/Tablo5[[#This Row],[KALIP GÖZ ADEDİ]]," ")</f>
        <v xml:space="preserve"> </v>
      </c>
      <c r="T333" s="100" t="str">
        <f t="shared" si="37"/>
        <v xml:space="preserve"> </v>
      </c>
      <c r="U333" s="100"/>
      <c r="V333" s="100" t="str">
        <f t="shared" si="36"/>
        <v xml:space="preserve"> </v>
      </c>
      <c r="W333" s="101">
        <f t="shared" si="38"/>
        <v>24</v>
      </c>
      <c r="X333" s="102">
        <f t="shared" si="39"/>
        <v>0</v>
      </c>
      <c r="Y333" s="100" t="str">
        <f t="shared" si="40"/>
        <v xml:space="preserve"> </v>
      </c>
      <c r="Z333" s="100" t="str">
        <f t="shared" si="41"/>
        <v xml:space="preserve"> </v>
      </c>
    </row>
    <row r="334" spans="1:26">
      <c r="A334" s="100"/>
      <c r="B334" s="108" t="str">
        <f>IFERROR(VLOOKUP(Tablo5[[#This Row],[ÜRÜN KODU]],YMKODLARI!$A$1:$K$363,2,0)," ")</f>
        <v xml:space="preserve"> </v>
      </c>
      <c r="C334" s="99"/>
      <c r="D334" s="100"/>
      <c r="E334" s="101"/>
      <c r="F334" s="101"/>
      <c r="G334" s="100" t="str">
        <f>IFERROR(VLOOKUP(Tablo5[[#This Row],[ÜRÜN KODU]],YMKODLARI!$A$1:$K$363,3,0)," ")</f>
        <v xml:space="preserve"> </v>
      </c>
      <c r="H334" s="100" t="str">
        <f>IFERROR(VLOOKUP(Tablo5[[#This Row],[ÜRÜN KODU]],YMKODLARI!$A$1:$K$363,4,0)," ")</f>
        <v xml:space="preserve"> </v>
      </c>
      <c r="I334" s="100"/>
      <c r="J334" s="100" t="str">
        <f>IFERROR(VLOOKUP(Tablo5[[#This Row],[ÜRÜN KODU]],YMKODLARI!$A$1:$K$363,9,0)," ")</f>
        <v xml:space="preserve"> </v>
      </c>
      <c r="K334" s="100" t="str">
        <f>IFERROR(VLOOKUP(Tablo5[[#This Row],[BOYA KODU]],Tablo14[#All],4,0)," ")</f>
        <v xml:space="preserve"> </v>
      </c>
      <c r="L334" s="100" t="str">
        <f>IFERROR(VLOOKUP(Tablo5[[#This Row],[BOYA KODU]],Tablo14[#All],6,0)," ")</f>
        <v xml:space="preserve"> </v>
      </c>
      <c r="M334" s="100" t="str">
        <f t="shared" si="35"/>
        <v xml:space="preserve"> </v>
      </c>
      <c r="N334" s="100" t="str">
        <f>IFERROR(VLOOKUP(Tablo5[[#This Row],[ÜRÜN KODU]],YMKODLARI!$A$1:$K$363,8,0)," ")</f>
        <v xml:space="preserve"> </v>
      </c>
      <c r="O334" s="100" t="str">
        <f>IFERROR(VLOOKUP(Tablo5[[#This Row],[HAMMADDE KODU]],Tablo1[#All],3,0)," ")</f>
        <v xml:space="preserve"> </v>
      </c>
      <c r="P334" s="100" t="str">
        <f>IFERROR(VLOOKUP(Tablo5[[#This Row],[HAMMADDE KODU]],Tablo1[#All],4,0)," ")</f>
        <v xml:space="preserve"> </v>
      </c>
      <c r="Q334" s="100" t="str">
        <f>IFERROR(VLOOKUP(Tablo5[[#This Row],[ÜRÜN KODU]],YMKODLARI!$A$1:$K$363,5,0)," ")</f>
        <v xml:space="preserve"> </v>
      </c>
      <c r="R334" s="100" t="str">
        <f>IFERROR(VLOOKUP(Tablo5[[#This Row],[ÜRÜN KODU]],YMKODLARI!$A$1:$K$363,6,0)," ")</f>
        <v xml:space="preserve"> </v>
      </c>
      <c r="S334" s="100" t="str">
        <f>IFERROR(Tablo5[[#This Row],[YOLLUK HARİÇ BASKI GRAMI]]/Tablo5[[#This Row],[KALIP GÖZ ADEDİ]]," ")</f>
        <v xml:space="preserve"> </v>
      </c>
      <c r="T334" s="100" t="str">
        <f t="shared" si="37"/>
        <v xml:space="preserve"> </v>
      </c>
      <c r="U334" s="100"/>
      <c r="V334" s="100" t="str">
        <f t="shared" si="36"/>
        <v xml:space="preserve"> </v>
      </c>
      <c r="W334" s="101">
        <f t="shared" si="38"/>
        <v>24</v>
      </c>
      <c r="X334" s="102">
        <f t="shared" si="39"/>
        <v>0</v>
      </c>
      <c r="Y334" s="100" t="str">
        <f t="shared" si="40"/>
        <v xml:space="preserve"> </v>
      </c>
      <c r="Z334" s="100" t="str">
        <f t="shared" si="41"/>
        <v xml:space="preserve"> </v>
      </c>
    </row>
    <row r="335" spans="1:26">
      <c r="A335" s="100"/>
      <c r="B335" s="108" t="str">
        <f>IFERROR(VLOOKUP(Tablo5[[#This Row],[ÜRÜN KODU]],YMKODLARI!$A$1:$K$363,2,0)," ")</f>
        <v xml:space="preserve"> </v>
      </c>
      <c r="C335" s="99"/>
      <c r="D335" s="100"/>
      <c r="E335" s="101"/>
      <c r="F335" s="101"/>
      <c r="G335" s="100" t="str">
        <f>IFERROR(VLOOKUP(Tablo5[[#This Row],[ÜRÜN KODU]],YMKODLARI!$A$1:$K$363,3,0)," ")</f>
        <v xml:space="preserve"> </v>
      </c>
      <c r="H335" s="100" t="str">
        <f>IFERROR(VLOOKUP(Tablo5[[#This Row],[ÜRÜN KODU]],YMKODLARI!$A$1:$K$363,4,0)," ")</f>
        <v xml:space="preserve"> </v>
      </c>
      <c r="I335" s="100"/>
      <c r="J335" s="100" t="str">
        <f>IFERROR(VLOOKUP(Tablo5[[#This Row],[ÜRÜN KODU]],YMKODLARI!$A$1:$K$363,9,0)," ")</f>
        <v xml:space="preserve"> </v>
      </c>
      <c r="K335" s="100" t="str">
        <f>IFERROR(VLOOKUP(Tablo5[[#This Row],[BOYA KODU]],Tablo14[#All],4,0)," ")</f>
        <v xml:space="preserve"> </v>
      </c>
      <c r="L335" s="100" t="str">
        <f>IFERROR(VLOOKUP(Tablo5[[#This Row],[BOYA KODU]],Tablo14[#All],6,0)," ")</f>
        <v xml:space="preserve"> </v>
      </c>
      <c r="M335" s="100" t="str">
        <f t="shared" si="35"/>
        <v xml:space="preserve"> </v>
      </c>
      <c r="N335" s="100" t="str">
        <f>IFERROR(VLOOKUP(Tablo5[[#This Row],[ÜRÜN KODU]],YMKODLARI!$A$1:$K$363,8,0)," ")</f>
        <v xml:space="preserve"> </v>
      </c>
      <c r="O335" s="100" t="str">
        <f>IFERROR(VLOOKUP(Tablo5[[#This Row],[HAMMADDE KODU]],Tablo1[#All],3,0)," ")</f>
        <v xml:space="preserve"> </v>
      </c>
      <c r="P335" s="100" t="str">
        <f>IFERROR(VLOOKUP(Tablo5[[#This Row],[HAMMADDE KODU]],Tablo1[#All],4,0)," ")</f>
        <v xml:space="preserve"> </v>
      </c>
      <c r="Q335" s="100" t="str">
        <f>IFERROR(VLOOKUP(Tablo5[[#This Row],[ÜRÜN KODU]],YMKODLARI!$A$1:$K$363,5,0)," ")</f>
        <v xml:space="preserve"> </v>
      </c>
      <c r="R335" s="100" t="str">
        <f>IFERROR(VLOOKUP(Tablo5[[#This Row],[ÜRÜN KODU]],YMKODLARI!$A$1:$K$363,6,0)," ")</f>
        <v xml:space="preserve"> </v>
      </c>
      <c r="S335" s="100" t="str">
        <f>IFERROR(Tablo5[[#This Row],[YOLLUK HARİÇ BASKI GRAMI]]/Tablo5[[#This Row],[KALIP GÖZ ADEDİ]]," ")</f>
        <v xml:space="preserve"> </v>
      </c>
      <c r="T335" s="100" t="str">
        <f t="shared" si="37"/>
        <v xml:space="preserve"> </v>
      </c>
      <c r="U335" s="100"/>
      <c r="V335" s="100" t="str">
        <f t="shared" si="36"/>
        <v xml:space="preserve"> </v>
      </c>
      <c r="W335" s="101">
        <f t="shared" si="38"/>
        <v>24</v>
      </c>
      <c r="X335" s="102">
        <f t="shared" si="39"/>
        <v>0</v>
      </c>
      <c r="Y335" s="100" t="str">
        <f t="shared" si="40"/>
        <v xml:space="preserve"> </v>
      </c>
      <c r="Z335" s="100" t="str">
        <f t="shared" si="41"/>
        <v xml:space="preserve"> </v>
      </c>
    </row>
    <row r="336" spans="1:26">
      <c r="A336" s="100"/>
      <c r="B336" s="108" t="str">
        <f>IFERROR(VLOOKUP(Tablo5[[#This Row],[ÜRÜN KODU]],YMKODLARI!$A$1:$K$363,2,0)," ")</f>
        <v xml:space="preserve"> </v>
      </c>
      <c r="C336" s="99"/>
      <c r="D336" s="100"/>
      <c r="E336" s="101"/>
      <c r="F336" s="101"/>
      <c r="G336" s="100" t="str">
        <f>IFERROR(VLOOKUP(Tablo5[[#This Row],[ÜRÜN KODU]],YMKODLARI!$A$1:$K$363,3,0)," ")</f>
        <v xml:space="preserve"> </v>
      </c>
      <c r="H336" s="100" t="str">
        <f>IFERROR(VLOOKUP(Tablo5[[#This Row],[ÜRÜN KODU]],YMKODLARI!$A$1:$K$363,4,0)," ")</f>
        <v xml:space="preserve"> </v>
      </c>
      <c r="I336" s="100"/>
      <c r="J336" s="100" t="str">
        <f>IFERROR(VLOOKUP(Tablo5[[#This Row],[ÜRÜN KODU]],YMKODLARI!$A$1:$K$363,9,0)," ")</f>
        <v xml:space="preserve"> </v>
      </c>
      <c r="K336" s="100" t="str">
        <f>IFERROR(VLOOKUP(Tablo5[[#This Row],[BOYA KODU]],Tablo14[#All],4,0)," ")</f>
        <v xml:space="preserve"> </v>
      </c>
      <c r="L336" s="100" t="str">
        <f>IFERROR(VLOOKUP(Tablo5[[#This Row],[BOYA KODU]],Tablo14[#All],6,0)," ")</f>
        <v xml:space="preserve"> </v>
      </c>
      <c r="M336" s="100" t="str">
        <f t="shared" si="35"/>
        <v xml:space="preserve"> </v>
      </c>
      <c r="N336" s="100" t="str">
        <f>IFERROR(VLOOKUP(Tablo5[[#This Row],[ÜRÜN KODU]],YMKODLARI!$A$1:$K$363,8,0)," ")</f>
        <v xml:space="preserve"> </v>
      </c>
      <c r="O336" s="100" t="str">
        <f>IFERROR(VLOOKUP(Tablo5[[#This Row],[HAMMADDE KODU]],Tablo1[#All],3,0)," ")</f>
        <v xml:space="preserve"> </v>
      </c>
      <c r="P336" s="100" t="str">
        <f>IFERROR(VLOOKUP(Tablo5[[#This Row],[HAMMADDE KODU]],Tablo1[#All],4,0)," ")</f>
        <v xml:space="preserve"> </v>
      </c>
      <c r="Q336" s="100" t="str">
        <f>IFERROR(VLOOKUP(Tablo5[[#This Row],[ÜRÜN KODU]],YMKODLARI!$A$1:$K$363,5,0)," ")</f>
        <v xml:space="preserve"> </v>
      </c>
      <c r="R336" s="100" t="str">
        <f>IFERROR(VLOOKUP(Tablo5[[#This Row],[ÜRÜN KODU]],YMKODLARI!$A$1:$K$363,6,0)," ")</f>
        <v xml:space="preserve"> </v>
      </c>
      <c r="S336" s="100" t="str">
        <f>IFERROR(Tablo5[[#This Row],[YOLLUK HARİÇ BASKI GRAMI]]/Tablo5[[#This Row],[KALIP GÖZ ADEDİ]]," ")</f>
        <v xml:space="preserve"> </v>
      </c>
      <c r="T336" s="100" t="str">
        <f t="shared" si="37"/>
        <v xml:space="preserve"> </v>
      </c>
      <c r="U336" s="100"/>
      <c r="V336" s="100" t="str">
        <f t="shared" si="36"/>
        <v xml:space="preserve"> </v>
      </c>
      <c r="W336" s="101">
        <f t="shared" si="38"/>
        <v>24</v>
      </c>
      <c r="X336" s="102">
        <f t="shared" si="39"/>
        <v>0</v>
      </c>
      <c r="Y336" s="100" t="str">
        <f t="shared" si="40"/>
        <v xml:space="preserve"> </v>
      </c>
      <c r="Z336" s="100" t="str">
        <f t="shared" si="41"/>
        <v xml:space="preserve"> </v>
      </c>
    </row>
    <row r="337" spans="1:26">
      <c r="A337" s="100"/>
      <c r="B337" s="108" t="str">
        <f>IFERROR(VLOOKUP(Tablo5[[#This Row],[ÜRÜN KODU]],YMKODLARI!$A$1:$K$363,2,0)," ")</f>
        <v xml:space="preserve"> </v>
      </c>
      <c r="C337" s="99"/>
      <c r="D337" s="100"/>
      <c r="E337" s="101"/>
      <c r="F337" s="101"/>
      <c r="G337" s="100" t="str">
        <f>IFERROR(VLOOKUP(Tablo5[[#This Row],[ÜRÜN KODU]],YMKODLARI!$A$1:$K$363,3,0)," ")</f>
        <v xml:space="preserve"> </v>
      </c>
      <c r="H337" s="100" t="str">
        <f>IFERROR(VLOOKUP(Tablo5[[#This Row],[ÜRÜN KODU]],YMKODLARI!$A$1:$K$363,4,0)," ")</f>
        <v xml:space="preserve"> </v>
      </c>
      <c r="I337" s="100"/>
      <c r="J337" s="100" t="str">
        <f>IFERROR(VLOOKUP(Tablo5[[#This Row],[ÜRÜN KODU]],YMKODLARI!$A$1:$K$363,9,0)," ")</f>
        <v xml:space="preserve"> </v>
      </c>
      <c r="K337" s="100" t="str">
        <f>IFERROR(VLOOKUP(Tablo5[[#This Row],[BOYA KODU]],Tablo14[#All],4,0)," ")</f>
        <v xml:space="preserve"> </v>
      </c>
      <c r="L337" s="100" t="str">
        <f>IFERROR(VLOOKUP(Tablo5[[#This Row],[BOYA KODU]],Tablo14[#All],6,0)," ")</f>
        <v xml:space="preserve"> </v>
      </c>
      <c r="M337" s="100" t="str">
        <f t="shared" si="35"/>
        <v xml:space="preserve"> </v>
      </c>
      <c r="N337" s="100" t="str">
        <f>IFERROR(VLOOKUP(Tablo5[[#This Row],[ÜRÜN KODU]],YMKODLARI!$A$1:$K$363,8,0)," ")</f>
        <v xml:space="preserve"> </v>
      </c>
      <c r="O337" s="100" t="str">
        <f>IFERROR(VLOOKUP(Tablo5[[#This Row],[HAMMADDE KODU]],Tablo1[#All],3,0)," ")</f>
        <v xml:space="preserve"> </v>
      </c>
      <c r="P337" s="100" t="str">
        <f>IFERROR(VLOOKUP(Tablo5[[#This Row],[HAMMADDE KODU]],Tablo1[#All],4,0)," ")</f>
        <v xml:space="preserve"> </v>
      </c>
      <c r="Q337" s="100" t="str">
        <f>IFERROR(VLOOKUP(Tablo5[[#This Row],[ÜRÜN KODU]],YMKODLARI!$A$1:$K$363,5,0)," ")</f>
        <v xml:space="preserve"> </v>
      </c>
      <c r="R337" s="100" t="str">
        <f>IFERROR(VLOOKUP(Tablo5[[#This Row],[ÜRÜN KODU]],YMKODLARI!$A$1:$K$363,6,0)," ")</f>
        <v xml:space="preserve"> </v>
      </c>
      <c r="S337" s="100" t="str">
        <f>IFERROR(Tablo5[[#This Row],[YOLLUK HARİÇ BASKI GRAMI]]/Tablo5[[#This Row],[KALIP GÖZ ADEDİ]]," ")</f>
        <v xml:space="preserve"> </v>
      </c>
      <c r="T337" s="100" t="str">
        <f t="shared" si="37"/>
        <v xml:space="preserve"> </v>
      </c>
      <c r="U337" s="100"/>
      <c r="V337" s="100" t="str">
        <f t="shared" si="36"/>
        <v xml:space="preserve"> </v>
      </c>
      <c r="W337" s="101">
        <f t="shared" si="38"/>
        <v>24</v>
      </c>
      <c r="X337" s="102">
        <f t="shared" si="39"/>
        <v>0</v>
      </c>
      <c r="Y337" s="100" t="str">
        <f t="shared" si="40"/>
        <v xml:space="preserve"> </v>
      </c>
      <c r="Z337" s="100" t="str">
        <f t="shared" si="41"/>
        <v xml:space="preserve"> </v>
      </c>
    </row>
    <row r="338" spans="1:26">
      <c r="A338" s="100"/>
      <c r="B338" s="108" t="str">
        <f>IFERROR(VLOOKUP(Tablo5[[#This Row],[ÜRÜN KODU]],YMKODLARI!$A$1:$K$363,2,0)," ")</f>
        <v xml:space="preserve"> </v>
      </c>
      <c r="C338" s="99"/>
      <c r="D338" s="100"/>
      <c r="E338" s="101"/>
      <c r="F338" s="101"/>
      <c r="G338" s="100" t="str">
        <f>IFERROR(VLOOKUP(Tablo5[[#This Row],[ÜRÜN KODU]],YMKODLARI!$A$1:$K$363,3,0)," ")</f>
        <v xml:space="preserve"> </v>
      </c>
      <c r="H338" s="100" t="str">
        <f>IFERROR(VLOOKUP(Tablo5[[#This Row],[ÜRÜN KODU]],YMKODLARI!$A$1:$K$363,4,0)," ")</f>
        <v xml:space="preserve"> </v>
      </c>
      <c r="I338" s="100"/>
      <c r="J338" s="100" t="str">
        <f>IFERROR(VLOOKUP(Tablo5[[#This Row],[ÜRÜN KODU]],YMKODLARI!$A$1:$K$363,9,0)," ")</f>
        <v xml:space="preserve"> </v>
      </c>
      <c r="K338" s="100" t="str">
        <f>IFERROR(VLOOKUP(Tablo5[[#This Row],[BOYA KODU]],Tablo14[#All],4,0)," ")</f>
        <v xml:space="preserve"> </v>
      </c>
      <c r="L338" s="100" t="str">
        <f>IFERROR(VLOOKUP(Tablo5[[#This Row],[BOYA KODU]],Tablo14[#All],6,0)," ")</f>
        <v xml:space="preserve"> </v>
      </c>
      <c r="M338" s="100" t="str">
        <f t="shared" si="35"/>
        <v xml:space="preserve"> </v>
      </c>
      <c r="N338" s="100" t="str">
        <f>IFERROR(VLOOKUP(Tablo5[[#This Row],[ÜRÜN KODU]],YMKODLARI!$A$1:$K$363,8,0)," ")</f>
        <v xml:space="preserve"> </v>
      </c>
      <c r="O338" s="100" t="str">
        <f>IFERROR(VLOOKUP(Tablo5[[#This Row],[HAMMADDE KODU]],Tablo1[#All],3,0)," ")</f>
        <v xml:space="preserve"> </v>
      </c>
      <c r="P338" s="100" t="str">
        <f>IFERROR(VLOOKUP(Tablo5[[#This Row],[HAMMADDE KODU]],Tablo1[#All],4,0)," ")</f>
        <v xml:space="preserve"> </v>
      </c>
      <c r="Q338" s="100" t="str">
        <f>IFERROR(VLOOKUP(Tablo5[[#This Row],[ÜRÜN KODU]],YMKODLARI!$A$1:$K$363,5,0)," ")</f>
        <v xml:space="preserve"> </v>
      </c>
      <c r="R338" s="100" t="str">
        <f>IFERROR(VLOOKUP(Tablo5[[#This Row],[ÜRÜN KODU]],YMKODLARI!$A$1:$K$363,6,0)," ")</f>
        <v xml:space="preserve"> </v>
      </c>
      <c r="S338" s="100" t="str">
        <f>IFERROR(Tablo5[[#This Row],[YOLLUK HARİÇ BASKI GRAMI]]/Tablo5[[#This Row],[KALIP GÖZ ADEDİ]]," ")</f>
        <v xml:space="preserve"> </v>
      </c>
      <c r="T338" s="100" t="str">
        <f t="shared" si="37"/>
        <v xml:space="preserve"> </v>
      </c>
      <c r="U338" s="100"/>
      <c r="V338" s="100" t="str">
        <f t="shared" si="36"/>
        <v xml:space="preserve"> </v>
      </c>
      <c r="W338" s="101">
        <f t="shared" si="38"/>
        <v>24</v>
      </c>
      <c r="X338" s="102">
        <f t="shared" si="39"/>
        <v>0</v>
      </c>
      <c r="Y338" s="100" t="str">
        <f t="shared" si="40"/>
        <v xml:space="preserve"> </v>
      </c>
      <c r="Z338" s="100" t="str">
        <f t="shared" si="41"/>
        <v xml:space="preserve"> </v>
      </c>
    </row>
    <row r="339" spans="1:26">
      <c r="A339" s="100"/>
      <c r="B339" s="108" t="str">
        <f>IFERROR(VLOOKUP(Tablo5[[#This Row],[ÜRÜN KODU]],YMKODLARI!$A$1:$K$363,2,0)," ")</f>
        <v xml:space="preserve"> </v>
      </c>
      <c r="C339" s="99"/>
      <c r="D339" s="100"/>
      <c r="E339" s="101"/>
      <c r="F339" s="101"/>
      <c r="G339" s="100" t="str">
        <f>IFERROR(VLOOKUP(Tablo5[[#This Row],[ÜRÜN KODU]],YMKODLARI!$A$1:$K$363,3,0)," ")</f>
        <v xml:space="preserve"> </v>
      </c>
      <c r="H339" s="100" t="str">
        <f>IFERROR(VLOOKUP(Tablo5[[#This Row],[ÜRÜN KODU]],YMKODLARI!$A$1:$K$363,4,0)," ")</f>
        <v xml:space="preserve"> </v>
      </c>
      <c r="I339" s="100"/>
      <c r="J339" s="100" t="str">
        <f>IFERROR(VLOOKUP(Tablo5[[#This Row],[ÜRÜN KODU]],YMKODLARI!$A$1:$K$363,9,0)," ")</f>
        <v xml:space="preserve"> </v>
      </c>
      <c r="K339" s="100" t="str">
        <f>IFERROR(VLOOKUP(Tablo5[[#This Row],[BOYA KODU]],Tablo14[#All],4,0)," ")</f>
        <v xml:space="preserve"> </v>
      </c>
      <c r="L339" s="100" t="str">
        <f>IFERROR(VLOOKUP(Tablo5[[#This Row],[BOYA KODU]],Tablo14[#All],6,0)," ")</f>
        <v xml:space="preserve"> </v>
      </c>
      <c r="M339" s="100" t="str">
        <f t="shared" si="35"/>
        <v xml:space="preserve"> </v>
      </c>
      <c r="N339" s="100" t="str">
        <f>IFERROR(VLOOKUP(Tablo5[[#This Row],[ÜRÜN KODU]],YMKODLARI!$A$1:$K$363,8,0)," ")</f>
        <v xml:space="preserve"> </v>
      </c>
      <c r="O339" s="100" t="str">
        <f>IFERROR(VLOOKUP(Tablo5[[#This Row],[HAMMADDE KODU]],Tablo1[#All],3,0)," ")</f>
        <v xml:space="preserve"> </v>
      </c>
      <c r="P339" s="100" t="str">
        <f>IFERROR(VLOOKUP(Tablo5[[#This Row],[HAMMADDE KODU]],Tablo1[#All],4,0)," ")</f>
        <v xml:space="preserve"> </v>
      </c>
      <c r="Q339" s="100" t="str">
        <f>IFERROR(VLOOKUP(Tablo5[[#This Row],[ÜRÜN KODU]],YMKODLARI!$A$1:$K$363,5,0)," ")</f>
        <v xml:space="preserve"> </v>
      </c>
      <c r="R339" s="100" t="str">
        <f>IFERROR(VLOOKUP(Tablo5[[#This Row],[ÜRÜN KODU]],YMKODLARI!$A$1:$K$363,6,0)," ")</f>
        <v xml:space="preserve"> </v>
      </c>
      <c r="S339" s="100" t="str">
        <f>IFERROR(Tablo5[[#This Row],[YOLLUK HARİÇ BASKI GRAMI]]/Tablo5[[#This Row],[KALIP GÖZ ADEDİ]]," ")</f>
        <v xml:space="preserve"> </v>
      </c>
      <c r="T339" s="100" t="str">
        <f t="shared" si="37"/>
        <v xml:space="preserve"> </v>
      </c>
      <c r="U339" s="100"/>
      <c r="V339" s="100" t="str">
        <f t="shared" si="36"/>
        <v xml:space="preserve"> </v>
      </c>
      <c r="W339" s="101">
        <f t="shared" si="38"/>
        <v>24</v>
      </c>
      <c r="X339" s="102">
        <f t="shared" si="39"/>
        <v>0</v>
      </c>
      <c r="Y339" s="100" t="str">
        <f t="shared" si="40"/>
        <v xml:space="preserve"> </v>
      </c>
      <c r="Z339" s="100" t="str">
        <f t="shared" si="41"/>
        <v xml:space="preserve"> </v>
      </c>
    </row>
    <row r="340" spans="1:26">
      <c r="A340" s="100"/>
      <c r="B340" s="108" t="str">
        <f>IFERROR(VLOOKUP(Tablo5[[#This Row],[ÜRÜN KODU]],YMKODLARI!$A$1:$K$363,2,0)," ")</f>
        <v xml:space="preserve"> </v>
      </c>
      <c r="C340" s="99"/>
      <c r="D340" s="100"/>
      <c r="E340" s="101"/>
      <c r="F340" s="101"/>
      <c r="G340" s="100" t="str">
        <f>IFERROR(VLOOKUP(Tablo5[[#This Row],[ÜRÜN KODU]],YMKODLARI!$A$1:$K$363,3,0)," ")</f>
        <v xml:space="preserve"> </v>
      </c>
      <c r="H340" s="100" t="str">
        <f>IFERROR(VLOOKUP(Tablo5[[#This Row],[ÜRÜN KODU]],YMKODLARI!$A$1:$K$363,4,0)," ")</f>
        <v xml:space="preserve"> </v>
      </c>
      <c r="I340" s="100"/>
      <c r="J340" s="100" t="str">
        <f>IFERROR(VLOOKUP(Tablo5[[#This Row],[ÜRÜN KODU]],YMKODLARI!$A$1:$K$363,9,0)," ")</f>
        <v xml:space="preserve"> </v>
      </c>
      <c r="K340" s="100" t="str">
        <f>IFERROR(VLOOKUP(Tablo5[[#This Row],[BOYA KODU]],Tablo14[#All],4,0)," ")</f>
        <v xml:space="preserve"> </v>
      </c>
      <c r="L340" s="100" t="str">
        <f>IFERROR(VLOOKUP(Tablo5[[#This Row],[BOYA KODU]],Tablo14[#All],6,0)," ")</f>
        <v xml:space="preserve"> </v>
      </c>
      <c r="M340" s="100" t="str">
        <f t="shared" si="35"/>
        <v xml:space="preserve"> </v>
      </c>
      <c r="N340" s="100" t="str">
        <f>IFERROR(VLOOKUP(Tablo5[[#This Row],[ÜRÜN KODU]],YMKODLARI!$A$1:$K$363,8,0)," ")</f>
        <v xml:space="preserve"> </v>
      </c>
      <c r="O340" s="100" t="str">
        <f>IFERROR(VLOOKUP(Tablo5[[#This Row],[HAMMADDE KODU]],Tablo1[#All],3,0)," ")</f>
        <v xml:space="preserve"> </v>
      </c>
      <c r="P340" s="100" t="str">
        <f>IFERROR(VLOOKUP(Tablo5[[#This Row],[HAMMADDE KODU]],Tablo1[#All],4,0)," ")</f>
        <v xml:space="preserve"> </v>
      </c>
      <c r="Q340" s="100" t="str">
        <f>IFERROR(VLOOKUP(Tablo5[[#This Row],[ÜRÜN KODU]],YMKODLARI!$A$1:$K$363,5,0)," ")</f>
        <v xml:space="preserve"> </v>
      </c>
      <c r="R340" s="100" t="str">
        <f>IFERROR(VLOOKUP(Tablo5[[#This Row],[ÜRÜN KODU]],YMKODLARI!$A$1:$K$363,6,0)," ")</f>
        <v xml:space="preserve"> </v>
      </c>
      <c r="S340" s="100" t="str">
        <f>IFERROR(Tablo5[[#This Row],[YOLLUK HARİÇ BASKI GRAMI]]/Tablo5[[#This Row],[KALIP GÖZ ADEDİ]]," ")</f>
        <v xml:space="preserve"> </v>
      </c>
      <c r="T340" s="100" t="str">
        <f t="shared" si="37"/>
        <v xml:space="preserve"> </v>
      </c>
      <c r="U340" s="100"/>
      <c r="V340" s="100" t="str">
        <f t="shared" si="36"/>
        <v xml:space="preserve"> </v>
      </c>
      <c r="W340" s="101">
        <f t="shared" si="38"/>
        <v>24</v>
      </c>
      <c r="X340" s="102">
        <f t="shared" si="39"/>
        <v>0</v>
      </c>
      <c r="Y340" s="100" t="str">
        <f t="shared" si="40"/>
        <v xml:space="preserve"> </v>
      </c>
      <c r="Z340" s="100" t="str">
        <f t="shared" si="41"/>
        <v xml:space="preserve"> </v>
      </c>
    </row>
    <row r="341" spans="1:26">
      <c r="A341" s="100"/>
      <c r="B341" s="108" t="str">
        <f>IFERROR(VLOOKUP(Tablo5[[#This Row],[ÜRÜN KODU]],YMKODLARI!$A$1:$K$363,2,0)," ")</f>
        <v xml:space="preserve"> </v>
      </c>
      <c r="C341" s="99"/>
      <c r="D341" s="100"/>
      <c r="E341" s="101"/>
      <c r="F341" s="101"/>
      <c r="G341" s="100" t="str">
        <f>IFERROR(VLOOKUP(Tablo5[[#This Row],[ÜRÜN KODU]],YMKODLARI!$A$1:$K$363,3,0)," ")</f>
        <v xml:space="preserve"> </v>
      </c>
      <c r="H341" s="100" t="str">
        <f>IFERROR(VLOOKUP(Tablo5[[#This Row],[ÜRÜN KODU]],YMKODLARI!$A$1:$K$363,4,0)," ")</f>
        <v xml:space="preserve"> </v>
      </c>
      <c r="I341" s="100"/>
      <c r="J341" s="100" t="str">
        <f>IFERROR(VLOOKUP(Tablo5[[#This Row],[ÜRÜN KODU]],YMKODLARI!$A$1:$K$363,9,0)," ")</f>
        <v xml:space="preserve"> </v>
      </c>
      <c r="K341" s="100" t="str">
        <f>IFERROR(VLOOKUP(Tablo5[[#This Row],[BOYA KODU]],Tablo14[#All],4,0)," ")</f>
        <v xml:space="preserve"> </v>
      </c>
      <c r="L341" s="100" t="str">
        <f>IFERROR(VLOOKUP(Tablo5[[#This Row],[BOYA KODU]],Tablo14[#All],6,0)," ")</f>
        <v xml:space="preserve"> </v>
      </c>
      <c r="M341" s="100" t="str">
        <f t="shared" si="35"/>
        <v xml:space="preserve"> </v>
      </c>
      <c r="N341" s="100" t="str">
        <f>IFERROR(VLOOKUP(Tablo5[[#This Row],[ÜRÜN KODU]],YMKODLARI!$A$1:$K$363,8,0)," ")</f>
        <v xml:space="preserve"> </v>
      </c>
      <c r="O341" s="100" t="str">
        <f>IFERROR(VLOOKUP(Tablo5[[#This Row],[HAMMADDE KODU]],Tablo1[#All],3,0)," ")</f>
        <v xml:space="preserve"> </v>
      </c>
      <c r="P341" s="100" t="str">
        <f>IFERROR(VLOOKUP(Tablo5[[#This Row],[HAMMADDE KODU]],Tablo1[#All],4,0)," ")</f>
        <v xml:space="preserve"> </v>
      </c>
      <c r="Q341" s="100" t="str">
        <f>IFERROR(VLOOKUP(Tablo5[[#This Row],[ÜRÜN KODU]],YMKODLARI!$A$1:$K$363,5,0)," ")</f>
        <v xml:space="preserve"> </v>
      </c>
      <c r="R341" s="100" t="str">
        <f>IFERROR(VLOOKUP(Tablo5[[#This Row],[ÜRÜN KODU]],YMKODLARI!$A$1:$K$363,6,0)," ")</f>
        <v xml:space="preserve"> </v>
      </c>
      <c r="S341" s="100" t="str">
        <f>IFERROR(Tablo5[[#This Row],[YOLLUK HARİÇ BASKI GRAMI]]/Tablo5[[#This Row],[KALIP GÖZ ADEDİ]]," ")</f>
        <v xml:space="preserve"> </v>
      </c>
      <c r="T341" s="100" t="str">
        <f t="shared" si="37"/>
        <v xml:space="preserve"> </v>
      </c>
      <c r="U341" s="100"/>
      <c r="V341" s="100" t="str">
        <f t="shared" si="36"/>
        <v xml:space="preserve"> </v>
      </c>
      <c r="W341" s="101">
        <f t="shared" si="38"/>
        <v>24</v>
      </c>
      <c r="X341" s="102">
        <f t="shared" si="39"/>
        <v>0</v>
      </c>
      <c r="Y341" s="100" t="str">
        <f t="shared" si="40"/>
        <v xml:space="preserve"> </v>
      </c>
      <c r="Z341" s="100" t="str">
        <f t="shared" si="41"/>
        <v xml:space="preserve"> </v>
      </c>
    </row>
    <row r="342" spans="1:26">
      <c r="A342" s="100"/>
      <c r="B342" s="108" t="str">
        <f>IFERROR(VLOOKUP(Tablo5[[#This Row],[ÜRÜN KODU]],YMKODLARI!$A$1:$K$363,2,0)," ")</f>
        <v xml:space="preserve"> </v>
      </c>
      <c r="C342" s="99"/>
      <c r="D342" s="100"/>
      <c r="E342" s="101"/>
      <c r="F342" s="101"/>
      <c r="G342" s="100" t="str">
        <f>IFERROR(VLOOKUP(Tablo5[[#This Row],[ÜRÜN KODU]],YMKODLARI!$A$1:$K$363,3,0)," ")</f>
        <v xml:space="preserve"> </v>
      </c>
      <c r="H342" s="100" t="str">
        <f>IFERROR(VLOOKUP(Tablo5[[#This Row],[ÜRÜN KODU]],YMKODLARI!$A$1:$K$363,4,0)," ")</f>
        <v xml:space="preserve"> </v>
      </c>
      <c r="I342" s="100"/>
      <c r="J342" s="100" t="str">
        <f>IFERROR(VLOOKUP(Tablo5[[#This Row],[ÜRÜN KODU]],YMKODLARI!$A$1:$K$363,9,0)," ")</f>
        <v xml:space="preserve"> </v>
      </c>
      <c r="K342" s="100" t="str">
        <f>IFERROR(VLOOKUP(Tablo5[[#This Row],[BOYA KODU]],Tablo14[#All],4,0)," ")</f>
        <v xml:space="preserve"> </v>
      </c>
      <c r="L342" s="100" t="str">
        <f>IFERROR(VLOOKUP(Tablo5[[#This Row],[BOYA KODU]],Tablo14[#All],6,0)," ")</f>
        <v xml:space="preserve"> </v>
      </c>
      <c r="M342" s="100" t="str">
        <f t="shared" si="35"/>
        <v xml:space="preserve"> </v>
      </c>
      <c r="N342" s="100" t="str">
        <f>IFERROR(VLOOKUP(Tablo5[[#This Row],[ÜRÜN KODU]],YMKODLARI!$A$1:$K$363,8,0)," ")</f>
        <v xml:space="preserve"> </v>
      </c>
      <c r="O342" s="100" t="str">
        <f>IFERROR(VLOOKUP(Tablo5[[#This Row],[HAMMADDE KODU]],Tablo1[#All],3,0)," ")</f>
        <v xml:space="preserve"> </v>
      </c>
      <c r="P342" s="100" t="str">
        <f>IFERROR(VLOOKUP(Tablo5[[#This Row],[HAMMADDE KODU]],Tablo1[#All],4,0)," ")</f>
        <v xml:space="preserve"> </v>
      </c>
      <c r="Q342" s="100" t="str">
        <f>IFERROR(VLOOKUP(Tablo5[[#This Row],[ÜRÜN KODU]],YMKODLARI!$A$1:$K$363,5,0)," ")</f>
        <v xml:space="preserve"> </v>
      </c>
      <c r="R342" s="100" t="str">
        <f>IFERROR(VLOOKUP(Tablo5[[#This Row],[ÜRÜN KODU]],YMKODLARI!$A$1:$K$363,6,0)," ")</f>
        <v xml:space="preserve"> </v>
      </c>
      <c r="S342" s="100" t="str">
        <f>IFERROR(Tablo5[[#This Row],[YOLLUK HARİÇ BASKI GRAMI]]/Tablo5[[#This Row],[KALIP GÖZ ADEDİ]]," ")</f>
        <v xml:space="preserve"> </v>
      </c>
      <c r="T342" s="100" t="str">
        <f t="shared" si="37"/>
        <v xml:space="preserve"> </v>
      </c>
      <c r="U342" s="100"/>
      <c r="V342" s="100" t="str">
        <f t="shared" si="36"/>
        <v xml:space="preserve"> </v>
      </c>
      <c r="W342" s="101">
        <f t="shared" si="38"/>
        <v>24</v>
      </c>
      <c r="X342" s="102">
        <f t="shared" si="39"/>
        <v>0</v>
      </c>
      <c r="Y342" s="100" t="str">
        <f t="shared" si="40"/>
        <v xml:space="preserve"> </v>
      </c>
      <c r="Z342" s="100" t="str">
        <f t="shared" si="41"/>
        <v xml:space="preserve"> </v>
      </c>
    </row>
    <row r="343" spans="1:26">
      <c r="A343" s="100"/>
      <c r="B343" s="108" t="str">
        <f>IFERROR(VLOOKUP(Tablo5[[#This Row],[ÜRÜN KODU]],YMKODLARI!$A$1:$K$363,2,0)," ")</f>
        <v xml:space="preserve"> </v>
      </c>
      <c r="C343" s="99"/>
      <c r="D343" s="100"/>
      <c r="E343" s="101"/>
      <c r="F343" s="101"/>
      <c r="G343" s="100" t="str">
        <f>IFERROR(VLOOKUP(Tablo5[[#This Row],[ÜRÜN KODU]],YMKODLARI!$A$1:$K$363,3,0)," ")</f>
        <v xml:space="preserve"> </v>
      </c>
      <c r="H343" s="100" t="str">
        <f>IFERROR(VLOOKUP(Tablo5[[#This Row],[ÜRÜN KODU]],YMKODLARI!$A$1:$K$363,4,0)," ")</f>
        <v xml:space="preserve"> </v>
      </c>
      <c r="I343" s="100"/>
      <c r="J343" s="100" t="str">
        <f>IFERROR(VLOOKUP(Tablo5[[#This Row],[ÜRÜN KODU]],YMKODLARI!$A$1:$K$363,9,0)," ")</f>
        <v xml:space="preserve"> </v>
      </c>
      <c r="K343" s="100" t="str">
        <f>IFERROR(VLOOKUP(Tablo5[[#This Row],[BOYA KODU]],Tablo14[#All],4,0)," ")</f>
        <v xml:space="preserve"> </v>
      </c>
      <c r="L343" s="100" t="str">
        <f>IFERROR(VLOOKUP(Tablo5[[#This Row],[BOYA KODU]],Tablo14[#All],6,0)," ")</f>
        <v xml:space="preserve"> </v>
      </c>
      <c r="M343" s="100" t="str">
        <f t="shared" si="35"/>
        <v xml:space="preserve"> </v>
      </c>
      <c r="N343" s="100" t="str">
        <f>IFERROR(VLOOKUP(Tablo5[[#This Row],[ÜRÜN KODU]],YMKODLARI!$A$1:$K$363,8,0)," ")</f>
        <v xml:space="preserve"> </v>
      </c>
      <c r="O343" s="100" t="str">
        <f>IFERROR(VLOOKUP(Tablo5[[#This Row],[HAMMADDE KODU]],Tablo1[#All],3,0)," ")</f>
        <v xml:space="preserve"> </v>
      </c>
      <c r="P343" s="100" t="str">
        <f>IFERROR(VLOOKUP(Tablo5[[#This Row],[HAMMADDE KODU]],Tablo1[#All],4,0)," ")</f>
        <v xml:space="preserve"> </v>
      </c>
      <c r="Q343" s="100" t="str">
        <f>IFERROR(VLOOKUP(Tablo5[[#This Row],[ÜRÜN KODU]],YMKODLARI!$A$1:$K$363,5,0)," ")</f>
        <v xml:space="preserve"> </v>
      </c>
      <c r="R343" s="100" t="str">
        <f>IFERROR(VLOOKUP(Tablo5[[#This Row],[ÜRÜN KODU]],YMKODLARI!$A$1:$K$363,6,0)," ")</f>
        <v xml:space="preserve"> </v>
      </c>
      <c r="S343" s="100" t="str">
        <f>IFERROR(Tablo5[[#This Row],[YOLLUK HARİÇ BASKI GRAMI]]/Tablo5[[#This Row],[KALIP GÖZ ADEDİ]]," ")</f>
        <v xml:space="preserve"> </v>
      </c>
      <c r="T343" s="100" t="str">
        <f t="shared" si="37"/>
        <v xml:space="preserve"> </v>
      </c>
      <c r="U343" s="100"/>
      <c r="V343" s="100" t="str">
        <f t="shared" si="36"/>
        <v xml:space="preserve"> </v>
      </c>
      <c r="W343" s="101">
        <f t="shared" si="38"/>
        <v>24</v>
      </c>
      <c r="X343" s="102">
        <f t="shared" si="39"/>
        <v>0</v>
      </c>
      <c r="Y343" s="100" t="str">
        <f t="shared" si="40"/>
        <v xml:space="preserve"> </v>
      </c>
      <c r="Z343" s="100" t="str">
        <f t="shared" si="41"/>
        <v xml:space="preserve"> </v>
      </c>
    </row>
    <row r="344" spans="1:26">
      <c r="A344" s="100"/>
      <c r="B344" s="108" t="str">
        <f>IFERROR(VLOOKUP(Tablo5[[#This Row],[ÜRÜN KODU]],YMKODLARI!$A$1:$K$363,2,0)," ")</f>
        <v xml:space="preserve"> </v>
      </c>
      <c r="C344" s="99"/>
      <c r="D344" s="100"/>
      <c r="E344" s="101"/>
      <c r="F344" s="101"/>
      <c r="G344" s="100" t="str">
        <f>IFERROR(VLOOKUP(Tablo5[[#This Row],[ÜRÜN KODU]],YMKODLARI!$A$1:$K$363,3,0)," ")</f>
        <v xml:space="preserve"> </v>
      </c>
      <c r="H344" s="100" t="str">
        <f>IFERROR(VLOOKUP(Tablo5[[#This Row],[ÜRÜN KODU]],YMKODLARI!$A$1:$K$363,4,0)," ")</f>
        <v xml:space="preserve"> </v>
      </c>
      <c r="I344" s="100"/>
      <c r="J344" s="100" t="str">
        <f>IFERROR(VLOOKUP(Tablo5[[#This Row],[ÜRÜN KODU]],YMKODLARI!$A$1:$K$363,9,0)," ")</f>
        <v xml:space="preserve"> </v>
      </c>
      <c r="K344" s="100" t="str">
        <f>IFERROR(VLOOKUP(Tablo5[[#This Row],[BOYA KODU]],Tablo14[#All],4,0)," ")</f>
        <v xml:space="preserve"> </v>
      </c>
      <c r="L344" s="100" t="str">
        <f>IFERROR(VLOOKUP(Tablo5[[#This Row],[BOYA KODU]],Tablo14[#All],6,0)," ")</f>
        <v xml:space="preserve"> </v>
      </c>
      <c r="M344" s="100" t="str">
        <f t="shared" si="35"/>
        <v xml:space="preserve"> </v>
      </c>
      <c r="N344" s="100" t="str">
        <f>IFERROR(VLOOKUP(Tablo5[[#This Row],[ÜRÜN KODU]],YMKODLARI!$A$1:$K$363,8,0)," ")</f>
        <v xml:space="preserve"> </v>
      </c>
      <c r="O344" s="100" t="str">
        <f>IFERROR(VLOOKUP(Tablo5[[#This Row],[HAMMADDE KODU]],Tablo1[#All],3,0)," ")</f>
        <v xml:space="preserve"> </v>
      </c>
      <c r="P344" s="100" t="str">
        <f>IFERROR(VLOOKUP(Tablo5[[#This Row],[HAMMADDE KODU]],Tablo1[#All],4,0)," ")</f>
        <v xml:space="preserve"> </v>
      </c>
      <c r="Q344" s="100" t="str">
        <f>IFERROR(VLOOKUP(Tablo5[[#This Row],[ÜRÜN KODU]],YMKODLARI!$A$1:$K$363,5,0)," ")</f>
        <v xml:space="preserve"> </v>
      </c>
      <c r="R344" s="100" t="str">
        <f>IFERROR(VLOOKUP(Tablo5[[#This Row],[ÜRÜN KODU]],YMKODLARI!$A$1:$K$363,6,0)," ")</f>
        <v xml:space="preserve"> </v>
      </c>
      <c r="S344" s="100" t="str">
        <f>IFERROR(Tablo5[[#This Row],[YOLLUK HARİÇ BASKI GRAMI]]/Tablo5[[#This Row],[KALIP GÖZ ADEDİ]]," ")</f>
        <v xml:space="preserve"> </v>
      </c>
      <c r="T344" s="100" t="str">
        <f t="shared" si="37"/>
        <v xml:space="preserve"> </v>
      </c>
      <c r="U344" s="100"/>
      <c r="V344" s="100" t="str">
        <f t="shared" si="36"/>
        <v xml:space="preserve"> </v>
      </c>
      <c r="W344" s="101">
        <f t="shared" si="38"/>
        <v>24</v>
      </c>
      <c r="X344" s="102">
        <f t="shared" si="39"/>
        <v>0</v>
      </c>
      <c r="Y344" s="100" t="str">
        <f t="shared" si="40"/>
        <v xml:space="preserve"> </v>
      </c>
      <c r="Z344" s="100" t="str">
        <f t="shared" si="41"/>
        <v xml:space="preserve"> </v>
      </c>
    </row>
    <row r="345" spans="1:26">
      <c r="A345" s="100"/>
      <c r="B345" s="108" t="str">
        <f>IFERROR(VLOOKUP(Tablo5[[#This Row],[ÜRÜN KODU]],YMKODLARI!$A$1:$K$363,2,0)," ")</f>
        <v xml:space="preserve"> </v>
      </c>
      <c r="C345" s="99"/>
      <c r="D345" s="100"/>
      <c r="E345" s="101"/>
      <c r="F345" s="101"/>
      <c r="G345" s="100" t="str">
        <f>IFERROR(VLOOKUP(Tablo5[[#This Row],[ÜRÜN KODU]],YMKODLARI!$A$1:$K$363,3,0)," ")</f>
        <v xml:space="preserve"> </v>
      </c>
      <c r="H345" s="100" t="str">
        <f>IFERROR(VLOOKUP(Tablo5[[#This Row],[ÜRÜN KODU]],YMKODLARI!$A$1:$K$363,4,0)," ")</f>
        <v xml:space="preserve"> </v>
      </c>
      <c r="I345" s="100"/>
      <c r="J345" s="100" t="str">
        <f>IFERROR(VLOOKUP(Tablo5[[#This Row],[ÜRÜN KODU]],YMKODLARI!$A$1:$K$363,9,0)," ")</f>
        <v xml:space="preserve"> </v>
      </c>
      <c r="K345" s="100" t="str">
        <f>IFERROR(VLOOKUP(Tablo5[[#This Row],[BOYA KODU]],Tablo14[#All],4,0)," ")</f>
        <v xml:space="preserve"> </v>
      </c>
      <c r="L345" s="100" t="str">
        <f>IFERROR(VLOOKUP(Tablo5[[#This Row],[BOYA KODU]],Tablo14[#All],6,0)," ")</f>
        <v xml:space="preserve"> </v>
      </c>
      <c r="M345" s="100" t="str">
        <f t="shared" si="35"/>
        <v xml:space="preserve"> </v>
      </c>
      <c r="N345" s="100" t="str">
        <f>IFERROR(VLOOKUP(Tablo5[[#This Row],[ÜRÜN KODU]],YMKODLARI!$A$1:$K$363,8,0)," ")</f>
        <v xml:space="preserve"> </v>
      </c>
      <c r="O345" s="100" t="str">
        <f>IFERROR(VLOOKUP(Tablo5[[#This Row],[HAMMADDE KODU]],Tablo1[#All],3,0)," ")</f>
        <v xml:space="preserve"> </v>
      </c>
      <c r="P345" s="100" t="str">
        <f>IFERROR(VLOOKUP(Tablo5[[#This Row],[HAMMADDE KODU]],Tablo1[#All],4,0)," ")</f>
        <v xml:space="preserve"> </v>
      </c>
      <c r="Q345" s="100" t="str">
        <f>IFERROR(VLOOKUP(Tablo5[[#This Row],[ÜRÜN KODU]],YMKODLARI!$A$1:$K$363,5,0)," ")</f>
        <v xml:space="preserve"> </v>
      </c>
      <c r="R345" s="100" t="str">
        <f>IFERROR(VLOOKUP(Tablo5[[#This Row],[ÜRÜN KODU]],YMKODLARI!$A$1:$K$363,6,0)," ")</f>
        <v xml:space="preserve"> </v>
      </c>
      <c r="S345" s="100" t="str">
        <f>IFERROR(Tablo5[[#This Row],[YOLLUK HARİÇ BASKI GRAMI]]/Tablo5[[#This Row],[KALIP GÖZ ADEDİ]]," ")</f>
        <v xml:space="preserve"> </v>
      </c>
      <c r="T345" s="100" t="str">
        <f t="shared" si="37"/>
        <v xml:space="preserve"> </v>
      </c>
      <c r="U345" s="100"/>
      <c r="V345" s="100" t="str">
        <f t="shared" si="36"/>
        <v xml:space="preserve"> </v>
      </c>
      <c r="W345" s="101">
        <f t="shared" si="38"/>
        <v>24</v>
      </c>
      <c r="X345" s="102">
        <f t="shared" si="39"/>
        <v>0</v>
      </c>
      <c r="Y345" s="100" t="str">
        <f t="shared" si="40"/>
        <v xml:space="preserve"> </v>
      </c>
      <c r="Z345" s="100" t="str">
        <f t="shared" si="41"/>
        <v xml:space="preserve"> </v>
      </c>
    </row>
    <row r="346" spans="1:26">
      <c r="A346" s="100"/>
      <c r="B346" s="108" t="str">
        <f>IFERROR(VLOOKUP(Tablo5[[#This Row],[ÜRÜN KODU]],YMKODLARI!$A$1:$K$363,2,0)," ")</f>
        <v xml:space="preserve"> </v>
      </c>
      <c r="C346" s="99"/>
      <c r="D346" s="100"/>
      <c r="E346" s="101"/>
      <c r="F346" s="101"/>
      <c r="G346" s="100" t="str">
        <f>IFERROR(VLOOKUP(Tablo5[[#This Row],[ÜRÜN KODU]],YMKODLARI!$A$1:$K$363,3,0)," ")</f>
        <v xml:space="preserve"> </v>
      </c>
      <c r="H346" s="100" t="str">
        <f>IFERROR(VLOOKUP(Tablo5[[#This Row],[ÜRÜN KODU]],YMKODLARI!$A$1:$K$363,4,0)," ")</f>
        <v xml:space="preserve"> </v>
      </c>
      <c r="I346" s="100"/>
      <c r="J346" s="100" t="str">
        <f>IFERROR(VLOOKUP(Tablo5[[#This Row],[ÜRÜN KODU]],YMKODLARI!$A$1:$K$363,9,0)," ")</f>
        <v xml:space="preserve"> </v>
      </c>
      <c r="K346" s="100" t="str">
        <f>IFERROR(VLOOKUP(Tablo5[[#This Row],[BOYA KODU]],Tablo14[#All],4,0)," ")</f>
        <v xml:space="preserve"> </v>
      </c>
      <c r="L346" s="100" t="str">
        <f>IFERROR(VLOOKUP(Tablo5[[#This Row],[BOYA KODU]],Tablo14[#All],6,0)," ")</f>
        <v xml:space="preserve"> </v>
      </c>
      <c r="M346" s="100" t="str">
        <f t="shared" si="35"/>
        <v xml:space="preserve"> </v>
      </c>
      <c r="N346" s="100" t="str">
        <f>IFERROR(VLOOKUP(Tablo5[[#This Row],[ÜRÜN KODU]],YMKODLARI!$A$1:$K$363,8,0)," ")</f>
        <v xml:space="preserve"> </v>
      </c>
      <c r="O346" s="100" t="str">
        <f>IFERROR(VLOOKUP(Tablo5[[#This Row],[HAMMADDE KODU]],Tablo1[#All],3,0)," ")</f>
        <v xml:space="preserve"> </v>
      </c>
      <c r="P346" s="100" t="str">
        <f>IFERROR(VLOOKUP(Tablo5[[#This Row],[HAMMADDE KODU]],Tablo1[#All],4,0)," ")</f>
        <v xml:space="preserve"> </v>
      </c>
      <c r="Q346" s="100" t="str">
        <f>IFERROR(VLOOKUP(Tablo5[[#This Row],[ÜRÜN KODU]],YMKODLARI!$A$1:$K$363,5,0)," ")</f>
        <v xml:space="preserve"> </v>
      </c>
      <c r="R346" s="100" t="str">
        <f>IFERROR(VLOOKUP(Tablo5[[#This Row],[ÜRÜN KODU]],YMKODLARI!$A$1:$K$363,6,0)," ")</f>
        <v xml:space="preserve"> </v>
      </c>
      <c r="S346" s="100" t="str">
        <f>IFERROR(Tablo5[[#This Row],[YOLLUK HARİÇ BASKI GRAMI]]/Tablo5[[#This Row],[KALIP GÖZ ADEDİ]]," ")</f>
        <v xml:space="preserve"> </v>
      </c>
      <c r="T346" s="100" t="str">
        <f t="shared" si="37"/>
        <v xml:space="preserve"> </v>
      </c>
      <c r="U346" s="100"/>
      <c r="V346" s="100" t="str">
        <f t="shared" si="36"/>
        <v xml:space="preserve"> </v>
      </c>
      <c r="W346" s="101">
        <f t="shared" si="38"/>
        <v>24</v>
      </c>
      <c r="X346" s="102">
        <f t="shared" si="39"/>
        <v>0</v>
      </c>
      <c r="Y346" s="100" t="str">
        <f t="shared" si="40"/>
        <v xml:space="preserve"> </v>
      </c>
      <c r="Z346" s="100" t="str">
        <f t="shared" si="41"/>
        <v xml:space="preserve"> </v>
      </c>
    </row>
    <row r="347" spans="1:26">
      <c r="A347" s="100"/>
      <c r="B347" s="108" t="str">
        <f>IFERROR(VLOOKUP(Tablo5[[#This Row],[ÜRÜN KODU]],YMKODLARI!$A$1:$K$363,2,0)," ")</f>
        <v xml:space="preserve"> </v>
      </c>
      <c r="C347" s="99"/>
      <c r="D347" s="100"/>
      <c r="E347" s="101"/>
      <c r="F347" s="101"/>
      <c r="G347" s="100" t="str">
        <f>IFERROR(VLOOKUP(Tablo5[[#This Row],[ÜRÜN KODU]],YMKODLARI!$A$1:$K$363,3,0)," ")</f>
        <v xml:space="preserve"> </v>
      </c>
      <c r="H347" s="100" t="str">
        <f>IFERROR(VLOOKUP(Tablo5[[#This Row],[ÜRÜN KODU]],YMKODLARI!$A$1:$K$363,4,0)," ")</f>
        <v xml:space="preserve"> </v>
      </c>
      <c r="I347" s="100"/>
      <c r="J347" s="100" t="str">
        <f>IFERROR(VLOOKUP(Tablo5[[#This Row],[ÜRÜN KODU]],YMKODLARI!$A$1:$K$363,9,0)," ")</f>
        <v xml:space="preserve"> </v>
      </c>
      <c r="K347" s="100" t="str">
        <f>IFERROR(VLOOKUP(Tablo5[[#This Row],[BOYA KODU]],Tablo14[#All],4,0)," ")</f>
        <v xml:space="preserve"> </v>
      </c>
      <c r="L347" s="100" t="str">
        <f>IFERROR(VLOOKUP(Tablo5[[#This Row],[BOYA KODU]],Tablo14[#All],6,0)," ")</f>
        <v xml:space="preserve"> </v>
      </c>
      <c r="M347" s="100" t="str">
        <f t="shared" si="35"/>
        <v xml:space="preserve"> </v>
      </c>
      <c r="N347" s="100" t="str">
        <f>IFERROR(VLOOKUP(Tablo5[[#This Row],[ÜRÜN KODU]],YMKODLARI!$A$1:$K$363,8,0)," ")</f>
        <v xml:space="preserve"> </v>
      </c>
      <c r="O347" s="100" t="str">
        <f>IFERROR(VLOOKUP(Tablo5[[#This Row],[HAMMADDE KODU]],Tablo1[#All],3,0)," ")</f>
        <v xml:space="preserve"> </v>
      </c>
      <c r="P347" s="100" t="str">
        <f>IFERROR(VLOOKUP(Tablo5[[#This Row],[HAMMADDE KODU]],Tablo1[#All],4,0)," ")</f>
        <v xml:space="preserve"> </v>
      </c>
      <c r="Q347" s="100" t="str">
        <f>IFERROR(VLOOKUP(Tablo5[[#This Row],[ÜRÜN KODU]],YMKODLARI!$A$1:$K$363,5,0)," ")</f>
        <v xml:space="preserve"> </v>
      </c>
      <c r="R347" s="100" t="str">
        <f>IFERROR(VLOOKUP(Tablo5[[#This Row],[ÜRÜN KODU]],YMKODLARI!$A$1:$K$363,6,0)," ")</f>
        <v xml:space="preserve"> </v>
      </c>
      <c r="S347" s="100" t="str">
        <f>IFERROR(Tablo5[[#This Row],[YOLLUK HARİÇ BASKI GRAMI]]/Tablo5[[#This Row],[KALIP GÖZ ADEDİ]]," ")</f>
        <v xml:space="preserve"> </v>
      </c>
      <c r="T347" s="100" t="str">
        <f t="shared" si="37"/>
        <v xml:space="preserve"> </v>
      </c>
      <c r="U347" s="100"/>
      <c r="V347" s="100" t="str">
        <f t="shared" si="36"/>
        <v xml:space="preserve"> </v>
      </c>
      <c r="W347" s="101">
        <f t="shared" si="38"/>
        <v>24</v>
      </c>
      <c r="X347" s="102">
        <f t="shared" si="39"/>
        <v>0</v>
      </c>
      <c r="Y347" s="100" t="str">
        <f t="shared" si="40"/>
        <v xml:space="preserve"> </v>
      </c>
      <c r="Z347" s="100" t="str">
        <f t="shared" si="41"/>
        <v xml:space="preserve"> </v>
      </c>
    </row>
    <row r="348" spans="1:26">
      <c r="A348" s="100"/>
      <c r="B348" s="108" t="str">
        <f>IFERROR(VLOOKUP(Tablo5[[#This Row],[ÜRÜN KODU]],YMKODLARI!$A$1:$K$363,2,0)," ")</f>
        <v xml:space="preserve"> </v>
      </c>
      <c r="C348" s="99"/>
      <c r="D348" s="100"/>
      <c r="E348" s="101"/>
      <c r="F348" s="101"/>
      <c r="G348" s="100" t="str">
        <f>IFERROR(VLOOKUP(Tablo5[[#This Row],[ÜRÜN KODU]],YMKODLARI!$A$1:$K$363,3,0)," ")</f>
        <v xml:space="preserve"> </v>
      </c>
      <c r="H348" s="100" t="str">
        <f>IFERROR(VLOOKUP(Tablo5[[#This Row],[ÜRÜN KODU]],YMKODLARI!$A$1:$K$363,4,0)," ")</f>
        <v xml:space="preserve"> </v>
      </c>
      <c r="I348" s="100"/>
      <c r="J348" s="100" t="str">
        <f>IFERROR(VLOOKUP(Tablo5[[#This Row],[ÜRÜN KODU]],YMKODLARI!$A$1:$K$363,9,0)," ")</f>
        <v xml:space="preserve"> </v>
      </c>
      <c r="K348" s="100" t="str">
        <f>IFERROR(VLOOKUP(Tablo5[[#This Row],[BOYA KODU]],Tablo14[#All],4,0)," ")</f>
        <v xml:space="preserve"> </v>
      </c>
      <c r="L348" s="100" t="str">
        <f>IFERROR(VLOOKUP(Tablo5[[#This Row],[BOYA KODU]],Tablo14[#All],6,0)," ")</f>
        <v xml:space="preserve"> </v>
      </c>
      <c r="M348" s="100" t="str">
        <f t="shared" si="35"/>
        <v xml:space="preserve"> </v>
      </c>
      <c r="N348" s="100" t="str">
        <f>IFERROR(VLOOKUP(Tablo5[[#This Row],[ÜRÜN KODU]],YMKODLARI!$A$1:$K$363,8,0)," ")</f>
        <v xml:space="preserve"> </v>
      </c>
      <c r="O348" s="100" t="str">
        <f>IFERROR(VLOOKUP(Tablo5[[#This Row],[HAMMADDE KODU]],Tablo1[#All],3,0)," ")</f>
        <v xml:space="preserve"> </v>
      </c>
      <c r="P348" s="100" t="str">
        <f>IFERROR(VLOOKUP(Tablo5[[#This Row],[HAMMADDE KODU]],Tablo1[#All],4,0)," ")</f>
        <v xml:space="preserve"> </v>
      </c>
      <c r="Q348" s="100" t="str">
        <f>IFERROR(VLOOKUP(Tablo5[[#This Row],[ÜRÜN KODU]],YMKODLARI!$A$1:$K$363,5,0)," ")</f>
        <v xml:space="preserve"> </v>
      </c>
      <c r="R348" s="100" t="str">
        <f>IFERROR(VLOOKUP(Tablo5[[#This Row],[ÜRÜN KODU]],YMKODLARI!$A$1:$K$363,6,0)," ")</f>
        <v xml:space="preserve"> </v>
      </c>
      <c r="S348" s="100" t="str">
        <f>IFERROR(Tablo5[[#This Row],[YOLLUK HARİÇ BASKI GRAMI]]/Tablo5[[#This Row],[KALIP GÖZ ADEDİ]]," ")</f>
        <v xml:space="preserve"> </v>
      </c>
      <c r="T348" s="100" t="str">
        <f t="shared" si="37"/>
        <v xml:space="preserve"> </v>
      </c>
      <c r="U348" s="100"/>
      <c r="V348" s="100" t="str">
        <f t="shared" si="36"/>
        <v xml:space="preserve"> </v>
      </c>
      <c r="W348" s="101">
        <f t="shared" si="38"/>
        <v>24</v>
      </c>
      <c r="X348" s="102">
        <f t="shared" si="39"/>
        <v>0</v>
      </c>
      <c r="Y348" s="100" t="str">
        <f t="shared" si="40"/>
        <v xml:space="preserve"> </v>
      </c>
      <c r="Z348" s="100" t="str">
        <f t="shared" si="41"/>
        <v xml:space="preserve"> </v>
      </c>
    </row>
    <row r="349" spans="1:26">
      <c r="A349" s="100"/>
      <c r="B349" s="108" t="str">
        <f>IFERROR(VLOOKUP(Tablo5[[#This Row],[ÜRÜN KODU]],YMKODLARI!$A$1:$K$363,2,0)," ")</f>
        <v xml:space="preserve"> </v>
      </c>
      <c r="C349" s="99"/>
      <c r="D349" s="100"/>
      <c r="E349" s="101"/>
      <c r="F349" s="101"/>
      <c r="G349" s="100" t="str">
        <f>IFERROR(VLOOKUP(Tablo5[[#This Row],[ÜRÜN KODU]],YMKODLARI!$A$1:$K$363,3,0)," ")</f>
        <v xml:space="preserve"> </v>
      </c>
      <c r="H349" s="100" t="str">
        <f>IFERROR(VLOOKUP(Tablo5[[#This Row],[ÜRÜN KODU]],YMKODLARI!$A$1:$K$363,4,0)," ")</f>
        <v xml:space="preserve"> </v>
      </c>
      <c r="I349" s="100"/>
      <c r="J349" s="100" t="str">
        <f>IFERROR(VLOOKUP(Tablo5[[#This Row],[ÜRÜN KODU]],YMKODLARI!$A$1:$K$363,9,0)," ")</f>
        <v xml:space="preserve"> </v>
      </c>
      <c r="K349" s="100" t="str">
        <f>IFERROR(VLOOKUP(Tablo5[[#This Row],[BOYA KODU]],Tablo14[#All],4,0)," ")</f>
        <v xml:space="preserve"> </v>
      </c>
      <c r="L349" s="100" t="str">
        <f>IFERROR(VLOOKUP(Tablo5[[#This Row],[BOYA KODU]],Tablo14[#All],6,0)," ")</f>
        <v xml:space="preserve"> </v>
      </c>
      <c r="M349" s="100" t="str">
        <f t="shared" si="35"/>
        <v xml:space="preserve"> </v>
      </c>
      <c r="N349" s="100" t="str">
        <f>IFERROR(VLOOKUP(Tablo5[[#This Row],[ÜRÜN KODU]],YMKODLARI!$A$1:$K$363,8,0)," ")</f>
        <v xml:space="preserve"> </v>
      </c>
      <c r="O349" s="100" t="str">
        <f>IFERROR(VLOOKUP(Tablo5[[#This Row],[HAMMADDE KODU]],Tablo1[#All],3,0)," ")</f>
        <v xml:space="preserve"> </v>
      </c>
      <c r="P349" s="100" t="str">
        <f>IFERROR(VLOOKUP(Tablo5[[#This Row],[HAMMADDE KODU]],Tablo1[#All],4,0)," ")</f>
        <v xml:space="preserve"> </v>
      </c>
      <c r="Q349" s="100" t="str">
        <f>IFERROR(VLOOKUP(Tablo5[[#This Row],[ÜRÜN KODU]],YMKODLARI!$A$1:$K$363,5,0)," ")</f>
        <v xml:space="preserve"> </v>
      </c>
      <c r="R349" s="100" t="str">
        <f>IFERROR(VLOOKUP(Tablo5[[#This Row],[ÜRÜN KODU]],YMKODLARI!$A$1:$K$363,6,0)," ")</f>
        <v xml:space="preserve"> </v>
      </c>
      <c r="S349" s="100" t="str">
        <f>IFERROR(Tablo5[[#This Row],[YOLLUK HARİÇ BASKI GRAMI]]/Tablo5[[#This Row],[KALIP GÖZ ADEDİ]]," ")</f>
        <v xml:space="preserve"> </v>
      </c>
      <c r="T349" s="100" t="str">
        <f t="shared" si="37"/>
        <v xml:space="preserve"> </v>
      </c>
      <c r="U349" s="100"/>
      <c r="V349" s="100" t="str">
        <f t="shared" si="36"/>
        <v xml:space="preserve"> </v>
      </c>
      <c r="W349" s="101">
        <f t="shared" si="38"/>
        <v>24</v>
      </c>
      <c r="X349" s="102">
        <f t="shared" si="39"/>
        <v>0</v>
      </c>
      <c r="Y349" s="100" t="str">
        <f t="shared" si="40"/>
        <v xml:space="preserve"> </v>
      </c>
      <c r="Z349" s="100" t="str">
        <f t="shared" si="41"/>
        <v xml:space="preserve"> </v>
      </c>
    </row>
    <row r="350" spans="1:26">
      <c r="A350" s="100"/>
      <c r="B350" s="108" t="str">
        <f>IFERROR(VLOOKUP(Tablo5[[#This Row],[ÜRÜN KODU]],YMKODLARI!$A$1:$K$363,2,0)," ")</f>
        <v xml:space="preserve"> </v>
      </c>
      <c r="C350" s="99"/>
      <c r="D350" s="100"/>
      <c r="E350" s="101"/>
      <c r="F350" s="101"/>
      <c r="G350" s="100" t="str">
        <f>IFERROR(VLOOKUP(Tablo5[[#This Row],[ÜRÜN KODU]],YMKODLARI!$A$1:$K$363,3,0)," ")</f>
        <v xml:space="preserve"> </v>
      </c>
      <c r="H350" s="100" t="str">
        <f>IFERROR(VLOOKUP(Tablo5[[#This Row],[ÜRÜN KODU]],YMKODLARI!$A$1:$K$363,4,0)," ")</f>
        <v xml:space="preserve"> </v>
      </c>
      <c r="I350" s="100"/>
      <c r="J350" s="100" t="str">
        <f>IFERROR(VLOOKUP(Tablo5[[#This Row],[ÜRÜN KODU]],YMKODLARI!$A$1:$K$363,9,0)," ")</f>
        <v xml:space="preserve"> </v>
      </c>
      <c r="K350" s="100" t="str">
        <f>IFERROR(VLOOKUP(Tablo5[[#This Row],[BOYA KODU]],Tablo14[#All],4,0)," ")</f>
        <v xml:space="preserve"> </v>
      </c>
      <c r="L350" s="100" t="str">
        <f>IFERROR(VLOOKUP(Tablo5[[#This Row],[BOYA KODU]],Tablo14[#All],6,0)," ")</f>
        <v xml:space="preserve"> </v>
      </c>
      <c r="M350" s="100" t="str">
        <f t="shared" si="35"/>
        <v xml:space="preserve"> </v>
      </c>
      <c r="N350" s="100" t="str">
        <f>IFERROR(VLOOKUP(Tablo5[[#This Row],[ÜRÜN KODU]],YMKODLARI!$A$1:$K$363,8,0)," ")</f>
        <v xml:space="preserve"> </v>
      </c>
      <c r="O350" s="100" t="str">
        <f>IFERROR(VLOOKUP(Tablo5[[#This Row],[HAMMADDE KODU]],Tablo1[#All],3,0)," ")</f>
        <v xml:space="preserve"> </v>
      </c>
      <c r="P350" s="100" t="str">
        <f>IFERROR(VLOOKUP(Tablo5[[#This Row],[HAMMADDE KODU]],Tablo1[#All],4,0)," ")</f>
        <v xml:space="preserve"> </v>
      </c>
      <c r="Q350" s="100" t="str">
        <f>IFERROR(VLOOKUP(Tablo5[[#This Row],[ÜRÜN KODU]],YMKODLARI!$A$1:$K$363,5,0)," ")</f>
        <v xml:space="preserve"> </v>
      </c>
      <c r="R350" s="100" t="str">
        <f>IFERROR(VLOOKUP(Tablo5[[#This Row],[ÜRÜN KODU]],YMKODLARI!$A$1:$K$363,6,0)," ")</f>
        <v xml:space="preserve"> </v>
      </c>
      <c r="S350" s="100" t="str">
        <f>IFERROR(Tablo5[[#This Row],[YOLLUK HARİÇ BASKI GRAMI]]/Tablo5[[#This Row],[KALIP GÖZ ADEDİ]]," ")</f>
        <v xml:space="preserve"> </v>
      </c>
      <c r="T350" s="100" t="str">
        <f t="shared" si="37"/>
        <v xml:space="preserve"> </v>
      </c>
      <c r="U350" s="100"/>
      <c r="V350" s="100" t="str">
        <f t="shared" si="36"/>
        <v xml:space="preserve"> </v>
      </c>
      <c r="W350" s="101">
        <f t="shared" si="38"/>
        <v>24</v>
      </c>
      <c r="X350" s="102">
        <f t="shared" si="39"/>
        <v>0</v>
      </c>
      <c r="Y350" s="100" t="str">
        <f t="shared" si="40"/>
        <v xml:space="preserve"> </v>
      </c>
      <c r="Z350" s="100" t="str">
        <f t="shared" si="41"/>
        <v xml:space="preserve"> </v>
      </c>
    </row>
    <row r="351" spans="1:26">
      <c r="A351" s="100"/>
      <c r="B351" s="108" t="str">
        <f>IFERROR(VLOOKUP(Tablo5[[#This Row],[ÜRÜN KODU]],YMKODLARI!$A$1:$K$363,2,0)," ")</f>
        <v xml:space="preserve"> </v>
      </c>
      <c r="C351" s="99"/>
      <c r="D351" s="100"/>
      <c r="E351" s="101"/>
      <c r="F351" s="101"/>
      <c r="G351" s="100" t="str">
        <f>IFERROR(VLOOKUP(Tablo5[[#This Row],[ÜRÜN KODU]],YMKODLARI!$A$1:$K$363,3,0)," ")</f>
        <v xml:space="preserve"> </v>
      </c>
      <c r="H351" s="100" t="str">
        <f>IFERROR(VLOOKUP(Tablo5[[#This Row],[ÜRÜN KODU]],YMKODLARI!$A$1:$K$363,4,0)," ")</f>
        <v xml:space="preserve"> </v>
      </c>
      <c r="I351" s="100"/>
      <c r="J351" s="100" t="str">
        <f>IFERROR(VLOOKUP(Tablo5[[#This Row],[ÜRÜN KODU]],YMKODLARI!$A$1:$K$363,9,0)," ")</f>
        <v xml:space="preserve"> </v>
      </c>
      <c r="K351" s="100" t="str">
        <f>IFERROR(VLOOKUP(Tablo5[[#This Row],[BOYA KODU]],Tablo14[#All],4,0)," ")</f>
        <v xml:space="preserve"> </v>
      </c>
      <c r="L351" s="100" t="str">
        <f>IFERROR(VLOOKUP(Tablo5[[#This Row],[BOYA KODU]],Tablo14[#All],6,0)," ")</f>
        <v xml:space="preserve"> </v>
      </c>
      <c r="M351" s="100" t="str">
        <f t="shared" si="35"/>
        <v xml:space="preserve"> </v>
      </c>
      <c r="N351" s="100" t="str">
        <f>IFERROR(VLOOKUP(Tablo5[[#This Row],[ÜRÜN KODU]],YMKODLARI!$A$1:$K$363,8,0)," ")</f>
        <v xml:space="preserve"> </v>
      </c>
      <c r="O351" s="100" t="str">
        <f>IFERROR(VLOOKUP(Tablo5[[#This Row],[HAMMADDE KODU]],Tablo1[#All],3,0)," ")</f>
        <v xml:space="preserve"> </v>
      </c>
      <c r="P351" s="100" t="str">
        <f>IFERROR(VLOOKUP(Tablo5[[#This Row],[HAMMADDE KODU]],Tablo1[#All],4,0)," ")</f>
        <v xml:space="preserve"> </v>
      </c>
      <c r="Q351" s="100" t="str">
        <f>IFERROR(VLOOKUP(Tablo5[[#This Row],[ÜRÜN KODU]],YMKODLARI!$A$1:$K$363,5,0)," ")</f>
        <v xml:space="preserve"> </v>
      </c>
      <c r="R351" s="100" t="str">
        <f>IFERROR(VLOOKUP(Tablo5[[#This Row],[ÜRÜN KODU]],YMKODLARI!$A$1:$K$363,6,0)," ")</f>
        <v xml:space="preserve"> </v>
      </c>
      <c r="S351" s="100" t="str">
        <f>IFERROR(Tablo5[[#This Row],[YOLLUK HARİÇ BASKI GRAMI]]/Tablo5[[#This Row],[KALIP GÖZ ADEDİ]]," ")</f>
        <v xml:space="preserve"> </v>
      </c>
      <c r="T351" s="100" t="str">
        <f t="shared" si="37"/>
        <v xml:space="preserve"> </v>
      </c>
      <c r="U351" s="100"/>
      <c r="V351" s="100" t="str">
        <f t="shared" si="36"/>
        <v xml:space="preserve"> </v>
      </c>
      <c r="W351" s="101">
        <f t="shared" si="38"/>
        <v>24</v>
      </c>
      <c r="X351" s="102">
        <f t="shared" si="39"/>
        <v>0</v>
      </c>
      <c r="Y351" s="100" t="str">
        <f t="shared" si="40"/>
        <v xml:space="preserve"> </v>
      </c>
      <c r="Z351" s="100" t="str">
        <f t="shared" si="41"/>
        <v xml:space="preserve"> </v>
      </c>
    </row>
    <row r="352" spans="1:26">
      <c r="A352" s="100"/>
      <c r="B352" s="108" t="str">
        <f>IFERROR(VLOOKUP(Tablo5[[#This Row],[ÜRÜN KODU]],YMKODLARI!$A$1:$K$363,2,0)," ")</f>
        <v xml:space="preserve"> </v>
      </c>
      <c r="C352" s="99"/>
      <c r="D352" s="100"/>
      <c r="E352" s="101"/>
      <c r="F352" s="101"/>
      <c r="G352" s="100" t="str">
        <f>IFERROR(VLOOKUP(Tablo5[[#This Row],[ÜRÜN KODU]],YMKODLARI!$A$1:$K$363,3,0)," ")</f>
        <v xml:space="preserve"> </v>
      </c>
      <c r="H352" s="100" t="str">
        <f>IFERROR(VLOOKUP(Tablo5[[#This Row],[ÜRÜN KODU]],YMKODLARI!$A$1:$K$363,4,0)," ")</f>
        <v xml:space="preserve"> </v>
      </c>
      <c r="I352" s="100"/>
      <c r="J352" s="100" t="str">
        <f>IFERROR(VLOOKUP(Tablo5[[#This Row],[ÜRÜN KODU]],YMKODLARI!$A$1:$K$363,9,0)," ")</f>
        <v xml:space="preserve"> </v>
      </c>
      <c r="K352" s="100" t="str">
        <f>IFERROR(VLOOKUP(Tablo5[[#This Row],[BOYA KODU]],Tablo14[#All],4,0)," ")</f>
        <v xml:space="preserve"> </v>
      </c>
      <c r="L352" s="100" t="str">
        <f>IFERROR(VLOOKUP(Tablo5[[#This Row],[BOYA KODU]],Tablo14[#All],6,0)," ")</f>
        <v xml:space="preserve"> </v>
      </c>
      <c r="M352" s="100" t="str">
        <f t="shared" si="35"/>
        <v xml:space="preserve"> </v>
      </c>
      <c r="N352" s="100" t="str">
        <f>IFERROR(VLOOKUP(Tablo5[[#This Row],[ÜRÜN KODU]],YMKODLARI!$A$1:$K$363,8,0)," ")</f>
        <v xml:space="preserve"> </v>
      </c>
      <c r="O352" s="100" t="str">
        <f>IFERROR(VLOOKUP(Tablo5[[#This Row],[HAMMADDE KODU]],Tablo1[#All],3,0)," ")</f>
        <v xml:space="preserve"> </v>
      </c>
      <c r="P352" s="100" t="str">
        <f>IFERROR(VLOOKUP(Tablo5[[#This Row],[HAMMADDE KODU]],Tablo1[#All],4,0)," ")</f>
        <v xml:space="preserve"> </v>
      </c>
      <c r="Q352" s="100" t="str">
        <f>IFERROR(VLOOKUP(Tablo5[[#This Row],[ÜRÜN KODU]],YMKODLARI!$A$1:$K$363,5,0)," ")</f>
        <v xml:space="preserve"> </v>
      </c>
      <c r="R352" s="100" t="str">
        <f>IFERROR(VLOOKUP(Tablo5[[#This Row],[ÜRÜN KODU]],YMKODLARI!$A$1:$K$363,6,0)," ")</f>
        <v xml:space="preserve"> </v>
      </c>
      <c r="S352" s="100" t="str">
        <f>IFERROR(Tablo5[[#This Row],[YOLLUK HARİÇ BASKI GRAMI]]/Tablo5[[#This Row],[KALIP GÖZ ADEDİ]]," ")</f>
        <v xml:space="preserve"> </v>
      </c>
      <c r="T352" s="100" t="str">
        <f t="shared" si="37"/>
        <v xml:space="preserve"> </v>
      </c>
      <c r="U352" s="100"/>
      <c r="V352" s="100" t="str">
        <f t="shared" si="36"/>
        <v xml:space="preserve"> </v>
      </c>
      <c r="W352" s="101">
        <f t="shared" si="38"/>
        <v>24</v>
      </c>
      <c r="X352" s="102">
        <f t="shared" si="39"/>
        <v>0</v>
      </c>
      <c r="Y352" s="100" t="str">
        <f t="shared" si="40"/>
        <v xml:space="preserve"> </v>
      </c>
      <c r="Z352" s="100" t="str">
        <f t="shared" si="41"/>
        <v xml:space="preserve"> </v>
      </c>
    </row>
    <row r="353" spans="1:26">
      <c r="A353" s="100"/>
      <c r="B353" s="108" t="str">
        <f>IFERROR(VLOOKUP(Tablo5[[#This Row],[ÜRÜN KODU]],YMKODLARI!$A$1:$K$363,2,0)," ")</f>
        <v xml:space="preserve"> </v>
      </c>
      <c r="C353" s="99"/>
      <c r="D353" s="100"/>
      <c r="E353" s="101"/>
      <c r="F353" s="101"/>
      <c r="G353" s="100" t="str">
        <f>IFERROR(VLOOKUP(Tablo5[[#This Row],[ÜRÜN KODU]],YMKODLARI!$A$1:$K$363,3,0)," ")</f>
        <v xml:space="preserve"> </v>
      </c>
      <c r="H353" s="100" t="str">
        <f>IFERROR(VLOOKUP(Tablo5[[#This Row],[ÜRÜN KODU]],YMKODLARI!$A$1:$K$363,4,0)," ")</f>
        <v xml:space="preserve"> </v>
      </c>
      <c r="I353" s="100"/>
      <c r="J353" s="100" t="str">
        <f>IFERROR(VLOOKUP(Tablo5[[#This Row],[ÜRÜN KODU]],YMKODLARI!$A$1:$K$363,9,0)," ")</f>
        <v xml:space="preserve"> </v>
      </c>
      <c r="K353" s="100" t="str">
        <f>IFERROR(VLOOKUP(Tablo5[[#This Row],[BOYA KODU]],Tablo14[#All],4,0)," ")</f>
        <v xml:space="preserve"> </v>
      </c>
      <c r="L353" s="100" t="str">
        <f>IFERROR(VLOOKUP(Tablo5[[#This Row],[BOYA KODU]],Tablo14[#All],6,0)," ")</f>
        <v xml:space="preserve"> </v>
      </c>
      <c r="M353" s="100" t="str">
        <f t="shared" si="35"/>
        <v xml:space="preserve"> </v>
      </c>
      <c r="N353" s="100" t="str">
        <f>IFERROR(VLOOKUP(Tablo5[[#This Row],[ÜRÜN KODU]],YMKODLARI!$A$1:$K$363,8,0)," ")</f>
        <v xml:space="preserve"> </v>
      </c>
      <c r="O353" s="100" t="str">
        <f>IFERROR(VLOOKUP(Tablo5[[#This Row],[HAMMADDE KODU]],Tablo1[#All],3,0)," ")</f>
        <v xml:space="preserve"> </v>
      </c>
      <c r="P353" s="100" t="str">
        <f>IFERROR(VLOOKUP(Tablo5[[#This Row],[HAMMADDE KODU]],Tablo1[#All],4,0)," ")</f>
        <v xml:space="preserve"> </v>
      </c>
      <c r="Q353" s="100" t="str">
        <f>IFERROR(VLOOKUP(Tablo5[[#This Row],[ÜRÜN KODU]],YMKODLARI!$A$1:$K$363,5,0)," ")</f>
        <v xml:space="preserve"> </v>
      </c>
      <c r="R353" s="100" t="str">
        <f>IFERROR(VLOOKUP(Tablo5[[#This Row],[ÜRÜN KODU]],YMKODLARI!$A$1:$K$363,6,0)," ")</f>
        <v xml:space="preserve"> </v>
      </c>
      <c r="S353" s="100" t="str">
        <f>IFERROR(Tablo5[[#This Row],[YOLLUK HARİÇ BASKI GRAMI]]/Tablo5[[#This Row],[KALIP GÖZ ADEDİ]]," ")</f>
        <v xml:space="preserve"> </v>
      </c>
      <c r="T353" s="100" t="str">
        <f t="shared" si="37"/>
        <v xml:space="preserve"> </v>
      </c>
      <c r="U353" s="100"/>
      <c r="V353" s="100" t="str">
        <f t="shared" si="36"/>
        <v xml:space="preserve"> </v>
      </c>
      <c r="W353" s="101">
        <f t="shared" si="38"/>
        <v>24</v>
      </c>
      <c r="X353" s="102">
        <f t="shared" si="39"/>
        <v>0</v>
      </c>
      <c r="Y353" s="100" t="str">
        <f t="shared" si="40"/>
        <v xml:space="preserve"> </v>
      </c>
      <c r="Z353" s="100" t="str">
        <f t="shared" si="41"/>
        <v xml:space="preserve"> </v>
      </c>
    </row>
    <row r="354" spans="1:26">
      <c r="A354" s="100"/>
      <c r="B354" s="108" t="str">
        <f>IFERROR(VLOOKUP(Tablo5[[#This Row],[ÜRÜN KODU]],YMKODLARI!$A$1:$K$363,2,0)," ")</f>
        <v xml:space="preserve"> </v>
      </c>
      <c r="C354" s="99"/>
      <c r="D354" s="100"/>
      <c r="E354" s="101"/>
      <c r="F354" s="101"/>
      <c r="G354" s="100" t="str">
        <f>IFERROR(VLOOKUP(Tablo5[[#This Row],[ÜRÜN KODU]],YMKODLARI!$A$1:$K$363,3,0)," ")</f>
        <v xml:space="preserve"> </v>
      </c>
      <c r="H354" s="100" t="str">
        <f>IFERROR(VLOOKUP(Tablo5[[#This Row],[ÜRÜN KODU]],YMKODLARI!$A$1:$K$363,4,0)," ")</f>
        <v xml:space="preserve"> </v>
      </c>
      <c r="I354" s="100"/>
      <c r="J354" s="100" t="str">
        <f>IFERROR(VLOOKUP(Tablo5[[#This Row],[ÜRÜN KODU]],YMKODLARI!$A$1:$K$363,9,0)," ")</f>
        <v xml:space="preserve"> </v>
      </c>
      <c r="K354" s="100" t="str">
        <f>IFERROR(VLOOKUP(Tablo5[[#This Row],[BOYA KODU]],Tablo14[#All],4,0)," ")</f>
        <v xml:space="preserve"> </v>
      </c>
      <c r="L354" s="100" t="str">
        <f>IFERROR(VLOOKUP(Tablo5[[#This Row],[BOYA KODU]],Tablo14[#All],6,0)," ")</f>
        <v xml:space="preserve"> </v>
      </c>
      <c r="M354" s="100" t="str">
        <f t="shared" si="35"/>
        <v xml:space="preserve"> </v>
      </c>
      <c r="N354" s="100" t="str">
        <f>IFERROR(VLOOKUP(Tablo5[[#This Row],[ÜRÜN KODU]],YMKODLARI!$A$1:$K$363,8,0)," ")</f>
        <v xml:space="preserve"> </v>
      </c>
      <c r="O354" s="100" t="str">
        <f>IFERROR(VLOOKUP(Tablo5[[#This Row],[HAMMADDE KODU]],Tablo1[#All],3,0)," ")</f>
        <v xml:space="preserve"> </v>
      </c>
      <c r="P354" s="100" t="str">
        <f>IFERROR(VLOOKUP(Tablo5[[#This Row],[HAMMADDE KODU]],Tablo1[#All],4,0)," ")</f>
        <v xml:space="preserve"> </v>
      </c>
      <c r="Q354" s="100" t="str">
        <f>IFERROR(VLOOKUP(Tablo5[[#This Row],[ÜRÜN KODU]],YMKODLARI!$A$1:$K$363,5,0)," ")</f>
        <v xml:space="preserve"> </v>
      </c>
      <c r="R354" s="100" t="str">
        <f>IFERROR(VLOOKUP(Tablo5[[#This Row],[ÜRÜN KODU]],YMKODLARI!$A$1:$K$363,6,0)," ")</f>
        <v xml:space="preserve"> </v>
      </c>
      <c r="S354" s="100" t="str">
        <f>IFERROR(Tablo5[[#This Row],[YOLLUK HARİÇ BASKI GRAMI]]/Tablo5[[#This Row],[KALIP GÖZ ADEDİ]]," ")</f>
        <v xml:space="preserve"> </v>
      </c>
      <c r="T354" s="100" t="str">
        <f t="shared" si="37"/>
        <v xml:space="preserve"> </v>
      </c>
      <c r="U354" s="100"/>
      <c r="V354" s="100" t="str">
        <f t="shared" si="36"/>
        <v xml:space="preserve"> </v>
      </c>
      <c r="W354" s="101">
        <f t="shared" si="38"/>
        <v>24</v>
      </c>
      <c r="X354" s="102">
        <f t="shared" si="39"/>
        <v>0</v>
      </c>
      <c r="Y354" s="100" t="str">
        <f t="shared" si="40"/>
        <v xml:space="preserve"> </v>
      </c>
      <c r="Z354" s="100" t="str">
        <f t="shared" si="41"/>
        <v xml:space="preserve"> </v>
      </c>
    </row>
    <row r="355" spans="1:26">
      <c r="A355" s="100"/>
      <c r="B355" s="108" t="str">
        <f>IFERROR(VLOOKUP(Tablo5[[#This Row],[ÜRÜN KODU]],YMKODLARI!$A$1:$K$363,2,0)," ")</f>
        <v xml:space="preserve"> </v>
      </c>
      <c r="C355" s="99"/>
      <c r="D355" s="100"/>
      <c r="E355" s="101"/>
      <c r="F355" s="101"/>
      <c r="G355" s="100" t="str">
        <f>IFERROR(VLOOKUP(Tablo5[[#This Row],[ÜRÜN KODU]],YMKODLARI!$A$1:$K$363,3,0)," ")</f>
        <v xml:space="preserve"> </v>
      </c>
      <c r="H355" s="100" t="str">
        <f>IFERROR(VLOOKUP(Tablo5[[#This Row],[ÜRÜN KODU]],YMKODLARI!$A$1:$K$363,4,0)," ")</f>
        <v xml:space="preserve"> </v>
      </c>
      <c r="I355" s="100"/>
      <c r="J355" s="100" t="str">
        <f>IFERROR(VLOOKUP(Tablo5[[#This Row],[ÜRÜN KODU]],YMKODLARI!$A$1:$K$363,9,0)," ")</f>
        <v xml:space="preserve"> </v>
      </c>
      <c r="K355" s="100" t="str">
        <f>IFERROR(VLOOKUP(Tablo5[[#This Row],[BOYA KODU]],Tablo14[#All],4,0)," ")</f>
        <v xml:space="preserve"> </v>
      </c>
      <c r="L355" s="100" t="str">
        <f>IFERROR(VLOOKUP(Tablo5[[#This Row],[BOYA KODU]],Tablo14[#All],6,0)," ")</f>
        <v xml:space="preserve"> </v>
      </c>
      <c r="M355" s="100" t="str">
        <f t="shared" si="35"/>
        <v xml:space="preserve"> </v>
      </c>
      <c r="N355" s="100" t="str">
        <f>IFERROR(VLOOKUP(Tablo5[[#This Row],[ÜRÜN KODU]],YMKODLARI!$A$1:$K$363,8,0)," ")</f>
        <v xml:space="preserve"> </v>
      </c>
      <c r="O355" s="100" t="str">
        <f>IFERROR(VLOOKUP(Tablo5[[#This Row],[HAMMADDE KODU]],Tablo1[#All],3,0)," ")</f>
        <v xml:space="preserve"> </v>
      </c>
      <c r="P355" s="100" t="str">
        <f>IFERROR(VLOOKUP(Tablo5[[#This Row],[HAMMADDE KODU]],Tablo1[#All],4,0)," ")</f>
        <v xml:space="preserve"> </v>
      </c>
      <c r="Q355" s="100" t="str">
        <f>IFERROR(VLOOKUP(Tablo5[[#This Row],[ÜRÜN KODU]],YMKODLARI!$A$1:$K$363,5,0)," ")</f>
        <v xml:space="preserve"> </v>
      </c>
      <c r="R355" s="100" t="str">
        <f>IFERROR(VLOOKUP(Tablo5[[#This Row],[ÜRÜN KODU]],YMKODLARI!$A$1:$K$363,6,0)," ")</f>
        <v xml:space="preserve"> </v>
      </c>
      <c r="S355" s="100" t="str">
        <f>IFERROR(Tablo5[[#This Row],[YOLLUK HARİÇ BASKI GRAMI]]/Tablo5[[#This Row],[KALIP GÖZ ADEDİ]]," ")</f>
        <v xml:space="preserve"> </v>
      </c>
      <c r="T355" s="100" t="str">
        <f t="shared" si="37"/>
        <v xml:space="preserve"> </v>
      </c>
      <c r="U355" s="100"/>
      <c r="V355" s="100" t="str">
        <f t="shared" si="36"/>
        <v xml:space="preserve"> </v>
      </c>
      <c r="W355" s="101">
        <f t="shared" si="38"/>
        <v>24</v>
      </c>
      <c r="X355" s="102">
        <f t="shared" si="39"/>
        <v>0</v>
      </c>
      <c r="Y355" s="100" t="str">
        <f t="shared" si="40"/>
        <v xml:space="preserve"> </v>
      </c>
      <c r="Z355" s="100" t="str">
        <f t="shared" si="41"/>
        <v xml:space="preserve"> </v>
      </c>
    </row>
    <row r="356" spans="1:26">
      <c r="A356" s="100"/>
      <c r="B356" s="108" t="str">
        <f>IFERROR(VLOOKUP(Tablo5[[#This Row],[ÜRÜN KODU]],YMKODLARI!$A$1:$K$363,2,0)," ")</f>
        <v xml:space="preserve"> </v>
      </c>
      <c r="C356" s="99"/>
      <c r="D356" s="100"/>
      <c r="E356" s="101"/>
      <c r="F356" s="101"/>
      <c r="G356" s="100" t="str">
        <f>IFERROR(VLOOKUP(Tablo5[[#This Row],[ÜRÜN KODU]],YMKODLARI!$A$1:$K$363,3,0)," ")</f>
        <v xml:space="preserve"> </v>
      </c>
      <c r="H356" s="100" t="str">
        <f>IFERROR(VLOOKUP(Tablo5[[#This Row],[ÜRÜN KODU]],YMKODLARI!$A$1:$K$363,4,0)," ")</f>
        <v xml:space="preserve"> </v>
      </c>
      <c r="I356" s="100"/>
      <c r="J356" s="100" t="str">
        <f>IFERROR(VLOOKUP(Tablo5[[#This Row],[ÜRÜN KODU]],YMKODLARI!$A$1:$K$363,9,0)," ")</f>
        <v xml:space="preserve"> </v>
      </c>
      <c r="K356" s="100" t="str">
        <f>IFERROR(VLOOKUP(Tablo5[[#This Row],[BOYA KODU]],Tablo14[#All],4,0)," ")</f>
        <v xml:space="preserve"> </v>
      </c>
      <c r="L356" s="100" t="str">
        <f>IFERROR(VLOOKUP(Tablo5[[#This Row],[BOYA KODU]],Tablo14[#All],6,0)," ")</f>
        <v xml:space="preserve"> </v>
      </c>
      <c r="M356" s="100" t="str">
        <f t="shared" si="35"/>
        <v xml:space="preserve"> </v>
      </c>
      <c r="N356" s="100" t="str">
        <f>IFERROR(VLOOKUP(Tablo5[[#This Row],[ÜRÜN KODU]],YMKODLARI!$A$1:$K$363,8,0)," ")</f>
        <v xml:space="preserve"> </v>
      </c>
      <c r="O356" s="100" t="str">
        <f>IFERROR(VLOOKUP(Tablo5[[#This Row],[HAMMADDE KODU]],Tablo1[#All],3,0)," ")</f>
        <v xml:space="preserve"> </v>
      </c>
      <c r="P356" s="100" t="str">
        <f>IFERROR(VLOOKUP(Tablo5[[#This Row],[HAMMADDE KODU]],Tablo1[#All],4,0)," ")</f>
        <v xml:space="preserve"> </v>
      </c>
      <c r="Q356" s="100" t="str">
        <f>IFERROR(VLOOKUP(Tablo5[[#This Row],[ÜRÜN KODU]],YMKODLARI!$A$1:$K$363,5,0)," ")</f>
        <v xml:space="preserve"> </v>
      </c>
      <c r="R356" s="100" t="str">
        <f>IFERROR(VLOOKUP(Tablo5[[#This Row],[ÜRÜN KODU]],YMKODLARI!$A$1:$K$363,6,0)," ")</f>
        <v xml:space="preserve"> </v>
      </c>
      <c r="S356" s="100" t="str">
        <f>IFERROR(Tablo5[[#This Row],[YOLLUK HARİÇ BASKI GRAMI]]/Tablo5[[#This Row],[KALIP GÖZ ADEDİ]]," ")</f>
        <v xml:space="preserve"> </v>
      </c>
      <c r="T356" s="100" t="str">
        <f t="shared" si="37"/>
        <v xml:space="preserve"> </v>
      </c>
      <c r="U356" s="100"/>
      <c r="V356" s="100" t="str">
        <f t="shared" si="36"/>
        <v xml:space="preserve"> </v>
      </c>
      <c r="W356" s="101">
        <f t="shared" si="38"/>
        <v>24</v>
      </c>
      <c r="X356" s="102">
        <f t="shared" si="39"/>
        <v>0</v>
      </c>
      <c r="Y356" s="100" t="str">
        <f t="shared" si="40"/>
        <v xml:space="preserve"> </v>
      </c>
      <c r="Z356" s="100" t="str">
        <f t="shared" si="41"/>
        <v xml:space="preserve"> </v>
      </c>
    </row>
    <row r="357" spans="1:26">
      <c r="A357" s="100"/>
      <c r="B357" s="108" t="str">
        <f>IFERROR(VLOOKUP(Tablo5[[#This Row],[ÜRÜN KODU]],YMKODLARI!$A$1:$K$363,2,0)," ")</f>
        <v xml:space="preserve"> </v>
      </c>
      <c r="C357" s="99"/>
      <c r="D357" s="100"/>
      <c r="E357" s="101"/>
      <c r="F357" s="101"/>
      <c r="G357" s="100" t="str">
        <f>IFERROR(VLOOKUP(Tablo5[[#This Row],[ÜRÜN KODU]],YMKODLARI!$A$1:$K$363,3,0)," ")</f>
        <v xml:space="preserve"> </v>
      </c>
      <c r="H357" s="100" t="str">
        <f>IFERROR(VLOOKUP(Tablo5[[#This Row],[ÜRÜN KODU]],YMKODLARI!$A$1:$K$363,4,0)," ")</f>
        <v xml:space="preserve"> </v>
      </c>
      <c r="I357" s="100"/>
      <c r="J357" s="100" t="str">
        <f>IFERROR(VLOOKUP(Tablo5[[#This Row],[ÜRÜN KODU]],YMKODLARI!$A$1:$K$363,9,0)," ")</f>
        <v xml:space="preserve"> </v>
      </c>
      <c r="K357" s="100" t="str">
        <f>IFERROR(VLOOKUP(Tablo5[[#This Row],[BOYA KODU]],Tablo14[#All],4,0)," ")</f>
        <v xml:space="preserve"> </v>
      </c>
      <c r="L357" s="100" t="str">
        <f>IFERROR(VLOOKUP(Tablo5[[#This Row],[BOYA KODU]],Tablo14[#All],6,0)," ")</f>
        <v xml:space="preserve"> </v>
      </c>
      <c r="M357" s="100" t="str">
        <f t="shared" si="35"/>
        <v xml:space="preserve"> </v>
      </c>
      <c r="N357" s="100" t="str">
        <f>IFERROR(VLOOKUP(Tablo5[[#This Row],[ÜRÜN KODU]],YMKODLARI!$A$1:$K$363,8,0)," ")</f>
        <v xml:space="preserve"> </v>
      </c>
      <c r="O357" s="100" t="str">
        <f>IFERROR(VLOOKUP(Tablo5[[#This Row],[HAMMADDE KODU]],Tablo1[#All],3,0)," ")</f>
        <v xml:space="preserve"> </v>
      </c>
      <c r="P357" s="100" t="str">
        <f>IFERROR(VLOOKUP(Tablo5[[#This Row],[HAMMADDE KODU]],Tablo1[#All],4,0)," ")</f>
        <v xml:space="preserve"> </v>
      </c>
      <c r="Q357" s="100" t="str">
        <f>IFERROR(VLOOKUP(Tablo5[[#This Row],[ÜRÜN KODU]],YMKODLARI!$A$1:$K$363,5,0)," ")</f>
        <v xml:space="preserve"> </v>
      </c>
      <c r="R357" s="100" t="str">
        <f>IFERROR(VLOOKUP(Tablo5[[#This Row],[ÜRÜN KODU]],YMKODLARI!$A$1:$K$363,6,0)," ")</f>
        <v xml:space="preserve"> </v>
      </c>
      <c r="S357" s="100" t="str">
        <f>IFERROR(Tablo5[[#This Row],[YOLLUK HARİÇ BASKI GRAMI]]/Tablo5[[#This Row],[KALIP GÖZ ADEDİ]]," ")</f>
        <v xml:space="preserve"> </v>
      </c>
      <c r="T357" s="100" t="str">
        <f t="shared" si="37"/>
        <v xml:space="preserve"> </v>
      </c>
      <c r="U357" s="100"/>
      <c r="V357" s="100" t="str">
        <f t="shared" si="36"/>
        <v xml:space="preserve"> </v>
      </c>
      <c r="W357" s="101">
        <f t="shared" si="38"/>
        <v>24</v>
      </c>
      <c r="X357" s="102">
        <f t="shared" si="39"/>
        <v>0</v>
      </c>
      <c r="Y357" s="100" t="str">
        <f t="shared" si="40"/>
        <v xml:space="preserve"> </v>
      </c>
      <c r="Z357" s="100" t="str">
        <f t="shared" si="41"/>
        <v xml:space="preserve"> </v>
      </c>
    </row>
    <row r="358" spans="1:26">
      <c r="A358" s="100"/>
      <c r="B358" s="108" t="str">
        <f>IFERROR(VLOOKUP(Tablo5[[#This Row],[ÜRÜN KODU]],YMKODLARI!$A$1:$K$363,2,0)," ")</f>
        <v xml:space="preserve"> </v>
      </c>
      <c r="C358" s="99"/>
      <c r="D358" s="100"/>
      <c r="E358" s="101"/>
      <c r="F358" s="101"/>
      <c r="G358" s="100" t="str">
        <f>IFERROR(VLOOKUP(Tablo5[[#This Row],[ÜRÜN KODU]],YMKODLARI!$A$1:$K$363,3,0)," ")</f>
        <v xml:space="preserve"> </v>
      </c>
      <c r="H358" s="100" t="str">
        <f>IFERROR(VLOOKUP(Tablo5[[#This Row],[ÜRÜN KODU]],YMKODLARI!$A$1:$K$363,4,0)," ")</f>
        <v xml:space="preserve"> </v>
      </c>
      <c r="I358" s="100"/>
      <c r="J358" s="100" t="str">
        <f>IFERROR(VLOOKUP(Tablo5[[#This Row],[ÜRÜN KODU]],YMKODLARI!$A$1:$K$363,9,0)," ")</f>
        <v xml:space="preserve"> </v>
      </c>
      <c r="K358" s="100" t="str">
        <f>IFERROR(VLOOKUP(Tablo5[[#This Row],[BOYA KODU]],Tablo14[#All],4,0)," ")</f>
        <v xml:space="preserve"> </v>
      </c>
      <c r="L358" s="100" t="str">
        <f>IFERROR(VLOOKUP(Tablo5[[#This Row],[BOYA KODU]],Tablo14[#All],6,0)," ")</f>
        <v xml:space="preserve"> </v>
      </c>
      <c r="M358" s="100" t="str">
        <f t="shared" si="35"/>
        <v xml:space="preserve"> </v>
      </c>
      <c r="N358" s="100" t="str">
        <f>IFERROR(VLOOKUP(Tablo5[[#This Row],[ÜRÜN KODU]],YMKODLARI!$A$1:$K$363,8,0)," ")</f>
        <v xml:space="preserve"> </v>
      </c>
      <c r="O358" s="100" t="str">
        <f>IFERROR(VLOOKUP(Tablo5[[#This Row],[HAMMADDE KODU]],Tablo1[#All],3,0)," ")</f>
        <v xml:space="preserve"> </v>
      </c>
      <c r="P358" s="100" t="str">
        <f>IFERROR(VLOOKUP(Tablo5[[#This Row],[HAMMADDE KODU]],Tablo1[#All],4,0)," ")</f>
        <v xml:space="preserve"> </v>
      </c>
      <c r="Q358" s="100" t="str">
        <f>IFERROR(VLOOKUP(Tablo5[[#This Row],[ÜRÜN KODU]],YMKODLARI!$A$1:$K$363,5,0)," ")</f>
        <v xml:space="preserve"> </v>
      </c>
      <c r="R358" s="100" t="str">
        <f>IFERROR(VLOOKUP(Tablo5[[#This Row],[ÜRÜN KODU]],YMKODLARI!$A$1:$K$363,6,0)," ")</f>
        <v xml:space="preserve"> </v>
      </c>
      <c r="S358" s="100" t="str">
        <f>IFERROR(Tablo5[[#This Row],[YOLLUK HARİÇ BASKI GRAMI]]/Tablo5[[#This Row],[KALIP GÖZ ADEDİ]]," ")</f>
        <v xml:space="preserve"> </v>
      </c>
      <c r="T358" s="100" t="str">
        <f t="shared" si="37"/>
        <v xml:space="preserve"> </v>
      </c>
      <c r="U358" s="100"/>
      <c r="V358" s="100" t="str">
        <f t="shared" si="36"/>
        <v xml:space="preserve"> </v>
      </c>
      <c r="W358" s="101">
        <f t="shared" si="38"/>
        <v>24</v>
      </c>
      <c r="X358" s="102">
        <f t="shared" si="39"/>
        <v>0</v>
      </c>
      <c r="Y358" s="100" t="str">
        <f t="shared" si="40"/>
        <v xml:space="preserve"> </v>
      </c>
      <c r="Z358" s="100" t="str">
        <f t="shared" si="41"/>
        <v xml:space="preserve"> </v>
      </c>
    </row>
    <row r="359" spans="1:26">
      <c r="A359" s="100"/>
      <c r="B359" s="108" t="str">
        <f>IFERROR(VLOOKUP(Tablo5[[#This Row],[ÜRÜN KODU]],YMKODLARI!$A$1:$K$363,2,0)," ")</f>
        <v xml:space="preserve"> </v>
      </c>
      <c r="C359" s="99"/>
      <c r="D359" s="100"/>
      <c r="E359" s="101"/>
      <c r="F359" s="101"/>
      <c r="G359" s="100" t="str">
        <f>IFERROR(VLOOKUP(Tablo5[[#This Row],[ÜRÜN KODU]],YMKODLARI!$A$1:$K$363,3,0)," ")</f>
        <v xml:space="preserve"> </v>
      </c>
      <c r="H359" s="100" t="str">
        <f>IFERROR(VLOOKUP(Tablo5[[#This Row],[ÜRÜN KODU]],YMKODLARI!$A$1:$K$363,4,0)," ")</f>
        <v xml:space="preserve"> </v>
      </c>
      <c r="I359" s="100"/>
      <c r="J359" s="100" t="str">
        <f>IFERROR(VLOOKUP(Tablo5[[#This Row],[ÜRÜN KODU]],YMKODLARI!$A$1:$K$363,9,0)," ")</f>
        <v xml:space="preserve"> </v>
      </c>
      <c r="K359" s="100" t="str">
        <f>IFERROR(VLOOKUP(Tablo5[[#This Row],[BOYA KODU]],Tablo14[#All],4,0)," ")</f>
        <v xml:space="preserve"> </v>
      </c>
      <c r="L359" s="100" t="str">
        <f>IFERROR(VLOOKUP(Tablo5[[#This Row],[BOYA KODU]],Tablo14[#All],6,0)," ")</f>
        <v xml:space="preserve"> </v>
      </c>
      <c r="M359" s="100" t="str">
        <f t="shared" si="35"/>
        <v xml:space="preserve"> </v>
      </c>
      <c r="N359" s="100" t="str">
        <f>IFERROR(VLOOKUP(Tablo5[[#This Row],[ÜRÜN KODU]],YMKODLARI!$A$1:$K$363,8,0)," ")</f>
        <v xml:space="preserve"> </v>
      </c>
      <c r="O359" s="100" t="str">
        <f>IFERROR(VLOOKUP(Tablo5[[#This Row],[HAMMADDE KODU]],Tablo1[#All],3,0)," ")</f>
        <v xml:space="preserve"> </v>
      </c>
      <c r="P359" s="100" t="str">
        <f>IFERROR(VLOOKUP(Tablo5[[#This Row],[HAMMADDE KODU]],Tablo1[#All],4,0)," ")</f>
        <v xml:space="preserve"> </v>
      </c>
      <c r="Q359" s="100" t="str">
        <f>IFERROR(VLOOKUP(Tablo5[[#This Row],[ÜRÜN KODU]],YMKODLARI!$A$1:$K$363,5,0)," ")</f>
        <v xml:space="preserve"> </v>
      </c>
      <c r="R359" s="100" t="str">
        <f>IFERROR(VLOOKUP(Tablo5[[#This Row],[ÜRÜN KODU]],YMKODLARI!$A$1:$K$363,6,0)," ")</f>
        <v xml:space="preserve"> </v>
      </c>
      <c r="S359" s="100" t="str">
        <f>IFERROR(Tablo5[[#This Row],[YOLLUK HARİÇ BASKI GRAMI]]/Tablo5[[#This Row],[KALIP GÖZ ADEDİ]]," ")</f>
        <v xml:space="preserve"> </v>
      </c>
      <c r="T359" s="100" t="str">
        <f t="shared" si="37"/>
        <v xml:space="preserve"> </v>
      </c>
      <c r="U359" s="100"/>
      <c r="V359" s="100" t="str">
        <f t="shared" si="36"/>
        <v xml:space="preserve"> </v>
      </c>
      <c r="W359" s="101">
        <f t="shared" si="38"/>
        <v>24</v>
      </c>
      <c r="X359" s="102">
        <f t="shared" si="39"/>
        <v>0</v>
      </c>
      <c r="Y359" s="100" t="str">
        <f t="shared" si="40"/>
        <v xml:space="preserve"> </v>
      </c>
      <c r="Z359" s="100" t="str">
        <f t="shared" si="41"/>
        <v xml:space="preserve"> </v>
      </c>
    </row>
    <row r="360" spans="1:26">
      <c r="A360" s="100"/>
      <c r="B360" s="108" t="str">
        <f>IFERROR(VLOOKUP(Tablo5[[#This Row],[ÜRÜN KODU]],YMKODLARI!$A$1:$K$363,2,0)," ")</f>
        <v xml:space="preserve"> </v>
      </c>
      <c r="C360" s="99"/>
      <c r="D360" s="100"/>
      <c r="E360" s="101"/>
      <c r="F360" s="101"/>
      <c r="G360" s="100" t="str">
        <f>IFERROR(VLOOKUP(Tablo5[[#This Row],[ÜRÜN KODU]],YMKODLARI!$A$1:$K$363,3,0)," ")</f>
        <v xml:space="preserve"> </v>
      </c>
      <c r="H360" s="100" t="str">
        <f>IFERROR(VLOOKUP(Tablo5[[#This Row],[ÜRÜN KODU]],YMKODLARI!$A$1:$K$363,4,0)," ")</f>
        <v xml:space="preserve"> </v>
      </c>
      <c r="I360" s="100"/>
      <c r="J360" s="100" t="str">
        <f>IFERROR(VLOOKUP(Tablo5[[#This Row],[ÜRÜN KODU]],YMKODLARI!$A$1:$K$363,9,0)," ")</f>
        <v xml:space="preserve"> </v>
      </c>
      <c r="K360" s="100" t="str">
        <f>IFERROR(VLOOKUP(Tablo5[[#This Row],[BOYA KODU]],Tablo14[#All],4,0)," ")</f>
        <v xml:space="preserve"> </v>
      </c>
      <c r="L360" s="100" t="str">
        <f>IFERROR(VLOOKUP(Tablo5[[#This Row],[BOYA KODU]],Tablo14[#All],6,0)," ")</f>
        <v xml:space="preserve"> </v>
      </c>
      <c r="M360" s="100" t="str">
        <f t="shared" si="35"/>
        <v xml:space="preserve"> </v>
      </c>
      <c r="N360" s="100" t="str">
        <f>IFERROR(VLOOKUP(Tablo5[[#This Row],[ÜRÜN KODU]],YMKODLARI!$A$1:$K$363,8,0)," ")</f>
        <v xml:space="preserve"> </v>
      </c>
      <c r="O360" s="100" t="str">
        <f>IFERROR(VLOOKUP(Tablo5[[#This Row],[HAMMADDE KODU]],Tablo1[#All],3,0)," ")</f>
        <v xml:space="preserve"> </v>
      </c>
      <c r="P360" s="100" t="str">
        <f>IFERROR(VLOOKUP(Tablo5[[#This Row],[HAMMADDE KODU]],Tablo1[#All],4,0)," ")</f>
        <v xml:space="preserve"> </v>
      </c>
      <c r="Q360" s="100" t="str">
        <f>IFERROR(VLOOKUP(Tablo5[[#This Row],[ÜRÜN KODU]],YMKODLARI!$A$1:$K$363,5,0)," ")</f>
        <v xml:space="preserve"> </v>
      </c>
      <c r="R360" s="100" t="str">
        <f>IFERROR(VLOOKUP(Tablo5[[#This Row],[ÜRÜN KODU]],YMKODLARI!$A$1:$K$363,6,0)," ")</f>
        <v xml:space="preserve"> </v>
      </c>
      <c r="S360" s="100" t="str">
        <f>IFERROR(Tablo5[[#This Row],[YOLLUK HARİÇ BASKI GRAMI]]/Tablo5[[#This Row],[KALIP GÖZ ADEDİ]]," ")</f>
        <v xml:space="preserve"> </v>
      </c>
      <c r="T360" s="100" t="str">
        <f t="shared" si="37"/>
        <v xml:space="preserve"> </v>
      </c>
      <c r="U360" s="100"/>
      <c r="V360" s="100" t="str">
        <f t="shared" si="36"/>
        <v xml:space="preserve"> </v>
      </c>
      <c r="W360" s="101">
        <f t="shared" si="38"/>
        <v>24</v>
      </c>
      <c r="X360" s="102">
        <f t="shared" si="39"/>
        <v>0</v>
      </c>
      <c r="Y360" s="100" t="str">
        <f t="shared" si="40"/>
        <v xml:space="preserve"> </v>
      </c>
      <c r="Z360" s="100" t="str">
        <f t="shared" si="41"/>
        <v xml:space="preserve"> </v>
      </c>
    </row>
    <row r="361" spans="1:26">
      <c r="A361" s="100"/>
      <c r="B361" s="108" t="str">
        <f>IFERROR(VLOOKUP(Tablo5[[#This Row],[ÜRÜN KODU]],YMKODLARI!$A$1:$K$363,2,0)," ")</f>
        <v xml:space="preserve"> </v>
      </c>
      <c r="C361" s="99"/>
      <c r="D361" s="100"/>
      <c r="E361" s="101"/>
      <c r="F361" s="101"/>
      <c r="G361" s="100" t="str">
        <f>IFERROR(VLOOKUP(Tablo5[[#This Row],[ÜRÜN KODU]],YMKODLARI!$A$1:$K$363,3,0)," ")</f>
        <v xml:space="preserve"> </v>
      </c>
      <c r="H361" s="100" t="str">
        <f>IFERROR(VLOOKUP(Tablo5[[#This Row],[ÜRÜN KODU]],YMKODLARI!$A$1:$K$363,4,0)," ")</f>
        <v xml:space="preserve"> </v>
      </c>
      <c r="I361" s="100"/>
      <c r="J361" s="100" t="str">
        <f>IFERROR(VLOOKUP(Tablo5[[#This Row],[ÜRÜN KODU]],YMKODLARI!$A$1:$K$363,9,0)," ")</f>
        <v xml:space="preserve"> </v>
      </c>
      <c r="K361" s="100" t="str">
        <f>IFERROR(VLOOKUP(Tablo5[[#This Row],[BOYA KODU]],Tablo14[#All],4,0)," ")</f>
        <v xml:space="preserve"> </v>
      </c>
      <c r="L361" s="100" t="str">
        <f>IFERROR(VLOOKUP(Tablo5[[#This Row],[BOYA KODU]],Tablo14[#All],6,0)," ")</f>
        <v xml:space="preserve"> </v>
      </c>
      <c r="M361" s="100" t="str">
        <f t="shared" si="35"/>
        <v xml:space="preserve"> </v>
      </c>
      <c r="N361" s="100" t="str">
        <f>IFERROR(VLOOKUP(Tablo5[[#This Row],[ÜRÜN KODU]],YMKODLARI!$A$1:$K$363,8,0)," ")</f>
        <v xml:space="preserve"> </v>
      </c>
      <c r="O361" s="100" t="str">
        <f>IFERROR(VLOOKUP(Tablo5[[#This Row],[HAMMADDE KODU]],Tablo1[#All],3,0)," ")</f>
        <v xml:space="preserve"> </v>
      </c>
      <c r="P361" s="100" t="str">
        <f>IFERROR(VLOOKUP(Tablo5[[#This Row],[HAMMADDE KODU]],Tablo1[#All],4,0)," ")</f>
        <v xml:space="preserve"> </v>
      </c>
      <c r="Q361" s="100" t="str">
        <f>IFERROR(VLOOKUP(Tablo5[[#This Row],[ÜRÜN KODU]],YMKODLARI!$A$1:$K$363,5,0)," ")</f>
        <v xml:space="preserve"> </v>
      </c>
      <c r="R361" s="100" t="str">
        <f>IFERROR(VLOOKUP(Tablo5[[#This Row],[ÜRÜN KODU]],YMKODLARI!$A$1:$K$363,6,0)," ")</f>
        <v xml:space="preserve"> </v>
      </c>
      <c r="S361" s="100" t="str">
        <f>IFERROR(Tablo5[[#This Row],[YOLLUK HARİÇ BASKI GRAMI]]/Tablo5[[#This Row],[KALIP GÖZ ADEDİ]]," ")</f>
        <v xml:space="preserve"> </v>
      </c>
      <c r="T361" s="100" t="str">
        <f t="shared" si="37"/>
        <v xml:space="preserve"> </v>
      </c>
      <c r="U361" s="100"/>
      <c r="V361" s="100" t="str">
        <f t="shared" si="36"/>
        <v xml:space="preserve"> </v>
      </c>
      <c r="W361" s="101">
        <f t="shared" si="38"/>
        <v>24</v>
      </c>
      <c r="X361" s="102">
        <f t="shared" si="39"/>
        <v>0</v>
      </c>
      <c r="Y361" s="100" t="str">
        <f t="shared" si="40"/>
        <v xml:space="preserve"> </v>
      </c>
      <c r="Z361" s="100" t="str">
        <f t="shared" si="41"/>
        <v xml:space="preserve"> </v>
      </c>
    </row>
    <row r="362" spans="1:26">
      <c r="A362" s="100"/>
      <c r="B362" s="108" t="str">
        <f>IFERROR(VLOOKUP(Tablo5[[#This Row],[ÜRÜN KODU]],YMKODLARI!$A$1:$K$363,2,0)," ")</f>
        <v xml:space="preserve"> </v>
      </c>
      <c r="C362" s="99"/>
      <c r="D362" s="100"/>
      <c r="E362" s="101"/>
      <c r="F362" s="101"/>
      <c r="G362" s="100" t="str">
        <f>IFERROR(VLOOKUP(Tablo5[[#This Row],[ÜRÜN KODU]],YMKODLARI!$A$1:$K$363,3,0)," ")</f>
        <v xml:space="preserve"> </v>
      </c>
      <c r="H362" s="100" t="str">
        <f>IFERROR(VLOOKUP(Tablo5[[#This Row],[ÜRÜN KODU]],YMKODLARI!$A$1:$K$363,4,0)," ")</f>
        <v xml:space="preserve"> </v>
      </c>
      <c r="I362" s="100"/>
      <c r="J362" s="100" t="str">
        <f>IFERROR(VLOOKUP(Tablo5[[#This Row],[ÜRÜN KODU]],YMKODLARI!$A$1:$K$363,9,0)," ")</f>
        <v xml:space="preserve"> </v>
      </c>
      <c r="K362" s="100" t="str">
        <f>IFERROR(VLOOKUP(Tablo5[[#This Row],[BOYA KODU]],Tablo14[#All],4,0)," ")</f>
        <v xml:space="preserve"> </v>
      </c>
      <c r="L362" s="100" t="str">
        <f>IFERROR(VLOOKUP(Tablo5[[#This Row],[BOYA KODU]],Tablo14[#All],6,0)," ")</f>
        <v xml:space="preserve"> </v>
      </c>
      <c r="M362" s="100" t="str">
        <f t="shared" si="35"/>
        <v xml:space="preserve"> </v>
      </c>
      <c r="N362" s="100" t="str">
        <f>IFERROR(VLOOKUP(Tablo5[[#This Row],[ÜRÜN KODU]],YMKODLARI!$A$1:$K$363,8,0)," ")</f>
        <v xml:space="preserve"> </v>
      </c>
      <c r="O362" s="100" t="str">
        <f>IFERROR(VLOOKUP(Tablo5[[#This Row],[HAMMADDE KODU]],Tablo1[#All],3,0)," ")</f>
        <v xml:space="preserve"> </v>
      </c>
      <c r="P362" s="100" t="str">
        <f>IFERROR(VLOOKUP(Tablo5[[#This Row],[HAMMADDE KODU]],Tablo1[#All],4,0)," ")</f>
        <v xml:space="preserve"> </v>
      </c>
      <c r="Q362" s="100" t="str">
        <f>IFERROR(VLOOKUP(Tablo5[[#This Row],[ÜRÜN KODU]],YMKODLARI!$A$1:$K$363,5,0)," ")</f>
        <v xml:space="preserve"> </v>
      </c>
      <c r="R362" s="100" t="str">
        <f>IFERROR(VLOOKUP(Tablo5[[#This Row],[ÜRÜN KODU]],YMKODLARI!$A$1:$K$363,6,0)," ")</f>
        <v xml:space="preserve"> </v>
      </c>
      <c r="S362" s="100" t="str">
        <f>IFERROR(Tablo5[[#This Row],[YOLLUK HARİÇ BASKI GRAMI]]/Tablo5[[#This Row],[KALIP GÖZ ADEDİ]]," ")</f>
        <v xml:space="preserve"> </v>
      </c>
      <c r="T362" s="100" t="str">
        <f t="shared" si="37"/>
        <v xml:space="preserve"> </v>
      </c>
      <c r="U362" s="100"/>
      <c r="V362" s="100" t="str">
        <f t="shared" si="36"/>
        <v xml:space="preserve"> </v>
      </c>
      <c r="W362" s="101">
        <f t="shared" si="38"/>
        <v>24</v>
      </c>
      <c r="X362" s="102">
        <f t="shared" si="39"/>
        <v>0</v>
      </c>
      <c r="Y362" s="100" t="str">
        <f t="shared" si="40"/>
        <v xml:space="preserve"> </v>
      </c>
      <c r="Z362" s="100" t="str">
        <f t="shared" si="41"/>
        <v xml:space="preserve"> </v>
      </c>
    </row>
    <row r="363" spans="1:26">
      <c r="A363" s="100"/>
      <c r="B363" s="108" t="str">
        <f>IFERROR(VLOOKUP(Tablo5[[#This Row],[ÜRÜN KODU]],YMKODLARI!$A$1:$K$363,2,0)," ")</f>
        <v xml:space="preserve"> </v>
      </c>
      <c r="C363" s="99"/>
      <c r="D363" s="100"/>
      <c r="E363" s="101"/>
      <c r="F363" s="101"/>
      <c r="G363" s="100" t="str">
        <f>IFERROR(VLOOKUP(Tablo5[[#This Row],[ÜRÜN KODU]],YMKODLARI!$A$1:$K$363,3,0)," ")</f>
        <v xml:space="preserve"> </v>
      </c>
      <c r="H363" s="100" t="str">
        <f>IFERROR(VLOOKUP(Tablo5[[#This Row],[ÜRÜN KODU]],YMKODLARI!$A$1:$K$363,4,0)," ")</f>
        <v xml:space="preserve"> </v>
      </c>
      <c r="I363" s="100"/>
      <c r="J363" s="100" t="str">
        <f>IFERROR(VLOOKUP(Tablo5[[#This Row],[ÜRÜN KODU]],YMKODLARI!$A$1:$K$363,9,0)," ")</f>
        <v xml:space="preserve"> </v>
      </c>
      <c r="K363" s="100" t="str">
        <f>IFERROR(VLOOKUP(Tablo5[[#This Row],[BOYA KODU]],Tablo14[#All],4,0)," ")</f>
        <v xml:space="preserve"> </v>
      </c>
      <c r="L363" s="100" t="str">
        <f>IFERROR(VLOOKUP(Tablo5[[#This Row],[BOYA KODU]],Tablo14[#All],6,0)," ")</f>
        <v xml:space="preserve"> </v>
      </c>
      <c r="M363" s="100" t="str">
        <f t="shared" si="35"/>
        <v xml:space="preserve"> </v>
      </c>
      <c r="N363" s="100" t="str">
        <f>IFERROR(VLOOKUP(Tablo5[[#This Row],[ÜRÜN KODU]],YMKODLARI!$A$1:$K$363,8,0)," ")</f>
        <v xml:space="preserve"> </v>
      </c>
      <c r="O363" s="100" t="str">
        <f>IFERROR(VLOOKUP(Tablo5[[#This Row],[HAMMADDE KODU]],Tablo1[#All],3,0)," ")</f>
        <v xml:space="preserve"> </v>
      </c>
      <c r="P363" s="100" t="str">
        <f>IFERROR(VLOOKUP(Tablo5[[#This Row],[HAMMADDE KODU]],Tablo1[#All],4,0)," ")</f>
        <v xml:space="preserve"> </v>
      </c>
      <c r="Q363" s="100" t="str">
        <f>IFERROR(VLOOKUP(Tablo5[[#This Row],[ÜRÜN KODU]],YMKODLARI!$A$1:$K$363,5,0)," ")</f>
        <v xml:space="preserve"> </v>
      </c>
      <c r="R363" s="100" t="str">
        <f>IFERROR(VLOOKUP(Tablo5[[#This Row],[ÜRÜN KODU]],YMKODLARI!$A$1:$K$363,6,0)," ")</f>
        <v xml:space="preserve"> </v>
      </c>
      <c r="S363" s="100" t="str">
        <f>IFERROR(Tablo5[[#This Row],[YOLLUK HARİÇ BASKI GRAMI]]/Tablo5[[#This Row],[KALIP GÖZ ADEDİ]]," ")</f>
        <v xml:space="preserve"> </v>
      </c>
      <c r="T363" s="100" t="str">
        <f t="shared" si="37"/>
        <v xml:space="preserve"> </v>
      </c>
      <c r="U363" s="100"/>
      <c r="V363" s="100" t="str">
        <f t="shared" si="36"/>
        <v xml:space="preserve"> </v>
      </c>
      <c r="W363" s="101">
        <f t="shared" si="38"/>
        <v>24</v>
      </c>
      <c r="X363" s="102">
        <f t="shared" si="39"/>
        <v>0</v>
      </c>
      <c r="Y363" s="100" t="str">
        <f t="shared" si="40"/>
        <v xml:space="preserve"> </v>
      </c>
      <c r="Z363" s="100" t="str">
        <f t="shared" si="41"/>
        <v xml:space="preserve"> </v>
      </c>
    </row>
    <row r="364" spans="1:26">
      <c r="A364" s="100"/>
      <c r="B364" s="108" t="str">
        <f>IFERROR(VLOOKUP(Tablo5[[#This Row],[ÜRÜN KODU]],YMKODLARI!$A$1:$K$363,2,0)," ")</f>
        <v xml:space="preserve"> </v>
      </c>
      <c r="C364" s="99"/>
      <c r="D364" s="100"/>
      <c r="E364" s="101"/>
      <c r="F364" s="101"/>
      <c r="G364" s="100" t="str">
        <f>IFERROR(VLOOKUP(Tablo5[[#This Row],[ÜRÜN KODU]],YMKODLARI!$A$1:$K$363,3,0)," ")</f>
        <v xml:space="preserve"> </v>
      </c>
      <c r="H364" s="100" t="str">
        <f>IFERROR(VLOOKUP(Tablo5[[#This Row],[ÜRÜN KODU]],YMKODLARI!$A$1:$K$363,4,0)," ")</f>
        <v xml:space="preserve"> </v>
      </c>
      <c r="I364" s="100"/>
      <c r="J364" s="100" t="str">
        <f>IFERROR(VLOOKUP(Tablo5[[#This Row],[ÜRÜN KODU]],YMKODLARI!$A$1:$K$363,9,0)," ")</f>
        <v xml:space="preserve"> </v>
      </c>
      <c r="K364" s="100" t="str">
        <f>IFERROR(VLOOKUP(Tablo5[[#This Row],[BOYA KODU]],Tablo14[#All],4,0)," ")</f>
        <v xml:space="preserve"> </v>
      </c>
      <c r="L364" s="100" t="str">
        <f>IFERROR(VLOOKUP(Tablo5[[#This Row],[BOYA KODU]],Tablo14[#All],6,0)," ")</f>
        <v xml:space="preserve"> </v>
      </c>
      <c r="M364" s="100" t="str">
        <f t="shared" si="35"/>
        <v xml:space="preserve"> </v>
      </c>
      <c r="N364" s="100" t="str">
        <f>IFERROR(VLOOKUP(Tablo5[[#This Row],[ÜRÜN KODU]],YMKODLARI!$A$1:$K$363,8,0)," ")</f>
        <v xml:space="preserve"> </v>
      </c>
      <c r="O364" s="100" t="str">
        <f>IFERROR(VLOOKUP(Tablo5[[#This Row],[HAMMADDE KODU]],Tablo1[#All],3,0)," ")</f>
        <v xml:space="preserve"> </v>
      </c>
      <c r="P364" s="100" t="str">
        <f>IFERROR(VLOOKUP(Tablo5[[#This Row],[HAMMADDE KODU]],Tablo1[#All],4,0)," ")</f>
        <v xml:space="preserve"> </v>
      </c>
      <c r="Q364" s="100" t="str">
        <f>IFERROR(VLOOKUP(Tablo5[[#This Row],[ÜRÜN KODU]],YMKODLARI!$A$1:$K$363,5,0)," ")</f>
        <v xml:space="preserve"> </v>
      </c>
      <c r="R364" s="100" t="str">
        <f>IFERROR(VLOOKUP(Tablo5[[#This Row],[ÜRÜN KODU]],YMKODLARI!$A$1:$K$363,6,0)," ")</f>
        <v xml:space="preserve"> </v>
      </c>
      <c r="S364" s="100" t="str">
        <f>IFERROR(Tablo5[[#This Row],[YOLLUK HARİÇ BASKI GRAMI]]/Tablo5[[#This Row],[KALIP GÖZ ADEDİ]]," ")</f>
        <v xml:space="preserve"> </v>
      </c>
      <c r="T364" s="100" t="str">
        <f t="shared" si="37"/>
        <v xml:space="preserve"> </v>
      </c>
      <c r="U364" s="100"/>
      <c r="V364" s="100" t="str">
        <f t="shared" si="36"/>
        <v xml:space="preserve"> </v>
      </c>
      <c r="W364" s="101">
        <f t="shared" si="38"/>
        <v>24</v>
      </c>
      <c r="X364" s="102">
        <f t="shared" si="39"/>
        <v>0</v>
      </c>
      <c r="Y364" s="100" t="str">
        <f t="shared" si="40"/>
        <v xml:space="preserve"> </v>
      </c>
      <c r="Z364" s="100" t="str">
        <f t="shared" si="41"/>
        <v xml:space="preserve"> </v>
      </c>
    </row>
    <row r="365" spans="1:26">
      <c r="A365" s="100"/>
      <c r="B365" s="108" t="str">
        <f>IFERROR(VLOOKUP(Tablo5[[#This Row],[ÜRÜN KODU]],YMKODLARI!$A$1:$K$363,2,0)," ")</f>
        <v xml:space="preserve"> </v>
      </c>
      <c r="C365" s="99"/>
      <c r="D365" s="100"/>
      <c r="E365" s="101"/>
      <c r="F365" s="101"/>
      <c r="G365" s="100" t="str">
        <f>IFERROR(VLOOKUP(Tablo5[[#This Row],[ÜRÜN KODU]],YMKODLARI!$A$1:$K$363,3,0)," ")</f>
        <v xml:space="preserve"> </v>
      </c>
      <c r="H365" s="100" t="str">
        <f>IFERROR(VLOOKUP(Tablo5[[#This Row],[ÜRÜN KODU]],YMKODLARI!$A$1:$K$363,4,0)," ")</f>
        <v xml:space="preserve"> </v>
      </c>
      <c r="I365" s="100"/>
      <c r="J365" s="100" t="str">
        <f>IFERROR(VLOOKUP(Tablo5[[#This Row],[ÜRÜN KODU]],YMKODLARI!$A$1:$K$363,9,0)," ")</f>
        <v xml:space="preserve"> </v>
      </c>
      <c r="K365" s="100" t="str">
        <f>IFERROR(VLOOKUP(Tablo5[[#This Row],[BOYA KODU]],Tablo14[#All],4,0)," ")</f>
        <v xml:space="preserve"> </v>
      </c>
      <c r="L365" s="100" t="str">
        <f>IFERROR(VLOOKUP(Tablo5[[#This Row],[BOYA KODU]],Tablo14[#All],6,0)," ")</f>
        <v xml:space="preserve"> </v>
      </c>
      <c r="M365" s="100" t="str">
        <f t="shared" si="35"/>
        <v xml:space="preserve"> </v>
      </c>
      <c r="N365" s="100" t="str">
        <f>IFERROR(VLOOKUP(Tablo5[[#This Row],[ÜRÜN KODU]],YMKODLARI!$A$1:$K$363,8,0)," ")</f>
        <v xml:space="preserve"> </v>
      </c>
      <c r="O365" s="100" t="str">
        <f>IFERROR(VLOOKUP(Tablo5[[#This Row],[HAMMADDE KODU]],Tablo1[#All],3,0)," ")</f>
        <v xml:space="preserve"> </v>
      </c>
      <c r="P365" s="100" t="str">
        <f>IFERROR(VLOOKUP(Tablo5[[#This Row],[HAMMADDE KODU]],Tablo1[#All],4,0)," ")</f>
        <v xml:space="preserve"> </v>
      </c>
      <c r="Q365" s="100" t="str">
        <f>IFERROR(VLOOKUP(Tablo5[[#This Row],[ÜRÜN KODU]],YMKODLARI!$A$1:$K$363,5,0)," ")</f>
        <v xml:space="preserve"> </v>
      </c>
      <c r="R365" s="100" t="str">
        <f>IFERROR(VLOOKUP(Tablo5[[#This Row],[ÜRÜN KODU]],YMKODLARI!$A$1:$K$363,6,0)," ")</f>
        <v xml:space="preserve"> </v>
      </c>
      <c r="S365" s="100" t="str">
        <f>IFERROR(Tablo5[[#This Row],[YOLLUK HARİÇ BASKI GRAMI]]/Tablo5[[#This Row],[KALIP GÖZ ADEDİ]]," ")</f>
        <v xml:space="preserve"> </v>
      </c>
      <c r="T365" s="100" t="str">
        <f t="shared" si="37"/>
        <v xml:space="preserve"> </v>
      </c>
      <c r="U365" s="100"/>
      <c r="V365" s="100" t="str">
        <f t="shared" si="36"/>
        <v xml:space="preserve"> </v>
      </c>
      <c r="W365" s="101">
        <f t="shared" si="38"/>
        <v>24</v>
      </c>
      <c r="X365" s="102">
        <f t="shared" si="39"/>
        <v>0</v>
      </c>
      <c r="Y365" s="100" t="str">
        <f t="shared" si="40"/>
        <v xml:space="preserve"> </v>
      </c>
      <c r="Z365" s="100" t="str">
        <f t="shared" si="41"/>
        <v xml:space="preserve"> </v>
      </c>
    </row>
    <row r="366" spans="1:26">
      <c r="A366" s="100"/>
      <c r="B366" s="108" t="str">
        <f>IFERROR(VLOOKUP(Tablo5[[#This Row],[ÜRÜN KODU]],YMKODLARI!$A$1:$K$363,2,0)," ")</f>
        <v xml:space="preserve"> </v>
      </c>
      <c r="C366" s="99"/>
      <c r="D366" s="100"/>
      <c r="E366" s="101"/>
      <c r="F366" s="101"/>
      <c r="G366" s="100" t="str">
        <f>IFERROR(VLOOKUP(Tablo5[[#This Row],[ÜRÜN KODU]],YMKODLARI!$A$1:$K$363,3,0)," ")</f>
        <v xml:space="preserve"> </v>
      </c>
      <c r="H366" s="100" t="str">
        <f>IFERROR(VLOOKUP(Tablo5[[#This Row],[ÜRÜN KODU]],YMKODLARI!$A$1:$K$363,4,0)," ")</f>
        <v xml:space="preserve"> </v>
      </c>
      <c r="I366" s="100"/>
      <c r="J366" s="100" t="str">
        <f>IFERROR(VLOOKUP(Tablo5[[#This Row],[ÜRÜN KODU]],YMKODLARI!$A$1:$K$363,9,0)," ")</f>
        <v xml:space="preserve"> </v>
      </c>
      <c r="K366" s="100" t="str">
        <f>IFERROR(VLOOKUP(Tablo5[[#This Row],[BOYA KODU]],Tablo14[#All],4,0)," ")</f>
        <v xml:space="preserve"> </v>
      </c>
      <c r="L366" s="100" t="str">
        <f>IFERROR(VLOOKUP(Tablo5[[#This Row],[BOYA KODU]],Tablo14[#All],6,0)," ")</f>
        <v xml:space="preserve"> </v>
      </c>
      <c r="M366" s="100" t="str">
        <f t="shared" si="35"/>
        <v xml:space="preserve"> </v>
      </c>
      <c r="N366" s="100" t="str">
        <f>IFERROR(VLOOKUP(Tablo5[[#This Row],[ÜRÜN KODU]],YMKODLARI!$A$1:$K$363,8,0)," ")</f>
        <v xml:space="preserve"> </v>
      </c>
      <c r="O366" s="100" t="str">
        <f>IFERROR(VLOOKUP(Tablo5[[#This Row],[HAMMADDE KODU]],Tablo1[#All],3,0)," ")</f>
        <v xml:space="preserve"> </v>
      </c>
      <c r="P366" s="100" t="str">
        <f>IFERROR(VLOOKUP(Tablo5[[#This Row],[HAMMADDE KODU]],Tablo1[#All],4,0)," ")</f>
        <v xml:space="preserve"> </v>
      </c>
      <c r="Q366" s="100" t="str">
        <f>IFERROR(VLOOKUP(Tablo5[[#This Row],[ÜRÜN KODU]],YMKODLARI!$A$1:$K$363,5,0)," ")</f>
        <v xml:space="preserve"> </v>
      </c>
      <c r="R366" s="100" t="str">
        <f>IFERROR(VLOOKUP(Tablo5[[#This Row],[ÜRÜN KODU]],YMKODLARI!$A$1:$K$363,6,0)," ")</f>
        <v xml:space="preserve"> </v>
      </c>
      <c r="S366" s="100" t="str">
        <f>IFERROR(Tablo5[[#This Row],[YOLLUK HARİÇ BASKI GRAMI]]/Tablo5[[#This Row],[KALIP GÖZ ADEDİ]]," ")</f>
        <v xml:space="preserve"> </v>
      </c>
      <c r="T366" s="100" t="str">
        <f t="shared" si="37"/>
        <v xml:space="preserve"> </v>
      </c>
      <c r="U366" s="100"/>
      <c r="V366" s="100" t="str">
        <f t="shared" si="36"/>
        <v xml:space="preserve"> </v>
      </c>
      <c r="W366" s="101">
        <f t="shared" si="38"/>
        <v>24</v>
      </c>
      <c r="X366" s="102">
        <f t="shared" si="39"/>
        <v>0</v>
      </c>
      <c r="Y366" s="100" t="str">
        <f t="shared" si="40"/>
        <v xml:space="preserve"> </v>
      </c>
      <c r="Z366" s="100" t="str">
        <f t="shared" si="41"/>
        <v xml:space="preserve"> </v>
      </c>
    </row>
    <row r="367" spans="1:26">
      <c r="A367" s="100"/>
      <c r="B367" s="108" t="str">
        <f>IFERROR(VLOOKUP(Tablo5[[#This Row],[ÜRÜN KODU]],YMKODLARI!$A$1:$K$363,2,0)," ")</f>
        <v xml:space="preserve"> </v>
      </c>
      <c r="C367" s="99"/>
      <c r="D367" s="100"/>
      <c r="E367" s="101"/>
      <c r="F367" s="101"/>
      <c r="G367" s="100" t="str">
        <f>IFERROR(VLOOKUP(Tablo5[[#This Row],[ÜRÜN KODU]],YMKODLARI!$A$1:$K$363,3,0)," ")</f>
        <v xml:space="preserve"> </v>
      </c>
      <c r="H367" s="100" t="str">
        <f>IFERROR(VLOOKUP(Tablo5[[#This Row],[ÜRÜN KODU]],YMKODLARI!$A$1:$K$363,4,0)," ")</f>
        <v xml:space="preserve"> </v>
      </c>
      <c r="I367" s="100"/>
      <c r="J367" s="100" t="str">
        <f>IFERROR(VLOOKUP(Tablo5[[#This Row],[ÜRÜN KODU]],YMKODLARI!$A$1:$K$363,9,0)," ")</f>
        <v xml:space="preserve"> </v>
      </c>
      <c r="K367" s="100" t="str">
        <f>IFERROR(VLOOKUP(Tablo5[[#This Row],[BOYA KODU]],Tablo14[#All],4,0)," ")</f>
        <v xml:space="preserve"> </v>
      </c>
      <c r="L367" s="100" t="str">
        <f>IFERROR(VLOOKUP(Tablo5[[#This Row],[BOYA KODU]],Tablo14[#All],6,0)," ")</f>
        <v xml:space="preserve"> </v>
      </c>
      <c r="M367" s="100" t="str">
        <f t="shared" si="35"/>
        <v xml:space="preserve"> </v>
      </c>
      <c r="N367" s="100" t="str">
        <f>IFERROR(VLOOKUP(Tablo5[[#This Row],[ÜRÜN KODU]],YMKODLARI!$A$1:$K$363,8,0)," ")</f>
        <v xml:space="preserve"> </v>
      </c>
      <c r="O367" s="100" t="str">
        <f>IFERROR(VLOOKUP(Tablo5[[#This Row],[HAMMADDE KODU]],Tablo1[#All],3,0)," ")</f>
        <v xml:space="preserve"> </v>
      </c>
      <c r="P367" s="100" t="str">
        <f>IFERROR(VLOOKUP(Tablo5[[#This Row],[HAMMADDE KODU]],Tablo1[#All],4,0)," ")</f>
        <v xml:space="preserve"> </v>
      </c>
      <c r="Q367" s="100" t="str">
        <f>IFERROR(VLOOKUP(Tablo5[[#This Row],[ÜRÜN KODU]],YMKODLARI!$A$1:$K$363,5,0)," ")</f>
        <v xml:space="preserve"> </v>
      </c>
      <c r="R367" s="100" t="str">
        <f>IFERROR(VLOOKUP(Tablo5[[#This Row],[ÜRÜN KODU]],YMKODLARI!$A$1:$K$363,6,0)," ")</f>
        <v xml:space="preserve"> </v>
      </c>
      <c r="S367" s="100" t="str">
        <f>IFERROR(Tablo5[[#This Row],[YOLLUK HARİÇ BASKI GRAMI]]/Tablo5[[#This Row],[KALIP GÖZ ADEDİ]]," ")</f>
        <v xml:space="preserve"> </v>
      </c>
      <c r="T367" s="100" t="str">
        <f t="shared" si="37"/>
        <v xml:space="preserve"> </v>
      </c>
      <c r="U367" s="100"/>
      <c r="V367" s="100" t="str">
        <f t="shared" si="36"/>
        <v xml:space="preserve"> </v>
      </c>
      <c r="W367" s="101">
        <f t="shared" si="38"/>
        <v>24</v>
      </c>
      <c r="X367" s="102">
        <f t="shared" si="39"/>
        <v>0</v>
      </c>
      <c r="Y367" s="100" t="str">
        <f t="shared" si="40"/>
        <v xml:space="preserve"> </v>
      </c>
      <c r="Z367" s="100" t="str">
        <f t="shared" si="41"/>
        <v xml:space="preserve"> </v>
      </c>
    </row>
    <row r="368" spans="1:26">
      <c r="A368" s="100"/>
      <c r="B368" s="108" t="str">
        <f>IFERROR(VLOOKUP(Tablo5[[#This Row],[ÜRÜN KODU]],YMKODLARI!$A$1:$K$363,2,0)," ")</f>
        <v xml:space="preserve"> </v>
      </c>
      <c r="C368" s="99"/>
      <c r="D368" s="100"/>
      <c r="E368" s="101"/>
      <c r="F368" s="101"/>
      <c r="G368" s="100" t="str">
        <f>IFERROR(VLOOKUP(Tablo5[[#This Row],[ÜRÜN KODU]],YMKODLARI!$A$1:$K$363,3,0)," ")</f>
        <v xml:space="preserve"> </v>
      </c>
      <c r="H368" s="100" t="str">
        <f>IFERROR(VLOOKUP(Tablo5[[#This Row],[ÜRÜN KODU]],YMKODLARI!$A$1:$K$363,4,0)," ")</f>
        <v xml:space="preserve"> </v>
      </c>
      <c r="I368" s="100"/>
      <c r="J368" s="100" t="str">
        <f>IFERROR(VLOOKUP(Tablo5[[#This Row],[ÜRÜN KODU]],YMKODLARI!$A$1:$K$363,9,0)," ")</f>
        <v xml:space="preserve"> </v>
      </c>
      <c r="K368" s="100" t="str">
        <f>IFERROR(VLOOKUP(Tablo5[[#This Row],[BOYA KODU]],Tablo14[#All],4,0)," ")</f>
        <v xml:space="preserve"> </v>
      </c>
      <c r="L368" s="100" t="str">
        <f>IFERROR(VLOOKUP(Tablo5[[#This Row],[BOYA KODU]],Tablo14[#All],6,0)," ")</f>
        <v xml:space="preserve"> </v>
      </c>
      <c r="M368" s="100" t="str">
        <f t="shared" si="35"/>
        <v xml:space="preserve"> </v>
      </c>
      <c r="N368" s="100" t="str">
        <f>IFERROR(VLOOKUP(Tablo5[[#This Row],[ÜRÜN KODU]],YMKODLARI!$A$1:$K$363,8,0)," ")</f>
        <v xml:space="preserve"> </v>
      </c>
      <c r="O368" s="100" t="str">
        <f>IFERROR(VLOOKUP(Tablo5[[#This Row],[HAMMADDE KODU]],Tablo1[#All],3,0)," ")</f>
        <v xml:space="preserve"> </v>
      </c>
      <c r="P368" s="100" t="str">
        <f>IFERROR(VLOOKUP(Tablo5[[#This Row],[HAMMADDE KODU]],Tablo1[#All],4,0)," ")</f>
        <v xml:space="preserve"> </v>
      </c>
      <c r="Q368" s="100" t="str">
        <f>IFERROR(VLOOKUP(Tablo5[[#This Row],[ÜRÜN KODU]],YMKODLARI!$A$1:$K$363,5,0)," ")</f>
        <v xml:space="preserve"> </v>
      </c>
      <c r="R368" s="100" t="str">
        <f>IFERROR(VLOOKUP(Tablo5[[#This Row],[ÜRÜN KODU]],YMKODLARI!$A$1:$K$363,6,0)," ")</f>
        <v xml:space="preserve"> </v>
      </c>
      <c r="S368" s="100" t="str">
        <f>IFERROR(Tablo5[[#This Row],[YOLLUK HARİÇ BASKI GRAMI]]/Tablo5[[#This Row],[KALIP GÖZ ADEDİ]]," ")</f>
        <v xml:space="preserve"> </v>
      </c>
      <c r="T368" s="100" t="str">
        <f t="shared" si="37"/>
        <v xml:space="preserve"> </v>
      </c>
      <c r="U368" s="100"/>
      <c r="V368" s="100" t="str">
        <f t="shared" si="36"/>
        <v xml:space="preserve"> </v>
      </c>
      <c r="W368" s="101">
        <f t="shared" si="38"/>
        <v>24</v>
      </c>
      <c r="X368" s="102">
        <f t="shared" si="39"/>
        <v>0</v>
      </c>
      <c r="Y368" s="100" t="str">
        <f t="shared" si="40"/>
        <v xml:space="preserve"> </v>
      </c>
      <c r="Z368" s="100" t="str">
        <f t="shared" si="41"/>
        <v xml:space="preserve"> </v>
      </c>
    </row>
    <row r="369" spans="1:26">
      <c r="A369" s="100"/>
      <c r="B369" s="108" t="str">
        <f>IFERROR(VLOOKUP(Tablo5[[#This Row],[ÜRÜN KODU]],YMKODLARI!$A$1:$K$363,2,0)," ")</f>
        <v xml:space="preserve"> </v>
      </c>
      <c r="C369" s="99"/>
      <c r="D369" s="100"/>
      <c r="E369" s="101"/>
      <c r="F369" s="101"/>
      <c r="G369" s="100" t="str">
        <f>IFERROR(VLOOKUP(Tablo5[[#This Row],[ÜRÜN KODU]],YMKODLARI!$A$1:$K$363,3,0)," ")</f>
        <v xml:space="preserve"> </v>
      </c>
      <c r="H369" s="100" t="str">
        <f>IFERROR(VLOOKUP(Tablo5[[#This Row],[ÜRÜN KODU]],YMKODLARI!$A$1:$K$363,4,0)," ")</f>
        <v xml:space="preserve"> </v>
      </c>
      <c r="I369" s="100"/>
      <c r="J369" s="100" t="str">
        <f>IFERROR(VLOOKUP(Tablo5[[#This Row],[ÜRÜN KODU]],YMKODLARI!$A$1:$K$363,9,0)," ")</f>
        <v xml:space="preserve"> </v>
      </c>
      <c r="K369" s="100" t="str">
        <f>IFERROR(VLOOKUP(Tablo5[[#This Row],[BOYA KODU]],Tablo14[#All],4,0)," ")</f>
        <v xml:space="preserve"> </v>
      </c>
      <c r="L369" s="100" t="str">
        <f>IFERROR(VLOOKUP(Tablo5[[#This Row],[BOYA KODU]],Tablo14[#All],6,0)," ")</f>
        <v xml:space="preserve"> </v>
      </c>
      <c r="M369" s="100" t="str">
        <f t="shared" si="35"/>
        <v xml:space="preserve"> </v>
      </c>
      <c r="N369" s="100" t="str">
        <f>IFERROR(VLOOKUP(Tablo5[[#This Row],[ÜRÜN KODU]],YMKODLARI!$A$1:$K$363,8,0)," ")</f>
        <v xml:space="preserve"> </v>
      </c>
      <c r="O369" s="100" t="str">
        <f>IFERROR(VLOOKUP(Tablo5[[#This Row],[HAMMADDE KODU]],Tablo1[#All],3,0)," ")</f>
        <v xml:space="preserve"> </v>
      </c>
      <c r="P369" s="100" t="str">
        <f>IFERROR(VLOOKUP(Tablo5[[#This Row],[HAMMADDE KODU]],Tablo1[#All],4,0)," ")</f>
        <v xml:space="preserve"> </v>
      </c>
      <c r="Q369" s="100" t="str">
        <f>IFERROR(VLOOKUP(Tablo5[[#This Row],[ÜRÜN KODU]],YMKODLARI!$A$1:$K$363,5,0)," ")</f>
        <v xml:space="preserve"> </v>
      </c>
      <c r="R369" s="100" t="str">
        <f>IFERROR(VLOOKUP(Tablo5[[#This Row],[ÜRÜN KODU]],YMKODLARI!$A$1:$K$363,6,0)," ")</f>
        <v xml:space="preserve"> </v>
      </c>
      <c r="S369" s="100" t="str">
        <f>IFERROR(Tablo5[[#This Row],[YOLLUK HARİÇ BASKI GRAMI]]/Tablo5[[#This Row],[KALIP GÖZ ADEDİ]]," ")</f>
        <v xml:space="preserve"> </v>
      </c>
      <c r="T369" s="100" t="str">
        <f t="shared" si="37"/>
        <v xml:space="preserve"> </v>
      </c>
      <c r="U369" s="100"/>
      <c r="V369" s="100" t="str">
        <f t="shared" si="36"/>
        <v xml:space="preserve"> </v>
      </c>
      <c r="W369" s="101">
        <f t="shared" si="38"/>
        <v>24</v>
      </c>
      <c r="X369" s="102">
        <f t="shared" si="39"/>
        <v>0</v>
      </c>
      <c r="Y369" s="100" t="str">
        <f t="shared" si="40"/>
        <v xml:space="preserve"> </v>
      </c>
      <c r="Z369" s="100" t="str">
        <f t="shared" si="41"/>
        <v xml:space="preserve"> </v>
      </c>
    </row>
    <row r="370" spans="1:26">
      <c r="A370" s="100"/>
      <c r="B370" s="108" t="str">
        <f>IFERROR(VLOOKUP(Tablo5[[#This Row],[ÜRÜN KODU]],YMKODLARI!$A$1:$K$363,2,0)," ")</f>
        <v xml:space="preserve"> </v>
      </c>
      <c r="C370" s="99"/>
      <c r="D370" s="100"/>
      <c r="E370" s="101"/>
      <c r="F370" s="101"/>
      <c r="G370" s="100" t="str">
        <f>IFERROR(VLOOKUP(Tablo5[[#This Row],[ÜRÜN KODU]],YMKODLARI!$A$1:$K$363,3,0)," ")</f>
        <v xml:space="preserve"> </v>
      </c>
      <c r="H370" s="100" t="str">
        <f>IFERROR(VLOOKUP(Tablo5[[#This Row],[ÜRÜN KODU]],YMKODLARI!$A$1:$K$363,4,0)," ")</f>
        <v xml:space="preserve"> </v>
      </c>
      <c r="I370" s="100"/>
      <c r="J370" s="100" t="str">
        <f>IFERROR(VLOOKUP(Tablo5[[#This Row],[ÜRÜN KODU]],YMKODLARI!$A$1:$K$363,9,0)," ")</f>
        <v xml:space="preserve"> </v>
      </c>
      <c r="K370" s="100" t="str">
        <f>IFERROR(VLOOKUP(Tablo5[[#This Row],[BOYA KODU]],Tablo14[#All],4,0)," ")</f>
        <v xml:space="preserve"> </v>
      </c>
      <c r="L370" s="100" t="str">
        <f>IFERROR(VLOOKUP(Tablo5[[#This Row],[BOYA KODU]],Tablo14[#All],6,0)," ")</f>
        <v xml:space="preserve"> </v>
      </c>
      <c r="M370" s="100" t="str">
        <f t="shared" si="35"/>
        <v xml:space="preserve"> </v>
      </c>
      <c r="N370" s="100" t="str">
        <f>IFERROR(VLOOKUP(Tablo5[[#This Row],[ÜRÜN KODU]],YMKODLARI!$A$1:$K$363,8,0)," ")</f>
        <v xml:space="preserve"> </v>
      </c>
      <c r="O370" s="100" t="str">
        <f>IFERROR(VLOOKUP(Tablo5[[#This Row],[HAMMADDE KODU]],Tablo1[#All],3,0)," ")</f>
        <v xml:space="preserve"> </v>
      </c>
      <c r="P370" s="100" t="str">
        <f>IFERROR(VLOOKUP(Tablo5[[#This Row],[HAMMADDE KODU]],Tablo1[#All],4,0)," ")</f>
        <v xml:space="preserve"> </v>
      </c>
      <c r="Q370" s="100" t="str">
        <f>IFERROR(VLOOKUP(Tablo5[[#This Row],[ÜRÜN KODU]],YMKODLARI!$A$1:$K$363,5,0)," ")</f>
        <v xml:space="preserve"> </v>
      </c>
      <c r="R370" s="100" t="str">
        <f>IFERROR(VLOOKUP(Tablo5[[#This Row],[ÜRÜN KODU]],YMKODLARI!$A$1:$K$363,6,0)," ")</f>
        <v xml:space="preserve"> </v>
      </c>
      <c r="S370" s="100" t="str">
        <f>IFERROR(Tablo5[[#This Row],[YOLLUK HARİÇ BASKI GRAMI]]/Tablo5[[#This Row],[KALIP GÖZ ADEDİ]]," ")</f>
        <v xml:space="preserve"> </v>
      </c>
      <c r="T370" s="100" t="str">
        <f t="shared" si="37"/>
        <v xml:space="preserve"> </v>
      </c>
      <c r="U370" s="100"/>
      <c r="V370" s="100" t="str">
        <f t="shared" si="36"/>
        <v xml:space="preserve"> </v>
      </c>
      <c r="W370" s="101">
        <f t="shared" si="38"/>
        <v>24</v>
      </c>
      <c r="X370" s="102">
        <f t="shared" si="39"/>
        <v>0</v>
      </c>
      <c r="Y370" s="100" t="str">
        <f t="shared" si="40"/>
        <v xml:space="preserve"> </v>
      </c>
      <c r="Z370" s="100" t="str">
        <f t="shared" si="41"/>
        <v xml:space="preserve"> </v>
      </c>
    </row>
    <row r="371" spans="1:26">
      <c r="A371" s="100"/>
      <c r="B371" s="108" t="str">
        <f>IFERROR(VLOOKUP(Tablo5[[#This Row],[ÜRÜN KODU]],YMKODLARI!$A$1:$K$363,2,0)," ")</f>
        <v xml:space="preserve"> </v>
      </c>
      <c r="C371" s="99"/>
      <c r="D371" s="100"/>
      <c r="E371" s="101"/>
      <c r="F371" s="101"/>
      <c r="G371" s="100" t="str">
        <f>IFERROR(VLOOKUP(Tablo5[[#This Row],[ÜRÜN KODU]],YMKODLARI!$A$1:$K$363,3,0)," ")</f>
        <v xml:space="preserve"> </v>
      </c>
      <c r="H371" s="100" t="str">
        <f>IFERROR(VLOOKUP(Tablo5[[#This Row],[ÜRÜN KODU]],YMKODLARI!$A$1:$K$363,4,0)," ")</f>
        <v xml:space="preserve"> </v>
      </c>
      <c r="I371" s="100"/>
      <c r="J371" s="100" t="str">
        <f>IFERROR(VLOOKUP(Tablo5[[#This Row],[ÜRÜN KODU]],YMKODLARI!$A$1:$K$363,9,0)," ")</f>
        <v xml:space="preserve"> </v>
      </c>
      <c r="K371" s="100" t="str">
        <f>IFERROR(VLOOKUP(Tablo5[[#This Row],[BOYA KODU]],Tablo14[#All],4,0)," ")</f>
        <v xml:space="preserve"> </v>
      </c>
      <c r="L371" s="100" t="str">
        <f>IFERROR(VLOOKUP(Tablo5[[#This Row],[BOYA KODU]],Tablo14[#All],6,0)," ")</f>
        <v xml:space="preserve"> </v>
      </c>
      <c r="M371" s="100" t="str">
        <f t="shared" si="35"/>
        <v xml:space="preserve"> </v>
      </c>
      <c r="N371" s="100" t="str">
        <f>IFERROR(VLOOKUP(Tablo5[[#This Row],[ÜRÜN KODU]],YMKODLARI!$A$1:$K$363,8,0)," ")</f>
        <v xml:space="preserve"> </v>
      </c>
      <c r="O371" s="100" t="str">
        <f>IFERROR(VLOOKUP(Tablo5[[#This Row],[HAMMADDE KODU]],Tablo1[#All],3,0)," ")</f>
        <v xml:space="preserve"> </v>
      </c>
      <c r="P371" s="100" t="str">
        <f>IFERROR(VLOOKUP(Tablo5[[#This Row],[HAMMADDE KODU]],Tablo1[#All],4,0)," ")</f>
        <v xml:space="preserve"> </v>
      </c>
      <c r="Q371" s="100" t="str">
        <f>IFERROR(VLOOKUP(Tablo5[[#This Row],[ÜRÜN KODU]],YMKODLARI!$A$1:$K$363,5,0)," ")</f>
        <v xml:space="preserve"> </v>
      </c>
      <c r="R371" s="100" t="str">
        <f>IFERROR(VLOOKUP(Tablo5[[#This Row],[ÜRÜN KODU]],YMKODLARI!$A$1:$K$363,6,0)," ")</f>
        <v xml:space="preserve"> </v>
      </c>
      <c r="S371" s="100" t="str">
        <f>IFERROR(Tablo5[[#This Row],[YOLLUK HARİÇ BASKI GRAMI]]/Tablo5[[#This Row],[KALIP GÖZ ADEDİ]]," ")</f>
        <v xml:space="preserve"> </v>
      </c>
      <c r="T371" s="100" t="str">
        <f t="shared" si="37"/>
        <v xml:space="preserve"> </v>
      </c>
      <c r="U371" s="100"/>
      <c r="V371" s="100" t="str">
        <f t="shared" si="36"/>
        <v xml:space="preserve"> </v>
      </c>
      <c r="W371" s="101">
        <f t="shared" si="38"/>
        <v>24</v>
      </c>
      <c r="X371" s="102">
        <f t="shared" si="39"/>
        <v>0</v>
      </c>
      <c r="Y371" s="100" t="str">
        <f t="shared" si="40"/>
        <v xml:space="preserve"> </v>
      </c>
      <c r="Z371" s="100" t="str">
        <f t="shared" si="41"/>
        <v xml:space="preserve"> </v>
      </c>
    </row>
    <row r="372" spans="1:26">
      <c r="A372" s="100"/>
      <c r="B372" s="108" t="str">
        <f>IFERROR(VLOOKUP(Tablo5[[#This Row],[ÜRÜN KODU]],YMKODLARI!$A$1:$K$363,2,0)," ")</f>
        <v xml:space="preserve"> </v>
      </c>
      <c r="C372" s="99"/>
      <c r="D372" s="100"/>
      <c r="E372" s="101"/>
      <c r="F372" s="101"/>
      <c r="G372" s="100" t="str">
        <f>IFERROR(VLOOKUP(Tablo5[[#This Row],[ÜRÜN KODU]],YMKODLARI!$A$1:$K$363,3,0)," ")</f>
        <v xml:space="preserve"> </v>
      </c>
      <c r="H372" s="100" t="str">
        <f>IFERROR(VLOOKUP(Tablo5[[#This Row],[ÜRÜN KODU]],YMKODLARI!$A$1:$K$363,4,0)," ")</f>
        <v xml:space="preserve"> </v>
      </c>
      <c r="I372" s="100"/>
      <c r="J372" s="100" t="str">
        <f>IFERROR(VLOOKUP(Tablo5[[#This Row],[ÜRÜN KODU]],YMKODLARI!$A$1:$K$363,9,0)," ")</f>
        <v xml:space="preserve"> </v>
      </c>
      <c r="K372" s="100" t="str">
        <f>IFERROR(VLOOKUP(Tablo5[[#This Row],[BOYA KODU]],Tablo14[#All],4,0)," ")</f>
        <v xml:space="preserve"> </v>
      </c>
      <c r="L372" s="100" t="str">
        <f>IFERROR(VLOOKUP(Tablo5[[#This Row],[BOYA KODU]],Tablo14[#All],6,0)," ")</f>
        <v xml:space="preserve"> </v>
      </c>
      <c r="M372" s="100" t="str">
        <f t="shared" si="35"/>
        <v xml:space="preserve"> </v>
      </c>
      <c r="N372" s="100" t="str">
        <f>IFERROR(VLOOKUP(Tablo5[[#This Row],[ÜRÜN KODU]],YMKODLARI!$A$1:$K$363,8,0)," ")</f>
        <v xml:space="preserve"> </v>
      </c>
      <c r="O372" s="100" t="str">
        <f>IFERROR(VLOOKUP(Tablo5[[#This Row],[HAMMADDE KODU]],Tablo1[#All],3,0)," ")</f>
        <v xml:space="preserve"> </v>
      </c>
      <c r="P372" s="100" t="str">
        <f>IFERROR(VLOOKUP(Tablo5[[#This Row],[HAMMADDE KODU]],Tablo1[#All],4,0)," ")</f>
        <v xml:space="preserve"> </v>
      </c>
      <c r="Q372" s="100" t="str">
        <f>IFERROR(VLOOKUP(Tablo5[[#This Row],[ÜRÜN KODU]],YMKODLARI!$A$1:$K$363,5,0)," ")</f>
        <v xml:space="preserve"> </v>
      </c>
      <c r="R372" s="100" t="str">
        <f>IFERROR(VLOOKUP(Tablo5[[#This Row],[ÜRÜN KODU]],YMKODLARI!$A$1:$K$363,6,0)," ")</f>
        <v xml:space="preserve"> </v>
      </c>
      <c r="S372" s="100" t="str">
        <f>IFERROR(Tablo5[[#This Row],[YOLLUK HARİÇ BASKI GRAMI]]/Tablo5[[#This Row],[KALIP GÖZ ADEDİ]]," ")</f>
        <v xml:space="preserve"> </v>
      </c>
      <c r="T372" s="100" t="str">
        <f t="shared" si="37"/>
        <v xml:space="preserve"> </v>
      </c>
      <c r="U372" s="100"/>
      <c r="V372" s="100" t="str">
        <f t="shared" si="36"/>
        <v xml:space="preserve"> </v>
      </c>
      <c r="W372" s="101">
        <f t="shared" si="38"/>
        <v>24</v>
      </c>
      <c r="X372" s="102">
        <f t="shared" si="39"/>
        <v>0</v>
      </c>
      <c r="Y372" s="100" t="str">
        <f t="shared" si="40"/>
        <v xml:space="preserve"> </v>
      </c>
      <c r="Z372" s="100" t="str">
        <f t="shared" si="41"/>
        <v xml:space="preserve"> </v>
      </c>
    </row>
    <row r="373" spans="1:26">
      <c r="A373" s="100"/>
      <c r="B373" s="108" t="str">
        <f>IFERROR(VLOOKUP(Tablo5[[#This Row],[ÜRÜN KODU]],YMKODLARI!$A$1:$K$363,2,0)," ")</f>
        <v xml:space="preserve"> </v>
      </c>
      <c r="C373" s="99"/>
      <c r="D373" s="100"/>
      <c r="E373" s="101"/>
      <c r="F373" s="101"/>
      <c r="G373" s="100" t="str">
        <f>IFERROR(VLOOKUP(Tablo5[[#This Row],[ÜRÜN KODU]],YMKODLARI!$A$1:$K$363,3,0)," ")</f>
        <v xml:space="preserve"> </v>
      </c>
      <c r="H373" s="100" t="str">
        <f>IFERROR(VLOOKUP(Tablo5[[#This Row],[ÜRÜN KODU]],YMKODLARI!$A$1:$K$363,4,0)," ")</f>
        <v xml:space="preserve"> </v>
      </c>
      <c r="I373" s="100"/>
      <c r="J373" s="100" t="str">
        <f>IFERROR(VLOOKUP(Tablo5[[#This Row],[ÜRÜN KODU]],YMKODLARI!$A$1:$K$363,9,0)," ")</f>
        <v xml:space="preserve"> </v>
      </c>
      <c r="K373" s="100" t="str">
        <f>IFERROR(VLOOKUP(Tablo5[[#This Row],[BOYA KODU]],Tablo14[#All],4,0)," ")</f>
        <v xml:space="preserve"> </v>
      </c>
      <c r="L373" s="100" t="str">
        <f>IFERROR(VLOOKUP(Tablo5[[#This Row],[BOYA KODU]],Tablo14[#All],6,0)," ")</f>
        <v xml:space="preserve"> </v>
      </c>
      <c r="M373" s="100" t="str">
        <f t="shared" si="35"/>
        <v xml:space="preserve"> </v>
      </c>
      <c r="N373" s="100" t="str">
        <f>IFERROR(VLOOKUP(Tablo5[[#This Row],[ÜRÜN KODU]],YMKODLARI!$A$1:$K$363,8,0)," ")</f>
        <v xml:space="preserve"> </v>
      </c>
      <c r="O373" s="100" t="str">
        <f>IFERROR(VLOOKUP(Tablo5[[#This Row],[HAMMADDE KODU]],Tablo1[#All],3,0)," ")</f>
        <v xml:space="preserve"> </v>
      </c>
      <c r="P373" s="100" t="str">
        <f>IFERROR(VLOOKUP(Tablo5[[#This Row],[HAMMADDE KODU]],Tablo1[#All],4,0)," ")</f>
        <v xml:space="preserve"> </v>
      </c>
      <c r="Q373" s="100" t="str">
        <f>IFERROR(VLOOKUP(Tablo5[[#This Row],[ÜRÜN KODU]],YMKODLARI!$A$1:$K$363,5,0)," ")</f>
        <v xml:space="preserve"> </v>
      </c>
      <c r="R373" s="100" t="str">
        <f>IFERROR(VLOOKUP(Tablo5[[#This Row],[ÜRÜN KODU]],YMKODLARI!$A$1:$K$363,6,0)," ")</f>
        <v xml:space="preserve"> </v>
      </c>
      <c r="S373" s="100" t="str">
        <f>IFERROR(Tablo5[[#This Row],[YOLLUK HARİÇ BASKI GRAMI]]/Tablo5[[#This Row],[KALIP GÖZ ADEDİ]]," ")</f>
        <v xml:space="preserve"> </v>
      </c>
      <c r="T373" s="100" t="str">
        <f t="shared" si="37"/>
        <v xml:space="preserve"> </v>
      </c>
      <c r="U373" s="100"/>
      <c r="V373" s="100" t="str">
        <f t="shared" si="36"/>
        <v xml:space="preserve"> </v>
      </c>
      <c r="W373" s="101">
        <f t="shared" si="38"/>
        <v>24</v>
      </c>
      <c r="X373" s="102">
        <f t="shared" si="39"/>
        <v>0</v>
      </c>
      <c r="Y373" s="100" t="str">
        <f t="shared" si="40"/>
        <v xml:space="preserve"> </v>
      </c>
      <c r="Z373" s="100" t="str">
        <f t="shared" si="41"/>
        <v xml:space="preserve"> </v>
      </c>
    </row>
    <row r="374" spans="1:26">
      <c r="A374" s="100"/>
      <c r="B374" s="108" t="str">
        <f>IFERROR(VLOOKUP(Tablo5[[#This Row],[ÜRÜN KODU]],YMKODLARI!$A$1:$K$363,2,0)," ")</f>
        <v xml:space="preserve"> </v>
      </c>
      <c r="C374" s="99"/>
      <c r="D374" s="100"/>
      <c r="E374" s="101"/>
      <c r="F374" s="101"/>
      <c r="G374" s="100" t="str">
        <f>IFERROR(VLOOKUP(Tablo5[[#This Row],[ÜRÜN KODU]],YMKODLARI!$A$1:$K$363,3,0)," ")</f>
        <v xml:space="preserve"> </v>
      </c>
      <c r="H374" s="100" t="str">
        <f>IFERROR(VLOOKUP(Tablo5[[#This Row],[ÜRÜN KODU]],YMKODLARI!$A$1:$K$363,4,0)," ")</f>
        <v xml:space="preserve"> </v>
      </c>
      <c r="I374" s="100"/>
      <c r="J374" s="100" t="str">
        <f>IFERROR(VLOOKUP(Tablo5[[#This Row],[ÜRÜN KODU]],YMKODLARI!$A$1:$K$363,9,0)," ")</f>
        <v xml:space="preserve"> </v>
      </c>
      <c r="K374" s="100" t="str">
        <f>IFERROR(VLOOKUP(Tablo5[[#This Row],[BOYA KODU]],Tablo14[#All],4,0)," ")</f>
        <v xml:space="preserve"> </v>
      </c>
      <c r="L374" s="100" t="str">
        <f>IFERROR(VLOOKUP(Tablo5[[#This Row],[BOYA KODU]],Tablo14[#All],6,0)," ")</f>
        <v xml:space="preserve"> </v>
      </c>
      <c r="M374" s="100" t="str">
        <f t="shared" si="35"/>
        <v xml:space="preserve"> </v>
      </c>
      <c r="N374" s="100" t="str">
        <f>IFERROR(VLOOKUP(Tablo5[[#This Row],[ÜRÜN KODU]],YMKODLARI!$A$1:$K$363,8,0)," ")</f>
        <v xml:space="preserve"> </v>
      </c>
      <c r="O374" s="100" t="str">
        <f>IFERROR(VLOOKUP(Tablo5[[#This Row],[HAMMADDE KODU]],Tablo1[#All],3,0)," ")</f>
        <v xml:space="preserve"> </v>
      </c>
      <c r="P374" s="100" t="str">
        <f>IFERROR(VLOOKUP(Tablo5[[#This Row],[HAMMADDE KODU]],Tablo1[#All],4,0)," ")</f>
        <v xml:space="preserve"> </v>
      </c>
      <c r="Q374" s="100" t="str">
        <f>IFERROR(VLOOKUP(Tablo5[[#This Row],[ÜRÜN KODU]],YMKODLARI!$A$1:$K$363,5,0)," ")</f>
        <v xml:space="preserve"> </v>
      </c>
      <c r="R374" s="100" t="str">
        <f>IFERROR(VLOOKUP(Tablo5[[#This Row],[ÜRÜN KODU]],YMKODLARI!$A$1:$K$363,6,0)," ")</f>
        <v xml:space="preserve"> </v>
      </c>
      <c r="S374" s="100" t="str">
        <f>IFERROR(Tablo5[[#This Row],[YOLLUK HARİÇ BASKI GRAMI]]/Tablo5[[#This Row],[KALIP GÖZ ADEDİ]]," ")</f>
        <v xml:space="preserve"> </v>
      </c>
      <c r="T374" s="100" t="str">
        <f t="shared" si="37"/>
        <v xml:space="preserve"> </v>
      </c>
      <c r="U374" s="100"/>
      <c r="V374" s="100" t="str">
        <f t="shared" si="36"/>
        <v xml:space="preserve"> </v>
      </c>
      <c r="W374" s="101">
        <f t="shared" si="38"/>
        <v>24</v>
      </c>
      <c r="X374" s="102">
        <f t="shared" si="39"/>
        <v>0</v>
      </c>
      <c r="Y374" s="100" t="str">
        <f t="shared" si="40"/>
        <v xml:space="preserve"> </v>
      </c>
      <c r="Z374" s="100" t="str">
        <f t="shared" si="41"/>
        <v xml:space="preserve"> </v>
      </c>
    </row>
    <row r="375" spans="1:26">
      <c r="A375" s="100"/>
      <c r="B375" s="108" t="str">
        <f>IFERROR(VLOOKUP(Tablo5[[#This Row],[ÜRÜN KODU]],YMKODLARI!$A$1:$K$363,2,0)," ")</f>
        <v xml:space="preserve"> </v>
      </c>
      <c r="C375" s="99"/>
      <c r="D375" s="100"/>
      <c r="E375" s="101"/>
      <c r="F375" s="101"/>
      <c r="G375" s="100" t="str">
        <f>IFERROR(VLOOKUP(Tablo5[[#This Row],[ÜRÜN KODU]],YMKODLARI!$A$1:$K$363,3,0)," ")</f>
        <v xml:space="preserve"> </v>
      </c>
      <c r="H375" s="100" t="str">
        <f>IFERROR(VLOOKUP(Tablo5[[#This Row],[ÜRÜN KODU]],YMKODLARI!$A$1:$K$363,4,0)," ")</f>
        <v xml:space="preserve"> </v>
      </c>
      <c r="I375" s="100"/>
      <c r="J375" s="100" t="str">
        <f>IFERROR(VLOOKUP(Tablo5[[#This Row],[ÜRÜN KODU]],YMKODLARI!$A$1:$K$363,9,0)," ")</f>
        <v xml:space="preserve"> </v>
      </c>
      <c r="K375" s="100" t="str">
        <f>IFERROR(VLOOKUP(Tablo5[[#This Row],[BOYA KODU]],Tablo14[#All],4,0)," ")</f>
        <v xml:space="preserve"> </v>
      </c>
      <c r="L375" s="100" t="str">
        <f>IFERROR(VLOOKUP(Tablo5[[#This Row],[BOYA KODU]],Tablo14[#All],6,0)," ")</f>
        <v xml:space="preserve"> </v>
      </c>
      <c r="M375" s="100" t="str">
        <f t="shared" si="35"/>
        <v xml:space="preserve"> </v>
      </c>
      <c r="N375" s="100" t="str">
        <f>IFERROR(VLOOKUP(Tablo5[[#This Row],[ÜRÜN KODU]],YMKODLARI!$A$1:$K$363,8,0)," ")</f>
        <v xml:space="preserve"> </v>
      </c>
      <c r="O375" s="100" t="str">
        <f>IFERROR(VLOOKUP(Tablo5[[#This Row],[HAMMADDE KODU]],Tablo1[#All],3,0)," ")</f>
        <v xml:space="preserve"> </v>
      </c>
      <c r="P375" s="100" t="str">
        <f>IFERROR(VLOOKUP(Tablo5[[#This Row],[HAMMADDE KODU]],Tablo1[#All],4,0)," ")</f>
        <v xml:space="preserve"> </v>
      </c>
      <c r="Q375" s="100" t="str">
        <f>IFERROR(VLOOKUP(Tablo5[[#This Row],[ÜRÜN KODU]],YMKODLARI!$A$1:$K$363,5,0)," ")</f>
        <v xml:space="preserve"> </v>
      </c>
      <c r="R375" s="100" t="str">
        <f>IFERROR(VLOOKUP(Tablo5[[#This Row],[ÜRÜN KODU]],YMKODLARI!$A$1:$K$363,6,0)," ")</f>
        <v xml:space="preserve"> </v>
      </c>
      <c r="S375" s="100" t="str">
        <f>IFERROR(Tablo5[[#This Row],[YOLLUK HARİÇ BASKI GRAMI]]/Tablo5[[#This Row],[KALIP GÖZ ADEDİ]]," ")</f>
        <v xml:space="preserve"> </v>
      </c>
      <c r="T375" s="100" t="str">
        <f t="shared" si="37"/>
        <v xml:space="preserve"> </v>
      </c>
      <c r="U375" s="100"/>
      <c r="V375" s="100" t="str">
        <f t="shared" si="36"/>
        <v xml:space="preserve"> </v>
      </c>
      <c r="W375" s="101">
        <f t="shared" si="38"/>
        <v>24</v>
      </c>
      <c r="X375" s="102">
        <f t="shared" si="39"/>
        <v>0</v>
      </c>
      <c r="Y375" s="100" t="str">
        <f t="shared" si="40"/>
        <v xml:space="preserve"> </v>
      </c>
      <c r="Z375" s="100" t="str">
        <f t="shared" si="41"/>
        <v xml:space="preserve"> </v>
      </c>
    </row>
    <row r="376" spans="1:26">
      <c r="A376" s="100"/>
      <c r="B376" s="108" t="str">
        <f>IFERROR(VLOOKUP(Tablo5[[#This Row],[ÜRÜN KODU]],YMKODLARI!$A$1:$K$363,2,0)," ")</f>
        <v xml:space="preserve"> </v>
      </c>
      <c r="C376" s="99"/>
      <c r="D376" s="100"/>
      <c r="E376" s="101"/>
      <c r="F376" s="101"/>
      <c r="G376" s="100" t="str">
        <f>IFERROR(VLOOKUP(Tablo5[[#This Row],[ÜRÜN KODU]],YMKODLARI!$A$1:$K$363,3,0)," ")</f>
        <v xml:space="preserve"> </v>
      </c>
      <c r="H376" s="100" t="str">
        <f>IFERROR(VLOOKUP(Tablo5[[#This Row],[ÜRÜN KODU]],YMKODLARI!$A$1:$K$363,4,0)," ")</f>
        <v xml:space="preserve"> </v>
      </c>
      <c r="I376" s="100"/>
      <c r="J376" s="100" t="str">
        <f>IFERROR(VLOOKUP(Tablo5[[#This Row],[ÜRÜN KODU]],YMKODLARI!$A$1:$K$363,9,0)," ")</f>
        <v xml:space="preserve"> </v>
      </c>
      <c r="K376" s="100" t="str">
        <f>IFERROR(VLOOKUP(Tablo5[[#This Row],[BOYA KODU]],Tablo14[#All],4,0)," ")</f>
        <v xml:space="preserve"> </v>
      </c>
      <c r="L376" s="100" t="str">
        <f>IFERROR(VLOOKUP(Tablo5[[#This Row],[BOYA KODU]],Tablo14[#All],6,0)," ")</f>
        <v xml:space="preserve"> </v>
      </c>
      <c r="M376" s="100" t="str">
        <f t="shared" si="35"/>
        <v xml:space="preserve"> </v>
      </c>
      <c r="N376" s="100" t="str">
        <f>IFERROR(VLOOKUP(Tablo5[[#This Row],[ÜRÜN KODU]],YMKODLARI!$A$1:$K$363,8,0)," ")</f>
        <v xml:space="preserve"> </v>
      </c>
      <c r="O376" s="100" t="str">
        <f>IFERROR(VLOOKUP(Tablo5[[#This Row],[HAMMADDE KODU]],Tablo1[#All],3,0)," ")</f>
        <v xml:space="preserve"> </v>
      </c>
      <c r="P376" s="100" t="str">
        <f>IFERROR(VLOOKUP(Tablo5[[#This Row],[HAMMADDE KODU]],Tablo1[#All],4,0)," ")</f>
        <v xml:space="preserve"> </v>
      </c>
      <c r="Q376" s="100" t="str">
        <f>IFERROR(VLOOKUP(Tablo5[[#This Row],[ÜRÜN KODU]],YMKODLARI!$A$1:$K$363,5,0)," ")</f>
        <v xml:space="preserve"> </v>
      </c>
      <c r="R376" s="100" t="str">
        <f>IFERROR(VLOOKUP(Tablo5[[#This Row],[ÜRÜN KODU]],YMKODLARI!$A$1:$K$363,6,0)," ")</f>
        <v xml:space="preserve"> </v>
      </c>
      <c r="S376" s="100" t="str">
        <f>IFERROR(Tablo5[[#This Row],[YOLLUK HARİÇ BASKI GRAMI]]/Tablo5[[#This Row],[KALIP GÖZ ADEDİ]]," ")</f>
        <v xml:space="preserve"> </v>
      </c>
      <c r="T376" s="100" t="str">
        <f t="shared" si="37"/>
        <v xml:space="preserve"> </v>
      </c>
      <c r="U376" s="100"/>
      <c r="V376" s="100" t="str">
        <f t="shared" si="36"/>
        <v xml:space="preserve"> </v>
      </c>
      <c r="W376" s="101">
        <f t="shared" si="38"/>
        <v>24</v>
      </c>
      <c r="X376" s="102">
        <f t="shared" si="39"/>
        <v>0</v>
      </c>
      <c r="Y376" s="100" t="str">
        <f t="shared" si="40"/>
        <v xml:space="preserve"> </v>
      </c>
      <c r="Z376" s="100" t="str">
        <f t="shared" si="41"/>
        <v xml:space="preserve"> </v>
      </c>
    </row>
    <row r="377" spans="1:26">
      <c r="A377" s="100"/>
      <c r="B377" s="108" t="str">
        <f>IFERROR(VLOOKUP(Tablo5[[#This Row],[ÜRÜN KODU]],YMKODLARI!$A$1:$K$363,2,0)," ")</f>
        <v xml:space="preserve"> </v>
      </c>
      <c r="C377" s="99"/>
      <c r="D377" s="100"/>
      <c r="E377" s="101"/>
      <c r="F377" s="101"/>
      <c r="G377" s="100" t="str">
        <f>IFERROR(VLOOKUP(Tablo5[[#This Row],[ÜRÜN KODU]],YMKODLARI!$A$1:$K$363,3,0)," ")</f>
        <v xml:space="preserve"> </v>
      </c>
      <c r="H377" s="100" t="str">
        <f>IFERROR(VLOOKUP(Tablo5[[#This Row],[ÜRÜN KODU]],YMKODLARI!$A$1:$K$363,4,0)," ")</f>
        <v xml:space="preserve"> </v>
      </c>
      <c r="I377" s="100"/>
      <c r="J377" s="100" t="str">
        <f>IFERROR(VLOOKUP(Tablo5[[#This Row],[ÜRÜN KODU]],YMKODLARI!$A$1:$K$363,9,0)," ")</f>
        <v xml:space="preserve"> </v>
      </c>
      <c r="K377" s="100" t="str">
        <f>IFERROR(VLOOKUP(Tablo5[[#This Row],[BOYA KODU]],Tablo14[#All],4,0)," ")</f>
        <v xml:space="preserve"> </v>
      </c>
      <c r="L377" s="100" t="str">
        <f>IFERROR(VLOOKUP(Tablo5[[#This Row],[BOYA KODU]],Tablo14[#All],6,0)," ")</f>
        <v xml:space="preserve"> </v>
      </c>
      <c r="M377" s="100" t="str">
        <f t="shared" si="35"/>
        <v xml:space="preserve"> </v>
      </c>
      <c r="N377" s="100" t="str">
        <f>IFERROR(VLOOKUP(Tablo5[[#This Row],[ÜRÜN KODU]],YMKODLARI!$A$1:$K$363,8,0)," ")</f>
        <v xml:space="preserve"> </v>
      </c>
      <c r="O377" s="100" t="str">
        <f>IFERROR(VLOOKUP(Tablo5[[#This Row],[HAMMADDE KODU]],Tablo1[#All],3,0)," ")</f>
        <v xml:space="preserve"> </v>
      </c>
      <c r="P377" s="100" t="str">
        <f>IFERROR(VLOOKUP(Tablo5[[#This Row],[HAMMADDE KODU]],Tablo1[#All],4,0)," ")</f>
        <v xml:space="preserve"> </v>
      </c>
      <c r="Q377" s="100" t="str">
        <f>IFERROR(VLOOKUP(Tablo5[[#This Row],[ÜRÜN KODU]],YMKODLARI!$A$1:$K$363,5,0)," ")</f>
        <v xml:space="preserve"> </v>
      </c>
      <c r="R377" s="100" t="str">
        <f>IFERROR(VLOOKUP(Tablo5[[#This Row],[ÜRÜN KODU]],YMKODLARI!$A$1:$K$363,6,0)," ")</f>
        <v xml:space="preserve"> </v>
      </c>
      <c r="S377" s="100" t="str">
        <f>IFERROR(Tablo5[[#This Row],[YOLLUK HARİÇ BASKI GRAMI]]/Tablo5[[#This Row],[KALIP GÖZ ADEDİ]]," ")</f>
        <v xml:space="preserve"> </v>
      </c>
      <c r="T377" s="100" t="str">
        <f t="shared" si="37"/>
        <v xml:space="preserve"> </v>
      </c>
      <c r="U377" s="100"/>
      <c r="V377" s="100" t="str">
        <f t="shared" si="36"/>
        <v xml:space="preserve"> </v>
      </c>
      <c r="W377" s="101">
        <f t="shared" si="38"/>
        <v>24</v>
      </c>
      <c r="X377" s="102">
        <f t="shared" si="39"/>
        <v>0</v>
      </c>
      <c r="Y377" s="100" t="str">
        <f t="shared" si="40"/>
        <v xml:space="preserve"> </v>
      </c>
      <c r="Z377" s="100" t="str">
        <f t="shared" si="41"/>
        <v xml:space="preserve"> </v>
      </c>
    </row>
    <row r="378" spans="1:26">
      <c r="A378" s="100"/>
      <c r="B378" s="108" t="str">
        <f>IFERROR(VLOOKUP(Tablo5[[#This Row],[ÜRÜN KODU]],YMKODLARI!$A$1:$K$363,2,0)," ")</f>
        <v xml:space="preserve"> </v>
      </c>
      <c r="C378" s="99"/>
      <c r="D378" s="100"/>
      <c r="E378" s="101"/>
      <c r="F378" s="101"/>
      <c r="G378" s="100" t="str">
        <f>IFERROR(VLOOKUP(Tablo5[[#This Row],[ÜRÜN KODU]],YMKODLARI!$A$1:$K$363,3,0)," ")</f>
        <v xml:space="preserve"> </v>
      </c>
      <c r="H378" s="100" t="str">
        <f>IFERROR(VLOOKUP(Tablo5[[#This Row],[ÜRÜN KODU]],YMKODLARI!$A$1:$K$363,4,0)," ")</f>
        <v xml:space="preserve"> </v>
      </c>
      <c r="I378" s="100"/>
      <c r="J378" s="100" t="str">
        <f>IFERROR(VLOOKUP(Tablo5[[#This Row],[ÜRÜN KODU]],YMKODLARI!$A$1:$K$363,9,0)," ")</f>
        <v xml:space="preserve"> </v>
      </c>
      <c r="K378" s="100" t="str">
        <f>IFERROR(VLOOKUP(Tablo5[[#This Row],[BOYA KODU]],Tablo14[#All],4,0)," ")</f>
        <v xml:space="preserve"> </v>
      </c>
      <c r="L378" s="100" t="str">
        <f>IFERROR(VLOOKUP(Tablo5[[#This Row],[BOYA KODU]],Tablo14[#All],6,0)," ")</f>
        <v xml:space="preserve"> </v>
      </c>
      <c r="M378" s="100" t="str">
        <f t="shared" si="35"/>
        <v xml:space="preserve"> </v>
      </c>
      <c r="N378" s="100" t="str">
        <f>IFERROR(VLOOKUP(Tablo5[[#This Row],[ÜRÜN KODU]],YMKODLARI!$A$1:$K$363,8,0)," ")</f>
        <v xml:space="preserve"> </v>
      </c>
      <c r="O378" s="100" t="str">
        <f>IFERROR(VLOOKUP(Tablo5[[#This Row],[HAMMADDE KODU]],Tablo1[#All],3,0)," ")</f>
        <v xml:space="preserve"> </v>
      </c>
      <c r="P378" s="100" t="str">
        <f>IFERROR(VLOOKUP(Tablo5[[#This Row],[HAMMADDE KODU]],Tablo1[#All],4,0)," ")</f>
        <v xml:space="preserve"> </v>
      </c>
      <c r="Q378" s="100" t="str">
        <f>IFERROR(VLOOKUP(Tablo5[[#This Row],[ÜRÜN KODU]],YMKODLARI!$A$1:$K$363,5,0)," ")</f>
        <v xml:space="preserve"> </v>
      </c>
      <c r="R378" s="100" t="str">
        <f>IFERROR(VLOOKUP(Tablo5[[#This Row],[ÜRÜN KODU]],YMKODLARI!$A$1:$K$363,6,0)," ")</f>
        <v xml:space="preserve"> </v>
      </c>
      <c r="S378" s="100" t="str">
        <f>IFERROR(Tablo5[[#This Row],[YOLLUK HARİÇ BASKI GRAMI]]/Tablo5[[#This Row],[KALIP GÖZ ADEDİ]]," ")</f>
        <v xml:space="preserve"> </v>
      </c>
      <c r="T378" s="100" t="str">
        <f t="shared" si="37"/>
        <v xml:space="preserve"> </v>
      </c>
      <c r="U378" s="100"/>
      <c r="V378" s="100" t="str">
        <f t="shared" si="36"/>
        <v xml:space="preserve"> </v>
      </c>
      <c r="W378" s="101">
        <f t="shared" si="38"/>
        <v>24</v>
      </c>
      <c r="X378" s="102">
        <f t="shared" si="39"/>
        <v>0</v>
      </c>
      <c r="Y378" s="100" t="str">
        <f t="shared" si="40"/>
        <v xml:space="preserve"> </v>
      </c>
      <c r="Z378" s="100" t="str">
        <f t="shared" si="41"/>
        <v xml:space="preserve"> </v>
      </c>
    </row>
    <row r="379" spans="1:26">
      <c r="A379" s="100"/>
      <c r="B379" s="108" t="str">
        <f>IFERROR(VLOOKUP(Tablo5[[#This Row],[ÜRÜN KODU]],YMKODLARI!$A$1:$K$363,2,0)," ")</f>
        <v xml:space="preserve"> </v>
      </c>
      <c r="C379" s="99"/>
      <c r="D379" s="100"/>
      <c r="E379" s="101"/>
      <c r="F379" s="101"/>
      <c r="G379" s="100" t="str">
        <f>IFERROR(VLOOKUP(Tablo5[[#This Row],[ÜRÜN KODU]],YMKODLARI!$A$1:$K$363,3,0)," ")</f>
        <v xml:space="preserve"> </v>
      </c>
      <c r="H379" s="100" t="str">
        <f>IFERROR(VLOOKUP(Tablo5[[#This Row],[ÜRÜN KODU]],YMKODLARI!$A$1:$K$363,4,0)," ")</f>
        <v xml:space="preserve"> </v>
      </c>
      <c r="I379" s="100"/>
      <c r="J379" s="100" t="str">
        <f>IFERROR(VLOOKUP(Tablo5[[#This Row],[ÜRÜN KODU]],YMKODLARI!$A$1:$K$363,9,0)," ")</f>
        <v xml:space="preserve"> </v>
      </c>
      <c r="K379" s="100" t="str">
        <f>IFERROR(VLOOKUP(Tablo5[[#This Row],[BOYA KODU]],Tablo14[#All],4,0)," ")</f>
        <v xml:space="preserve"> </v>
      </c>
      <c r="L379" s="100" t="str">
        <f>IFERROR(VLOOKUP(Tablo5[[#This Row],[BOYA KODU]],Tablo14[#All],6,0)," ")</f>
        <v xml:space="preserve"> </v>
      </c>
      <c r="M379" s="100" t="str">
        <f t="shared" si="35"/>
        <v xml:space="preserve"> </v>
      </c>
      <c r="N379" s="100" t="str">
        <f>IFERROR(VLOOKUP(Tablo5[[#This Row],[ÜRÜN KODU]],YMKODLARI!$A$1:$K$363,8,0)," ")</f>
        <v xml:space="preserve"> </v>
      </c>
      <c r="O379" s="100" t="str">
        <f>IFERROR(VLOOKUP(Tablo5[[#This Row],[HAMMADDE KODU]],Tablo1[#All],3,0)," ")</f>
        <v xml:space="preserve"> </v>
      </c>
      <c r="P379" s="100" t="str">
        <f>IFERROR(VLOOKUP(Tablo5[[#This Row],[HAMMADDE KODU]],Tablo1[#All],4,0)," ")</f>
        <v xml:space="preserve"> </v>
      </c>
      <c r="Q379" s="100" t="str">
        <f>IFERROR(VLOOKUP(Tablo5[[#This Row],[ÜRÜN KODU]],YMKODLARI!$A$1:$K$363,5,0)," ")</f>
        <v xml:space="preserve"> </v>
      </c>
      <c r="R379" s="100" t="str">
        <f>IFERROR(VLOOKUP(Tablo5[[#This Row],[ÜRÜN KODU]],YMKODLARI!$A$1:$K$363,6,0)," ")</f>
        <v xml:space="preserve"> </v>
      </c>
      <c r="S379" s="100" t="str">
        <f>IFERROR(Tablo5[[#This Row],[YOLLUK HARİÇ BASKI GRAMI]]/Tablo5[[#This Row],[KALIP GÖZ ADEDİ]]," ")</f>
        <v xml:space="preserve"> </v>
      </c>
      <c r="T379" s="100" t="str">
        <f t="shared" si="37"/>
        <v xml:space="preserve"> </v>
      </c>
      <c r="U379" s="100"/>
      <c r="V379" s="100" t="str">
        <f t="shared" si="36"/>
        <v xml:space="preserve"> </v>
      </c>
      <c r="W379" s="101">
        <f t="shared" si="38"/>
        <v>24</v>
      </c>
      <c r="X379" s="102">
        <f t="shared" si="39"/>
        <v>0</v>
      </c>
      <c r="Y379" s="100" t="str">
        <f t="shared" si="40"/>
        <v xml:space="preserve"> </v>
      </c>
      <c r="Z379" s="100" t="str">
        <f t="shared" si="41"/>
        <v xml:space="preserve"> </v>
      </c>
    </row>
    <row r="380" spans="1:26">
      <c r="A380" s="100"/>
      <c r="B380" s="108" t="str">
        <f>IFERROR(VLOOKUP(Tablo5[[#This Row],[ÜRÜN KODU]],YMKODLARI!$A$1:$K$363,2,0)," ")</f>
        <v xml:space="preserve"> </v>
      </c>
      <c r="C380" s="99"/>
      <c r="D380" s="100"/>
      <c r="E380" s="101"/>
      <c r="F380" s="101"/>
      <c r="G380" s="100" t="str">
        <f>IFERROR(VLOOKUP(Tablo5[[#This Row],[ÜRÜN KODU]],YMKODLARI!$A$1:$K$363,3,0)," ")</f>
        <v xml:space="preserve"> </v>
      </c>
      <c r="H380" s="100" t="str">
        <f>IFERROR(VLOOKUP(Tablo5[[#This Row],[ÜRÜN KODU]],YMKODLARI!$A$1:$K$363,4,0)," ")</f>
        <v xml:space="preserve"> </v>
      </c>
      <c r="I380" s="100"/>
      <c r="J380" s="100" t="str">
        <f>IFERROR(VLOOKUP(Tablo5[[#This Row],[ÜRÜN KODU]],YMKODLARI!$A$1:$K$363,9,0)," ")</f>
        <v xml:space="preserve"> </v>
      </c>
      <c r="K380" s="100" t="str">
        <f>IFERROR(VLOOKUP(Tablo5[[#This Row],[BOYA KODU]],Tablo14[#All],4,0)," ")</f>
        <v xml:space="preserve"> </v>
      </c>
      <c r="L380" s="100" t="str">
        <f>IFERROR(VLOOKUP(Tablo5[[#This Row],[BOYA KODU]],Tablo14[#All],6,0)," ")</f>
        <v xml:space="preserve"> </v>
      </c>
      <c r="M380" s="100" t="str">
        <f t="shared" si="35"/>
        <v xml:space="preserve"> </v>
      </c>
      <c r="N380" s="100" t="str">
        <f>IFERROR(VLOOKUP(Tablo5[[#This Row],[ÜRÜN KODU]],YMKODLARI!$A$1:$K$363,8,0)," ")</f>
        <v xml:space="preserve"> </v>
      </c>
      <c r="O380" s="100" t="str">
        <f>IFERROR(VLOOKUP(Tablo5[[#This Row],[HAMMADDE KODU]],Tablo1[#All],3,0)," ")</f>
        <v xml:space="preserve"> </v>
      </c>
      <c r="P380" s="100" t="str">
        <f>IFERROR(VLOOKUP(Tablo5[[#This Row],[HAMMADDE KODU]],Tablo1[#All],4,0)," ")</f>
        <v xml:space="preserve"> </v>
      </c>
      <c r="Q380" s="100" t="str">
        <f>IFERROR(VLOOKUP(Tablo5[[#This Row],[ÜRÜN KODU]],YMKODLARI!$A$1:$K$363,5,0)," ")</f>
        <v xml:space="preserve"> </v>
      </c>
      <c r="R380" s="100" t="str">
        <f>IFERROR(VLOOKUP(Tablo5[[#This Row],[ÜRÜN KODU]],YMKODLARI!$A$1:$K$363,6,0)," ")</f>
        <v xml:space="preserve"> </v>
      </c>
      <c r="S380" s="100" t="str">
        <f>IFERROR(Tablo5[[#This Row],[YOLLUK HARİÇ BASKI GRAMI]]/Tablo5[[#This Row],[KALIP GÖZ ADEDİ]]," ")</f>
        <v xml:space="preserve"> </v>
      </c>
      <c r="T380" s="100" t="str">
        <f t="shared" si="37"/>
        <v xml:space="preserve"> </v>
      </c>
      <c r="U380" s="100"/>
      <c r="V380" s="100" t="str">
        <f t="shared" si="36"/>
        <v xml:space="preserve"> </v>
      </c>
      <c r="W380" s="101">
        <f t="shared" si="38"/>
        <v>24</v>
      </c>
      <c r="X380" s="102">
        <f t="shared" si="39"/>
        <v>0</v>
      </c>
      <c r="Y380" s="100" t="str">
        <f t="shared" si="40"/>
        <v xml:space="preserve"> </v>
      </c>
      <c r="Z380" s="100" t="str">
        <f t="shared" si="41"/>
        <v xml:space="preserve"> </v>
      </c>
    </row>
    <row r="381" spans="1:26">
      <c r="A381" s="100"/>
      <c r="B381" s="108" t="str">
        <f>IFERROR(VLOOKUP(Tablo5[[#This Row],[ÜRÜN KODU]],YMKODLARI!$A$1:$K$363,2,0)," ")</f>
        <v xml:space="preserve"> </v>
      </c>
      <c r="C381" s="99"/>
      <c r="D381" s="100"/>
      <c r="E381" s="101"/>
      <c r="F381" s="101"/>
      <c r="G381" s="100" t="str">
        <f>IFERROR(VLOOKUP(Tablo5[[#This Row],[ÜRÜN KODU]],YMKODLARI!$A$1:$K$363,3,0)," ")</f>
        <v xml:space="preserve"> </v>
      </c>
      <c r="H381" s="100" t="str">
        <f>IFERROR(VLOOKUP(Tablo5[[#This Row],[ÜRÜN KODU]],YMKODLARI!$A$1:$K$363,4,0)," ")</f>
        <v xml:space="preserve"> </v>
      </c>
      <c r="I381" s="100"/>
      <c r="J381" s="100" t="str">
        <f>IFERROR(VLOOKUP(Tablo5[[#This Row],[ÜRÜN KODU]],YMKODLARI!$A$1:$K$363,9,0)," ")</f>
        <v xml:space="preserve"> </v>
      </c>
      <c r="K381" s="100" t="str">
        <f>IFERROR(VLOOKUP(Tablo5[[#This Row],[BOYA KODU]],Tablo14[#All],4,0)," ")</f>
        <v xml:space="preserve"> </v>
      </c>
      <c r="L381" s="100" t="str">
        <f>IFERROR(VLOOKUP(Tablo5[[#This Row],[BOYA KODU]],Tablo14[#All],6,0)," ")</f>
        <v xml:space="preserve"> </v>
      </c>
      <c r="M381" s="100" t="str">
        <f t="shared" si="35"/>
        <v xml:space="preserve"> </v>
      </c>
      <c r="N381" s="100" t="str">
        <f>IFERROR(VLOOKUP(Tablo5[[#This Row],[ÜRÜN KODU]],YMKODLARI!$A$1:$K$363,8,0)," ")</f>
        <v xml:space="preserve"> </v>
      </c>
      <c r="O381" s="100" t="str">
        <f>IFERROR(VLOOKUP(Tablo5[[#This Row],[HAMMADDE KODU]],Tablo1[#All],3,0)," ")</f>
        <v xml:space="preserve"> </v>
      </c>
      <c r="P381" s="100" t="str">
        <f>IFERROR(VLOOKUP(Tablo5[[#This Row],[HAMMADDE KODU]],Tablo1[#All],4,0)," ")</f>
        <v xml:space="preserve"> </v>
      </c>
      <c r="Q381" s="100" t="str">
        <f>IFERROR(VLOOKUP(Tablo5[[#This Row],[ÜRÜN KODU]],YMKODLARI!$A$1:$K$363,5,0)," ")</f>
        <v xml:space="preserve"> </v>
      </c>
      <c r="R381" s="100" t="str">
        <f>IFERROR(VLOOKUP(Tablo5[[#This Row],[ÜRÜN KODU]],YMKODLARI!$A$1:$K$363,6,0)," ")</f>
        <v xml:space="preserve"> </v>
      </c>
      <c r="S381" s="100" t="str">
        <f>IFERROR(Tablo5[[#This Row],[YOLLUK HARİÇ BASKI GRAMI]]/Tablo5[[#This Row],[KALIP GÖZ ADEDİ]]," ")</f>
        <v xml:space="preserve"> </v>
      </c>
      <c r="T381" s="100" t="str">
        <f t="shared" si="37"/>
        <v xml:space="preserve"> </v>
      </c>
      <c r="U381" s="100"/>
      <c r="V381" s="100" t="str">
        <f t="shared" si="36"/>
        <v xml:space="preserve"> </v>
      </c>
      <c r="W381" s="101">
        <f t="shared" si="38"/>
        <v>24</v>
      </c>
      <c r="X381" s="102">
        <f t="shared" si="39"/>
        <v>0</v>
      </c>
      <c r="Y381" s="100" t="str">
        <f t="shared" si="40"/>
        <v xml:space="preserve"> </v>
      </c>
      <c r="Z381" s="100" t="str">
        <f t="shared" si="41"/>
        <v xml:space="preserve"> </v>
      </c>
    </row>
    <row r="382" spans="1:26">
      <c r="A382" s="100"/>
      <c r="B382" s="108" t="str">
        <f>IFERROR(VLOOKUP(Tablo5[[#This Row],[ÜRÜN KODU]],YMKODLARI!$A$1:$K$363,2,0)," ")</f>
        <v xml:space="preserve"> </v>
      </c>
      <c r="C382" s="99"/>
      <c r="D382" s="100"/>
      <c r="E382" s="101"/>
      <c r="F382" s="101"/>
      <c r="G382" s="100" t="str">
        <f>IFERROR(VLOOKUP(Tablo5[[#This Row],[ÜRÜN KODU]],YMKODLARI!$A$1:$K$363,3,0)," ")</f>
        <v xml:space="preserve"> </v>
      </c>
      <c r="H382" s="100" t="str">
        <f>IFERROR(VLOOKUP(Tablo5[[#This Row],[ÜRÜN KODU]],YMKODLARI!$A$1:$K$363,4,0)," ")</f>
        <v xml:space="preserve"> </v>
      </c>
      <c r="I382" s="100"/>
      <c r="J382" s="100" t="str">
        <f>IFERROR(VLOOKUP(Tablo5[[#This Row],[ÜRÜN KODU]],YMKODLARI!$A$1:$K$363,9,0)," ")</f>
        <v xml:space="preserve"> </v>
      </c>
      <c r="K382" s="100" t="str">
        <f>IFERROR(VLOOKUP(Tablo5[[#This Row],[BOYA KODU]],Tablo14[#All],4,0)," ")</f>
        <v xml:space="preserve"> </v>
      </c>
      <c r="L382" s="100" t="str">
        <f>IFERROR(VLOOKUP(Tablo5[[#This Row],[BOYA KODU]],Tablo14[#All],6,0)," ")</f>
        <v xml:space="preserve"> </v>
      </c>
      <c r="M382" s="100" t="str">
        <f t="shared" si="35"/>
        <v xml:space="preserve"> </v>
      </c>
      <c r="N382" s="100" t="str">
        <f>IFERROR(VLOOKUP(Tablo5[[#This Row],[ÜRÜN KODU]],YMKODLARI!$A$1:$K$363,8,0)," ")</f>
        <v xml:space="preserve"> </v>
      </c>
      <c r="O382" s="100" t="str">
        <f>IFERROR(VLOOKUP(Tablo5[[#This Row],[HAMMADDE KODU]],Tablo1[#All],3,0)," ")</f>
        <v xml:space="preserve"> </v>
      </c>
      <c r="P382" s="100" t="str">
        <f>IFERROR(VLOOKUP(Tablo5[[#This Row],[HAMMADDE KODU]],Tablo1[#All],4,0)," ")</f>
        <v xml:space="preserve"> </v>
      </c>
      <c r="Q382" s="100" t="str">
        <f>IFERROR(VLOOKUP(Tablo5[[#This Row],[ÜRÜN KODU]],YMKODLARI!$A$1:$K$363,5,0)," ")</f>
        <v xml:space="preserve"> </v>
      </c>
      <c r="R382" s="100" t="str">
        <f>IFERROR(VLOOKUP(Tablo5[[#This Row],[ÜRÜN KODU]],YMKODLARI!$A$1:$K$363,6,0)," ")</f>
        <v xml:space="preserve"> </v>
      </c>
      <c r="S382" s="100" t="str">
        <f>IFERROR(Tablo5[[#This Row],[YOLLUK HARİÇ BASKI GRAMI]]/Tablo5[[#This Row],[KALIP GÖZ ADEDİ]]," ")</f>
        <v xml:space="preserve"> </v>
      </c>
      <c r="T382" s="100" t="str">
        <f t="shared" si="37"/>
        <v xml:space="preserve"> </v>
      </c>
      <c r="U382" s="100"/>
      <c r="V382" s="100" t="str">
        <f t="shared" si="36"/>
        <v xml:space="preserve"> </v>
      </c>
      <c r="W382" s="101">
        <f t="shared" si="38"/>
        <v>24</v>
      </c>
      <c r="X382" s="102">
        <f t="shared" si="39"/>
        <v>0</v>
      </c>
      <c r="Y382" s="100" t="str">
        <f t="shared" si="40"/>
        <v xml:space="preserve"> </v>
      </c>
      <c r="Z382" s="100" t="str">
        <f t="shared" si="41"/>
        <v xml:space="preserve"> </v>
      </c>
    </row>
    <row r="383" spans="1:26">
      <c r="A383" s="100"/>
      <c r="B383" s="108" t="str">
        <f>IFERROR(VLOOKUP(Tablo5[[#This Row],[ÜRÜN KODU]],YMKODLARI!$A$1:$K$363,2,0)," ")</f>
        <v xml:space="preserve"> </v>
      </c>
      <c r="C383" s="99"/>
      <c r="D383" s="100"/>
      <c r="E383" s="101"/>
      <c r="F383" s="101"/>
      <c r="G383" s="100" t="str">
        <f>IFERROR(VLOOKUP(Tablo5[[#This Row],[ÜRÜN KODU]],YMKODLARI!$A$1:$K$363,3,0)," ")</f>
        <v xml:space="preserve"> </v>
      </c>
      <c r="H383" s="100" t="str">
        <f>IFERROR(VLOOKUP(Tablo5[[#This Row],[ÜRÜN KODU]],YMKODLARI!$A$1:$K$363,4,0)," ")</f>
        <v xml:space="preserve"> </v>
      </c>
      <c r="I383" s="100"/>
      <c r="J383" s="100" t="str">
        <f>IFERROR(VLOOKUP(Tablo5[[#This Row],[ÜRÜN KODU]],YMKODLARI!$A$1:$K$363,9,0)," ")</f>
        <v xml:space="preserve"> </v>
      </c>
      <c r="K383" s="100" t="str">
        <f>IFERROR(VLOOKUP(Tablo5[[#This Row],[BOYA KODU]],Tablo14[#All],4,0)," ")</f>
        <v xml:space="preserve"> </v>
      </c>
      <c r="L383" s="100" t="str">
        <f>IFERROR(VLOOKUP(Tablo5[[#This Row],[BOYA KODU]],Tablo14[#All],6,0)," ")</f>
        <v xml:space="preserve"> </v>
      </c>
      <c r="M383" s="100" t="str">
        <f t="shared" si="35"/>
        <v xml:space="preserve"> </v>
      </c>
      <c r="N383" s="100" t="str">
        <f>IFERROR(VLOOKUP(Tablo5[[#This Row],[ÜRÜN KODU]],YMKODLARI!$A$1:$K$363,8,0)," ")</f>
        <v xml:space="preserve"> </v>
      </c>
      <c r="O383" s="100" t="str">
        <f>IFERROR(VLOOKUP(Tablo5[[#This Row],[HAMMADDE KODU]],Tablo1[#All],3,0)," ")</f>
        <v xml:space="preserve"> </v>
      </c>
      <c r="P383" s="100" t="str">
        <f>IFERROR(VLOOKUP(Tablo5[[#This Row],[HAMMADDE KODU]],Tablo1[#All],4,0)," ")</f>
        <v xml:space="preserve"> </v>
      </c>
      <c r="Q383" s="100" t="str">
        <f>IFERROR(VLOOKUP(Tablo5[[#This Row],[ÜRÜN KODU]],YMKODLARI!$A$1:$K$363,5,0)," ")</f>
        <v xml:space="preserve"> </v>
      </c>
      <c r="R383" s="100" t="str">
        <f>IFERROR(VLOOKUP(Tablo5[[#This Row],[ÜRÜN KODU]],YMKODLARI!$A$1:$K$363,6,0)," ")</f>
        <v xml:space="preserve"> </v>
      </c>
      <c r="S383" s="100" t="str">
        <f>IFERROR(Tablo5[[#This Row],[YOLLUK HARİÇ BASKI GRAMI]]/Tablo5[[#This Row],[KALIP GÖZ ADEDİ]]," ")</f>
        <v xml:space="preserve"> </v>
      </c>
      <c r="T383" s="100" t="str">
        <f t="shared" si="37"/>
        <v xml:space="preserve"> </v>
      </c>
      <c r="U383" s="100"/>
      <c r="V383" s="100" t="str">
        <f t="shared" si="36"/>
        <v xml:space="preserve"> </v>
      </c>
      <c r="W383" s="101">
        <f t="shared" si="38"/>
        <v>24</v>
      </c>
      <c r="X383" s="102">
        <f t="shared" si="39"/>
        <v>0</v>
      </c>
      <c r="Y383" s="100" t="str">
        <f t="shared" si="40"/>
        <v xml:space="preserve"> </v>
      </c>
      <c r="Z383" s="100" t="str">
        <f t="shared" si="41"/>
        <v xml:space="preserve"> </v>
      </c>
    </row>
    <row r="384" spans="1:26">
      <c r="A384" s="100"/>
      <c r="B384" s="108" t="str">
        <f>IFERROR(VLOOKUP(Tablo5[[#This Row],[ÜRÜN KODU]],YMKODLARI!$A$1:$K$363,2,0)," ")</f>
        <v xml:space="preserve"> </v>
      </c>
      <c r="C384" s="99"/>
      <c r="D384" s="100"/>
      <c r="E384" s="101"/>
      <c r="F384" s="101"/>
      <c r="G384" s="100" t="str">
        <f>IFERROR(VLOOKUP(Tablo5[[#This Row],[ÜRÜN KODU]],YMKODLARI!$A$1:$K$363,3,0)," ")</f>
        <v xml:space="preserve"> </v>
      </c>
      <c r="H384" s="100" t="str">
        <f>IFERROR(VLOOKUP(Tablo5[[#This Row],[ÜRÜN KODU]],YMKODLARI!$A$1:$K$363,4,0)," ")</f>
        <v xml:space="preserve"> </v>
      </c>
      <c r="I384" s="100"/>
      <c r="J384" s="100" t="str">
        <f>IFERROR(VLOOKUP(Tablo5[[#This Row],[ÜRÜN KODU]],YMKODLARI!$A$1:$K$363,9,0)," ")</f>
        <v xml:space="preserve"> </v>
      </c>
      <c r="K384" s="100" t="str">
        <f>IFERROR(VLOOKUP(Tablo5[[#This Row],[BOYA KODU]],Tablo14[#All],4,0)," ")</f>
        <v xml:space="preserve"> </v>
      </c>
      <c r="L384" s="100" t="str">
        <f>IFERROR(VLOOKUP(Tablo5[[#This Row],[BOYA KODU]],Tablo14[#All],6,0)," ")</f>
        <v xml:space="preserve"> </v>
      </c>
      <c r="M384" s="100" t="str">
        <f t="shared" si="35"/>
        <v xml:space="preserve"> </v>
      </c>
      <c r="N384" s="100" t="str">
        <f>IFERROR(VLOOKUP(Tablo5[[#This Row],[ÜRÜN KODU]],YMKODLARI!$A$1:$K$363,8,0)," ")</f>
        <v xml:space="preserve"> </v>
      </c>
      <c r="O384" s="100" t="str">
        <f>IFERROR(VLOOKUP(Tablo5[[#This Row],[HAMMADDE KODU]],Tablo1[#All],3,0)," ")</f>
        <v xml:space="preserve"> </v>
      </c>
      <c r="P384" s="100" t="str">
        <f>IFERROR(VLOOKUP(Tablo5[[#This Row],[HAMMADDE KODU]],Tablo1[#All],4,0)," ")</f>
        <v xml:space="preserve"> </v>
      </c>
      <c r="Q384" s="100" t="str">
        <f>IFERROR(VLOOKUP(Tablo5[[#This Row],[ÜRÜN KODU]],YMKODLARI!$A$1:$K$363,5,0)," ")</f>
        <v xml:space="preserve"> </v>
      </c>
      <c r="R384" s="100" t="str">
        <f>IFERROR(VLOOKUP(Tablo5[[#This Row],[ÜRÜN KODU]],YMKODLARI!$A$1:$K$363,6,0)," ")</f>
        <v xml:space="preserve"> </v>
      </c>
      <c r="S384" s="100" t="str">
        <f>IFERROR(Tablo5[[#This Row],[YOLLUK HARİÇ BASKI GRAMI]]/Tablo5[[#This Row],[KALIP GÖZ ADEDİ]]," ")</f>
        <v xml:space="preserve"> </v>
      </c>
      <c r="T384" s="100" t="str">
        <f t="shared" si="37"/>
        <v xml:space="preserve"> </v>
      </c>
      <c r="U384" s="100"/>
      <c r="V384" s="100" t="str">
        <f t="shared" si="36"/>
        <v xml:space="preserve"> </v>
      </c>
      <c r="W384" s="101">
        <f t="shared" si="38"/>
        <v>24</v>
      </c>
      <c r="X384" s="102">
        <f t="shared" si="39"/>
        <v>0</v>
      </c>
      <c r="Y384" s="100" t="str">
        <f t="shared" si="40"/>
        <v xml:space="preserve"> </v>
      </c>
      <c r="Z384" s="100" t="str">
        <f t="shared" si="41"/>
        <v xml:space="preserve"> </v>
      </c>
    </row>
    <row r="385" spans="1:26">
      <c r="A385" s="100"/>
      <c r="B385" s="108" t="str">
        <f>IFERROR(VLOOKUP(Tablo5[[#This Row],[ÜRÜN KODU]],YMKODLARI!$A$1:$K$363,2,0)," ")</f>
        <v xml:space="preserve"> </v>
      </c>
      <c r="C385" s="99"/>
      <c r="D385" s="100"/>
      <c r="E385" s="101"/>
      <c r="F385" s="101"/>
      <c r="G385" s="100" t="str">
        <f>IFERROR(VLOOKUP(Tablo5[[#This Row],[ÜRÜN KODU]],YMKODLARI!$A$1:$K$363,3,0)," ")</f>
        <v xml:space="preserve"> </v>
      </c>
      <c r="H385" s="100" t="str">
        <f>IFERROR(VLOOKUP(Tablo5[[#This Row],[ÜRÜN KODU]],YMKODLARI!$A$1:$K$363,4,0)," ")</f>
        <v xml:space="preserve"> </v>
      </c>
      <c r="I385" s="100"/>
      <c r="J385" s="100" t="str">
        <f>IFERROR(VLOOKUP(Tablo5[[#This Row],[ÜRÜN KODU]],YMKODLARI!$A$1:$K$363,9,0)," ")</f>
        <v xml:space="preserve"> </v>
      </c>
      <c r="K385" s="100" t="str">
        <f>IFERROR(VLOOKUP(Tablo5[[#This Row],[BOYA KODU]],Tablo14[#All],4,0)," ")</f>
        <v xml:space="preserve"> </v>
      </c>
      <c r="L385" s="100" t="str">
        <f>IFERROR(VLOOKUP(Tablo5[[#This Row],[BOYA KODU]],Tablo14[#All],6,0)," ")</f>
        <v xml:space="preserve"> </v>
      </c>
      <c r="M385" s="100" t="str">
        <f t="shared" si="35"/>
        <v xml:space="preserve"> </v>
      </c>
      <c r="N385" s="100" t="str">
        <f>IFERROR(VLOOKUP(Tablo5[[#This Row],[ÜRÜN KODU]],YMKODLARI!$A$1:$K$363,8,0)," ")</f>
        <v xml:space="preserve"> </v>
      </c>
      <c r="O385" s="100" t="str">
        <f>IFERROR(VLOOKUP(Tablo5[[#This Row],[HAMMADDE KODU]],Tablo1[#All],3,0)," ")</f>
        <v xml:space="preserve"> </v>
      </c>
      <c r="P385" s="100" t="str">
        <f>IFERROR(VLOOKUP(Tablo5[[#This Row],[HAMMADDE KODU]],Tablo1[#All],4,0)," ")</f>
        <v xml:space="preserve"> </v>
      </c>
      <c r="Q385" s="100" t="str">
        <f>IFERROR(VLOOKUP(Tablo5[[#This Row],[ÜRÜN KODU]],YMKODLARI!$A$1:$K$363,5,0)," ")</f>
        <v xml:space="preserve"> </v>
      </c>
      <c r="R385" s="100" t="str">
        <f>IFERROR(VLOOKUP(Tablo5[[#This Row],[ÜRÜN KODU]],YMKODLARI!$A$1:$K$363,6,0)," ")</f>
        <v xml:space="preserve"> </v>
      </c>
      <c r="S385" s="100" t="str">
        <f>IFERROR(Tablo5[[#This Row],[YOLLUK HARİÇ BASKI GRAMI]]/Tablo5[[#This Row],[KALIP GÖZ ADEDİ]]," ")</f>
        <v xml:space="preserve"> </v>
      </c>
      <c r="T385" s="100" t="str">
        <f t="shared" si="37"/>
        <v xml:space="preserve"> </v>
      </c>
      <c r="U385" s="100"/>
      <c r="V385" s="100" t="str">
        <f t="shared" si="36"/>
        <v xml:space="preserve"> </v>
      </c>
      <c r="W385" s="101">
        <f t="shared" si="38"/>
        <v>24</v>
      </c>
      <c r="X385" s="102">
        <f t="shared" si="39"/>
        <v>0</v>
      </c>
      <c r="Y385" s="100" t="str">
        <f t="shared" si="40"/>
        <v xml:space="preserve"> </v>
      </c>
      <c r="Z385" s="100" t="str">
        <f t="shared" si="41"/>
        <v xml:space="preserve"> </v>
      </c>
    </row>
    <row r="386" spans="1:26">
      <c r="A386" s="100"/>
      <c r="B386" s="108" t="str">
        <f>IFERROR(VLOOKUP(Tablo5[[#This Row],[ÜRÜN KODU]],YMKODLARI!$A$1:$K$363,2,0)," ")</f>
        <v xml:space="preserve"> </v>
      </c>
      <c r="C386" s="99"/>
      <c r="D386" s="100"/>
      <c r="E386" s="101"/>
      <c r="F386" s="101"/>
      <c r="G386" s="100" t="str">
        <f>IFERROR(VLOOKUP(Tablo5[[#This Row],[ÜRÜN KODU]],YMKODLARI!$A$1:$K$363,3,0)," ")</f>
        <v xml:space="preserve"> </v>
      </c>
      <c r="H386" s="100" t="str">
        <f>IFERROR(VLOOKUP(Tablo5[[#This Row],[ÜRÜN KODU]],YMKODLARI!$A$1:$K$363,4,0)," ")</f>
        <v xml:space="preserve"> </v>
      </c>
      <c r="I386" s="100"/>
      <c r="J386" s="100" t="str">
        <f>IFERROR(VLOOKUP(Tablo5[[#This Row],[ÜRÜN KODU]],YMKODLARI!$A$1:$K$363,9,0)," ")</f>
        <v xml:space="preserve"> </v>
      </c>
      <c r="K386" s="100" t="str">
        <f>IFERROR(VLOOKUP(Tablo5[[#This Row],[BOYA KODU]],Tablo14[#All],4,0)," ")</f>
        <v xml:space="preserve"> </v>
      </c>
      <c r="L386" s="100" t="str">
        <f>IFERROR(VLOOKUP(Tablo5[[#This Row],[BOYA KODU]],Tablo14[#All],6,0)," ")</f>
        <v xml:space="preserve"> </v>
      </c>
      <c r="M386" s="100" t="str">
        <f t="shared" si="35"/>
        <v xml:space="preserve"> </v>
      </c>
      <c r="N386" s="100" t="str">
        <f>IFERROR(VLOOKUP(Tablo5[[#This Row],[ÜRÜN KODU]],YMKODLARI!$A$1:$K$363,8,0)," ")</f>
        <v xml:space="preserve"> </v>
      </c>
      <c r="O386" s="100" t="str">
        <f>IFERROR(VLOOKUP(Tablo5[[#This Row],[HAMMADDE KODU]],Tablo1[#All],3,0)," ")</f>
        <v xml:space="preserve"> </v>
      </c>
      <c r="P386" s="100" t="str">
        <f>IFERROR(VLOOKUP(Tablo5[[#This Row],[HAMMADDE KODU]],Tablo1[#All],4,0)," ")</f>
        <v xml:space="preserve"> </v>
      </c>
      <c r="Q386" s="100" t="str">
        <f>IFERROR(VLOOKUP(Tablo5[[#This Row],[ÜRÜN KODU]],YMKODLARI!$A$1:$K$363,5,0)," ")</f>
        <v xml:space="preserve"> </v>
      </c>
      <c r="R386" s="100" t="str">
        <f>IFERROR(VLOOKUP(Tablo5[[#This Row],[ÜRÜN KODU]],YMKODLARI!$A$1:$K$363,6,0)," ")</f>
        <v xml:space="preserve"> </v>
      </c>
      <c r="S386" s="100" t="str">
        <f>IFERROR(Tablo5[[#This Row],[YOLLUK HARİÇ BASKI GRAMI]]/Tablo5[[#This Row],[KALIP GÖZ ADEDİ]]," ")</f>
        <v xml:space="preserve"> </v>
      </c>
      <c r="T386" s="100" t="str">
        <f t="shared" si="37"/>
        <v xml:space="preserve"> </v>
      </c>
      <c r="U386" s="100"/>
      <c r="V386" s="100" t="str">
        <f t="shared" si="36"/>
        <v xml:space="preserve"> </v>
      </c>
      <c r="W386" s="101">
        <f t="shared" si="38"/>
        <v>24</v>
      </c>
      <c r="X386" s="102">
        <f t="shared" si="39"/>
        <v>0</v>
      </c>
      <c r="Y386" s="100" t="str">
        <f t="shared" si="40"/>
        <v xml:space="preserve"> </v>
      </c>
      <c r="Z386" s="100" t="str">
        <f t="shared" si="41"/>
        <v xml:space="preserve"> </v>
      </c>
    </row>
    <row r="387" spans="1:26">
      <c r="A387" s="100"/>
      <c r="B387" s="108" t="str">
        <f>IFERROR(VLOOKUP(Tablo5[[#This Row],[ÜRÜN KODU]],YMKODLARI!$A$1:$K$363,2,0)," ")</f>
        <v xml:space="preserve"> </v>
      </c>
      <c r="C387" s="99"/>
      <c r="D387" s="100"/>
      <c r="E387" s="101"/>
      <c r="F387" s="101"/>
      <c r="G387" s="100" t="str">
        <f>IFERROR(VLOOKUP(Tablo5[[#This Row],[ÜRÜN KODU]],YMKODLARI!$A$1:$K$363,3,0)," ")</f>
        <v xml:space="preserve"> </v>
      </c>
      <c r="H387" s="100" t="str">
        <f>IFERROR(VLOOKUP(Tablo5[[#This Row],[ÜRÜN KODU]],YMKODLARI!$A$1:$K$363,4,0)," ")</f>
        <v xml:space="preserve"> </v>
      </c>
      <c r="I387" s="100"/>
      <c r="J387" s="100" t="str">
        <f>IFERROR(VLOOKUP(Tablo5[[#This Row],[ÜRÜN KODU]],YMKODLARI!$A$1:$K$363,9,0)," ")</f>
        <v xml:space="preserve"> </v>
      </c>
      <c r="K387" s="100" t="str">
        <f>IFERROR(VLOOKUP(Tablo5[[#This Row],[BOYA KODU]],Tablo14[#All],4,0)," ")</f>
        <v xml:space="preserve"> </v>
      </c>
      <c r="L387" s="100" t="str">
        <f>IFERROR(VLOOKUP(Tablo5[[#This Row],[BOYA KODU]],Tablo14[#All],6,0)," ")</f>
        <v xml:space="preserve"> </v>
      </c>
      <c r="M387" s="100" t="str">
        <f t="shared" ref="M387:M450" si="42">IFERROR((I387*Q387)*L387," ")</f>
        <v xml:space="preserve"> </v>
      </c>
      <c r="N387" s="100" t="str">
        <f>IFERROR(VLOOKUP(Tablo5[[#This Row],[ÜRÜN KODU]],YMKODLARI!$A$1:$K$363,8,0)," ")</f>
        <v xml:space="preserve"> </v>
      </c>
      <c r="O387" s="100" t="str">
        <f>IFERROR(VLOOKUP(Tablo5[[#This Row],[HAMMADDE KODU]],Tablo1[#All],3,0)," ")</f>
        <v xml:space="preserve"> </v>
      </c>
      <c r="P387" s="100" t="str">
        <f>IFERROR(VLOOKUP(Tablo5[[#This Row],[HAMMADDE KODU]],Tablo1[#All],4,0)," ")</f>
        <v xml:space="preserve"> </v>
      </c>
      <c r="Q387" s="100" t="str">
        <f>IFERROR(VLOOKUP(Tablo5[[#This Row],[ÜRÜN KODU]],YMKODLARI!$A$1:$K$363,5,0)," ")</f>
        <v xml:space="preserve"> </v>
      </c>
      <c r="R387" s="100" t="str">
        <f>IFERROR(VLOOKUP(Tablo5[[#This Row],[ÜRÜN KODU]],YMKODLARI!$A$1:$K$363,6,0)," ")</f>
        <v xml:space="preserve"> </v>
      </c>
      <c r="S387" s="100" t="str">
        <f>IFERROR(Tablo5[[#This Row],[YOLLUK HARİÇ BASKI GRAMI]]/Tablo5[[#This Row],[KALIP GÖZ ADEDİ]]," ")</f>
        <v xml:space="preserve"> </v>
      </c>
      <c r="T387" s="100" t="str">
        <f t="shared" si="37"/>
        <v xml:space="preserve"> </v>
      </c>
      <c r="U387" s="100"/>
      <c r="V387" s="100" t="str">
        <f t="shared" ref="V387:V450" si="43">IFERROR(U387+(R387*I387) /1000," ")</f>
        <v xml:space="preserve"> </v>
      </c>
      <c r="W387" s="101">
        <f t="shared" si="38"/>
        <v>24</v>
      </c>
      <c r="X387" s="102">
        <f t="shared" si="39"/>
        <v>0</v>
      </c>
      <c r="Y387" s="100" t="str">
        <f t="shared" si="40"/>
        <v xml:space="preserve"> </v>
      </c>
      <c r="Z387" s="100" t="str">
        <f t="shared" si="41"/>
        <v xml:space="preserve"> </v>
      </c>
    </row>
    <row r="388" spans="1:26">
      <c r="A388" s="100"/>
      <c r="B388" s="108" t="str">
        <f>IFERROR(VLOOKUP(Tablo5[[#This Row],[ÜRÜN KODU]],YMKODLARI!$A$1:$K$363,2,0)," ")</f>
        <v xml:space="preserve"> </v>
      </c>
      <c r="C388" s="99"/>
      <c r="D388" s="100"/>
      <c r="E388" s="101"/>
      <c r="F388" s="101"/>
      <c r="G388" s="100" t="str">
        <f>IFERROR(VLOOKUP(Tablo5[[#This Row],[ÜRÜN KODU]],YMKODLARI!$A$1:$K$363,3,0)," ")</f>
        <v xml:space="preserve"> </v>
      </c>
      <c r="H388" s="100" t="str">
        <f>IFERROR(VLOOKUP(Tablo5[[#This Row],[ÜRÜN KODU]],YMKODLARI!$A$1:$K$363,4,0)," ")</f>
        <v xml:space="preserve"> </v>
      </c>
      <c r="I388" s="100"/>
      <c r="J388" s="100" t="str">
        <f>IFERROR(VLOOKUP(Tablo5[[#This Row],[ÜRÜN KODU]],YMKODLARI!$A$1:$K$363,9,0)," ")</f>
        <v xml:space="preserve"> </v>
      </c>
      <c r="K388" s="100" t="str">
        <f>IFERROR(VLOOKUP(Tablo5[[#This Row],[BOYA KODU]],Tablo14[#All],4,0)," ")</f>
        <v xml:space="preserve"> </v>
      </c>
      <c r="L388" s="100" t="str">
        <f>IFERROR(VLOOKUP(Tablo5[[#This Row],[BOYA KODU]],Tablo14[#All],6,0)," ")</f>
        <v xml:space="preserve"> </v>
      </c>
      <c r="M388" s="100" t="str">
        <f t="shared" si="42"/>
        <v xml:space="preserve"> </v>
      </c>
      <c r="N388" s="100" t="str">
        <f>IFERROR(VLOOKUP(Tablo5[[#This Row],[ÜRÜN KODU]],YMKODLARI!$A$1:$K$363,8,0)," ")</f>
        <v xml:space="preserve"> </v>
      </c>
      <c r="O388" s="100" t="str">
        <f>IFERROR(VLOOKUP(Tablo5[[#This Row],[HAMMADDE KODU]],Tablo1[#All],3,0)," ")</f>
        <v xml:space="preserve"> </v>
      </c>
      <c r="P388" s="100" t="str">
        <f>IFERROR(VLOOKUP(Tablo5[[#This Row],[HAMMADDE KODU]],Tablo1[#All],4,0)," ")</f>
        <v xml:space="preserve"> </v>
      </c>
      <c r="Q388" s="100" t="str">
        <f>IFERROR(VLOOKUP(Tablo5[[#This Row],[ÜRÜN KODU]],YMKODLARI!$A$1:$K$363,5,0)," ")</f>
        <v xml:space="preserve"> </v>
      </c>
      <c r="R388" s="100" t="str">
        <f>IFERROR(VLOOKUP(Tablo5[[#This Row],[ÜRÜN KODU]],YMKODLARI!$A$1:$K$363,6,0)," ")</f>
        <v xml:space="preserve"> </v>
      </c>
      <c r="S388" s="100" t="str">
        <f>IFERROR(Tablo5[[#This Row],[YOLLUK HARİÇ BASKI GRAMI]]/Tablo5[[#This Row],[KALIP GÖZ ADEDİ]]," ")</f>
        <v xml:space="preserve"> </v>
      </c>
      <c r="T388" s="100" t="str">
        <f t="shared" ref="T388:T451" si="44">IFERROR(Q388-R388," ")</f>
        <v xml:space="preserve"> </v>
      </c>
      <c r="U388" s="100"/>
      <c r="V388" s="100" t="str">
        <f t="shared" si="43"/>
        <v xml:space="preserve"> </v>
      </c>
      <c r="W388" s="101">
        <f t="shared" ref="W388:W451" si="45">IFERROR(24-(E388-F388)," ")</f>
        <v>24</v>
      </c>
      <c r="X388" s="102">
        <f t="shared" ref="X388:X451" si="46">IFERROR((W388-INT(W388))*24," ")</f>
        <v>0</v>
      </c>
      <c r="Y388" s="100" t="str">
        <f t="shared" ref="Y388:Y451" si="47">IFERROR(H388*I388/3600," ")</f>
        <v xml:space="preserve"> </v>
      </c>
      <c r="Z388" s="100" t="str">
        <f t="shared" ref="Z388:Z451" si="48">IFERROR(I388*G388," " )</f>
        <v xml:space="preserve"> </v>
      </c>
    </row>
    <row r="389" spans="1:26">
      <c r="A389" s="100"/>
      <c r="B389" s="108" t="str">
        <f>IFERROR(VLOOKUP(Tablo5[[#This Row],[ÜRÜN KODU]],YMKODLARI!$A$1:$K$363,2,0)," ")</f>
        <v xml:space="preserve"> </v>
      </c>
      <c r="C389" s="99"/>
      <c r="D389" s="100"/>
      <c r="E389" s="101"/>
      <c r="F389" s="101"/>
      <c r="G389" s="100" t="str">
        <f>IFERROR(VLOOKUP(Tablo5[[#This Row],[ÜRÜN KODU]],YMKODLARI!$A$1:$K$363,3,0)," ")</f>
        <v xml:space="preserve"> </v>
      </c>
      <c r="H389" s="100" t="str">
        <f>IFERROR(VLOOKUP(Tablo5[[#This Row],[ÜRÜN KODU]],YMKODLARI!$A$1:$K$363,4,0)," ")</f>
        <v xml:space="preserve"> </v>
      </c>
      <c r="I389" s="100"/>
      <c r="J389" s="100" t="str">
        <f>IFERROR(VLOOKUP(Tablo5[[#This Row],[ÜRÜN KODU]],YMKODLARI!$A$1:$K$363,9,0)," ")</f>
        <v xml:space="preserve"> </v>
      </c>
      <c r="K389" s="100" t="str">
        <f>IFERROR(VLOOKUP(Tablo5[[#This Row],[BOYA KODU]],Tablo14[#All],4,0)," ")</f>
        <v xml:space="preserve"> </v>
      </c>
      <c r="L389" s="100" t="str">
        <f>IFERROR(VLOOKUP(Tablo5[[#This Row],[BOYA KODU]],Tablo14[#All],6,0)," ")</f>
        <v xml:space="preserve"> </v>
      </c>
      <c r="M389" s="100" t="str">
        <f t="shared" si="42"/>
        <v xml:space="preserve"> </v>
      </c>
      <c r="N389" s="100" t="str">
        <f>IFERROR(VLOOKUP(Tablo5[[#This Row],[ÜRÜN KODU]],YMKODLARI!$A$1:$K$363,8,0)," ")</f>
        <v xml:space="preserve"> </v>
      </c>
      <c r="O389" s="100" t="str">
        <f>IFERROR(VLOOKUP(Tablo5[[#This Row],[HAMMADDE KODU]],Tablo1[#All],3,0)," ")</f>
        <v xml:space="preserve"> </v>
      </c>
      <c r="P389" s="100" t="str">
        <f>IFERROR(VLOOKUP(Tablo5[[#This Row],[HAMMADDE KODU]],Tablo1[#All],4,0)," ")</f>
        <v xml:space="preserve"> </v>
      </c>
      <c r="Q389" s="100" t="str">
        <f>IFERROR(VLOOKUP(Tablo5[[#This Row],[ÜRÜN KODU]],YMKODLARI!$A$1:$K$363,5,0)," ")</f>
        <v xml:space="preserve"> </v>
      </c>
      <c r="R389" s="100" t="str">
        <f>IFERROR(VLOOKUP(Tablo5[[#This Row],[ÜRÜN KODU]],YMKODLARI!$A$1:$K$363,6,0)," ")</f>
        <v xml:space="preserve"> </v>
      </c>
      <c r="S389" s="100" t="str">
        <f>IFERROR(Tablo5[[#This Row],[YOLLUK HARİÇ BASKI GRAMI]]/Tablo5[[#This Row],[KALIP GÖZ ADEDİ]]," ")</f>
        <v xml:space="preserve"> </v>
      </c>
      <c r="T389" s="100" t="str">
        <f t="shared" si="44"/>
        <v xml:space="preserve"> </v>
      </c>
      <c r="U389" s="100"/>
      <c r="V389" s="100" t="str">
        <f t="shared" si="43"/>
        <v xml:space="preserve"> </v>
      </c>
      <c r="W389" s="101">
        <f t="shared" si="45"/>
        <v>24</v>
      </c>
      <c r="X389" s="102">
        <f t="shared" si="46"/>
        <v>0</v>
      </c>
      <c r="Y389" s="100" t="str">
        <f t="shared" si="47"/>
        <v xml:space="preserve"> </v>
      </c>
      <c r="Z389" s="100" t="str">
        <f t="shared" si="48"/>
        <v xml:space="preserve"> </v>
      </c>
    </row>
    <row r="390" spans="1:26">
      <c r="A390" s="100"/>
      <c r="B390" s="108" t="str">
        <f>IFERROR(VLOOKUP(Tablo5[[#This Row],[ÜRÜN KODU]],YMKODLARI!$A$1:$K$363,2,0)," ")</f>
        <v xml:space="preserve"> </v>
      </c>
      <c r="C390" s="99"/>
      <c r="D390" s="100"/>
      <c r="E390" s="101"/>
      <c r="F390" s="101"/>
      <c r="G390" s="100" t="str">
        <f>IFERROR(VLOOKUP(Tablo5[[#This Row],[ÜRÜN KODU]],YMKODLARI!$A$1:$K$363,3,0)," ")</f>
        <v xml:space="preserve"> </v>
      </c>
      <c r="H390" s="100" t="str">
        <f>IFERROR(VLOOKUP(Tablo5[[#This Row],[ÜRÜN KODU]],YMKODLARI!$A$1:$K$363,4,0)," ")</f>
        <v xml:space="preserve"> </v>
      </c>
      <c r="I390" s="100"/>
      <c r="J390" s="100" t="str">
        <f>IFERROR(VLOOKUP(Tablo5[[#This Row],[ÜRÜN KODU]],YMKODLARI!$A$1:$K$363,9,0)," ")</f>
        <v xml:space="preserve"> </v>
      </c>
      <c r="K390" s="100" t="str">
        <f>IFERROR(VLOOKUP(Tablo5[[#This Row],[BOYA KODU]],Tablo14[#All],4,0)," ")</f>
        <v xml:space="preserve"> </v>
      </c>
      <c r="L390" s="100" t="str">
        <f>IFERROR(VLOOKUP(Tablo5[[#This Row],[BOYA KODU]],Tablo14[#All],6,0)," ")</f>
        <v xml:space="preserve"> </v>
      </c>
      <c r="M390" s="100" t="str">
        <f t="shared" si="42"/>
        <v xml:space="preserve"> </v>
      </c>
      <c r="N390" s="100" t="str">
        <f>IFERROR(VLOOKUP(Tablo5[[#This Row],[ÜRÜN KODU]],YMKODLARI!$A$1:$K$363,8,0)," ")</f>
        <v xml:space="preserve"> </v>
      </c>
      <c r="O390" s="100" t="str">
        <f>IFERROR(VLOOKUP(Tablo5[[#This Row],[HAMMADDE KODU]],Tablo1[#All],3,0)," ")</f>
        <v xml:space="preserve"> </v>
      </c>
      <c r="P390" s="100" t="str">
        <f>IFERROR(VLOOKUP(Tablo5[[#This Row],[HAMMADDE KODU]],Tablo1[#All],4,0)," ")</f>
        <v xml:space="preserve"> </v>
      </c>
      <c r="Q390" s="100" t="str">
        <f>IFERROR(VLOOKUP(Tablo5[[#This Row],[ÜRÜN KODU]],YMKODLARI!$A$1:$K$363,5,0)," ")</f>
        <v xml:space="preserve"> </v>
      </c>
      <c r="R390" s="100" t="str">
        <f>IFERROR(VLOOKUP(Tablo5[[#This Row],[ÜRÜN KODU]],YMKODLARI!$A$1:$K$363,6,0)," ")</f>
        <v xml:space="preserve"> </v>
      </c>
      <c r="S390" s="100" t="str">
        <f>IFERROR(Tablo5[[#This Row],[YOLLUK HARİÇ BASKI GRAMI]]/Tablo5[[#This Row],[KALIP GÖZ ADEDİ]]," ")</f>
        <v xml:space="preserve"> </v>
      </c>
      <c r="T390" s="100" t="str">
        <f t="shared" si="44"/>
        <v xml:space="preserve"> </v>
      </c>
      <c r="U390" s="100"/>
      <c r="V390" s="100" t="str">
        <f t="shared" si="43"/>
        <v xml:space="preserve"> </v>
      </c>
      <c r="W390" s="101">
        <f t="shared" si="45"/>
        <v>24</v>
      </c>
      <c r="X390" s="102">
        <f t="shared" si="46"/>
        <v>0</v>
      </c>
      <c r="Y390" s="100" t="str">
        <f t="shared" si="47"/>
        <v xml:space="preserve"> </v>
      </c>
      <c r="Z390" s="100" t="str">
        <f t="shared" si="48"/>
        <v xml:space="preserve"> </v>
      </c>
    </row>
    <row r="391" spans="1:26">
      <c r="A391" s="100"/>
      <c r="B391" s="108" t="str">
        <f>IFERROR(VLOOKUP(Tablo5[[#This Row],[ÜRÜN KODU]],YMKODLARI!$A$1:$K$363,2,0)," ")</f>
        <v xml:space="preserve"> </v>
      </c>
      <c r="C391" s="99"/>
      <c r="D391" s="100"/>
      <c r="E391" s="101"/>
      <c r="F391" s="101"/>
      <c r="G391" s="100" t="str">
        <f>IFERROR(VLOOKUP(Tablo5[[#This Row],[ÜRÜN KODU]],YMKODLARI!$A$1:$K$363,3,0)," ")</f>
        <v xml:space="preserve"> </v>
      </c>
      <c r="H391" s="100" t="str">
        <f>IFERROR(VLOOKUP(Tablo5[[#This Row],[ÜRÜN KODU]],YMKODLARI!$A$1:$K$363,4,0)," ")</f>
        <v xml:space="preserve"> </v>
      </c>
      <c r="I391" s="100"/>
      <c r="J391" s="100" t="str">
        <f>IFERROR(VLOOKUP(Tablo5[[#This Row],[ÜRÜN KODU]],YMKODLARI!$A$1:$K$363,9,0)," ")</f>
        <v xml:space="preserve"> </v>
      </c>
      <c r="K391" s="100" t="str">
        <f>IFERROR(VLOOKUP(Tablo5[[#This Row],[BOYA KODU]],Tablo14[#All],4,0)," ")</f>
        <v xml:space="preserve"> </v>
      </c>
      <c r="L391" s="100" t="str">
        <f>IFERROR(VLOOKUP(Tablo5[[#This Row],[BOYA KODU]],Tablo14[#All],6,0)," ")</f>
        <v xml:space="preserve"> </v>
      </c>
      <c r="M391" s="100" t="str">
        <f t="shared" si="42"/>
        <v xml:space="preserve"> </v>
      </c>
      <c r="N391" s="100" t="str">
        <f>IFERROR(VLOOKUP(Tablo5[[#This Row],[ÜRÜN KODU]],YMKODLARI!$A$1:$K$363,8,0)," ")</f>
        <v xml:space="preserve"> </v>
      </c>
      <c r="O391" s="100" t="str">
        <f>IFERROR(VLOOKUP(Tablo5[[#This Row],[HAMMADDE KODU]],Tablo1[#All],3,0)," ")</f>
        <v xml:space="preserve"> </v>
      </c>
      <c r="P391" s="100" t="str">
        <f>IFERROR(VLOOKUP(Tablo5[[#This Row],[HAMMADDE KODU]],Tablo1[#All],4,0)," ")</f>
        <v xml:space="preserve"> </v>
      </c>
      <c r="Q391" s="100" t="str">
        <f>IFERROR(VLOOKUP(Tablo5[[#This Row],[ÜRÜN KODU]],YMKODLARI!$A$1:$K$363,5,0)," ")</f>
        <v xml:space="preserve"> </v>
      </c>
      <c r="R391" s="100" t="str">
        <f>IFERROR(VLOOKUP(Tablo5[[#This Row],[ÜRÜN KODU]],YMKODLARI!$A$1:$K$363,6,0)," ")</f>
        <v xml:space="preserve"> </v>
      </c>
      <c r="S391" s="100" t="str">
        <f>IFERROR(Tablo5[[#This Row],[YOLLUK HARİÇ BASKI GRAMI]]/Tablo5[[#This Row],[KALIP GÖZ ADEDİ]]," ")</f>
        <v xml:space="preserve"> </v>
      </c>
      <c r="T391" s="100" t="str">
        <f t="shared" si="44"/>
        <v xml:space="preserve"> </v>
      </c>
      <c r="U391" s="100"/>
      <c r="V391" s="100" t="str">
        <f t="shared" si="43"/>
        <v xml:space="preserve"> </v>
      </c>
      <c r="W391" s="101">
        <f t="shared" si="45"/>
        <v>24</v>
      </c>
      <c r="X391" s="102">
        <f t="shared" si="46"/>
        <v>0</v>
      </c>
      <c r="Y391" s="100" t="str">
        <f t="shared" si="47"/>
        <v xml:space="preserve"> </v>
      </c>
      <c r="Z391" s="100" t="str">
        <f t="shared" si="48"/>
        <v xml:space="preserve"> </v>
      </c>
    </row>
    <row r="392" spans="1:26">
      <c r="A392" s="100"/>
      <c r="B392" s="108" t="str">
        <f>IFERROR(VLOOKUP(Tablo5[[#This Row],[ÜRÜN KODU]],YMKODLARI!$A$1:$K$363,2,0)," ")</f>
        <v xml:space="preserve"> </v>
      </c>
      <c r="C392" s="99"/>
      <c r="D392" s="100"/>
      <c r="E392" s="101"/>
      <c r="F392" s="101"/>
      <c r="G392" s="100" t="str">
        <f>IFERROR(VLOOKUP(Tablo5[[#This Row],[ÜRÜN KODU]],YMKODLARI!$A$1:$K$363,3,0)," ")</f>
        <v xml:space="preserve"> </v>
      </c>
      <c r="H392" s="100" t="str">
        <f>IFERROR(VLOOKUP(Tablo5[[#This Row],[ÜRÜN KODU]],YMKODLARI!$A$1:$K$363,4,0)," ")</f>
        <v xml:space="preserve"> </v>
      </c>
      <c r="I392" s="100"/>
      <c r="J392" s="100" t="str">
        <f>IFERROR(VLOOKUP(Tablo5[[#This Row],[ÜRÜN KODU]],YMKODLARI!$A$1:$K$363,9,0)," ")</f>
        <v xml:space="preserve"> </v>
      </c>
      <c r="K392" s="100" t="str">
        <f>IFERROR(VLOOKUP(Tablo5[[#This Row],[BOYA KODU]],Tablo14[#All],4,0)," ")</f>
        <v xml:space="preserve"> </v>
      </c>
      <c r="L392" s="100" t="str">
        <f>IFERROR(VLOOKUP(Tablo5[[#This Row],[BOYA KODU]],Tablo14[#All],6,0)," ")</f>
        <v xml:space="preserve"> </v>
      </c>
      <c r="M392" s="100" t="str">
        <f t="shared" si="42"/>
        <v xml:space="preserve"> </v>
      </c>
      <c r="N392" s="100" t="str">
        <f>IFERROR(VLOOKUP(Tablo5[[#This Row],[ÜRÜN KODU]],YMKODLARI!$A$1:$K$363,8,0)," ")</f>
        <v xml:space="preserve"> </v>
      </c>
      <c r="O392" s="100" t="str">
        <f>IFERROR(VLOOKUP(Tablo5[[#This Row],[HAMMADDE KODU]],Tablo1[#All],3,0)," ")</f>
        <v xml:space="preserve"> </v>
      </c>
      <c r="P392" s="100" t="str">
        <f>IFERROR(VLOOKUP(Tablo5[[#This Row],[HAMMADDE KODU]],Tablo1[#All],4,0)," ")</f>
        <v xml:space="preserve"> </v>
      </c>
      <c r="Q392" s="100" t="str">
        <f>IFERROR(VLOOKUP(Tablo5[[#This Row],[ÜRÜN KODU]],YMKODLARI!$A$1:$K$363,5,0)," ")</f>
        <v xml:space="preserve"> </v>
      </c>
      <c r="R392" s="100" t="str">
        <f>IFERROR(VLOOKUP(Tablo5[[#This Row],[ÜRÜN KODU]],YMKODLARI!$A$1:$K$363,6,0)," ")</f>
        <v xml:space="preserve"> </v>
      </c>
      <c r="S392" s="100" t="str">
        <f>IFERROR(Tablo5[[#This Row],[YOLLUK HARİÇ BASKI GRAMI]]/Tablo5[[#This Row],[KALIP GÖZ ADEDİ]]," ")</f>
        <v xml:space="preserve"> </v>
      </c>
      <c r="T392" s="100" t="str">
        <f t="shared" si="44"/>
        <v xml:space="preserve"> </v>
      </c>
      <c r="U392" s="100"/>
      <c r="V392" s="100" t="str">
        <f t="shared" si="43"/>
        <v xml:space="preserve"> </v>
      </c>
      <c r="W392" s="101">
        <f t="shared" si="45"/>
        <v>24</v>
      </c>
      <c r="X392" s="102">
        <f t="shared" si="46"/>
        <v>0</v>
      </c>
      <c r="Y392" s="100" t="str">
        <f t="shared" si="47"/>
        <v xml:space="preserve"> </v>
      </c>
      <c r="Z392" s="100" t="str">
        <f t="shared" si="48"/>
        <v xml:space="preserve"> </v>
      </c>
    </row>
    <row r="393" spans="1:26">
      <c r="A393" s="100"/>
      <c r="B393" s="108" t="str">
        <f>IFERROR(VLOOKUP(Tablo5[[#This Row],[ÜRÜN KODU]],YMKODLARI!$A$1:$K$363,2,0)," ")</f>
        <v xml:space="preserve"> </v>
      </c>
      <c r="C393" s="99"/>
      <c r="D393" s="100"/>
      <c r="E393" s="101"/>
      <c r="F393" s="101"/>
      <c r="G393" s="100" t="str">
        <f>IFERROR(VLOOKUP(Tablo5[[#This Row],[ÜRÜN KODU]],YMKODLARI!$A$1:$K$363,3,0)," ")</f>
        <v xml:space="preserve"> </v>
      </c>
      <c r="H393" s="100" t="str">
        <f>IFERROR(VLOOKUP(Tablo5[[#This Row],[ÜRÜN KODU]],YMKODLARI!$A$1:$K$363,4,0)," ")</f>
        <v xml:space="preserve"> </v>
      </c>
      <c r="I393" s="100"/>
      <c r="J393" s="100" t="str">
        <f>IFERROR(VLOOKUP(Tablo5[[#This Row],[ÜRÜN KODU]],YMKODLARI!$A$1:$K$363,9,0)," ")</f>
        <v xml:space="preserve"> </v>
      </c>
      <c r="K393" s="100" t="str">
        <f>IFERROR(VLOOKUP(Tablo5[[#This Row],[BOYA KODU]],Tablo14[#All],4,0)," ")</f>
        <v xml:space="preserve"> </v>
      </c>
      <c r="L393" s="100" t="str">
        <f>IFERROR(VLOOKUP(Tablo5[[#This Row],[BOYA KODU]],Tablo14[#All],6,0)," ")</f>
        <v xml:space="preserve"> </v>
      </c>
      <c r="M393" s="100" t="str">
        <f t="shared" si="42"/>
        <v xml:space="preserve"> </v>
      </c>
      <c r="N393" s="100" t="str">
        <f>IFERROR(VLOOKUP(Tablo5[[#This Row],[ÜRÜN KODU]],YMKODLARI!$A$1:$K$363,8,0)," ")</f>
        <v xml:space="preserve"> </v>
      </c>
      <c r="O393" s="100" t="str">
        <f>IFERROR(VLOOKUP(Tablo5[[#This Row],[HAMMADDE KODU]],Tablo1[#All],3,0)," ")</f>
        <v xml:space="preserve"> </v>
      </c>
      <c r="P393" s="100" t="str">
        <f>IFERROR(VLOOKUP(Tablo5[[#This Row],[HAMMADDE KODU]],Tablo1[#All],4,0)," ")</f>
        <v xml:space="preserve"> </v>
      </c>
      <c r="Q393" s="100" t="str">
        <f>IFERROR(VLOOKUP(Tablo5[[#This Row],[ÜRÜN KODU]],YMKODLARI!$A$1:$K$363,5,0)," ")</f>
        <v xml:space="preserve"> </v>
      </c>
      <c r="R393" s="100" t="str">
        <f>IFERROR(VLOOKUP(Tablo5[[#This Row],[ÜRÜN KODU]],YMKODLARI!$A$1:$K$363,6,0)," ")</f>
        <v xml:space="preserve"> </v>
      </c>
      <c r="S393" s="100" t="str">
        <f>IFERROR(Tablo5[[#This Row],[YOLLUK HARİÇ BASKI GRAMI]]/Tablo5[[#This Row],[KALIP GÖZ ADEDİ]]," ")</f>
        <v xml:space="preserve"> </v>
      </c>
      <c r="T393" s="100" t="str">
        <f t="shared" si="44"/>
        <v xml:space="preserve"> </v>
      </c>
      <c r="U393" s="100"/>
      <c r="V393" s="100" t="str">
        <f t="shared" si="43"/>
        <v xml:space="preserve"> </v>
      </c>
      <c r="W393" s="101">
        <f t="shared" si="45"/>
        <v>24</v>
      </c>
      <c r="X393" s="102">
        <f t="shared" si="46"/>
        <v>0</v>
      </c>
      <c r="Y393" s="100" t="str">
        <f t="shared" si="47"/>
        <v xml:space="preserve"> </v>
      </c>
      <c r="Z393" s="100" t="str">
        <f t="shared" si="48"/>
        <v xml:space="preserve"> </v>
      </c>
    </row>
    <row r="394" spans="1:26">
      <c r="A394" s="100"/>
      <c r="B394" s="108" t="str">
        <f>IFERROR(VLOOKUP(Tablo5[[#This Row],[ÜRÜN KODU]],YMKODLARI!$A$1:$K$363,2,0)," ")</f>
        <v xml:space="preserve"> </v>
      </c>
      <c r="C394" s="99"/>
      <c r="D394" s="100"/>
      <c r="E394" s="101"/>
      <c r="F394" s="101"/>
      <c r="G394" s="100" t="str">
        <f>IFERROR(VLOOKUP(Tablo5[[#This Row],[ÜRÜN KODU]],YMKODLARI!$A$1:$K$363,3,0)," ")</f>
        <v xml:space="preserve"> </v>
      </c>
      <c r="H394" s="100" t="str">
        <f>IFERROR(VLOOKUP(Tablo5[[#This Row],[ÜRÜN KODU]],YMKODLARI!$A$1:$K$363,4,0)," ")</f>
        <v xml:space="preserve"> </v>
      </c>
      <c r="I394" s="100"/>
      <c r="J394" s="100" t="str">
        <f>IFERROR(VLOOKUP(Tablo5[[#This Row],[ÜRÜN KODU]],YMKODLARI!$A$1:$K$363,9,0)," ")</f>
        <v xml:space="preserve"> </v>
      </c>
      <c r="K394" s="100" t="str">
        <f>IFERROR(VLOOKUP(Tablo5[[#This Row],[BOYA KODU]],Tablo14[#All],4,0)," ")</f>
        <v xml:space="preserve"> </v>
      </c>
      <c r="L394" s="100" t="str">
        <f>IFERROR(VLOOKUP(Tablo5[[#This Row],[BOYA KODU]],Tablo14[#All],6,0)," ")</f>
        <v xml:space="preserve"> </v>
      </c>
      <c r="M394" s="100" t="str">
        <f t="shared" si="42"/>
        <v xml:space="preserve"> </v>
      </c>
      <c r="N394" s="100" t="str">
        <f>IFERROR(VLOOKUP(Tablo5[[#This Row],[ÜRÜN KODU]],YMKODLARI!$A$1:$K$363,8,0)," ")</f>
        <v xml:space="preserve"> </v>
      </c>
      <c r="O394" s="100" t="str">
        <f>IFERROR(VLOOKUP(Tablo5[[#This Row],[HAMMADDE KODU]],Tablo1[#All],3,0)," ")</f>
        <v xml:space="preserve"> </v>
      </c>
      <c r="P394" s="100" t="str">
        <f>IFERROR(VLOOKUP(Tablo5[[#This Row],[HAMMADDE KODU]],Tablo1[#All],4,0)," ")</f>
        <v xml:space="preserve"> </v>
      </c>
      <c r="Q394" s="100" t="str">
        <f>IFERROR(VLOOKUP(Tablo5[[#This Row],[ÜRÜN KODU]],YMKODLARI!$A$1:$K$363,5,0)," ")</f>
        <v xml:space="preserve"> </v>
      </c>
      <c r="R394" s="100" t="str">
        <f>IFERROR(VLOOKUP(Tablo5[[#This Row],[ÜRÜN KODU]],YMKODLARI!$A$1:$K$363,6,0)," ")</f>
        <v xml:space="preserve"> </v>
      </c>
      <c r="S394" s="100" t="str">
        <f>IFERROR(Tablo5[[#This Row],[YOLLUK HARİÇ BASKI GRAMI]]/Tablo5[[#This Row],[KALIP GÖZ ADEDİ]]," ")</f>
        <v xml:space="preserve"> </v>
      </c>
      <c r="T394" s="100" t="str">
        <f t="shared" si="44"/>
        <v xml:space="preserve"> </v>
      </c>
      <c r="U394" s="100"/>
      <c r="V394" s="100" t="str">
        <f t="shared" si="43"/>
        <v xml:space="preserve"> </v>
      </c>
      <c r="W394" s="101">
        <f t="shared" si="45"/>
        <v>24</v>
      </c>
      <c r="X394" s="102">
        <f t="shared" si="46"/>
        <v>0</v>
      </c>
      <c r="Y394" s="100" t="str">
        <f t="shared" si="47"/>
        <v xml:space="preserve"> </v>
      </c>
      <c r="Z394" s="100" t="str">
        <f t="shared" si="48"/>
        <v xml:space="preserve"> </v>
      </c>
    </row>
    <row r="395" spans="1:26">
      <c r="A395" s="100"/>
      <c r="B395" s="108" t="str">
        <f>IFERROR(VLOOKUP(Tablo5[[#This Row],[ÜRÜN KODU]],YMKODLARI!$A$1:$K$363,2,0)," ")</f>
        <v xml:space="preserve"> </v>
      </c>
      <c r="C395" s="99"/>
      <c r="D395" s="100"/>
      <c r="E395" s="101"/>
      <c r="F395" s="101"/>
      <c r="G395" s="100" t="str">
        <f>IFERROR(VLOOKUP(Tablo5[[#This Row],[ÜRÜN KODU]],YMKODLARI!$A$1:$K$363,3,0)," ")</f>
        <v xml:space="preserve"> </v>
      </c>
      <c r="H395" s="100" t="str">
        <f>IFERROR(VLOOKUP(Tablo5[[#This Row],[ÜRÜN KODU]],YMKODLARI!$A$1:$K$363,4,0)," ")</f>
        <v xml:space="preserve"> </v>
      </c>
      <c r="I395" s="100"/>
      <c r="J395" s="100" t="str">
        <f>IFERROR(VLOOKUP(Tablo5[[#This Row],[ÜRÜN KODU]],YMKODLARI!$A$1:$K$363,9,0)," ")</f>
        <v xml:space="preserve"> </v>
      </c>
      <c r="K395" s="100" t="str">
        <f>IFERROR(VLOOKUP(Tablo5[[#This Row],[BOYA KODU]],Tablo14[#All],4,0)," ")</f>
        <v xml:space="preserve"> </v>
      </c>
      <c r="L395" s="100" t="str">
        <f>IFERROR(VLOOKUP(Tablo5[[#This Row],[BOYA KODU]],Tablo14[#All],6,0)," ")</f>
        <v xml:space="preserve"> </v>
      </c>
      <c r="M395" s="100" t="str">
        <f t="shared" si="42"/>
        <v xml:space="preserve"> </v>
      </c>
      <c r="N395" s="100" t="str">
        <f>IFERROR(VLOOKUP(Tablo5[[#This Row],[ÜRÜN KODU]],YMKODLARI!$A$1:$K$363,8,0)," ")</f>
        <v xml:space="preserve"> </v>
      </c>
      <c r="O395" s="100" t="str">
        <f>IFERROR(VLOOKUP(Tablo5[[#This Row],[HAMMADDE KODU]],Tablo1[#All],3,0)," ")</f>
        <v xml:space="preserve"> </v>
      </c>
      <c r="P395" s="100" t="str">
        <f>IFERROR(VLOOKUP(Tablo5[[#This Row],[HAMMADDE KODU]],Tablo1[#All],4,0)," ")</f>
        <v xml:space="preserve"> </v>
      </c>
      <c r="Q395" s="100" t="str">
        <f>IFERROR(VLOOKUP(Tablo5[[#This Row],[ÜRÜN KODU]],YMKODLARI!$A$1:$K$363,5,0)," ")</f>
        <v xml:space="preserve"> </v>
      </c>
      <c r="R395" s="100" t="str">
        <f>IFERROR(VLOOKUP(Tablo5[[#This Row],[ÜRÜN KODU]],YMKODLARI!$A$1:$K$363,6,0)," ")</f>
        <v xml:space="preserve"> </v>
      </c>
      <c r="S395" s="100" t="str">
        <f>IFERROR(Tablo5[[#This Row],[YOLLUK HARİÇ BASKI GRAMI]]/Tablo5[[#This Row],[KALIP GÖZ ADEDİ]]," ")</f>
        <v xml:space="preserve"> </v>
      </c>
      <c r="T395" s="100" t="str">
        <f t="shared" si="44"/>
        <v xml:space="preserve"> </v>
      </c>
      <c r="U395" s="100"/>
      <c r="V395" s="100" t="str">
        <f t="shared" si="43"/>
        <v xml:space="preserve"> </v>
      </c>
      <c r="W395" s="101">
        <f t="shared" si="45"/>
        <v>24</v>
      </c>
      <c r="X395" s="102">
        <f t="shared" si="46"/>
        <v>0</v>
      </c>
      <c r="Y395" s="100" t="str">
        <f t="shared" si="47"/>
        <v xml:space="preserve"> </v>
      </c>
      <c r="Z395" s="100" t="str">
        <f t="shared" si="48"/>
        <v xml:space="preserve"> </v>
      </c>
    </row>
    <row r="396" spans="1:26">
      <c r="A396" s="100"/>
      <c r="B396" s="108" t="str">
        <f>IFERROR(VLOOKUP(Tablo5[[#This Row],[ÜRÜN KODU]],YMKODLARI!$A$1:$K$363,2,0)," ")</f>
        <v xml:space="preserve"> </v>
      </c>
      <c r="C396" s="99"/>
      <c r="D396" s="100"/>
      <c r="E396" s="101"/>
      <c r="F396" s="101"/>
      <c r="G396" s="100" t="str">
        <f>IFERROR(VLOOKUP(Tablo5[[#This Row],[ÜRÜN KODU]],YMKODLARI!$A$1:$K$363,3,0)," ")</f>
        <v xml:space="preserve"> </v>
      </c>
      <c r="H396" s="100" t="str">
        <f>IFERROR(VLOOKUP(Tablo5[[#This Row],[ÜRÜN KODU]],YMKODLARI!$A$1:$K$363,4,0)," ")</f>
        <v xml:space="preserve"> </v>
      </c>
      <c r="I396" s="100"/>
      <c r="J396" s="100" t="str">
        <f>IFERROR(VLOOKUP(Tablo5[[#This Row],[ÜRÜN KODU]],YMKODLARI!$A$1:$K$363,9,0)," ")</f>
        <v xml:space="preserve"> </v>
      </c>
      <c r="K396" s="100" t="str">
        <f>IFERROR(VLOOKUP(Tablo5[[#This Row],[BOYA KODU]],Tablo14[#All],4,0)," ")</f>
        <v xml:space="preserve"> </v>
      </c>
      <c r="L396" s="100" t="str">
        <f>IFERROR(VLOOKUP(Tablo5[[#This Row],[BOYA KODU]],Tablo14[#All],6,0)," ")</f>
        <v xml:space="preserve"> </v>
      </c>
      <c r="M396" s="100" t="str">
        <f t="shared" si="42"/>
        <v xml:space="preserve"> </v>
      </c>
      <c r="N396" s="100" t="str">
        <f>IFERROR(VLOOKUP(Tablo5[[#This Row],[ÜRÜN KODU]],YMKODLARI!$A$1:$K$363,8,0)," ")</f>
        <v xml:space="preserve"> </v>
      </c>
      <c r="O396" s="100" t="str">
        <f>IFERROR(VLOOKUP(Tablo5[[#This Row],[HAMMADDE KODU]],Tablo1[#All],3,0)," ")</f>
        <v xml:space="preserve"> </v>
      </c>
      <c r="P396" s="100" t="str">
        <f>IFERROR(VLOOKUP(Tablo5[[#This Row],[HAMMADDE KODU]],Tablo1[#All],4,0)," ")</f>
        <v xml:space="preserve"> </v>
      </c>
      <c r="Q396" s="100" t="str">
        <f>IFERROR(VLOOKUP(Tablo5[[#This Row],[ÜRÜN KODU]],YMKODLARI!$A$1:$K$363,5,0)," ")</f>
        <v xml:space="preserve"> </v>
      </c>
      <c r="R396" s="100" t="str">
        <f>IFERROR(VLOOKUP(Tablo5[[#This Row],[ÜRÜN KODU]],YMKODLARI!$A$1:$K$363,6,0)," ")</f>
        <v xml:space="preserve"> </v>
      </c>
      <c r="S396" s="100" t="str">
        <f>IFERROR(Tablo5[[#This Row],[YOLLUK HARİÇ BASKI GRAMI]]/Tablo5[[#This Row],[KALIP GÖZ ADEDİ]]," ")</f>
        <v xml:space="preserve"> </v>
      </c>
      <c r="T396" s="100" t="str">
        <f t="shared" si="44"/>
        <v xml:space="preserve"> </v>
      </c>
      <c r="U396" s="100"/>
      <c r="V396" s="100" t="str">
        <f t="shared" si="43"/>
        <v xml:space="preserve"> </v>
      </c>
      <c r="W396" s="101">
        <f t="shared" si="45"/>
        <v>24</v>
      </c>
      <c r="X396" s="102">
        <f t="shared" si="46"/>
        <v>0</v>
      </c>
      <c r="Y396" s="100" t="str">
        <f t="shared" si="47"/>
        <v xml:space="preserve"> </v>
      </c>
      <c r="Z396" s="100" t="str">
        <f t="shared" si="48"/>
        <v xml:space="preserve"> </v>
      </c>
    </row>
    <row r="397" spans="1:26">
      <c r="A397" s="100"/>
      <c r="B397" s="108" t="str">
        <f>IFERROR(VLOOKUP(Tablo5[[#This Row],[ÜRÜN KODU]],YMKODLARI!$A$1:$K$363,2,0)," ")</f>
        <v xml:space="preserve"> </v>
      </c>
      <c r="C397" s="99"/>
      <c r="D397" s="100"/>
      <c r="E397" s="101"/>
      <c r="F397" s="101"/>
      <c r="G397" s="100" t="str">
        <f>IFERROR(VLOOKUP(Tablo5[[#This Row],[ÜRÜN KODU]],YMKODLARI!$A$1:$K$363,3,0)," ")</f>
        <v xml:space="preserve"> </v>
      </c>
      <c r="H397" s="100" t="str">
        <f>IFERROR(VLOOKUP(Tablo5[[#This Row],[ÜRÜN KODU]],YMKODLARI!$A$1:$K$363,4,0)," ")</f>
        <v xml:space="preserve"> </v>
      </c>
      <c r="I397" s="100"/>
      <c r="J397" s="100" t="str">
        <f>IFERROR(VLOOKUP(Tablo5[[#This Row],[ÜRÜN KODU]],YMKODLARI!$A$1:$K$363,9,0)," ")</f>
        <v xml:space="preserve"> </v>
      </c>
      <c r="K397" s="100" t="str">
        <f>IFERROR(VLOOKUP(Tablo5[[#This Row],[BOYA KODU]],Tablo14[#All],4,0)," ")</f>
        <v xml:space="preserve"> </v>
      </c>
      <c r="L397" s="100" t="str">
        <f>IFERROR(VLOOKUP(Tablo5[[#This Row],[BOYA KODU]],Tablo14[#All],6,0)," ")</f>
        <v xml:space="preserve"> </v>
      </c>
      <c r="M397" s="100" t="str">
        <f t="shared" si="42"/>
        <v xml:space="preserve"> </v>
      </c>
      <c r="N397" s="100" t="str">
        <f>IFERROR(VLOOKUP(Tablo5[[#This Row],[ÜRÜN KODU]],YMKODLARI!$A$1:$K$363,8,0)," ")</f>
        <v xml:space="preserve"> </v>
      </c>
      <c r="O397" s="100" t="str">
        <f>IFERROR(VLOOKUP(Tablo5[[#This Row],[HAMMADDE KODU]],Tablo1[#All],3,0)," ")</f>
        <v xml:space="preserve"> </v>
      </c>
      <c r="P397" s="100" t="str">
        <f>IFERROR(VLOOKUP(Tablo5[[#This Row],[HAMMADDE KODU]],Tablo1[#All],4,0)," ")</f>
        <v xml:space="preserve"> </v>
      </c>
      <c r="Q397" s="100" t="str">
        <f>IFERROR(VLOOKUP(Tablo5[[#This Row],[ÜRÜN KODU]],YMKODLARI!$A$1:$K$363,5,0)," ")</f>
        <v xml:space="preserve"> </v>
      </c>
      <c r="R397" s="100" t="str">
        <f>IFERROR(VLOOKUP(Tablo5[[#This Row],[ÜRÜN KODU]],YMKODLARI!$A$1:$K$363,6,0)," ")</f>
        <v xml:space="preserve"> </v>
      </c>
      <c r="S397" s="100" t="str">
        <f>IFERROR(Tablo5[[#This Row],[YOLLUK HARİÇ BASKI GRAMI]]/Tablo5[[#This Row],[KALIP GÖZ ADEDİ]]," ")</f>
        <v xml:space="preserve"> </v>
      </c>
      <c r="T397" s="100" t="str">
        <f t="shared" si="44"/>
        <v xml:space="preserve"> </v>
      </c>
      <c r="U397" s="100"/>
      <c r="V397" s="100" t="str">
        <f t="shared" si="43"/>
        <v xml:space="preserve"> </v>
      </c>
      <c r="W397" s="101">
        <f t="shared" si="45"/>
        <v>24</v>
      </c>
      <c r="X397" s="102">
        <f t="shared" si="46"/>
        <v>0</v>
      </c>
      <c r="Y397" s="100" t="str">
        <f t="shared" si="47"/>
        <v xml:space="preserve"> </v>
      </c>
      <c r="Z397" s="100" t="str">
        <f t="shared" si="48"/>
        <v xml:space="preserve"> </v>
      </c>
    </row>
    <row r="398" spans="1:26">
      <c r="A398" s="100"/>
      <c r="B398" s="108" t="str">
        <f>IFERROR(VLOOKUP(Tablo5[[#This Row],[ÜRÜN KODU]],YMKODLARI!$A$1:$K$363,2,0)," ")</f>
        <v xml:space="preserve"> </v>
      </c>
      <c r="C398" s="99"/>
      <c r="D398" s="100"/>
      <c r="E398" s="101"/>
      <c r="F398" s="101"/>
      <c r="G398" s="100" t="str">
        <f>IFERROR(VLOOKUP(Tablo5[[#This Row],[ÜRÜN KODU]],YMKODLARI!$A$1:$K$363,3,0)," ")</f>
        <v xml:space="preserve"> </v>
      </c>
      <c r="H398" s="100" t="str">
        <f>IFERROR(VLOOKUP(Tablo5[[#This Row],[ÜRÜN KODU]],YMKODLARI!$A$1:$K$363,4,0)," ")</f>
        <v xml:space="preserve"> </v>
      </c>
      <c r="I398" s="100"/>
      <c r="J398" s="100" t="str">
        <f>IFERROR(VLOOKUP(Tablo5[[#This Row],[ÜRÜN KODU]],YMKODLARI!$A$1:$K$363,9,0)," ")</f>
        <v xml:space="preserve"> </v>
      </c>
      <c r="K398" s="100" t="str">
        <f>IFERROR(VLOOKUP(Tablo5[[#This Row],[BOYA KODU]],Tablo14[#All],4,0)," ")</f>
        <v xml:space="preserve"> </v>
      </c>
      <c r="L398" s="100" t="str">
        <f>IFERROR(VLOOKUP(Tablo5[[#This Row],[BOYA KODU]],Tablo14[#All],6,0)," ")</f>
        <v xml:space="preserve"> </v>
      </c>
      <c r="M398" s="100" t="str">
        <f t="shared" si="42"/>
        <v xml:space="preserve"> </v>
      </c>
      <c r="N398" s="100" t="str">
        <f>IFERROR(VLOOKUP(Tablo5[[#This Row],[ÜRÜN KODU]],YMKODLARI!$A$1:$K$363,8,0)," ")</f>
        <v xml:space="preserve"> </v>
      </c>
      <c r="O398" s="100" t="str">
        <f>IFERROR(VLOOKUP(Tablo5[[#This Row],[HAMMADDE KODU]],Tablo1[#All],3,0)," ")</f>
        <v xml:space="preserve"> </v>
      </c>
      <c r="P398" s="100" t="str">
        <f>IFERROR(VLOOKUP(Tablo5[[#This Row],[HAMMADDE KODU]],Tablo1[#All],4,0)," ")</f>
        <v xml:space="preserve"> </v>
      </c>
      <c r="Q398" s="100" t="str">
        <f>IFERROR(VLOOKUP(Tablo5[[#This Row],[ÜRÜN KODU]],YMKODLARI!$A$1:$K$363,5,0)," ")</f>
        <v xml:space="preserve"> </v>
      </c>
      <c r="R398" s="100" t="str">
        <f>IFERROR(VLOOKUP(Tablo5[[#This Row],[ÜRÜN KODU]],YMKODLARI!$A$1:$K$363,6,0)," ")</f>
        <v xml:space="preserve"> </v>
      </c>
      <c r="S398" s="100" t="str">
        <f>IFERROR(Tablo5[[#This Row],[YOLLUK HARİÇ BASKI GRAMI]]/Tablo5[[#This Row],[KALIP GÖZ ADEDİ]]," ")</f>
        <v xml:space="preserve"> </v>
      </c>
      <c r="T398" s="100" t="str">
        <f t="shared" si="44"/>
        <v xml:space="preserve"> </v>
      </c>
      <c r="U398" s="100"/>
      <c r="V398" s="100" t="str">
        <f t="shared" si="43"/>
        <v xml:space="preserve"> </v>
      </c>
      <c r="W398" s="101">
        <f t="shared" si="45"/>
        <v>24</v>
      </c>
      <c r="X398" s="102">
        <f t="shared" si="46"/>
        <v>0</v>
      </c>
      <c r="Y398" s="100" t="str">
        <f t="shared" si="47"/>
        <v xml:space="preserve"> </v>
      </c>
      <c r="Z398" s="100" t="str">
        <f t="shared" si="48"/>
        <v xml:space="preserve"> </v>
      </c>
    </row>
    <row r="399" spans="1:26">
      <c r="A399" s="100"/>
      <c r="B399" s="108" t="str">
        <f>IFERROR(VLOOKUP(Tablo5[[#This Row],[ÜRÜN KODU]],YMKODLARI!$A$1:$K$363,2,0)," ")</f>
        <v xml:space="preserve"> </v>
      </c>
      <c r="C399" s="99"/>
      <c r="D399" s="100"/>
      <c r="E399" s="101"/>
      <c r="F399" s="101"/>
      <c r="G399" s="100" t="str">
        <f>IFERROR(VLOOKUP(Tablo5[[#This Row],[ÜRÜN KODU]],YMKODLARI!$A$1:$K$363,3,0)," ")</f>
        <v xml:space="preserve"> </v>
      </c>
      <c r="H399" s="100" t="str">
        <f>IFERROR(VLOOKUP(Tablo5[[#This Row],[ÜRÜN KODU]],YMKODLARI!$A$1:$K$363,4,0)," ")</f>
        <v xml:space="preserve"> </v>
      </c>
      <c r="I399" s="100"/>
      <c r="J399" s="100" t="str">
        <f>IFERROR(VLOOKUP(Tablo5[[#This Row],[ÜRÜN KODU]],YMKODLARI!$A$1:$K$363,9,0)," ")</f>
        <v xml:space="preserve"> </v>
      </c>
      <c r="K399" s="100" t="str">
        <f>IFERROR(VLOOKUP(Tablo5[[#This Row],[BOYA KODU]],Tablo14[#All],4,0)," ")</f>
        <v xml:space="preserve"> </v>
      </c>
      <c r="L399" s="100" t="str">
        <f>IFERROR(VLOOKUP(Tablo5[[#This Row],[BOYA KODU]],Tablo14[#All],6,0)," ")</f>
        <v xml:space="preserve"> </v>
      </c>
      <c r="M399" s="100" t="str">
        <f t="shared" si="42"/>
        <v xml:space="preserve"> </v>
      </c>
      <c r="N399" s="100" t="str">
        <f>IFERROR(VLOOKUP(Tablo5[[#This Row],[ÜRÜN KODU]],YMKODLARI!$A$1:$K$363,8,0)," ")</f>
        <v xml:space="preserve"> </v>
      </c>
      <c r="O399" s="100" t="str">
        <f>IFERROR(VLOOKUP(Tablo5[[#This Row],[HAMMADDE KODU]],Tablo1[#All],3,0)," ")</f>
        <v xml:space="preserve"> </v>
      </c>
      <c r="P399" s="100" t="str">
        <f>IFERROR(VLOOKUP(Tablo5[[#This Row],[HAMMADDE KODU]],Tablo1[#All],4,0)," ")</f>
        <v xml:space="preserve"> </v>
      </c>
      <c r="Q399" s="100" t="str">
        <f>IFERROR(VLOOKUP(Tablo5[[#This Row],[ÜRÜN KODU]],YMKODLARI!$A$1:$K$363,5,0)," ")</f>
        <v xml:space="preserve"> </v>
      </c>
      <c r="R399" s="100" t="str">
        <f>IFERROR(VLOOKUP(Tablo5[[#This Row],[ÜRÜN KODU]],YMKODLARI!$A$1:$K$363,6,0)," ")</f>
        <v xml:space="preserve"> </v>
      </c>
      <c r="S399" s="100" t="str">
        <f>IFERROR(Tablo5[[#This Row],[YOLLUK HARİÇ BASKI GRAMI]]/Tablo5[[#This Row],[KALIP GÖZ ADEDİ]]," ")</f>
        <v xml:space="preserve"> </v>
      </c>
      <c r="T399" s="100" t="str">
        <f t="shared" si="44"/>
        <v xml:space="preserve"> </v>
      </c>
      <c r="U399" s="100"/>
      <c r="V399" s="100" t="str">
        <f t="shared" si="43"/>
        <v xml:space="preserve"> </v>
      </c>
      <c r="W399" s="101">
        <f t="shared" si="45"/>
        <v>24</v>
      </c>
      <c r="X399" s="102">
        <f t="shared" si="46"/>
        <v>0</v>
      </c>
      <c r="Y399" s="100" t="str">
        <f t="shared" si="47"/>
        <v xml:space="preserve"> </v>
      </c>
      <c r="Z399" s="100" t="str">
        <f t="shared" si="48"/>
        <v xml:space="preserve"> </v>
      </c>
    </row>
    <row r="400" spans="1:26">
      <c r="A400" s="100"/>
      <c r="B400" s="108" t="str">
        <f>IFERROR(VLOOKUP(Tablo5[[#This Row],[ÜRÜN KODU]],YMKODLARI!$A$1:$K$363,2,0)," ")</f>
        <v xml:space="preserve"> </v>
      </c>
      <c r="C400" s="99"/>
      <c r="D400" s="100"/>
      <c r="E400" s="101"/>
      <c r="F400" s="101"/>
      <c r="G400" s="100" t="str">
        <f>IFERROR(VLOOKUP(Tablo5[[#This Row],[ÜRÜN KODU]],YMKODLARI!$A$1:$K$363,3,0)," ")</f>
        <v xml:space="preserve"> </v>
      </c>
      <c r="H400" s="100" t="str">
        <f>IFERROR(VLOOKUP(Tablo5[[#This Row],[ÜRÜN KODU]],YMKODLARI!$A$1:$K$363,4,0)," ")</f>
        <v xml:space="preserve"> </v>
      </c>
      <c r="I400" s="100"/>
      <c r="J400" s="100" t="str">
        <f>IFERROR(VLOOKUP(Tablo5[[#This Row],[ÜRÜN KODU]],YMKODLARI!$A$1:$K$363,9,0)," ")</f>
        <v xml:space="preserve"> </v>
      </c>
      <c r="K400" s="100" t="str">
        <f>IFERROR(VLOOKUP(Tablo5[[#This Row],[BOYA KODU]],Tablo14[#All],4,0)," ")</f>
        <v xml:space="preserve"> </v>
      </c>
      <c r="L400" s="100" t="str">
        <f>IFERROR(VLOOKUP(Tablo5[[#This Row],[BOYA KODU]],Tablo14[#All],6,0)," ")</f>
        <v xml:space="preserve"> </v>
      </c>
      <c r="M400" s="100" t="str">
        <f t="shared" si="42"/>
        <v xml:space="preserve"> </v>
      </c>
      <c r="N400" s="100" t="str">
        <f>IFERROR(VLOOKUP(Tablo5[[#This Row],[ÜRÜN KODU]],YMKODLARI!$A$1:$K$363,8,0)," ")</f>
        <v xml:space="preserve"> </v>
      </c>
      <c r="O400" s="100" t="str">
        <f>IFERROR(VLOOKUP(Tablo5[[#This Row],[HAMMADDE KODU]],Tablo1[#All],3,0)," ")</f>
        <v xml:space="preserve"> </v>
      </c>
      <c r="P400" s="100" t="str">
        <f>IFERROR(VLOOKUP(Tablo5[[#This Row],[HAMMADDE KODU]],Tablo1[#All],4,0)," ")</f>
        <v xml:space="preserve"> </v>
      </c>
      <c r="Q400" s="100" t="str">
        <f>IFERROR(VLOOKUP(Tablo5[[#This Row],[ÜRÜN KODU]],YMKODLARI!$A$1:$K$363,5,0)," ")</f>
        <v xml:space="preserve"> </v>
      </c>
      <c r="R400" s="100" t="str">
        <f>IFERROR(VLOOKUP(Tablo5[[#This Row],[ÜRÜN KODU]],YMKODLARI!$A$1:$K$363,6,0)," ")</f>
        <v xml:space="preserve"> </v>
      </c>
      <c r="S400" s="100" t="str">
        <f>IFERROR(Tablo5[[#This Row],[YOLLUK HARİÇ BASKI GRAMI]]/Tablo5[[#This Row],[KALIP GÖZ ADEDİ]]," ")</f>
        <v xml:space="preserve"> </v>
      </c>
      <c r="T400" s="100" t="str">
        <f t="shared" si="44"/>
        <v xml:space="preserve"> </v>
      </c>
      <c r="U400" s="100"/>
      <c r="V400" s="100" t="str">
        <f t="shared" si="43"/>
        <v xml:space="preserve"> </v>
      </c>
      <c r="W400" s="101">
        <f t="shared" si="45"/>
        <v>24</v>
      </c>
      <c r="X400" s="102">
        <f t="shared" si="46"/>
        <v>0</v>
      </c>
      <c r="Y400" s="100" t="str">
        <f t="shared" si="47"/>
        <v xml:space="preserve"> </v>
      </c>
      <c r="Z400" s="100" t="str">
        <f t="shared" si="48"/>
        <v xml:space="preserve"> </v>
      </c>
    </row>
    <row r="401" spans="1:26">
      <c r="A401" s="100"/>
      <c r="B401" s="108" t="str">
        <f>IFERROR(VLOOKUP(Tablo5[[#This Row],[ÜRÜN KODU]],YMKODLARI!$A$1:$K$363,2,0)," ")</f>
        <v xml:space="preserve"> </v>
      </c>
      <c r="C401" s="99"/>
      <c r="D401" s="100"/>
      <c r="E401" s="101"/>
      <c r="F401" s="101"/>
      <c r="G401" s="100" t="str">
        <f>IFERROR(VLOOKUP(Tablo5[[#This Row],[ÜRÜN KODU]],YMKODLARI!$A$1:$K$363,3,0)," ")</f>
        <v xml:space="preserve"> </v>
      </c>
      <c r="H401" s="100" t="str">
        <f>IFERROR(VLOOKUP(Tablo5[[#This Row],[ÜRÜN KODU]],YMKODLARI!$A$1:$K$363,4,0)," ")</f>
        <v xml:space="preserve"> </v>
      </c>
      <c r="I401" s="100"/>
      <c r="J401" s="100" t="str">
        <f>IFERROR(VLOOKUP(Tablo5[[#This Row],[ÜRÜN KODU]],YMKODLARI!$A$1:$K$363,9,0)," ")</f>
        <v xml:space="preserve"> </v>
      </c>
      <c r="K401" s="100" t="str">
        <f>IFERROR(VLOOKUP(Tablo5[[#This Row],[BOYA KODU]],Tablo14[#All],4,0)," ")</f>
        <v xml:space="preserve"> </v>
      </c>
      <c r="L401" s="100" t="str">
        <f>IFERROR(VLOOKUP(Tablo5[[#This Row],[BOYA KODU]],Tablo14[#All],6,0)," ")</f>
        <v xml:space="preserve"> </v>
      </c>
      <c r="M401" s="100" t="str">
        <f t="shared" si="42"/>
        <v xml:space="preserve"> </v>
      </c>
      <c r="N401" s="100" t="str">
        <f>IFERROR(VLOOKUP(Tablo5[[#This Row],[ÜRÜN KODU]],YMKODLARI!$A$1:$K$363,8,0)," ")</f>
        <v xml:space="preserve"> </v>
      </c>
      <c r="O401" s="100" t="str">
        <f>IFERROR(VLOOKUP(Tablo5[[#This Row],[HAMMADDE KODU]],Tablo1[#All],3,0)," ")</f>
        <v xml:space="preserve"> </v>
      </c>
      <c r="P401" s="100" t="str">
        <f>IFERROR(VLOOKUP(Tablo5[[#This Row],[HAMMADDE KODU]],Tablo1[#All],4,0)," ")</f>
        <v xml:space="preserve"> </v>
      </c>
      <c r="Q401" s="100" t="str">
        <f>IFERROR(VLOOKUP(Tablo5[[#This Row],[ÜRÜN KODU]],YMKODLARI!$A$1:$K$363,5,0)," ")</f>
        <v xml:space="preserve"> </v>
      </c>
      <c r="R401" s="100" t="str">
        <f>IFERROR(VLOOKUP(Tablo5[[#This Row],[ÜRÜN KODU]],YMKODLARI!$A$1:$K$363,6,0)," ")</f>
        <v xml:space="preserve"> </v>
      </c>
      <c r="S401" s="100" t="str">
        <f>IFERROR(Tablo5[[#This Row],[YOLLUK HARİÇ BASKI GRAMI]]/Tablo5[[#This Row],[KALIP GÖZ ADEDİ]]," ")</f>
        <v xml:space="preserve"> </v>
      </c>
      <c r="T401" s="100" t="str">
        <f t="shared" si="44"/>
        <v xml:space="preserve"> </v>
      </c>
      <c r="U401" s="100"/>
      <c r="V401" s="100" t="str">
        <f t="shared" si="43"/>
        <v xml:space="preserve"> </v>
      </c>
      <c r="W401" s="101">
        <f t="shared" si="45"/>
        <v>24</v>
      </c>
      <c r="X401" s="102">
        <f t="shared" si="46"/>
        <v>0</v>
      </c>
      <c r="Y401" s="100" t="str">
        <f t="shared" si="47"/>
        <v xml:space="preserve"> </v>
      </c>
      <c r="Z401" s="100" t="str">
        <f t="shared" si="48"/>
        <v xml:space="preserve"> </v>
      </c>
    </row>
    <row r="402" spans="1:26">
      <c r="A402" s="100"/>
      <c r="B402" s="108" t="str">
        <f>IFERROR(VLOOKUP(Tablo5[[#This Row],[ÜRÜN KODU]],YMKODLARI!$A$1:$K$363,2,0)," ")</f>
        <v xml:space="preserve"> </v>
      </c>
      <c r="C402" s="99"/>
      <c r="D402" s="100"/>
      <c r="E402" s="101"/>
      <c r="F402" s="101"/>
      <c r="G402" s="100" t="str">
        <f>IFERROR(VLOOKUP(Tablo5[[#This Row],[ÜRÜN KODU]],YMKODLARI!$A$1:$K$363,3,0)," ")</f>
        <v xml:space="preserve"> </v>
      </c>
      <c r="H402" s="100" t="str">
        <f>IFERROR(VLOOKUP(Tablo5[[#This Row],[ÜRÜN KODU]],YMKODLARI!$A$1:$K$363,4,0)," ")</f>
        <v xml:space="preserve"> </v>
      </c>
      <c r="I402" s="100"/>
      <c r="J402" s="100" t="str">
        <f>IFERROR(VLOOKUP(Tablo5[[#This Row],[ÜRÜN KODU]],YMKODLARI!$A$1:$K$363,9,0)," ")</f>
        <v xml:space="preserve"> </v>
      </c>
      <c r="K402" s="100" t="str">
        <f>IFERROR(VLOOKUP(Tablo5[[#This Row],[BOYA KODU]],Tablo14[#All],4,0)," ")</f>
        <v xml:space="preserve"> </v>
      </c>
      <c r="L402" s="100" t="str">
        <f>IFERROR(VLOOKUP(Tablo5[[#This Row],[BOYA KODU]],Tablo14[#All],6,0)," ")</f>
        <v xml:space="preserve"> </v>
      </c>
      <c r="M402" s="100" t="str">
        <f t="shared" si="42"/>
        <v xml:space="preserve"> </v>
      </c>
      <c r="N402" s="100" t="str">
        <f>IFERROR(VLOOKUP(Tablo5[[#This Row],[ÜRÜN KODU]],YMKODLARI!$A$1:$K$363,8,0)," ")</f>
        <v xml:space="preserve"> </v>
      </c>
      <c r="O402" s="100" t="str">
        <f>IFERROR(VLOOKUP(Tablo5[[#This Row],[HAMMADDE KODU]],Tablo1[#All],3,0)," ")</f>
        <v xml:space="preserve"> </v>
      </c>
      <c r="P402" s="100" t="str">
        <f>IFERROR(VLOOKUP(Tablo5[[#This Row],[HAMMADDE KODU]],Tablo1[#All],4,0)," ")</f>
        <v xml:space="preserve"> </v>
      </c>
      <c r="Q402" s="100" t="str">
        <f>IFERROR(VLOOKUP(Tablo5[[#This Row],[ÜRÜN KODU]],YMKODLARI!$A$1:$K$363,5,0)," ")</f>
        <v xml:space="preserve"> </v>
      </c>
      <c r="R402" s="100" t="str">
        <f>IFERROR(VLOOKUP(Tablo5[[#This Row],[ÜRÜN KODU]],YMKODLARI!$A$1:$K$363,6,0)," ")</f>
        <v xml:space="preserve"> </v>
      </c>
      <c r="S402" s="100" t="str">
        <f>IFERROR(Tablo5[[#This Row],[YOLLUK HARİÇ BASKI GRAMI]]/Tablo5[[#This Row],[KALIP GÖZ ADEDİ]]," ")</f>
        <v xml:space="preserve"> </v>
      </c>
      <c r="T402" s="100" t="str">
        <f t="shared" si="44"/>
        <v xml:space="preserve"> </v>
      </c>
      <c r="U402" s="100"/>
      <c r="V402" s="100" t="str">
        <f t="shared" si="43"/>
        <v xml:space="preserve"> </v>
      </c>
      <c r="W402" s="101">
        <f t="shared" si="45"/>
        <v>24</v>
      </c>
      <c r="X402" s="102">
        <f t="shared" si="46"/>
        <v>0</v>
      </c>
      <c r="Y402" s="100" t="str">
        <f t="shared" si="47"/>
        <v xml:space="preserve"> </v>
      </c>
      <c r="Z402" s="100" t="str">
        <f t="shared" si="48"/>
        <v xml:space="preserve"> </v>
      </c>
    </row>
    <row r="403" spans="1:26">
      <c r="A403" s="100"/>
      <c r="B403" s="108" t="str">
        <f>IFERROR(VLOOKUP(Tablo5[[#This Row],[ÜRÜN KODU]],YMKODLARI!$A$1:$K$363,2,0)," ")</f>
        <v xml:space="preserve"> </v>
      </c>
      <c r="C403" s="99"/>
      <c r="D403" s="100"/>
      <c r="E403" s="101"/>
      <c r="F403" s="101"/>
      <c r="G403" s="100" t="str">
        <f>IFERROR(VLOOKUP(Tablo5[[#This Row],[ÜRÜN KODU]],YMKODLARI!$A$1:$K$363,3,0)," ")</f>
        <v xml:space="preserve"> </v>
      </c>
      <c r="H403" s="100" t="str">
        <f>IFERROR(VLOOKUP(Tablo5[[#This Row],[ÜRÜN KODU]],YMKODLARI!$A$1:$K$363,4,0)," ")</f>
        <v xml:space="preserve"> </v>
      </c>
      <c r="I403" s="100"/>
      <c r="J403" s="100" t="str">
        <f>IFERROR(VLOOKUP(Tablo5[[#This Row],[ÜRÜN KODU]],YMKODLARI!$A$1:$K$363,9,0)," ")</f>
        <v xml:space="preserve"> </v>
      </c>
      <c r="K403" s="100" t="str">
        <f>IFERROR(VLOOKUP(Tablo5[[#This Row],[BOYA KODU]],Tablo14[#All],4,0)," ")</f>
        <v xml:space="preserve"> </v>
      </c>
      <c r="L403" s="100" t="str">
        <f>IFERROR(VLOOKUP(Tablo5[[#This Row],[BOYA KODU]],Tablo14[#All],6,0)," ")</f>
        <v xml:space="preserve"> </v>
      </c>
      <c r="M403" s="100" t="str">
        <f t="shared" si="42"/>
        <v xml:space="preserve"> </v>
      </c>
      <c r="N403" s="100" t="str">
        <f>IFERROR(VLOOKUP(Tablo5[[#This Row],[ÜRÜN KODU]],YMKODLARI!$A$1:$K$363,8,0)," ")</f>
        <v xml:space="preserve"> </v>
      </c>
      <c r="O403" s="100" t="str">
        <f>IFERROR(VLOOKUP(Tablo5[[#This Row],[HAMMADDE KODU]],Tablo1[#All],3,0)," ")</f>
        <v xml:space="preserve"> </v>
      </c>
      <c r="P403" s="100" t="str">
        <f>IFERROR(VLOOKUP(Tablo5[[#This Row],[HAMMADDE KODU]],Tablo1[#All],4,0)," ")</f>
        <v xml:space="preserve"> </v>
      </c>
      <c r="Q403" s="100" t="str">
        <f>IFERROR(VLOOKUP(Tablo5[[#This Row],[ÜRÜN KODU]],YMKODLARI!$A$1:$K$363,5,0)," ")</f>
        <v xml:space="preserve"> </v>
      </c>
      <c r="R403" s="100" t="str">
        <f>IFERROR(VLOOKUP(Tablo5[[#This Row],[ÜRÜN KODU]],YMKODLARI!$A$1:$K$363,6,0)," ")</f>
        <v xml:space="preserve"> </v>
      </c>
      <c r="S403" s="100" t="str">
        <f>IFERROR(Tablo5[[#This Row],[YOLLUK HARİÇ BASKI GRAMI]]/Tablo5[[#This Row],[KALIP GÖZ ADEDİ]]," ")</f>
        <v xml:space="preserve"> </v>
      </c>
      <c r="T403" s="100" t="str">
        <f t="shared" si="44"/>
        <v xml:space="preserve"> </v>
      </c>
      <c r="U403" s="100"/>
      <c r="V403" s="100" t="str">
        <f t="shared" si="43"/>
        <v xml:space="preserve"> </v>
      </c>
      <c r="W403" s="101">
        <f t="shared" si="45"/>
        <v>24</v>
      </c>
      <c r="X403" s="102">
        <f t="shared" si="46"/>
        <v>0</v>
      </c>
      <c r="Y403" s="100" t="str">
        <f t="shared" si="47"/>
        <v xml:space="preserve"> </v>
      </c>
      <c r="Z403" s="100" t="str">
        <f t="shared" si="48"/>
        <v xml:space="preserve"> </v>
      </c>
    </row>
    <row r="404" spans="1:26">
      <c r="A404" s="100"/>
      <c r="B404" s="108" t="str">
        <f>IFERROR(VLOOKUP(Tablo5[[#This Row],[ÜRÜN KODU]],YMKODLARI!$A$1:$K$363,2,0)," ")</f>
        <v xml:space="preserve"> </v>
      </c>
      <c r="C404" s="99"/>
      <c r="D404" s="100"/>
      <c r="E404" s="101"/>
      <c r="F404" s="101"/>
      <c r="G404" s="100" t="str">
        <f>IFERROR(VLOOKUP(Tablo5[[#This Row],[ÜRÜN KODU]],YMKODLARI!$A$1:$K$363,3,0)," ")</f>
        <v xml:space="preserve"> </v>
      </c>
      <c r="H404" s="100" t="str">
        <f>IFERROR(VLOOKUP(Tablo5[[#This Row],[ÜRÜN KODU]],YMKODLARI!$A$1:$K$363,4,0)," ")</f>
        <v xml:space="preserve"> </v>
      </c>
      <c r="I404" s="100"/>
      <c r="J404" s="100" t="str">
        <f>IFERROR(VLOOKUP(Tablo5[[#This Row],[ÜRÜN KODU]],YMKODLARI!$A$1:$K$363,9,0)," ")</f>
        <v xml:space="preserve"> </v>
      </c>
      <c r="K404" s="100" t="str">
        <f>IFERROR(VLOOKUP(Tablo5[[#This Row],[BOYA KODU]],Tablo14[#All],4,0)," ")</f>
        <v xml:space="preserve"> </v>
      </c>
      <c r="L404" s="100" t="str">
        <f>IFERROR(VLOOKUP(Tablo5[[#This Row],[BOYA KODU]],Tablo14[#All],6,0)," ")</f>
        <v xml:space="preserve"> </v>
      </c>
      <c r="M404" s="100" t="str">
        <f t="shared" si="42"/>
        <v xml:space="preserve"> </v>
      </c>
      <c r="N404" s="100" t="str">
        <f>IFERROR(VLOOKUP(Tablo5[[#This Row],[ÜRÜN KODU]],YMKODLARI!$A$1:$K$363,8,0)," ")</f>
        <v xml:space="preserve"> </v>
      </c>
      <c r="O404" s="100" t="str">
        <f>IFERROR(VLOOKUP(Tablo5[[#This Row],[HAMMADDE KODU]],Tablo1[#All],3,0)," ")</f>
        <v xml:space="preserve"> </v>
      </c>
      <c r="P404" s="100" t="str">
        <f>IFERROR(VLOOKUP(Tablo5[[#This Row],[HAMMADDE KODU]],Tablo1[#All],4,0)," ")</f>
        <v xml:space="preserve"> </v>
      </c>
      <c r="Q404" s="100" t="str">
        <f>IFERROR(VLOOKUP(Tablo5[[#This Row],[ÜRÜN KODU]],YMKODLARI!$A$1:$K$363,5,0)," ")</f>
        <v xml:space="preserve"> </v>
      </c>
      <c r="R404" s="100" t="str">
        <f>IFERROR(VLOOKUP(Tablo5[[#This Row],[ÜRÜN KODU]],YMKODLARI!$A$1:$K$363,6,0)," ")</f>
        <v xml:space="preserve"> </v>
      </c>
      <c r="S404" s="100" t="str">
        <f>IFERROR(Tablo5[[#This Row],[YOLLUK HARİÇ BASKI GRAMI]]/Tablo5[[#This Row],[KALIP GÖZ ADEDİ]]," ")</f>
        <v xml:space="preserve"> </v>
      </c>
      <c r="T404" s="100" t="str">
        <f t="shared" si="44"/>
        <v xml:space="preserve"> </v>
      </c>
      <c r="U404" s="100"/>
      <c r="V404" s="100" t="str">
        <f t="shared" si="43"/>
        <v xml:space="preserve"> </v>
      </c>
      <c r="W404" s="101">
        <f t="shared" si="45"/>
        <v>24</v>
      </c>
      <c r="X404" s="102">
        <f t="shared" si="46"/>
        <v>0</v>
      </c>
      <c r="Y404" s="100" t="str">
        <f t="shared" si="47"/>
        <v xml:space="preserve"> </v>
      </c>
      <c r="Z404" s="100" t="str">
        <f t="shared" si="48"/>
        <v xml:space="preserve"> </v>
      </c>
    </row>
    <row r="405" spans="1:26">
      <c r="A405" s="100"/>
      <c r="B405" s="108" t="str">
        <f>IFERROR(VLOOKUP(Tablo5[[#This Row],[ÜRÜN KODU]],YMKODLARI!$A$1:$K$363,2,0)," ")</f>
        <v xml:space="preserve"> </v>
      </c>
      <c r="C405" s="99"/>
      <c r="D405" s="100"/>
      <c r="E405" s="101"/>
      <c r="F405" s="101"/>
      <c r="G405" s="100" t="str">
        <f>IFERROR(VLOOKUP(Tablo5[[#This Row],[ÜRÜN KODU]],YMKODLARI!$A$1:$K$363,3,0)," ")</f>
        <v xml:space="preserve"> </v>
      </c>
      <c r="H405" s="100" t="str">
        <f>IFERROR(VLOOKUP(Tablo5[[#This Row],[ÜRÜN KODU]],YMKODLARI!$A$1:$K$363,4,0)," ")</f>
        <v xml:space="preserve"> </v>
      </c>
      <c r="I405" s="100"/>
      <c r="J405" s="100" t="str">
        <f>IFERROR(VLOOKUP(Tablo5[[#This Row],[ÜRÜN KODU]],YMKODLARI!$A$1:$K$363,9,0)," ")</f>
        <v xml:space="preserve"> </v>
      </c>
      <c r="K405" s="100" t="str">
        <f>IFERROR(VLOOKUP(Tablo5[[#This Row],[BOYA KODU]],Tablo14[#All],4,0)," ")</f>
        <v xml:space="preserve"> </v>
      </c>
      <c r="L405" s="100" t="str">
        <f>IFERROR(VLOOKUP(Tablo5[[#This Row],[BOYA KODU]],Tablo14[#All],6,0)," ")</f>
        <v xml:space="preserve"> </v>
      </c>
      <c r="M405" s="100" t="str">
        <f t="shared" si="42"/>
        <v xml:space="preserve"> </v>
      </c>
      <c r="N405" s="100" t="str">
        <f>IFERROR(VLOOKUP(Tablo5[[#This Row],[ÜRÜN KODU]],YMKODLARI!$A$1:$K$363,8,0)," ")</f>
        <v xml:space="preserve"> </v>
      </c>
      <c r="O405" s="100" t="str">
        <f>IFERROR(VLOOKUP(Tablo5[[#This Row],[HAMMADDE KODU]],Tablo1[#All],3,0)," ")</f>
        <v xml:space="preserve"> </v>
      </c>
      <c r="P405" s="100" t="str">
        <f>IFERROR(VLOOKUP(Tablo5[[#This Row],[HAMMADDE KODU]],Tablo1[#All],4,0)," ")</f>
        <v xml:space="preserve"> </v>
      </c>
      <c r="Q405" s="100" t="str">
        <f>IFERROR(VLOOKUP(Tablo5[[#This Row],[ÜRÜN KODU]],YMKODLARI!$A$1:$K$363,5,0)," ")</f>
        <v xml:space="preserve"> </v>
      </c>
      <c r="R405" s="100" t="str">
        <f>IFERROR(VLOOKUP(Tablo5[[#This Row],[ÜRÜN KODU]],YMKODLARI!$A$1:$K$363,6,0)," ")</f>
        <v xml:space="preserve"> </v>
      </c>
      <c r="S405" s="100" t="str">
        <f>IFERROR(Tablo5[[#This Row],[YOLLUK HARİÇ BASKI GRAMI]]/Tablo5[[#This Row],[KALIP GÖZ ADEDİ]]," ")</f>
        <v xml:space="preserve"> </v>
      </c>
      <c r="T405" s="100" t="str">
        <f t="shared" si="44"/>
        <v xml:space="preserve"> </v>
      </c>
      <c r="U405" s="100"/>
      <c r="V405" s="100" t="str">
        <f t="shared" si="43"/>
        <v xml:space="preserve"> </v>
      </c>
      <c r="W405" s="101">
        <f t="shared" si="45"/>
        <v>24</v>
      </c>
      <c r="X405" s="102">
        <f t="shared" si="46"/>
        <v>0</v>
      </c>
      <c r="Y405" s="100" t="str">
        <f t="shared" si="47"/>
        <v xml:space="preserve"> </v>
      </c>
      <c r="Z405" s="100" t="str">
        <f t="shared" si="48"/>
        <v xml:space="preserve"> </v>
      </c>
    </row>
    <row r="406" spans="1:26">
      <c r="A406" s="100"/>
      <c r="B406" s="108" t="str">
        <f>IFERROR(VLOOKUP(Tablo5[[#This Row],[ÜRÜN KODU]],YMKODLARI!$A$1:$K$363,2,0)," ")</f>
        <v xml:space="preserve"> </v>
      </c>
      <c r="C406" s="99"/>
      <c r="D406" s="100"/>
      <c r="E406" s="101"/>
      <c r="F406" s="101"/>
      <c r="G406" s="100" t="str">
        <f>IFERROR(VLOOKUP(Tablo5[[#This Row],[ÜRÜN KODU]],YMKODLARI!$A$1:$K$363,3,0)," ")</f>
        <v xml:space="preserve"> </v>
      </c>
      <c r="H406" s="100" t="str">
        <f>IFERROR(VLOOKUP(Tablo5[[#This Row],[ÜRÜN KODU]],YMKODLARI!$A$1:$K$363,4,0)," ")</f>
        <v xml:space="preserve"> </v>
      </c>
      <c r="I406" s="100"/>
      <c r="J406" s="100" t="str">
        <f>IFERROR(VLOOKUP(Tablo5[[#This Row],[ÜRÜN KODU]],YMKODLARI!$A$1:$K$363,9,0)," ")</f>
        <v xml:space="preserve"> </v>
      </c>
      <c r="K406" s="100" t="str">
        <f>IFERROR(VLOOKUP(Tablo5[[#This Row],[BOYA KODU]],Tablo14[#All],4,0)," ")</f>
        <v xml:space="preserve"> </v>
      </c>
      <c r="L406" s="100" t="str">
        <f>IFERROR(VLOOKUP(Tablo5[[#This Row],[BOYA KODU]],Tablo14[#All],6,0)," ")</f>
        <v xml:space="preserve"> </v>
      </c>
      <c r="M406" s="100" t="str">
        <f t="shared" si="42"/>
        <v xml:space="preserve"> </v>
      </c>
      <c r="N406" s="100" t="str">
        <f>IFERROR(VLOOKUP(Tablo5[[#This Row],[ÜRÜN KODU]],YMKODLARI!$A$1:$K$363,8,0)," ")</f>
        <v xml:space="preserve"> </v>
      </c>
      <c r="O406" s="100" t="str">
        <f>IFERROR(VLOOKUP(Tablo5[[#This Row],[HAMMADDE KODU]],Tablo1[#All],3,0)," ")</f>
        <v xml:space="preserve"> </v>
      </c>
      <c r="P406" s="100" t="str">
        <f>IFERROR(VLOOKUP(Tablo5[[#This Row],[HAMMADDE KODU]],Tablo1[#All],4,0)," ")</f>
        <v xml:space="preserve"> </v>
      </c>
      <c r="Q406" s="100" t="str">
        <f>IFERROR(VLOOKUP(Tablo5[[#This Row],[ÜRÜN KODU]],YMKODLARI!$A$1:$K$363,5,0)," ")</f>
        <v xml:space="preserve"> </v>
      </c>
      <c r="R406" s="100" t="str">
        <f>IFERROR(VLOOKUP(Tablo5[[#This Row],[ÜRÜN KODU]],YMKODLARI!$A$1:$K$363,6,0)," ")</f>
        <v xml:space="preserve"> </v>
      </c>
      <c r="S406" s="100" t="str">
        <f>IFERROR(Tablo5[[#This Row],[YOLLUK HARİÇ BASKI GRAMI]]/Tablo5[[#This Row],[KALIP GÖZ ADEDİ]]," ")</f>
        <v xml:space="preserve"> </v>
      </c>
      <c r="T406" s="100" t="str">
        <f t="shared" si="44"/>
        <v xml:space="preserve"> </v>
      </c>
      <c r="U406" s="100"/>
      <c r="V406" s="100" t="str">
        <f t="shared" si="43"/>
        <v xml:space="preserve"> </v>
      </c>
      <c r="W406" s="101">
        <f t="shared" si="45"/>
        <v>24</v>
      </c>
      <c r="X406" s="102">
        <f t="shared" si="46"/>
        <v>0</v>
      </c>
      <c r="Y406" s="100" t="str">
        <f t="shared" si="47"/>
        <v xml:space="preserve"> </v>
      </c>
      <c r="Z406" s="100" t="str">
        <f t="shared" si="48"/>
        <v xml:space="preserve"> </v>
      </c>
    </row>
    <row r="407" spans="1:26">
      <c r="A407" s="100"/>
      <c r="B407" s="108" t="str">
        <f>IFERROR(VLOOKUP(Tablo5[[#This Row],[ÜRÜN KODU]],YMKODLARI!$A$1:$K$363,2,0)," ")</f>
        <v xml:space="preserve"> </v>
      </c>
      <c r="C407" s="99"/>
      <c r="D407" s="100"/>
      <c r="E407" s="101"/>
      <c r="F407" s="101"/>
      <c r="G407" s="100" t="str">
        <f>IFERROR(VLOOKUP(Tablo5[[#This Row],[ÜRÜN KODU]],YMKODLARI!$A$1:$K$363,3,0)," ")</f>
        <v xml:space="preserve"> </v>
      </c>
      <c r="H407" s="100" t="str">
        <f>IFERROR(VLOOKUP(Tablo5[[#This Row],[ÜRÜN KODU]],YMKODLARI!$A$1:$K$363,4,0)," ")</f>
        <v xml:space="preserve"> </v>
      </c>
      <c r="I407" s="100"/>
      <c r="J407" s="100" t="str">
        <f>IFERROR(VLOOKUP(Tablo5[[#This Row],[ÜRÜN KODU]],YMKODLARI!$A$1:$K$363,9,0)," ")</f>
        <v xml:space="preserve"> </v>
      </c>
      <c r="K407" s="100" t="str">
        <f>IFERROR(VLOOKUP(Tablo5[[#This Row],[BOYA KODU]],Tablo14[#All],4,0)," ")</f>
        <v xml:space="preserve"> </v>
      </c>
      <c r="L407" s="100" t="str">
        <f>IFERROR(VLOOKUP(Tablo5[[#This Row],[BOYA KODU]],Tablo14[#All],6,0)," ")</f>
        <v xml:space="preserve"> </v>
      </c>
      <c r="M407" s="100" t="str">
        <f t="shared" si="42"/>
        <v xml:space="preserve"> </v>
      </c>
      <c r="N407" s="100" t="str">
        <f>IFERROR(VLOOKUP(Tablo5[[#This Row],[ÜRÜN KODU]],YMKODLARI!$A$1:$K$363,8,0)," ")</f>
        <v xml:space="preserve"> </v>
      </c>
      <c r="O407" s="100" t="str">
        <f>IFERROR(VLOOKUP(Tablo5[[#This Row],[HAMMADDE KODU]],Tablo1[#All],3,0)," ")</f>
        <v xml:space="preserve"> </v>
      </c>
      <c r="P407" s="100" t="str">
        <f>IFERROR(VLOOKUP(Tablo5[[#This Row],[HAMMADDE KODU]],Tablo1[#All],4,0)," ")</f>
        <v xml:space="preserve"> </v>
      </c>
      <c r="Q407" s="100" t="str">
        <f>IFERROR(VLOOKUP(Tablo5[[#This Row],[ÜRÜN KODU]],YMKODLARI!$A$1:$K$363,5,0)," ")</f>
        <v xml:space="preserve"> </v>
      </c>
      <c r="R407" s="100" t="str">
        <f>IFERROR(VLOOKUP(Tablo5[[#This Row],[ÜRÜN KODU]],YMKODLARI!$A$1:$K$363,6,0)," ")</f>
        <v xml:space="preserve"> </v>
      </c>
      <c r="S407" s="100" t="str">
        <f>IFERROR(Tablo5[[#This Row],[YOLLUK HARİÇ BASKI GRAMI]]/Tablo5[[#This Row],[KALIP GÖZ ADEDİ]]," ")</f>
        <v xml:space="preserve"> </v>
      </c>
      <c r="T407" s="100" t="str">
        <f t="shared" si="44"/>
        <v xml:space="preserve"> </v>
      </c>
      <c r="U407" s="100"/>
      <c r="V407" s="100" t="str">
        <f t="shared" si="43"/>
        <v xml:space="preserve"> </v>
      </c>
      <c r="W407" s="101">
        <f t="shared" si="45"/>
        <v>24</v>
      </c>
      <c r="X407" s="102">
        <f t="shared" si="46"/>
        <v>0</v>
      </c>
      <c r="Y407" s="100" t="str">
        <f t="shared" si="47"/>
        <v xml:space="preserve"> </v>
      </c>
      <c r="Z407" s="100" t="str">
        <f t="shared" si="48"/>
        <v xml:space="preserve"> </v>
      </c>
    </row>
    <row r="408" spans="1:26">
      <c r="A408" s="100"/>
      <c r="B408" s="108" t="str">
        <f>IFERROR(VLOOKUP(Tablo5[[#This Row],[ÜRÜN KODU]],YMKODLARI!$A$1:$K$363,2,0)," ")</f>
        <v xml:space="preserve"> </v>
      </c>
      <c r="C408" s="99"/>
      <c r="D408" s="100"/>
      <c r="E408" s="101"/>
      <c r="F408" s="101"/>
      <c r="G408" s="100" t="str">
        <f>IFERROR(VLOOKUP(Tablo5[[#This Row],[ÜRÜN KODU]],YMKODLARI!$A$1:$K$363,3,0)," ")</f>
        <v xml:space="preserve"> </v>
      </c>
      <c r="H408" s="100" t="str">
        <f>IFERROR(VLOOKUP(Tablo5[[#This Row],[ÜRÜN KODU]],YMKODLARI!$A$1:$K$363,4,0)," ")</f>
        <v xml:space="preserve"> </v>
      </c>
      <c r="I408" s="100"/>
      <c r="J408" s="100" t="str">
        <f>IFERROR(VLOOKUP(Tablo5[[#This Row],[ÜRÜN KODU]],YMKODLARI!$A$1:$K$363,9,0)," ")</f>
        <v xml:space="preserve"> </v>
      </c>
      <c r="K408" s="100" t="str">
        <f>IFERROR(VLOOKUP(Tablo5[[#This Row],[BOYA KODU]],Tablo14[#All],4,0)," ")</f>
        <v xml:space="preserve"> </v>
      </c>
      <c r="L408" s="100" t="str">
        <f>IFERROR(VLOOKUP(Tablo5[[#This Row],[BOYA KODU]],Tablo14[#All],6,0)," ")</f>
        <v xml:space="preserve"> </v>
      </c>
      <c r="M408" s="100" t="str">
        <f t="shared" si="42"/>
        <v xml:space="preserve"> </v>
      </c>
      <c r="N408" s="100" t="str">
        <f>IFERROR(VLOOKUP(Tablo5[[#This Row],[ÜRÜN KODU]],YMKODLARI!$A$1:$K$363,8,0)," ")</f>
        <v xml:space="preserve"> </v>
      </c>
      <c r="O408" s="100" t="str">
        <f>IFERROR(VLOOKUP(Tablo5[[#This Row],[HAMMADDE KODU]],Tablo1[#All],3,0)," ")</f>
        <v xml:space="preserve"> </v>
      </c>
      <c r="P408" s="100" t="str">
        <f>IFERROR(VLOOKUP(Tablo5[[#This Row],[HAMMADDE KODU]],Tablo1[#All],4,0)," ")</f>
        <v xml:space="preserve"> </v>
      </c>
      <c r="Q408" s="100" t="str">
        <f>IFERROR(VLOOKUP(Tablo5[[#This Row],[ÜRÜN KODU]],YMKODLARI!$A$1:$K$363,5,0)," ")</f>
        <v xml:space="preserve"> </v>
      </c>
      <c r="R408" s="100" t="str">
        <f>IFERROR(VLOOKUP(Tablo5[[#This Row],[ÜRÜN KODU]],YMKODLARI!$A$1:$K$363,6,0)," ")</f>
        <v xml:space="preserve"> </v>
      </c>
      <c r="S408" s="100" t="str">
        <f>IFERROR(Tablo5[[#This Row],[YOLLUK HARİÇ BASKI GRAMI]]/Tablo5[[#This Row],[KALIP GÖZ ADEDİ]]," ")</f>
        <v xml:space="preserve"> </v>
      </c>
      <c r="T408" s="100" t="str">
        <f t="shared" si="44"/>
        <v xml:space="preserve"> </v>
      </c>
      <c r="U408" s="100"/>
      <c r="V408" s="100" t="str">
        <f t="shared" si="43"/>
        <v xml:space="preserve"> </v>
      </c>
      <c r="W408" s="101">
        <f t="shared" si="45"/>
        <v>24</v>
      </c>
      <c r="X408" s="102">
        <f t="shared" si="46"/>
        <v>0</v>
      </c>
      <c r="Y408" s="100" t="str">
        <f t="shared" si="47"/>
        <v xml:space="preserve"> </v>
      </c>
      <c r="Z408" s="100" t="str">
        <f t="shared" si="48"/>
        <v xml:space="preserve"> </v>
      </c>
    </row>
    <row r="409" spans="1:26">
      <c r="A409" s="100"/>
      <c r="B409" s="108" t="str">
        <f>IFERROR(VLOOKUP(Tablo5[[#This Row],[ÜRÜN KODU]],YMKODLARI!$A$1:$K$363,2,0)," ")</f>
        <v xml:space="preserve"> </v>
      </c>
      <c r="C409" s="99"/>
      <c r="D409" s="100"/>
      <c r="E409" s="101"/>
      <c r="F409" s="101"/>
      <c r="G409" s="100" t="str">
        <f>IFERROR(VLOOKUP(Tablo5[[#This Row],[ÜRÜN KODU]],YMKODLARI!$A$1:$K$363,3,0)," ")</f>
        <v xml:space="preserve"> </v>
      </c>
      <c r="H409" s="100" t="str">
        <f>IFERROR(VLOOKUP(Tablo5[[#This Row],[ÜRÜN KODU]],YMKODLARI!$A$1:$K$363,4,0)," ")</f>
        <v xml:space="preserve"> </v>
      </c>
      <c r="I409" s="100"/>
      <c r="J409" s="100" t="str">
        <f>IFERROR(VLOOKUP(Tablo5[[#This Row],[ÜRÜN KODU]],YMKODLARI!$A$1:$K$363,9,0)," ")</f>
        <v xml:space="preserve"> </v>
      </c>
      <c r="K409" s="100" t="str">
        <f>IFERROR(VLOOKUP(Tablo5[[#This Row],[BOYA KODU]],Tablo14[#All],4,0)," ")</f>
        <v xml:space="preserve"> </v>
      </c>
      <c r="L409" s="100" t="str">
        <f>IFERROR(VLOOKUP(Tablo5[[#This Row],[BOYA KODU]],Tablo14[#All],6,0)," ")</f>
        <v xml:space="preserve"> </v>
      </c>
      <c r="M409" s="100" t="str">
        <f t="shared" si="42"/>
        <v xml:space="preserve"> </v>
      </c>
      <c r="N409" s="100" t="str">
        <f>IFERROR(VLOOKUP(Tablo5[[#This Row],[ÜRÜN KODU]],YMKODLARI!$A$1:$K$363,8,0)," ")</f>
        <v xml:space="preserve"> </v>
      </c>
      <c r="O409" s="100" t="str">
        <f>IFERROR(VLOOKUP(Tablo5[[#This Row],[HAMMADDE KODU]],Tablo1[#All],3,0)," ")</f>
        <v xml:space="preserve"> </v>
      </c>
      <c r="P409" s="100" t="str">
        <f>IFERROR(VLOOKUP(Tablo5[[#This Row],[HAMMADDE KODU]],Tablo1[#All],4,0)," ")</f>
        <v xml:space="preserve"> </v>
      </c>
      <c r="Q409" s="100" t="str">
        <f>IFERROR(VLOOKUP(Tablo5[[#This Row],[ÜRÜN KODU]],YMKODLARI!$A$1:$K$363,5,0)," ")</f>
        <v xml:space="preserve"> </v>
      </c>
      <c r="R409" s="100" t="str">
        <f>IFERROR(VLOOKUP(Tablo5[[#This Row],[ÜRÜN KODU]],YMKODLARI!$A$1:$K$363,6,0)," ")</f>
        <v xml:space="preserve"> </v>
      </c>
      <c r="S409" s="100" t="str">
        <f>IFERROR(Tablo5[[#This Row],[YOLLUK HARİÇ BASKI GRAMI]]/Tablo5[[#This Row],[KALIP GÖZ ADEDİ]]," ")</f>
        <v xml:space="preserve"> </v>
      </c>
      <c r="T409" s="100" t="str">
        <f t="shared" si="44"/>
        <v xml:space="preserve"> </v>
      </c>
      <c r="U409" s="100"/>
      <c r="V409" s="100" t="str">
        <f t="shared" si="43"/>
        <v xml:space="preserve"> </v>
      </c>
      <c r="W409" s="101">
        <f t="shared" si="45"/>
        <v>24</v>
      </c>
      <c r="X409" s="102">
        <f t="shared" si="46"/>
        <v>0</v>
      </c>
      <c r="Y409" s="100" t="str">
        <f t="shared" si="47"/>
        <v xml:space="preserve"> </v>
      </c>
      <c r="Z409" s="100" t="str">
        <f t="shared" si="48"/>
        <v xml:space="preserve"> </v>
      </c>
    </row>
    <row r="410" spans="1:26">
      <c r="A410" s="100"/>
      <c r="B410" s="108" t="str">
        <f>IFERROR(VLOOKUP(Tablo5[[#This Row],[ÜRÜN KODU]],YMKODLARI!$A$1:$K$363,2,0)," ")</f>
        <v xml:space="preserve"> </v>
      </c>
      <c r="C410" s="99"/>
      <c r="D410" s="100"/>
      <c r="E410" s="101"/>
      <c r="F410" s="101"/>
      <c r="G410" s="100" t="str">
        <f>IFERROR(VLOOKUP(Tablo5[[#This Row],[ÜRÜN KODU]],YMKODLARI!$A$1:$K$363,3,0)," ")</f>
        <v xml:space="preserve"> </v>
      </c>
      <c r="H410" s="100" t="str">
        <f>IFERROR(VLOOKUP(Tablo5[[#This Row],[ÜRÜN KODU]],YMKODLARI!$A$1:$K$363,4,0)," ")</f>
        <v xml:space="preserve"> </v>
      </c>
      <c r="I410" s="100"/>
      <c r="J410" s="100" t="str">
        <f>IFERROR(VLOOKUP(Tablo5[[#This Row],[ÜRÜN KODU]],YMKODLARI!$A$1:$K$363,9,0)," ")</f>
        <v xml:space="preserve"> </v>
      </c>
      <c r="K410" s="100" t="str">
        <f>IFERROR(VLOOKUP(Tablo5[[#This Row],[BOYA KODU]],Tablo14[#All],4,0)," ")</f>
        <v xml:space="preserve"> </v>
      </c>
      <c r="L410" s="100" t="str">
        <f>IFERROR(VLOOKUP(Tablo5[[#This Row],[BOYA KODU]],Tablo14[#All],6,0)," ")</f>
        <v xml:space="preserve"> </v>
      </c>
      <c r="M410" s="100" t="str">
        <f t="shared" si="42"/>
        <v xml:space="preserve"> </v>
      </c>
      <c r="N410" s="100" t="str">
        <f>IFERROR(VLOOKUP(Tablo5[[#This Row],[ÜRÜN KODU]],YMKODLARI!$A$1:$K$363,8,0)," ")</f>
        <v xml:space="preserve"> </v>
      </c>
      <c r="O410" s="100" t="str">
        <f>IFERROR(VLOOKUP(Tablo5[[#This Row],[HAMMADDE KODU]],Tablo1[#All],3,0)," ")</f>
        <v xml:space="preserve"> </v>
      </c>
      <c r="P410" s="100" t="str">
        <f>IFERROR(VLOOKUP(Tablo5[[#This Row],[HAMMADDE KODU]],Tablo1[#All],4,0)," ")</f>
        <v xml:space="preserve"> </v>
      </c>
      <c r="Q410" s="100" t="str">
        <f>IFERROR(VLOOKUP(Tablo5[[#This Row],[ÜRÜN KODU]],YMKODLARI!$A$1:$K$363,5,0)," ")</f>
        <v xml:space="preserve"> </v>
      </c>
      <c r="R410" s="100" t="str">
        <f>IFERROR(VLOOKUP(Tablo5[[#This Row],[ÜRÜN KODU]],YMKODLARI!$A$1:$K$363,6,0)," ")</f>
        <v xml:space="preserve"> </v>
      </c>
      <c r="S410" s="100" t="str">
        <f>IFERROR(Tablo5[[#This Row],[YOLLUK HARİÇ BASKI GRAMI]]/Tablo5[[#This Row],[KALIP GÖZ ADEDİ]]," ")</f>
        <v xml:space="preserve"> </v>
      </c>
      <c r="T410" s="100" t="str">
        <f t="shared" si="44"/>
        <v xml:space="preserve"> </v>
      </c>
      <c r="U410" s="100"/>
      <c r="V410" s="100" t="str">
        <f t="shared" si="43"/>
        <v xml:space="preserve"> </v>
      </c>
      <c r="W410" s="101">
        <f t="shared" si="45"/>
        <v>24</v>
      </c>
      <c r="X410" s="102">
        <f t="shared" si="46"/>
        <v>0</v>
      </c>
      <c r="Y410" s="100" t="str">
        <f t="shared" si="47"/>
        <v xml:space="preserve"> </v>
      </c>
      <c r="Z410" s="100" t="str">
        <f t="shared" si="48"/>
        <v xml:space="preserve"> </v>
      </c>
    </row>
    <row r="411" spans="1:26">
      <c r="A411" s="100"/>
      <c r="B411" s="108" t="str">
        <f>IFERROR(VLOOKUP(Tablo5[[#This Row],[ÜRÜN KODU]],YMKODLARI!$A$1:$K$363,2,0)," ")</f>
        <v xml:space="preserve"> </v>
      </c>
      <c r="C411" s="99"/>
      <c r="D411" s="100"/>
      <c r="E411" s="101"/>
      <c r="F411" s="101"/>
      <c r="G411" s="100" t="str">
        <f>IFERROR(VLOOKUP(Tablo5[[#This Row],[ÜRÜN KODU]],YMKODLARI!$A$1:$K$363,3,0)," ")</f>
        <v xml:space="preserve"> </v>
      </c>
      <c r="H411" s="100" t="str">
        <f>IFERROR(VLOOKUP(Tablo5[[#This Row],[ÜRÜN KODU]],YMKODLARI!$A$1:$K$363,4,0)," ")</f>
        <v xml:space="preserve"> </v>
      </c>
      <c r="I411" s="100"/>
      <c r="J411" s="100" t="str">
        <f>IFERROR(VLOOKUP(Tablo5[[#This Row],[ÜRÜN KODU]],YMKODLARI!$A$1:$K$363,9,0)," ")</f>
        <v xml:space="preserve"> </v>
      </c>
      <c r="K411" s="100" t="str">
        <f>IFERROR(VLOOKUP(Tablo5[[#This Row],[BOYA KODU]],Tablo14[#All],4,0)," ")</f>
        <v xml:space="preserve"> </v>
      </c>
      <c r="L411" s="100" t="str">
        <f>IFERROR(VLOOKUP(Tablo5[[#This Row],[BOYA KODU]],Tablo14[#All],6,0)," ")</f>
        <v xml:space="preserve"> </v>
      </c>
      <c r="M411" s="100" t="str">
        <f t="shared" si="42"/>
        <v xml:space="preserve"> </v>
      </c>
      <c r="N411" s="100" t="str">
        <f>IFERROR(VLOOKUP(Tablo5[[#This Row],[ÜRÜN KODU]],YMKODLARI!$A$1:$K$363,8,0)," ")</f>
        <v xml:space="preserve"> </v>
      </c>
      <c r="O411" s="100" t="str">
        <f>IFERROR(VLOOKUP(Tablo5[[#This Row],[HAMMADDE KODU]],Tablo1[#All],3,0)," ")</f>
        <v xml:space="preserve"> </v>
      </c>
      <c r="P411" s="100" t="str">
        <f>IFERROR(VLOOKUP(Tablo5[[#This Row],[HAMMADDE KODU]],Tablo1[#All],4,0)," ")</f>
        <v xml:space="preserve"> </v>
      </c>
      <c r="Q411" s="100" t="str">
        <f>IFERROR(VLOOKUP(Tablo5[[#This Row],[ÜRÜN KODU]],YMKODLARI!$A$1:$K$363,5,0)," ")</f>
        <v xml:space="preserve"> </v>
      </c>
      <c r="R411" s="100" t="str">
        <f>IFERROR(VLOOKUP(Tablo5[[#This Row],[ÜRÜN KODU]],YMKODLARI!$A$1:$K$363,6,0)," ")</f>
        <v xml:space="preserve"> </v>
      </c>
      <c r="S411" s="100" t="str">
        <f>IFERROR(Tablo5[[#This Row],[YOLLUK HARİÇ BASKI GRAMI]]/Tablo5[[#This Row],[KALIP GÖZ ADEDİ]]," ")</f>
        <v xml:space="preserve"> </v>
      </c>
      <c r="T411" s="100" t="str">
        <f t="shared" si="44"/>
        <v xml:space="preserve"> </v>
      </c>
      <c r="U411" s="100"/>
      <c r="V411" s="100" t="str">
        <f t="shared" si="43"/>
        <v xml:space="preserve"> </v>
      </c>
      <c r="W411" s="101">
        <f t="shared" si="45"/>
        <v>24</v>
      </c>
      <c r="X411" s="102">
        <f t="shared" si="46"/>
        <v>0</v>
      </c>
      <c r="Y411" s="100" t="str">
        <f t="shared" si="47"/>
        <v xml:space="preserve"> </v>
      </c>
      <c r="Z411" s="100" t="str">
        <f t="shared" si="48"/>
        <v xml:space="preserve"> </v>
      </c>
    </row>
    <row r="412" spans="1:26">
      <c r="A412" s="100"/>
      <c r="B412" s="108" t="str">
        <f>IFERROR(VLOOKUP(Tablo5[[#This Row],[ÜRÜN KODU]],YMKODLARI!$A$1:$K$363,2,0)," ")</f>
        <v xml:space="preserve"> </v>
      </c>
      <c r="C412" s="99"/>
      <c r="D412" s="100"/>
      <c r="E412" s="101"/>
      <c r="F412" s="101"/>
      <c r="G412" s="100" t="str">
        <f>IFERROR(VLOOKUP(Tablo5[[#This Row],[ÜRÜN KODU]],YMKODLARI!$A$1:$K$363,3,0)," ")</f>
        <v xml:space="preserve"> </v>
      </c>
      <c r="H412" s="100" t="str">
        <f>IFERROR(VLOOKUP(Tablo5[[#This Row],[ÜRÜN KODU]],YMKODLARI!$A$1:$K$363,4,0)," ")</f>
        <v xml:space="preserve"> </v>
      </c>
      <c r="I412" s="100"/>
      <c r="J412" s="100" t="str">
        <f>IFERROR(VLOOKUP(Tablo5[[#This Row],[ÜRÜN KODU]],YMKODLARI!$A$1:$K$363,9,0)," ")</f>
        <v xml:space="preserve"> </v>
      </c>
      <c r="K412" s="100" t="str">
        <f>IFERROR(VLOOKUP(Tablo5[[#This Row],[BOYA KODU]],Tablo14[#All],4,0)," ")</f>
        <v xml:space="preserve"> </v>
      </c>
      <c r="L412" s="100" t="str">
        <f>IFERROR(VLOOKUP(Tablo5[[#This Row],[BOYA KODU]],Tablo14[#All],6,0)," ")</f>
        <v xml:space="preserve"> </v>
      </c>
      <c r="M412" s="100" t="str">
        <f t="shared" si="42"/>
        <v xml:space="preserve"> </v>
      </c>
      <c r="N412" s="100" t="str">
        <f>IFERROR(VLOOKUP(Tablo5[[#This Row],[ÜRÜN KODU]],YMKODLARI!$A$1:$K$363,8,0)," ")</f>
        <v xml:space="preserve"> </v>
      </c>
      <c r="O412" s="100" t="str">
        <f>IFERROR(VLOOKUP(Tablo5[[#This Row],[HAMMADDE KODU]],Tablo1[#All],3,0)," ")</f>
        <v xml:space="preserve"> </v>
      </c>
      <c r="P412" s="100" t="str">
        <f>IFERROR(VLOOKUP(Tablo5[[#This Row],[HAMMADDE KODU]],Tablo1[#All],4,0)," ")</f>
        <v xml:space="preserve"> </v>
      </c>
      <c r="Q412" s="100" t="str">
        <f>IFERROR(VLOOKUP(Tablo5[[#This Row],[ÜRÜN KODU]],YMKODLARI!$A$1:$K$363,5,0)," ")</f>
        <v xml:space="preserve"> </v>
      </c>
      <c r="R412" s="100" t="str">
        <f>IFERROR(VLOOKUP(Tablo5[[#This Row],[ÜRÜN KODU]],YMKODLARI!$A$1:$K$363,6,0)," ")</f>
        <v xml:space="preserve"> </v>
      </c>
      <c r="S412" s="100" t="str">
        <f>IFERROR(Tablo5[[#This Row],[YOLLUK HARİÇ BASKI GRAMI]]/Tablo5[[#This Row],[KALIP GÖZ ADEDİ]]," ")</f>
        <v xml:space="preserve"> </v>
      </c>
      <c r="T412" s="100" t="str">
        <f t="shared" si="44"/>
        <v xml:space="preserve"> </v>
      </c>
      <c r="U412" s="100"/>
      <c r="V412" s="100" t="str">
        <f t="shared" si="43"/>
        <v xml:space="preserve"> </v>
      </c>
      <c r="W412" s="101">
        <f t="shared" si="45"/>
        <v>24</v>
      </c>
      <c r="X412" s="102">
        <f t="shared" si="46"/>
        <v>0</v>
      </c>
      <c r="Y412" s="100" t="str">
        <f t="shared" si="47"/>
        <v xml:space="preserve"> </v>
      </c>
      <c r="Z412" s="100" t="str">
        <f t="shared" si="48"/>
        <v xml:space="preserve"> </v>
      </c>
    </row>
    <row r="413" spans="1:26">
      <c r="A413" s="100"/>
      <c r="B413" s="108" t="str">
        <f>IFERROR(VLOOKUP(Tablo5[[#This Row],[ÜRÜN KODU]],YMKODLARI!$A$1:$K$363,2,0)," ")</f>
        <v xml:space="preserve"> </v>
      </c>
      <c r="C413" s="99"/>
      <c r="D413" s="100"/>
      <c r="E413" s="101"/>
      <c r="F413" s="101"/>
      <c r="G413" s="100" t="str">
        <f>IFERROR(VLOOKUP(Tablo5[[#This Row],[ÜRÜN KODU]],YMKODLARI!$A$1:$K$363,3,0)," ")</f>
        <v xml:space="preserve"> </v>
      </c>
      <c r="H413" s="100" t="str">
        <f>IFERROR(VLOOKUP(Tablo5[[#This Row],[ÜRÜN KODU]],YMKODLARI!$A$1:$K$363,4,0)," ")</f>
        <v xml:space="preserve"> </v>
      </c>
      <c r="I413" s="100"/>
      <c r="J413" s="100" t="str">
        <f>IFERROR(VLOOKUP(Tablo5[[#This Row],[ÜRÜN KODU]],YMKODLARI!$A$1:$K$363,9,0)," ")</f>
        <v xml:space="preserve"> </v>
      </c>
      <c r="K413" s="100" t="str">
        <f>IFERROR(VLOOKUP(Tablo5[[#This Row],[BOYA KODU]],Tablo14[#All],4,0)," ")</f>
        <v xml:space="preserve"> </v>
      </c>
      <c r="L413" s="100" t="str">
        <f>IFERROR(VLOOKUP(Tablo5[[#This Row],[BOYA KODU]],Tablo14[#All],6,0)," ")</f>
        <v xml:space="preserve"> </v>
      </c>
      <c r="M413" s="100" t="str">
        <f t="shared" si="42"/>
        <v xml:space="preserve"> </v>
      </c>
      <c r="N413" s="100" t="str">
        <f>IFERROR(VLOOKUP(Tablo5[[#This Row],[ÜRÜN KODU]],YMKODLARI!$A$1:$K$363,8,0)," ")</f>
        <v xml:space="preserve"> </v>
      </c>
      <c r="O413" s="100" t="str">
        <f>IFERROR(VLOOKUP(Tablo5[[#This Row],[HAMMADDE KODU]],Tablo1[#All],3,0)," ")</f>
        <v xml:space="preserve"> </v>
      </c>
      <c r="P413" s="100" t="str">
        <f>IFERROR(VLOOKUP(Tablo5[[#This Row],[HAMMADDE KODU]],Tablo1[#All],4,0)," ")</f>
        <v xml:space="preserve"> </v>
      </c>
      <c r="Q413" s="100" t="str">
        <f>IFERROR(VLOOKUP(Tablo5[[#This Row],[ÜRÜN KODU]],YMKODLARI!$A$1:$K$363,5,0)," ")</f>
        <v xml:space="preserve"> </v>
      </c>
      <c r="R413" s="100" t="str">
        <f>IFERROR(VLOOKUP(Tablo5[[#This Row],[ÜRÜN KODU]],YMKODLARI!$A$1:$K$363,6,0)," ")</f>
        <v xml:space="preserve"> </v>
      </c>
      <c r="S413" s="100" t="str">
        <f>IFERROR(Tablo5[[#This Row],[YOLLUK HARİÇ BASKI GRAMI]]/Tablo5[[#This Row],[KALIP GÖZ ADEDİ]]," ")</f>
        <v xml:space="preserve"> </v>
      </c>
      <c r="T413" s="100" t="str">
        <f t="shared" si="44"/>
        <v xml:space="preserve"> </v>
      </c>
      <c r="U413" s="100"/>
      <c r="V413" s="100" t="str">
        <f t="shared" si="43"/>
        <v xml:space="preserve"> </v>
      </c>
      <c r="W413" s="101">
        <f t="shared" si="45"/>
        <v>24</v>
      </c>
      <c r="X413" s="102">
        <f t="shared" si="46"/>
        <v>0</v>
      </c>
      <c r="Y413" s="100" t="str">
        <f t="shared" si="47"/>
        <v xml:space="preserve"> </v>
      </c>
      <c r="Z413" s="100" t="str">
        <f t="shared" si="48"/>
        <v xml:space="preserve"> </v>
      </c>
    </row>
    <row r="414" spans="1:26">
      <c r="A414" s="100"/>
      <c r="B414" s="108" t="str">
        <f>IFERROR(VLOOKUP(Tablo5[[#This Row],[ÜRÜN KODU]],YMKODLARI!$A$1:$K$363,2,0)," ")</f>
        <v xml:space="preserve"> </v>
      </c>
      <c r="C414" s="99"/>
      <c r="D414" s="100"/>
      <c r="E414" s="101"/>
      <c r="F414" s="101"/>
      <c r="G414" s="100" t="str">
        <f>IFERROR(VLOOKUP(Tablo5[[#This Row],[ÜRÜN KODU]],YMKODLARI!$A$1:$K$363,3,0)," ")</f>
        <v xml:space="preserve"> </v>
      </c>
      <c r="H414" s="100" t="str">
        <f>IFERROR(VLOOKUP(Tablo5[[#This Row],[ÜRÜN KODU]],YMKODLARI!$A$1:$K$363,4,0)," ")</f>
        <v xml:space="preserve"> </v>
      </c>
      <c r="I414" s="100"/>
      <c r="J414" s="100" t="str">
        <f>IFERROR(VLOOKUP(Tablo5[[#This Row],[ÜRÜN KODU]],YMKODLARI!$A$1:$K$363,9,0)," ")</f>
        <v xml:space="preserve"> </v>
      </c>
      <c r="K414" s="100" t="str">
        <f>IFERROR(VLOOKUP(Tablo5[[#This Row],[BOYA KODU]],Tablo14[#All],4,0)," ")</f>
        <v xml:space="preserve"> </v>
      </c>
      <c r="L414" s="100" t="str">
        <f>IFERROR(VLOOKUP(Tablo5[[#This Row],[BOYA KODU]],Tablo14[#All],6,0)," ")</f>
        <v xml:space="preserve"> </v>
      </c>
      <c r="M414" s="100" t="str">
        <f t="shared" si="42"/>
        <v xml:space="preserve"> </v>
      </c>
      <c r="N414" s="100" t="str">
        <f>IFERROR(VLOOKUP(Tablo5[[#This Row],[ÜRÜN KODU]],YMKODLARI!$A$1:$K$363,8,0)," ")</f>
        <v xml:space="preserve"> </v>
      </c>
      <c r="O414" s="100" t="str">
        <f>IFERROR(VLOOKUP(Tablo5[[#This Row],[HAMMADDE KODU]],Tablo1[#All],3,0)," ")</f>
        <v xml:space="preserve"> </v>
      </c>
      <c r="P414" s="100" t="str">
        <f>IFERROR(VLOOKUP(Tablo5[[#This Row],[HAMMADDE KODU]],Tablo1[#All],4,0)," ")</f>
        <v xml:space="preserve"> </v>
      </c>
      <c r="Q414" s="100" t="str">
        <f>IFERROR(VLOOKUP(Tablo5[[#This Row],[ÜRÜN KODU]],YMKODLARI!$A$1:$K$363,5,0)," ")</f>
        <v xml:space="preserve"> </v>
      </c>
      <c r="R414" s="100" t="str">
        <f>IFERROR(VLOOKUP(Tablo5[[#This Row],[ÜRÜN KODU]],YMKODLARI!$A$1:$K$363,6,0)," ")</f>
        <v xml:space="preserve"> </v>
      </c>
      <c r="S414" s="100" t="str">
        <f>IFERROR(Tablo5[[#This Row],[YOLLUK HARİÇ BASKI GRAMI]]/Tablo5[[#This Row],[KALIP GÖZ ADEDİ]]," ")</f>
        <v xml:space="preserve"> </v>
      </c>
      <c r="T414" s="100" t="str">
        <f t="shared" si="44"/>
        <v xml:space="preserve"> </v>
      </c>
      <c r="U414" s="100"/>
      <c r="V414" s="100" t="str">
        <f t="shared" si="43"/>
        <v xml:space="preserve"> </v>
      </c>
      <c r="W414" s="101">
        <f t="shared" si="45"/>
        <v>24</v>
      </c>
      <c r="X414" s="102">
        <f t="shared" si="46"/>
        <v>0</v>
      </c>
      <c r="Y414" s="100" t="str">
        <f t="shared" si="47"/>
        <v xml:space="preserve"> </v>
      </c>
      <c r="Z414" s="100" t="str">
        <f t="shared" si="48"/>
        <v xml:space="preserve"> </v>
      </c>
    </row>
    <row r="415" spans="1:26">
      <c r="A415" s="100"/>
      <c r="B415" s="108" t="str">
        <f>IFERROR(VLOOKUP(Tablo5[[#This Row],[ÜRÜN KODU]],YMKODLARI!$A$1:$K$363,2,0)," ")</f>
        <v xml:space="preserve"> </v>
      </c>
      <c r="C415" s="99"/>
      <c r="D415" s="100"/>
      <c r="E415" s="101"/>
      <c r="F415" s="101"/>
      <c r="G415" s="100" t="str">
        <f>IFERROR(VLOOKUP(Tablo5[[#This Row],[ÜRÜN KODU]],YMKODLARI!$A$1:$K$363,3,0)," ")</f>
        <v xml:space="preserve"> </v>
      </c>
      <c r="H415" s="100" t="str">
        <f>IFERROR(VLOOKUP(Tablo5[[#This Row],[ÜRÜN KODU]],YMKODLARI!$A$1:$K$363,4,0)," ")</f>
        <v xml:space="preserve"> </v>
      </c>
      <c r="I415" s="100"/>
      <c r="J415" s="100" t="str">
        <f>IFERROR(VLOOKUP(Tablo5[[#This Row],[ÜRÜN KODU]],YMKODLARI!$A$1:$K$363,9,0)," ")</f>
        <v xml:space="preserve"> </v>
      </c>
      <c r="K415" s="100" t="str">
        <f>IFERROR(VLOOKUP(Tablo5[[#This Row],[BOYA KODU]],Tablo14[#All],4,0)," ")</f>
        <v xml:space="preserve"> </v>
      </c>
      <c r="L415" s="100" t="str">
        <f>IFERROR(VLOOKUP(Tablo5[[#This Row],[BOYA KODU]],Tablo14[#All],6,0)," ")</f>
        <v xml:space="preserve"> </v>
      </c>
      <c r="M415" s="100" t="str">
        <f t="shared" si="42"/>
        <v xml:space="preserve"> </v>
      </c>
      <c r="N415" s="100" t="str">
        <f>IFERROR(VLOOKUP(Tablo5[[#This Row],[ÜRÜN KODU]],YMKODLARI!$A$1:$K$363,8,0)," ")</f>
        <v xml:space="preserve"> </v>
      </c>
      <c r="O415" s="100" t="str">
        <f>IFERROR(VLOOKUP(Tablo5[[#This Row],[HAMMADDE KODU]],Tablo1[#All],3,0)," ")</f>
        <v xml:space="preserve"> </v>
      </c>
      <c r="P415" s="100" t="str">
        <f>IFERROR(VLOOKUP(Tablo5[[#This Row],[HAMMADDE KODU]],Tablo1[#All],4,0)," ")</f>
        <v xml:space="preserve"> </v>
      </c>
      <c r="Q415" s="100" t="str">
        <f>IFERROR(VLOOKUP(Tablo5[[#This Row],[ÜRÜN KODU]],YMKODLARI!$A$1:$K$363,5,0)," ")</f>
        <v xml:space="preserve"> </v>
      </c>
      <c r="R415" s="100" t="str">
        <f>IFERROR(VLOOKUP(Tablo5[[#This Row],[ÜRÜN KODU]],YMKODLARI!$A$1:$K$363,6,0)," ")</f>
        <v xml:space="preserve"> </v>
      </c>
      <c r="S415" s="100" t="str">
        <f>IFERROR(Tablo5[[#This Row],[YOLLUK HARİÇ BASKI GRAMI]]/Tablo5[[#This Row],[KALIP GÖZ ADEDİ]]," ")</f>
        <v xml:space="preserve"> </v>
      </c>
      <c r="T415" s="100" t="str">
        <f t="shared" si="44"/>
        <v xml:space="preserve"> </v>
      </c>
      <c r="U415" s="100"/>
      <c r="V415" s="100" t="str">
        <f t="shared" si="43"/>
        <v xml:space="preserve"> </v>
      </c>
      <c r="W415" s="101">
        <f t="shared" si="45"/>
        <v>24</v>
      </c>
      <c r="X415" s="102">
        <f t="shared" si="46"/>
        <v>0</v>
      </c>
      <c r="Y415" s="100" t="str">
        <f t="shared" si="47"/>
        <v xml:space="preserve"> </v>
      </c>
      <c r="Z415" s="100" t="str">
        <f t="shared" si="48"/>
        <v xml:space="preserve"> </v>
      </c>
    </row>
    <row r="416" spans="1:26">
      <c r="A416" s="100"/>
      <c r="B416" s="108" t="str">
        <f>IFERROR(VLOOKUP(Tablo5[[#This Row],[ÜRÜN KODU]],YMKODLARI!$A$1:$K$363,2,0)," ")</f>
        <v xml:space="preserve"> </v>
      </c>
      <c r="C416" s="99"/>
      <c r="D416" s="100"/>
      <c r="E416" s="101"/>
      <c r="F416" s="101"/>
      <c r="G416" s="100" t="str">
        <f>IFERROR(VLOOKUP(Tablo5[[#This Row],[ÜRÜN KODU]],YMKODLARI!$A$1:$K$363,3,0)," ")</f>
        <v xml:space="preserve"> </v>
      </c>
      <c r="H416" s="100" t="str">
        <f>IFERROR(VLOOKUP(Tablo5[[#This Row],[ÜRÜN KODU]],YMKODLARI!$A$1:$K$363,4,0)," ")</f>
        <v xml:space="preserve"> </v>
      </c>
      <c r="I416" s="100"/>
      <c r="J416" s="100" t="str">
        <f>IFERROR(VLOOKUP(Tablo5[[#This Row],[ÜRÜN KODU]],YMKODLARI!$A$1:$K$363,9,0)," ")</f>
        <v xml:space="preserve"> </v>
      </c>
      <c r="K416" s="100" t="str">
        <f>IFERROR(VLOOKUP(Tablo5[[#This Row],[BOYA KODU]],Tablo14[#All],4,0)," ")</f>
        <v xml:space="preserve"> </v>
      </c>
      <c r="L416" s="100" t="str">
        <f>IFERROR(VLOOKUP(Tablo5[[#This Row],[BOYA KODU]],Tablo14[#All],6,0)," ")</f>
        <v xml:space="preserve"> </v>
      </c>
      <c r="M416" s="100" t="str">
        <f t="shared" si="42"/>
        <v xml:space="preserve"> </v>
      </c>
      <c r="N416" s="100" t="str">
        <f>IFERROR(VLOOKUP(Tablo5[[#This Row],[ÜRÜN KODU]],YMKODLARI!$A$1:$K$363,8,0)," ")</f>
        <v xml:space="preserve"> </v>
      </c>
      <c r="O416" s="100" t="str">
        <f>IFERROR(VLOOKUP(Tablo5[[#This Row],[HAMMADDE KODU]],Tablo1[#All],3,0)," ")</f>
        <v xml:space="preserve"> </v>
      </c>
      <c r="P416" s="100" t="str">
        <f>IFERROR(VLOOKUP(Tablo5[[#This Row],[HAMMADDE KODU]],Tablo1[#All],4,0)," ")</f>
        <v xml:space="preserve"> </v>
      </c>
      <c r="Q416" s="100" t="str">
        <f>IFERROR(VLOOKUP(Tablo5[[#This Row],[ÜRÜN KODU]],YMKODLARI!$A$1:$K$363,5,0)," ")</f>
        <v xml:space="preserve"> </v>
      </c>
      <c r="R416" s="100" t="str">
        <f>IFERROR(VLOOKUP(Tablo5[[#This Row],[ÜRÜN KODU]],YMKODLARI!$A$1:$K$363,6,0)," ")</f>
        <v xml:space="preserve"> </v>
      </c>
      <c r="S416" s="100" t="str">
        <f>IFERROR(Tablo5[[#This Row],[YOLLUK HARİÇ BASKI GRAMI]]/Tablo5[[#This Row],[KALIP GÖZ ADEDİ]]," ")</f>
        <v xml:space="preserve"> </v>
      </c>
      <c r="T416" s="100" t="str">
        <f t="shared" si="44"/>
        <v xml:space="preserve"> </v>
      </c>
      <c r="U416" s="100"/>
      <c r="V416" s="100" t="str">
        <f t="shared" si="43"/>
        <v xml:space="preserve"> </v>
      </c>
      <c r="W416" s="101">
        <f t="shared" si="45"/>
        <v>24</v>
      </c>
      <c r="X416" s="102">
        <f t="shared" si="46"/>
        <v>0</v>
      </c>
      <c r="Y416" s="100" t="str">
        <f t="shared" si="47"/>
        <v xml:space="preserve"> </v>
      </c>
      <c r="Z416" s="100" t="str">
        <f t="shared" si="48"/>
        <v xml:space="preserve"> </v>
      </c>
    </row>
    <row r="417" spans="1:26">
      <c r="A417" s="100"/>
      <c r="B417" s="108" t="str">
        <f>IFERROR(VLOOKUP(Tablo5[[#This Row],[ÜRÜN KODU]],YMKODLARI!$A$1:$K$363,2,0)," ")</f>
        <v xml:space="preserve"> </v>
      </c>
      <c r="C417" s="99"/>
      <c r="D417" s="100"/>
      <c r="E417" s="101"/>
      <c r="F417" s="101"/>
      <c r="G417" s="100" t="str">
        <f>IFERROR(VLOOKUP(Tablo5[[#This Row],[ÜRÜN KODU]],YMKODLARI!$A$1:$K$363,3,0)," ")</f>
        <v xml:space="preserve"> </v>
      </c>
      <c r="H417" s="100" t="str">
        <f>IFERROR(VLOOKUP(Tablo5[[#This Row],[ÜRÜN KODU]],YMKODLARI!$A$1:$K$363,4,0)," ")</f>
        <v xml:space="preserve"> </v>
      </c>
      <c r="I417" s="100"/>
      <c r="J417" s="100" t="str">
        <f>IFERROR(VLOOKUP(Tablo5[[#This Row],[ÜRÜN KODU]],YMKODLARI!$A$1:$K$363,9,0)," ")</f>
        <v xml:space="preserve"> </v>
      </c>
      <c r="K417" s="100" t="str">
        <f>IFERROR(VLOOKUP(Tablo5[[#This Row],[BOYA KODU]],Tablo14[#All],4,0)," ")</f>
        <v xml:space="preserve"> </v>
      </c>
      <c r="L417" s="100" t="str">
        <f>IFERROR(VLOOKUP(Tablo5[[#This Row],[BOYA KODU]],Tablo14[#All],6,0)," ")</f>
        <v xml:space="preserve"> </v>
      </c>
      <c r="M417" s="100" t="str">
        <f t="shared" si="42"/>
        <v xml:space="preserve"> </v>
      </c>
      <c r="N417" s="100" t="str">
        <f>IFERROR(VLOOKUP(Tablo5[[#This Row],[ÜRÜN KODU]],YMKODLARI!$A$1:$K$363,8,0)," ")</f>
        <v xml:space="preserve"> </v>
      </c>
      <c r="O417" s="100" t="str">
        <f>IFERROR(VLOOKUP(Tablo5[[#This Row],[HAMMADDE KODU]],Tablo1[#All],3,0)," ")</f>
        <v xml:space="preserve"> </v>
      </c>
      <c r="P417" s="100" t="str">
        <f>IFERROR(VLOOKUP(Tablo5[[#This Row],[HAMMADDE KODU]],Tablo1[#All],4,0)," ")</f>
        <v xml:space="preserve"> </v>
      </c>
      <c r="Q417" s="100" t="str">
        <f>IFERROR(VLOOKUP(Tablo5[[#This Row],[ÜRÜN KODU]],YMKODLARI!$A$1:$K$363,5,0)," ")</f>
        <v xml:space="preserve"> </v>
      </c>
      <c r="R417" s="100" t="str">
        <f>IFERROR(VLOOKUP(Tablo5[[#This Row],[ÜRÜN KODU]],YMKODLARI!$A$1:$K$363,6,0)," ")</f>
        <v xml:space="preserve"> </v>
      </c>
      <c r="S417" s="100" t="str">
        <f>IFERROR(Tablo5[[#This Row],[YOLLUK HARİÇ BASKI GRAMI]]/Tablo5[[#This Row],[KALIP GÖZ ADEDİ]]," ")</f>
        <v xml:space="preserve"> </v>
      </c>
      <c r="T417" s="100" t="str">
        <f t="shared" si="44"/>
        <v xml:space="preserve"> </v>
      </c>
      <c r="U417" s="100"/>
      <c r="V417" s="100" t="str">
        <f t="shared" si="43"/>
        <v xml:space="preserve"> </v>
      </c>
      <c r="W417" s="101">
        <f t="shared" si="45"/>
        <v>24</v>
      </c>
      <c r="X417" s="102">
        <f t="shared" si="46"/>
        <v>0</v>
      </c>
      <c r="Y417" s="100" t="str">
        <f t="shared" si="47"/>
        <v xml:space="preserve"> </v>
      </c>
      <c r="Z417" s="100" t="str">
        <f t="shared" si="48"/>
        <v xml:space="preserve"> </v>
      </c>
    </row>
    <row r="418" spans="1:26">
      <c r="A418" s="100"/>
      <c r="B418" s="108" t="str">
        <f>IFERROR(VLOOKUP(Tablo5[[#This Row],[ÜRÜN KODU]],YMKODLARI!$A$1:$K$363,2,0)," ")</f>
        <v xml:space="preserve"> </v>
      </c>
      <c r="C418" s="99"/>
      <c r="D418" s="100"/>
      <c r="E418" s="101"/>
      <c r="F418" s="101"/>
      <c r="G418" s="100" t="str">
        <f>IFERROR(VLOOKUP(Tablo5[[#This Row],[ÜRÜN KODU]],YMKODLARI!$A$1:$K$363,3,0)," ")</f>
        <v xml:space="preserve"> </v>
      </c>
      <c r="H418" s="100" t="str">
        <f>IFERROR(VLOOKUP(Tablo5[[#This Row],[ÜRÜN KODU]],YMKODLARI!$A$1:$K$363,4,0)," ")</f>
        <v xml:space="preserve"> </v>
      </c>
      <c r="I418" s="100"/>
      <c r="J418" s="100" t="str">
        <f>IFERROR(VLOOKUP(Tablo5[[#This Row],[ÜRÜN KODU]],YMKODLARI!$A$1:$K$363,9,0)," ")</f>
        <v xml:space="preserve"> </v>
      </c>
      <c r="K418" s="100" t="str">
        <f>IFERROR(VLOOKUP(Tablo5[[#This Row],[BOYA KODU]],Tablo14[#All],4,0)," ")</f>
        <v xml:space="preserve"> </v>
      </c>
      <c r="L418" s="100" t="str">
        <f>IFERROR(VLOOKUP(Tablo5[[#This Row],[BOYA KODU]],Tablo14[#All],6,0)," ")</f>
        <v xml:space="preserve"> </v>
      </c>
      <c r="M418" s="100" t="str">
        <f t="shared" si="42"/>
        <v xml:space="preserve"> </v>
      </c>
      <c r="N418" s="100" t="str">
        <f>IFERROR(VLOOKUP(Tablo5[[#This Row],[ÜRÜN KODU]],YMKODLARI!$A$1:$K$363,8,0)," ")</f>
        <v xml:space="preserve"> </v>
      </c>
      <c r="O418" s="100" t="str">
        <f>IFERROR(VLOOKUP(Tablo5[[#This Row],[HAMMADDE KODU]],Tablo1[#All],3,0)," ")</f>
        <v xml:space="preserve"> </v>
      </c>
      <c r="P418" s="100" t="str">
        <f>IFERROR(VLOOKUP(Tablo5[[#This Row],[HAMMADDE KODU]],Tablo1[#All],4,0)," ")</f>
        <v xml:space="preserve"> </v>
      </c>
      <c r="Q418" s="100" t="str">
        <f>IFERROR(VLOOKUP(Tablo5[[#This Row],[ÜRÜN KODU]],YMKODLARI!$A$1:$K$363,5,0)," ")</f>
        <v xml:space="preserve"> </v>
      </c>
      <c r="R418" s="100" t="str">
        <f>IFERROR(VLOOKUP(Tablo5[[#This Row],[ÜRÜN KODU]],YMKODLARI!$A$1:$K$363,6,0)," ")</f>
        <v xml:space="preserve"> </v>
      </c>
      <c r="S418" s="100" t="str">
        <f>IFERROR(Tablo5[[#This Row],[YOLLUK HARİÇ BASKI GRAMI]]/Tablo5[[#This Row],[KALIP GÖZ ADEDİ]]," ")</f>
        <v xml:space="preserve"> </v>
      </c>
      <c r="T418" s="100" t="str">
        <f t="shared" si="44"/>
        <v xml:space="preserve"> </v>
      </c>
      <c r="U418" s="100"/>
      <c r="V418" s="100" t="str">
        <f t="shared" si="43"/>
        <v xml:space="preserve"> </v>
      </c>
      <c r="W418" s="101">
        <f t="shared" si="45"/>
        <v>24</v>
      </c>
      <c r="X418" s="102">
        <f t="shared" si="46"/>
        <v>0</v>
      </c>
      <c r="Y418" s="100" t="str">
        <f t="shared" si="47"/>
        <v xml:space="preserve"> </v>
      </c>
      <c r="Z418" s="100" t="str">
        <f t="shared" si="48"/>
        <v xml:space="preserve"> </v>
      </c>
    </row>
    <row r="419" spans="1:26">
      <c r="A419" s="100"/>
      <c r="B419" s="108" t="str">
        <f>IFERROR(VLOOKUP(Tablo5[[#This Row],[ÜRÜN KODU]],YMKODLARI!$A$1:$K$363,2,0)," ")</f>
        <v xml:space="preserve"> </v>
      </c>
      <c r="C419" s="99"/>
      <c r="D419" s="100"/>
      <c r="E419" s="101"/>
      <c r="F419" s="101"/>
      <c r="G419" s="100" t="str">
        <f>IFERROR(VLOOKUP(Tablo5[[#This Row],[ÜRÜN KODU]],YMKODLARI!$A$1:$K$363,3,0)," ")</f>
        <v xml:space="preserve"> </v>
      </c>
      <c r="H419" s="100" t="str">
        <f>IFERROR(VLOOKUP(Tablo5[[#This Row],[ÜRÜN KODU]],YMKODLARI!$A$1:$K$363,4,0)," ")</f>
        <v xml:space="preserve"> </v>
      </c>
      <c r="I419" s="100"/>
      <c r="J419" s="100" t="str">
        <f>IFERROR(VLOOKUP(Tablo5[[#This Row],[ÜRÜN KODU]],YMKODLARI!$A$1:$K$363,9,0)," ")</f>
        <v xml:space="preserve"> </v>
      </c>
      <c r="K419" s="100" t="str">
        <f>IFERROR(VLOOKUP(Tablo5[[#This Row],[BOYA KODU]],Tablo14[#All],4,0)," ")</f>
        <v xml:space="preserve"> </v>
      </c>
      <c r="L419" s="100" t="str">
        <f>IFERROR(VLOOKUP(Tablo5[[#This Row],[BOYA KODU]],Tablo14[#All],6,0)," ")</f>
        <v xml:space="preserve"> </v>
      </c>
      <c r="M419" s="100" t="str">
        <f t="shared" si="42"/>
        <v xml:space="preserve"> </v>
      </c>
      <c r="N419" s="100" t="str">
        <f>IFERROR(VLOOKUP(Tablo5[[#This Row],[ÜRÜN KODU]],YMKODLARI!$A$1:$K$363,8,0)," ")</f>
        <v xml:space="preserve"> </v>
      </c>
      <c r="O419" s="100" t="str">
        <f>IFERROR(VLOOKUP(Tablo5[[#This Row],[HAMMADDE KODU]],Tablo1[#All],3,0)," ")</f>
        <v xml:space="preserve"> </v>
      </c>
      <c r="P419" s="100" t="str">
        <f>IFERROR(VLOOKUP(Tablo5[[#This Row],[HAMMADDE KODU]],Tablo1[#All],4,0)," ")</f>
        <v xml:space="preserve"> </v>
      </c>
      <c r="Q419" s="100" t="str">
        <f>IFERROR(VLOOKUP(Tablo5[[#This Row],[ÜRÜN KODU]],YMKODLARI!$A$1:$K$363,5,0)," ")</f>
        <v xml:space="preserve"> </v>
      </c>
      <c r="R419" s="100" t="str">
        <f>IFERROR(VLOOKUP(Tablo5[[#This Row],[ÜRÜN KODU]],YMKODLARI!$A$1:$K$363,6,0)," ")</f>
        <v xml:space="preserve"> </v>
      </c>
      <c r="S419" s="100" t="str">
        <f>IFERROR(Tablo5[[#This Row],[YOLLUK HARİÇ BASKI GRAMI]]/Tablo5[[#This Row],[KALIP GÖZ ADEDİ]]," ")</f>
        <v xml:space="preserve"> </v>
      </c>
      <c r="T419" s="100" t="str">
        <f t="shared" si="44"/>
        <v xml:space="preserve"> </v>
      </c>
      <c r="U419" s="100"/>
      <c r="V419" s="100" t="str">
        <f t="shared" si="43"/>
        <v xml:space="preserve"> </v>
      </c>
      <c r="W419" s="101">
        <f t="shared" si="45"/>
        <v>24</v>
      </c>
      <c r="X419" s="102">
        <f t="shared" si="46"/>
        <v>0</v>
      </c>
      <c r="Y419" s="100" t="str">
        <f t="shared" si="47"/>
        <v xml:space="preserve"> </v>
      </c>
      <c r="Z419" s="100" t="str">
        <f t="shared" si="48"/>
        <v xml:space="preserve"> </v>
      </c>
    </row>
    <row r="420" spans="1:26">
      <c r="A420" s="100"/>
      <c r="B420" s="108" t="str">
        <f>IFERROR(VLOOKUP(Tablo5[[#This Row],[ÜRÜN KODU]],YMKODLARI!$A$1:$K$363,2,0)," ")</f>
        <v xml:space="preserve"> </v>
      </c>
      <c r="C420" s="99"/>
      <c r="D420" s="100"/>
      <c r="E420" s="101"/>
      <c r="F420" s="101"/>
      <c r="G420" s="100" t="str">
        <f>IFERROR(VLOOKUP(Tablo5[[#This Row],[ÜRÜN KODU]],YMKODLARI!$A$1:$K$363,3,0)," ")</f>
        <v xml:space="preserve"> </v>
      </c>
      <c r="H420" s="100" t="str">
        <f>IFERROR(VLOOKUP(Tablo5[[#This Row],[ÜRÜN KODU]],YMKODLARI!$A$1:$K$363,4,0)," ")</f>
        <v xml:space="preserve"> </v>
      </c>
      <c r="I420" s="100"/>
      <c r="J420" s="100" t="str">
        <f>IFERROR(VLOOKUP(Tablo5[[#This Row],[ÜRÜN KODU]],YMKODLARI!$A$1:$K$363,9,0)," ")</f>
        <v xml:space="preserve"> </v>
      </c>
      <c r="K420" s="100" t="str">
        <f>IFERROR(VLOOKUP(Tablo5[[#This Row],[BOYA KODU]],Tablo14[#All],4,0)," ")</f>
        <v xml:space="preserve"> </v>
      </c>
      <c r="L420" s="100" t="str">
        <f>IFERROR(VLOOKUP(Tablo5[[#This Row],[BOYA KODU]],Tablo14[#All],6,0)," ")</f>
        <v xml:space="preserve"> </v>
      </c>
      <c r="M420" s="100" t="str">
        <f t="shared" si="42"/>
        <v xml:space="preserve"> </v>
      </c>
      <c r="N420" s="100" t="str">
        <f>IFERROR(VLOOKUP(Tablo5[[#This Row],[ÜRÜN KODU]],YMKODLARI!$A$1:$K$363,8,0)," ")</f>
        <v xml:space="preserve"> </v>
      </c>
      <c r="O420" s="100" t="str">
        <f>IFERROR(VLOOKUP(Tablo5[[#This Row],[HAMMADDE KODU]],Tablo1[#All],3,0)," ")</f>
        <v xml:space="preserve"> </v>
      </c>
      <c r="P420" s="100" t="str">
        <f>IFERROR(VLOOKUP(Tablo5[[#This Row],[HAMMADDE KODU]],Tablo1[#All],4,0)," ")</f>
        <v xml:space="preserve"> </v>
      </c>
      <c r="Q420" s="100" t="str">
        <f>IFERROR(VLOOKUP(Tablo5[[#This Row],[ÜRÜN KODU]],YMKODLARI!$A$1:$K$363,5,0)," ")</f>
        <v xml:space="preserve"> </v>
      </c>
      <c r="R420" s="100" t="str">
        <f>IFERROR(VLOOKUP(Tablo5[[#This Row],[ÜRÜN KODU]],YMKODLARI!$A$1:$K$363,6,0)," ")</f>
        <v xml:space="preserve"> </v>
      </c>
      <c r="S420" s="100" t="str">
        <f>IFERROR(Tablo5[[#This Row],[YOLLUK HARİÇ BASKI GRAMI]]/Tablo5[[#This Row],[KALIP GÖZ ADEDİ]]," ")</f>
        <v xml:space="preserve"> </v>
      </c>
      <c r="T420" s="100" t="str">
        <f t="shared" si="44"/>
        <v xml:space="preserve"> </v>
      </c>
      <c r="U420" s="100"/>
      <c r="V420" s="100" t="str">
        <f t="shared" si="43"/>
        <v xml:space="preserve"> </v>
      </c>
      <c r="W420" s="101">
        <f t="shared" si="45"/>
        <v>24</v>
      </c>
      <c r="X420" s="102">
        <f t="shared" si="46"/>
        <v>0</v>
      </c>
      <c r="Y420" s="100" t="str">
        <f t="shared" si="47"/>
        <v xml:space="preserve"> </v>
      </c>
      <c r="Z420" s="100" t="str">
        <f t="shared" si="48"/>
        <v xml:space="preserve"> </v>
      </c>
    </row>
    <row r="421" spans="1:26">
      <c r="A421" s="100"/>
      <c r="B421" s="108" t="str">
        <f>IFERROR(VLOOKUP(Tablo5[[#This Row],[ÜRÜN KODU]],YMKODLARI!$A$1:$K$363,2,0)," ")</f>
        <v xml:space="preserve"> </v>
      </c>
      <c r="C421" s="99"/>
      <c r="D421" s="100"/>
      <c r="E421" s="101"/>
      <c r="F421" s="101"/>
      <c r="G421" s="100" t="str">
        <f>IFERROR(VLOOKUP(Tablo5[[#This Row],[ÜRÜN KODU]],YMKODLARI!$A$1:$K$363,3,0)," ")</f>
        <v xml:space="preserve"> </v>
      </c>
      <c r="H421" s="100" t="str">
        <f>IFERROR(VLOOKUP(Tablo5[[#This Row],[ÜRÜN KODU]],YMKODLARI!$A$1:$K$363,4,0)," ")</f>
        <v xml:space="preserve"> </v>
      </c>
      <c r="I421" s="100"/>
      <c r="J421" s="100" t="str">
        <f>IFERROR(VLOOKUP(Tablo5[[#This Row],[ÜRÜN KODU]],YMKODLARI!$A$1:$K$363,9,0)," ")</f>
        <v xml:space="preserve"> </v>
      </c>
      <c r="K421" s="100" t="str">
        <f>IFERROR(VLOOKUP(Tablo5[[#This Row],[BOYA KODU]],Tablo14[#All],4,0)," ")</f>
        <v xml:space="preserve"> </v>
      </c>
      <c r="L421" s="100" t="str">
        <f>IFERROR(VLOOKUP(Tablo5[[#This Row],[BOYA KODU]],Tablo14[#All],6,0)," ")</f>
        <v xml:space="preserve"> </v>
      </c>
      <c r="M421" s="100" t="str">
        <f t="shared" si="42"/>
        <v xml:space="preserve"> </v>
      </c>
      <c r="N421" s="100" t="str">
        <f>IFERROR(VLOOKUP(Tablo5[[#This Row],[ÜRÜN KODU]],YMKODLARI!$A$1:$K$363,8,0)," ")</f>
        <v xml:space="preserve"> </v>
      </c>
      <c r="O421" s="100" t="str">
        <f>IFERROR(VLOOKUP(Tablo5[[#This Row],[HAMMADDE KODU]],Tablo1[#All],3,0)," ")</f>
        <v xml:space="preserve"> </v>
      </c>
      <c r="P421" s="100" t="str">
        <f>IFERROR(VLOOKUP(Tablo5[[#This Row],[HAMMADDE KODU]],Tablo1[#All],4,0)," ")</f>
        <v xml:space="preserve"> </v>
      </c>
      <c r="Q421" s="100" t="str">
        <f>IFERROR(VLOOKUP(Tablo5[[#This Row],[ÜRÜN KODU]],YMKODLARI!$A$1:$K$363,5,0)," ")</f>
        <v xml:space="preserve"> </v>
      </c>
      <c r="R421" s="100" t="str">
        <f>IFERROR(VLOOKUP(Tablo5[[#This Row],[ÜRÜN KODU]],YMKODLARI!$A$1:$K$363,6,0)," ")</f>
        <v xml:space="preserve"> </v>
      </c>
      <c r="S421" s="100" t="str">
        <f>IFERROR(Tablo5[[#This Row],[YOLLUK HARİÇ BASKI GRAMI]]/Tablo5[[#This Row],[KALIP GÖZ ADEDİ]]," ")</f>
        <v xml:space="preserve"> </v>
      </c>
      <c r="T421" s="100" t="str">
        <f t="shared" si="44"/>
        <v xml:space="preserve"> </v>
      </c>
      <c r="U421" s="100"/>
      <c r="V421" s="100" t="str">
        <f t="shared" si="43"/>
        <v xml:space="preserve"> </v>
      </c>
      <c r="W421" s="101">
        <f t="shared" si="45"/>
        <v>24</v>
      </c>
      <c r="X421" s="102">
        <f t="shared" si="46"/>
        <v>0</v>
      </c>
      <c r="Y421" s="100" t="str">
        <f t="shared" si="47"/>
        <v xml:space="preserve"> </v>
      </c>
      <c r="Z421" s="100" t="str">
        <f t="shared" si="48"/>
        <v xml:space="preserve"> </v>
      </c>
    </row>
    <row r="422" spans="1:26">
      <c r="A422" s="100"/>
      <c r="B422" s="108" t="str">
        <f>IFERROR(VLOOKUP(Tablo5[[#This Row],[ÜRÜN KODU]],YMKODLARI!$A$1:$K$363,2,0)," ")</f>
        <v xml:space="preserve"> </v>
      </c>
      <c r="C422" s="99"/>
      <c r="D422" s="100"/>
      <c r="E422" s="101"/>
      <c r="F422" s="101"/>
      <c r="G422" s="100" t="str">
        <f>IFERROR(VLOOKUP(Tablo5[[#This Row],[ÜRÜN KODU]],YMKODLARI!$A$1:$K$363,3,0)," ")</f>
        <v xml:space="preserve"> </v>
      </c>
      <c r="H422" s="100" t="str">
        <f>IFERROR(VLOOKUP(Tablo5[[#This Row],[ÜRÜN KODU]],YMKODLARI!$A$1:$K$363,4,0)," ")</f>
        <v xml:space="preserve"> </v>
      </c>
      <c r="I422" s="100"/>
      <c r="J422" s="100" t="str">
        <f>IFERROR(VLOOKUP(Tablo5[[#This Row],[ÜRÜN KODU]],YMKODLARI!$A$1:$K$363,9,0)," ")</f>
        <v xml:space="preserve"> </v>
      </c>
      <c r="K422" s="100" t="str">
        <f>IFERROR(VLOOKUP(Tablo5[[#This Row],[BOYA KODU]],Tablo14[#All],4,0)," ")</f>
        <v xml:space="preserve"> </v>
      </c>
      <c r="L422" s="100" t="str">
        <f>IFERROR(VLOOKUP(Tablo5[[#This Row],[BOYA KODU]],Tablo14[#All],6,0)," ")</f>
        <v xml:space="preserve"> </v>
      </c>
      <c r="M422" s="100" t="str">
        <f t="shared" si="42"/>
        <v xml:space="preserve"> </v>
      </c>
      <c r="N422" s="100" t="str">
        <f>IFERROR(VLOOKUP(Tablo5[[#This Row],[ÜRÜN KODU]],YMKODLARI!$A$1:$K$363,8,0)," ")</f>
        <v xml:space="preserve"> </v>
      </c>
      <c r="O422" s="100" t="str">
        <f>IFERROR(VLOOKUP(Tablo5[[#This Row],[HAMMADDE KODU]],Tablo1[#All],3,0)," ")</f>
        <v xml:space="preserve"> </v>
      </c>
      <c r="P422" s="100" t="str">
        <f>IFERROR(VLOOKUP(Tablo5[[#This Row],[HAMMADDE KODU]],Tablo1[#All],4,0)," ")</f>
        <v xml:space="preserve"> </v>
      </c>
      <c r="Q422" s="100" t="str">
        <f>IFERROR(VLOOKUP(Tablo5[[#This Row],[ÜRÜN KODU]],YMKODLARI!$A$1:$K$363,5,0)," ")</f>
        <v xml:space="preserve"> </v>
      </c>
      <c r="R422" s="100" t="str">
        <f>IFERROR(VLOOKUP(Tablo5[[#This Row],[ÜRÜN KODU]],YMKODLARI!$A$1:$K$363,6,0)," ")</f>
        <v xml:space="preserve"> </v>
      </c>
      <c r="S422" s="100" t="str">
        <f>IFERROR(Tablo5[[#This Row],[YOLLUK HARİÇ BASKI GRAMI]]/Tablo5[[#This Row],[KALIP GÖZ ADEDİ]]," ")</f>
        <v xml:space="preserve"> </v>
      </c>
      <c r="T422" s="100" t="str">
        <f t="shared" si="44"/>
        <v xml:space="preserve"> </v>
      </c>
      <c r="U422" s="100"/>
      <c r="V422" s="100" t="str">
        <f t="shared" si="43"/>
        <v xml:space="preserve"> </v>
      </c>
      <c r="W422" s="101">
        <f t="shared" si="45"/>
        <v>24</v>
      </c>
      <c r="X422" s="102">
        <f t="shared" si="46"/>
        <v>0</v>
      </c>
      <c r="Y422" s="100" t="str">
        <f t="shared" si="47"/>
        <v xml:space="preserve"> </v>
      </c>
      <c r="Z422" s="100" t="str">
        <f t="shared" si="48"/>
        <v xml:space="preserve"> </v>
      </c>
    </row>
    <row r="423" spans="1:26">
      <c r="A423" s="100"/>
      <c r="B423" s="108" t="str">
        <f>IFERROR(VLOOKUP(Tablo5[[#This Row],[ÜRÜN KODU]],YMKODLARI!$A$1:$K$363,2,0)," ")</f>
        <v xml:space="preserve"> </v>
      </c>
      <c r="C423" s="99"/>
      <c r="D423" s="100"/>
      <c r="E423" s="101"/>
      <c r="F423" s="101"/>
      <c r="G423" s="100" t="str">
        <f>IFERROR(VLOOKUP(Tablo5[[#This Row],[ÜRÜN KODU]],YMKODLARI!$A$1:$K$363,3,0)," ")</f>
        <v xml:space="preserve"> </v>
      </c>
      <c r="H423" s="100" t="str">
        <f>IFERROR(VLOOKUP(Tablo5[[#This Row],[ÜRÜN KODU]],YMKODLARI!$A$1:$K$363,4,0)," ")</f>
        <v xml:space="preserve"> </v>
      </c>
      <c r="I423" s="100"/>
      <c r="J423" s="100" t="str">
        <f>IFERROR(VLOOKUP(Tablo5[[#This Row],[ÜRÜN KODU]],YMKODLARI!$A$1:$K$363,9,0)," ")</f>
        <v xml:space="preserve"> </v>
      </c>
      <c r="K423" s="100" t="str">
        <f>IFERROR(VLOOKUP(Tablo5[[#This Row],[BOYA KODU]],Tablo14[#All],4,0)," ")</f>
        <v xml:space="preserve"> </v>
      </c>
      <c r="L423" s="100" t="str">
        <f>IFERROR(VLOOKUP(Tablo5[[#This Row],[BOYA KODU]],Tablo14[#All],6,0)," ")</f>
        <v xml:space="preserve"> </v>
      </c>
      <c r="M423" s="100" t="str">
        <f t="shared" si="42"/>
        <v xml:space="preserve"> </v>
      </c>
      <c r="N423" s="100" t="str">
        <f>IFERROR(VLOOKUP(Tablo5[[#This Row],[ÜRÜN KODU]],YMKODLARI!$A$1:$K$363,8,0)," ")</f>
        <v xml:space="preserve"> </v>
      </c>
      <c r="O423" s="100" t="str">
        <f>IFERROR(VLOOKUP(Tablo5[[#This Row],[HAMMADDE KODU]],Tablo1[#All],3,0)," ")</f>
        <v xml:space="preserve"> </v>
      </c>
      <c r="P423" s="100" t="str">
        <f>IFERROR(VLOOKUP(Tablo5[[#This Row],[HAMMADDE KODU]],Tablo1[#All],4,0)," ")</f>
        <v xml:space="preserve"> </v>
      </c>
      <c r="Q423" s="100" t="str">
        <f>IFERROR(VLOOKUP(Tablo5[[#This Row],[ÜRÜN KODU]],YMKODLARI!$A$1:$K$363,5,0)," ")</f>
        <v xml:space="preserve"> </v>
      </c>
      <c r="R423" s="100" t="str">
        <f>IFERROR(VLOOKUP(Tablo5[[#This Row],[ÜRÜN KODU]],YMKODLARI!$A$1:$K$363,6,0)," ")</f>
        <v xml:space="preserve"> </v>
      </c>
      <c r="S423" s="100" t="str">
        <f>IFERROR(Tablo5[[#This Row],[YOLLUK HARİÇ BASKI GRAMI]]/Tablo5[[#This Row],[KALIP GÖZ ADEDİ]]," ")</f>
        <v xml:space="preserve"> </v>
      </c>
      <c r="T423" s="100" t="str">
        <f t="shared" si="44"/>
        <v xml:space="preserve"> </v>
      </c>
      <c r="U423" s="100"/>
      <c r="V423" s="100" t="str">
        <f t="shared" si="43"/>
        <v xml:space="preserve"> </v>
      </c>
      <c r="W423" s="101">
        <f t="shared" si="45"/>
        <v>24</v>
      </c>
      <c r="X423" s="102">
        <f t="shared" si="46"/>
        <v>0</v>
      </c>
      <c r="Y423" s="100" t="str">
        <f t="shared" si="47"/>
        <v xml:space="preserve"> </v>
      </c>
      <c r="Z423" s="100" t="str">
        <f t="shared" si="48"/>
        <v xml:space="preserve"> </v>
      </c>
    </row>
    <row r="424" spans="1:26">
      <c r="A424" s="100"/>
      <c r="B424" s="108" t="str">
        <f>IFERROR(VLOOKUP(Tablo5[[#This Row],[ÜRÜN KODU]],YMKODLARI!$A$1:$K$363,2,0)," ")</f>
        <v xml:space="preserve"> </v>
      </c>
      <c r="C424" s="99"/>
      <c r="D424" s="100"/>
      <c r="E424" s="101"/>
      <c r="F424" s="101"/>
      <c r="G424" s="100" t="str">
        <f>IFERROR(VLOOKUP(Tablo5[[#This Row],[ÜRÜN KODU]],YMKODLARI!$A$1:$K$363,3,0)," ")</f>
        <v xml:space="preserve"> </v>
      </c>
      <c r="H424" s="100" t="str">
        <f>IFERROR(VLOOKUP(Tablo5[[#This Row],[ÜRÜN KODU]],YMKODLARI!$A$1:$K$363,4,0)," ")</f>
        <v xml:space="preserve"> </v>
      </c>
      <c r="I424" s="100"/>
      <c r="J424" s="100" t="str">
        <f>IFERROR(VLOOKUP(Tablo5[[#This Row],[ÜRÜN KODU]],YMKODLARI!$A$1:$K$363,9,0)," ")</f>
        <v xml:space="preserve"> </v>
      </c>
      <c r="K424" s="100" t="str">
        <f>IFERROR(VLOOKUP(Tablo5[[#This Row],[BOYA KODU]],Tablo14[#All],4,0)," ")</f>
        <v xml:space="preserve"> </v>
      </c>
      <c r="L424" s="100" t="str">
        <f>IFERROR(VLOOKUP(Tablo5[[#This Row],[BOYA KODU]],Tablo14[#All],6,0)," ")</f>
        <v xml:space="preserve"> </v>
      </c>
      <c r="M424" s="100" t="str">
        <f t="shared" si="42"/>
        <v xml:space="preserve"> </v>
      </c>
      <c r="N424" s="100" t="str">
        <f>IFERROR(VLOOKUP(Tablo5[[#This Row],[ÜRÜN KODU]],YMKODLARI!$A$1:$K$363,8,0)," ")</f>
        <v xml:space="preserve"> </v>
      </c>
      <c r="O424" s="100" t="str">
        <f>IFERROR(VLOOKUP(Tablo5[[#This Row],[HAMMADDE KODU]],Tablo1[#All],3,0)," ")</f>
        <v xml:space="preserve"> </v>
      </c>
      <c r="P424" s="100" t="str">
        <f>IFERROR(VLOOKUP(Tablo5[[#This Row],[HAMMADDE KODU]],Tablo1[#All],4,0)," ")</f>
        <v xml:space="preserve"> </v>
      </c>
      <c r="Q424" s="100" t="str">
        <f>IFERROR(VLOOKUP(Tablo5[[#This Row],[ÜRÜN KODU]],YMKODLARI!$A$1:$K$363,5,0)," ")</f>
        <v xml:space="preserve"> </v>
      </c>
      <c r="R424" s="100" t="str">
        <f>IFERROR(VLOOKUP(Tablo5[[#This Row],[ÜRÜN KODU]],YMKODLARI!$A$1:$K$363,6,0)," ")</f>
        <v xml:space="preserve"> </v>
      </c>
      <c r="S424" s="100" t="str">
        <f>IFERROR(Tablo5[[#This Row],[YOLLUK HARİÇ BASKI GRAMI]]/Tablo5[[#This Row],[KALIP GÖZ ADEDİ]]," ")</f>
        <v xml:space="preserve"> </v>
      </c>
      <c r="T424" s="100" t="str">
        <f t="shared" si="44"/>
        <v xml:space="preserve"> </v>
      </c>
      <c r="U424" s="100"/>
      <c r="V424" s="100" t="str">
        <f t="shared" si="43"/>
        <v xml:space="preserve"> </v>
      </c>
      <c r="W424" s="101">
        <f t="shared" si="45"/>
        <v>24</v>
      </c>
      <c r="X424" s="102">
        <f t="shared" si="46"/>
        <v>0</v>
      </c>
      <c r="Y424" s="100" t="str">
        <f t="shared" si="47"/>
        <v xml:space="preserve"> </v>
      </c>
      <c r="Z424" s="100" t="str">
        <f t="shared" si="48"/>
        <v xml:space="preserve"> </v>
      </c>
    </row>
    <row r="425" spans="1:26">
      <c r="A425" s="100"/>
      <c r="B425" s="108" t="str">
        <f>IFERROR(VLOOKUP(Tablo5[[#This Row],[ÜRÜN KODU]],YMKODLARI!$A$1:$K$363,2,0)," ")</f>
        <v xml:space="preserve"> </v>
      </c>
      <c r="C425" s="99"/>
      <c r="D425" s="100"/>
      <c r="E425" s="101"/>
      <c r="F425" s="101"/>
      <c r="G425" s="100" t="str">
        <f>IFERROR(VLOOKUP(Tablo5[[#This Row],[ÜRÜN KODU]],YMKODLARI!$A$1:$K$363,3,0)," ")</f>
        <v xml:space="preserve"> </v>
      </c>
      <c r="H425" s="100" t="str">
        <f>IFERROR(VLOOKUP(Tablo5[[#This Row],[ÜRÜN KODU]],YMKODLARI!$A$1:$K$363,4,0)," ")</f>
        <v xml:space="preserve"> </v>
      </c>
      <c r="I425" s="100"/>
      <c r="J425" s="100" t="str">
        <f>IFERROR(VLOOKUP(Tablo5[[#This Row],[ÜRÜN KODU]],YMKODLARI!$A$1:$K$363,9,0)," ")</f>
        <v xml:space="preserve"> </v>
      </c>
      <c r="K425" s="100" t="str">
        <f>IFERROR(VLOOKUP(Tablo5[[#This Row],[BOYA KODU]],Tablo14[#All],4,0)," ")</f>
        <v xml:space="preserve"> </v>
      </c>
      <c r="L425" s="100" t="str">
        <f>IFERROR(VLOOKUP(Tablo5[[#This Row],[BOYA KODU]],Tablo14[#All],6,0)," ")</f>
        <v xml:space="preserve"> </v>
      </c>
      <c r="M425" s="100" t="str">
        <f t="shared" si="42"/>
        <v xml:space="preserve"> </v>
      </c>
      <c r="N425" s="100" t="str">
        <f>IFERROR(VLOOKUP(Tablo5[[#This Row],[ÜRÜN KODU]],YMKODLARI!$A$1:$K$363,8,0)," ")</f>
        <v xml:space="preserve"> </v>
      </c>
      <c r="O425" s="100" t="str">
        <f>IFERROR(VLOOKUP(Tablo5[[#This Row],[HAMMADDE KODU]],Tablo1[#All],3,0)," ")</f>
        <v xml:space="preserve"> </v>
      </c>
      <c r="P425" s="100" t="str">
        <f>IFERROR(VLOOKUP(Tablo5[[#This Row],[HAMMADDE KODU]],Tablo1[#All],4,0)," ")</f>
        <v xml:space="preserve"> </v>
      </c>
      <c r="Q425" s="100" t="str">
        <f>IFERROR(VLOOKUP(Tablo5[[#This Row],[ÜRÜN KODU]],YMKODLARI!$A$1:$K$363,5,0)," ")</f>
        <v xml:space="preserve"> </v>
      </c>
      <c r="R425" s="100" t="str">
        <f>IFERROR(VLOOKUP(Tablo5[[#This Row],[ÜRÜN KODU]],YMKODLARI!$A$1:$K$363,6,0)," ")</f>
        <v xml:space="preserve"> </v>
      </c>
      <c r="S425" s="100" t="str">
        <f>IFERROR(Tablo5[[#This Row],[YOLLUK HARİÇ BASKI GRAMI]]/Tablo5[[#This Row],[KALIP GÖZ ADEDİ]]," ")</f>
        <v xml:space="preserve"> </v>
      </c>
      <c r="T425" s="100" t="str">
        <f t="shared" si="44"/>
        <v xml:space="preserve"> </v>
      </c>
      <c r="U425" s="100"/>
      <c r="V425" s="100" t="str">
        <f t="shared" si="43"/>
        <v xml:space="preserve"> </v>
      </c>
      <c r="W425" s="101">
        <f t="shared" si="45"/>
        <v>24</v>
      </c>
      <c r="X425" s="102">
        <f t="shared" si="46"/>
        <v>0</v>
      </c>
      <c r="Y425" s="100" t="str">
        <f t="shared" si="47"/>
        <v xml:space="preserve"> </v>
      </c>
      <c r="Z425" s="100" t="str">
        <f t="shared" si="48"/>
        <v xml:space="preserve"> </v>
      </c>
    </row>
    <row r="426" spans="1:26">
      <c r="A426" s="100"/>
      <c r="B426" s="108" t="str">
        <f>IFERROR(VLOOKUP(Tablo5[[#This Row],[ÜRÜN KODU]],YMKODLARI!$A$1:$K$363,2,0)," ")</f>
        <v xml:space="preserve"> </v>
      </c>
      <c r="C426" s="99"/>
      <c r="D426" s="100"/>
      <c r="E426" s="101"/>
      <c r="F426" s="101"/>
      <c r="G426" s="100" t="str">
        <f>IFERROR(VLOOKUP(Tablo5[[#This Row],[ÜRÜN KODU]],YMKODLARI!$A$1:$K$363,3,0)," ")</f>
        <v xml:space="preserve"> </v>
      </c>
      <c r="H426" s="100" t="str">
        <f>IFERROR(VLOOKUP(Tablo5[[#This Row],[ÜRÜN KODU]],YMKODLARI!$A$1:$K$363,4,0)," ")</f>
        <v xml:space="preserve"> </v>
      </c>
      <c r="I426" s="100"/>
      <c r="J426" s="100" t="str">
        <f>IFERROR(VLOOKUP(Tablo5[[#This Row],[ÜRÜN KODU]],YMKODLARI!$A$1:$K$363,9,0)," ")</f>
        <v xml:space="preserve"> </v>
      </c>
      <c r="K426" s="100" t="str">
        <f>IFERROR(VLOOKUP(Tablo5[[#This Row],[BOYA KODU]],Tablo14[#All],4,0)," ")</f>
        <v xml:space="preserve"> </v>
      </c>
      <c r="L426" s="100" t="str">
        <f>IFERROR(VLOOKUP(Tablo5[[#This Row],[BOYA KODU]],Tablo14[#All],6,0)," ")</f>
        <v xml:space="preserve"> </v>
      </c>
      <c r="M426" s="100" t="str">
        <f t="shared" si="42"/>
        <v xml:space="preserve"> </v>
      </c>
      <c r="N426" s="100" t="str">
        <f>IFERROR(VLOOKUP(Tablo5[[#This Row],[ÜRÜN KODU]],YMKODLARI!$A$1:$K$363,8,0)," ")</f>
        <v xml:space="preserve"> </v>
      </c>
      <c r="O426" s="100" t="str">
        <f>IFERROR(VLOOKUP(Tablo5[[#This Row],[HAMMADDE KODU]],Tablo1[#All],3,0)," ")</f>
        <v xml:space="preserve"> </v>
      </c>
      <c r="P426" s="100" t="str">
        <f>IFERROR(VLOOKUP(Tablo5[[#This Row],[HAMMADDE KODU]],Tablo1[#All],4,0)," ")</f>
        <v xml:space="preserve"> </v>
      </c>
      <c r="Q426" s="100" t="str">
        <f>IFERROR(VLOOKUP(Tablo5[[#This Row],[ÜRÜN KODU]],YMKODLARI!$A$1:$K$363,5,0)," ")</f>
        <v xml:space="preserve"> </v>
      </c>
      <c r="R426" s="100" t="str">
        <f>IFERROR(VLOOKUP(Tablo5[[#This Row],[ÜRÜN KODU]],YMKODLARI!$A$1:$K$363,6,0)," ")</f>
        <v xml:space="preserve"> </v>
      </c>
      <c r="S426" s="100" t="str">
        <f>IFERROR(Tablo5[[#This Row],[YOLLUK HARİÇ BASKI GRAMI]]/Tablo5[[#This Row],[KALIP GÖZ ADEDİ]]," ")</f>
        <v xml:space="preserve"> </v>
      </c>
      <c r="T426" s="100" t="str">
        <f t="shared" si="44"/>
        <v xml:space="preserve"> </v>
      </c>
      <c r="U426" s="100"/>
      <c r="V426" s="100" t="str">
        <f t="shared" si="43"/>
        <v xml:space="preserve"> </v>
      </c>
      <c r="W426" s="101">
        <f t="shared" si="45"/>
        <v>24</v>
      </c>
      <c r="X426" s="102">
        <f t="shared" si="46"/>
        <v>0</v>
      </c>
      <c r="Y426" s="100" t="str">
        <f t="shared" si="47"/>
        <v xml:space="preserve"> </v>
      </c>
      <c r="Z426" s="100" t="str">
        <f t="shared" si="48"/>
        <v xml:space="preserve"> </v>
      </c>
    </row>
    <row r="427" spans="1:26">
      <c r="A427" s="100"/>
      <c r="B427" s="108" t="str">
        <f>IFERROR(VLOOKUP(Tablo5[[#This Row],[ÜRÜN KODU]],YMKODLARI!$A$1:$K$363,2,0)," ")</f>
        <v xml:space="preserve"> </v>
      </c>
      <c r="C427" s="99"/>
      <c r="D427" s="100"/>
      <c r="E427" s="101"/>
      <c r="F427" s="101"/>
      <c r="G427" s="100" t="str">
        <f>IFERROR(VLOOKUP(Tablo5[[#This Row],[ÜRÜN KODU]],YMKODLARI!$A$1:$K$363,3,0)," ")</f>
        <v xml:space="preserve"> </v>
      </c>
      <c r="H427" s="100" t="str">
        <f>IFERROR(VLOOKUP(Tablo5[[#This Row],[ÜRÜN KODU]],YMKODLARI!$A$1:$K$363,4,0)," ")</f>
        <v xml:space="preserve"> </v>
      </c>
      <c r="I427" s="100"/>
      <c r="J427" s="100" t="str">
        <f>IFERROR(VLOOKUP(Tablo5[[#This Row],[ÜRÜN KODU]],YMKODLARI!$A$1:$K$363,9,0)," ")</f>
        <v xml:space="preserve"> </v>
      </c>
      <c r="K427" s="100" t="str">
        <f>IFERROR(VLOOKUP(Tablo5[[#This Row],[BOYA KODU]],Tablo14[#All],4,0)," ")</f>
        <v xml:space="preserve"> </v>
      </c>
      <c r="L427" s="100" t="str">
        <f>IFERROR(VLOOKUP(Tablo5[[#This Row],[BOYA KODU]],Tablo14[#All],6,0)," ")</f>
        <v xml:space="preserve"> </v>
      </c>
      <c r="M427" s="100" t="str">
        <f t="shared" si="42"/>
        <v xml:space="preserve"> </v>
      </c>
      <c r="N427" s="100" t="str">
        <f>IFERROR(VLOOKUP(Tablo5[[#This Row],[ÜRÜN KODU]],YMKODLARI!$A$1:$K$363,8,0)," ")</f>
        <v xml:space="preserve"> </v>
      </c>
      <c r="O427" s="100" t="str">
        <f>IFERROR(VLOOKUP(Tablo5[[#This Row],[HAMMADDE KODU]],Tablo1[#All],3,0)," ")</f>
        <v xml:space="preserve"> </v>
      </c>
      <c r="P427" s="100" t="str">
        <f>IFERROR(VLOOKUP(Tablo5[[#This Row],[HAMMADDE KODU]],Tablo1[#All],4,0)," ")</f>
        <v xml:space="preserve"> </v>
      </c>
      <c r="Q427" s="100" t="str">
        <f>IFERROR(VLOOKUP(Tablo5[[#This Row],[ÜRÜN KODU]],YMKODLARI!$A$1:$K$363,5,0)," ")</f>
        <v xml:space="preserve"> </v>
      </c>
      <c r="R427" s="100" t="str">
        <f>IFERROR(VLOOKUP(Tablo5[[#This Row],[ÜRÜN KODU]],YMKODLARI!$A$1:$K$363,6,0)," ")</f>
        <v xml:space="preserve"> </v>
      </c>
      <c r="S427" s="100" t="str">
        <f>IFERROR(Tablo5[[#This Row],[YOLLUK HARİÇ BASKI GRAMI]]/Tablo5[[#This Row],[KALIP GÖZ ADEDİ]]," ")</f>
        <v xml:space="preserve"> </v>
      </c>
      <c r="T427" s="100" t="str">
        <f t="shared" si="44"/>
        <v xml:space="preserve"> </v>
      </c>
      <c r="U427" s="100"/>
      <c r="V427" s="100" t="str">
        <f t="shared" si="43"/>
        <v xml:space="preserve"> </v>
      </c>
      <c r="W427" s="101">
        <f t="shared" si="45"/>
        <v>24</v>
      </c>
      <c r="X427" s="102">
        <f t="shared" si="46"/>
        <v>0</v>
      </c>
      <c r="Y427" s="100" t="str">
        <f t="shared" si="47"/>
        <v xml:space="preserve"> </v>
      </c>
      <c r="Z427" s="100" t="str">
        <f t="shared" si="48"/>
        <v xml:space="preserve"> </v>
      </c>
    </row>
    <row r="428" spans="1:26">
      <c r="A428" s="100"/>
      <c r="B428" s="108" t="str">
        <f>IFERROR(VLOOKUP(Tablo5[[#This Row],[ÜRÜN KODU]],YMKODLARI!$A$1:$K$363,2,0)," ")</f>
        <v xml:space="preserve"> </v>
      </c>
      <c r="C428" s="99"/>
      <c r="D428" s="100"/>
      <c r="E428" s="101"/>
      <c r="F428" s="101"/>
      <c r="G428" s="100" t="str">
        <f>IFERROR(VLOOKUP(Tablo5[[#This Row],[ÜRÜN KODU]],YMKODLARI!$A$1:$K$363,3,0)," ")</f>
        <v xml:space="preserve"> </v>
      </c>
      <c r="H428" s="100" t="str">
        <f>IFERROR(VLOOKUP(Tablo5[[#This Row],[ÜRÜN KODU]],YMKODLARI!$A$1:$K$363,4,0)," ")</f>
        <v xml:space="preserve"> </v>
      </c>
      <c r="I428" s="100"/>
      <c r="J428" s="100" t="str">
        <f>IFERROR(VLOOKUP(Tablo5[[#This Row],[ÜRÜN KODU]],YMKODLARI!$A$1:$K$363,9,0)," ")</f>
        <v xml:space="preserve"> </v>
      </c>
      <c r="K428" s="100" t="str">
        <f>IFERROR(VLOOKUP(Tablo5[[#This Row],[BOYA KODU]],Tablo14[#All],4,0)," ")</f>
        <v xml:space="preserve"> </v>
      </c>
      <c r="L428" s="100" t="str">
        <f>IFERROR(VLOOKUP(Tablo5[[#This Row],[BOYA KODU]],Tablo14[#All],6,0)," ")</f>
        <v xml:space="preserve"> </v>
      </c>
      <c r="M428" s="100" t="str">
        <f t="shared" si="42"/>
        <v xml:space="preserve"> </v>
      </c>
      <c r="N428" s="100" t="str">
        <f>IFERROR(VLOOKUP(Tablo5[[#This Row],[ÜRÜN KODU]],YMKODLARI!$A$1:$K$363,8,0)," ")</f>
        <v xml:space="preserve"> </v>
      </c>
      <c r="O428" s="100" t="str">
        <f>IFERROR(VLOOKUP(Tablo5[[#This Row],[HAMMADDE KODU]],Tablo1[#All],3,0)," ")</f>
        <v xml:space="preserve"> </v>
      </c>
      <c r="P428" s="100" t="str">
        <f>IFERROR(VLOOKUP(Tablo5[[#This Row],[HAMMADDE KODU]],Tablo1[#All],4,0)," ")</f>
        <v xml:space="preserve"> </v>
      </c>
      <c r="Q428" s="100" t="str">
        <f>IFERROR(VLOOKUP(Tablo5[[#This Row],[ÜRÜN KODU]],YMKODLARI!$A$1:$K$363,5,0)," ")</f>
        <v xml:space="preserve"> </v>
      </c>
      <c r="R428" s="100" t="str">
        <f>IFERROR(VLOOKUP(Tablo5[[#This Row],[ÜRÜN KODU]],YMKODLARI!$A$1:$K$363,6,0)," ")</f>
        <v xml:space="preserve"> </v>
      </c>
      <c r="S428" s="100" t="str">
        <f>IFERROR(Tablo5[[#This Row],[YOLLUK HARİÇ BASKI GRAMI]]/Tablo5[[#This Row],[KALIP GÖZ ADEDİ]]," ")</f>
        <v xml:space="preserve"> </v>
      </c>
      <c r="T428" s="100" t="str">
        <f t="shared" si="44"/>
        <v xml:space="preserve"> </v>
      </c>
      <c r="U428" s="100"/>
      <c r="V428" s="100" t="str">
        <f t="shared" si="43"/>
        <v xml:space="preserve"> </v>
      </c>
      <c r="W428" s="101">
        <f t="shared" si="45"/>
        <v>24</v>
      </c>
      <c r="X428" s="102">
        <f t="shared" si="46"/>
        <v>0</v>
      </c>
      <c r="Y428" s="100" t="str">
        <f t="shared" si="47"/>
        <v xml:space="preserve"> </v>
      </c>
      <c r="Z428" s="100" t="str">
        <f t="shared" si="48"/>
        <v xml:space="preserve"> </v>
      </c>
    </row>
    <row r="429" spans="1:26">
      <c r="A429" s="100"/>
      <c r="B429" s="108" t="str">
        <f>IFERROR(VLOOKUP(Tablo5[[#This Row],[ÜRÜN KODU]],YMKODLARI!$A$1:$K$363,2,0)," ")</f>
        <v xml:space="preserve"> </v>
      </c>
      <c r="C429" s="99"/>
      <c r="D429" s="100"/>
      <c r="E429" s="101"/>
      <c r="F429" s="101"/>
      <c r="G429" s="100" t="str">
        <f>IFERROR(VLOOKUP(Tablo5[[#This Row],[ÜRÜN KODU]],YMKODLARI!$A$1:$K$363,3,0)," ")</f>
        <v xml:space="preserve"> </v>
      </c>
      <c r="H429" s="100" t="str">
        <f>IFERROR(VLOOKUP(Tablo5[[#This Row],[ÜRÜN KODU]],YMKODLARI!$A$1:$K$363,4,0)," ")</f>
        <v xml:space="preserve"> </v>
      </c>
      <c r="I429" s="100"/>
      <c r="J429" s="100" t="str">
        <f>IFERROR(VLOOKUP(Tablo5[[#This Row],[ÜRÜN KODU]],YMKODLARI!$A$1:$K$363,9,0)," ")</f>
        <v xml:space="preserve"> </v>
      </c>
      <c r="K429" s="100" t="str">
        <f>IFERROR(VLOOKUP(Tablo5[[#This Row],[BOYA KODU]],Tablo14[#All],4,0)," ")</f>
        <v xml:space="preserve"> </v>
      </c>
      <c r="L429" s="100" t="str">
        <f>IFERROR(VLOOKUP(Tablo5[[#This Row],[BOYA KODU]],Tablo14[#All],6,0)," ")</f>
        <v xml:space="preserve"> </v>
      </c>
      <c r="M429" s="100" t="str">
        <f t="shared" si="42"/>
        <v xml:space="preserve"> </v>
      </c>
      <c r="N429" s="100" t="str">
        <f>IFERROR(VLOOKUP(Tablo5[[#This Row],[ÜRÜN KODU]],YMKODLARI!$A$1:$K$363,8,0)," ")</f>
        <v xml:space="preserve"> </v>
      </c>
      <c r="O429" s="100" t="str">
        <f>IFERROR(VLOOKUP(Tablo5[[#This Row],[HAMMADDE KODU]],Tablo1[#All],3,0)," ")</f>
        <v xml:space="preserve"> </v>
      </c>
      <c r="P429" s="100" t="str">
        <f>IFERROR(VLOOKUP(Tablo5[[#This Row],[HAMMADDE KODU]],Tablo1[#All],4,0)," ")</f>
        <v xml:space="preserve"> </v>
      </c>
      <c r="Q429" s="100" t="str">
        <f>IFERROR(VLOOKUP(Tablo5[[#This Row],[ÜRÜN KODU]],YMKODLARI!$A$1:$K$363,5,0)," ")</f>
        <v xml:space="preserve"> </v>
      </c>
      <c r="R429" s="100" t="str">
        <f>IFERROR(VLOOKUP(Tablo5[[#This Row],[ÜRÜN KODU]],YMKODLARI!$A$1:$K$363,6,0)," ")</f>
        <v xml:space="preserve"> </v>
      </c>
      <c r="S429" s="100" t="str">
        <f>IFERROR(Tablo5[[#This Row],[YOLLUK HARİÇ BASKI GRAMI]]/Tablo5[[#This Row],[KALIP GÖZ ADEDİ]]," ")</f>
        <v xml:space="preserve"> </v>
      </c>
      <c r="T429" s="100" t="str">
        <f t="shared" si="44"/>
        <v xml:space="preserve"> </v>
      </c>
      <c r="U429" s="100"/>
      <c r="V429" s="100" t="str">
        <f t="shared" si="43"/>
        <v xml:space="preserve"> </v>
      </c>
      <c r="W429" s="101">
        <f t="shared" si="45"/>
        <v>24</v>
      </c>
      <c r="X429" s="102">
        <f t="shared" si="46"/>
        <v>0</v>
      </c>
      <c r="Y429" s="100" t="str">
        <f t="shared" si="47"/>
        <v xml:space="preserve"> </v>
      </c>
      <c r="Z429" s="100" t="str">
        <f t="shared" si="48"/>
        <v xml:space="preserve"> </v>
      </c>
    </row>
    <row r="430" spans="1:26">
      <c r="A430" s="100"/>
      <c r="B430" s="108" t="str">
        <f>IFERROR(VLOOKUP(Tablo5[[#This Row],[ÜRÜN KODU]],YMKODLARI!$A$1:$K$363,2,0)," ")</f>
        <v xml:space="preserve"> </v>
      </c>
      <c r="C430" s="99"/>
      <c r="D430" s="100"/>
      <c r="E430" s="101"/>
      <c r="F430" s="101"/>
      <c r="G430" s="100" t="str">
        <f>IFERROR(VLOOKUP(Tablo5[[#This Row],[ÜRÜN KODU]],YMKODLARI!$A$1:$K$363,3,0)," ")</f>
        <v xml:space="preserve"> </v>
      </c>
      <c r="H430" s="100" t="str">
        <f>IFERROR(VLOOKUP(Tablo5[[#This Row],[ÜRÜN KODU]],YMKODLARI!$A$1:$K$363,4,0)," ")</f>
        <v xml:space="preserve"> </v>
      </c>
      <c r="I430" s="100"/>
      <c r="J430" s="100" t="str">
        <f>IFERROR(VLOOKUP(Tablo5[[#This Row],[ÜRÜN KODU]],YMKODLARI!$A$1:$K$363,9,0)," ")</f>
        <v xml:space="preserve"> </v>
      </c>
      <c r="K430" s="100" t="str">
        <f>IFERROR(VLOOKUP(Tablo5[[#This Row],[BOYA KODU]],Tablo14[#All],4,0)," ")</f>
        <v xml:space="preserve"> </v>
      </c>
      <c r="L430" s="100" t="str">
        <f>IFERROR(VLOOKUP(Tablo5[[#This Row],[BOYA KODU]],Tablo14[#All],6,0)," ")</f>
        <v xml:space="preserve"> </v>
      </c>
      <c r="M430" s="100" t="str">
        <f t="shared" si="42"/>
        <v xml:space="preserve"> </v>
      </c>
      <c r="N430" s="100" t="str">
        <f>IFERROR(VLOOKUP(Tablo5[[#This Row],[ÜRÜN KODU]],YMKODLARI!$A$1:$K$363,8,0)," ")</f>
        <v xml:space="preserve"> </v>
      </c>
      <c r="O430" s="100" t="str">
        <f>IFERROR(VLOOKUP(Tablo5[[#This Row],[HAMMADDE KODU]],Tablo1[#All],3,0)," ")</f>
        <v xml:space="preserve"> </v>
      </c>
      <c r="P430" s="100" t="str">
        <f>IFERROR(VLOOKUP(Tablo5[[#This Row],[HAMMADDE KODU]],Tablo1[#All],4,0)," ")</f>
        <v xml:space="preserve"> </v>
      </c>
      <c r="Q430" s="100" t="str">
        <f>IFERROR(VLOOKUP(Tablo5[[#This Row],[ÜRÜN KODU]],YMKODLARI!$A$1:$K$363,5,0)," ")</f>
        <v xml:space="preserve"> </v>
      </c>
      <c r="R430" s="100" t="str">
        <f>IFERROR(VLOOKUP(Tablo5[[#This Row],[ÜRÜN KODU]],YMKODLARI!$A$1:$K$363,6,0)," ")</f>
        <v xml:space="preserve"> </v>
      </c>
      <c r="S430" s="100" t="str">
        <f>IFERROR(Tablo5[[#This Row],[YOLLUK HARİÇ BASKI GRAMI]]/Tablo5[[#This Row],[KALIP GÖZ ADEDİ]]," ")</f>
        <v xml:space="preserve"> </v>
      </c>
      <c r="T430" s="100" t="str">
        <f t="shared" si="44"/>
        <v xml:space="preserve"> </v>
      </c>
      <c r="U430" s="100"/>
      <c r="V430" s="100" t="str">
        <f t="shared" si="43"/>
        <v xml:space="preserve"> </v>
      </c>
      <c r="W430" s="101">
        <f t="shared" si="45"/>
        <v>24</v>
      </c>
      <c r="X430" s="102">
        <f t="shared" si="46"/>
        <v>0</v>
      </c>
      <c r="Y430" s="100" t="str">
        <f t="shared" si="47"/>
        <v xml:space="preserve"> </v>
      </c>
      <c r="Z430" s="100" t="str">
        <f t="shared" si="48"/>
        <v xml:space="preserve"> </v>
      </c>
    </row>
    <row r="431" spans="1:26">
      <c r="A431" s="100"/>
      <c r="B431" s="108" t="str">
        <f>IFERROR(VLOOKUP(Tablo5[[#This Row],[ÜRÜN KODU]],YMKODLARI!$A$1:$K$363,2,0)," ")</f>
        <v xml:space="preserve"> </v>
      </c>
      <c r="C431" s="99"/>
      <c r="D431" s="100"/>
      <c r="E431" s="101"/>
      <c r="F431" s="101"/>
      <c r="G431" s="100" t="str">
        <f>IFERROR(VLOOKUP(Tablo5[[#This Row],[ÜRÜN KODU]],YMKODLARI!$A$1:$K$363,3,0)," ")</f>
        <v xml:space="preserve"> </v>
      </c>
      <c r="H431" s="100" t="str">
        <f>IFERROR(VLOOKUP(Tablo5[[#This Row],[ÜRÜN KODU]],YMKODLARI!$A$1:$K$363,4,0)," ")</f>
        <v xml:space="preserve"> </v>
      </c>
      <c r="I431" s="100"/>
      <c r="J431" s="100" t="str">
        <f>IFERROR(VLOOKUP(Tablo5[[#This Row],[ÜRÜN KODU]],YMKODLARI!$A$1:$K$363,9,0)," ")</f>
        <v xml:space="preserve"> </v>
      </c>
      <c r="K431" s="100" t="str">
        <f>IFERROR(VLOOKUP(Tablo5[[#This Row],[BOYA KODU]],Tablo14[#All],4,0)," ")</f>
        <v xml:space="preserve"> </v>
      </c>
      <c r="L431" s="100" t="str">
        <f>IFERROR(VLOOKUP(Tablo5[[#This Row],[BOYA KODU]],Tablo14[#All],6,0)," ")</f>
        <v xml:space="preserve"> </v>
      </c>
      <c r="M431" s="100" t="str">
        <f t="shared" si="42"/>
        <v xml:space="preserve"> </v>
      </c>
      <c r="N431" s="100" t="str">
        <f>IFERROR(VLOOKUP(Tablo5[[#This Row],[ÜRÜN KODU]],YMKODLARI!$A$1:$K$363,8,0)," ")</f>
        <v xml:space="preserve"> </v>
      </c>
      <c r="O431" s="100" t="str">
        <f>IFERROR(VLOOKUP(Tablo5[[#This Row],[HAMMADDE KODU]],Tablo1[#All],3,0)," ")</f>
        <v xml:space="preserve"> </v>
      </c>
      <c r="P431" s="100" t="str">
        <f>IFERROR(VLOOKUP(Tablo5[[#This Row],[HAMMADDE KODU]],Tablo1[#All],4,0)," ")</f>
        <v xml:space="preserve"> </v>
      </c>
      <c r="Q431" s="100" t="str">
        <f>IFERROR(VLOOKUP(Tablo5[[#This Row],[ÜRÜN KODU]],YMKODLARI!$A$1:$K$363,5,0)," ")</f>
        <v xml:space="preserve"> </v>
      </c>
      <c r="R431" s="100" t="str">
        <f>IFERROR(VLOOKUP(Tablo5[[#This Row],[ÜRÜN KODU]],YMKODLARI!$A$1:$K$363,6,0)," ")</f>
        <v xml:space="preserve"> </v>
      </c>
      <c r="S431" s="100" t="str">
        <f>IFERROR(Tablo5[[#This Row],[YOLLUK HARİÇ BASKI GRAMI]]/Tablo5[[#This Row],[KALIP GÖZ ADEDİ]]," ")</f>
        <v xml:space="preserve"> </v>
      </c>
      <c r="T431" s="100" t="str">
        <f t="shared" si="44"/>
        <v xml:space="preserve"> </v>
      </c>
      <c r="U431" s="100"/>
      <c r="V431" s="100" t="str">
        <f t="shared" si="43"/>
        <v xml:space="preserve"> </v>
      </c>
      <c r="W431" s="101">
        <f t="shared" si="45"/>
        <v>24</v>
      </c>
      <c r="X431" s="102">
        <f t="shared" si="46"/>
        <v>0</v>
      </c>
      <c r="Y431" s="100" t="str">
        <f t="shared" si="47"/>
        <v xml:space="preserve"> </v>
      </c>
      <c r="Z431" s="100" t="str">
        <f t="shared" si="48"/>
        <v xml:space="preserve"> </v>
      </c>
    </row>
    <row r="432" spans="1:26">
      <c r="A432" s="100"/>
      <c r="B432" s="108" t="str">
        <f>IFERROR(VLOOKUP(Tablo5[[#This Row],[ÜRÜN KODU]],YMKODLARI!$A$1:$K$363,2,0)," ")</f>
        <v xml:space="preserve"> </v>
      </c>
      <c r="C432" s="99"/>
      <c r="D432" s="100"/>
      <c r="E432" s="101"/>
      <c r="F432" s="101"/>
      <c r="G432" s="100" t="str">
        <f>IFERROR(VLOOKUP(Tablo5[[#This Row],[ÜRÜN KODU]],YMKODLARI!$A$1:$K$363,3,0)," ")</f>
        <v xml:space="preserve"> </v>
      </c>
      <c r="H432" s="100" t="str">
        <f>IFERROR(VLOOKUP(Tablo5[[#This Row],[ÜRÜN KODU]],YMKODLARI!$A$1:$K$363,4,0)," ")</f>
        <v xml:space="preserve"> </v>
      </c>
      <c r="I432" s="100"/>
      <c r="J432" s="100" t="str">
        <f>IFERROR(VLOOKUP(Tablo5[[#This Row],[ÜRÜN KODU]],YMKODLARI!$A$1:$K$363,9,0)," ")</f>
        <v xml:space="preserve"> </v>
      </c>
      <c r="K432" s="100" t="str">
        <f>IFERROR(VLOOKUP(Tablo5[[#This Row],[BOYA KODU]],Tablo14[#All],4,0)," ")</f>
        <v xml:space="preserve"> </v>
      </c>
      <c r="L432" s="100" t="str">
        <f>IFERROR(VLOOKUP(Tablo5[[#This Row],[BOYA KODU]],Tablo14[#All],6,0)," ")</f>
        <v xml:space="preserve"> </v>
      </c>
      <c r="M432" s="100" t="str">
        <f t="shared" si="42"/>
        <v xml:space="preserve"> </v>
      </c>
      <c r="N432" s="100" t="str">
        <f>IFERROR(VLOOKUP(Tablo5[[#This Row],[ÜRÜN KODU]],YMKODLARI!$A$1:$K$363,8,0)," ")</f>
        <v xml:space="preserve"> </v>
      </c>
      <c r="O432" s="100" t="str">
        <f>IFERROR(VLOOKUP(Tablo5[[#This Row],[HAMMADDE KODU]],Tablo1[#All],3,0)," ")</f>
        <v xml:space="preserve"> </v>
      </c>
      <c r="P432" s="100" t="str">
        <f>IFERROR(VLOOKUP(Tablo5[[#This Row],[HAMMADDE KODU]],Tablo1[#All],4,0)," ")</f>
        <v xml:space="preserve"> </v>
      </c>
      <c r="Q432" s="100" t="str">
        <f>IFERROR(VLOOKUP(Tablo5[[#This Row],[ÜRÜN KODU]],YMKODLARI!$A$1:$K$363,5,0)," ")</f>
        <v xml:space="preserve"> </v>
      </c>
      <c r="R432" s="100" t="str">
        <f>IFERROR(VLOOKUP(Tablo5[[#This Row],[ÜRÜN KODU]],YMKODLARI!$A$1:$K$363,6,0)," ")</f>
        <v xml:space="preserve"> </v>
      </c>
      <c r="S432" s="100" t="str">
        <f>IFERROR(Tablo5[[#This Row],[YOLLUK HARİÇ BASKI GRAMI]]/Tablo5[[#This Row],[KALIP GÖZ ADEDİ]]," ")</f>
        <v xml:space="preserve"> </v>
      </c>
      <c r="T432" s="100" t="str">
        <f t="shared" si="44"/>
        <v xml:space="preserve"> </v>
      </c>
      <c r="U432" s="100"/>
      <c r="V432" s="100" t="str">
        <f t="shared" si="43"/>
        <v xml:space="preserve"> </v>
      </c>
      <c r="W432" s="101">
        <f t="shared" si="45"/>
        <v>24</v>
      </c>
      <c r="X432" s="102">
        <f t="shared" si="46"/>
        <v>0</v>
      </c>
      <c r="Y432" s="100" t="str">
        <f t="shared" si="47"/>
        <v xml:space="preserve"> </v>
      </c>
      <c r="Z432" s="100" t="str">
        <f t="shared" si="48"/>
        <v xml:space="preserve"> </v>
      </c>
    </row>
    <row r="433" spans="1:26">
      <c r="A433" s="100"/>
      <c r="B433" s="108" t="str">
        <f>IFERROR(VLOOKUP(Tablo5[[#This Row],[ÜRÜN KODU]],YMKODLARI!$A$1:$K$363,2,0)," ")</f>
        <v xml:space="preserve"> </v>
      </c>
      <c r="C433" s="99"/>
      <c r="D433" s="100"/>
      <c r="E433" s="101"/>
      <c r="F433" s="101"/>
      <c r="G433" s="100" t="str">
        <f>IFERROR(VLOOKUP(Tablo5[[#This Row],[ÜRÜN KODU]],YMKODLARI!$A$1:$K$363,3,0)," ")</f>
        <v xml:space="preserve"> </v>
      </c>
      <c r="H433" s="100" t="str">
        <f>IFERROR(VLOOKUP(Tablo5[[#This Row],[ÜRÜN KODU]],YMKODLARI!$A$1:$K$363,4,0)," ")</f>
        <v xml:space="preserve"> </v>
      </c>
      <c r="I433" s="100"/>
      <c r="J433" s="100" t="str">
        <f>IFERROR(VLOOKUP(Tablo5[[#This Row],[ÜRÜN KODU]],YMKODLARI!$A$1:$K$363,9,0)," ")</f>
        <v xml:space="preserve"> </v>
      </c>
      <c r="K433" s="100" t="str">
        <f>IFERROR(VLOOKUP(Tablo5[[#This Row],[BOYA KODU]],Tablo14[#All],4,0)," ")</f>
        <v xml:space="preserve"> </v>
      </c>
      <c r="L433" s="100" t="str">
        <f>IFERROR(VLOOKUP(Tablo5[[#This Row],[BOYA KODU]],Tablo14[#All],6,0)," ")</f>
        <v xml:space="preserve"> </v>
      </c>
      <c r="M433" s="100" t="str">
        <f t="shared" si="42"/>
        <v xml:space="preserve"> </v>
      </c>
      <c r="N433" s="100" t="str">
        <f>IFERROR(VLOOKUP(Tablo5[[#This Row],[ÜRÜN KODU]],YMKODLARI!$A$1:$K$363,8,0)," ")</f>
        <v xml:space="preserve"> </v>
      </c>
      <c r="O433" s="100" t="str">
        <f>IFERROR(VLOOKUP(Tablo5[[#This Row],[HAMMADDE KODU]],Tablo1[#All],3,0)," ")</f>
        <v xml:space="preserve"> </v>
      </c>
      <c r="P433" s="100" t="str">
        <f>IFERROR(VLOOKUP(Tablo5[[#This Row],[HAMMADDE KODU]],Tablo1[#All],4,0)," ")</f>
        <v xml:space="preserve"> </v>
      </c>
      <c r="Q433" s="100" t="str">
        <f>IFERROR(VLOOKUP(Tablo5[[#This Row],[ÜRÜN KODU]],YMKODLARI!$A$1:$K$363,5,0)," ")</f>
        <v xml:space="preserve"> </v>
      </c>
      <c r="R433" s="100" t="str">
        <f>IFERROR(VLOOKUP(Tablo5[[#This Row],[ÜRÜN KODU]],YMKODLARI!$A$1:$K$363,6,0)," ")</f>
        <v xml:space="preserve"> </v>
      </c>
      <c r="S433" s="100" t="str">
        <f>IFERROR(Tablo5[[#This Row],[YOLLUK HARİÇ BASKI GRAMI]]/Tablo5[[#This Row],[KALIP GÖZ ADEDİ]]," ")</f>
        <v xml:space="preserve"> </v>
      </c>
      <c r="T433" s="100" t="str">
        <f t="shared" si="44"/>
        <v xml:space="preserve"> </v>
      </c>
      <c r="U433" s="100"/>
      <c r="V433" s="100" t="str">
        <f t="shared" si="43"/>
        <v xml:space="preserve"> </v>
      </c>
      <c r="W433" s="101">
        <f t="shared" si="45"/>
        <v>24</v>
      </c>
      <c r="X433" s="102">
        <f t="shared" si="46"/>
        <v>0</v>
      </c>
      <c r="Y433" s="100" t="str">
        <f t="shared" si="47"/>
        <v xml:space="preserve"> </v>
      </c>
      <c r="Z433" s="100" t="str">
        <f t="shared" si="48"/>
        <v xml:space="preserve"> </v>
      </c>
    </row>
    <row r="434" spans="1:26">
      <c r="A434" s="100"/>
      <c r="B434" s="108" t="str">
        <f>IFERROR(VLOOKUP(Tablo5[[#This Row],[ÜRÜN KODU]],YMKODLARI!$A$1:$K$363,2,0)," ")</f>
        <v xml:space="preserve"> </v>
      </c>
      <c r="C434" s="99"/>
      <c r="D434" s="100"/>
      <c r="E434" s="101"/>
      <c r="F434" s="101"/>
      <c r="G434" s="100" t="str">
        <f>IFERROR(VLOOKUP(Tablo5[[#This Row],[ÜRÜN KODU]],YMKODLARI!$A$1:$K$363,3,0)," ")</f>
        <v xml:space="preserve"> </v>
      </c>
      <c r="H434" s="100" t="str">
        <f>IFERROR(VLOOKUP(Tablo5[[#This Row],[ÜRÜN KODU]],YMKODLARI!$A$1:$K$363,4,0)," ")</f>
        <v xml:space="preserve"> </v>
      </c>
      <c r="I434" s="100"/>
      <c r="J434" s="100" t="str">
        <f>IFERROR(VLOOKUP(Tablo5[[#This Row],[ÜRÜN KODU]],YMKODLARI!$A$1:$K$363,9,0)," ")</f>
        <v xml:space="preserve"> </v>
      </c>
      <c r="K434" s="100" t="str">
        <f>IFERROR(VLOOKUP(Tablo5[[#This Row],[BOYA KODU]],Tablo14[#All],4,0)," ")</f>
        <v xml:space="preserve"> </v>
      </c>
      <c r="L434" s="100" t="str">
        <f>IFERROR(VLOOKUP(Tablo5[[#This Row],[BOYA KODU]],Tablo14[#All],6,0)," ")</f>
        <v xml:space="preserve"> </v>
      </c>
      <c r="M434" s="100" t="str">
        <f t="shared" si="42"/>
        <v xml:space="preserve"> </v>
      </c>
      <c r="N434" s="100" t="str">
        <f>IFERROR(VLOOKUP(Tablo5[[#This Row],[ÜRÜN KODU]],YMKODLARI!$A$1:$K$363,8,0)," ")</f>
        <v xml:space="preserve"> </v>
      </c>
      <c r="O434" s="100" t="str">
        <f>IFERROR(VLOOKUP(Tablo5[[#This Row],[HAMMADDE KODU]],Tablo1[#All],3,0)," ")</f>
        <v xml:space="preserve"> </v>
      </c>
      <c r="P434" s="100" t="str">
        <f>IFERROR(VLOOKUP(Tablo5[[#This Row],[HAMMADDE KODU]],Tablo1[#All],4,0)," ")</f>
        <v xml:space="preserve"> </v>
      </c>
      <c r="Q434" s="100" t="str">
        <f>IFERROR(VLOOKUP(Tablo5[[#This Row],[ÜRÜN KODU]],YMKODLARI!$A$1:$K$363,5,0)," ")</f>
        <v xml:space="preserve"> </v>
      </c>
      <c r="R434" s="100" t="str">
        <f>IFERROR(VLOOKUP(Tablo5[[#This Row],[ÜRÜN KODU]],YMKODLARI!$A$1:$K$363,6,0)," ")</f>
        <v xml:space="preserve"> </v>
      </c>
      <c r="S434" s="100" t="str">
        <f>IFERROR(Tablo5[[#This Row],[YOLLUK HARİÇ BASKI GRAMI]]/Tablo5[[#This Row],[KALIP GÖZ ADEDİ]]," ")</f>
        <v xml:space="preserve"> </v>
      </c>
      <c r="T434" s="100" t="str">
        <f t="shared" si="44"/>
        <v xml:space="preserve"> </v>
      </c>
      <c r="U434" s="100"/>
      <c r="V434" s="100" t="str">
        <f t="shared" si="43"/>
        <v xml:space="preserve"> </v>
      </c>
      <c r="W434" s="101">
        <f t="shared" si="45"/>
        <v>24</v>
      </c>
      <c r="X434" s="102">
        <f t="shared" si="46"/>
        <v>0</v>
      </c>
      <c r="Y434" s="100" t="str">
        <f t="shared" si="47"/>
        <v xml:space="preserve"> </v>
      </c>
      <c r="Z434" s="100" t="str">
        <f t="shared" si="48"/>
        <v xml:space="preserve"> </v>
      </c>
    </row>
    <row r="435" spans="1:26">
      <c r="A435" s="100"/>
      <c r="B435" s="108" t="str">
        <f>IFERROR(VLOOKUP(Tablo5[[#This Row],[ÜRÜN KODU]],YMKODLARI!$A$1:$K$363,2,0)," ")</f>
        <v xml:space="preserve"> </v>
      </c>
      <c r="C435" s="99"/>
      <c r="D435" s="100"/>
      <c r="E435" s="101"/>
      <c r="F435" s="101"/>
      <c r="G435" s="100" t="str">
        <f>IFERROR(VLOOKUP(Tablo5[[#This Row],[ÜRÜN KODU]],YMKODLARI!$A$1:$K$363,3,0)," ")</f>
        <v xml:space="preserve"> </v>
      </c>
      <c r="H435" s="100" t="str">
        <f>IFERROR(VLOOKUP(Tablo5[[#This Row],[ÜRÜN KODU]],YMKODLARI!$A$1:$K$363,4,0)," ")</f>
        <v xml:space="preserve"> </v>
      </c>
      <c r="I435" s="100"/>
      <c r="J435" s="100" t="str">
        <f>IFERROR(VLOOKUP(Tablo5[[#This Row],[ÜRÜN KODU]],YMKODLARI!$A$1:$K$363,9,0)," ")</f>
        <v xml:space="preserve"> </v>
      </c>
      <c r="K435" s="100" t="str">
        <f>IFERROR(VLOOKUP(Tablo5[[#This Row],[BOYA KODU]],Tablo14[#All],4,0)," ")</f>
        <v xml:space="preserve"> </v>
      </c>
      <c r="L435" s="100" t="str">
        <f>IFERROR(VLOOKUP(Tablo5[[#This Row],[BOYA KODU]],Tablo14[#All],6,0)," ")</f>
        <v xml:space="preserve"> </v>
      </c>
      <c r="M435" s="100" t="str">
        <f t="shared" si="42"/>
        <v xml:space="preserve"> </v>
      </c>
      <c r="N435" s="100" t="str">
        <f>IFERROR(VLOOKUP(Tablo5[[#This Row],[ÜRÜN KODU]],YMKODLARI!$A$1:$K$363,8,0)," ")</f>
        <v xml:space="preserve"> </v>
      </c>
      <c r="O435" s="100" t="str">
        <f>IFERROR(VLOOKUP(Tablo5[[#This Row],[HAMMADDE KODU]],Tablo1[#All],3,0)," ")</f>
        <v xml:space="preserve"> </v>
      </c>
      <c r="P435" s="100" t="str">
        <f>IFERROR(VLOOKUP(Tablo5[[#This Row],[HAMMADDE KODU]],Tablo1[#All],4,0)," ")</f>
        <v xml:space="preserve"> </v>
      </c>
      <c r="Q435" s="100" t="str">
        <f>IFERROR(VLOOKUP(Tablo5[[#This Row],[ÜRÜN KODU]],YMKODLARI!$A$1:$K$363,5,0)," ")</f>
        <v xml:space="preserve"> </v>
      </c>
      <c r="R435" s="100" t="str">
        <f>IFERROR(VLOOKUP(Tablo5[[#This Row],[ÜRÜN KODU]],YMKODLARI!$A$1:$K$363,6,0)," ")</f>
        <v xml:space="preserve"> </v>
      </c>
      <c r="S435" s="100" t="str">
        <f>IFERROR(Tablo5[[#This Row],[YOLLUK HARİÇ BASKI GRAMI]]/Tablo5[[#This Row],[KALIP GÖZ ADEDİ]]," ")</f>
        <v xml:space="preserve"> </v>
      </c>
      <c r="T435" s="100" t="str">
        <f t="shared" si="44"/>
        <v xml:space="preserve"> </v>
      </c>
      <c r="U435" s="100"/>
      <c r="V435" s="100" t="str">
        <f t="shared" si="43"/>
        <v xml:space="preserve"> </v>
      </c>
      <c r="W435" s="101">
        <f t="shared" si="45"/>
        <v>24</v>
      </c>
      <c r="X435" s="102">
        <f t="shared" si="46"/>
        <v>0</v>
      </c>
      <c r="Y435" s="100" t="str">
        <f t="shared" si="47"/>
        <v xml:space="preserve"> </v>
      </c>
      <c r="Z435" s="100" t="str">
        <f t="shared" si="48"/>
        <v xml:space="preserve"> </v>
      </c>
    </row>
    <row r="436" spans="1:26">
      <c r="A436" s="100"/>
      <c r="B436" s="108" t="str">
        <f>IFERROR(VLOOKUP(Tablo5[[#This Row],[ÜRÜN KODU]],YMKODLARI!$A$1:$K$363,2,0)," ")</f>
        <v xml:space="preserve"> </v>
      </c>
      <c r="C436" s="99"/>
      <c r="D436" s="100"/>
      <c r="E436" s="101"/>
      <c r="F436" s="101"/>
      <c r="G436" s="100" t="str">
        <f>IFERROR(VLOOKUP(Tablo5[[#This Row],[ÜRÜN KODU]],YMKODLARI!$A$1:$K$363,3,0)," ")</f>
        <v xml:space="preserve"> </v>
      </c>
      <c r="H436" s="100" t="str">
        <f>IFERROR(VLOOKUP(Tablo5[[#This Row],[ÜRÜN KODU]],YMKODLARI!$A$1:$K$363,4,0)," ")</f>
        <v xml:space="preserve"> </v>
      </c>
      <c r="I436" s="100"/>
      <c r="J436" s="100" t="str">
        <f>IFERROR(VLOOKUP(Tablo5[[#This Row],[ÜRÜN KODU]],YMKODLARI!$A$1:$K$363,9,0)," ")</f>
        <v xml:space="preserve"> </v>
      </c>
      <c r="K436" s="100" t="str">
        <f>IFERROR(VLOOKUP(Tablo5[[#This Row],[BOYA KODU]],Tablo14[#All],4,0)," ")</f>
        <v xml:space="preserve"> </v>
      </c>
      <c r="L436" s="100" t="str">
        <f>IFERROR(VLOOKUP(Tablo5[[#This Row],[BOYA KODU]],Tablo14[#All],6,0)," ")</f>
        <v xml:space="preserve"> </v>
      </c>
      <c r="M436" s="100" t="str">
        <f t="shared" si="42"/>
        <v xml:space="preserve"> </v>
      </c>
      <c r="N436" s="100" t="str">
        <f>IFERROR(VLOOKUP(Tablo5[[#This Row],[ÜRÜN KODU]],YMKODLARI!$A$1:$K$363,8,0)," ")</f>
        <v xml:space="preserve"> </v>
      </c>
      <c r="O436" s="100" t="str">
        <f>IFERROR(VLOOKUP(Tablo5[[#This Row],[HAMMADDE KODU]],Tablo1[#All],3,0)," ")</f>
        <v xml:space="preserve"> </v>
      </c>
      <c r="P436" s="100" t="str">
        <f>IFERROR(VLOOKUP(Tablo5[[#This Row],[HAMMADDE KODU]],Tablo1[#All],4,0)," ")</f>
        <v xml:space="preserve"> </v>
      </c>
      <c r="Q436" s="100" t="str">
        <f>IFERROR(VLOOKUP(Tablo5[[#This Row],[ÜRÜN KODU]],YMKODLARI!$A$1:$K$363,5,0)," ")</f>
        <v xml:space="preserve"> </v>
      </c>
      <c r="R436" s="100" t="str">
        <f>IFERROR(VLOOKUP(Tablo5[[#This Row],[ÜRÜN KODU]],YMKODLARI!$A$1:$K$363,6,0)," ")</f>
        <v xml:space="preserve"> </v>
      </c>
      <c r="S436" s="100" t="str">
        <f>IFERROR(Tablo5[[#This Row],[YOLLUK HARİÇ BASKI GRAMI]]/Tablo5[[#This Row],[KALIP GÖZ ADEDİ]]," ")</f>
        <v xml:space="preserve"> </v>
      </c>
      <c r="T436" s="100" t="str">
        <f t="shared" si="44"/>
        <v xml:space="preserve"> </v>
      </c>
      <c r="U436" s="100"/>
      <c r="V436" s="100" t="str">
        <f t="shared" si="43"/>
        <v xml:space="preserve"> </v>
      </c>
      <c r="W436" s="101">
        <f t="shared" si="45"/>
        <v>24</v>
      </c>
      <c r="X436" s="102">
        <f t="shared" si="46"/>
        <v>0</v>
      </c>
      <c r="Y436" s="100" t="str">
        <f t="shared" si="47"/>
        <v xml:space="preserve"> </v>
      </c>
      <c r="Z436" s="100" t="str">
        <f t="shared" si="48"/>
        <v xml:space="preserve"> </v>
      </c>
    </row>
    <row r="437" spans="1:26">
      <c r="A437" s="100"/>
      <c r="B437" s="108" t="str">
        <f>IFERROR(VLOOKUP(Tablo5[[#This Row],[ÜRÜN KODU]],YMKODLARI!$A$1:$K$363,2,0)," ")</f>
        <v xml:space="preserve"> </v>
      </c>
      <c r="C437" s="99"/>
      <c r="D437" s="100"/>
      <c r="E437" s="101"/>
      <c r="F437" s="101"/>
      <c r="G437" s="100" t="str">
        <f>IFERROR(VLOOKUP(Tablo5[[#This Row],[ÜRÜN KODU]],YMKODLARI!$A$1:$K$363,3,0)," ")</f>
        <v xml:space="preserve"> </v>
      </c>
      <c r="H437" s="100" t="str">
        <f>IFERROR(VLOOKUP(Tablo5[[#This Row],[ÜRÜN KODU]],YMKODLARI!$A$1:$K$363,4,0)," ")</f>
        <v xml:space="preserve"> </v>
      </c>
      <c r="I437" s="100"/>
      <c r="J437" s="100" t="str">
        <f>IFERROR(VLOOKUP(Tablo5[[#This Row],[ÜRÜN KODU]],YMKODLARI!$A$1:$K$363,9,0)," ")</f>
        <v xml:space="preserve"> </v>
      </c>
      <c r="K437" s="100" t="str">
        <f>IFERROR(VLOOKUP(Tablo5[[#This Row],[BOYA KODU]],Tablo14[#All],4,0)," ")</f>
        <v xml:space="preserve"> </v>
      </c>
      <c r="L437" s="100" t="str">
        <f>IFERROR(VLOOKUP(Tablo5[[#This Row],[BOYA KODU]],Tablo14[#All],6,0)," ")</f>
        <v xml:space="preserve"> </v>
      </c>
      <c r="M437" s="100" t="str">
        <f t="shared" si="42"/>
        <v xml:space="preserve"> </v>
      </c>
      <c r="N437" s="100" t="str">
        <f>IFERROR(VLOOKUP(Tablo5[[#This Row],[ÜRÜN KODU]],YMKODLARI!$A$1:$K$363,8,0)," ")</f>
        <v xml:space="preserve"> </v>
      </c>
      <c r="O437" s="100" t="str">
        <f>IFERROR(VLOOKUP(Tablo5[[#This Row],[HAMMADDE KODU]],Tablo1[#All],3,0)," ")</f>
        <v xml:space="preserve"> </v>
      </c>
      <c r="P437" s="100" t="str">
        <f>IFERROR(VLOOKUP(Tablo5[[#This Row],[HAMMADDE KODU]],Tablo1[#All],4,0)," ")</f>
        <v xml:space="preserve"> </v>
      </c>
      <c r="Q437" s="100" t="str">
        <f>IFERROR(VLOOKUP(Tablo5[[#This Row],[ÜRÜN KODU]],YMKODLARI!$A$1:$K$363,5,0)," ")</f>
        <v xml:space="preserve"> </v>
      </c>
      <c r="R437" s="100" t="str">
        <f>IFERROR(VLOOKUP(Tablo5[[#This Row],[ÜRÜN KODU]],YMKODLARI!$A$1:$K$363,6,0)," ")</f>
        <v xml:space="preserve"> </v>
      </c>
      <c r="S437" s="100" t="str">
        <f>IFERROR(Tablo5[[#This Row],[YOLLUK HARİÇ BASKI GRAMI]]/Tablo5[[#This Row],[KALIP GÖZ ADEDİ]]," ")</f>
        <v xml:space="preserve"> </v>
      </c>
      <c r="T437" s="100" t="str">
        <f t="shared" si="44"/>
        <v xml:space="preserve"> </v>
      </c>
      <c r="U437" s="100"/>
      <c r="V437" s="100" t="str">
        <f t="shared" si="43"/>
        <v xml:space="preserve"> </v>
      </c>
      <c r="W437" s="101">
        <f t="shared" si="45"/>
        <v>24</v>
      </c>
      <c r="X437" s="102">
        <f t="shared" si="46"/>
        <v>0</v>
      </c>
      <c r="Y437" s="100" t="str">
        <f t="shared" si="47"/>
        <v xml:space="preserve"> </v>
      </c>
      <c r="Z437" s="100" t="str">
        <f t="shared" si="48"/>
        <v xml:space="preserve"> </v>
      </c>
    </row>
    <row r="438" spans="1:26">
      <c r="A438" s="100"/>
      <c r="B438" s="108" t="str">
        <f>IFERROR(VLOOKUP(Tablo5[[#This Row],[ÜRÜN KODU]],YMKODLARI!$A$1:$K$363,2,0)," ")</f>
        <v xml:space="preserve"> </v>
      </c>
      <c r="C438" s="99"/>
      <c r="D438" s="100"/>
      <c r="E438" s="101"/>
      <c r="F438" s="101"/>
      <c r="G438" s="100" t="str">
        <f>IFERROR(VLOOKUP(Tablo5[[#This Row],[ÜRÜN KODU]],YMKODLARI!$A$1:$K$363,3,0)," ")</f>
        <v xml:space="preserve"> </v>
      </c>
      <c r="H438" s="100" t="str">
        <f>IFERROR(VLOOKUP(Tablo5[[#This Row],[ÜRÜN KODU]],YMKODLARI!$A$1:$K$363,4,0)," ")</f>
        <v xml:space="preserve"> </v>
      </c>
      <c r="I438" s="100"/>
      <c r="J438" s="100" t="str">
        <f>IFERROR(VLOOKUP(Tablo5[[#This Row],[ÜRÜN KODU]],YMKODLARI!$A$1:$K$363,9,0)," ")</f>
        <v xml:space="preserve"> </v>
      </c>
      <c r="K438" s="100" t="str">
        <f>IFERROR(VLOOKUP(Tablo5[[#This Row],[BOYA KODU]],Tablo14[#All],4,0)," ")</f>
        <v xml:space="preserve"> </v>
      </c>
      <c r="L438" s="100" t="str">
        <f>IFERROR(VLOOKUP(Tablo5[[#This Row],[BOYA KODU]],Tablo14[#All],6,0)," ")</f>
        <v xml:space="preserve"> </v>
      </c>
      <c r="M438" s="100" t="str">
        <f t="shared" si="42"/>
        <v xml:space="preserve"> </v>
      </c>
      <c r="N438" s="100" t="str">
        <f>IFERROR(VLOOKUP(Tablo5[[#This Row],[ÜRÜN KODU]],YMKODLARI!$A$1:$K$363,8,0)," ")</f>
        <v xml:space="preserve"> </v>
      </c>
      <c r="O438" s="100" t="str">
        <f>IFERROR(VLOOKUP(Tablo5[[#This Row],[HAMMADDE KODU]],Tablo1[#All],3,0)," ")</f>
        <v xml:space="preserve"> </v>
      </c>
      <c r="P438" s="100" t="str">
        <f>IFERROR(VLOOKUP(Tablo5[[#This Row],[HAMMADDE KODU]],Tablo1[#All],4,0)," ")</f>
        <v xml:space="preserve"> </v>
      </c>
      <c r="Q438" s="100" t="str">
        <f>IFERROR(VLOOKUP(Tablo5[[#This Row],[ÜRÜN KODU]],YMKODLARI!$A$1:$K$363,5,0)," ")</f>
        <v xml:space="preserve"> </v>
      </c>
      <c r="R438" s="100" t="str">
        <f>IFERROR(VLOOKUP(Tablo5[[#This Row],[ÜRÜN KODU]],YMKODLARI!$A$1:$K$363,6,0)," ")</f>
        <v xml:space="preserve"> </v>
      </c>
      <c r="S438" s="100" t="str">
        <f>IFERROR(Tablo5[[#This Row],[YOLLUK HARİÇ BASKI GRAMI]]/Tablo5[[#This Row],[KALIP GÖZ ADEDİ]]," ")</f>
        <v xml:space="preserve"> </v>
      </c>
      <c r="T438" s="100" t="str">
        <f t="shared" si="44"/>
        <v xml:space="preserve"> </v>
      </c>
      <c r="U438" s="100"/>
      <c r="V438" s="100" t="str">
        <f t="shared" si="43"/>
        <v xml:space="preserve"> </v>
      </c>
      <c r="W438" s="101">
        <f t="shared" si="45"/>
        <v>24</v>
      </c>
      <c r="X438" s="102">
        <f t="shared" si="46"/>
        <v>0</v>
      </c>
      <c r="Y438" s="100" t="str">
        <f t="shared" si="47"/>
        <v xml:space="preserve"> </v>
      </c>
      <c r="Z438" s="100" t="str">
        <f t="shared" si="48"/>
        <v xml:space="preserve"> </v>
      </c>
    </row>
    <row r="439" spans="1:26">
      <c r="A439" s="100"/>
      <c r="B439" s="108" t="str">
        <f>IFERROR(VLOOKUP(Tablo5[[#This Row],[ÜRÜN KODU]],YMKODLARI!$A$1:$K$363,2,0)," ")</f>
        <v xml:space="preserve"> </v>
      </c>
      <c r="C439" s="99"/>
      <c r="D439" s="100"/>
      <c r="E439" s="101"/>
      <c r="F439" s="101"/>
      <c r="G439" s="100" t="str">
        <f>IFERROR(VLOOKUP(Tablo5[[#This Row],[ÜRÜN KODU]],YMKODLARI!$A$1:$K$363,3,0)," ")</f>
        <v xml:space="preserve"> </v>
      </c>
      <c r="H439" s="100" t="str">
        <f>IFERROR(VLOOKUP(Tablo5[[#This Row],[ÜRÜN KODU]],YMKODLARI!$A$1:$K$363,4,0)," ")</f>
        <v xml:space="preserve"> </v>
      </c>
      <c r="I439" s="100"/>
      <c r="J439" s="100" t="str">
        <f>IFERROR(VLOOKUP(Tablo5[[#This Row],[ÜRÜN KODU]],YMKODLARI!$A$1:$K$363,9,0)," ")</f>
        <v xml:space="preserve"> </v>
      </c>
      <c r="K439" s="100" t="str">
        <f>IFERROR(VLOOKUP(Tablo5[[#This Row],[BOYA KODU]],Tablo14[#All],4,0)," ")</f>
        <v xml:space="preserve"> </v>
      </c>
      <c r="L439" s="100" t="str">
        <f>IFERROR(VLOOKUP(Tablo5[[#This Row],[BOYA KODU]],Tablo14[#All],6,0)," ")</f>
        <v xml:space="preserve"> </v>
      </c>
      <c r="M439" s="100" t="str">
        <f t="shared" si="42"/>
        <v xml:space="preserve"> </v>
      </c>
      <c r="N439" s="100" t="str">
        <f>IFERROR(VLOOKUP(Tablo5[[#This Row],[ÜRÜN KODU]],YMKODLARI!$A$1:$K$363,8,0)," ")</f>
        <v xml:space="preserve"> </v>
      </c>
      <c r="O439" s="100" t="str">
        <f>IFERROR(VLOOKUP(Tablo5[[#This Row],[HAMMADDE KODU]],Tablo1[#All],3,0)," ")</f>
        <v xml:space="preserve"> </v>
      </c>
      <c r="P439" s="100" t="str">
        <f>IFERROR(VLOOKUP(Tablo5[[#This Row],[HAMMADDE KODU]],Tablo1[#All],4,0)," ")</f>
        <v xml:space="preserve"> </v>
      </c>
      <c r="Q439" s="100" t="str">
        <f>IFERROR(VLOOKUP(Tablo5[[#This Row],[ÜRÜN KODU]],YMKODLARI!$A$1:$K$363,5,0)," ")</f>
        <v xml:space="preserve"> </v>
      </c>
      <c r="R439" s="100" t="str">
        <f>IFERROR(VLOOKUP(Tablo5[[#This Row],[ÜRÜN KODU]],YMKODLARI!$A$1:$K$363,6,0)," ")</f>
        <v xml:space="preserve"> </v>
      </c>
      <c r="S439" s="100" t="str">
        <f>IFERROR(Tablo5[[#This Row],[YOLLUK HARİÇ BASKI GRAMI]]/Tablo5[[#This Row],[KALIP GÖZ ADEDİ]]," ")</f>
        <v xml:space="preserve"> </v>
      </c>
      <c r="T439" s="100" t="str">
        <f t="shared" si="44"/>
        <v xml:space="preserve"> </v>
      </c>
      <c r="U439" s="100"/>
      <c r="V439" s="100" t="str">
        <f t="shared" si="43"/>
        <v xml:space="preserve"> </v>
      </c>
      <c r="W439" s="101">
        <f t="shared" si="45"/>
        <v>24</v>
      </c>
      <c r="X439" s="102">
        <f t="shared" si="46"/>
        <v>0</v>
      </c>
      <c r="Y439" s="100" t="str">
        <f t="shared" si="47"/>
        <v xml:space="preserve"> </v>
      </c>
      <c r="Z439" s="100" t="str">
        <f t="shared" si="48"/>
        <v xml:space="preserve"> </v>
      </c>
    </row>
    <row r="440" spans="1:26">
      <c r="A440" s="100"/>
      <c r="B440" s="108" t="str">
        <f>IFERROR(VLOOKUP(Tablo5[[#This Row],[ÜRÜN KODU]],YMKODLARI!$A$1:$K$363,2,0)," ")</f>
        <v xml:space="preserve"> </v>
      </c>
      <c r="C440" s="99"/>
      <c r="D440" s="100"/>
      <c r="E440" s="101"/>
      <c r="F440" s="101"/>
      <c r="G440" s="100" t="str">
        <f>IFERROR(VLOOKUP(Tablo5[[#This Row],[ÜRÜN KODU]],YMKODLARI!$A$1:$K$363,3,0)," ")</f>
        <v xml:space="preserve"> </v>
      </c>
      <c r="H440" s="100" t="str">
        <f>IFERROR(VLOOKUP(Tablo5[[#This Row],[ÜRÜN KODU]],YMKODLARI!$A$1:$K$363,4,0)," ")</f>
        <v xml:space="preserve"> </v>
      </c>
      <c r="I440" s="100"/>
      <c r="J440" s="100" t="str">
        <f>IFERROR(VLOOKUP(Tablo5[[#This Row],[ÜRÜN KODU]],YMKODLARI!$A$1:$K$363,9,0)," ")</f>
        <v xml:space="preserve"> </v>
      </c>
      <c r="K440" s="100" t="str">
        <f>IFERROR(VLOOKUP(Tablo5[[#This Row],[BOYA KODU]],Tablo14[#All],4,0)," ")</f>
        <v xml:space="preserve"> </v>
      </c>
      <c r="L440" s="100" t="str">
        <f>IFERROR(VLOOKUP(Tablo5[[#This Row],[BOYA KODU]],Tablo14[#All],6,0)," ")</f>
        <v xml:space="preserve"> </v>
      </c>
      <c r="M440" s="100" t="str">
        <f t="shared" si="42"/>
        <v xml:space="preserve"> </v>
      </c>
      <c r="N440" s="100" t="str">
        <f>IFERROR(VLOOKUP(Tablo5[[#This Row],[ÜRÜN KODU]],YMKODLARI!$A$1:$K$363,8,0)," ")</f>
        <v xml:space="preserve"> </v>
      </c>
      <c r="O440" s="100" t="str">
        <f>IFERROR(VLOOKUP(Tablo5[[#This Row],[HAMMADDE KODU]],Tablo1[#All],3,0)," ")</f>
        <v xml:space="preserve"> </v>
      </c>
      <c r="P440" s="100" t="str">
        <f>IFERROR(VLOOKUP(Tablo5[[#This Row],[HAMMADDE KODU]],Tablo1[#All],4,0)," ")</f>
        <v xml:space="preserve"> </v>
      </c>
      <c r="Q440" s="100" t="str">
        <f>IFERROR(VLOOKUP(Tablo5[[#This Row],[ÜRÜN KODU]],YMKODLARI!$A$1:$K$363,5,0)," ")</f>
        <v xml:space="preserve"> </v>
      </c>
      <c r="R440" s="100" t="str">
        <f>IFERROR(VLOOKUP(Tablo5[[#This Row],[ÜRÜN KODU]],YMKODLARI!$A$1:$K$363,6,0)," ")</f>
        <v xml:space="preserve"> </v>
      </c>
      <c r="S440" s="100" t="str">
        <f>IFERROR(Tablo5[[#This Row],[YOLLUK HARİÇ BASKI GRAMI]]/Tablo5[[#This Row],[KALIP GÖZ ADEDİ]]," ")</f>
        <v xml:space="preserve"> </v>
      </c>
      <c r="T440" s="100" t="str">
        <f t="shared" si="44"/>
        <v xml:space="preserve"> </v>
      </c>
      <c r="U440" s="100"/>
      <c r="V440" s="100" t="str">
        <f t="shared" si="43"/>
        <v xml:space="preserve"> </v>
      </c>
      <c r="W440" s="101">
        <f t="shared" si="45"/>
        <v>24</v>
      </c>
      <c r="X440" s="102">
        <f t="shared" si="46"/>
        <v>0</v>
      </c>
      <c r="Y440" s="100" t="str">
        <f t="shared" si="47"/>
        <v xml:space="preserve"> </v>
      </c>
      <c r="Z440" s="100" t="str">
        <f t="shared" si="48"/>
        <v xml:space="preserve"> </v>
      </c>
    </row>
    <row r="441" spans="1:26">
      <c r="A441" s="100"/>
      <c r="B441" s="108" t="str">
        <f>IFERROR(VLOOKUP(Tablo5[[#This Row],[ÜRÜN KODU]],YMKODLARI!$A$1:$K$363,2,0)," ")</f>
        <v xml:space="preserve"> </v>
      </c>
      <c r="C441" s="99"/>
      <c r="D441" s="100"/>
      <c r="E441" s="101"/>
      <c r="F441" s="101"/>
      <c r="G441" s="100" t="str">
        <f>IFERROR(VLOOKUP(Tablo5[[#This Row],[ÜRÜN KODU]],YMKODLARI!$A$1:$K$363,3,0)," ")</f>
        <v xml:space="preserve"> </v>
      </c>
      <c r="H441" s="100" t="str">
        <f>IFERROR(VLOOKUP(Tablo5[[#This Row],[ÜRÜN KODU]],YMKODLARI!$A$1:$K$363,4,0)," ")</f>
        <v xml:space="preserve"> </v>
      </c>
      <c r="I441" s="100"/>
      <c r="J441" s="100" t="str">
        <f>IFERROR(VLOOKUP(Tablo5[[#This Row],[ÜRÜN KODU]],YMKODLARI!$A$1:$K$363,9,0)," ")</f>
        <v xml:space="preserve"> </v>
      </c>
      <c r="K441" s="100" t="str">
        <f>IFERROR(VLOOKUP(Tablo5[[#This Row],[BOYA KODU]],Tablo14[#All],4,0)," ")</f>
        <v xml:space="preserve"> </v>
      </c>
      <c r="L441" s="100" t="str">
        <f>IFERROR(VLOOKUP(Tablo5[[#This Row],[BOYA KODU]],Tablo14[#All],6,0)," ")</f>
        <v xml:space="preserve"> </v>
      </c>
      <c r="M441" s="100" t="str">
        <f t="shared" si="42"/>
        <v xml:space="preserve"> </v>
      </c>
      <c r="N441" s="100" t="str">
        <f>IFERROR(VLOOKUP(Tablo5[[#This Row],[ÜRÜN KODU]],YMKODLARI!$A$1:$K$363,8,0)," ")</f>
        <v xml:space="preserve"> </v>
      </c>
      <c r="O441" s="100" t="str">
        <f>IFERROR(VLOOKUP(Tablo5[[#This Row],[HAMMADDE KODU]],Tablo1[#All],3,0)," ")</f>
        <v xml:space="preserve"> </v>
      </c>
      <c r="P441" s="100" t="str">
        <f>IFERROR(VLOOKUP(Tablo5[[#This Row],[HAMMADDE KODU]],Tablo1[#All],4,0)," ")</f>
        <v xml:space="preserve"> </v>
      </c>
      <c r="Q441" s="100" t="str">
        <f>IFERROR(VLOOKUP(Tablo5[[#This Row],[ÜRÜN KODU]],YMKODLARI!$A$1:$K$363,5,0)," ")</f>
        <v xml:space="preserve"> </v>
      </c>
      <c r="R441" s="100" t="str">
        <f>IFERROR(VLOOKUP(Tablo5[[#This Row],[ÜRÜN KODU]],YMKODLARI!$A$1:$K$363,6,0)," ")</f>
        <v xml:space="preserve"> </v>
      </c>
      <c r="S441" s="100" t="str">
        <f>IFERROR(Tablo5[[#This Row],[YOLLUK HARİÇ BASKI GRAMI]]/Tablo5[[#This Row],[KALIP GÖZ ADEDİ]]," ")</f>
        <v xml:space="preserve"> </v>
      </c>
      <c r="T441" s="100" t="str">
        <f t="shared" si="44"/>
        <v xml:space="preserve"> </v>
      </c>
      <c r="U441" s="100"/>
      <c r="V441" s="100" t="str">
        <f t="shared" si="43"/>
        <v xml:space="preserve"> </v>
      </c>
      <c r="W441" s="101">
        <f t="shared" si="45"/>
        <v>24</v>
      </c>
      <c r="X441" s="102">
        <f t="shared" si="46"/>
        <v>0</v>
      </c>
      <c r="Y441" s="100" t="str">
        <f t="shared" si="47"/>
        <v xml:space="preserve"> </v>
      </c>
      <c r="Z441" s="100" t="str">
        <f t="shared" si="48"/>
        <v xml:space="preserve"> </v>
      </c>
    </row>
    <row r="442" spans="1:26">
      <c r="A442" s="100"/>
      <c r="B442" s="108" t="str">
        <f>IFERROR(VLOOKUP(Tablo5[[#This Row],[ÜRÜN KODU]],YMKODLARI!$A$1:$K$363,2,0)," ")</f>
        <v xml:space="preserve"> </v>
      </c>
      <c r="C442" s="99"/>
      <c r="D442" s="100"/>
      <c r="E442" s="101"/>
      <c r="F442" s="101"/>
      <c r="G442" s="100" t="str">
        <f>IFERROR(VLOOKUP(Tablo5[[#This Row],[ÜRÜN KODU]],YMKODLARI!$A$1:$K$363,3,0)," ")</f>
        <v xml:space="preserve"> </v>
      </c>
      <c r="H442" s="100" t="str">
        <f>IFERROR(VLOOKUP(Tablo5[[#This Row],[ÜRÜN KODU]],YMKODLARI!$A$1:$K$363,4,0)," ")</f>
        <v xml:space="preserve"> </v>
      </c>
      <c r="I442" s="100"/>
      <c r="J442" s="100" t="str">
        <f>IFERROR(VLOOKUP(Tablo5[[#This Row],[ÜRÜN KODU]],YMKODLARI!$A$1:$K$363,9,0)," ")</f>
        <v xml:space="preserve"> </v>
      </c>
      <c r="K442" s="100" t="str">
        <f>IFERROR(VLOOKUP(Tablo5[[#This Row],[BOYA KODU]],Tablo14[#All],4,0)," ")</f>
        <v xml:space="preserve"> </v>
      </c>
      <c r="L442" s="100" t="str">
        <f>IFERROR(VLOOKUP(Tablo5[[#This Row],[BOYA KODU]],Tablo14[#All],6,0)," ")</f>
        <v xml:space="preserve"> </v>
      </c>
      <c r="M442" s="100" t="str">
        <f t="shared" si="42"/>
        <v xml:space="preserve"> </v>
      </c>
      <c r="N442" s="100" t="str">
        <f>IFERROR(VLOOKUP(Tablo5[[#This Row],[ÜRÜN KODU]],YMKODLARI!$A$1:$K$363,8,0)," ")</f>
        <v xml:space="preserve"> </v>
      </c>
      <c r="O442" s="100" t="str">
        <f>IFERROR(VLOOKUP(Tablo5[[#This Row],[HAMMADDE KODU]],Tablo1[#All],3,0)," ")</f>
        <v xml:space="preserve"> </v>
      </c>
      <c r="P442" s="100" t="str">
        <f>IFERROR(VLOOKUP(Tablo5[[#This Row],[HAMMADDE KODU]],Tablo1[#All],4,0)," ")</f>
        <v xml:space="preserve"> </v>
      </c>
      <c r="Q442" s="100" t="str">
        <f>IFERROR(VLOOKUP(Tablo5[[#This Row],[ÜRÜN KODU]],YMKODLARI!$A$1:$K$363,5,0)," ")</f>
        <v xml:space="preserve"> </v>
      </c>
      <c r="R442" s="100" t="str">
        <f>IFERROR(VLOOKUP(Tablo5[[#This Row],[ÜRÜN KODU]],YMKODLARI!$A$1:$K$363,6,0)," ")</f>
        <v xml:space="preserve"> </v>
      </c>
      <c r="S442" s="100" t="str">
        <f>IFERROR(Tablo5[[#This Row],[YOLLUK HARİÇ BASKI GRAMI]]/Tablo5[[#This Row],[KALIP GÖZ ADEDİ]]," ")</f>
        <v xml:space="preserve"> </v>
      </c>
      <c r="T442" s="100" t="str">
        <f t="shared" si="44"/>
        <v xml:space="preserve"> </v>
      </c>
      <c r="U442" s="100"/>
      <c r="V442" s="100" t="str">
        <f t="shared" si="43"/>
        <v xml:space="preserve"> </v>
      </c>
      <c r="W442" s="101">
        <f t="shared" si="45"/>
        <v>24</v>
      </c>
      <c r="X442" s="102">
        <f t="shared" si="46"/>
        <v>0</v>
      </c>
      <c r="Y442" s="100" t="str">
        <f t="shared" si="47"/>
        <v xml:space="preserve"> </v>
      </c>
      <c r="Z442" s="100" t="str">
        <f t="shared" si="48"/>
        <v xml:space="preserve"> </v>
      </c>
    </row>
    <row r="443" spans="1:26">
      <c r="A443" s="100"/>
      <c r="B443" s="108" t="str">
        <f>IFERROR(VLOOKUP(Tablo5[[#This Row],[ÜRÜN KODU]],YMKODLARI!$A$1:$K$363,2,0)," ")</f>
        <v xml:space="preserve"> </v>
      </c>
      <c r="C443" s="99"/>
      <c r="D443" s="100"/>
      <c r="E443" s="101"/>
      <c r="F443" s="101"/>
      <c r="G443" s="100" t="str">
        <f>IFERROR(VLOOKUP(Tablo5[[#This Row],[ÜRÜN KODU]],YMKODLARI!$A$1:$K$363,3,0)," ")</f>
        <v xml:space="preserve"> </v>
      </c>
      <c r="H443" s="100" t="str">
        <f>IFERROR(VLOOKUP(Tablo5[[#This Row],[ÜRÜN KODU]],YMKODLARI!$A$1:$K$363,4,0)," ")</f>
        <v xml:space="preserve"> </v>
      </c>
      <c r="I443" s="100"/>
      <c r="J443" s="100" t="str">
        <f>IFERROR(VLOOKUP(Tablo5[[#This Row],[ÜRÜN KODU]],YMKODLARI!$A$1:$K$363,9,0)," ")</f>
        <v xml:space="preserve"> </v>
      </c>
      <c r="K443" s="100" t="str">
        <f>IFERROR(VLOOKUP(Tablo5[[#This Row],[BOYA KODU]],Tablo14[#All],4,0)," ")</f>
        <v xml:space="preserve"> </v>
      </c>
      <c r="L443" s="100" t="str">
        <f>IFERROR(VLOOKUP(Tablo5[[#This Row],[BOYA KODU]],Tablo14[#All],6,0)," ")</f>
        <v xml:space="preserve"> </v>
      </c>
      <c r="M443" s="100" t="str">
        <f t="shared" si="42"/>
        <v xml:space="preserve"> </v>
      </c>
      <c r="N443" s="100" t="str">
        <f>IFERROR(VLOOKUP(Tablo5[[#This Row],[ÜRÜN KODU]],YMKODLARI!$A$1:$K$363,8,0)," ")</f>
        <v xml:space="preserve"> </v>
      </c>
      <c r="O443" s="100" t="str">
        <f>IFERROR(VLOOKUP(Tablo5[[#This Row],[HAMMADDE KODU]],Tablo1[#All],3,0)," ")</f>
        <v xml:space="preserve"> </v>
      </c>
      <c r="P443" s="100" t="str">
        <f>IFERROR(VLOOKUP(Tablo5[[#This Row],[HAMMADDE KODU]],Tablo1[#All],4,0)," ")</f>
        <v xml:space="preserve"> </v>
      </c>
      <c r="Q443" s="100" t="str">
        <f>IFERROR(VLOOKUP(Tablo5[[#This Row],[ÜRÜN KODU]],YMKODLARI!$A$1:$K$363,5,0)," ")</f>
        <v xml:space="preserve"> </v>
      </c>
      <c r="R443" s="100" t="str">
        <f>IFERROR(VLOOKUP(Tablo5[[#This Row],[ÜRÜN KODU]],YMKODLARI!$A$1:$K$363,6,0)," ")</f>
        <v xml:space="preserve"> </v>
      </c>
      <c r="S443" s="100" t="str">
        <f>IFERROR(Tablo5[[#This Row],[YOLLUK HARİÇ BASKI GRAMI]]/Tablo5[[#This Row],[KALIP GÖZ ADEDİ]]," ")</f>
        <v xml:space="preserve"> </v>
      </c>
      <c r="T443" s="100" t="str">
        <f t="shared" si="44"/>
        <v xml:space="preserve"> </v>
      </c>
      <c r="U443" s="100"/>
      <c r="V443" s="100" t="str">
        <f t="shared" si="43"/>
        <v xml:space="preserve"> </v>
      </c>
      <c r="W443" s="101">
        <f t="shared" si="45"/>
        <v>24</v>
      </c>
      <c r="X443" s="102">
        <f t="shared" si="46"/>
        <v>0</v>
      </c>
      <c r="Y443" s="100" t="str">
        <f t="shared" si="47"/>
        <v xml:space="preserve"> </v>
      </c>
      <c r="Z443" s="100" t="str">
        <f t="shared" si="48"/>
        <v xml:space="preserve"> </v>
      </c>
    </row>
    <row r="444" spans="1:26">
      <c r="A444" s="100"/>
      <c r="B444" s="108" t="str">
        <f>IFERROR(VLOOKUP(Tablo5[[#This Row],[ÜRÜN KODU]],YMKODLARI!$A$1:$K$363,2,0)," ")</f>
        <v xml:space="preserve"> </v>
      </c>
      <c r="C444" s="99"/>
      <c r="D444" s="100"/>
      <c r="E444" s="101"/>
      <c r="F444" s="101"/>
      <c r="G444" s="100" t="str">
        <f>IFERROR(VLOOKUP(Tablo5[[#This Row],[ÜRÜN KODU]],YMKODLARI!$A$1:$K$363,3,0)," ")</f>
        <v xml:space="preserve"> </v>
      </c>
      <c r="H444" s="100" t="str">
        <f>IFERROR(VLOOKUP(Tablo5[[#This Row],[ÜRÜN KODU]],YMKODLARI!$A$1:$K$363,4,0)," ")</f>
        <v xml:space="preserve"> </v>
      </c>
      <c r="I444" s="100"/>
      <c r="J444" s="100" t="str">
        <f>IFERROR(VLOOKUP(Tablo5[[#This Row],[ÜRÜN KODU]],YMKODLARI!$A$1:$K$363,9,0)," ")</f>
        <v xml:space="preserve"> </v>
      </c>
      <c r="K444" s="100" t="str">
        <f>IFERROR(VLOOKUP(Tablo5[[#This Row],[BOYA KODU]],Tablo14[#All],4,0)," ")</f>
        <v xml:space="preserve"> </v>
      </c>
      <c r="L444" s="100" t="str">
        <f>IFERROR(VLOOKUP(Tablo5[[#This Row],[BOYA KODU]],Tablo14[#All],6,0)," ")</f>
        <v xml:space="preserve"> </v>
      </c>
      <c r="M444" s="100" t="str">
        <f t="shared" si="42"/>
        <v xml:space="preserve"> </v>
      </c>
      <c r="N444" s="100" t="str">
        <f>IFERROR(VLOOKUP(Tablo5[[#This Row],[ÜRÜN KODU]],YMKODLARI!$A$1:$K$363,8,0)," ")</f>
        <v xml:space="preserve"> </v>
      </c>
      <c r="O444" s="100" t="str">
        <f>IFERROR(VLOOKUP(Tablo5[[#This Row],[HAMMADDE KODU]],Tablo1[#All],3,0)," ")</f>
        <v xml:space="preserve"> </v>
      </c>
      <c r="P444" s="100" t="str">
        <f>IFERROR(VLOOKUP(Tablo5[[#This Row],[HAMMADDE KODU]],Tablo1[#All],4,0)," ")</f>
        <v xml:space="preserve"> </v>
      </c>
      <c r="Q444" s="100" t="str">
        <f>IFERROR(VLOOKUP(Tablo5[[#This Row],[ÜRÜN KODU]],YMKODLARI!$A$1:$K$363,5,0)," ")</f>
        <v xml:space="preserve"> </v>
      </c>
      <c r="R444" s="100" t="str">
        <f>IFERROR(VLOOKUP(Tablo5[[#This Row],[ÜRÜN KODU]],YMKODLARI!$A$1:$K$363,6,0)," ")</f>
        <v xml:space="preserve"> </v>
      </c>
      <c r="S444" s="100" t="str">
        <f>IFERROR(Tablo5[[#This Row],[YOLLUK HARİÇ BASKI GRAMI]]/Tablo5[[#This Row],[KALIP GÖZ ADEDİ]]," ")</f>
        <v xml:space="preserve"> </v>
      </c>
      <c r="T444" s="100" t="str">
        <f t="shared" si="44"/>
        <v xml:space="preserve"> </v>
      </c>
      <c r="U444" s="100"/>
      <c r="V444" s="100" t="str">
        <f t="shared" si="43"/>
        <v xml:space="preserve"> </v>
      </c>
      <c r="W444" s="101">
        <f t="shared" si="45"/>
        <v>24</v>
      </c>
      <c r="X444" s="102">
        <f t="shared" si="46"/>
        <v>0</v>
      </c>
      <c r="Y444" s="100" t="str">
        <f t="shared" si="47"/>
        <v xml:space="preserve"> </v>
      </c>
      <c r="Z444" s="100" t="str">
        <f t="shared" si="48"/>
        <v xml:space="preserve"> </v>
      </c>
    </row>
    <row r="445" spans="1:26">
      <c r="A445" s="100"/>
      <c r="B445" s="108" t="str">
        <f>IFERROR(VLOOKUP(Tablo5[[#This Row],[ÜRÜN KODU]],YMKODLARI!$A$1:$K$363,2,0)," ")</f>
        <v xml:space="preserve"> </v>
      </c>
      <c r="C445" s="99"/>
      <c r="D445" s="100"/>
      <c r="E445" s="101"/>
      <c r="F445" s="101"/>
      <c r="G445" s="100" t="str">
        <f>IFERROR(VLOOKUP(Tablo5[[#This Row],[ÜRÜN KODU]],YMKODLARI!$A$1:$K$363,3,0)," ")</f>
        <v xml:space="preserve"> </v>
      </c>
      <c r="H445" s="100" t="str">
        <f>IFERROR(VLOOKUP(Tablo5[[#This Row],[ÜRÜN KODU]],YMKODLARI!$A$1:$K$363,4,0)," ")</f>
        <v xml:space="preserve"> </v>
      </c>
      <c r="I445" s="100"/>
      <c r="J445" s="100" t="str">
        <f>IFERROR(VLOOKUP(Tablo5[[#This Row],[ÜRÜN KODU]],YMKODLARI!$A$1:$K$363,9,0)," ")</f>
        <v xml:space="preserve"> </v>
      </c>
      <c r="K445" s="100" t="str">
        <f>IFERROR(VLOOKUP(Tablo5[[#This Row],[BOYA KODU]],Tablo14[#All],4,0)," ")</f>
        <v xml:space="preserve"> </v>
      </c>
      <c r="L445" s="100" t="str">
        <f>IFERROR(VLOOKUP(Tablo5[[#This Row],[BOYA KODU]],Tablo14[#All],6,0)," ")</f>
        <v xml:space="preserve"> </v>
      </c>
      <c r="M445" s="100" t="str">
        <f t="shared" si="42"/>
        <v xml:space="preserve"> </v>
      </c>
      <c r="N445" s="100" t="str">
        <f>IFERROR(VLOOKUP(Tablo5[[#This Row],[ÜRÜN KODU]],YMKODLARI!$A$1:$K$363,8,0)," ")</f>
        <v xml:space="preserve"> </v>
      </c>
      <c r="O445" s="100" t="str">
        <f>IFERROR(VLOOKUP(Tablo5[[#This Row],[HAMMADDE KODU]],Tablo1[#All],3,0)," ")</f>
        <v xml:space="preserve"> </v>
      </c>
      <c r="P445" s="100" t="str">
        <f>IFERROR(VLOOKUP(Tablo5[[#This Row],[HAMMADDE KODU]],Tablo1[#All],4,0)," ")</f>
        <v xml:space="preserve"> </v>
      </c>
      <c r="Q445" s="100" t="str">
        <f>IFERROR(VLOOKUP(Tablo5[[#This Row],[ÜRÜN KODU]],YMKODLARI!$A$1:$K$363,5,0)," ")</f>
        <v xml:space="preserve"> </v>
      </c>
      <c r="R445" s="100" t="str">
        <f>IFERROR(VLOOKUP(Tablo5[[#This Row],[ÜRÜN KODU]],YMKODLARI!$A$1:$K$363,6,0)," ")</f>
        <v xml:space="preserve"> </v>
      </c>
      <c r="S445" s="100" t="str">
        <f>IFERROR(Tablo5[[#This Row],[YOLLUK HARİÇ BASKI GRAMI]]/Tablo5[[#This Row],[KALIP GÖZ ADEDİ]]," ")</f>
        <v xml:space="preserve"> </v>
      </c>
      <c r="T445" s="100" t="str">
        <f t="shared" si="44"/>
        <v xml:space="preserve"> </v>
      </c>
      <c r="U445" s="100"/>
      <c r="V445" s="100" t="str">
        <f t="shared" si="43"/>
        <v xml:space="preserve"> </v>
      </c>
      <c r="W445" s="101">
        <f t="shared" si="45"/>
        <v>24</v>
      </c>
      <c r="X445" s="102">
        <f t="shared" si="46"/>
        <v>0</v>
      </c>
      <c r="Y445" s="100" t="str">
        <f t="shared" si="47"/>
        <v xml:space="preserve"> </v>
      </c>
      <c r="Z445" s="100" t="str">
        <f t="shared" si="48"/>
        <v xml:space="preserve"> </v>
      </c>
    </row>
    <row r="446" spans="1:26">
      <c r="A446" s="100"/>
      <c r="B446" s="108" t="str">
        <f>IFERROR(VLOOKUP(Tablo5[[#This Row],[ÜRÜN KODU]],YMKODLARI!$A$1:$K$363,2,0)," ")</f>
        <v xml:space="preserve"> </v>
      </c>
      <c r="C446" s="99"/>
      <c r="D446" s="100"/>
      <c r="E446" s="101"/>
      <c r="F446" s="101"/>
      <c r="G446" s="100" t="str">
        <f>IFERROR(VLOOKUP(Tablo5[[#This Row],[ÜRÜN KODU]],YMKODLARI!$A$1:$K$363,3,0)," ")</f>
        <v xml:space="preserve"> </v>
      </c>
      <c r="H446" s="100" t="str">
        <f>IFERROR(VLOOKUP(Tablo5[[#This Row],[ÜRÜN KODU]],YMKODLARI!$A$1:$K$363,4,0)," ")</f>
        <v xml:space="preserve"> </v>
      </c>
      <c r="I446" s="100"/>
      <c r="J446" s="100" t="str">
        <f>IFERROR(VLOOKUP(Tablo5[[#This Row],[ÜRÜN KODU]],YMKODLARI!$A$1:$K$363,9,0)," ")</f>
        <v xml:space="preserve"> </v>
      </c>
      <c r="K446" s="100" t="str">
        <f>IFERROR(VLOOKUP(Tablo5[[#This Row],[BOYA KODU]],Tablo14[#All],4,0)," ")</f>
        <v xml:space="preserve"> </v>
      </c>
      <c r="L446" s="100" t="str">
        <f>IFERROR(VLOOKUP(Tablo5[[#This Row],[BOYA KODU]],Tablo14[#All],6,0)," ")</f>
        <v xml:space="preserve"> </v>
      </c>
      <c r="M446" s="100" t="str">
        <f t="shared" si="42"/>
        <v xml:space="preserve"> </v>
      </c>
      <c r="N446" s="100" t="str">
        <f>IFERROR(VLOOKUP(Tablo5[[#This Row],[ÜRÜN KODU]],YMKODLARI!$A$1:$K$363,8,0)," ")</f>
        <v xml:space="preserve"> </v>
      </c>
      <c r="O446" s="100" t="str">
        <f>IFERROR(VLOOKUP(Tablo5[[#This Row],[HAMMADDE KODU]],Tablo1[#All],3,0)," ")</f>
        <v xml:space="preserve"> </v>
      </c>
      <c r="P446" s="100" t="str">
        <f>IFERROR(VLOOKUP(Tablo5[[#This Row],[HAMMADDE KODU]],Tablo1[#All],4,0)," ")</f>
        <v xml:space="preserve"> </v>
      </c>
      <c r="Q446" s="100" t="str">
        <f>IFERROR(VLOOKUP(Tablo5[[#This Row],[ÜRÜN KODU]],YMKODLARI!$A$1:$K$363,5,0)," ")</f>
        <v xml:space="preserve"> </v>
      </c>
      <c r="R446" s="100" t="str">
        <f>IFERROR(VLOOKUP(Tablo5[[#This Row],[ÜRÜN KODU]],YMKODLARI!$A$1:$K$363,6,0)," ")</f>
        <v xml:space="preserve"> </v>
      </c>
      <c r="S446" s="100" t="str">
        <f>IFERROR(Tablo5[[#This Row],[YOLLUK HARİÇ BASKI GRAMI]]/Tablo5[[#This Row],[KALIP GÖZ ADEDİ]]," ")</f>
        <v xml:space="preserve"> </v>
      </c>
      <c r="T446" s="100" t="str">
        <f t="shared" si="44"/>
        <v xml:space="preserve"> </v>
      </c>
      <c r="U446" s="100"/>
      <c r="V446" s="100" t="str">
        <f t="shared" si="43"/>
        <v xml:space="preserve"> </v>
      </c>
      <c r="W446" s="101">
        <f t="shared" si="45"/>
        <v>24</v>
      </c>
      <c r="X446" s="102">
        <f t="shared" si="46"/>
        <v>0</v>
      </c>
      <c r="Y446" s="100" t="str">
        <f t="shared" si="47"/>
        <v xml:space="preserve"> </v>
      </c>
      <c r="Z446" s="100" t="str">
        <f t="shared" si="48"/>
        <v xml:space="preserve"> </v>
      </c>
    </row>
    <row r="447" spans="1:26">
      <c r="A447" s="100"/>
      <c r="B447" s="108" t="str">
        <f>IFERROR(VLOOKUP(Tablo5[[#This Row],[ÜRÜN KODU]],YMKODLARI!$A$1:$K$363,2,0)," ")</f>
        <v xml:space="preserve"> </v>
      </c>
      <c r="C447" s="99"/>
      <c r="D447" s="100"/>
      <c r="E447" s="101"/>
      <c r="F447" s="101"/>
      <c r="G447" s="100" t="str">
        <f>IFERROR(VLOOKUP(Tablo5[[#This Row],[ÜRÜN KODU]],YMKODLARI!$A$1:$K$363,3,0)," ")</f>
        <v xml:space="preserve"> </v>
      </c>
      <c r="H447" s="100" t="str">
        <f>IFERROR(VLOOKUP(Tablo5[[#This Row],[ÜRÜN KODU]],YMKODLARI!$A$1:$K$363,4,0)," ")</f>
        <v xml:space="preserve"> </v>
      </c>
      <c r="I447" s="100"/>
      <c r="J447" s="100" t="str">
        <f>IFERROR(VLOOKUP(Tablo5[[#This Row],[ÜRÜN KODU]],YMKODLARI!$A$1:$K$363,9,0)," ")</f>
        <v xml:space="preserve"> </v>
      </c>
      <c r="K447" s="100" t="str">
        <f>IFERROR(VLOOKUP(Tablo5[[#This Row],[BOYA KODU]],Tablo14[#All],4,0)," ")</f>
        <v xml:space="preserve"> </v>
      </c>
      <c r="L447" s="100" t="str">
        <f>IFERROR(VLOOKUP(Tablo5[[#This Row],[BOYA KODU]],Tablo14[#All],6,0)," ")</f>
        <v xml:space="preserve"> </v>
      </c>
      <c r="M447" s="100" t="str">
        <f t="shared" si="42"/>
        <v xml:space="preserve"> </v>
      </c>
      <c r="N447" s="100" t="str">
        <f>IFERROR(VLOOKUP(Tablo5[[#This Row],[ÜRÜN KODU]],YMKODLARI!$A$1:$K$363,8,0)," ")</f>
        <v xml:space="preserve"> </v>
      </c>
      <c r="O447" s="100" t="str">
        <f>IFERROR(VLOOKUP(Tablo5[[#This Row],[HAMMADDE KODU]],Tablo1[#All],3,0)," ")</f>
        <v xml:space="preserve"> </v>
      </c>
      <c r="P447" s="100" t="str">
        <f>IFERROR(VLOOKUP(Tablo5[[#This Row],[HAMMADDE KODU]],Tablo1[#All],4,0)," ")</f>
        <v xml:space="preserve"> </v>
      </c>
      <c r="Q447" s="100" t="str">
        <f>IFERROR(VLOOKUP(Tablo5[[#This Row],[ÜRÜN KODU]],YMKODLARI!$A$1:$K$363,5,0)," ")</f>
        <v xml:space="preserve"> </v>
      </c>
      <c r="R447" s="100" t="str">
        <f>IFERROR(VLOOKUP(Tablo5[[#This Row],[ÜRÜN KODU]],YMKODLARI!$A$1:$K$363,6,0)," ")</f>
        <v xml:space="preserve"> </v>
      </c>
      <c r="S447" s="100" t="str">
        <f>IFERROR(Tablo5[[#This Row],[YOLLUK HARİÇ BASKI GRAMI]]/Tablo5[[#This Row],[KALIP GÖZ ADEDİ]]," ")</f>
        <v xml:space="preserve"> </v>
      </c>
      <c r="T447" s="100" t="str">
        <f t="shared" si="44"/>
        <v xml:space="preserve"> </v>
      </c>
      <c r="U447" s="100"/>
      <c r="V447" s="100" t="str">
        <f t="shared" si="43"/>
        <v xml:space="preserve"> </v>
      </c>
      <c r="W447" s="101">
        <f t="shared" si="45"/>
        <v>24</v>
      </c>
      <c r="X447" s="102">
        <f t="shared" si="46"/>
        <v>0</v>
      </c>
      <c r="Y447" s="100" t="str">
        <f t="shared" si="47"/>
        <v xml:space="preserve"> </v>
      </c>
      <c r="Z447" s="100" t="str">
        <f t="shared" si="48"/>
        <v xml:space="preserve"> </v>
      </c>
    </row>
    <row r="448" spans="1:26">
      <c r="A448" s="100"/>
      <c r="B448" s="108" t="str">
        <f>IFERROR(VLOOKUP(Tablo5[[#This Row],[ÜRÜN KODU]],YMKODLARI!$A$1:$K$363,2,0)," ")</f>
        <v xml:space="preserve"> </v>
      </c>
      <c r="C448" s="99"/>
      <c r="D448" s="100"/>
      <c r="E448" s="101"/>
      <c r="F448" s="101"/>
      <c r="G448" s="100" t="str">
        <f>IFERROR(VLOOKUP(Tablo5[[#This Row],[ÜRÜN KODU]],YMKODLARI!$A$1:$K$363,3,0)," ")</f>
        <v xml:space="preserve"> </v>
      </c>
      <c r="H448" s="100" t="str">
        <f>IFERROR(VLOOKUP(Tablo5[[#This Row],[ÜRÜN KODU]],YMKODLARI!$A$1:$K$363,4,0)," ")</f>
        <v xml:space="preserve"> </v>
      </c>
      <c r="I448" s="100"/>
      <c r="J448" s="100" t="str">
        <f>IFERROR(VLOOKUP(Tablo5[[#This Row],[ÜRÜN KODU]],YMKODLARI!$A$1:$K$363,9,0)," ")</f>
        <v xml:space="preserve"> </v>
      </c>
      <c r="K448" s="100" t="str">
        <f>IFERROR(VLOOKUP(Tablo5[[#This Row],[BOYA KODU]],Tablo14[#All],4,0)," ")</f>
        <v xml:space="preserve"> </v>
      </c>
      <c r="L448" s="100" t="str">
        <f>IFERROR(VLOOKUP(Tablo5[[#This Row],[BOYA KODU]],Tablo14[#All],6,0)," ")</f>
        <v xml:space="preserve"> </v>
      </c>
      <c r="M448" s="100" t="str">
        <f t="shared" si="42"/>
        <v xml:space="preserve"> </v>
      </c>
      <c r="N448" s="100" t="str">
        <f>IFERROR(VLOOKUP(Tablo5[[#This Row],[ÜRÜN KODU]],YMKODLARI!$A$1:$K$363,8,0)," ")</f>
        <v xml:space="preserve"> </v>
      </c>
      <c r="O448" s="100" t="str">
        <f>IFERROR(VLOOKUP(Tablo5[[#This Row],[HAMMADDE KODU]],Tablo1[#All],3,0)," ")</f>
        <v xml:space="preserve"> </v>
      </c>
      <c r="P448" s="100" t="str">
        <f>IFERROR(VLOOKUP(Tablo5[[#This Row],[HAMMADDE KODU]],Tablo1[#All],4,0)," ")</f>
        <v xml:space="preserve"> </v>
      </c>
      <c r="Q448" s="100" t="str">
        <f>IFERROR(VLOOKUP(Tablo5[[#This Row],[ÜRÜN KODU]],YMKODLARI!$A$1:$K$363,5,0)," ")</f>
        <v xml:space="preserve"> </v>
      </c>
      <c r="R448" s="100" t="str">
        <f>IFERROR(VLOOKUP(Tablo5[[#This Row],[ÜRÜN KODU]],YMKODLARI!$A$1:$K$363,6,0)," ")</f>
        <v xml:space="preserve"> </v>
      </c>
      <c r="S448" s="100" t="str">
        <f>IFERROR(Tablo5[[#This Row],[YOLLUK HARİÇ BASKI GRAMI]]/Tablo5[[#This Row],[KALIP GÖZ ADEDİ]]," ")</f>
        <v xml:space="preserve"> </v>
      </c>
      <c r="T448" s="100" t="str">
        <f t="shared" si="44"/>
        <v xml:space="preserve"> </v>
      </c>
      <c r="U448" s="100"/>
      <c r="V448" s="100" t="str">
        <f t="shared" si="43"/>
        <v xml:space="preserve"> </v>
      </c>
      <c r="W448" s="101">
        <f t="shared" si="45"/>
        <v>24</v>
      </c>
      <c r="X448" s="102">
        <f t="shared" si="46"/>
        <v>0</v>
      </c>
      <c r="Y448" s="100" t="str">
        <f t="shared" si="47"/>
        <v xml:space="preserve"> </v>
      </c>
      <c r="Z448" s="100" t="str">
        <f t="shared" si="48"/>
        <v xml:space="preserve"> </v>
      </c>
    </row>
    <row r="449" spans="1:26">
      <c r="A449" s="100"/>
      <c r="B449" s="108" t="str">
        <f>IFERROR(VLOOKUP(Tablo5[[#This Row],[ÜRÜN KODU]],YMKODLARI!$A$1:$K$363,2,0)," ")</f>
        <v xml:space="preserve"> </v>
      </c>
      <c r="C449" s="99"/>
      <c r="D449" s="100"/>
      <c r="E449" s="101"/>
      <c r="F449" s="101"/>
      <c r="G449" s="100" t="str">
        <f>IFERROR(VLOOKUP(Tablo5[[#This Row],[ÜRÜN KODU]],YMKODLARI!$A$1:$K$363,3,0)," ")</f>
        <v xml:space="preserve"> </v>
      </c>
      <c r="H449" s="100" t="str">
        <f>IFERROR(VLOOKUP(Tablo5[[#This Row],[ÜRÜN KODU]],YMKODLARI!$A$1:$K$363,4,0)," ")</f>
        <v xml:space="preserve"> </v>
      </c>
      <c r="I449" s="100"/>
      <c r="J449" s="100" t="str">
        <f>IFERROR(VLOOKUP(Tablo5[[#This Row],[ÜRÜN KODU]],YMKODLARI!$A$1:$K$363,9,0)," ")</f>
        <v xml:space="preserve"> </v>
      </c>
      <c r="K449" s="100" t="str">
        <f>IFERROR(VLOOKUP(Tablo5[[#This Row],[BOYA KODU]],Tablo14[#All],4,0)," ")</f>
        <v xml:space="preserve"> </v>
      </c>
      <c r="L449" s="100" t="str">
        <f>IFERROR(VLOOKUP(Tablo5[[#This Row],[BOYA KODU]],Tablo14[#All],6,0)," ")</f>
        <v xml:space="preserve"> </v>
      </c>
      <c r="M449" s="100" t="str">
        <f t="shared" si="42"/>
        <v xml:space="preserve"> </v>
      </c>
      <c r="N449" s="100" t="str">
        <f>IFERROR(VLOOKUP(Tablo5[[#This Row],[ÜRÜN KODU]],YMKODLARI!$A$1:$K$363,8,0)," ")</f>
        <v xml:space="preserve"> </v>
      </c>
      <c r="O449" s="100" t="str">
        <f>IFERROR(VLOOKUP(Tablo5[[#This Row],[HAMMADDE KODU]],Tablo1[#All],3,0)," ")</f>
        <v xml:space="preserve"> </v>
      </c>
      <c r="P449" s="100" t="str">
        <f>IFERROR(VLOOKUP(Tablo5[[#This Row],[HAMMADDE KODU]],Tablo1[#All],4,0)," ")</f>
        <v xml:space="preserve"> </v>
      </c>
      <c r="Q449" s="100" t="str">
        <f>IFERROR(VLOOKUP(Tablo5[[#This Row],[ÜRÜN KODU]],YMKODLARI!$A$1:$K$363,5,0)," ")</f>
        <v xml:space="preserve"> </v>
      </c>
      <c r="R449" s="100" t="str">
        <f>IFERROR(VLOOKUP(Tablo5[[#This Row],[ÜRÜN KODU]],YMKODLARI!$A$1:$K$363,6,0)," ")</f>
        <v xml:space="preserve"> </v>
      </c>
      <c r="S449" s="100" t="str">
        <f>IFERROR(Tablo5[[#This Row],[YOLLUK HARİÇ BASKI GRAMI]]/Tablo5[[#This Row],[KALIP GÖZ ADEDİ]]," ")</f>
        <v xml:space="preserve"> </v>
      </c>
      <c r="T449" s="100" t="str">
        <f t="shared" si="44"/>
        <v xml:space="preserve"> </v>
      </c>
      <c r="U449" s="100"/>
      <c r="V449" s="100" t="str">
        <f t="shared" si="43"/>
        <v xml:space="preserve"> </v>
      </c>
      <c r="W449" s="101">
        <f t="shared" si="45"/>
        <v>24</v>
      </c>
      <c r="X449" s="102">
        <f t="shared" si="46"/>
        <v>0</v>
      </c>
      <c r="Y449" s="100" t="str">
        <f t="shared" si="47"/>
        <v xml:space="preserve"> </v>
      </c>
      <c r="Z449" s="100" t="str">
        <f t="shared" si="48"/>
        <v xml:space="preserve"> </v>
      </c>
    </row>
    <row r="450" spans="1:26">
      <c r="A450" s="100"/>
      <c r="B450" s="108" t="str">
        <f>IFERROR(VLOOKUP(Tablo5[[#This Row],[ÜRÜN KODU]],YMKODLARI!$A$1:$K$363,2,0)," ")</f>
        <v xml:space="preserve"> </v>
      </c>
      <c r="C450" s="99"/>
      <c r="D450" s="100"/>
      <c r="E450" s="101"/>
      <c r="F450" s="101"/>
      <c r="G450" s="100" t="str">
        <f>IFERROR(VLOOKUP(Tablo5[[#This Row],[ÜRÜN KODU]],YMKODLARI!$A$1:$K$363,3,0)," ")</f>
        <v xml:space="preserve"> </v>
      </c>
      <c r="H450" s="100" t="str">
        <f>IFERROR(VLOOKUP(Tablo5[[#This Row],[ÜRÜN KODU]],YMKODLARI!$A$1:$K$363,4,0)," ")</f>
        <v xml:space="preserve"> </v>
      </c>
      <c r="I450" s="100"/>
      <c r="J450" s="100" t="str">
        <f>IFERROR(VLOOKUP(Tablo5[[#This Row],[ÜRÜN KODU]],YMKODLARI!$A$1:$K$363,9,0)," ")</f>
        <v xml:space="preserve"> </v>
      </c>
      <c r="K450" s="100" t="str">
        <f>IFERROR(VLOOKUP(Tablo5[[#This Row],[BOYA KODU]],Tablo14[#All],4,0)," ")</f>
        <v xml:space="preserve"> </v>
      </c>
      <c r="L450" s="100" t="str">
        <f>IFERROR(VLOOKUP(Tablo5[[#This Row],[BOYA KODU]],Tablo14[#All],6,0)," ")</f>
        <v xml:space="preserve"> </v>
      </c>
      <c r="M450" s="100" t="str">
        <f t="shared" si="42"/>
        <v xml:space="preserve"> </v>
      </c>
      <c r="N450" s="100" t="str">
        <f>IFERROR(VLOOKUP(Tablo5[[#This Row],[ÜRÜN KODU]],YMKODLARI!$A$1:$K$363,8,0)," ")</f>
        <v xml:space="preserve"> </v>
      </c>
      <c r="O450" s="100" t="str">
        <f>IFERROR(VLOOKUP(Tablo5[[#This Row],[HAMMADDE KODU]],Tablo1[#All],3,0)," ")</f>
        <v xml:space="preserve"> </v>
      </c>
      <c r="P450" s="100" t="str">
        <f>IFERROR(VLOOKUP(Tablo5[[#This Row],[HAMMADDE KODU]],Tablo1[#All],4,0)," ")</f>
        <v xml:space="preserve"> </v>
      </c>
      <c r="Q450" s="100" t="str">
        <f>IFERROR(VLOOKUP(Tablo5[[#This Row],[ÜRÜN KODU]],YMKODLARI!$A$1:$K$363,5,0)," ")</f>
        <v xml:space="preserve"> </v>
      </c>
      <c r="R450" s="100" t="str">
        <f>IFERROR(VLOOKUP(Tablo5[[#This Row],[ÜRÜN KODU]],YMKODLARI!$A$1:$K$363,6,0)," ")</f>
        <v xml:space="preserve"> </v>
      </c>
      <c r="S450" s="100" t="str">
        <f>IFERROR(Tablo5[[#This Row],[YOLLUK HARİÇ BASKI GRAMI]]/Tablo5[[#This Row],[KALIP GÖZ ADEDİ]]," ")</f>
        <v xml:space="preserve"> </v>
      </c>
      <c r="T450" s="100" t="str">
        <f t="shared" si="44"/>
        <v xml:space="preserve"> </v>
      </c>
      <c r="U450" s="100"/>
      <c r="V450" s="100" t="str">
        <f t="shared" si="43"/>
        <v xml:space="preserve"> </v>
      </c>
      <c r="W450" s="101">
        <f t="shared" si="45"/>
        <v>24</v>
      </c>
      <c r="X450" s="102">
        <f t="shared" si="46"/>
        <v>0</v>
      </c>
      <c r="Y450" s="100" t="str">
        <f t="shared" si="47"/>
        <v xml:space="preserve"> </v>
      </c>
      <c r="Z450" s="100" t="str">
        <f t="shared" si="48"/>
        <v xml:space="preserve"> </v>
      </c>
    </row>
    <row r="451" spans="1:26">
      <c r="A451" s="100"/>
      <c r="B451" s="108" t="str">
        <f>IFERROR(VLOOKUP(Tablo5[[#This Row],[ÜRÜN KODU]],YMKODLARI!$A$1:$K$363,2,0)," ")</f>
        <v xml:space="preserve"> </v>
      </c>
      <c r="C451" s="99"/>
      <c r="D451" s="100"/>
      <c r="E451" s="101"/>
      <c r="F451" s="101"/>
      <c r="G451" s="100" t="str">
        <f>IFERROR(VLOOKUP(Tablo5[[#This Row],[ÜRÜN KODU]],YMKODLARI!$A$1:$K$363,3,0)," ")</f>
        <v xml:space="preserve"> </v>
      </c>
      <c r="H451" s="100" t="str">
        <f>IFERROR(VLOOKUP(Tablo5[[#This Row],[ÜRÜN KODU]],YMKODLARI!$A$1:$K$363,4,0)," ")</f>
        <v xml:space="preserve"> </v>
      </c>
      <c r="I451" s="100"/>
      <c r="J451" s="100" t="str">
        <f>IFERROR(VLOOKUP(Tablo5[[#This Row],[ÜRÜN KODU]],YMKODLARI!$A$1:$K$363,9,0)," ")</f>
        <v xml:space="preserve"> </v>
      </c>
      <c r="K451" s="100" t="str">
        <f>IFERROR(VLOOKUP(Tablo5[[#This Row],[BOYA KODU]],Tablo14[#All],4,0)," ")</f>
        <v xml:space="preserve"> </v>
      </c>
      <c r="L451" s="100" t="str">
        <f>IFERROR(VLOOKUP(Tablo5[[#This Row],[BOYA KODU]],Tablo14[#All],6,0)," ")</f>
        <v xml:space="preserve"> </v>
      </c>
      <c r="M451" s="100" t="str">
        <f t="shared" ref="M451:M514" si="49">IFERROR((I451*Q451)*L451," ")</f>
        <v xml:space="preserve"> </v>
      </c>
      <c r="N451" s="100" t="str">
        <f>IFERROR(VLOOKUP(Tablo5[[#This Row],[ÜRÜN KODU]],YMKODLARI!$A$1:$K$363,8,0)," ")</f>
        <v xml:space="preserve"> </v>
      </c>
      <c r="O451" s="100" t="str">
        <f>IFERROR(VLOOKUP(Tablo5[[#This Row],[HAMMADDE KODU]],Tablo1[#All],3,0)," ")</f>
        <v xml:space="preserve"> </v>
      </c>
      <c r="P451" s="100" t="str">
        <f>IFERROR(VLOOKUP(Tablo5[[#This Row],[HAMMADDE KODU]],Tablo1[#All],4,0)," ")</f>
        <v xml:space="preserve"> </v>
      </c>
      <c r="Q451" s="100" t="str">
        <f>IFERROR(VLOOKUP(Tablo5[[#This Row],[ÜRÜN KODU]],YMKODLARI!$A$1:$K$363,5,0)," ")</f>
        <v xml:space="preserve"> </v>
      </c>
      <c r="R451" s="100" t="str">
        <f>IFERROR(VLOOKUP(Tablo5[[#This Row],[ÜRÜN KODU]],YMKODLARI!$A$1:$K$363,6,0)," ")</f>
        <v xml:space="preserve"> </v>
      </c>
      <c r="S451" s="100" t="str">
        <f>IFERROR(Tablo5[[#This Row],[YOLLUK HARİÇ BASKI GRAMI]]/Tablo5[[#This Row],[KALIP GÖZ ADEDİ]]," ")</f>
        <v xml:space="preserve"> </v>
      </c>
      <c r="T451" s="100" t="str">
        <f t="shared" si="44"/>
        <v xml:space="preserve"> </v>
      </c>
      <c r="U451" s="100"/>
      <c r="V451" s="100" t="str">
        <f t="shared" ref="V451:V514" si="50">IFERROR(U451+(R451*I451) /1000," ")</f>
        <v xml:space="preserve"> </v>
      </c>
      <c r="W451" s="101">
        <f t="shared" si="45"/>
        <v>24</v>
      </c>
      <c r="X451" s="102">
        <f t="shared" si="46"/>
        <v>0</v>
      </c>
      <c r="Y451" s="100" t="str">
        <f t="shared" si="47"/>
        <v xml:space="preserve"> </v>
      </c>
      <c r="Z451" s="100" t="str">
        <f t="shared" si="48"/>
        <v xml:space="preserve"> </v>
      </c>
    </row>
    <row r="452" spans="1:26">
      <c r="A452" s="100"/>
      <c r="B452" s="108" t="str">
        <f>IFERROR(VLOOKUP(Tablo5[[#This Row],[ÜRÜN KODU]],YMKODLARI!$A$1:$K$363,2,0)," ")</f>
        <v xml:space="preserve"> </v>
      </c>
      <c r="C452" s="99"/>
      <c r="D452" s="100"/>
      <c r="E452" s="101"/>
      <c r="F452" s="101"/>
      <c r="G452" s="100" t="str">
        <f>IFERROR(VLOOKUP(Tablo5[[#This Row],[ÜRÜN KODU]],YMKODLARI!$A$1:$K$363,3,0)," ")</f>
        <v xml:space="preserve"> </v>
      </c>
      <c r="H452" s="100" t="str">
        <f>IFERROR(VLOOKUP(Tablo5[[#This Row],[ÜRÜN KODU]],YMKODLARI!$A$1:$K$363,4,0)," ")</f>
        <v xml:space="preserve"> </v>
      </c>
      <c r="I452" s="100"/>
      <c r="J452" s="100" t="str">
        <f>IFERROR(VLOOKUP(Tablo5[[#This Row],[ÜRÜN KODU]],YMKODLARI!$A$1:$K$363,9,0)," ")</f>
        <v xml:space="preserve"> </v>
      </c>
      <c r="K452" s="100" t="str">
        <f>IFERROR(VLOOKUP(Tablo5[[#This Row],[BOYA KODU]],Tablo14[#All],4,0)," ")</f>
        <v xml:space="preserve"> </v>
      </c>
      <c r="L452" s="100" t="str">
        <f>IFERROR(VLOOKUP(Tablo5[[#This Row],[BOYA KODU]],Tablo14[#All],6,0)," ")</f>
        <v xml:space="preserve"> </v>
      </c>
      <c r="M452" s="100" t="str">
        <f t="shared" si="49"/>
        <v xml:space="preserve"> </v>
      </c>
      <c r="N452" s="100" t="str">
        <f>IFERROR(VLOOKUP(Tablo5[[#This Row],[ÜRÜN KODU]],YMKODLARI!$A$1:$K$363,8,0)," ")</f>
        <v xml:space="preserve"> </v>
      </c>
      <c r="O452" s="100" t="str">
        <f>IFERROR(VLOOKUP(Tablo5[[#This Row],[HAMMADDE KODU]],Tablo1[#All],3,0)," ")</f>
        <v xml:space="preserve"> </v>
      </c>
      <c r="P452" s="100" t="str">
        <f>IFERROR(VLOOKUP(Tablo5[[#This Row],[HAMMADDE KODU]],Tablo1[#All],4,0)," ")</f>
        <v xml:space="preserve"> </v>
      </c>
      <c r="Q452" s="100" t="str">
        <f>IFERROR(VLOOKUP(Tablo5[[#This Row],[ÜRÜN KODU]],YMKODLARI!$A$1:$K$363,5,0)," ")</f>
        <v xml:space="preserve"> </v>
      </c>
      <c r="R452" s="100" t="str">
        <f>IFERROR(VLOOKUP(Tablo5[[#This Row],[ÜRÜN KODU]],YMKODLARI!$A$1:$K$363,6,0)," ")</f>
        <v xml:space="preserve"> </v>
      </c>
      <c r="S452" s="100" t="str">
        <f>IFERROR(Tablo5[[#This Row],[YOLLUK HARİÇ BASKI GRAMI]]/Tablo5[[#This Row],[KALIP GÖZ ADEDİ]]," ")</f>
        <v xml:space="preserve"> </v>
      </c>
      <c r="T452" s="100" t="str">
        <f t="shared" ref="T452:T515" si="51">IFERROR(Q452-R452," ")</f>
        <v xml:space="preserve"> </v>
      </c>
      <c r="U452" s="100"/>
      <c r="V452" s="100" t="str">
        <f t="shared" si="50"/>
        <v xml:space="preserve"> </v>
      </c>
      <c r="W452" s="101">
        <f t="shared" ref="W452:W515" si="52">IFERROR(24-(E452-F452)," ")</f>
        <v>24</v>
      </c>
      <c r="X452" s="102">
        <f t="shared" ref="X452:X515" si="53">IFERROR((W452-INT(W452))*24," ")</f>
        <v>0</v>
      </c>
      <c r="Y452" s="100" t="str">
        <f t="shared" ref="Y452:Y515" si="54">IFERROR(H452*I452/3600," ")</f>
        <v xml:space="preserve"> </v>
      </c>
      <c r="Z452" s="100" t="str">
        <f t="shared" ref="Z452:Z515" si="55">IFERROR(I452*G452," " )</f>
        <v xml:space="preserve"> </v>
      </c>
    </row>
    <row r="453" spans="1:26">
      <c r="A453" s="100"/>
      <c r="B453" s="108" t="str">
        <f>IFERROR(VLOOKUP(Tablo5[[#This Row],[ÜRÜN KODU]],YMKODLARI!$A$1:$K$363,2,0)," ")</f>
        <v xml:space="preserve"> </v>
      </c>
      <c r="C453" s="99"/>
      <c r="D453" s="100"/>
      <c r="E453" s="101"/>
      <c r="F453" s="101"/>
      <c r="G453" s="100" t="str">
        <f>IFERROR(VLOOKUP(Tablo5[[#This Row],[ÜRÜN KODU]],YMKODLARI!$A$1:$K$363,3,0)," ")</f>
        <v xml:space="preserve"> </v>
      </c>
      <c r="H453" s="100" t="str">
        <f>IFERROR(VLOOKUP(Tablo5[[#This Row],[ÜRÜN KODU]],YMKODLARI!$A$1:$K$363,4,0)," ")</f>
        <v xml:space="preserve"> </v>
      </c>
      <c r="I453" s="100"/>
      <c r="J453" s="100" t="str">
        <f>IFERROR(VLOOKUP(Tablo5[[#This Row],[ÜRÜN KODU]],YMKODLARI!$A$1:$K$363,9,0)," ")</f>
        <v xml:space="preserve"> </v>
      </c>
      <c r="K453" s="100" t="str">
        <f>IFERROR(VLOOKUP(Tablo5[[#This Row],[BOYA KODU]],Tablo14[#All],4,0)," ")</f>
        <v xml:space="preserve"> </v>
      </c>
      <c r="L453" s="100" t="str">
        <f>IFERROR(VLOOKUP(Tablo5[[#This Row],[BOYA KODU]],Tablo14[#All],6,0)," ")</f>
        <v xml:space="preserve"> </v>
      </c>
      <c r="M453" s="100" t="str">
        <f t="shared" si="49"/>
        <v xml:space="preserve"> </v>
      </c>
      <c r="N453" s="100" t="str">
        <f>IFERROR(VLOOKUP(Tablo5[[#This Row],[ÜRÜN KODU]],YMKODLARI!$A$1:$K$363,8,0)," ")</f>
        <v xml:space="preserve"> </v>
      </c>
      <c r="O453" s="100" t="str">
        <f>IFERROR(VLOOKUP(Tablo5[[#This Row],[HAMMADDE KODU]],Tablo1[#All],3,0)," ")</f>
        <v xml:space="preserve"> </v>
      </c>
      <c r="P453" s="100" t="str">
        <f>IFERROR(VLOOKUP(Tablo5[[#This Row],[HAMMADDE KODU]],Tablo1[#All],4,0)," ")</f>
        <v xml:space="preserve"> </v>
      </c>
      <c r="Q453" s="100" t="str">
        <f>IFERROR(VLOOKUP(Tablo5[[#This Row],[ÜRÜN KODU]],YMKODLARI!$A$1:$K$363,5,0)," ")</f>
        <v xml:space="preserve"> </v>
      </c>
      <c r="R453" s="100" t="str">
        <f>IFERROR(VLOOKUP(Tablo5[[#This Row],[ÜRÜN KODU]],YMKODLARI!$A$1:$K$363,6,0)," ")</f>
        <v xml:space="preserve"> </v>
      </c>
      <c r="S453" s="100" t="str">
        <f>IFERROR(Tablo5[[#This Row],[YOLLUK HARİÇ BASKI GRAMI]]/Tablo5[[#This Row],[KALIP GÖZ ADEDİ]]," ")</f>
        <v xml:space="preserve"> </v>
      </c>
      <c r="T453" s="100" t="str">
        <f t="shared" si="51"/>
        <v xml:space="preserve"> </v>
      </c>
      <c r="U453" s="100"/>
      <c r="V453" s="100" t="str">
        <f t="shared" si="50"/>
        <v xml:space="preserve"> </v>
      </c>
      <c r="W453" s="101">
        <f t="shared" si="52"/>
        <v>24</v>
      </c>
      <c r="X453" s="102">
        <f t="shared" si="53"/>
        <v>0</v>
      </c>
      <c r="Y453" s="100" t="str">
        <f t="shared" si="54"/>
        <v xml:space="preserve"> </v>
      </c>
      <c r="Z453" s="100" t="str">
        <f t="shared" si="55"/>
        <v xml:space="preserve"> </v>
      </c>
    </row>
    <row r="454" spans="1:26">
      <c r="A454" s="100"/>
      <c r="B454" s="108" t="str">
        <f>IFERROR(VLOOKUP(Tablo5[[#This Row],[ÜRÜN KODU]],YMKODLARI!$A$1:$K$363,2,0)," ")</f>
        <v xml:space="preserve"> </v>
      </c>
      <c r="C454" s="99"/>
      <c r="D454" s="100"/>
      <c r="E454" s="101"/>
      <c r="F454" s="101"/>
      <c r="G454" s="100" t="str">
        <f>IFERROR(VLOOKUP(Tablo5[[#This Row],[ÜRÜN KODU]],YMKODLARI!$A$1:$K$363,3,0)," ")</f>
        <v xml:space="preserve"> </v>
      </c>
      <c r="H454" s="100" t="str">
        <f>IFERROR(VLOOKUP(Tablo5[[#This Row],[ÜRÜN KODU]],YMKODLARI!$A$1:$K$363,4,0)," ")</f>
        <v xml:space="preserve"> </v>
      </c>
      <c r="I454" s="100"/>
      <c r="J454" s="100" t="str">
        <f>IFERROR(VLOOKUP(Tablo5[[#This Row],[ÜRÜN KODU]],YMKODLARI!$A$1:$K$363,9,0)," ")</f>
        <v xml:space="preserve"> </v>
      </c>
      <c r="K454" s="100" t="str">
        <f>IFERROR(VLOOKUP(Tablo5[[#This Row],[BOYA KODU]],Tablo14[#All],4,0)," ")</f>
        <v xml:space="preserve"> </v>
      </c>
      <c r="L454" s="100" t="str">
        <f>IFERROR(VLOOKUP(Tablo5[[#This Row],[BOYA KODU]],Tablo14[#All],6,0)," ")</f>
        <v xml:space="preserve"> </v>
      </c>
      <c r="M454" s="100" t="str">
        <f t="shared" si="49"/>
        <v xml:space="preserve"> </v>
      </c>
      <c r="N454" s="100" t="str">
        <f>IFERROR(VLOOKUP(Tablo5[[#This Row],[ÜRÜN KODU]],YMKODLARI!$A$1:$K$363,8,0)," ")</f>
        <v xml:space="preserve"> </v>
      </c>
      <c r="O454" s="100" t="str">
        <f>IFERROR(VLOOKUP(Tablo5[[#This Row],[HAMMADDE KODU]],Tablo1[#All],3,0)," ")</f>
        <v xml:space="preserve"> </v>
      </c>
      <c r="P454" s="100" t="str">
        <f>IFERROR(VLOOKUP(Tablo5[[#This Row],[HAMMADDE KODU]],Tablo1[#All],4,0)," ")</f>
        <v xml:space="preserve"> </v>
      </c>
      <c r="Q454" s="100" t="str">
        <f>IFERROR(VLOOKUP(Tablo5[[#This Row],[ÜRÜN KODU]],YMKODLARI!$A$1:$K$363,5,0)," ")</f>
        <v xml:space="preserve"> </v>
      </c>
      <c r="R454" s="100" t="str">
        <f>IFERROR(VLOOKUP(Tablo5[[#This Row],[ÜRÜN KODU]],YMKODLARI!$A$1:$K$363,6,0)," ")</f>
        <v xml:space="preserve"> </v>
      </c>
      <c r="S454" s="100" t="str">
        <f>IFERROR(Tablo5[[#This Row],[YOLLUK HARİÇ BASKI GRAMI]]/Tablo5[[#This Row],[KALIP GÖZ ADEDİ]]," ")</f>
        <v xml:space="preserve"> </v>
      </c>
      <c r="T454" s="100" t="str">
        <f t="shared" si="51"/>
        <v xml:space="preserve"> </v>
      </c>
      <c r="U454" s="100"/>
      <c r="V454" s="100" t="str">
        <f t="shared" si="50"/>
        <v xml:space="preserve"> </v>
      </c>
      <c r="W454" s="101">
        <f t="shared" si="52"/>
        <v>24</v>
      </c>
      <c r="X454" s="102">
        <f t="shared" si="53"/>
        <v>0</v>
      </c>
      <c r="Y454" s="100" t="str">
        <f t="shared" si="54"/>
        <v xml:space="preserve"> </v>
      </c>
      <c r="Z454" s="100" t="str">
        <f t="shared" si="55"/>
        <v xml:space="preserve"> </v>
      </c>
    </row>
    <row r="455" spans="1:26">
      <c r="A455" s="100"/>
      <c r="B455" s="108" t="str">
        <f>IFERROR(VLOOKUP(Tablo5[[#This Row],[ÜRÜN KODU]],YMKODLARI!$A$1:$K$363,2,0)," ")</f>
        <v xml:space="preserve"> </v>
      </c>
      <c r="C455" s="99"/>
      <c r="D455" s="100"/>
      <c r="E455" s="101"/>
      <c r="F455" s="101"/>
      <c r="G455" s="100" t="str">
        <f>IFERROR(VLOOKUP(Tablo5[[#This Row],[ÜRÜN KODU]],YMKODLARI!$A$1:$K$363,3,0)," ")</f>
        <v xml:space="preserve"> </v>
      </c>
      <c r="H455" s="100" t="str">
        <f>IFERROR(VLOOKUP(Tablo5[[#This Row],[ÜRÜN KODU]],YMKODLARI!$A$1:$K$363,4,0)," ")</f>
        <v xml:space="preserve"> </v>
      </c>
      <c r="I455" s="100"/>
      <c r="J455" s="100" t="str">
        <f>IFERROR(VLOOKUP(Tablo5[[#This Row],[ÜRÜN KODU]],YMKODLARI!$A$1:$K$363,9,0)," ")</f>
        <v xml:space="preserve"> </v>
      </c>
      <c r="K455" s="100" t="str">
        <f>IFERROR(VLOOKUP(Tablo5[[#This Row],[BOYA KODU]],Tablo14[#All],4,0)," ")</f>
        <v xml:space="preserve"> </v>
      </c>
      <c r="L455" s="100" t="str">
        <f>IFERROR(VLOOKUP(Tablo5[[#This Row],[BOYA KODU]],Tablo14[#All],6,0)," ")</f>
        <v xml:space="preserve"> </v>
      </c>
      <c r="M455" s="100" t="str">
        <f t="shared" si="49"/>
        <v xml:space="preserve"> </v>
      </c>
      <c r="N455" s="100" t="str">
        <f>IFERROR(VLOOKUP(Tablo5[[#This Row],[ÜRÜN KODU]],YMKODLARI!$A$1:$K$363,8,0)," ")</f>
        <v xml:space="preserve"> </v>
      </c>
      <c r="O455" s="100" t="str">
        <f>IFERROR(VLOOKUP(Tablo5[[#This Row],[HAMMADDE KODU]],Tablo1[#All],3,0)," ")</f>
        <v xml:space="preserve"> </v>
      </c>
      <c r="P455" s="100" t="str">
        <f>IFERROR(VLOOKUP(Tablo5[[#This Row],[HAMMADDE KODU]],Tablo1[#All],4,0)," ")</f>
        <v xml:space="preserve"> </v>
      </c>
      <c r="Q455" s="100" t="str">
        <f>IFERROR(VLOOKUP(Tablo5[[#This Row],[ÜRÜN KODU]],YMKODLARI!$A$1:$K$363,5,0)," ")</f>
        <v xml:space="preserve"> </v>
      </c>
      <c r="R455" s="100" t="str">
        <f>IFERROR(VLOOKUP(Tablo5[[#This Row],[ÜRÜN KODU]],YMKODLARI!$A$1:$K$363,6,0)," ")</f>
        <v xml:space="preserve"> </v>
      </c>
      <c r="S455" s="100" t="str">
        <f>IFERROR(Tablo5[[#This Row],[YOLLUK HARİÇ BASKI GRAMI]]/Tablo5[[#This Row],[KALIP GÖZ ADEDİ]]," ")</f>
        <v xml:space="preserve"> </v>
      </c>
      <c r="T455" s="100" t="str">
        <f t="shared" si="51"/>
        <v xml:space="preserve"> </v>
      </c>
      <c r="U455" s="100"/>
      <c r="V455" s="100" t="str">
        <f t="shared" si="50"/>
        <v xml:space="preserve"> </v>
      </c>
      <c r="W455" s="101">
        <f t="shared" si="52"/>
        <v>24</v>
      </c>
      <c r="X455" s="102">
        <f t="shared" si="53"/>
        <v>0</v>
      </c>
      <c r="Y455" s="100" t="str">
        <f t="shared" si="54"/>
        <v xml:space="preserve"> </v>
      </c>
      <c r="Z455" s="100" t="str">
        <f t="shared" si="55"/>
        <v xml:space="preserve"> </v>
      </c>
    </row>
    <row r="456" spans="1:26">
      <c r="A456" s="100"/>
      <c r="B456" s="108" t="str">
        <f>IFERROR(VLOOKUP(Tablo5[[#This Row],[ÜRÜN KODU]],YMKODLARI!$A$1:$K$363,2,0)," ")</f>
        <v xml:space="preserve"> </v>
      </c>
      <c r="C456" s="99"/>
      <c r="D456" s="100"/>
      <c r="E456" s="101"/>
      <c r="F456" s="101"/>
      <c r="G456" s="100" t="str">
        <f>IFERROR(VLOOKUP(Tablo5[[#This Row],[ÜRÜN KODU]],YMKODLARI!$A$1:$K$363,3,0)," ")</f>
        <v xml:space="preserve"> </v>
      </c>
      <c r="H456" s="100" t="str">
        <f>IFERROR(VLOOKUP(Tablo5[[#This Row],[ÜRÜN KODU]],YMKODLARI!$A$1:$K$363,4,0)," ")</f>
        <v xml:space="preserve"> </v>
      </c>
      <c r="I456" s="100"/>
      <c r="J456" s="100" t="str">
        <f>IFERROR(VLOOKUP(Tablo5[[#This Row],[ÜRÜN KODU]],YMKODLARI!$A$1:$K$363,9,0)," ")</f>
        <v xml:space="preserve"> </v>
      </c>
      <c r="K456" s="100" t="str">
        <f>IFERROR(VLOOKUP(Tablo5[[#This Row],[BOYA KODU]],Tablo14[#All],4,0)," ")</f>
        <v xml:space="preserve"> </v>
      </c>
      <c r="L456" s="100" t="str">
        <f>IFERROR(VLOOKUP(Tablo5[[#This Row],[BOYA KODU]],Tablo14[#All],6,0)," ")</f>
        <v xml:space="preserve"> </v>
      </c>
      <c r="M456" s="100" t="str">
        <f t="shared" si="49"/>
        <v xml:space="preserve"> </v>
      </c>
      <c r="N456" s="100" t="str">
        <f>IFERROR(VLOOKUP(Tablo5[[#This Row],[ÜRÜN KODU]],YMKODLARI!$A$1:$K$363,8,0)," ")</f>
        <v xml:space="preserve"> </v>
      </c>
      <c r="O456" s="100" t="str">
        <f>IFERROR(VLOOKUP(Tablo5[[#This Row],[HAMMADDE KODU]],Tablo1[#All],3,0)," ")</f>
        <v xml:space="preserve"> </v>
      </c>
      <c r="P456" s="100" t="str">
        <f>IFERROR(VLOOKUP(Tablo5[[#This Row],[HAMMADDE KODU]],Tablo1[#All],4,0)," ")</f>
        <v xml:space="preserve"> </v>
      </c>
      <c r="Q456" s="100" t="str">
        <f>IFERROR(VLOOKUP(Tablo5[[#This Row],[ÜRÜN KODU]],YMKODLARI!$A$1:$K$363,5,0)," ")</f>
        <v xml:space="preserve"> </v>
      </c>
      <c r="R456" s="100" t="str">
        <f>IFERROR(VLOOKUP(Tablo5[[#This Row],[ÜRÜN KODU]],YMKODLARI!$A$1:$K$363,6,0)," ")</f>
        <v xml:space="preserve"> </v>
      </c>
      <c r="S456" s="100" t="str">
        <f>IFERROR(Tablo5[[#This Row],[YOLLUK HARİÇ BASKI GRAMI]]/Tablo5[[#This Row],[KALIP GÖZ ADEDİ]]," ")</f>
        <v xml:space="preserve"> </v>
      </c>
      <c r="T456" s="100" t="str">
        <f t="shared" si="51"/>
        <v xml:space="preserve"> </v>
      </c>
      <c r="U456" s="100"/>
      <c r="V456" s="100" t="str">
        <f t="shared" si="50"/>
        <v xml:space="preserve"> </v>
      </c>
      <c r="W456" s="101">
        <f t="shared" si="52"/>
        <v>24</v>
      </c>
      <c r="X456" s="102">
        <f t="shared" si="53"/>
        <v>0</v>
      </c>
      <c r="Y456" s="100" t="str">
        <f t="shared" si="54"/>
        <v xml:space="preserve"> </v>
      </c>
      <c r="Z456" s="100" t="str">
        <f t="shared" si="55"/>
        <v xml:space="preserve"> </v>
      </c>
    </row>
    <row r="457" spans="1:26">
      <c r="A457" s="100"/>
      <c r="B457" s="108" t="str">
        <f>IFERROR(VLOOKUP(Tablo5[[#This Row],[ÜRÜN KODU]],YMKODLARI!$A$1:$K$363,2,0)," ")</f>
        <v xml:space="preserve"> </v>
      </c>
      <c r="C457" s="99"/>
      <c r="D457" s="100"/>
      <c r="E457" s="101"/>
      <c r="F457" s="101"/>
      <c r="G457" s="100" t="str">
        <f>IFERROR(VLOOKUP(Tablo5[[#This Row],[ÜRÜN KODU]],YMKODLARI!$A$1:$K$363,3,0)," ")</f>
        <v xml:space="preserve"> </v>
      </c>
      <c r="H457" s="100" t="str">
        <f>IFERROR(VLOOKUP(Tablo5[[#This Row],[ÜRÜN KODU]],YMKODLARI!$A$1:$K$363,4,0)," ")</f>
        <v xml:space="preserve"> </v>
      </c>
      <c r="I457" s="100"/>
      <c r="J457" s="100" t="str">
        <f>IFERROR(VLOOKUP(Tablo5[[#This Row],[ÜRÜN KODU]],YMKODLARI!$A$1:$K$363,9,0)," ")</f>
        <v xml:space="preserve"> </v>
      </c>
      <c r="K457" s="100" t="str">
        <f>IFERROR(VLOOKUP(Tablo5[[#This Row],[BOYA KODU]],Tablo14[#All],4,0)," ")</f>
        <v xml:space="preserve"> </v>
      </c>
      <c r="L457" s="100" t="str">
        <f>IFERROR(VLOOKUP(Tablo5[[#This Row],[BOYA KODU]],Tablo14[#All],6,0)," ")</f>
        <v xml:space="preserve"> </v>
      </c>
      <c r="M457" s="100" t="str">
        <f t="shared" si="49"/>
        <v xml:space="preserve"> </v>
      </c>
      <c r="N457" s="100" t="str">
        <f>IFERROR(VLOOKUP(Tablo5[[#This Row],[ÜRÜN KODU]],YMKODLARI!$A$1:$K$363,8,0)," ")</f>
        <v xml:space="preserve"> </v>
      </c>
      <c r="O457" s="100" t="str">
        <f>IFERROR(VLOOKUP(Tablo5[[#This Row],[HAMMADDE KODU]],Tablo1[#All],3,0)," ")</f>
        <v xml:space="preserve"> </v>
      </c>
      <c r="P457" s="100" t="str">
        <f>IFERROR(VLOOKUP(Tablo5[[#This Row],[HAMMADDE KODU]],Tablo1[#All],4,0)," ")</f>
        <v xml:space="preserve"> </v>
      </c>
      <c r="Q457" s="100" t="str">
        <f>IFERROR(VLOOKUP(Tablo5[[#This Row],[ÜRÜN KODU]],YMKODLARI!$A$1:$K$363,5,0)," ")</f>
        <v xml:space="preserve"> </v>
      </c>
      <c r="R457" s="100" t="str">
        <f>IFERROR(VLOOKUP(Tablo5[[#This Row],[ÜRÜN KODU]],YMKODLARI!$A$1:$K$363,6,0)," ")</f>
        <v xml:space="preserve"> </v>
      </c>
      <c r="S457" s="100" t="str">
        <f>IFERROR(Tablo5[[#This Row],[YOLLUK HARİÇ BASKI GRAMI]]/Tablo5[[#This Row],[KALIP GÖZ ADEDİ]]," ")</f>
        <v xml:space="preserve"> </v>
      </c>
      <c r="T457" s="100" t="str">
        <f t="shared" si="51"/>
        <v xml:space="preserve"> </v>
      </c>
      <c r="U457" s="100"/>
      <c r="V457" s="100" t="str">
        <f t="shared" si="50"/>
        <v xml:space="preserve"> </v>
      </c>
      <c r="W457" s="101">
        <f t="shared" si="52"/>
        <v>24</v>
      </c>
      <c r="X457" s="102">
        <f t="shared" si="53"/>
        <v>0</v>
      </c>
      <c r="Y457" s="100" t="str">
        <f t="shared" si="54"/>
        <v xml:space="preserve"> </v>
      </c>
      <c r="Z457" s="100" t="str">
        <f t="shared" si="55"/>
        <v xml:space="preserve"> </v>
      </c>
    </row>
    <row r="458" spans="1:26">
      <c r="A458" s="100"/>
      <c r="B458" s="108" t="str">
        <f>IFERROR(VLOOKUP(Tablo5[[#This Row],[ÜRÜN KODU]],YMKODLARI!$A$1:$K$363,2,0)," ")</f>
        <v xml:space="preserve"> </v>
      </c>
      <c r="C458" s="99"/>
      <c r="D458" s="100"/>
      <c r="E458" s="101"/>
      <c r="F458" s="101"/>
      <c r="G458" s="100" t="str">
        <f>IFERROR(VLOOKUP(Tablo5[[#This Row],[ÜRÜN KODU]],YMKODLARI!$A$1:$K$363,3,0)," ")</f>
        <v xml:space="preserve"> </v>
      </c>
      <c r="H458" s="100" t="str">
        <f>IFERROR(VLOOKUP(Tablo5[[#This Row],[ÜRÜN KODU]],YMKODLARI!$A$1:$K$363,4,0)," ")</f>
        <v xml:space="preserve"> </v>
      </c>
      <c r="I458" s="100"/>
      <c r="J458" s="100" t="str">
        <f>IFERROR(VLOOKUP(Tablo5[[#This Row],[ÜRÜN KODU]],YMKODLARI!$A$1:$K$363,9,0)," ")</f>
        <v xml:space="preserve"> </v>
      </c>
      <c r="K458" s="100" t="str">
        <f>IFERROR(VLOOKUP(Tablo5[[#This Row],[BOYA KODU]],Tablo14[#All],4,0)," ")</f>
        <v xml:space="preserve"> </v>
      </c>
      <c r="L458" s="100" t="str">
        <f>IFERROR(VLOOKUP(Tablo5[[#This Row],[BOYA KODU]],Tablo14[#All],6,0)," ")</f>
        <v xml:space="preserve"> </v>
      </c>
      <c r="M458" s="100" t="str">
        <f t="shared" si="49"/>
        <v xml:space="preserve"> </v>
      </c>
      <c r="N458" s="100" t="str">
        <f>IFERROR(VLOOKUP(Tablo5[[#This Row],[ÜRÜN KODU]],YMKODLARI!$A$1:$K$363,8,0)," ")</f>
        <v xml:space="preserve"> </v>
      </c>
      <c r="O458" s="100" t="str">
        <f>IFERROR(VLOOKUP(Tablo5[[#This Row],[HAMMADDE KODU]],Tablo1[#All],3,0)," ")</f>
        <v xml:space="preserve"> </v>
      </c>
      <c r="P458" s="100" t="str">
        <f>IFERROR(VLOOKUP(Tablo5[[#This Row],[HAMMADDE KODU]],Tablo1[#All],4,0)," ")</f>
        <v xml:space="preserve"> </v>
      </c>
      <c r="Q458" s="100" t="str">
        <f>IFERROR(VLOOKUP(Tablo5[[#This Row],[ÜRÜN KODU]],YMKODLARI!$A$1:$K$363,5,0)," ")</f>
        <v xml:space="preserve"> </v>
      </c>
      <c r="R458" s="100" t="str">
        <f>IFERROR(VLOOKUP(Tablo5[[#This Row],[ÜRÜN KODU]],YMKODLARI!$A$1:$K$363,6,0)," ")</f>
        <v xml:space="preserve"> </v>
      </c>
      <c r="S458" s="100" t="str">
        <f>IFERROR(Tablo5[[#This Row],[YOLLUK HARİÇ BASKI GRAMI]]/Tablo5[[#This Row],[KALIP GÖZ ADEDİ]]," ")</f>
        <v xml:space="preserve"> </v>
      </c>
      <c r="T458" s="100" t="str">
        <f t="shared" si="51"/>
        <v xml:space="preserve"> </v>
      </c>
      <c r="U458" s="100"/>
      <c r="V458" s="100" t="str">
        <f t="shared" si="50"/>
        <v xml:space="preserve"> </v>
      </c>
      <c r="W458" s="101">
        <f t="shared" si="52"/>
        <v>24</v>
      </c>
      <c r="X458" s="102">
        <f t="shared" si="53"/>
        <v>0</v>
      </c>
      <c r="Y458" s="100" t="str">
        <f t="shared" si="54"/>
        <v xml:space="preserve"> </v>
      </c>
      <c r="Z458" s="100" t="str">
        <f t="shared" si="55"/>
        <v xml:space="preserve"> </v>
      </c>
    </row>
    <row r="459" spans="1:26">
      <c r="A459" s="100"/>
      <c r="B459" s="108" t="str">
        <f>IFERROR(VLOOKUP(Tablo5[[#This Row],[ÜRÜN KODU]],YMKODLARI!$A$1:$K$363,2,0)," ")</f>
        <v xml:space="preserve"> </v>
      </c>
      <c r="C459" s="99"/>
      <c r="D459" s="100"/>
      <c r="E459" s="101"/>
      <c r="F459" s="101"/>
      <c r="G459" s="100" t="str">
        <f>IFERROR(VLOOKUP(Tablo5[[#This Row],[ÜRÜN KODU]],YMKODLARI!$A$1:$K$363,3,0)," ")</f>
        <v xml:space="preserve"> </v>
      </c>
      <c r="H459" s="100" t="str">
        <f>IFERROR(VLOOKUP(Tablo5[[#This Row],[ÜRÜN KODU]],YMKODLARI!$A$1:$K$363,4,0)," ")</f>
        <v xml:space="preserve"> </v>
      </c>
      <c r="I459" s="100"/>
      <c r="J459" s="100" t="str">
        <f>IFERROR(VLOOKUP(Tablo5[[#This Row],[ÜRÜN KODU]],YMKODLARI!$A$1:$K$363,9,0)," ")</f>
        <v xml:space="preserve"> </v>
      </c>
      <c r="K459" s="100" t="str">
        <f>IFERROR(VLOOKUP(Tablo5[[#This Row],[BOYA KODU]],Tablo14[#All],4,0)," ")</f>
        <v xml:space="preserve"> </v>
      </c>
      <c r="L459" s="100" t="str">
        <f>IFERROR(VLOOKUP(Tablo5[[#This Row],[BOYA KODU]],Tablo14[#All],6,0)," ")</f>
        <v xml:space="preserve"> </v>
      </c>
      <c r="M459" s="100" t="str">
        <f t="shared" si="49"/>
        <v xml:space="preserve"> </v>
      </c>
      <c r="N459" s="100" t="str">
        <f>IFERROR(VLOOKUP(Tablo5[[#This Row],[ÜRÜN KODU]],YMKODLARI!$A$1:$K$363,8,0)," ")</f>
        <v xml:space="preserve"> </v>
      </c>
      <c r="O459" s="100" t="str">
        <f>IFERROR(VLOOKUP(Tablo5[[#This Row],[HAMMADDE KODU]],Tablo1[#All],3,0)," ")</f>
        <v xml:space="preserve"> </v>
      </c>
      <c r="P459" s="100" t="str">
        <f>IFERROR(VLOOKUP(Tablo5[[#This Row],[HAMMADDE KODU]],Tablo1[#All],4,0)," ")</f>
        <v xml:space="preserve"> </v>
      </c>
      <c r="Q459" s="100" t="str">
        <f>IFERROR(VLOOKUP(Tablo5[[#This Row],[ÜRÜN KODU]],YMKODLARI!$A$1:$K$363,5,0)," ")</f>
        <v xml:space="preserve"> </v>
      </c>
      <c r="R459" s="100" t="str">
        <f>IFERROR(VLOOKUP(Tablo5[[#This Row],[ÜRÜN KODU]],YMKODLARI!$A$1:$K$363,6,0)," ")</f>
        <v xml:space="preserve"> </v>
      </c>
      <c r="S459" s="100" t="str">
        <f>IFERROR(Tablo5[[#This Row],[YOLLUK HARİÇ BASKI GRAMI]]/Tablo5[[#This Row],[KALIP GÖZ ADEDİ]]," ")</f>
        <v xml:space="preserve"> </v>
      </c>
      <c r="T459" s="100" t="str">
        <f t="shared" si="51"/>
        <v xml:space="preserve"> </v>
      </c>
      <c r="U459" s="100"/>
      <c r="V459" s="100" t="str">
        <f t="shared" si="50"/>
        <v xml:space="preserve"> </v>
      </c>
      <c r="W459" s="101">
        <f t="shared" si="52"/>
        <v>24</v>
      </c>
      <c r="X459" s="102">
        <f t="shared" si="53"/>
        <v>0</v>
      </c>
      <c r="Y459" s="100" t="str">
        <f t="shared" si="54"/>
        <v xml:space="preserve"> </v>
      </c>
      <c r="Z459" s="100" t="str">
        <f t="shared" si="55"/>
        <v xml:space="preserve"> </v>
      </c>
    </row>
    <row r="460" spans="1:26">
      <c r="A460" s="100"/>
      <c r="B460" s="108" t="str">
        <f>IFERROR(VLOOKUP(Tablo5[[#This Row],[ÜRÜN KODU]],YMKODLARI!$A$1:$K$363,2,0)," ")</f>
        <v xml:space="preserve"> </v>
      </c>
      <c r="C460" s="99"/>
      <c r="D460" s="100"/>
      <c r="E460" s="101"/>
      <c r="F460" s="101"/>
      <c r="G460" s="100" t="str">
        <f>IFERROR(VLOOKUP(Tablo5[[#This Row],[ÜRÜN KODU]],YMKODLARI!$A$1:$K$363,3,0)," ")</f>
        <v xml:space="preserve"> </v>
      </c>
      <c r="H460" s="100" t="str">
        <f>IFERROR(VLOOKUP(Tablo5[[#This Row],[ÜRÜN KODU]],YMKODLARI!$A$1:$K$363,4,0)," ")</f>
        <v xml:space="preserve"> </v>
      </c>
      <c r="I460" s="100"/>
      <c r="J460" s="100" t="str">
        <f>IFERROR(VLOOKUP(Tablo5[[#This Row],[ÜRÜN KODU]],YMKODLARI!$A$1:$K$363,9,0)," ")</f>
        <v xml:space="preserve"> </v>
      </c>
      <c r="K460" s="100" t="str">
        <f>IFERROR(VLOOKUP(Tablo5[[#This Row],[BOYA KODU]],Tablo14[#All],4,0)," ")</f>
        <v xml:space="preserve"> </v>
      </c>
      <c r="L460" s="100" t="str">
        <f>IFERROR(VLOOKUP(Tablo5[[#This Row],[BOYA KODU]],Tablo14[#All],6,0)," ")</f>
        <v xml:space="preserve"> </v>
      </c>
      <c r="M460" s="100" t="str">
        <f t="shared" si="49"/>
        <v xml:space="preserve"> </v>
      </c>
      <c r="N460" s="100" t="str">
        <f>IFERROR(VLOOKUP(Tablo5[[#This Row],[ÜRÜN KODU]],YMKODLARI!$A$1:$K$363,8,0)," ")</f>
        <v xml:space="preserve"> </v>
      </c>
      <c r="O460" s="100" t="str">
        <f>IFERROR(VLOOKUP(Tablo5[[#This Row],[HAMMADDE KODU]],Tablo1[#All],3,0)," ")</f>
        <v xml:space="preserve"> </v>
      </c>
      <c r="P460" s="100" t="str">
        <f>IFERROR(VLOOKUP(Tablo5[[#This Row],[HAMMADDE KODU]],Tablo1[#All],4,0)," ")</f>
        <v xml:space="preserve"> </v>
      </c>
      <c r="Q460" s="100" t="str">
        <f>IFERROR(VLOOKUP(Tablo5[[#This Row],[ÜRÜN KODU]],YMKODLARI!$A$1:$K$363,5,0)," ")</f>
        <v xml:space="preserve"> </v>
      </c>
      <c r="R460" s="100" t="str">
        <f>IFERROR(VLOOKUP(Tablo5[[#This Row],[ÜRÜN KODU]],YMKODLARI!$A$1:$K$363,6,0)," ")</f>
        <v xml:space="preserve"> </v>
      </c>
      <c r="S460" s="100" t="str">
        <f>IFERROR(Tablo5[[#This Row],[YOLLUK HARİÇ BASKI GRAMI]]/Tablo5[[#This Row],[KALIP GÖZ ADEDİ]]," ")</f>
        <v xml:space="preserve"> </v>
      </c>
      <c r="T460" s="100" t="str">
        <f t="shared" si="51"/>
        <v xml:space="preserve"> </v>
      </c>
      <c r="U460" s="100"/>
      <c r="V460" s="100" t="str">
        <f t="shared" si="50"/>
        <v xml:space="preserve"> </v>
      </c>
      <c r="W460" s="101">
        <f t="shared" si="52"/>
        <v>24</v>
      </c>
      <c r="X460" s="102">
        <f t="shared" si="53"/>
        <v>0</v>
      </c>
      <c r="Y460" s="100" t="str">
        <f t="shared" si="54"/>
        <v xml:space="preserve"> </v>
      </c>
      <c r="Z460" s="100" t="str">
        <f t="shared" si="55"/>
        <v xml:space="preserve"> </v>
      </c>
    </row>
    <row r="461" spans="1:26">
      <c r="A461" s="100"/>
      <c r="B461" s="108" t="str">
        <f>IFERROR(VLOOKUP(Tablo5[[#This Row],[ÜRÜN KODU]],YMKODLARI!$A$1:$K$363,2,0)," ")</f>
        <v xml:space="preserve"> </v>
      </c>
      <c r="C461" s="99"/>
      <c r="D461" s="100"/>
      <c r="E461" s="101"/>
      <c r="F461" s="101"/>
      <c r="G461" s="100" t="str">
        <f>IFERROR(VLOOKUP(Tablo5[[#This Row],[ÜRÜN KODU]],YMKODLARI!$A$1:$K$363,3,0)," ")</f>
        <v xml:space="preserve"> </v>
      </c>
      <c r="H461" s="100" t="str">
        <f>IFERROR(VLOOKUP(Tablo5[[#This Row],[ÜRÜN KODU]],YMKODLARI!$A$1:$K$363,4,0)," ")</f>
        <v xml:space="preserve"> </v>
      </c>
      <c r="I461" s="100"/>
      <c r="J461" s="100" t="str">
        <f>IFERROR(VLOOKUP(Tablo5[[#This Row],[ÜRÜN KODU]],YMKODLARI!$A$1:$K$363,9,0)," ")</f>
        <v xml:space="preserve"> </v>
      </c>
      <c r="K461" s="100" t="str">
        <f>IFERROR(VLOOKUP(Tablo5[[#This Row],[BOYA KODU]],Tablo14[#All],4,0)," ")</f>
        <v xml:space="preserve"> </v>
      </c>
      <c r="L461" s="100" t="str">
        <f>IFERROR(VLOOKUP(Tablo5[[#This Row],[BOYA KODU]],Tablo14[#All],6,0)," ")</f>
        <v xml:space="preserve"> </v>
      </c>
      <c r="M461" s="100" t="str">
        <f t="shared" si="49"/>
        <v xml:space="preserve"> </v>
      </c>
      <c r="N461" s="100" t="str">
        <f>IFERROR(VLOOKUP(Tablo5[[#This Row],[ÜRÜN KODU]],YMKODLARI!$A$1:$K$363,8,0)," ")</f>
        <v xml:space="preserve"> </v>
      </c>
      <c r="O461" s="100" t="str">
        <f>IFERROR(VLOOKUP(Tablo5[[#This Row],[HAMMADDE KODU]],Tablo1[#All],3,0)," ")</f>
        <v xml:space="preserve"> </v>
      </c>
      <c r="P461" s="100" t="str">
        <f>IFERROR(VLOOKUP(Tablo5[[#This Row],[HAMMADDE KODU]],Tablo1[#All],4,0)," ")</f>
        <v xml:space="preserve"> </v>
      </c>
      <c r="Q461" s="100" t="str">
        <f>IFERROR(VLOOKUP(Tablo5[[#This Row],[ÜRÜN KODU]],YMKODLARI!$A$1:$K$363,5,0)," ")</f>
        <v xml:space="preserve"> </v>
      </c>
      <c r="R461" s="100" t="str">
        <f>IFERROR(VLOOKUP(Tablo5[[#This Row],[ÜRÜN KODU]],YMKODLARI!$A$1:$K$363,6,0)," ")</f>
        <v xml:space="preserve"> </v>
      </c>
      <c r="S461" s="100" t="str">
        <f>IFERROR(Tablo5[[#This Row],[YOLLUK HARİÇ BASKI GRAMI]]/Tablo5[[#This Row],[KALIP GÖZ ADEDİ]]," ")</f>
        <v xml:space="preserve"> </v>
      </c>
      <c r="T461" s="100" t="str">
        <f t="shared" si="51"/>
        <v xml:space="preserve"> </v>
      </c>
      <c r="U461" s="100"/>
      <c r="V461" s="100" t="str">
        <f t="shared" si="50"/>
        <v xml:space="preserve"> </v>
      </c>
      <c r="W461" s="101">
        <f t="shared" si="52"/>
        <v>24</v>
      </c>
      <c r="X461" s="102">
        <f t="shared" si="53"/>
        <v>0</v>
      </c>
      <c r="Y461" s="100" t="str">
        <f t="shared" si="54"/>
        <v xml:space="preserve"> </v>
      </c>
      <c r="Z461" s="100" t="str">
        <f t="shared" si="55"/>
        <v xml:space="preserve"> </v>
      </c>
    </row>
    <row r="462" spans="1:26">
      <c r="A462" s="100"/>
      <c r="B462" s="108" t="str">
        <f>IFERROR(VLOOKUP(Tablo5[[#This Row],[ÜRÜN KODU]],YMKODLARI!$A$1:$K$363,2,0)," ")</f>
        <v xml:space="preserve"> </v>
      </c>
      <c r="C462" s="99"/>
      <c r="D462" s="100"/>
      <c r="E462" s="101"/>
      <c r="F462" s="101"/>
      <c r="G462" s="100" t="str">
        <f>IFERROR(VLOOKUP(Tablo5[[#This Row],[ÜRÜN KODU]],YMKODLARI!$A$1:$K$363,3,0)," ")</f>
        <v xml:space="preserve"> </v>
      </c>
      <c r="H462" s="100" t="str">
        <f>IFERROR(VLOOKUP(Tablo5[[#This Row],[ÜRÜN KODU]],YMKODLARI!$A$1:$K$363,4,0)," ")</f>
        <v xml:space="preserve"> </v>
      </c>
      <c r="I462" s="100"/>
      <c r="J462" s="100" t="str">
        <f>IFERROR(VLOOKUP(Tablo5[[#This Row],[ÜRÜN KODU]],YMKODLARI!$A$1:$K$363,9,0)," ")</f>
        <v xml:space="preserve"> </v>
      </c>
      <c r="K462" s="100" t="str">
        <f>IFERROR(VLOOKUP(Tablo5[[#This Row],[BOYA KODU]],Tablo14[#All],4,0)," ")</f>
        <v xml:space="preserve"> </v>
      </c>
      <c r="L462" s="100" t="str">
        <f>IFERROR(VLOOKUP(Tablo5[[#This Row],[BOYA KODU]],Tablo14[#All],6,0)," ")</f>
        <v xml:space="preserve"> </v>
      </c>
      <c r="M462" s="100" t="str">
        <f t="shared" si="49"/>
        <v xml:space="preserve"> </v>
      </c>
      <c r="N462" s="100" t="str">
        <f>IFERROR(VLOOKUP(Tablo5[[#This Row],[ÜRÜN KODU]],YMKODLARI!$A$1:$K$363,8,0)," ")</f>
        <v xml:space="preserve"> </v>
      </c>
      <c r="O462" s="100" t="str">
        <f>IFERROR(VLOOKUP(Tablo5[[#This Row],[HAMMADDE KODU]],Tablo1[#All],3,0)," ")</f>
        <v xml:space="preserve"> </v>
      </c>
      <c r="P462" s="100" t="str">
        <f>IFERROR(VLOOKUP(Tablo5[[#This Row],[HAMMADDE KODU]],Tablo1[#All],4,0)," ")</f>
        <v xml:space="preserve"> </v>
      </c>
      <c r="Q462" s="100" t="str">
        <f>IFERROR(VLOOKUP(Tablo5[[#This Row],[ÜRÜN KODU]],YMKODLARI!$A$1:$K$363,5,0)," ")</f>
        <v xml:space="preserve"> </v>
      </c>
      <c r="R462" s="100" t="str">
        <f>IFERROR(VLOOKUP(Tablo5[[#This Row],[ÜRÜN KODU]],YMKODLARI!$A$1:$K$363,6,0)," ")</f>
        <v xml:space="preserve"> </v>
      </c>
      <c r="S462" s="100" t="str">
        <f>IFERROR(Tablo5[[#This Row],[YOLLUK HARİÇ BASKI GRAMI]]/Tablo5[[#This Row],[KALIP GÖZ ADEDİ]]," ")</f>
        <v xml:space="preserve"> </v>
      </c>
      <c r="T462" s="100" t="str">
        <f t="shared" si="51"/>
        <v xml:space="preserve"> </v>
      </c>
      <c r="U462" s="100"/>
      <c r="V462" s="100" t="str">
        <f t="shared" si="50"/>
        <v xml:space="preserve"> </v>
      </c>
      <c r="W462" s="101">
        <f t="shared" si="52"/>
        <v>24</v>
      </c>
      <c r="X462" s="102">
        <f t="shared" si="53"/>
        <v>0</v>
      </c>
      <c r="Y462" s="100" t="str">
        <f t="shared" si="54"/>
        <v xml:space="preserve"> </v>
      </c>
      <c r="Z462" s="100" t="str">
        <f t="shared" si="55"/>
        <v xml:space="preserve"> </v>
      </c>
    </row>
    <row r="463" spans="1:26">
      <c r="A463" s="100"/>
      <c r="B463" s="108" t="str">
        <f>IFERROR(VLOOKUP(Tablo5[[#This Row],[ÜRÜN KODU]],YMKODLARI!$A$1:$K$363,2,0)," ")</f>
        <v xml:space="preserve"> </v>
      </c>
      <c r="C463" s="99"/>
      <c r="D463" s="100"/>
      <c r="E463" s="101"/>
      <c r="F463" s="101"/>
      <c r="G463" s="100" t="str">
        <f>IFERROR(VLOOKUP(Tablo5[[#This Row],[ÜRÜN KODU]],YMKODLARI!$A$1:$K$363,3,0)," ")</f>
        <v xml:space="preserve"> </v>
      </c>
      <c r="H463" s="100" t="str">
        <f>IFERROR(VLOOKUP(Tablo5[[#This Row],[ÜRÜN KODU]],YMKODLARI!$A$1:$K$363,4,0)," ")</f>
        <v xml:space="preserve"> </v>
      </c>
      <c r="I463" s="100"/>
      <c r="J463" s="100" t="str">
        <f>IFERROR(VLOOKUP(Tablo5[[#This Row],[ÜRÜN KODU]],YMKODLARI!$A$1:$K$363,9,0)," ")</f>
        <v xml:space="preserve"> </v>
      </c>
      <c r="K463" s="100" t="str">
        <f>IFERROR(VLOOKUP(Tablo5[[#This Row],[BOYA KODU]],Tablo14[#All],4,0)," ")</f>
        <v xml:space="preserve"> </v>
      </c>
      <c r="L463" s="100" t="str">
        <f>IFERROR(VLOOKUP(Tablo5[[#This Row],[BOYA KODU]],Tablo14[#All],6,0)," ")</f>
        <v xml:space="preserve"> </v>
      </c>
      <c r="M463" s="100" t="str">
        <f t="shared" si="49"/>
        <v xml:space="preserve"> </v>
      </c>
      <c r="N463" s="100" t="str">
        <f>IFERROR(VLOOKUP(Tablo5[[#This Row],[ÜRÜN KODU]],YMKODLARI!$A$1:$K$363,8,0)," ")</f>
        <v xml:space="preserve"> </v>
      </c>
      <c r="O463" s="100" t="str">
        <f>IFERROR(VLOOKUP(Tablo5[[#This Row],[HAMMADDE KODU]],Tablo1[#All],3,0)," ")</f>
        <v xml:space="preserve"> </v>
      </c>
      <c r="P463" s="100" t="str">
        <f>IFERROR(VLOOKUP(Tablo5[[#This Row],[HAMMADDE KODU]],Tablo1[#All],4,0)," ")</f>
        <v xml:space="preserve"> </v>
      </c>
      <c r="Q463" s="100" t="str">
        <f>IFERROR(VLOOKUP(Tablo5[[#This Row],[ÜRÜN KODU]],YMKODLARI!$A$1:$K$363,5,0)," ")</f>
        <v xml:space="preserve"> </v>
      </c>
      <c r="R463" s="100" t="str">
        <f>IFERROR(VLOOKUP(Tablo5[[#This Row],[ÜRÜN KODU]],YMKODLARI!$A$1:$K$363,6,0)," ")</f>
        <v xml:space="preserve"> </v>
      </c>
      <c r="S463" s="100" t="str">
        <f>IFERROR(Tablo5[[#This Row],[YOLLUK HARİÇ BASKI GRAMI]]/Tablo5[[#This Row],[KALIP GÖZ ADEDİ]]," ")</f>
        <v xml:space="preserve"> </v>
      </c>
      <c r="T463" s="100" t="str">
        <f t="shared" si="51"/>
        <v xml:space="preserve"> </v>
      </c>
      <c r="U463" s="100"/>
      <c r="V463" s="100" t="str">
        <f t="shared" si="50"/>
        <v xml:space="preserve"> </v>
      </c>
      <c r="W463" s="101">
        <f t="shared" si="52"/>
        <v>24</v>
      </c>
      <c r="X463" s="102">
        <f t="shared" si="53"/>
        <v>0</v>
      </c>
      <c r="Y463" s="100" t="str">
        <f t="shared" si="54"/>
        <v xml:space="preserve"> </v>
      </c>
      <c r="Z463" s="100" t="str">
        <f t="shared" si="55"/>
        <v xml:space="preserve"> </v>
      </c>
    </row>
    <row r="464" spans="1:26">
      <c r="A464" s="100"/>
      <c r="B464" s="108" t="str">
        <f>IFERROR(VLOOKUP(Tablo5[[#This Row],[ÜRÜN KODU]],YMKODLARI!$A$1:$K$363,2,0)," ")</f>
        <v xml:space="preserve"> </v>
      </c>
      <c r="C464" s="99"/>
      <c r="D464" s="100"/>
      <c r="E464" s="101"/>
      <c r="F464" s="101"/>
      <c r="G464" s="100" t="str">
        <f>IFERROR(VLOOKUP(Tablo5[[#This Row],[ÜRÜN KODU]],YMKODLARI!$A$1:$K$363,3,0)," ")</f>
        <v xml:space="preserve"> </v>
      </c>
      <c r="H464" s="100" t="str">
        <f>IFERROR(VLOOKUP(Tablo5[[#This Row],[ÜRÜN KODU]],YMKODLARI!$A$1:$K$363,4,0)," ")</f>
        <v xml:space="preserve"> </v>
      </c>
      <c r="I464" s="100"/>
      <c r="J464" s="100" t="str">
        <f>IFERROR(VLOOKUP(Tablo5[[#This Row],[ÜRÜN KODU]],YMKODLARI!$A$1:$K$363,9,0)," ")</f>
        <v xml:space="preserve"> </v>
      </c>
      <c r="K464" s="100" t="str">
        <f>IFERROR(VLOOKUP(Tablo5[[#This Row],[BOYA KODU]],Tablo14[#All],4,0)," ")</f>
        <v xml:space="preserve"> </v>
      </c>
      <c r="L464" s="100" t="str">
        <f>IFERROR(VLOOKUP(Tablo5[[#This Row],[BOYA KODU]],Tablo14[#All],6,0)," ")</f>
        <v xml:space="preserve"> </v>
      </c>
      <c r="M464" s="100" t="str">
        <f t="shared" si="49"/>
        <v xml:space="preserve"> </v>
      </c>
      <c r="N464" s="100" t="str">
        <f>IFERROR(VLOOKUP(Tablo5[[#This Row],[ÜRÜN KODU]],YMKODLARI!$A$1:$K$363,8,0)," ")</f>
        <v xml:space="preserve"> </v>
      </c>
      <c r="O464" s="100" t="str">
        <f>IFERROR(VLOOKUP(Tablo5[[#This Row],[HAMMADDE KODU]],Tablo1[#All],3,0)," ")</f>
        <v xml:space="preserve"> </v>
      </c>
      <c r="P464" s="100" t="str">
        <f>IFERROR(VLOOKUP(Tablo5[[#This Row],[HAMMADDE KODU]],Tablo1[#All],4,0)," ")</f>
        <v xml:space="preserve"> </v>
      </c>
      <c r="Q464" s="100" t="str">
        <f>IFERROR(VLOOKUP(Tablo5[[#This Row],[ÜRÜN KODU]],YMKODLARI!$A$1:$K$363,5,0)," ")</f>
        <v xml:space="preserve"> </v>
      </c>
      <c r="R464" s="100" t="str">
        <f>IFERROR(VLOOKUP(Tablo5[[#This Row],[ÜRÜN KODU]],YMKODLARI!$A$1:$K$363,6,0)," ")</f>
        <v xml:space="preserve"> </v>
      </c>
      <c r="S464" s="100" t="str">
        <f>IFERROR(Tablo5[[#This Row],[YOLLUK HARİÇ BASKI GRAMI]]/Tablo5[[#This Row],[KALIP GÖZ ADEDİ]]," ")</f>
        <v xml:space="preserve"> </v>
      </c>
      <c r="T464" s="100" t="str">
        <f t="shared" si="51"/>
        <v xml:space="preserve"> </v>
      </c>
      <c r="U464" s="100"/>
      <c r="V464" s="100" t="str">
        <f t="shared" si="50"/>
        <v xml:space="preserve"> </v>
      </c>
      <c r="W464" s="101">
        <f t="shared" si="52"/>
        <v>24</v>
      </c>
      <c r="X464" s="102">
        <f t="shared" si="53"/>
        <v>0</v>
      </c>
      <c r="Y464" s="100" t="str">
        <f t="shared" si="54"/>
        <v xml:space="preserve"> </v>
      </c>
      <c r="Z464" s="100" t="str">
        <f t="shared" si="55"/>
        <v xml:space="preserve"> </v>
      </c>
    </row>
    <row r="465" spans="1:26">
      <c r="A465" s="100"/>
      <c r="B465" s="108" t="str">
        <f>IFERROR(VLOOKUP(Tablo5[[#This Row],[ÜRÜN KODU]],YMKODLARI!$A$1:$K$363,2,0)," ")</f>
        <v xml:space="preserve"> </v>
      </c>
      <c r="C465" s="99"/>
      <c r="D465" s="100"/>
      <c r="E465" s="101"/>
      <c r="F465" s="101"/>
      <c r="G465" s="100" t="str">
        <f>IFERROR(VLOOKUP(Tablo5[[#This Row],[ÜRÜN KODU]],YMKODLARI!$A$1:$K$363,3,0)," ")</f>
        <v xml:space="preserve"> </v>
      </c>
      <c r="H465" s="100" t="str">
        <f>IFERROR(VLOOKUP(Tablo5[[#This Row],[ÜRÜN KODU]],YMKODLARI!$A$1:$K$363,4,0)," ")</f>
        <v xml:space="preserve"> </v>
      </c>
      <c r="I465" s="100"/>
      <c r="J465" s="100" t="str">
        <f>IFERROR(VLOOKUP(Tablo5[[#This Row],[ÜRÜN KODU]],YMKODLARI!$A$1:$K$363,9,0)," ")</f>
        <v xml:space="preserve"> </v>
      </c>
      <c r="K465" s="100" t="str">
        <f>IFERROR(VLOOKUP(Tablo5[[#This Row],[BOYA KODU]],Tablo14[#All],4,0)," ")</f>
        <v xml:space="preserve"> </v>
      </c>
      <c r="L465" s="100" t="str">
        <f>IFERROR(VLOOKUP(Tablo5[[#This Row],[BOYA KODU]],Tablo14[#All],6,0)," ")</f>
        <v xml:space="preserve"> </v>
      </c>
      <c r="M465" s="100" t="str">
        <f t="shared" si="49"/>
        <v xml:space="preserve"> </v>
      </c>
      <c r="N465" s="100" t="str">
        <f>IFERROR(VLOOKUP(Tablo5[[#This Row],[ÜRÜN KODU]],YMKODLARI!$A$1:$K$363,8,0)," ")</f>
        <v xml:space="preserve"> </v>
      </c>
      <c r="O465" s="100" t="str">
        <f>IFERROR(VLOOKUP(Tablo5[[#This Row],[HAMMADDE KODU]],Tablo1[#All],3,0)," ")</f>
        <v xml:space="preserve"> </v>
      </c>
      <c r="P465" s="100" t="str">
        <f>IFERROR(VLOOKUP(Tablo5[[#This Row],[HAMMADDE KODU]],Tablo1[#All],4,0)," ")</f>
        <v xml:space="preserve"> </v>
      </c>
      <c r="Q465" s="100" t="str">
        <f>IFERROR(VLOOKUP(Tablo5[[#This Row],[ÜRÜN KODU]],YMKODLARI!$A$1:$K$363,5,0)," ")</f>
        <v xml:space="preserve"> </v>
      </c>
      <c r="R465" s="100" t="str">
        <f>IFERROR(VLOOKUP(Tablo5[[#This Row],[ÜRÜN KODU]],YMKODLARI!$A$1:$K$363,6,0)," ")</f>
        <v xml:space="preserve"> </v>
      </c>
      <c r="S465" s="100" t="str">
        <f>IFERROR(Tablo5[[#This Row],[YOLLUK HARİÇ BASKI GRAMI]]/Tablo5[[#This Row],[KALIP GÖZ ADEDİ]]," ")</f>
        <v xml:space="preserve"> </v>
      </c>
      <c r="T465" s="100" t="str">
        <f t="shared" si="51"/>
        <v xml:space="preserve"> </v>
      </c>
      <c r="U465" s="100"/>
      <c r="V465" s="100" t="str">
        <f t="shared" si="50"/>
        <v xml:space="preserve"> </v>
      </c>
      <c r="W465" s="101">
        <f t="shared" si="52"/>
        <v>24</v>
      </c>
      <c r="X465" s="102">
        <f t="shared" si="53"/>
        <v>0</v>
      </c>
      <c r="Y465" s="100" t="str">
        <f t="shared" si="54"/>
        <v xml:space="preserve"> </v>
      </c>
      <c r="Z465" s="100" t="str">
        <f t="shared" si="55"/>
        <v xml:space="preserve"> </v>
      </c>
    </row>
    <row r="466" spans="1:26">
      <c r="A466" s="100"/>
      <c r="B466" s="108" t="str">
        <f>IFERROR(VLOOKUP(Tablo5[[#This Row],[ÜRÜN KODU]],YMKODLARI!$A$1:$K$363,2,0)," ")</f>
        <v xml:space="preserve"> </v>
      </c>
      <c r="C466" s="99"/>
      <c r="D466" s="100"/>
      <c r="E466" s="101"/>
      <c r="F466" s="101"/>
      <c r="G466" s="100" t="str">
        <f>IFERROR(VLOOKUP(Tablo5[[#This Row],[ÜRÜN KODU]],YMKODLARI!$A$1:$K$363,3,0)," ")</f>
        <v xml:space="preserve"> </v>
      </c>
      <c r="H466" s="100" t="str">
        <f>IFERROR(VLOOKUP(Tablo5[[#This Row],[ÜRÜN KODU]],YMKODLARI!$A$1:$K$363,4,0)," ")</f>
        <v xml:space="preserve"> </v>
      </c>
      <c r="I466" s="100"/>
      <c r="J466" s="100" t="str">
        <f>IFERROR(VLOOKUP(Tablo5[[#This Row],[ÜRÜN KODU]],YMKODLARI!$A$1:$K$363,9,0)," ")</f>
        <v xml:space="preserve"> </v>
      </c>
      <c r="K466" s="100" t="str">
        <f>IFERROR(VLOOKUP(Tablo5[[#This Row],[BOYA KODU]],Tablo14[#All],4,0)," ")</f>
        <v xml:space="preserve"> </v>
      </c>
      <c r="L466" s="100" t="str">
        <f>IFERROR(VLOOKUP(Tablo5[[#This Row],[BOYA KODU]],Tablo14[#All],6,0)," ")</f>
        <v xml:space="preserve"> </v>
      </c>
      <c r="M466" s="100" t="str">
        <f t="shared" si="49"/>
        <v xml:space="preserve"> </v>
      </c>
      <c r="N466" s="100" t="str">
        <f>IFERROR(VLOOKUP(Tablo5[[#This Row],[ÜRÜN KODU]],YMKODLARI!$A$1:$K$363,8,0)," ")</f>
        <v xml:space="preserve"> </v>
      </c>
      <c r="O466" s="100" t="str">
        <f>IFERROR(VLOOKUP(Tablo5[[#This Row],[HAMMADDE KODU]],Tablo1[#All],3,0)," ")</f>
        <v xml:space="preserve"> </v>
      </c>
      <c r="P466" s="100" t="str">
        <f>IFERROR(VLOOKUP(Tablo5[[#This Row],[HAMMADDE KODU]],Tablo1[#All],4,0)," ")</f>
        <v xml:space="preserve"> </v>
      </c>
      <c r="Q466" s="100" t="str">
        <f>IFERROR(VLOOKUP(Tablo5[[#This Row],[ÜRÜN KODU]],YMKODLARI!$A$1:$K$363,5,0)," ")</f>
        <v xml:space="preserve"> </v>
      </c>
      <c r="R466" s="100" t="str">
        <f>IFERROR(VLOOKUP(Tablo5[[#This Row],[ÜRÜN KODU]],YMKODLARI!$A$1:$K$363,6,0)," ")</f>
        <v xml:space="preserve"> </v>
      </c>
      <c r="S466" s="100" t="str">
        <f>IFERROR(Tablo5[[#This Row],[YOLLUK HARİÇ BASKI GRAMI]]/Tablo5[[#This Row],[KALIP GÖZ ADEDİ]]," ")</f>
        <v xml:space="preserve"> </v>
      </c>
      <c r="T466" s="100" t="str">
        <f t="shared" si="51"/>
        <v xml:space="preserve"> </v>
      </c>
      <c r="U466" s="100"/>
      <c r="V466" s="100" t="str">
        <f t="shared" si="50"/>
        <v xml:space="preserve"> </v>
      </c>
      <c r="W466" s="101">
        <f t="shared" si="52"/>
        <v>24</v>
      </c>
      <c r="X466" s="102">
        <f t="shared" si="53"/>
        <v>0</v>
      </c>
      <c r="Y466" s="100" t="str">
        <f t="shared" si="54"/>
        <v xml:space="preserve"> </v>
      </c>
      <c r="Z466" s="100" t="str">
        <f t="shared" si="55"/>
        <v xml:space="preserve"> </v>
      </c>
    </row>
    <row r="467" spans="1:26">
      <c r="A467" s="100"/>
      <c r="B467" s="108" t="str">
        <f>IFERROR(VLOOKUP(Tablo5[[#This Row],[ÜRÜN KODU]],YMKODLARI!$A$1:$K$363,2,0)," ")</f>
        <v xml:space="preserve"> </v>
      </c>
      <c r="C467" s="99"/>
      <c r="D467" s="100"/>
      <c r="E467" s="101"/>
      <c r="F467" s="101"/>
      <c r="G467" s="100" t="str">
        <f>IFERROR(VLOOKUP(Tablo5[[#This Row],[ÜRÜN KODU]],YMKODLARI!$A$1:$K$363,3,0)," ")</f>
        <v xml:space="preserve"> </v>
      </c>
      <c r="H467" s="100" t="str">
        <f>IFERROR(VLOOKUP(Tablo5[[#This Row],[ÜRÜN KODU]],YMKODLARI!$A$1:$K$363,4,0)," ")</f>
        <v xml:space="preserve"> </v>
      </c>
      <c r="I467" s="100"/>
      <c r="J467" s="100" t="str">
        <f>IFERROR(VLOOKUP(Tablo5[[#This Row],[ÜRÜN KODU]],YMKODLARI!$A$1:$K$363,9,0)," ")</f>
        <v xml:space="preserve"> </v>
      </c>
      <c r="K467" s="100" t="str">
        <f>IFERROR(VLOOKUP(Tablo5[[#This Row],[BOYA KODU]],Tablo14[#All],4,0)," ")</f>
        <v xml:space="preserve"> </v>
      </c>
      <c r="L467" s="100" t="str">
        <f>IFERROR(VLOOKUP(Tablo5[[#This Row],[BOYA KODU]],Tablo14[#All],6,0)," ")</f>
        <v xml:space="preserve"> </v>
      </c>
      <c r="M467" s="100" t="str">
        <f t="shared" si="49"/>
        <v xml:space="preserve"> </v>
      </c>
      <c r="N467" s="100" t="str">
        <f>IFERROR(VLOOKUP(Tablo5[[#This Row],[ÜRÜN KODU]],YMKODLARI!$A$1:$K$363,8,0)," ")</f>
        <v xml:space="preserve"> </v>
      </c>
      <c r="O467" s="100" t="str">
        <f>IFERROR(VLOOKUP(Tablo5[[#This Row],[HAMMADDE KODU]],Tablo1[#All],3,0)," ")</f>
        <v xml:space="preserve"> </v>
      </c>
      <c r="P467" s="100" t="str">
        <f>IFERROR(VLOOKUP(Tablo5[[#This Row],[HAMMADDE KODU]],Tablo1[#All],4,0)," ")</f>
        <v xml:space="preserve"> </v>
      </c>
      <c r="Q467" s="100" t="str">
        <f>IFERROR(VLOOKUP(Tablo5[[#This Row],[ÜRÜN KODU]],YMKODLARI!$A$1:$K$363,5,0)," ")</f>
        <v xml:space="preserve"> </v>
      </c>
      <c r="R467" s="100" t="str">
        <f>IFERROR(VLOOKUP(Tablo5[[#This Row],[ÜRÜN KODU]],YMKODLARI!$A$1:$K$363,6,0)," ")</f>
        <v xml:space="preserve"> </v>
      </c>
      <c r="S467" s="100" t="str">
        <f>IFERROR(Tablo5[[#This Row],[YOLLUK HARİÇ BASKI GRAMI]]/Tablo5[[#This Row],[KALIP GÖZ ADEDİ]]," ")</f>
        <v xml:space="preserve"> </v>
      </c>
      <c r="T467" s="100" t="str">
        <f t="shared" si="51"/>
        <v xml:space="preserve"> </v>
      </c>
      <c r="U467" s="100"/>
      <c r="V467" s="100" t="str">
        <f t="shared" si="50"/>
        <v xml:space="preserve"> </v>
      </c>
      <c r="W467" s="101">
        <f t="shared" si="52"/>
        <v>24</v>
      </c>
      <c r="X467" s="102">
        <f t="shared" si="53"/>
        <v>0</v>
      </c>
      <c r="Y467" s="100" t="str">
        <f t="shared" si="54"/>
        <v xml:space="preserve"> </v>
      </c>
      <c r="Z467" s="100" t="str">
        <f t="shared" si="55"/>
        <v xml:space="preserve"> </v>
      </c>
    </row>
    <row r="468" spans="1:26">
      <c r="A468" s="100"/>
      <c r="B468" s="108" t="str">
        <f>IFERROR(VLOOKUP(Tablo5[[#This Row],[ÜRÜN KODU]],YMKODLARI!$A$1:$K$363,2,0)," ")</f>
        <v xml:space="preserve"> </v>
      </c>
      <c r="C468" s="99"/>
      <c r="D468" s="100"/>
      <c r="E468" s="101"/>
      <c r="F468" s="101"/>
      <c r="G468" s="100" t="str">
        <f>IFERROR(VLOOKUP(Tablo5[[#This Row],[ÜRÜN KODU]],YMKODLARI!$A$1:$K$363,3,0)," ")</f>
        <v xml:space="preserve"> </v>
      </c>
      <c r="H468" s="100" t="str">
        <f>IFERROR(VLOOKUP(Tablo5[[#This Row],[ÜRÜN KODU]],YMKODLARI!$A$1:$K$363,4,0)," ")</f>
        <v xml:space="preserve"> </v>
      </c>
      <c r="I468" s="100"/>
      <c r="J468" s="100" t="str">
        <f>IFERROR(VLOOKUP(Tablo5[[#This Row],[ÜRÜN KODU]],YMKODLARI!$A$1:$K$363,9,0)," ")</f>
        <v xml:space="preserve"> </v>
      </c>
      <c r="K468" s="100" t="str">
        <f>IFERROR(VLOOKUP(Tablo5[[#This Row],[BOYA KODU]],Tablo14[#All],4,0)," ")</f>
        <v xml:space="preserve"> </v>
      </c>
      <c r="L468" s="100" t="str">
        <f>IFERROR(VLOOKUP(Tablo5[[#This Row],[BOYA KODU]],Tablo14[#All],6,0)," ")</f>
        <v xml:space="preserve"> </v>
      </c>
      <c r="M468" s="100" t="str">
        <f t="shared" si="49"/>
        <v xml:space="preserve"> </v>
      </c>
      <c r="N468" s="100" t="str">
        <f>IFERROR(VLOOKUP(Tablo5[[#This Row],[ÜRÜN KODU]],YMKODLARI!$A$1:$K$363,8,0)," ")</f>
        <v xml:space="preserve"> </v>
      </c>
      <c r="O468" s="100" t="str">
        <f>IFERROR(VLOOKUP(Tablo5[[#This Row],[HAMMADDE KODU]],Tablo1[#All],3,0)," ")</f>
        <v xml:space="preserve"> </v>
      </c>
      <c r="P468" s="100" t="str">
        <f>IFERROR(VLOOKUP(Tablo5[[#This Row],[HAMMADDE KODU]],Tablo1[#All],4,0)," ")</f>
        <v xml:space="preserve"> </v>
      </c>
      <c r="Q468" s="100" t="str">
        <f>IFERROR(VLOOKUP(Tablo5[[#This Row],[ÜRÜN KODU]],YMKODLARI!$A$1:$K$363,5,0)," ")</f>
        <v xml:space="preserve"> </v>
      </c>
      <c r="R468" s="100" t="str">
        <f>IFERROR(VLOOKUP(Tablo5[[#This Row],[ÜRÜN KODU]],YMKODLARI!$A$1:$K$363,6,0)," ")</f>
        <v xml:space="preserve"> </v>
      </c>
      <c r="S468" s="100" t="str">
        <f>IFERROR(Tablo5[[#This Row],[YOLLUK HARİÇ BASKI GRAMI]]/Tablo5[[#This Row],[KALIP GÖZ ADEDİ]]," ")</f>
        <v xml:space="preserve"> </v>
      </c>
      <c r="T468" s="100" t="str">
        <f t="shared" si="51"/>
        <v xml:space="preserve"> </v>
      </c>
      <c r="U468" s="100"/>
      <c r="V468" s="100" t="str">
        <f t="shared" si="50"/>
        <v xml:space="preserve"> </v>
      </c>
      <c r="W468" s="101">
        <f t="shared" si="52"/>
        <v>24</v>
      </c>
      <c r="X468" s="102">
        <f t="shared" si="53"/>
        <v>0</v>
      </c>
      <c r="Y468" s="100" t="str">
        <f t="shared" si="54"/>
        <v xml:space="preserve"> </v>
      </c>
      <c r="Z468" s="100" t="str">
        <f t="shared" si="55"/>
        <v xml:space="preserve"> </v>
      </c>
    </row>
    <row r="469" spans="1:26">
      <c r="A469" s="100"/>
      <c r="B469" s="108" t="str">
        <f>IFERROR(VLOOKUP(Tablo5[[#This Row],[ÜRÜN KODU]],YMKODLARI!$A$1:$K$363,2,0)," ")</f>
        <v xml:space="preserve"> </v>
      </c>
      <c r="C469" s="99"/>
      <c r="D469" s="100"/>
      <c r="E469" s="101"/>
      <c r="F469" s="101"/>
      <c r="G469" s="100" t="str">
        <f>IFERROR(VLOOKUP(Tablo5[[#This Row],[ÜRÜN KODU]],YMKODLARI!$A$1:$K$363,3,0)," ")</f>
        <v xml:space="preserve"> </v>
      </c>
      <c r="H469" s="100" t="str">
        <f>IFERROR(VLOOKUP(Tablo5[[#This Row],[ÜRÜN KODU]],YMKODLARI!$A$1:$K$363,4,0)," ")</f>
        <v xml:space="preserve"> </v>
      </c>
      <c r="I469" s="100"/>
      <c r="J469" s="100" t="str">
        <f>IFERROR(VLOOKUP(Tablo5[[#This Row],[ÜRÜN KODU]],YMKODLARI!$A$1:$K$363,9,0)," ")</f>
        <v xml:space="preserve"> </v>
      </c>
      <c r="K469" s="100" t="str">
        <f>IFERROR(VLOOKUP(Tablo5[[#This Row],[BOYA KODU]],Tablo14[#All],4,0)," ")</f>
        <v xml:space="preserve"> </v>
      </c>
      <c r="L469" s="100" t="str">
        <f>IFERROR(VLOOKUP(Tablo5[[#This Row],[BOYA KODU]],Tablo14[#All],6,0)," ")</f>
        <v xml:space="preserve"> </v>
      </c>
      <c r="M469" s="100" t="str">
        <f t="shared" si="49"/>
        <v xml:space="preserve"> </v>
      </c>
      <c r="N469" s="100" t="str">
        <f>IFERROR(VLOOKUP(Tablo5[[#This Row],[ÜRÜN KODU]],YMKODLARI!$A$1:$K$363,8,0)," ")</f>
        <v xml:space="preserve"> </v>
      </c>
      <c r="O469" s="100" t="str">
        <f>IFERROR(VLOOKUP(Tablo5[[#This Row],[HAMMADDE KODU]],Tablo1[#All],3,0)," ")</f>
        <v xml:space="preserve"> </v>
      </c>
      <c r="P469" s="100" t="str">
        <f>IFERROR(VLOOKUP(Tablo5[[#This Row],[HAMMADDE KODU]],Tablo1[#All],4,0)," ")</f>
        <v xml:space="preserve"> </v>
      </c>
      <c r="Q469" s="100" t="str">
        <f>IFERROR(VLOOKUP(Tablo5[[#This Row],[ÜRÜN KODU]],YMKODLARI!$A$1:$K$363,5,0)," ")</f>
        <v xml:space="preserve"> </v>
      </c>
      <c r="R469" s="100" t="str">
        <f>IFERROR(VLOOKUP(Tablo5[[#This Row],[ÜRÜN KODU]],YMKODLARI!$A$1:$K$363,6,0)," ")</f>
        <v xml:space="preserve"> </v>
      </c>
      <c r="S469" s="100" t="str">
        <f>IFERROR(Tablo5[[#This Row],[YOLLUK HARİÇ BASKI GRAMI]]/Tablo5[[#This Row],[KALIP GÖZ ADEDİ]]," ")</f>
        <v xml:space="preserve"> </v>
      </c>
      <c r="T469" s="100" t="str">
        <f t="shared" si="51"/>
        <v xml:space="preserve"> </v>
      </c>
      <c r="U469" s="100"/>
      <c r="V469" s="100" t="str">
        <f t="shared" si="50"/>
        <v xml:space="preserve"> </v>
      </c>
      <c r="W469" s="101">
        <f t="shared" si="52"/>
        <v>24</v>
      </c>
      <c r="X469" s="102">
        <f t="shared" si="53"/>
        <v>0</v>
      </c>
      <c r="Y469" s="100" t="str">
        <f t="shared" si="54"/>
        <v xml:space="preserve"> </v>
      </c>
      <c r="Z469" s="100" t="str">
        <f t="shared" si="55"/>
        <v xml:space="preserve"> </v>
      </c>
    </row>
    <row r="470" spans="1:26">
      <c r="A470" s="100"/>
      <c r="B470" s="108" t="str">
        <f>IFERROR(VLOOKUP(Tablo5[[#This Row],[ÜRÜN KODU]],YMKODLARI!$A$1:$K$363,2,0)," ")</f>
        <v xml:space="preserve"> </v>
      </c>
      <c r="C470" s="99"/>
      <c r="D470" s="100"/>
      <c r="E470" s="101"/>
      <c r="F470" s="101"/>
      <c r="G470" s="100" t="str">
        <f>IFERROR(VLOOKUP(Tablo5[[#This Row],[ÜRÜN KODU]],YMKODLARI!$A$1:$K$363,3,0)," ")</f>
        <v xml:space="preserve"> </v>
      </c>
      <c r="H470" s="100" t="str">
        <f>IFERROR(VLOOKUP(Tablo5[[#This Row],[ÜRÜN KODU]],YMKODLARI!$A$1:$K$363,4,0)," ")</f>
        <v xml:space="preserve"> </v>
      </c>
      <c r="I470" s="100"/>
      <c r="J470" s="100" t="str">
        <f>IFERROR(VLOOKUP(Tablo5[[#This Row],[ÜRÜN KODU]],YMKODLARI!$A$1:$K$363,9,0)," ")</f>
        <v xml:space="preserve"> </v>
      </c>
      <c r="K470" s="100" t="str">
        <f>IFERROR(VLOOKUP(Tablo5[[#This Row],[BOYA KODU]],Tablo14[#All],4,0)," ")</f>
        <v xml:space="preserve"> </v>
      </c>
      <c r="L470" s="100" t="str">
        <f>IFERROR(VLOOKUP(Tablo5[[#This Row],[BOYA KODU]],Tablo14[#All],6,0)," ")</f>
        <v xml:space="preserve"> </v>
      </c>
      <c r="M470" s="100" t="str">
        <f t="shared" si="49"/>
        <v xml:space="preserve"> </v>
      </c>
      <c r="N470" s="100" t="str">
        <f>IFERROR(VLOOKUP(Tablo5[[#This Row],[ÜRÜN KODU]],YMKODLARI!$A$1:$K$363,8,0)," ")</f>
        <v xml:space="preserve"> </v>
      </c>
      <c r="O470" s="100" t="str">
        <f>IFERROR(VLOOKUP(Tablo5[[#This Row],[HAMMADDE KODU]],Tablo1[#All],3,0)," ")</f>
        <v xml:space="preserve"> </v>
      </c>
      <c r="P470" s="100" t="str">
        <f>IFERROR(VLOOKUP(Tablo5[[#This Row],[HAMMADDE KODU]],Tablo1[#All],4,0)," ")</f>
        <v xml:space="preserve"> </v>
      </c>
      <c r="Q470" s="100" t="str">
        <f>IFERROR(VLOOKUP(Tablo5[[#This Row],[ÜRÜN KODU]],YMKODLARI!$A$1:$K$363,5,0)," ")</f>
        <v xml:space="preserve"> </v>
      </c>
      <c r="R470" s="100" t="str">
        <f>IFERROR(VLOOKUP(Tablo5[[#This Row],[ÜRÜN KODU]],YMKODLARI!$A$1:$K$363,6,0)," ")</f>
        <v xml:space="preserve"> </v>
      </c>
      <c r="S470" s="100" t="str">
        <f>IFERROR(Tablo5[[#This Row],[YOLLUK HARİÇ BASKI GRAMI]]/Tablo5[[#This Row],[KALIP GÖZ ADEDİ]]," ")</f>
        <v xml:space="preserve"> </v>
      </c>
      <c r="T470" s="100" t="str">
        <f t="shared" si="51"/>
        <v xml:space="preserve"> </v>
      </c>
      <c r="U470" s="100"/>
      <c r="V470" s="100" t="str">
        <f t="shared" si="50"/>
        <v xml:space="preserve"> </v>
      </c>
      <c r="W470" s="101">
        <f t="shared" si="52"/>
        <v>24</v>
      </c>
      <c r="X470" s="102">
        <f t="shared" si="53"/>
        <v>0</v>
      </c>
      <c r="Y470" s="100" t="str">
        <f t="shared" si="54"/>
        <v xml:space="preserve"> </v>
      </c>
      <c r="Z470" s="100" t="str">
        <f t="shared" si="55"/>
        <v xml:space="preserve"> </v>
      </c>
    </row>
    <row r="471" spans="1:26">
      <c r="A471" s="100"/>
      <c r="B471" s="108" t="str">
        <f>IFERROR(VLOOKUP(Tablo5[[#This Row],[ÜRÜN KODU]],YMKODLARI!$A$1:$K$363,2,0)," ")</f>
        <v xml:space="preserve"> </v>
      </c>
      <c r="C471" s="99"/>
      <c r="D471" s="100"/>
      <c r="E471" s="101"/>
      <c r="F471" s="101"/>
      <c r="G471" s="100" t="str">
        <f>IFERROR(VLOOKUP(Tablo5[[#This Row],[ÜRÜN KODU]],YMKODLARI!$A$1:$K$363,3,0)," ")</f>
        <v xml:space="preserve"> </v>
      </c>
      <c r="H471" s="100" t="str">
        <f>IFERROR(VLOOKUP(Tablo5[[#This Row],[ÜRÜN KODU]],YMKODLARI!$A$1:$K$363,4,0)," ")</f>
        <v xml:space="preserve"> </v>
      </c>
      <c r="I471" s="100"/>
      <c r="J471" s="100" t="str">
        <f>IFERROR(VLOOKUP(Tablo5[[#This Row],[ÜRÜN KODU]],YMKODLARI!$A$1:$K$363,9,0)," ")</f>
        <v xml:space="preserve"> </v>
      </c>
      <c r="K471" s="100" t="str">
        <f>IFERROR(VLOOKUP(Tablo5[[#This Row],[BOYA KODU]],Tablo14[#All],4,0)," ")</f>
        <v xml:space="preserve"> </v>
      </c>
      <c r="L471" s="100" t="str">
        <f>IFERROR(VLOOKUP(Tablo5[[#This Row],[BOYA KODU]],Tablo14[#All],6,0)," ")</f>
        <v xml:space="preserve"> </v>
      </c>
      <c r="M471" s="100" t="str">
        <f t="shared" si="49"/>
        <v xml:space="preserve"> </v>
      </c>
      <c r="N471" s="100" t="str">
        <f>IFERROR(VLOOKUP(Tablo5[[#This Row],[ÜRÜN KODU]],YMKODLARI!$A$1:$K$363,8,0)," ")</f>
        <v xml:space="preserve"> </v>
      </c>
      <c r="O471" s="100" t="str">
        <f>IFERROR(VLOOKUP(Tablo5[[#This Row],[HAMMADDE KODU]],Tablo1[#All],3,0)," ")</f>
        <v xml:space="preserve"> </v>
      </c>
      <c r="P471" s="100" t="str">
        <f>IFERROR(VLOOKUP(Tablo5[[#This Row],[HAMMADDE KODU]],Tablo1[#All],4,0)," ")</f>
        <v xml:space="preserve"> </v>
      </c>
      <c r="Q471" s="100" t="str">
        <f>IFERROR(VLOOKUP(Tablo5[[#This Row],[ÜRÜN KODU]],YMKODLARI!$A$1:$K$363,5,0)," ")</f>
        <v xml:space="preserve"> </v>
      </c>
      <c r="R471" s="100" t="str">
        <f>IFERROR(VLOOKUP(Tablo5[[#This Row],[ÜRÜN KODU]],YMKODLARI!$A$1:$K$363,6,0)," ")</f>
        <v xml:space="preserve"> </v>
      </c>
      <c r="S471" s="100" t="str">
        <f>IFERROR(Tablo5[[#This Row],[YOLLUK HARİÇ BASKI GRAMI]]/Tablo5[[#This Row],[KALIP GÖZ ADEDİ]]," ")</f>
        <v xml:space="preserve"> </v>
      </c>
      <c r="T471" s="100" t="str">
        <f t="shared" si="51"/>
        <v xml:space="preserve"> </v>
      </c>
      <c r="U471" s="100"/>
      <c r="V471" s="100" t="str">
        <f t="shared" si="50"/>
        <v xml:space="preserve"> </v>
      </c>
      <c r="W471" s="101">
        <f t="shared" si="52"/>
        <v>24</v>
      </c>
      <c r="X471" s="102">
        <f t="shared" si="53"/>
        <v>0</v>
      </c>
      <c r="Y471" s="100" t="str">
        <f t="shared" si="54"/>
        <v xml:space="preserve"> </v>
      </c>
      <c r="Z471" s="100" t="str">
        <f t="shared" si="55"/>
        <v xml:space="preserve"> </v>
      </c>
    </row>
    <row r="472" spans="1:26">
      <c r="A472" s="100"/>
      <c r="B472" s="108" t="str">
        <f>IFERROR(VLOOKUP(Tablo5[[#This Row],[ÜRÜN KODU]],YMKODLARI!$A$1:$K$363,2,0)," ")</f>
        <v xml:space="preserve"> </v>
      </c>
      <c r="C472" s="99"/>
      <c r="D472" s="100"/>
      <c r="E472" s="101"/>
      <c r="F472" s="101"/>
      <c r="G472" s="100" t="str">
        <f>IFERROR(VLOOKUP(Tablo5[[#This Row],[ÜRÜN KODU]],YMKODLARI!$A$1:$K$363,3,0)," ")</f>
        <v xml:space="preserve"> </v>
      </c>
      <c r="H472" s="100" t="str">
        <f>IFERROR(VLOOKUP(Tablo5[[#This Row],[ÜRÜN KODU]],YMKODLARI!$A$1:$K$363,4,0)," ")</f>
        <v xml:space="preserve"> </v>
      </c>
      <c r="I472" s="100"/>
      <c r="J472" s="100" t="str">
        <f>IFERROR(VLOOKUP(Tablo5[[#This Row],[ÜRÜN KODU]],YMKODLARI!$A$1:$K$363,9,0)," ")</f>
        <v xml:space="preserve"> </v>
      </c>
      <c r="K472" s="100" t="str">
        <f>IFERROR(VLOOKUP(Tablo5[[#This Row],[BOYA KODU]],Tablo14[#All],4,0)," ")</f>
        <v xml:space="preserve"> </v>
      </c>
      <c r="L472" s="100" t="str">
        <f>IFERROR(VLOOKUP(Tablo5[[#This Row],[BOYA KODU]],Tablo14[#All],6,0)," ")</f>
        <v xml:space="preserve"> </v>
      </c>
      <c r="M472" s="100" t="str">
        <f t="shared" si="49"/>
        <v xml:space="preserve"> </v>
      </c>
      <c r="N472" s="100" t="str">
        <f>IFERROR(VLOOKUP(Tablo5[[#This Row],[ÜRÜN KODU]],YMKODLARI!$A$1:$K$363,8,0)," ")</f>
        <v xml:space="preserve"> </v>
      </c>
      <c r="O472" s="100" t="str">
        <f>IFERROR(VLOOKUP(Tablo5[[#This Row],[HAMMADDE KODU]],Tablo1[#All],3,0)," ")</f>
        <v xml:space="preserve"> </v>
      </c>
      <c r="P472" s="100" t="str">
        <f>IFERROR(VLOOKUP(Tablo5[[#This Row],[HAMMADDE KODU]],Tablo1[#All],4,0)," ")</f>
        <v xml:space="preserve"> </v>
      </c>
      <c r="Q472" s="100" t="str">
        <f>IFERROR(VLOOKUP(Tablo5[[#This Row],[ÜRÜN KODU]],YMKODLARI!$A$1:$K$363,5,0)," ")</f>
        <v xml:space="preserve"> </v>
      </c>
      <c r="R472" s="100" t="str">
        <f>IFERROR(VLOOKUP(Tablo5[[#This Row],[ÜRÜN KODU]],YMKODLARI!$A$1:$K$363,6,0)," ")</f>
        <v xml:space="preserve"> </v>
      </c>
      <c r="S472" s="100" t="str">
        <f>IFERROR(Tablo5[[#This Row],[YOLLUK HARİÇ BASKI GRAMI]]/Tablo5[[#This Row],[KALIP GÖZ ADEDİ]]," ")</f>
        <v xml:space="preserve"> </v>
      </c>
      <c r="T472" s="100" t="str">
        <f t="shared" si="51"/>
        <v xml:space="preserve"> </v>
      </c>
      <c r="U472" s="100"/>
      <c r="V472" s="100" t="str">
        <f t="shared" si="50"/>
        <v xml:space="preserve"> </v>
      </c>
      <c r="W472" s="101">
        <f t="shared" si="52"/>
        <v>24</v>
      </c>
      <c r="X472" s="102">
        <f t="shared" si="53"/>
        <v>0</v>
      </c>
      <c r="Y472" s="100" t="str">
        <f t="shared" si="54"/>
        <v xml:space="preserve"> </v>
      </c>
      <c r="Z472" s="100" t="str">
        <f t="shared" si="55"/>
        <v xml:space="preserve"> </v>
      </c>
    </row>
    <row r="473" spans="1:26">
      <c r="A473" s="100"/>
      <c r="B473" s="108" t="str">
        <f>IFERROR(VLOOKUP(Tablo5[[#This Row],[ÜRÜN KODU]],YMKODLARI!$A$1:$K$363,2,0)," ")</f>
        <v xml:space="preserve"> </v>
      </c>
      <c r="C473" s="99"/>
      <c r="D473" s="100"/>
      <c r="E473" s="101"/>
      <c r="F473" s="101"/>
      <c r="G473" s="100" t="str">
        <f>IFERROR(VLOOKUP(Tablo5[[#This Row],[ÜRÜN KODU]],YMKODLARI!$A$1:$K$363,3,0)," ")</f>
        <v xml:space="preserve"> </v>
      </c>
      <c r="H473" s="100" t="str">
        <f>IFERROR(VLOOKUP(Tablo5[[#This Row],[ÜRÜN KODU]],YMKODLARI!$A$1:$K$363,4,0)," ")</f>
        <v xml:space="preserve"> </v>
      </c>
      <c r="I473" s="100"/>
      <c r="J473" s="100" t="str">
        <f>IFERROR(VLOOKUP(Tablo5[[#This Row],[ÜRÜN KODU]],YMKODLARI!$A$1:$K$363,9,0)," ")</f>
        <v xml:space="preserve"> </v>
      </c>
      <c r="K473" s="100" t="str">
        <f>IFERROR(VLOOKUP(Tablo5[[#This Row],[BOYA KODU]],Tablo14[#All],4,0)," ")</f>
        <v xml:space="preserve"> </v>
      </c>
      <c r="L473" s="100" t="str">
        <f>IFERROR(VLOOKUP(Tablo5[[#This Row],[BOYA KODU]],Tablo14[#All],6,0)," ")</f>
        <v xml:space="preserve"> </v>
      </c>
      <c r="M473" s="100" t="str">
        <f t="shared" si="49"/>
        <v xml:space="preserve"> </v>
      </c>
      <c r="N473" s="100" t="str">
        <f>IFERROR(VLOOKUP(Tablo5[[#This Row],[ÜRÜN KODU]],YMKODLARI!$A$1:$K$363,8,0)," ")</f>
        <v xml:space="preserve"> </v>
      </c>
      <c r="O473" s="100" t="str">
        <f>IFERROR(VLOOKUP(Tablo5[[#This Row],[HAMMADDE KODU]],Tablo1[#All],3,0)," ")</f>
        <v xml:space="preserve"> </v>
      </c>
      <c r="P473" s="100" t="str">
        <f>IFERROR(VLOOKUP(Tablo5[[#This Row],[HAMMADDE KODU]],Tablo1[#All],4,0)," ")</f>
        <v xml:space="preserve"> </v>
      </c>
      <c r="Q473" s="100" t="str">
        <f>IFERROR(VLOOKUP(Tablo5[[#This Row],[ÜRÜN KODU]],YMKODLARI!$A$1:$K$363,5,0)," ")</f>
        <v xml:space="preserve"> </v>
      </c>
      <c r="R473" s="100" t="str">
        <f>IFERROR(VLOOKUP(Tablo5[[#This Row],[ÜRÜN KODU]],YMKODLARI!$A$1:$K$363,6,0)," ")</f>
        <v xml:space="preserve"> </v>
      </c>
      <c r="S473" s="100" t="str">
        <f>IFERROR(Tablo5[[#This Row],[YOLLUK HARİÇ BASKI GRAMI]]/Tablo5[[#This Row],[KALIP GÖZ ADEDİ]]," ")</f>
        <v xml:space="preserve"> </v>
      </c>
      <c r="T473" s="100" t="str">
        <f t="shared" si="51"/>
        <v xml:space="preserve"> </v>
      </c>
      <c r="U473" s="100"/>
      <c r="V473" s="100" t="str">
        <f t="shared" si="50"/>
        <v xml:space="preserve"> </v>
      </c>
      <c r="W473" s="101">
        <f t="shared" si="52"/>
        <v>24</v>
      </c>
      <c r="X473" s="102">
        <f t="shared" si="53"/>
        <v>0</v>
      </c>
      <c r="Y473" s="100" t="str">
        <f t="shared" si="54"/>
        <v xml:space="preserve"> </v>
      </c>
      <c r="Z473" s="100" t="str">
        <f t="shared" si="55"/>
        <v xml:space="preserve"> </v>
      </c>
    </row>
    <row r="474" spans="1:26">
      <c r="A474" s="100"/>
      <c r="B474" s="108" t="str">
        <f>IFERROR(VLOOKUP(Tablo5[[#This Row],[ÜRÜN KODU]],YMKODLARI!$A$1:$K$363,2,0)," ")</f>
        <v xml:space="preserve"> </v>
      </c>
      <c r="C474" s="99"/>
      <c r="D474" s="100"/>
      <c r="E474" s="101"/>
      <c r="F474" s="101"/>
      <c r="G474" s="100" t="str">
        <f>IFERROR(VLOOKUP(Tablo5[[#This Row],[ÜRÜN KODU]],YMKODLARI!$A$1:$K$363,3,0)," ")</f>
        <v xml:space="preserve"> </v>
      </c>
      <c r="H474" s="100" t="str">
        <f>IFERROR(VLOOKUP(Tablo5[[#This Row],[ÜRÜN KODU]],YMKODLARI!$A$1:$K$363,4,0)," ")</f>
        <v xml:space="preserve"> </v>
      </c>
      <c r="I474" s="100"/>
      <c r="J474" s="100" t="str">
        <f>IFERROR(VLOOKUP(Tablo5[[#This Row],[ÜRÜN KODU]],YMKODLARI!$A$1:$K$363,9,0)," ")</f>
        <v xml:space="preserve"> </v>
      </c>
      <c r="K474" s="100" t="str">
        <f>IFERROR(VLOOKUP(Tablo5[[#This Row],[BOYA KODU]],Tablo14[#All],4,0)," ")</f>
        <v xml:space="preserve"> </v>
      </c>
      <c r="L474" s="100" t="str">
        <f>IFERROR(VLOOKUP(Tablo5[[#This Row],[BOYA KODU]],Tablo14[#All],6,0)," ")</f>
        <v xml:space="preserve"> </v>
      </c>
      <c r="M474" s="100" t="str">
        <f t="shared" si="49"/>
        <v xml:space="preserve"> </v>
      </c>
      <c r="N474" s="100" t="str">
        <f>IFERROR(VLOOKUP(Tablo5[[#This Row],[ÜRÜN KODU]],YMKODLARI!$A$1:$K$363,8,0)," ")</f>
        <v xml:space="preserve"> </v>
      </c>
      <c r="O474" s="100" t="str">
        <f>IFERROR(VLOOKUP(Tablo5[[#This Row],[HAMMADDE KODU]],Tablo1[#All],3,0)," ")</f>
        <v xml:space="preserve"> </v>
      </c>
      <c r="P474" s="100" t="str">
        <f>IFERROR(VLOOKUP(Tablo5[[#This Row],[HAMMADDE KODU]],Tablo1[#All],4,0)," ")</f>
        <v xml:space="preserve"> </v>
      </c>
      <c r="Q474" s="100" t="str">
        <f>IFERROR(VLOOKUP(Tablo5[[#This Row],[ÜRÜN KODU]],YMKODLARI!$A$1:$K$363,5,0)," ")</f>
        <v xml:space="preserve"> </v>
      </c>
      <c r="R474" s="100" t="str">
        <f>IFERROR(VLOOKUP(Tablo5[[#This Row],[ÜRÜN KODU]],YMKODLARI!$A$1:$K$363,6,0)," ")</f>
        <v xml:space="preserve"> </v>
      </c>
      <c r="S474" s="100" t="str">
        <f>IFERROR(Tablo5[[#This Row],[YOLLUK HARİÇ BASKI GRAMI]]/Tablo5[[#This Row],[KALIP GÖZ ADEDİ]]," ")</f>
        <v xml:space="preserve"> </v>
      </c>
      <c r="T474" s="100" t="str">
        <f t="shared" si="51"/>
        <v xml:space="preserve"> </v>
      </c>
      <c r="U474" s="100"/>
      <c r="V474" s="100" t="str">
        <f t="shared" si="50"/>
        <v xml:space="preserve"> </v>
      </c>
      <c r="W474" s="101">
        <f t="shared" si="52"/>
        <v>24</v>
      </c>
      <c r="X474" s="102">
        <f t="shared" si="53"/>
        <v>0</v>
      </c>
      <c r="Y474" s="100" t="str">
        <f t="shared" si="54"/>
        <v xml:space="preserve"> </v>
      </c>
      <c r="Z474" s="100" t="str">
        <f t="shared" si="55"/>
        <v xml:space="preserve"> </v>
      </c>
    </row>
    <row r="475" spans="1:26">
      <c r="A475" s="100"/>
      <c r="B475" s="108" t="str">
        <f>IFERROR(VLOOKUP(Tablo5[[#This Row],[ÜRÜN KODU]],YMKODLARI!$A$1:$K$363,2,0)," ")</f>
        <v xml:space="preserve"> </v>
      </c>
      <c r="C475" s="99"/>
      <c r="D475" s="100"/>
      <c r="E475" s="101"/>
      <c r="F475" s="101"/>
      <c r="G475" s="100" t="str">
        <f>IFERROR(VLOOKUP(Tablo5[[#This Row],[ÜRÜN KODU]],YMKODLARI!$A$1:$K$363,3,0)," ")</f>
        <v xml:space="preserve"> </v>
      </c>
      <c r="H475" s="100" t="str">
        <f>IFERROR(VLOOKUP(Tablo5[[#This Row],[ÜRÜN KODU]],YMKODLARI!$A$1:$K$363,4,0)," ")</f>
        <v xml:space="preserve"> </v>
      </c>
      <c r="I475" s="100"/>
      <c r="J475" s="100" t="str">
        <f>IFERROR(VLOOKUP(Tablo5[[#This Row],[ÜRÜN KODU]],YMKODLARI!$A$1:$K$363,9,0)," ")</f>
        <v xml:space="preserve"> </v>
      </c>
      <c r="K475" s="100" t="str">
        <f>IFERROR(VLOOKUP(Tablo5[[#This Row],[BOYA KODU]],Tablo14[#All],4,0)," ")</f>
        <v xml:space="preserve"> </v>
      </c>
      <c r="L475" s="100" t="str">
        <f>IFERROR(VLOOKUP(Tablo5[[#This Row],[BOYA KODU]],Tablo14[#All],6,0)," ")</f>
        <v xml:space="preserve"> </v>
      </c>
      <c r="M475" s="100" t="str">
        <f t="shared" si="49"/>
        <v xml:space="preserve"> </v>
      </c>
      <c r="N475" s="100" t="str">
        <f>IFERROR(VLOOKUP(Tablo5[[#This Row],[ÜRÜN KODU]],YMKODLARI!$A$1:$K$363,8,0)," ")</f>
        <v xml:space="preserve"> </v>
      </c>
      <c r="O475" s="100" t="str">
        <f>IFERROR(VLOOKUP(Tablo5[[#This Row],[HAMMADDE KODU]],Tablo1[#All],3,0)," ")</f>
        <v xml:space="preserve"> </v>
      </c>
      <c r="P475" s="100" t="str">
        <f>IFERROR(VLOOKUP(Tablo5[[#This Row],[HAMMADDE KODU]],Tablo1[#All],4,0)," ")</f>
        <v xml:space="preserve"> </v>
      </c>
      <c r="Q475" s="100" t="str">
        <f>IFERROR(VLOOKUP(Tablo5[[#This Row],[ÜRÜN KODU]],YMKODLARI!$A$1:$K$363,5,0)," ")</f>
        <v xml:space="preserve"> </v>
      </c>
      <c r="R475" s="100" t="str">
        <f>IFERROR(VLOOKUP(Tablo5[[#This Row],[ÜRÜN KODU]],YMKODLARI!$A$1:$K$363,6,0)," ")</f>
        <v xml:space="preserve"> </v>
      </c>
      <c r="S475" s="100" t="str">
        <f>IFERROR(Tablo5[[#This Row],[YOLLUK HARİÇ BASKI GRAMI]]/Tablo5[[#This Row],[KALIP GÖZ ADEDİ]]," ")</f>
        <v xml:space="preserve"> </v>
      </c>
      <c r="T475" s="100" t="str">
        <f t="shared" si="51"/>
        <v xml:space="preserve"> </v>
      </c>
      <c r="U475" s="100"/>
      <c r="V475" s="100" t="str">
        <f t="shared" si="50"/>
        <v xml:space="preserve"> </v>
      </c>
      <c r="W475" s="101">
        <f t="shared" si="52"/>
        <v>24</v>
      </c>
      <c r="X475" s="102">
        <f t="shared" si="53"/>
        <v>0</v>
      </c>
      <c r="Y475" s="100" t="str">
        <f t="shared" si="54"/>
        <v xml:space="preserve"> </v>
      </c>
      <c r="Z475" s="100" t="str">
        <f t="shared" si="55"/>
        <v xml:space="preserve"> </v>
      </c>
    </row>
    <row r="476" spans="1:26">
      <c r="A476" s="100"/>
      <c r="B476" s="108" t="str">
        <f>IFERROR(VLOOKUP(Tablo5[[#This Row],[ÜRÜN KODU]],YMKODLARI!$A$1:$K$363,2,0)," ")</f>
        <v xml:space="preserve"> </v>
      </c>
      <c r="C476" s="99"/>
      <c r="D476" s="100"/>
      <c r="E476" s="101"/>
      <c r="F476" s="101"/>
      <c r="G476" s="100" t="str">
        <f>IFERROR(VLOOKUP(Tablo5[[#This Row],[ÜRÜN KODU]],YMKODLARI!$A$1:$K$363,3,0)," ")</f>
        <v xml:space="preserve"> </v>
      </c>
      <c r="H476" s="100" t="str">
        <f>IFERROR(VLOOKUP(Tablo5[[#This Row],[ÜRÜN KODU]],YMKODLARI!$A$1:$K$363,4,0)," ")</f>
        <v xml:space="preserve"> </v>
      </c>
      <c r="I476" s="100"/>
      <c r="J476" s="100" t="str">
        <f>IFERROR(VLOOKUP(Tablo5[[#This Row],[ÜRÜN KODU]],YMKODLARI!$A$1:$K$363,9,0)," ")</f>
        <v xml:space="preserve"> </v>
      </c>
      <c r="K476" s="100" t="str">
        <f>IFERROR(VLOOKUP(Tablo5[[#This Row],[BOYA KODU]],Tablo14[#All],4,0)," ")</f>
        <v xml:space="preserve"> </v>
      </c>
      <c r="L476" s="100" t="str">
        <f>IFERROR(VLOOKUP(Tablo5[[#This Row],[BOYA KODU]],Tablo14[#All],6,0)," ")</f>
        <v xml:space="preserve"> </v>
      </c>
      <c r="M476" s="100" t="str">
        <f t="shared" si="49"/>
        <v xml:space="preserve"> </v>
      </c>
      <c r="N476" s="100" t="str">
        <f>IFERROR(VLOOKUP(Tablo5[[#This Row],[ÜRÜN KODU]],YMKODLARI!$A$1:$K$363,8,0)," ")</f>
        <v xml:space="preserve"> </v>
      </c>
      <c r="O476" s="100" t="str">
        <f>IFERROR(VLOOKUP(Tablo5[[#This Row],[HAMMADDE KODU]],Tablo1[#All],3,0)," ")</f>
        <v xml:space="preserve"> </v>
      </c>
      <c r="P476" s="100" t="str">
        <f>IFERROR(VLOOKUP(Tablo5[[#This Row],[HAMMADDE KODU]],Tablo1[#All],4,0)," ")</f>
        <v xml:space="preserve"> </v>
      </c>
      <c r="Q476" s="100" t="str">
        <f>IFERROR(VLOOKUP(Tablo5[[#This Row],[ÜRÜN KODU]],YMKODLARI!$A$1:$K$363,5,0)," ")</f>
        <v xml:space="preserve"> </v>
      </c>
      <c r="R476" s="100" t="str">
        <f>IFERROR(VLOOKUP(Tablo5[[#This Row],[ÜRÜN KODU]],YMKODLARI!$A$1:$K$363,6,0)," ")</f>
        <v xml:space="preserve"> </v>
      </c>
      <c r="S476" s="100" t="str">
        <f>IFERROR(Tablo5[[#This Row],[YOLLUK HARİÇ BASKI GRAMI]]/Tablo5[[#This Row],[KALIP GÖZ ADEDİ]]," ")</f>
        <v xml:space="preserve"> </v>
      </c>
      <c r="T476" s="100" t="str">
        <f t="shared" si="51"/>
        <v xml:space="preserve"> </v>
      </c>
      <c r="U476" s="100"/>
      <c r="V476" s="100" t="str">
        <f t="shared" si="50"/>
        <v xml:space="preserve"> </v>
      </c>
      <c r="W476" s="101">
        <f t="shared" si="52"/>
        <v>24</v>
      </c>
      <c r="X476" s="102">
        <f t="shared" si="53"/>
        <v>0</v>
      </c>
      <c r="Y476" s="100" t="str">
        <f t="shared" si="54"/>
        <v xml:space="preserve"> </v>
      </c>
      <c r="Z476" s="100" t="str">
        <f t="shared" si="55"/>
        <v xml:space="preserve"> </v>
      </c>
    </row>
    <row r="477" spans="1:26">
      <c r="A477" s="100"/>
      <c r="B477" s="108" t="str">
        <f>IFERROR(VLOOKUP(Tablo5[[#This Row],[ÜRÜN KODU]],YMKODLARI!$A$1:$K$363,2,0)," ")</f>
        <v xml:space="preserve"> </v>
      </c>
      <c r="C477" s="99"/>
      <c r="D477" s="100"/>
      <c r="E477" s="101"/>
      <c r="F477" s="101"/>
      <c r="G477" s="100" t="str">
        <f>IFERROR(VLOOKUP(Tablo5[[#This Row],[ÜRÜN KODU]],YMKODLARI!$A$1:$K$363,3,0)," ")</f>
        <v xml:space="preserve"> </v>
      </c>
      <c r="H477" s="100" t="str">
        <f>IFERROR(VLOOKUP(Tablo5[[#This Row],[ÜRÜN KODU]],YMKODLARI!$A$1:$K$363,4,0)," ")</f>
        <v xml:space="preserve"> </v>
      </c>
      <c r="I477" s="100"/>
      <c r="J477" s="100" t="str">
        <f>IFERROR(VLOOKUP(Tablo5[[#This Row],[ÜRÜN KODU]],YMKODLARI!$A$1:$K$363,9,0)," ")</f>
        <v xml:space="preserve"> </v>
      </c>
      <c r="K477" s="100" t="str">
        <f>IFERROR(VLOOKUP(Tablo5[[#This Row],[BOYA KODU]],Tablo14[#All],4,0)," ")</f>
        <v xml:space="preserve"> </v>
      </c>
      <c r="L477" s="100" t="str">
        <f>IFERROR(VLOOKUP(Tablo5[[#This Row],[BOYA KODU]],Tablo14[#All],6,0)," ")</f>
        <v xml:space="preserve"> </v>
      </c>
      <c r="M477" s="100" t="str">
        <f t="shared" si="49"/>
        <v xml:space="preserve"> </v>
      </c>
      <c r="N477" s="100" t="str">
        <f>IFERROR(VLOOKUP(Tablo5[[#This Row],[ÜRÜN KODU]],YMKODLARI!$A$1:$K$363,8,0)," ")</f>
        <v xml:space="preserve"> </v>
      </c>
      <c r="O477" s="100" t="str">
        <f>IFERROR(VLOOKUP(Tablo5[[#This Row],[HAMMADDE KODU]],Tablo1[#All],3,0)," ")</f>
        <v xml:space="preserve"> </v>
      </c>
      <c r="P477" s="100" t="str">
        <f>IFERROR(VLOOKUP(Tablo5[[#This Row],[HAMMADDE KODU]],Tablo1[#All],4,0)," ")</f>
        <v xml:space="preserve"> </v>
      </c>
      <c r="Q477" s="100" t="str">
        <f>IFERROR(VLOOKUP(Tablo5[[#This Row],[ÜRÜN KODU]],YMKODLARI!$A$1:$K$363,5,0)," ")</f>
        <v xml:space="preserve"> </v>
      </c>
      <c r="R477" s="100" t="str">
        <f>IFERROR(VLOOKUP(Tablo5[[#This Row],[ÜRÜN KODU]],YMKODLARI!$A$1:$K$363,6,0)," ")</f>
        <v xml:space="preserve"> </v>
      </c>
      <c r="S477" s="100" t="str">
        <f>IFERROR(Tablo5[[#This Row],[YOLLUK HARİÇ BASKI GRAMI]]/Tablo5[[#This Row],[KALIP GÖZ ADEDİ]]," ")</f>
        <v xml:space="preserve"> </v>
      </c>
      <c r="T477" s="100" t="str">
        <f t="shared" si="51"/>
        <v xml:space="preserve"> </v>
      </c>
      <c r="U477" s="100"/>
      <c r="V477" s="100" t="str">
        <f t="shared" si="50"/>
        <v xml:space="preserve"> </v>
      </c>
      <c r="W477" s="101">
        <f t="shared" si="52"/>
        <v>24</v>
      </c>
      <c r="X477" s="102">
        <f t="shared" si="53"/>
        <v>0</v>
      </c>
      <c r="Y477" s="100" t="str">
        <f t="shared" si="54"/>
        <v xml:space="preserve"> </v>
      </c>
      <c r="Z477" s="100" t="str">
        <f t="shared" si="55"/>
        <v xml:space="preserve"> </v>
      </c>
    </row>
    <row r="478" spans="1:26">
      <c r="A478" s="100"/>
      <c r="B478" s="108" t="str">
        <f>IFERROR(VLOOKUP(Tablo5[[#This Row],[ÜRÜN KODU]],YMKODLARI!$A$1:$K$363,2,0)," ")</f>
        <v xml:space="preserve"> </v>
      </c>
      <c r="C478" s="99"/>
      <c r="D478" s="100"/>
      <c r="E478" s="101"/>
      <c r="F478" s="101"/>
      <c r="G478" s="100" t="str">
        <f>IFERROR(VLOOKUP(Tablo5[[#This Row],[ÜRÜN KODU]],YMKODLARI!$A$1:$K$363,3,0)," ")</f>
        <v xml:space="preserve"> </v>
      </c>
      <c r="H478" s="100" t="str">
        <f>IFERROR(VLOOKUP(Tablo5[[#This Row],[ÜRÜN KODU]],YMKODLARI!$A$1:$K$363,4,0)," ")</f>
        <v xml:space="preserve"> </v>
      </c>
      <c r="I478" s="100"/>
      <c r="J478" s="100" t="str">
        <f>IFERROR(VLOOKUP(Tablo5[[#This Row],[ÜRÜN KODU]],YMKODLARI!$A$1:$K$363,9,0)," ")</f>
        <v xml:space="preserve"> </v>
      </c>
      <c r="K478" s="100" t="str">
        <f>IFERROR(VLOOKUP(Tablo5[[#This Row],[BOYA KODU]],Tablo14[#All],4,0)," ")</f>
        <v xml:space="preserve"> </v>
      </c>
      <c r="L478" s="100" t="str">
        <f>IFERROR(VLOOKUP(Tablo5[[#This Row],[BOYA KODU]],Tablo14[#All],6,0)," ")</f>
        <v xml:space="preserve"> </v>
      </c>
      <c r="M478" s="100" t="str">
        <f t="shared" si="49"/>
        <v xml:space="preserve"> </v>
      </c>
      <c r="N478" s="100" t="str">
        <f>IFERROR(VLOOKUP(Tablo5[[#This Row],[ÜRÜN KODU]],YMKODLARI!$A$1:$K$363,8,0)," ")</f>
        <v xml:space="preserve"> </v>
      </c>
      <c r="O478" s="100" t="str">
        <f>IFERROR(VLOOKUP(Tablo5[[#This Row],[HAMMADDE KODU]],Tablo1[#All],3,0)," ")</f>
        <v xml:space="preserve"> </v>
      </c>
      <c r="P478" s="100" t="str">
        <f>IFERROR(VLOOKUP(Tablo5[[#This Row],[HAMMADDE KODU]],Tablo1[#All],4,0)," ")</f>
        <v xml:space="preserve"> </v>
      </c>
      <c r="Q478" s="100" t="str">
        <f>IFERROR(VLOOKUP(Tablo5[[#This Row],[ÜRÜN KODU]],YMKODLARI!$A$1:$K$363,5,0)," ")</f>
        <v xml:space="preserve"> </v>
      </c>
      <c r="R478" s="100" t="str">
        <f>IFERROR(VLOOKUP(Tablo5[[#This Row],[ÜRÜN KODU]],YMKODLARI!$A$1:$K$363,6,0)," ")</f>
        <v xml:space="preserve"> </v>
      </c>
      <c r="S478" s="100" t="str">
        <f>IFERROR(Tablo5[[#This Row],[YOLLUK HARİÇ BASKI GRAMI]]/Tablo5[[#This Row],[KALIP GÖZ ADEDİ]]," ")</f>
        <v xml:space="preserve"> </v>
      </c>
      <c r="T478" s="100" t="str">
        <f t="shared" si="51"/>
        <v xml:space="preserve"> </v>
      </c>
      <c r="U478" s="100"/>
      <c r="V478" s="100" t="str">
        <f t="shared" si="50"/>
        <v xml:space="preserve"> </v>
      </c>
      <c r="W478" s="101">
        <f t="shared" si="52"/>
        <v>24</v>
      </c>
      <c r="X478" s="102">
        <f t="shared" si="53"/>
        <v>0</v>
      </c>
      <c r="Y478" s="100" t="str">
        <f t="shared" si="54"/>
        <v xml:space="preserve"> </v>
      </c>
      <c r="Z478" s="100" t="str">
        <f t="shared" si="55"/>
        <v xml:space="preserve"> </v>
      </c>
    </row>
    <row r="479" spans="1:26">
      <c r="A479" s="100"/>
      <c r="B479" s="108" t="str">
        <f>IFERROR(VLOOKUP(Tablo5[[#This Row],[ÜRÜN KODU]],YMKODLARI!$A$1:$K$363,2,0)," ")</f>
        <v xml:space="preserve"> </v>
      </c>
      <c r="C479" s="99"/>
      <c r="D479" s="100"/>
      <c r="E479" s="101"/>
      <c r="F479" s="101"/>
      <c r="G479" s="100" t="str">
        <f>IFERROR(VLOOKUP(Tablo5[[#This Row],[ÜRÜN KODU]],YMKODLARI!$A$1:$K$363,3,0)," ")</f>
        <v xml:space="preserve"> </v>
      </c>
      <c r="H479" s="100" t="str">
        <f>IFERROR(VLOOKUP(Tablo5[[#This Row],[ÜRÜN KODU]],YMKODLARI!$A$1:$K$363,4,0)," ")</f>
        <v xml:space="preserve"> </v>
      </c>
      <c r="I479" s="100"/>
      <c r="J479" s="100" t="str">
        <f>IFERROR(VLOOKUP(Tablo5[[#This Row],[ÜRÜN KODU]],YMKODLARI!$A$1:$K$363,9,0)," ")</f>
        <v xml:space="preserve"> </v>
      </c>
      <c r="K479" s="100" t="str">
        <f>IFERROR(VLOOKUP(Tablo5[[#This Row],[BOYA KODU]],Tablo14[#All],4,0)," ")</f>
        <v xml:space="preserve"> </v>
      </c>
      <c r="L479" s="100" t="str">
        <f>IFERROR(VLOOKUP(Tablo5[[#This Row],[BOYA KODU]],Tablo14[#All],6,0)," ")</f>
        <v xml:space="preserve"> </v>
      </c>
      <c r="M479" s="100" t="str">
        <f t="shared" si="49"/>
        <v xml:space="preserve"> </v>
      </c>
      <c r="N479" s="100" t="str">
        <f>IFERROR(VLOOKUP(Tablo5[[#This Row],[ÜRÜN KODU]],YMKODLARI!$A$1:$K$363,8,0)," ")</f>
        <v xml:space="preserve"> </v>
      </c>
      <c r="O479" s="100" t="str">
        <f>IFERROR(VLOOKUP(Tablo5[[#This Row],[HAMMADDE KODU]],Tablo1[#All],3,0)," ")</f>
        <v xml:space="preserve"> </v>
      </c>
      <c r="P479" s="100" t="str">
        <f>IFERROR(VLOOKUP(Tablo5[[#This Row],[HAMMADDE KODU]],Tablo1[#All],4,0)," ")</f>
        <v xml:space="preserve"> </v>
      </c>
      <c r="Q479" s="100" t="str">
        <f>IFERROR(VLOOKUP(Tablo5[[#This Row],[ÜRÜN KODU]],YMKODLARI!$A$1:$K$363,5,0)," ")</f>
        <v xml:space="preserve"> </v>
      </c>
      <c r="R479" s="100" t="str">
        <f>IFERROR(VLOOKUP(Tablo5[[#This Row],[ÜRÜN KODU]],YMKODLARI!$A$1:$K$363,6,0)," ")</f>
        <v xml:space="preserve"> </v>
      </c>
      <c r="S479" s="100" t="str">
        <f>IFERROR(Tablo5[[#This Row],[YOLLUK HARİÇ BASKI GRAMI]]/Tablo5[[#This Row],[KALIP GÖZ ADEDİ]]," ")</f>
        <v xml:space="preserve"> </v>
      </c>
      <c r="T479" s="100" t="str">
        <f t="shared" si="51"/>
        <v xml:space="preserve"> </v>
      </c>
      <c r="U479" s="100"/>
      <c r="V479" s="100" t="str">
        <f t="shared" si="50"/>
        <v xml:space="preserve"> </v>
      </c>
      <c r="W479" s="101">
        <f t="shared" si="52"/>
        <v>24</v>
      </c>
      <c r="X479" s="102">
        <f t="shared" si="53"/>
        <v>0</v>
      </c>
      <c r="Y479" s="100" t="str">
        <f t="shared" si="54"/>
        <v xml:space="preserve"> </v>
      </c>
      <c r="Z479" s="100" t="str">
        <f t="shared" si="55"/>
        <v xml:space="preserve"> </v>
      </c>
    </row>
    <row r="480" spans="1:26">
      <c r="A480" s="100"/>
      <c r="B480" s="108" t="str">
        <f>IFERROR(VLOOKUP(Tablo5[[#This Row],[ÜRÜN KODU]],YMKODLARI!$A$1:$K$363,2,0)," ")</f>
        <v xml:space="preserve"> </v>
      </c>
      <c r="C480" s="99"/>
      <c r="D480" s="100"/>
      <c r="E480" s="101"/>
      <c r="F480" s="101"/>
      <c r="G480" s="100" t="str">
        <f>IFERROR(VLOOKUP(Tablo5[[#This Row],[ÜRÜN KODU]],YMKODLARI!$A$1:$K$363,3,0)," ")</f>
        <v xml:space="preserve"> </v>
      </c>
      <c r="H480" s="100" t="str">
        <f>IFERROR(VLOOKUP(Tablo5[[#This Row],[ÜRÜN KODU]],YMKODLARI!$A$1:$K$363,4,0)," ")</f>
        <v xml:space="preserve"> </v>
      </c>
      <c r="I480" s="100"/>
      <c r="J480" s="100" t="str">
        <f>IFERROR(VLOOKUP(Tablo5[[#This Row],[ÜRÜN KODU]],YMKODLARI!$A$1:$K$363,9,0)," ")</f>
        <v xml:space="preserve"> </v>
      </c>
      <c r="K480" s="100" t="str">
        <f>IFERROR(VLOOKUP(Tablo5[[#This Row],[BOYA KODU]],Tablo14[#All],4,0)," ")</f>
        <v xml:space="preserve"> </v>
      </c>
      <c r="L480" s="100" t="str">
        <f>IFERROR(VLOOKUP(Tablo5[[#This Row],[BOYA KODU]],Tablo14[#All],6,0)," ")</f>
        <v xml:space="preserve"> </v>
      </c>
      <c r="M480" s="100" t="str">
        <f t="shared" si="49"/>
        <v xml:space="preserve"> </v>
      </c>
      <c r="N480" s="100" t="str">
        <f>IFERROR(VLOOKUP(Tablo5[[#This Row],[ÜRÜN KODU]],YMKODLARI!$A$1:$K$363,8,0)," ")</f>
        <v xml:space="preserve"> </v>
      </c>
      <c r="O480" s="100" t="str">
        <f>IFERROR(VLOOKUP(Tablo5[[#This Row],[HAMMADDE KODU]],Tablo1[#All],3,0)," ")</f>
        <v xml:space="preserve"> </v>
      </c>
      <c r="P480" s="100" t="str">
        <f>IFERROR(VLOOKUP(Tablo5[[#This Row],[HAMMADDE KODU]],Tablo1[#All],4,0)," ")</f>
        <v xml:space="preserve"> </v>
      </c>
      <c r="Q480" s="100" t="str">
        <f>IFERROR(VLOOKUP(Tablo5[[#This Row],[ÜRÜN KODU]],YMKODLARI!$A$1:$K$363,5,0)," ")</f>
        <v xml:space="preserve"> </v>
      </c>
      <c r="R480" s="100" t="str">
        <f>IFERROR(VLOOKUP(Tablo5[[#This Row],[ÜRÜN KODU]],YMKODLARI!$A$1:$K$363,6,0)," ")</f>
        <v xml:space="preserve"> </v>
      </c>
      <c r="S480" s="100" t="str">
        <f>IFERROR(Tablo5[[#This Row],[YOLLUK HARİÇ BASKI GRAMI]]/Tablo5[[#This Row],[KALIP GÖZ ADEDİ]]," ")</f>
        <v xml:space="preserve"> </v>
      </c>
      <c r="T480" s="100" t="str">
        <f t="shared" si="51"/>
        <v xml:space="preserve"> </v>
      </c>
      <c r="U480" s="100"/>
      <c r="V480" s="100" t="str">
        <f t="shared" si="50"/>
        <v xml:space="preserve"> </v>
      </c>
      <c r="W480" s="101">
        <f t="shared" si="52"/>
        <v>24</v>
      </c>
      <c r="X480" s="102">
        <f t="shared" si="53"/>
        <v>0</v>
      </c>
      <c r="Y480" s="100" t="str">
        <f t="shared" si="54"/>
        <v xml:space="preserve"> </v>
      </c>
      <c r="Z480" s="100" t="str">
        <f t="shared" si="55"/>
        <v xml:space="preserve"> </v>
      </c>
    </row>
    <row r="481" spans="1:26">
      <c r="A481" s="100"/>
      <c r="B481" s="108" t="str">
        <f>IFERROR(VLOOKUP(Tablo5[[#This Row],[ÜRÜN KODU]],YMKODLARI!$A$1:$K$363,2,0)," ")</f>
        <v xml:space="preserve"> </v>
      </c>
      <c r="C481" s="99"/>
      <c r="D481" s="100"/>
      <c r="E481" s="101"/>
      <c r="F481" s="101"/>
      <c r="G481" s="100" t="str">
        <f>IFERROR(VLOOKUP(Tablo5[[#This Row],[ÜRÜN KODU]],YMKODLARI!$A$1:$K$363,3,0)," ")</f>
        <v xml:space="preserve"> </v>
      </c>
      <c r="H481" s="100" t="str">
        <f>IFERROR(VLOOKUP(Tablo5[[#This Row],[ÜRÜN KODU]],YMKODLARI!$A$1:$K$363,4,0)," ")</f>
        <v xml:space="preserve"> </v>
      </c>
      <c r="I481" s="100"/>
      <c r="J481" s="100" t="str">
        <f>IFERROR(VLOOKUP(Tablo5[[#This Row],[ÜRÜN KODU]],YMKODLARI!$A$1:$K$363,9,0)," ")</f>
        <v xml:space="preserve"> </v>
      </c>
      <c r="K481" s="100" t="str">
        <f>IFERROR(VLOOKUP(Tablo5[[#This Row],[BOYA KODU]],Tablo14[#All],4,0)," ")</f>
        <v xml:space="preserve"> </v>
      </c>
      <c r="L481" s="100" t="str">
        <f>IFERROR(VLOOKUP(Tablo5[[#This Row],[BOYA KODU]],Tablo14[#All],6,0)," ")</f>
        <v xml:space="preserve"> </v>
      </c>
      <c r="M481" s="100" t="str">
        <f t="shared" si="49"/>
        <v xml:space="preserve"> </v>
      </c>
      <c r="N481" s="100" t="str">
        <f>IFERROR(VLOOKUP(Tablo5[[#This Row],[ÜRÜN KODU]],YMKODLARI!$A$1:$K$363,8,0)," ")</f>
        <v xml:space="preserve"> </v>
      </c>
      <c r="O481" s="100" t="str">
        <f>IFERROR(VLOOKUP(Tablo5[[#This Row],[HAMMADDE KODU]],Tablo1[#All],3,0)," ")</f>
        <v xml:space="preserve"> </v>
      </c>
      <c r="P481" s="100" t="str">
        <f>IFERROR(VLOOKUP(Tablo5[[#This Row],[HAMMADDE KODU]],Tablo1[#All],4,0)," ")</f>
        <v xml:space="preserve"> </v>
      </c>
      <c r="Q481" s="100" t="str">
        <f>IFERROR(VLOOKUP(Tablo5[[#This Row],[ÜRÜN KODU]],YMKODLARI!$A$1:$K$363,5,0)," ")</f>
        <v xml:space="preserve"> </v>
      </c>
      <c r="R481" s="100" t="str">
        <f>IFERROR(VLOOKUP(Tablo5[[#This Row],[ÜRÜN KODU]],YMKODLARI!$A$1:$K$363,6,0)," ")</f>
        <v xml:space="preserve"> </v>
      </c>
      <c r="S481" s="100" t="str">
        <f>IFERROR(Tablo5[[#This Row],[YOLLUK HARİÇ BASKI GRAMI]]/Tablo5[[#This Row],[KALIP GÖZ ADEDİ]]," ")</f>
        <v xml:space="preserve"> </v>
      </c>
      <c r="T481" s="100" t="str">
        <f t="shared" si="51"/>
        <v xml:space="preserve"> </v>
      </c>
      <c r="U481" s="100"/>
      <c r="V481" s="100" t="str">
        <f t="shared" si="50"/>
        <v xml:space="preserve"> </v>
      </c>
      <c r="W481" s="101">
        <f t="shared" si="52"/>
        <v>24</v>
      </c>
      <c r="X481" s="102">
        <f t="shared" si="53"/>
        <v>0</v>
      </c>
      <c r="Y481" s="100" t="str">
        <f t="shared" si="54"/>
        <v xml:space="preserve"> </v>
      </c>
      <c r="Z481" s="100" t="str">
        <f t="shared" si="55"/>
        <v xml:space="preserve"> </v>
      </c>
    </row>
    <row r="482" spans="1:26">
      <c r="A482" s="100"/>
      <c r="B482" s="108" t="str">
        <f>IFERROR(VLOOKUP(Tablo5[[#This Row],[ÜRÜN KODU]],YMKODLARI!$A$1:$K$363,2,0)," ")</f>
        <v xml:space="preserve"> </v>
      </c>
      <c r="C482" s="99"/>
      <c r="D482" s="100"/>
      <c r="E482" s="101"/>
      <c r="F482" s="101"/>
      <c r="G482" s="100" t="str">
        <f>IFERROR(VLOOKUP(Tablo5[[#This Row],[ÜRÜN KODU]],YMKODLARI!$A$1:$K$363,3,0)," ")</f>
        <v xml:space="preserve"> </v>
      </c>
      <c r="H482" s="100" t="str">
        <f>IFERROR(VLOOKUP(Tablo5[[#This Row],[ÜRÜN KODU]],YMKODLARI!$A$1:$K$363,4,0)," ")</f>
        <v xml:space="preserve"> </v>
      </c>
      <c r="I482" s="100"/>
      <c r="J482" s="100" t="str">
        <f>IFERROR(VLOOKUP(Tablo5[[#This Row],[ÜRÜN KODU]],YMKODLARI!$A$1:$K$363,9,0)," ")</f>
        <v xml:space="preserve"> </v>
      </c>
      <c r="K482" s="100" t="str">
        <f>IFERROR(VLOOKUP(Tablo5[[#This Row],[BOYA KODU]],Tablo14[#All],4,0)," ")</f>
        <v xml:space="preserve"> </v>
      </c>
      <c r="L482" s="100" t="str">
        <f>IFERROR(VLOOKUP(Tablo5[[#This Row],[BOYA KODU]],Tablo14[#All],6,0)," ")</f>
        <v xml:space="preserve"> </v>
      </c>
      <c r="M482" s="100" t="str">
        <f t="shared" si="49"/>
        <v xml:space="preserve"> </v>
      </c>
      <c r="N482" s="100" t="str">
        <f>IFERROR(VLOOKUP(Tablo5[[#This Row],[ÜRÜN KODU]],YMKODLARI!$A$1:$K$363,8,0)," ")</f>
        <v xml:space="preserve"> </v>
      </c>
      <c r="O482" s="100" t="str">
        <f>IFERROR(VLOOKUP(Tablo5[[#This Row],[HAMMADDE KODU]],Tablo1[#All],3,0)," ")</f>
        <v xml:space="preserve"> </v>
      </c>
      <c r="P482" s="100" t="str">
        <f>IFERROR(VLOOKUP(Tablo5[[#This Row],[HAMMADDE KODU]],Tablo1[#All],4,0)," ")</f>
        <v xml:space="preserve"> </v>
      </c>
      <c r="Q482" s="100" t="str">
        <f>IFERROR(VLOOKUP(Tablo5[[#This Row],[ÜRÜN KODU]],YMKODLARI!$A$1:$K$363,5,0)," ")</f>
        <v xml:space="preserve"> </v>
      </c>
      <c r="R482" s="100" t="str">
        <f>IFERROR(VLOOKUP(Tablo5[[#This Row],[ÜRÜN KODU]],YMKODLARI!$A$1:$K$363,6,0)," ")</f>
        <v xml:space="preserve"> </v>
      </c>
      <c r="S482" s="100" t="str">
        <f>IFERROR(Tablo5[[#This Row],[YOLLUK HARİÇ BASKI GRAMI]]/Tablo5[[#This Row],[KALIP GÖZ ADEDİ]]," ")</f>
        <v xml:space="preserve"> </v>
      </c>
      <c r="T482" s="100" t="str">
        <f t="shared" si="51"/>
        <v xml:space="preserve"> </v>
      </c>
      <c r="U482" s="100"/>
      <c r="V482" s="100" t="str">
        <f t="shared" si="50"/>
        <v xml:space="preserve"> </v>
      </c>
      <c r="W482" s="101">
        <f t="shared" si="52"/>
        <v>24</v>
      </c>
      <c r="X482" s="102">
        <f t="shared" si="53"/>
        <v>0</v>
      </c>
      <c r="Y482" s="100" t="str">
        <f t="shared" si="54"/>
        <v xml:space="preserve"> </v>
      </c>
      <c r="Z482" s="100" t="str">
        <f t="shared" si="55"/>
        <v xml:space="preserve"> </v>
      </c>
    </row>
    <row r="483" spans="1:26">
      <c r="A483" s="100"/>
      <c r="B483" s="108" t="str">
        <f>IFERROR(VLOOKUP(Tablo5[[#This Row],[ÜRÜN KODU]],YMKODLARI!$A$1:$K$363,2,0)," ")</f>
        <v xml:space="preserve"> </v>
      </c>
      <c r="C483" s="99"/>
      <c r="D483" s="100"/>
      <c r="E483" s="101"/>
      <c r="F483" s="101"/>
      <c r="G483" s="100" t="str">
        <f>IFERROR(VLOOKUP(Tablo5[[#This Row],[ÜRÜN KODU]],YMKODLARI!$A$1:$K$363,3,0)," ")</f>
        <v xml:space="preserve"> </v>
      </c>
      <c r="H483" s="100" t="str">
        <f>IFERROR(VLOOKUP(Tablo5[[#This Row],[ÜRÜN KODU]],YMKODLARI!$A$1:$K$363,4,0)," ")</f>
        <v xml:space="preserve"> </v>
      </c>
      <c r="I483" s="100"/>
      <c r="J483" s="100" t="str">
        <f>IFERROR(VLOOKUP(Tablo5[[#This Row],[ÜRÜN KODU]],YMKODLARI!$A$1:$K$363,9,0)," ")</f>
        <v xml:space="preserve"> </v>
      </c>
      <c r="K483" s="100" t="str">
        <f>IFERROR(VLOOKUP(Tablo5[[#This Row],[BOYA KODU]],Tablo14[#All],4,0)," ")</f>
        <v xml:space="preserve"> </v>
      </c>
      <c r="L483" s="100" t="str">
        <f>IFERROR(VLOOKUP(Tablo5[[#This Row],[BOYA KODU]],Tablo14[#All],6,0)," ")</f>
        <v xml:space="preserve"> </v>
      </c>
      <c r="M483" s="100" t="str">
        <f t="shared" si="49"/>
        <v xml:space="preserve"> </v>
      </c>
      <c r="N483" s="100" t="str">
        <f>IFERROR(VLOOKUP(Tablo5[[#This Row],[ÜRÜN KODU]],YMKODLARI!$A$1:$K$363,8,0)," ")</f>
        <v xml:space="preserve"> </v>
      </c>
      <c r="O483" s="100" t="str">
        <f>IFERROR(VLOOKUP(Tablo5[[#This Row],[HAMMADDE KODU]],Tablo1[#All],3,0)," ")</f>
        <v xml:space="preserve"> </v>
      </c>
      <c r="P483" s="100" t="str">
        <f>IFERROR(VLOOKUP(Tablo5[[#This Row],[HAMMADDE KODU]],Tablo1[#All],4,0)," ")</f>
        <v xml:space="preserve"> </v>
      </c>
      <c r="Q483" s="100" t="str">
        <f>IFERROR(VLOOKUP(Tablo5[[#This Row],[ÜRÜN KODU]],YMKODLARI!$A$1:$K$363,5,0)," ")</f>
        <v xml:space="preserve"> </v>
      </c>
      <c r="R483" s="100" t="str">
        <f>IFERROR(VLOOKUP(Tablo5[[#This Row],[ÜRÜN KODU]],YMKODLARI!$A$1:$K$363,6,0)," ")</f>
        <v xml:space="preserve"> </v>
      </c>
      <c r="S483" s="100" t="str">
        <f>IFERROR(Tablo5[[#This Row],[YOLLUK HARİÇ BASKI GRAMI]]/Tablo5[[#This Row],[KALIP GÖZ ADEDİ]]," ")</f>
        <v xml:space="preserve"> </v>
      </c>
      <c r="T483" s="100" t="str">
        <f t="shared" si="51"/>
        <v xml:space="preserve"> </v>
      </c>
      <c r="U483" s="100"/>
      <c r="V483" s="100" t="str">
        <f t="shared" si="50"/>
        <v xml:space="preserve"> </v>
      </c>
      <c r="W483" s="101">
        <f t="shared" si="52"/>
        <v>24</v>
      </c>
      <c r="X483" s="102">
        <f t="shared" si="53"/>
        <v>0</v>
      </c>
      <c r="Y483" s="100" t="str">
        <f t="shared" si="54"/>
        <v xml:space="preserve"> </v>
      </c>
      <c r="Z483" s="100" t="str">
        <f t="shared" si="55"/>
        <v xml:space="preserve"> </v>
      </c>
    </row>
    <row r="484" spans="1:26">
      <c r="A484" s="100"/>
      <c r="B484" s="108" t="str">
        <f>IFERROR(VLOOKUP(Tablo5[[#This Row],[ÜRÜN KODU]],YMKODLARI!$A$1:$K$363,2,0)," ")</f>
        <v xml:space="preserve"> </v>
      </c>
      <c r="C484" s="99"/>
      <c r="D484" s="100"/>
      <c r="E484" s="101"/>
      <c r="F484" s="101"/>
      <c r="G484" s="100" t="str">
        <f>IFERROR(VLOOKUP(Tablo5[[#This Row],[ÜRÜN KODU]],YMKODLARI!$A$1:$K$363,3,0)," ")</f>
        <v xml:space="preserve"> </v>
      </c>
      <c r="H484" s="100" t="str">
        <f>IFERROR(VLOOKUP(Tablo5[[#This Row],[ÜRÜN KODU]],YMKODLARI!$A$1:$K$363,4,0)," ")</f>
        <v xml:space="preserve"> </v>
      </c>
      <c r="I484" s="100"/>
      <c r="J484" s="100" t="str">
        <f>IFERROR(VLOOKUP(Tablo5[[#This Row],[ÜRÜN KODU]],YMKODLARI!$A$1:$K$363,9,0)," ")</f>
        <v xml:space="preserve"> </v>
      </c>
      <c r="K484" s="100" t="str">
        <f>IFERROR(VLOOKUP(Tablo5[[#This Row],[BOYA KODU]],Tablo14[#All],4,0)," ")</f>
        <v xml:space="preserve"> </v>
      </c>
      <c r="L484" s="100" t="str">
        <f>IFERROR(VLOOKUP(Tablo5[[#This Row],[BOYA KODU]],Tablo14[#All],6,0)," ")</f>
        <v xml:space="preserve"> </v>
      </c>
      <c r="M484" s="100" t="str">
        <f t="shared" si="49"/>
        <v xml:space="preserve"> </v>
      </c>
      <c r="N484" s="100" t="str">
        <f>IFERROR(VLOOKUP(Tablo5[[#This Row],[ÜRÜN KODU]],YMKODLARI!$A$1:$K$363,8,0)," ")</f>
        <v xml:space="preserve"> </v>
      </c>
      <c r="O484" s="100" t="str">
        <f>IFERROR(VLOOKUP(Tablo5[[#This Row],[HAMMADDE KODU]],Tablo1[#All],3,0)," ")</f>
        <v xml:space="preserve"> </v>
      </c>
      <c r="P484" s="100" t="str">
        <f>IFERROR(VLOOKUP(Tablo5[[#This Row],[HAMMADDE KODU]],Tablo1[#All],4,0)," ")</f>
        <v xml:space="preserve"> </v>
      </c>
      <c r="Q484" s="100" t="str">
        <f>IFERROR(VLOOKUP(Tablo5[[#This Row],[ÜRÜN KODU]],YMKODLARI!$A$1:$K$363,5,0)," ")</f>
        <v xml:space="preserve"> </v>
      </c>
      <c r="R484" s="100" t="str">
        <f>IFERROR(VLOOKUP(Tablo5[[#This Row],[ÜRÜN KODU]],YMKODLARI!$A$1:$K$363,6,0)," ")</f>
        <v xml:space="preserve"> </v>
      </c>
      <c r="S484" s="100" t="str">
        <f>IFERROR(Tablo5[[#This Row],[YOLLUK HARİÇ BASKI GRAMI]]/Tablo5[[#This Row],[KALIP GÖZ ADEDİ]]," ")</f>
        <v xml:space="preserve"> </v>
      </c>
      <c r="T484" s="100" t="str">
        <f t="shared" si="51"/>
        <v xml:space="preserve"> </v>
      </c>
      <c r="U484" s="100"/>
      <c r="V484" s="100" t="str">
        <f t="shared" si="50"/>
        <v xml:space="preserve"> </v>
      </c>
      <c r="W484" s="101">
        <f t="shared" si="52"/>
        <v>24</v>
      </c>
      <c r="X484" s="102">
        <f t="shared" si="53"/>
        <v>0</v>
      </c>
      <c r="Y484" s="100" t="str">
        <f t="shared" si="54"/>
        <v xml:space="preserve"> </v>
      </c>
      <c r="Z484" s="100" t="str">
        <f t="shared" si="55"/>
        <v xml:space="preserve"> </v>
      </c>
    </row>
    <row r="485" spans="1:26">
      <c r="A485" s="100"/>
      <c r="B485" s="108" t="str">
        <f>IFERROR(VLOOKUP(Tablo5[[#This Row],[ÜRÜN KODU]],YMKODLARI!$A$1:$K$363,2,0)," ")</f>
        <v xml:space="preserve"> </v>
      </c>
      <c r="C485" s="99"/>
      <c r="D485" s="100"/>
      <c r="E485" s="101"/>
      <c r="F485" s="101"/>
      <c r="G485" s="100" t="str">
        <f>IFERROR(VLOOKUP(Tablo5[[#This Row],[ÜRÜN KODU]],YMKODLARI!$A$1:$K$363,3,0)," ")</f>
        <v xml:space="preserve"> </v>
      </c>
      <c r="H485" s="100" t="str">
        <f>IFERROR(VLOOKUP(Tablo5[[#This Row],[ÜRÜN KODU]],YMKODLARI!$A$1:$K$363,4,0)," ")</f>
        <v xml:space="preserve"> </v>
      </c>
      <c r="I485" s="100"/>
      <c r="J485" s="100" t="str">
        <f>IFERROR(VLOOKUP(Tablo5[[#This Row],[ÜRÜN KODU]],YMKODLARI!$A$1:$K$363,9,0)," ")</f>
        <v xml:space="preserve"> </v>
      </c>
      <c r="K485" s="100" t="str">
        <f>IFERROR(VLOOKUP(Tablo5[[#This Row],[BOYA KODU]],Tablo14[#All],4,0)," ")</f>
        <v xml:space="preserve"> </v>
      </c>
      <c r="L485" s="100" t="str">
        <f>IFERROR(VLOOKUP(Tablo5[[#This Row],[BOYA KODU]],Tablo14[#All],6,0)," ")</f>
        <v xml:space="preserve"> </v>
      </c>
      <c r="M485" s="100" t="str">
        <f t="shared" si="49"/>
        <v xml:space="preserve"> </v>
      </c>
      <c r="N485" s="100" t="str">
        <f>IFERROR(VLOOKUP(Tablo5[[#This Row],[ÜRÜN KODU]],YMKODLARI!$A$1:$K$363,8,0)," ")</f>
        <v xml:space="preserve"> </v>
      </c>
      <c r="O485" s="100" t="str">
        <f>IFERROR(VLOOKUP(Tablo5[[#This Row],[HAMMADDE KODU]],Tablo1[#All],3,0)," ")</f>
        <v xml:space="preserve"> </v>
      </c>
      <c r="P485" s="100" t="str">
        <f>IFERROR(VLOOKUP(Tablo5[[#This Row],[HAMMADDE KODU]],Tablo1[#All],4,0)," ")</f>
        <v xml:space="preserve"> </v>
      </c>
      <c r="Q485" s="100" t="str">
        <f>IFERROR(VLOOKUP(Tablo5[[#This Row],[ÜRÜN KODU]],YMKODLARI!$A$1:$K$363,5,0)," ")</f>
        <v xml:space="preserve"> </v>
      </c>
      <c r="R485" s="100" t="str">
        <f>IFERROR(VLOOKUP(Tablo5[[#This Row],[ÜRÜN KODU]],YMKODLARI!$A$1:$K$363,6,0)," ")</f>
        <v xml:space="preserve"> </v>
      </c>
      <c r="S485" s="100" t="str">
        <f>IFERROR(Tablo5[[#This Row],[YOLLUK HARİÇ BASKI GRAMI]]/Tablo5[[#This Row],[KALIP GÖZ ADEDİ]]," ")</f>
        <v xml:space="preserve"> </v>
      </c>
      <c r="T485" s="100" t="str">
        <f t="shared" si="51"/>
        <v xml:space="preserve"> </v>
      </c>
      <c r="U485" s="100"/>
      <c r="V485" s="100" t="str">
        <f t="shared" si="50"/>
        <v xml:space="preserve"> </v>
      </c>
      <c r="W485" s="101">
        <f t="shared" si="52"/>
        <v>24</v>
      </c>
      <c r="X485" s="102">
        <f t="shared" si="53"/>
        <v>0</v>
      </c>
      <c r="Y485" s="100" t="str">
        <f t="shared" si="54"/>
        <v xml:space="preserve"> </v>
      </c>
      <c r="Z485" s="100" t="str">
        <f t="shared" si="55"/>
        <v xml:space="preserve"> </v>
      </c>
    </row>
    <row r="486" spans="1:26">
      <c r="A486" s="100"/>
      <c r="B486" s="108" t="str">
        <f>IFERROR(VLOOKUP(Tablo5[[#This Row],[ÜRÜN KODU]],YMKODLARI!$A$1:$K$363,2,0)," ")</f>
        <v xml:space="preserve"> </v>
      </c>
      <c r="C486" s="99"/>
      <c r="D486" s="100"/>
      <c r="E486" s="101"/>
      <c r="F486" s="101"/>
      <c r="G486" s="100" t="str">
        <f>IFERROR(VLOOKUP(Tablo5[[#This Row],[ÜRÜN KODU]],YMKODLARI!$A$1:$K$363,3,0)," ")</f>
        <v xml:space="preserve"> </v>
      </c>
      <c r="H486" s="100" t="str">
        <f>IFERROR(VLOOKUP(Tablo5[[#This Row],[ÜRÜN KODU]],YMKODLARI!$A$1:$K$363,4,0)," ")</f>
        <v xml:space="preserve"> </v>
      </c>
      <c r="I486" s="100"/>
      <c r="J486" s="100" t="str">
        <f>IFERROR(VLOOKUP(Tablo5[[#This Row],[ÜRÜN KODU]],YMKODLARI!$A$1:$K$363,9,0)," ")</f>
        <v xml:space="preserve"> </v>
      </c>
      <c r="K486" s="100" t="str">
        <f>IFERROR(VLOOKUP(Tablo5[[#This Row],[BOYA KODU]],Tablo14[#All],4,0)," ")</f>
        <v xml:space="preserve"> </v>
      </c>
      <c r="L486" s="100" t="str">
        <f>IFERROR(VLOOKUP(Tablo5[[#This Row],[BOYA KODU]],Tablo14[#All],6,0)," ")</f>
        <v xml:space="preserve"> </v>
      </c>
      <c r="M486" s="100" t="str">
        <f t="shared" si="49"/>
        <v xml:space="preserve"> </v>
      </c>
      <c r="N486" s="100" t="str">
        <f>IFERROR(VLOOKUP(Tablo5[[#This Row],[ÜRÜN KODU]],YMKODLARI!$A$1:$K$363,8,0)," ")</f>
        <v xml:space="preserve"> </v>
      </c>
      <c r="O486" s="100" t="str">
        <f>IFERROR(VLOOKUP(Tablo5[[#This Row],[HAMMADDE KODU]],Tablo1[#All],3,0)," ")</f>
        <v xml:space="preserve"> </v>
      </c>
      <c r="P486" s="100" t="str">
        <f>IFERROR(VLOOKUP(Tablo5[[#This Row],[HAMMADDE KODU]],Tablo1[#All],4,0)," ")</f>
        <v xml:space="preserve"> </v>
      </c>
      <c r="Q486" s="100" t="str">
        <f>IFERROR(VLOOKUP(Tablo5[[#This Row],[ÜRÜN KODU]],YMKODLARI!$A$1:$K$363,5,0)," ")</f>
        <v xml:space="preserve"> </v>
      </c>
      <c r="R486" s="100" t="str">
        <f>IFERROR(VLOOKUP(Tablo5[[#This Row],[ÜRÜN KODU]],YMKODLARI!$A$1:$K$363,6,0)," ")</f>
        <v xml:space="preserve"> </v>
      </c>
      <c r="S486" s="100" t="str">
        <f>IFERROR(Tablo5[[#This Row],[YOLLUK HARİÇ BASKI GRAMI]]/Tablo5[[#This Row],[KALIP GÖZ ADEDİ]]," ")</f>
        <v xml:space="preserve"> </v>
      </c>
      <c r="T486" s="100" t="str">
        <f t="shared" si="51"/>
        <v xml:space="preserve"> </v>
      </c>
      <c r="U486" s="100"/>
      <c r="V486" s="100" t="str">
        <f t="shared" si="50"/>
        <v xml:space="preserve"> </v>
      </c>
      <c r="W486" s="101">
        <f t="shared" si="52"/>
        <v>24</v>
      </c>
      <c r="X486" s="102">
        <f t="shared" si="53"/>
        <v>0</v>
      </c>
      <c r="Y486" s="100" t="str">
        <f t="shared" si="54"/>
        <v xml:space="preserve"> </v>
      </c>
      <c r="Z486" s="100" t="str">
        <f t="shared" si="55"/>
        <v xml:space="preserve"> </v>
      </c>
    </row>
    <row r="487" spans="1:26">
      <c r="A487" s="100"/>
      <c r="B487" s="108" t="str">
        <f>IFERROR(VLOOKUP(Tablo5[[#This Row],[ÜRÜN KODU]],YMKODLARI!$A$1:$K$363,2,0)," ")</f>
        <v xml:space="preserve"> </v>
      </c>
      <c r="C487" s="99"/>
      <c r="D487" s="100"/>
      <c r="E487" s="101"/>
      <c r="F487" s="101"/>
      <c r="G487" s="100" t="str">
        <f>IFERROR(VLOOKUP(Tablo5[[#This Row],[ÜRÜN KODU]],YMKODLARI!$A$1:$K$363,3,0)," ")</f>
        <v xml:space="preserve"> </v>
      </c>
      <c r="H487" s="100" t="str">
        <f>IFERROR(VLOOKUP(Tablo5[[#This Row],[ÜRÜN KODU]],YMKODLARI!$A$1:$K$363,4,0)," ")</f>
        <v xml:space="preserve"> </v>
      </c>
      <c r="I487" s="100"/>
      <c r="J487" s="100" t="str">
        <f>IFERROR(VLOOKUP(Tablo5[[#This Row],[ÜRÜN KODU]],YMKODLARI!$A$1:$K$363,9,0)," ")</f>
        <v xml:space="preserve"> </v>
      </c>
      <c r="K487" s="100" t="str">
        <f>IFERROR(VLOOKUP(Tablo5[[#This Row],[BOYA KODU]],Tablo14[#All],4,0)," ")</f>
        <v xml:space="preserve"> </v>
      </c>
      <c r="L487" s="100" t="str">
        <f>IFERROR(VLOOKUP(Tablo5[[#This Row],[BOYA KODU]],Tablo14[#All],6,0)," ")</f>
        <v xml:space="preserve"> </v>
      </c>
      <c r="M487" s="100" t="str">
        <f t="shared" si="49"/>
        <v xml:space="preserve"> </v>
      </c>
      <c r="N487" s="100" t="str">
        <f>IFERROR(VLOOKUP(Tablo5[[#This Row],[ÜRÜN KODU]],YMKODLARI!$A$1:$K$363,8,0)," ")</f>
        <v xml:space="preserve"> </v>
      </c>
      <c r="O487" s="100" t="str">
        <f>IFERROR(VLOOKUP(Tablo5[[#This Row],[HAMMADDE KODU]],Tablo1[#All],3,0)," ")</f>
        <v xml:space="preserve"> </v>
      </c>
      <c r="P487" s="100" t="str">
        <f>IFERROR(VLOOKUP(Tablo5[[#This Row],[HAMMADDE KODU]],Tablo1[#All],4,0)," ")</f>
        <v xml:space="preserve"> </v>
      </c>
      <c r="Q487" s="100" t="str">
        <f>IFERROR(VLOOKUP(Tablo5[[#This Row],[ÜRÜN KODU]],YMKODLARI!$A$1:$K$363,5,0)," ")</f>
        <v xml:space="preserve"> </v>
      </c>
      <c r="R487" s="100" t="str">
        <f>IFERROR(VLOOKUP(Tablo5[[#This Row],[ÜRÜN KODU]],YMKODLARI!$A$1:$K$363,6,0)," ")</f>
        <v xml:space="preserve"> </v>
      </c>
      <c r="S487" s="100" t="str">
        <f>IFERROR(Tablo5[[#This Row],[YOLLUK HARİÇ BASKI GRAMI]]/Tablo5[[#This Row],[KALIP GÖZ ADEDİ]]," ")</f>
        <v xml:space="preserve"> </v>
      </c>
      <c r="T487" s="100" t="str">
        <f t="shared" si="51"/>
        <v xml:space="preserve"> </v>
      </c>
      <c r="U487" s="100"/>
      <c r="V487" s="100" t="str">
        <f t="shared" si="50"/>
        <v xml:space="preserve"> </v>
      </c>
      <c r="W487" s="101">
        <f t="shared" si="52"/>
        <v>24</v>
      </c>
      <c r="X487" s="102">
        <f t="shared" si="53"/>
        <v>0</v>
      </c>
      <c r="Y487" s="100" t="str">
        <f t="shared" si="54"/>
        <v xml:space="preserve"> </v>
      </c>
      <c r="Z487" s="100" t="str">
        <f t="shared" si="55"/>
        <v xml:space="preserve"> </v>
      </c>
    </row>
    <row r="488" spans="1:26">
      <c r="A488" s="100"/>
      <c r="B488" s="108" t="str">
        <f>IFERROR(VLOOKUP(Tablo5[[#This Row],[ÜRÜN KODU]],YMKODLARI!$A$1:$K$363,2,0)," ")</f>
        <v xml:space="preserve"> </v>
      </c>
      <c r="C488" s="99"/>
      <c r="D488" s="100"/>
      <c r="E488" s="101"/>
      <c r="F488" s="101"/>
      <c r="G488" s="100" t="str">
        <f>IFERROR(VLOOKUP(Tablo5[[#This Row],[ÜRÜN KODU]],YMKODLARI!$A$1:$K$363,3,0)," ")</f>
        <v xml:space="preserve"> </v>
      </c>
      <c r="H488" s="100" t="str">
        <f>IFERROR(VLOOKUP(Tablo5[[#This Row],[ÜRÜN KODU]],YMKODLARI!$A$1:$K$363,4,0)," ")</f>
        <v xml:space="preserve"> </v>
      </c>
      <c r="I488" s="100"/>
      <c r="J488" s="100" t="str">
        <f>IFERROR(VLOOKUP(Tablo5[[#This Row],[ÜRÜN KODU]],YMKODLARI!$A$1:$K$363,9,0)," ")</f>
        <v xml:space="preserve"> </v>
      </c>
      <c r="K488" s="100" t="str">
        <f>IFERROR(VLOOKUP(Tablo5[[#This Row],[BOYA KODU]],Tablo14[#All],4,0)," ")</f>
        <v xml:space="preserve"> </v>
      </c>
      <c r="L488" s="100" t="str">
        <f>IFERROR(VLOOKUP(Tablo5[[#This Row],[BOYA KODU]],Tablo14[#All],6,0)," ")</f>
        <v xml:space="preserve"> </v>
      </c>
      <c r="M488" s="100" t="str">
        <f t="shared" si="49"/>
        <v xml:space="preserve"> </v>
      </c>
      <c r="N488" s="100" t="str">
        <f>IFERROR(VLOOKUP(Tablo5[[#This Row],[ÜRÜN KODU]],YMKODLARI!$A$1:$K$363,8,0)," ")</f>
        <v xml:space="preserve"> </v>
      </c>
      <c r="O488" s="100" t="str">
        <f>IFERROR(VLOOKUP(Tablo5[[#This Row],[HAMMADDE KODU]],Tablo1[#All],3,0)," ")</f>
        <v xml:space="preserve"> </v>
      </c>
      <c r="P488" s="100" t="str">
        <f>IFERROR(VLOOKUP(Tablo5[[#This Row],[HAMMADDE KODU]],Tablo1[#All],4,0)," ")</f>
        <v xml:space="preserve"> </v>
      </c>
      <c r="Q488" s="100" t="str">
        <f>IFERROR(VLOOKUP(Tablo5[[#This Row],[ÜRÜN KODU]],YMKODLARI!$A$1:$K$363,5,0)," ")</f>
        <v xml:space="preserve"> </v>
      </c>
      <c r="R488" s="100" t="str">
        <f>IFERROR(VLOOKUP(Tablo5[[#This Row],[ÜRÜN KODU]],YMKODLARI!$A$1:$K$363,6,0)," ")</f>
        <v xml:space="preserve"> </v>
      </c>
      <c r="S488" s="100" t="str">
        <f>IFERROR(Tablo5[[#This Row],[YOLLUK HARİÇ BASKI GRAMI]]/Tablo5[[#This Row],[KALIP GÖZ ADEDİ]]," ")</f>
        <v xml:space="preserve"> </v>
      </c>
      <c r="T488" s="100" t="str">
        <f t="shared" si="51"/>
        <v xml:space="preserve"> </v>
      </c>
      <c r="U488" s="100"/>
      <c r="V488" s="100" t="str">
        <f t="shared" si="50"/>
        <v xml:space="preserve"> </v>
      </c>
      <c r="W488" s="101">
        <f t="shared" si="52"/>
        <v>24</v>
      </c>
      <c r="X488" s="102">
        <f t="shared" si="53"/>
        <v>0</v>
      </c>
      <c r="Y488" s="100" t="str">
        <f t="shared" si="54"/>
        <v xml:space="preserve"> </v>
      </c>
      <c r="Z488" s="100" t="str">
        <f t="shared" si="55"/>
        <v xml:space="preserve"> </v>
      </c>
    </row>
    <row r="489" spans="1:26">
      <c r="A489" s="100"/>
      <c r="B489" s="108" t="str">
        <f>IFERROR(VLOOKUP(Tablo5[[#This Row],[ÜRÜN KODU]],YMKODLARI!$A$1:$K$363,2,0)," ")</f>
        <v xml:space="preserve"> </v>
      </c>
      <c r="C489" s="99"/>
      <c r="D489" s="100"/>
      <c r="E489" s="101"/>
      <c r="F489" s="101"/>
      <c r="G489" s="100" t="str">
        <f>IFERROR(VLOOKUP(Tablo5[[#This Row],[ÜRÜN KODU]],YMKODLARI!$A$1:$K$363,3,0)," ")</f>
        <v xml:space="preserve"> </v>
      </c>
      <c r="H489" s="100" t="str">
        <f>IFERROR(VLOOKUP(Tablo5[[#This Row],[ÜRÜN KODU]],YMKODLARI!$A$1:$K$363,4,0)," ")</f>
        <v xml:space="preserve"> </v>
      </c>
      <c r="I489" s="100"/>
      <c r="J489" s="100" t="str">
        <f>IFERROR(VLOOKUP(Tablo5[[#This Row],[ÜRÜN KODU]],YMKODLARI!$A$1:$K$363,9,0)," ")</f>
        <v xml:space="preserve"> </v>
      </c>
      <c r="K489" s="100" t="str">
        <f>IFERROR(VLOOKUP(Tablo5[[#This Row],[BOYA KODU]],Tablo14[#All],4,0)," ")</f>
        <v xml:space="preserve"> </v>
      </c>
      <c r="L489" s="100" t="str">
        <f>IFERROR(VLOOKUP(Tablo5[[#This Row],[BOYA KODU]],Tablo14[#All],6,0)," ")</f>
        <v xml:space="preserve"> </v>
      </c>
      <c r="M489" s="100" t="str">
        <f t="shared" si="49"/>
        <v xml:space="preserve"> </v>
      </c>
      <c r="N489" s="100" t="str">
        <f>IFERROR(VLOOKUP(Tablo5[[#This Row],[ÜRÜN KODU]],YMKODLARI!$A$1:$K$363,8,0)," ")</f>
        <v xml:space="preserve"> </v>
      </c>
      <c r="O489" s="100" t="str">
        <f>IFERROR(VLOOKUP(Tablo5[[#This Row],[HAMMADDE KODU]],Tablo1[#All],3,0)," ")</f>
        <v xml:space="preserve"> </v>
      </c>
      <c r="P489" s="100" t="str">
        <f>IFERROR(VLOOKUP(Tablo5[[#This Row],[HAMMADDE KODU]],Tablo1[#All],4,0)," ")</f>
        <v xml:space="preserve"> </v>
      </c>
      <c r="Q489" s="100" t="str">
        <f>IFERROR(VLOOKUP(Tablo5[[#This Row],[ÜRÜN KODU]],YMKODLARI!$A$1:$K$363,5,0)," ")</f>
        <v xml:space="preserve"> </v>
      </c>
      <c r="R489" s="100" t="str">
        <f>IFERROR(VLOOKUP(Tablo5[[#This Row],[ÜRÜN KODU]],YMKODLARI!$A$1:$K$363,6,0)," ")</f>
        <v xml:space="preserve"> </v>
      </c>
      <c r="S489" s="100" t="str">
        <f>IFERROR(Tablo5[[#This Row],[YOLLUK HARİÇ BASKI GRAMI]]/Tablo5[[#This Row],[KALIP GÖZ ADEDİ]]," ")</f>
        <v xml:space="preserve"> </v>
      </c>
      <c r="T489" s="100" t="str">
        <f t="shared" si="51"/>
        <v xml:space="preserve"> </v>
      </c>
      <c r="U489" s="100"/>
      <c r="V489" s="100" t="str">
        <f t="shared" si="50"/>
        <v xml:space="preserve"> </v>
      </c>
      <c r="W489" s="101">
        <f t="shared" si="52"/>
        <v>24</v>
      </c>
      <c r="X489" s="102">
        <f t="shared" si="53"/>
        <v>0</v>
      </c>
      <c r="Y489" s="100" t="str">
        <f t="shared" si="54"/>
        <v xml:space="preserve"> </v>
      </c>
      <c r="Z489" s="100" t="str">
        <f t="shared" si="55"/>
        <v xml:space="preserve"> </v>
      </c>
    </row>
    <row r="490" spans="1:26">
      <c r="A490" s="100"/>
      <c r="B490" s="108" t="str">
        <f>IFERROR(VLOOKUP(Tablo5[[#This Row],[ÜRÜN KODU]],YMKODLARI!$A$1:$K$363,2,0)," ")</f>
        <v xml:space="preserve"> </v>
      </c>
      <c r="C490" s="99"/>
      <c r="D490" s="100"/>
      <c r="E490" s="101"/>
      <c r="F490" s="101"/>
      <c r="G490" s="100" t="str">
        <f>IFERROR(VLOOKUP(Tablo5[[#This Row],[ÜRÜN KODU]],YMKODLARI!$A$1:$K$363,3,0)," ")</f>
        <v xml:space="preserve"> </v>
      </c>
      <c r="H490" s="100" t="str">
        <f>IFERROR(VLOOKUP(Tablo5[[#This Row],[ÜRÜN KODU]],YMKODLARI!$A$1:$K$363,4,0)," ")</f>
        <v xml:space="preserve"> </v>
      </c>
      <c r="I490" s="100"/>
      <c r="J490" s="100" t="str">
        <f>IFERROR(VLOOKUP(Tablo5[[#This Row],[ÜRÜN KODU]],YMKODLARI!$A$1:$K$363,9,0)," ")</f>
        <v xml:space="preserve"> </v>
      </c>
      <c r="K490" s="100" t="str">
        <f>IFERROR(VLOOKUP(Tablo5[[#This Row],[BOYA KODU]],Tablo14[#All],4,0)," ")</f>
        <v xml:space="preserve"> </v>
      </c>
      <c r="L490" s="100" t="str">
        <f>IFERROR(VLOOKUP(Tablo5[[#This Row],[BOYA KODU]],Tablo14[#All],6,0)," ")</f>
        <v xml:space="preserve"> </v>
      </c>
      <c r="M490" s="100" t="str">
        <f t="shared" si="49"/>
        <v xml:space="preserve"> </v>
      </c>
      <c r="N490" s="100" t="str">
        <f>IFERROR(VLOOKUP(Tablo5[[#This Row],[ÜRÜN KODU]],YMKODLARI!$A$1:$K$363,8,0)," ")</f>
        <v xml:space="preserve"> </v>
      </c>
      <c r="O490" s="100" t="str">
        <f>IFERROR(VLOOKUP(Tablo5[[#This Row],[HAMMADDE KODU]],Tablo1[#All],3,0)," ")</f>
        <v xml:space="preserve"> </v>
      </c>
      <c r="P490" s="100" t="str">
        <f>IFERROR(VLOOKUP(Tablo5[[#This Row],[HAMMADDE KODU]],Tablo1[#All],4,0)," ")</f>
        <v xml:space="preserve"> </v>
      </c>
      <c r="Q490" s="100" t="str">
        <f>IFERROR(VLOOKUP(Tablo5[[#This Row],[ÜRÜN KODU]],YMKODLARI!$A$1:$K$363,5,0)," ")</f>
        <v xml:space="preserve"> </v>
      </c>
      <c r="R490" s="100" t="str">
        <f>IFERROR(VLOOKUP(Tablo5[[#This Row],[ÜRÜN KODU]],YMKODLARI!$A$1:$K$363,6,0)," ")</f>
        <v xml:space="preserve"> </v>
      </c>
      <c r="S490" s="100" t="str">
        <f>IFERROR(Tablo5[[#This Row],[YOLLUK HARİÇ BASKI GRAMI]]/Tablo5[[#This Row],[KALIP GÖZ ADEDİ]]," ")</f>
        <v xml:space="preserve"> </v>
      </c>
      <c r="T490" s="100" t="str">
        <f t="shared" si="51"/>
        <v xml:space="preserve"> </v>
      </c>
      <c r="U490" s="100"/>
      <c r="V490" s="100" t="str">
        <f t="shared" si="50"/>
        <v xml:space="preserve"> </v>
      </c>
      <c r="W490" s="101">
        <f t="shared" si="52"/>
        <v>24</v>
      </c>
      <c r="X490" s="102">
        <f t="shared" si="53"/>
        <v>0</v>
      </c>
      <c r="Y490" s="100" t="str">
        <f t="shared" si="54"/>
        <v xml:space="preserve"> </v>
      </c>
      <c r="Z490" s="100" t="str">
        <f t="shared" si="55"/>
        <v xml:space="preserve"> </v>
      </c>
    </row>
    <row r="491" spans="1:26">
      <c r="A491" s="100"/>
      <c r="B491" s="108" t="str">
        <f>IFERROR(VLOOKUP(Tablo5[[#This Row],[ÜRÜN KODU]],YMKODLARI!$A$1:$K$363,2,0)," ")</f>
        <v xml:space="preserve"> </v>
      </c>
      <c r="C491" s="99"/>
      <c r="D491" s="100"/>
      <c r="E491" s="101"/>
      <c r="F491" s="101"/>
      <c r="G491" s="100" t="str">
        <f>IFERROR(VLOOKUP(Tablo5[[#This Row],[ÜRÜN KODU]],YMKODLARI!$A$1:$K$363,3,0)," ")</f>
        <v xml:space="preserve"> </v>
      </c>
      <c r="H491" s="100" t="str">
        <f>IFERROR(VLOOKUP(Tablo5[[#This Row],[ÜRÜN KODU]],YMKODLARI!$A$1:$K$363,4,0)," ")</f>
        <v xml:space="preserve"> </v>
      </c>
      <c r="I491" s="100"/>
      <c r="J491" s="100" t="str">
        <f>IFERROR(VLOOKUP(Tablo5[[#This Row],[ÜRÜN KODU]],YMKODLARI!$A$1:$K$363,9,0)," ")</f>
        <v xml:space="preserve"> </v>
      </c>
      <c r="K491" s="100" t="str">
        <f>IFERROR(VLOOKUP(Tablo5[[#This Row],[BOYA KODU]],Tablo14[#All],4,0)," ")</f>
        <v xml:space="preserve"> </v>
      </c>
      <c r="L491" s="100" t="str">
        <f>IFERROR(VLOOKUP(Tablo5[[#This Row],[BOYA KODU]],Tablo14[#All],6,0)," ")</f>
        <v xml:space="preserve"> </v>
      </c>
      <c r="M491" s="100" t="str">
        <f t="shared" si="49"/>
        <v xml:space="preserve"> </v>
      </c>
      <c r="N491" s="100" t="str">
        <f>IFERROR(VLOOKUP(Tablo5[[#This Row],[ÜRÜN KODU]],YMKODLARI!$A$1:$K$363,8,0)," ")</f>
        <v xml:space="preserve"> </v>
      </c>
      <c r="O491" s="100" t="str">
        <f>IFERROR(VLOOKUP(Tablo5[[#This Row],[HAMMADDE KODU]],Tablo1[#All],3,0)," ")</f>
        <v xml:space="preserve"> </v>
      </c>
      <c r="P491" s="100" t="str">
        <f>IFERROR(VLOOKUP(Tablo5[[#This Row],[HAMMADDE KODU]],Tablo1[#All],4,0)," ")</f>
        <v xml:space="preserve"> </v>
      </c>
      <c r="Q491" s="100" t="str">
        <f>IFERROR(VLOOKUP(Tablo5[[#This Row],[ÜRÜN KODU]],YMKODLARI!$A$1:$K$363,5,0)," ")</f>
        <v xml:space="preserve"> </v>
      </c>
      <c r="R491" s="100" t="str">
        <f>IFERROR(VLOOKUP(Tablo5[[#This Row],[ÜRÜN KODU]],YMKODLARI!$A$1:$K$363,6,0)," ")</f>
        <v xml:space="preserve"> </v>
      </c>
      <c r="S491" s="100" t="str">
        <f>IFERROR(Tablo5[[#This Row],[YOLLUK HARİÇ BASKI GRAMI]]/Tablo5[[#This Row],[KALIP GÖZ ADEDİ]]," ")</f>
        <v xml:space="preserve"> </v>
      </c>
      <c r="T491" s="100" t="str">
        <f t="shared" si="51"/>
        <v xml:space="preserve"> </v>
      </c>
      <c r="U491" s="100"/>
      <c r="V491" s="100" t="str">
        <f t="shared" si="50"/>
        <v xml:space="preserve"> </v>
      </c>
      <c r="W491" s="101">
        <f t="shared" si="52"/>
        <v>24</v>
      </c>
      <c r="X491" s="102">
        <f t="shared" si="53"/>
        <v>0</v>
      </c>
      <c r="Y491" s="100" t="str">
        <f t="shared" si="54"/>
        <v xml:space="preserve"> </v>
      </c>
      <c r="Z491" s="100" t="str">
        <f t="shared" si="55"/>
        <v xml:space="preserve"> </v>
      </c>
    </row>
    <row r="492" spans="1:26">
      <c r="A492" s="100"/>
      <c r="B492" s="108" t="str">
        <f>IFERROR(VLOOKUP(Tablo5[[#This Row],[ÜRÜN KODU]],YMKODLARI!$A$1:$K$363,2,0)," ")</f>
        <v xml:space="preserve"> </v>
      </c>
      <c r="C492" s="99"/>
      <c r="D492" s="100"/>
      <c r="E492" s="101"/>
      <c r="F492" s="101"/>
      <c r="G492" s="100" t="str">
        <f>IFERROR(VLOOKUP(Tablo5[[#This Row],[ÜRÜN KODU]],YMKODLARI!$A$1:$K$363,3,0)," ")</f>
        <v xml:space="preserve"> </v>
      </c>
      <c r="H492" s="100" t="str">
        <f>IFERROR(VLOOKUP(Tablo5[[#This Row],[ÜRÜN KODU]],YMKODLARI!$A$1:$K$363,4,0)," ")</f>
        <v xml:space="preserve"> </v>
      </c>
      <c r="I492" s="100"/>
      <c r="J492" s="100" t="str">
        <f>IFERROR(VLOOKUP(Tablo5[[#This Row],[ÜRÜN KODU]],YMKODLARI!$A$1:$K$363,9,0)," ")</f>
        <v xml:space="preserve"> </v>
      </c>
      <c r="K492" s="100" t="str">
        <f>IFERROR(VLOOKUP(Tablo5[[#This Row],[BOYA KODU]],Tablo14[#All],4,0)," ")</f>
        <v xml:space="preserve"> </v>
      </c>
      <c r="L492" s="100" t="str">
        <f>IFERROR(VLOOKUP(Tablo5[[#This Row],[BOYA KODU]],Tablo14[#All],6,0)," ")</f>
        <v xml:space="preserve"> </v>
      </c>
      <c r="M492" s="100" t="str">
        <f t="shared" si="49"/>
        <v xml:space="preserve"> </v>
      </c>
      <c r="N492" s="100" t="str">
        <f>IFERROR(VLOOKUP(Tablo5[[#This Row],[ÜRÜN KODU]],YMKODLARI!$A$1:$K$363,8,0)," ")</f>
        <v xml:space="preserve"> </v>
      </c>
      <c r="O492" s="100" t="str">
        <f>IFERROR(VLOOKUP(Tablo5[[#This Row],[HAMMADDE KODU]],Tablo1[#All],3,0)," ")</f>
        <v xml:space="preserve"> </v>
      </c>
      <c r="P492" s="100" t="str">
        <f>IFERROR(VLOOKUP(Tablo5[[#This Row],[HAMMADDE KODU]],Tablo1[#All],4,0)," ")</f>
        <v xml:space="preserve"> </v>
      </c>
      <c r="Q492" s="100" t="str">
        <f>IFERROR(VLOOKUP(Tablo5[[#This Row],[ÜRÜN KODU]],YMKODLARI!$A$1:$K$363,5,0)," ")</f>
        <v xml:space="preserve"> </v>
      </c>
      <c r="R492" s="100" t="str">
        <f>IFERROR(VLOOKUP(Tablo5[[#This Row],[ÜRÜN KODU]],YMKODLARI!$A$1:$K$363,6,0)," ")</f>
        <v xml:space="preserve"> </v>
      </c>
      <c r="S492" s="100" t="str">
        <f>IFERROR(Tablo5[[#This Row],[YOLLUK HARİÇ BASKI GRAMI]]/Tablo5[[#This Row],[KALIP GÖZ ADEDİ]]," ")</f>
        <v xml:space="preserve"> </v>
      </c>
      <c r="T492" s="100" t="str">
        <f t="shared" si="51"/>
        <v xml:space="preserve"> </v>
      </c>
      <c r="U492" s="100"/>
      <c r="V492" s="100" t="str">
        <f t="shared" si="50"/>
        <v xml:space="preserve"> </v>
      </c>
      <c r="W492" s="101">
        <f t="shared" si="52"/>
        <v>24</v>
      </c>
      <c r="X492" s="102">
        <f t="shared" si="53"/>
        <v>0</v>
      </c>
      <c r="Y492" s="100" t="str">
        <f t="shared" si="54"/>
        <v xml:space="preserve"> </v>
      </c>
      <c r="Z492" s="100" t="str">
        <f t="shared" si="55"/>
        <v xml:space="preserve"> </v>
      </c>
    </row>
    <row r="493" spans="1:26">
      <c r="A493" s="100"/>
      <c r="B493" s="108" t="str">
        <f>IFERROR(VLOOKUP(Tablo5[[#This Row],[ÜRÜN KODU]],YMKODLARI!$A$1:$K$363,2,0)," ")</f>
        <v xml:space="preserve"> </v>
      </c>
      <c r="C493" s="99"/>
      <c r="D493" s="100"/>
      <c r="E493" s="101"/>
      <c r="F493" s="101"/>
      <c r="G493" s="100" t="str">
        <f>IFERROR(VLOOKUP(Tablo5[[#This Row],[ÜRÜN KODU]],YMKODLARI!$A$1:$K$363,3,0)," ")</f>
        <v xml:space="preserve"> </v>
      </c>
      <c r="H493" s="100" t="str">
        <f>IFERROR(VLOOKUP(Tablo5[[#This Row],[ÜRÜN KODU]],YMKODLARI!$A$1:$K$363,4,0)," ")</f>
        <v xml:space="preserve"> </v>
      </c>
      <c r="I493" s="100"/>
      <c r="J493" s="100" t="str">
        <f>IFERROR(VLOOKUP(Tablo5[[#This Row],[ÜRÜN KODU]],YMKODLARI!$A$1:$K$363,9,0)," ")</f>
        <v xml:space="preserve"> </v>
      </c>
      <c r="K493" s="100" t="str">
        <f>IFERROR(VLOOKUP(Tablo5[[#This Row],[BOYA KODU]],Tablo14[#All],4,0)," ")</f>
        <v xml:space="preserve"> </v>
      </c>
      <c r="L493" s="100" t="str">
        <f>IFERROR(VLOOKUP(Tablo5[[#This Row],[BOYA KODU]],Tablo14[#All],6,0)," ")</f>
        <v xml:space="preserve"> </v>
      </c>
      <c r="M493" s="100" t="str">
        <f t="shared" si="49"/>
        <v xml:space="preserve"> </v>
      </c>
      <c r="N493" s="100" t="str">
        <f>IFERROR(VLOOKUP(Tablo5[[#This Row],[ÜRÜN KODU]],YMKODLARI!$A$1:$K$363,8,0)," ")</f>
        <v xml:space="preserve"> </v>
      </c>
      <c r="O493" s="100" t="str">
        <f>IFERROR(VLOOKUP(Tablo5[[#This Row],[HAMMADDE KODU]],Tablo1[#All],3,0)," ")</f>
        <v xml:space="preserve"> </v>
      </c>
      <c r="P493" s="100" t="str">
        <f>IFERROR(VLOOKUP(Tablo5[[#This Row],[HAMMADDE KODU]],Tablo1[#All],4,0)," ")</f>
        <v xml:space="preserve"> </v>
      </c>
      <c r="Q493" s="100" t="str">
        <f>IFERROR(VLOOKUP(Tablo5[[#This Row],[ÜRÜN KODU]],YMKODLARI!$A$1:$K$363,5,0)," ")</f>
        <v xml:space="preserve"> </v>
      </c>
      <c r="R493" s="100" t="str">
        <f>IFERROR(VLOOKUP(Tablo5[[#This Row],[ÜRÜN KODU]],YMKODLARI!$A$1:$K$363,6,0)," ")</f>
        <v xml:space="preserve"> </v>
      </c>
      <c r="S493" s="100" t="str">
        <f>IFERROR(Tablo5[[#This Row],[YOLLUK HARİÇ BASKI GRAMI]]/Tablo5[[#This Row],[KALIP GÖZ ADEDİ]]," ")</f>
        <v xml:space="preserve"> </v>
      </c>
      <c r="T493" s="100" t="str">
        <f t="shared" si="51"/>
        <v xml:space="preserve"> </v>
      </c>
      <c r="U493" s="100"/>
      <c r="V493" s="100" t="str">
        <f t="shared" si="50"/>
        <v xml:space="preserve"> </v>
      </c>
      <c r="W493" s="101">
        <f t="shared" si="52"/>
        <v>24</v>
      </c>
      <c r="X493" s="102">
        <f t="shared" si="53"/>
        <v>0</v>
      </c>
      <c r="Y493" s="100" t="str">
        <f t="shared" si="54"/>
        <v xml:space="preserve"> </v>
      </c>
      <c r="Z493" s="100" t="str">
        <f t="shared" si="55"/>
        <v xml:space="preserve"> </v>
      </c>
    </row>
    <row r="494" spans="1:26">
      <c r="A494" s="100"/>
      <c r="B494" s="108" t="str">
        <f>IFERROR(VLOOKUP(Tablo5[[#This Row],[ÜRÜN KODU]],YMKODLARI!$A$1:$K$363,2,0)," ")</f>
        <v xml:space="preserve"> </v>
      </c>
      <c r="C494" s="99"/>
      <c r="D494" s="100"/>
      <c r="E494" s="101"/>
      <c r="F494" s="101"/>
      <c r="G494" s="100" t="str">
        <f>IFERROR(VLOOKUP(Tablo5[[#This Row],[ÜRÜN KODU]],YMKODLARI!$A$1:$K$363,3,0)," ")</f>
        <v xml:space="preserve"> </v>
      </c>
      <c r="H494" s="100" t="str">
        <f>IFERROR(VLOOKUP(Tablo5[[#This Row],[ÜRÜN KODU]],YMKODLARI!$A$1:$K$363,4,0)," ")</f>
        <v xml:space="preserve"> </v>
      </c>
      <c r="I494" s="100"/>
      <c r="J494" s="100" t="str">
        <f>IFERROR(VLOOKUP(Tablo5[[#This Row],[ÜRÜN KODU]],YMKODLARI!$A$1:$K$363,9,0)," ")</f>
        <v xml:space="preserve"> </v>
      </c>
      <c r="K494" s="100" t="str">
        <f>IFERROR(VLOOKUP(Tablo5[[#This Row],[BOYA KODU]],Tablo14[#All],4,0)," ")</f>
        <v xml:space="preserve"> </v>
      </c>
      <c r="L494" s="100" t="str">
        <f>IFERROR(VLOOKUP(Tablo5[[#This Row],[BOYA KODU]],Tablo14[#All],6,0)," ")</f>
        <v xml:space="preserve"> </v>
      </c>
      <c r="M494" s="100" t="str">
        <f t="shared" si="49"/>
        <v xml:space="preserve"> </v>
      </c>
      <c r="N494" s="100" t="str">
        <f>IFERROR(VLOOKUP(Tablo5[[#This Row],[ÜRÜN KODU]],YMKODLARI!$A$1:$K$363,8,0)," ")</f>
        <v xml:space="preserve"> </v>
      </c>
      <c r="O494" s="100" t="str">
        <f>IFERROR(VLOOKUP(Tablo5[[#This Row],[HAMMADDE KODU]],Tablo1[#All],3,0)," ")</f>
        <v xml:space="preserve"> </v>
      </c>
      <c r="P494" s="100" t="str">
        <f>IFERROR(VLOOKUP(Tablo5[[#This Row],[HAMMADDE KODU]],Tablo1[#All],4,0)," ")</f>
        <v xml:space="preserve"> </v>
      </c>
      <c r="Q494" s="100" t="str">
        <f>IFERROR(VLOOKUP(Tablo5[[#This Row],[ÜRÜN KODU]],YMKODLARI!$A$1:$K$363,5,0)," ")</f>
        <v xml:space="preserve"> </v>
      </c>
      <c r="R494" s="100" t="str">
        <f>IFERROR(VLOOKUP(Tablo5[[#This Row],[ÜRÜN KODU]],YMKODLARI!$A$1:$K$363,6,0)," ")</f>
        <v xml:space="preserve"> </v>
      </c>
      <c r="S494" s="100" t="str">
        <f>IFERROR(Tablo5[[#This Row],[YOLLUK HARİÇ BASKI GRAMI]]/Tablo5[[#This Row],[KALIP GÖZ ADEDİ]]," ")</f>
        <v xml:space="preserve"> </v>
      </c>
      <c r="T494" s="100" t="str">
        <f t="shared" si="51"/>
        <v xml:space="preserve"> </v>
      </c>
      <c r="U494" s="100"/>
      <c r="V494" s="100" t="str">
        <f t="shared" si="50"/>
        <v xml:space="preserve"> </v>
      </c>
      <c r="W494" s="101">
        <f t="shared" si="52"/>
        <v>24</v>
      </c>
      <c r="X494" s="102">
        <f t="shared" si="53"/>
        <v>0</v>
      </c>
      <c r="Y494" s="100" t="str">
        <f t="shared" si="54"/>
        <v xml:space="preserve"> </v>
      </c>
      <c r="Z494" s="100" t="str">
        <f t="shared" si="55"/>
        <v xml:space="preserve"> </v>
      </c>
    </row>
    <row r="495" spans="1:26">
      <c r="A495" s="100"/>
      <c r="B495" s="108" t="str">
        <f>IFERROR(VLOOKUP(Tablo5[[#This Row],[ÜRÜN KODU]],YMKODLARI!$A$1:$K$363,2,0)," ")</f>
        <v xml:space="preserve"> </v>
      </c>
      <c r="C495" s="99"/>
      <c r="D495" s="100"/>
      <c r="E495" s="101"/>
      <c r="F495" s="101"/>
      <c r="G495" s="100" t="str">
        <f>IFERROR(VLOOKUP(Tablo5[[#This Row],[ÜRÜN KODU]],YMKODLARI!$A$1:$K$363,3,0)," ")</f>
        <v xml:space="preserve"> </v>
      </c>
      <c r="H495" s="100" t="str">
        <f>IFERROR(VLOOKUP(Tablo5[[#This Row],[ÜRÜN KODU]],YMKODLARI!$A$1:$K$363,4,0)," ")</f>
        <v xml:space="preserve"> </v>
      </c>
      <c r="I495" s="100"/>
      <c r="J495" s="100" t="str">
        <f>IFERROR(VLOOKUP(Tablo5[[#This Row],[ÜRÜN KODU]],YMKODLARI!$A$1:$K$363,9,0)," ")</f>
        <v xml:space="preserve"> </v>
      </c>
      <c r="K495" s="100" t="str">
        <f>IFERROR(VLOOKUP(Tablo5[[#This Row],[BOYA KODU]],Tablo14[#All],4,0)," ")</f>
        <v xml:space="preserve"> </v>
      </c>
      <c r="L495" s="100" t="str">
        <f>IFERROR(VLOOKUP(Tablo5[[#This Row],[BOYA KODU]],Tablo14[#All],6,0)," ")</f>
        <v xml:space="preserve"> </v>
      </c>
      <c r="M495" s="100" t="str">
        <f t="shared" si="49"/>
        <v xml:space="preserve"> </v>
      </c>
      <c r="N495" s="100" t="str">
        <f>IFERROR(VLOOKUP(Tablo5[[#This Row],[ÜRÜN KODU]],YMKODLARI!$A$1:$K$363,8,0)," ")</f>
        <v xml:space="preserve"> </v>
      </c>
      <c r="O495" s="100" t="str">
        <f>IFERROR(VLOOKUP(Tablo5[[#This Row],[HAMMADDE KODU]],Tablo1[#All],3,0)," ")</f>
        <v xml:space="preserve"> </v>
      </c>
      <c r="P495" s="100" t="str">
        <f>IFERROR(VLOOKUP(Tablo5[[#This Row],[HAMMADDE KODU]],Tablo1[#All],4,0)," ")</f>
        <v xml:space="preserve"> </v>
      </c>
      <c r="Q495" s="100" t="str">
        <f>IFERROR(VLOOKUP(Tablo5[[#This Row],[ÜRÜN KODU]],YMKODLARI!$A$1:$K$363,5,0)," ")</f>
        <v xml:space="preserve"> </v>
      </c>
      <c r="R495" s="100" t="str">
        <f>IFERROR(VLOOKUP(Tablo5[[#This Row],[ÜRÜN KODU]],YMKODLARI!$A$1:$K$363,6,0)," ")</f>
        <v xml:space="preserve"> </v>
      </c>
      <c r="S495" s="100" t="str">
        <f>IFERROR(Tablo5[[#This Row],[YOLLUK HARİÇ BASKI GRAMI]]/Tablo5[[#This Row],[KALIP GÖZ ADEDİ]]," ")</f>
        <v xml:space="preserve"> </v>
      </c>
      <c r="T495" s="100" t="str">
        <f t="shared" si="51"/>
        <v xml:space="preserve"> </v>
      </c>
      <c r="U495" s="100"/>
      <c r="V495" s="100" t="str">
        <f t="shared" si="50"/>
        <v xml:space="preserve"> </v>
      </c>
      <c r="W495" s="101">
        <f t="shared" si="52"/>
        <v>24</v>
      </c>
      <c r="X495" s="102">
        <f t="shared" si="53"/>
        <v>0</v>
      </c>
      <c r="Y495" s="100" t="str">
        <f t="shared" si="54"/>
        <v xml:space="preserve"> </v>
      </c>
      <c r="Z495" s="100" t="str">
        <f t="shared" si="55"/>
        <v xml:space="preserve"> </v>
      </c>
    </row>
    <row r="496" spans="1:26">
      <c r="A496" s="100"/>
      <c r="B496" s="108" t="str">
        <f>IFERROR(VLOOKUP(Tablo5[[#This Row],[ÜRÜN KODU]],YMKODLARI!$A$1:$K$363,2,0)," ")</f>
        <v xml:space="preserve"> </v>
      </c>
      <c r="C496" s="99"/>
      <c r="D496" s="100"/>
      <c r="E496" s="101"/>
      <c r="F496" s="101"/>
      <c r="G496" s="100" t="str">
        <f>IFERROR(VLOOKUP(Tablo5[[#This Row],[ÜRÜN KODU]],YMKODLARI!$A$1:$K$363,3,0)," ")</f>
        <v xml:space="preserve"> </v>
      </c>
      <c r="H496" s="100" t="str">
        <f>IFERROR(VLOOKUP(Tablo5[[#This Row],[ÜRÜN KODU]],YMKODLARI!$A$1:$K$363,4,0)," ")</f>
        <v xml:space="preserve"> </v>
      </c>
      <c r="I496" s="100"/>
      <c r="J496" s="100" t="str">
        <f>IFERROR(VLOOKUP(Tablo5[[#This Row],[ÜRÜN KODU]],YMKODLARI!$A$1:$K$363,9,0)," ")</f>
        <v xml:space="preserve"> </v>
      </c>
      <c r="K496" s="100" t="str">
        <f>IFERROR(VLOOKUP(Tablo5[[#This Row],[BOYA KODU]],Tablo14[#All],4,0)," ")</f>
        <v xml:space="preserve"> </v>
      </c>
      <c r="L496" s="100" t="str">
        <f>IFERROR(VLOOKUP(Tablo5[[#This Row],[BOYA KODU]],Tablo14[#All],6,0)," ")</f>
        <v xml:space="preserve"> </v>
      </c>
      <c r="M496" s="100" t="str">
        <f t="shared" si="49"/>
        <v xml:space="preserve"> </v>
      </c>
      <c r="N496" s="100" t="str">
        <f>IFERROR(VLOOKUP(Tablo5[[#This Row],[ÜRÜN KODU]],YMKODLARI!$A$1:$K$363,8,0)," ")</f>
        <v xml:space="preserve"> </v>
      </c>
      <c r="O496" s="100" t="str">
        <f>IFERROR(VLOOKUP(Tablo5[[#This Row],[HAMMADDE KODU]],Tablo1[#All],3,0)," ")</f>
        <v xml:space="preserve"> </v>
      </c>
      <c r="P496" s="100" t="str">
        <f>IFERROR(VLOOKUP(Tablo5[[#This Row],[HAMMADDE KODU]],Tablo1[#All],4,0)," ")</f>
        <v xml:space="preserve"> </v>
      </c>
      <c r="Q496" s="100" t="str">
        <f>IFERROR(VLOOKUP(Tablo5[[#This Row],[ÜRÜN KODU]],YMKODLARI!$A$1:$K$363,5,0)," ")</f>
        <v xml:space="preserve"> </v>
      </c>
      <c r="R496" s="100" t="str">
        <f>IFERROR(VLOOKUP(Tablo5[[#This Row],[ÜRÜN KODU]],YMKODLARI!$A$1:$K$363,6,0)," ")</f>
        <v xml:space="preserve"> </v>
      </c>
      <c r="S496" s="100" t="str">
        <f>IFERROR(Tablo5[[#This Row],[YOLLUK HARİÇ BASKI GRAMI]]/Tablo5[[#This Row],[KALIP GÖZ ADEDİ]]," ")</f>
        <v xml:space="preserve"> </v>
      </c>
      <c r="T496" s="100" t="str">
        <f t="shared" si="51"/>
        <v xml:space="preserve"> </v>
      </c>
      <c r="U496" s="100"/>
      <c r="V496" s="100" t="str">
        <f t="shared" si="50"/>
        <v xml:space="preserve"> </v>
      </c>
      <c r="W496" s="101">
        <f t="shared" si="52"/>
        <v>24</v>
      </c>
      <c r="X496" s="102">
        <f t="shared" si="53"/>
        <v>0</v>
      </c>
      <c r="Y496" s="100" t="str">
        <f t="shared" si="54"/>
        <v xml:space="preserve"> </v>
      </c>
      <c r="Z496" s="100" t="str">
        <f t="shared" si="55"/>
        <v xml:space="preserve"> </v>
      </c>
    </row>
    <row r="497" spans="1:26">
      <c r="A497" s="100"/>
      <c r="B497" s="108" t="str">
        <f>IFERROR(VLOOKUP(Tablo5[[#This Row],[ÜRÜN KODU]],YMKODLARI!$A$1:$K$363,2,0)," ")</f>
        <v xml:space="preserve"> </v>
      </c>
      <c r="C497" s="99"/>
      <c r="D497" s="100"/>
      <c r="E497" s="101"/>
      <c r="F497" s="101"/>
      <c r="G497" s="100" t="str">
        <f>IFERROR(VLOOKUP(Tablo5[[#This Row],[ÜRÜN KODU]],YMKODLARI!$A$1:$K$363,3,0)," ")</f>
        <v xml:space="preserve"> </v>
      </c>
      <c r="H497" s="100" t="str">
        <f>IFERROR(VLOOKUP(Tablo5[[#This Row],[ÜRÜN KODU]],YMKODLARI!$A$1:$K$363,4,0)," ")</f>
        <v xml:space="preserve"> </v>
      </c>
      <c r="I497" s="100"/>
      <c r="J497" s="100" t="str">
        <f>IFERROR(VLOOKUP(Tablo5[[#This Row],[ÜRÜN KODU]],YMKODLARI!$A$1:$K$363,9,0)," ")</f>
        <v xml:space="preserve"> </v>
      </c>
      <c r="K497" s="100" t="str">
        <f>IFERROR(VLOOKUP(Tablo5[[#This Row],[BOYA KODU]],Tablo14[#All],4,0)," ")</f>
        <v xml:space="preserve"> </v>
      </c>
      <c r="L497" s="100" t="str">
        <f>IFERROR(VLOOKUP(Tablo5[[#This Row],[BOYA KODU]],Tablo14[#All],6,0)," ")</f>
        <v xml:space="preserve"> </v>
      </c>
      <c r="M497" s="100" t="str">
        <f t="shared" si="49"/>
        <v xml:space="preserve"> </v>
      </c>
      <c r="N497" s="100" t="str">
        <f>IFERROR(VLOOKUP(Tablo5[[#This Row],[ÜRÜN KODU]],YMKODLARI!$A$1:$K$363,8,0)," ")</f>
        <v xml:space="preserve"> </v>
      </c>
      <c r="O497" s="100" t="str">
        <f>IFERROR(VLOOKUP(Tablo5[[#This Row],[HAMMADDE KODU]],Tablo1[#All],3,0)," ")</f>
        <v xml:space="preserve"> </v>
      </c>
      <c r="P497" s="100" t="str">
        <f>IFERROR(VLOOKUP(Tablo5[[#This Row],[HAMMADDE KODU]],Tablo1[#All],4,0)," ")</f>
        <v xml:space="preserve"> </v>
      </c>
      <c r="Q497" s="100" t="str">
        <f>IFERROR(VLOOKUP(Tablo5[[#This Row],[ÜRÜN KODU]],YMKODLARI!$A$1:$K$363,5,0)," ")</f>
        <v xml:space="preserve"> </v>
      </c>
      <c r="R497" s="100" t="str">
        <f>IFERROR(VLOOKUP(Tablo5[[#This Row],[ÜRÜN KODU]],YMKODLARI!$A$1:$K$363,6,0)," ")</f>
        <v xml:space="preserve"> </v>
      </c>
      <c r="S497" s="100" t="str">
        <f>IFERROR(Tablo5[[#This Row],[YOLLUK HARİÇ BASKI GRAMI]]/Tablo5[[#This Row],[KALIP GÖZ ADEDİ]]," ")</f>
        <v xml:space="preserve"> </v>
      </c>
      <c r="T497" s="100" t="str">
        <f t="shared" si="51"/>
        <v xml:space="preserve"> </v>
      </c>
      <c r="U497" s="100"/>
      <c r="V497" s="100" t="str">
        <f t="shared" si="50"/>
        <v xml:space="preserve"> </v>
      </c>
      <c r="W497" s="101">
        <f t="shared" si="52"/>
        <v>24</v>
      </c>
      <c r="X497" s="102">
        <f t="shared" si="53"/>
        <v>0</v>
      </c>
      <c r="Y497" s="100" t="str">
        <f t="shared" si="54"/>
        <v xml:space="preserve"> </v>
      </c>
      <c r="Z497" s="100" t="str">
        <f t="shared" si="55"/>
        <v xml:space="preserve"> </v>
      </c>
    </row>
    <row r="498" spans="1:26">
      <c r="A498" s="100"/>
      <c r="B498" s="108" t="str">
        <f>IFERROR(VLOOKUP(Tablo5[[#This Row],[ÜRÜN KODU]],YMKODLARI!$A$1:$K$363,2,0)," ")</f>
        <v xml:space="preserve"> </v>
      </c>
      <c r="C498" s="99"/>
      <c r="D498" s="100"/>
      <c r="E498" s="101"/>
      <c r="F498" s="101"/>
      <c r="G498" s="100" t="str">
        <f>IFERROR(VLOOKUP(Tablo5[[#This Row],[ÜRÜN KODU]],YMKODLARI!$A$1:$K$363,3,0)," ")</f>
        <v xml:space="preserve"> </v>
      </c>
      <c r="H498" s="100" t="str">
        <f>IFERROR(VLOOKUP(Tablo5[[#This Row],[ÜRÜN KODU]],YMKODLARI!$A$1:$K$363,4,0)," ")</f>
        <v xml:space="preserve"> </v>
      </c>
      <c r="I498" s="100"/>
      <c r="J498" s="100" t="str">
        <f>IFERROR(VLOOKUP(Tablo5[[#This Row],[ÜRÜN KODU]],YMKODLARI!$A$1:$K$363,9,0)," ")</f>
        <v xml:space="preserve"> </v>
      </c>
      <c r="K498" s="100" t="str">
        <f>IFERROR(VLOOKUP(Tablo5[[#This Row],[BOYA KODU]],Tablo14[#All],4,0)," ")</f>
        <v xml:space="preserve"> </v>
      </c>
      <c r="L498" s="100" t="str">
        <f>IFERROR(VLOOKUP(Tablo5[[#This Row],[BOYA KODU]],Tablo14[#All],6,0)," ")</f>
        <v xml:space="preserve"> </v>
      </c>
      <c r="M498" s="100" t="str">
        <f t="shared" si="49"/>
        <v xml:space="preserve"> </v>
      </c>
      <c r="N498" s="100" t="str">
        <f>IFERROR(VLOOKUP(Tablo5[[#This Row],[ÜRÜN KODU]],YMKODLARI!$A$1:$K$363,8,0)," ")</f>
        <v xml:space="preserve"> </v>
      </c>
      <c r="O498" s="100" t="str">
        <f>IFERROR(VLOOKUP(Tablo5[[#This Row],[HAMMADDE KODU]],Tablo1[#All],3,0)," ")</f>
        <v xml:space="preserve"> </v>
      </c>
      <c r="P498" s="100" t="str">
        <f>IFERROR(VLOOKUP(Tablo5[[#This Row],[HAMMADDE KODU]],Tablo1[#All],4,0)," ")</f>
        <v xml:space="preserve"> </v>
      </c>
      <c r="Q498" s="100" t="str">
        <f>IFERROR(VLOOKUP(Tablo5[[#This Row],[ÜRÜN KODU]],YMKODLARI!$A$1:$K$363,5,0)," ")</f>
        <v xml:space="preserve"> </v>
      </c>
      <c r="R498" s="100" t="str">
        <f>IFERROR(VLOOKUP(Tablo5[[#This Row],[ÜRÜN KODU]],YMKODLARI!$A$1:$K$363,6,0)," ")</f>
        <v xml:space="preserve"> </v>
      </c>
      <c r="S498" s="100" t="str">
        <f>IFERROR(Tablo5[[#This Row],[YOLLUK HARİÇ BASKI GRAMI]]/Tablo5[[#This Row],[KALIP GÖZ ADEDİ]]," ")</f>
        <v xml:space="preserve"> </v>
      </c>
      <c r="T498" s="100" t="str">
        <f t="shared" si="51"/>
        <v xml:space="preserve"> </v>
      </c>
      <c r="U498" s="100"/>
      <c r="V498" s="100" t="str">
        <f t="shared" si="50"/>
        <v xml:space="preserve"> </v>
      </c>
      <c r="W498" s="101">
        <f t="shared" si="52"/>
        <v>24</v>
      </c>
      <c r="X498" s="102">
        <f t="shared" si="53"/>
        <v>0</v>
      </c>
      <c r="Y498" s="100" t="str">
        <f t="shared" si="54"/>
        <v xml:space="preserve"> </v>
      </c>
      <c r="Z498" s="100" t="str">
        <f t="shared" si="55"/>
        <v xml:space="preserve"> </v>
      </c>
    </row>
    <row r="499" spans="1:26">
      <c r="A499" s="100"/>
      <c r="B499" s="108" t="str">
        <f>IFERROR(VLOOKUP(Tablo5[[#This Row],[ÜRÜN KODU]],YMKODLARI!$A$1:$K$363,2,0)," ")</f>
        <v xml:space="preserve"> </v>
      </c>
      <c r="C499" s="99"/>
      <c r="D499" s="100"/>
      <c r="E499" s="101"/>
      <c r="F499" s="101"/>
      <c r="G499" s="100" t="str">
        <f>IFERROR(VLOOKUP(Tablo5[[#This Row],[ÜRÜN KODU]],YMKODLARI!$A$1:$K$363,3,0)," ")</f>
        <v xml:space="preserve"> </v>
      </c>
      <c r="H499" s="100" t="str">
        <f>IFERROR(VLOOKUP(Tablo5[[#This Row],[ÜRÜN KODU]],YMKODLARI!$A$1:$K$363,4,0)," ")</f>
        <v xml:space="preserve"> </v>
      </c>
      <c r="I499" s="100"/>
      <c r="J499" s="100" t="str">
        <f>IFERROR(VLOOKUP(Tablo5[[#This Row],[ÜRÜN KODU]],YMKODLARI!$A$1:$K$363,9,0)," ")</f>
        <v xml:space="preserve"> </v>
      </c>
      <c r="K499" s="100" t="str">
        <f>IFERROR(VLOOKUP(Tablo5[[#This Row],[BOYA KODU]],Tablo14[#All],4,0)," ")</f>
        <v xml:space="preserve"> </v>
      </c>
      <c r="L499" s="100" t="str">
        <f>IFERROR(VLOOKUP(Tablo5[[#This Row],[BOYA KODU]],Tablo14[#All],6,0)," ")</f>
        <v xml:space="preserve"> </v>
      </c>
      <c r="M499" s="100" t="str">
        <f t="shared" si="49"/>
        <v xml:space="preserve"> </v>
      </c>
      <c r="N499" s="100" t="str">
        <f>IFERROR(VLOOKUP(Tablo5[[#This Row],[ÜRÜN KODU]],YMKODLARI!$A$1:$K$363,8,0)," ")</f>
        <v xml:space="preserve"> </v>
      </c>
      <c r="O499" s="100" t="str">
        <f>IFERROR(VLOOKUP(Tablo5[[#This Row],[HAMMADDE KODU]],Tablo1[#All],3,0)," ")</f>
        <v xml:space="preserve"> </v>
      </c>
      <c r="P499" s="100" t="str">
        <f>IFERROR(VLOOKUP(Tablo5[[#This Row],[HAMMADDE KODU]],Tablo1[#All],4,0)," ")</f>
        <v xml:space="preserve"> </v>
      </c>
      <c r="Q499" s="100" t="str">
        <f>IFERROR(VLOOKUP(Tablo5[[#This Row],[ÜRÜN KODU]],YMKODLARI!$A$1:$K$363,5,0)," ")</f>
        <v xml:space="preserve"> </v>
      </c>
      <c r="R499" s="100" t="str">
        <f>IFERROR(VLOOKUP(Tablo5[[#This Row],[ÜRÜN KODU]],YMKODLARI!$A$1:$K$363,6,0)," ")</f>
        <v xml:space="preserve"> </v>
      </c>
      <c r="S499" s="100" t="str">
        <f>IFERROR(Tablo5[[#This Row],[YOLLUK HARİÇ BASKI GRAMI]]/Tablo5[[#This Row],[KALIP GÖZ ADEDİ]]," ")</f>
        <v xml:space="preserve"> </v>
      </c>
      <c r="T499" s="100" t="str">
        <f t="shared" si="51"/>
        <v xml:space="preserve"> </v>
      </c>
      <c r="U499" s="100"/>
      <c r="V499" s="100" t="str">
        <f t="shared" si="50"/>
        <v xml:space="preserve"> </v>
      </c>
      <c r="W499" s="101">
        <f t="shared" si="52"/>
        <v>24</v>
      </c>
      <c r="X499" s="102">
        <f t="shared" si="53"/>
        <v>0</v>
      </c>
      <c r="Y499" s="100" t="str">
        <f t="shared" si="54"/>
        <v xml:space="preserve"> </v>
      </c>
      <c r="Z499" s="100" t="str">
        <f t="shared" si="55"/>
        <v xml:space="preserve"> </v>
      </c>
    </row>
    <row r="500" spans="1:26">
      <c r="A500" s="100"/>
      <c r="B500" s="108" t="str">
        <f>IFERROR(VLOOKUP(Tablo5[[#This Row],[ÜRÜN KODU]],YMKODLARI!$A$1:$K$363,2,0)," ")</f>
        <v xml:space="preserve"> </v>
      </c>
      <c r="C500" s="99"/>
      <c r="D500" s="100"/>
      <c r="E500" s="101"/>
      <c r="F500" s="101"/>
      <c r="G500" s="100" t="str">
        <f>IFERROR(VLOOKUP(Tablo5[[#This Row],[ÜRÜN KODU]],YMKODLARI!$A$1:$K$363,3,0)," ")</f>
        <v xml:space="preserve"> </v>
      </c>
      <c r="H500" s="100" t="str">
        <f>IFERROR(VLOOKUP(Tablo5[[#This Row],[ÜRÜN KODU]],YMKODLARI!$A$1:$K$363,4,0)," ")</f>
        <v xml:space="preserve"> </v>
      </c>
      <c r="I500" s="100"/>
      <c r="J500" s="100" t="str">
        <f>IFERROR(VLOOKUP(Tablo5[[#This Row],[ÜRÜN KODU]],YMKODLARI!$A$1:$K$363,9,0)," ")</f>
        <v xml:space="preserve"> </v>
      </c>
      <c r="K500" s="100" t="str">
        <f>IFERROR(VLOOKUP(Tablo5[[#This Row],[BOYA KODU]],Tablo14[#All],4,0)," ")</f>
        <v xml:space="preserve"> </v>
      </c>
      <c r="L500" s="100" t="str">
        <f>IFERROR(VLOOKUP(Tablo5[[#This Row],[BOYA KODU]],Tablo14[#All],6,0)," ")</f>
        <v xml:space="preserve"> </v>
      </c>
      <c r="M500" s="100" t="str">
        <f t="shared" si="49"/>
        <v xml:space="preserve"> </v>
      </c>
      <c r="N500" s="100" t="str">
        <f>IFERROR(VLOOKUP(Tablo5[[#This Row],[ÜRÜN KODU]],YMKODLARI!$A$1:$K$363,8,0)," ")</f>
        <v xml:space="preserve"> </v>
      </c>
      <c r="O500" s="100" t="str">
        <f>IFERROR(VLOOKUP(Tablo5[[#This Row],[HAMMADDE KODU]],Tablo1[#All],3,0)," ")</f>
        <v xml:space="preserve"> </v>
      </c>
      <c r="P500" s="100" t="str">
        <f>IFERROR(VLOOKUP(Tablo5[[#This Row],[HAMMADDE KODU]],Tablo1[#All],4,0)," ")</f>
        <v xml:space="preserve"> </v>
      </c>
      <c r="Q500" s="100" t="str">
        <f>IFERROR(VLOOKUP(Tablo5[[#This Row],[ÜRÜN KODU]],YMKODLARI!$A$1:$K$363,5,0)," ")</f>
        <v xml:space="preserve"> </v>
      </c>
      <c r="R500" s="100" t="str">
        <f>IFERROR(VLOOKUP(Tablo5[[#This Row],[ÜRÜN KODU]],YMKODLARI!$A$1:$K$363,6,0)," ")</f>
        <v xml:space="preserve"> </v>
      </c>
      <c r="S500" s="100" t="str">
        <f>IFERROR(Tablo5[[#This Row],[YOLLUK HARİÇ BASKI GRAMI]]/Tablo5[[#This Row],[KALIP GÖZ ADEDİ]]," ")</f>
        <v xml:space="preserve"> </v>
      </c>
      <c r="T500" s="100" t="str">
        <f t="shared" si="51"/>
        <v xml:space="preserve"> </v>
      </c>
      <c r="U500" s="100"/>
      <c r="V500" s="100" t="str">
        <f t="shared" si="50"/>
        <v xml:space="preserve"> </v>
      </c>
      <c r="W500" s="101">
        <f t="shared" si="52"/>
        <v>24</v>
      </c>
      <c r="X500" s="102">
        <f t="shared" si="53"/>
        <v>0</v>
      </c>
      <c r="Y500" s="100" t="str">
        <f t="shared" si="54"/>
        <v xml:space="preserve"> </v>
      </c>
      <c r="Z500" s="100" t="str">
        <f t="shared" si="55"/>
        <v xml:space="preserve"> </v>
      </c>
    </row>
    <row r="501" spans="1:26">
      <c r="A501" s="100"/>
      <c r="B501" s="108" t="str">
        <f>IFERROR(VLOOKUP(Tablo5[[#This Row],[ÜRÜN KODU]],YMKODLARI!$A$1:$K$363,2,0)," ")</f>
        <v xml:space="preserve"> </v>
      </c>
      <c r="C501" s="99"/>
      <c r="D501" s="100"/>
      <c r="E501" s="101"/>
      <c r="F501" s="101"/>
      <c r="G501" s="100" t="str">
        <f>IFERROR(VLOOKUP(Tablo5[[#This Row],[ÜRÜN KODU]],YMKODLARI!$A$1:$K$363,3,0)," ")</f>
        <v xml:space="preserve"> </v>
      </c>
      <c r="H501" s="100" t="str">
        <f>IFERROR(VLOOKUP(Tablo5[[#This Row],[ÜRÜN KODU]],YMKODLARI!$A$1:$K$363,4,0)," ")</f>
        <v xml:space="preserve"> </v>
      </c>
      <c r="I501" s="100"/>
      <c r="J501" s="100" t="str">
        <f>IFERROR(VLOOKUP(Tablo5[[#This Row],[ÜRÜN KODU]],YMKODLARI!$A$1:$K$363,9,0)," ")</f>
        <v xml:space="preserve"> </v>
      </c>
      <c r="K501" s="100" t="str">
        <f>IFERROR(VLOOKUP(Tablo5[[#This Row],[BOYA KODU]],Tablo14[#All],4,0)," ")</f>
        <v xml:space="preserve"> </v>
      </c>
      <c r="L501" s="100" t="str">
        <f>IFERROR(VLOOKUP(Tablo5[[#This Row],[BOYA KODU]],Tablo14[#All],6,0)," ")</f>
        <v xml:space="preserve"> </v>
      </c>
      <c r="M501" s="100" t="str">
        <f t="shared" si="49"/>
        <v xml:space="preserve"> </v>
      </c>
      <c r="N501" s="100" t="str">
        <f>IFERROR(VLOOKUP(Tablo5[[#This Row],[ÜRÜN KODU]],YMKODLARI!$A$1:$K$363,8,0)," ")</f>
        <v xml:space="preserve"> </v>
      </c>
      <c r="O501" s="100" t="str">
        <f>IFERROR(VLOOKUP(Tablo5[[#This Row],[HAMMADDE KODU]],Tablo1[#All],3,0)," ")</f>
        <v xml:space="preserve"> </v>
      </c>
      <c r="P501" s="100" t="str">
        <f>IFERROR(VLOOKUP(Tablo5[[#This Row],[HAMMADDE KODU]],Tablo1[#All],4,0)," ")</f>
        <v xml:space="preserve"> </v>
      </c>
      <c r="Q501" s="100" t="str">
        <f>IFERROR(VLOOKUP(Tablo5[[#This Row],[ÜRÜN KODU]],YMKODLARI!$A$1:$K$363,5,0)," ")</f>
        <v xml:space="preserve"> </v>
      </c>
      <c r="R501" s="100" t="str">
        <f>IFERROR(VLOOKUP(Tablo5[[#This Row],[ÜRÜN KODU]],YMKODLARI!$A$1:$K$363,6,0)," ")</f>
        <v xml:space="preserve"> </v>
      </c>
      <c r="S501" s="100" t="str">
        <f>IFERROR(Tablo5[[#This Row],[YOLLUK HARİÇ BASKI GRAMI]]/Tablo5[[#This Row],[KALIP GÖZ ADEDİ]]," ")</f>
        <v xml:space="preserve"> </v>
      </c>
      <c r="T501" s="100" t="str">
        <f t="shared" si="51"/>
        <v xml:space="preserve"> </v>
      </c>
      <c r="U501" s="100"/>
      <c r="V501" s="100" t="str">
        <f t="shared" si="50"/>
        <v xml:space="preserve"> </v>
      </c>
      <c r="W501" s="101">
        <f t="shared" si="52"/>
        <v>24</v>
      </c>
      <c r="X501" s="102">
        <f t="shared" si="53"/>
        <v>0</v>
      </c>
      <c r="Y501" s="100" t="str">
        <f t="shared" si="54"/>
        <v xml:space="preserve"> </v>
      </c>
      <c r="Z501" s="100" t="str">
        <f t="shared" si="55"/>
        <v xml:space="preserve"> </v>
      </c>
    </row>
    <row r="502" spans="1:26">
      <c r="A502" s="100"/>
      <c r="B502" s="108" t="str">
        <f>IFERROR(VLOOKUP(Tablo5[[#This Row],[ÜRÜN KODU]],YMKODLARI!$A$1:$K$363,2,0)," ")</f>
        <v xml:space="preserve"> </v>
      </c>
      <c r="C502" s="99"/>
      <c r="D502" s="100"/>
      <c r="E502" s="101"/>
      <c r="F502" s="101"/>
      <c r="G502" s="100" t="str">
        <f>IFERROR(VLOOKUP(Tablo5[[#This Row],[ÜRÜN KODU]],YMKODLARI!$A$1:$K$363,3,0)," ")</f>
        <v xml:space="preserve"> </v>
      </c>
      <c r="H502" s="100" t="str">
        <f>IFERROR(VLOOKUP(Tablo5[[#This Row],[ÜRÜN KODU]],YMKODLARI!$A$1:$K$363,4,0)," ")</f>
        <v xml:space="preserve"> </v>
      </c>
      <c r="I502" s="100"/>
      <c r="J502" s="100" t="str">
        <f>IFERROR(VLOOKUP(Tablo5[[#This Row],[ÜRÜN KODU]],YMKODLARI!$A$1:$K$363,9,0)," ")</f>
        <v xml:space="preserve"> </v>
      </c>
      <c r="K502" s="100" t="str">
        <f>IFERROR(VLOOKUP(Tablo5[[#This Row],[BOYA KODU]],Tablo14[#All],4,0)," ")</f>
        <v xml:space="preserve"> </v>
      </c>
      <c r="L502" s="100" t="str">
        <f>IFERROR(VLOOKUP(Tablo5[[#This Row],[BOYA KODU]],Tablo14[#All],6,0)," ")</f>
        <v xml:space="preserve"> </v>
      </c>
      <c r="M502" s="100" t="str">
        <f t="shared" si="49"/>
        <v xml:space="preserve"> </v>
      </c>
      <c r="N502" s="100" t="str">
        <f>IFERROR(VLOOKUP(Tablo5[[#This Row],[ÜRÜN KODU]],YMKODLARI!$A$1:$K$363,8,0)," ")</f>
        <v xml:space="preserve"> </v>
      </c>
      <c r="O502" s="100" t="str">
        <f>IFERROR(VLOOKUP(Tablo5[[#This Row],[HAMMADDE KODU]],Tablo1[#All],3,0)," ")</f>
        <v xml:space="preserve"> </v>
      </c>
      <c r="P502" s="100" t="str">
        <f>IFERROR(VLOOKUP(Tablo5[[#This Row],[HAMMADDE KODU]],Tablo1[#All],4,0)," ")</f>
        <v xml:space="preserve"> </v>
      </c>
      <c r="Q502" s="100" t="str">
        <f>IFERROR(VLOOKUP(Tablo5[[#This Row],[ÜRÜN KODU]],YMKODLARI!$A$1:$K$363,5,0)," ")</f>
        <v xml:space="preserve"> </v>
      </c>
      <c r="R502" s="100" t="str">
        <f>IFERROR(VLOOKUP(Tablo5[[#This Row],[ÜRÜN KODU]],YMKODLARI!$A$1:$K$363,6,0)," ")</f>
        <v xml:space="preserve"> </v>
      </c>
      <c r="S502" s="100" t="str">
        <f>IFERROR(Tablo5[[#This Row],[YOLLUK HARİÇ BASKI GRAMI]]/Tablo5[[#This Row],[KALIP GÖZ ADEDİ]]," ")</f>
        <v xml:space="preserve"> </v>
      </c>
      <c r="T502" s="100" t="str">
        <f t="shared" si="51"/>
        <v xml:space="preserve"> </v>
      </c>
      <c r="U502" s="100"/>
      <c r="V502" s="100" t="str">
        <f t="shared" si="50"/>
        <v xml:space="preserve"> </v>
      </c>
      <c r="W502" s="101">
        <f t="shared" si="52"/>
        <v>24</v>
      </c>
      <c r="X502" s="102">
        <f t="shared" si="53"/>
        <v>0</v>
      </c>
      <c r="Y502" s="100" t="str">
        <f t="shared" si="54"/>
        <v xml:space="preserve"> </v>
      </c>
      <c r="Z502" s="100" t="str">
        <f t="shared" si="55"/>
        <v xml:space="preserve"> </v>
      </c>
    </row>
    <row r="503" spans="1:26">
      <c r="A503" s="100"/>
      <c r="B503" s="108" t="str">
        <f>IFERROR(VLOOKUP(Tablo5[[#This Row],[ÜRÜN KODU]],YMKODLARI!$A$1:$K$363,2,0)," ")</f>
        <v xml:space="preserve"> </v>
      </c>
      <c r="C503" s="99"/>
      <c r="D503" s="100"/>
      <c r="E503" s="101"/>
      <c r="F503" s="101"/>
      <c r="G503" s="100" t="str">
        <f>IFERROR(VLOOKUP(Tablo5[[#This Row],[ÜRÜN KODU]],YMKODLARI!$A$1:$K$363,3,0)," ")</f>
        <v xml:space="preserve"> </v>
      </c>
      <c r="H503" s="100" t="str">
        <f>IFERROR(VLOOKUP(Tablo5[[#This Row],[ÜRÜN KODU]],YMKODLARI!$A$1:$K$363,4,0)," ")</f>
        <v xml:space="preserve"> </v>
      </c>
      <c r="I503" s="100"/>
      <c r="J503" s="100" t="str">
        <f>IFERROR(VLOOKUP(Tablo5[[#This Row],[ÜRÜN KODU]],YMKODLARI!$A$1:$K$363,9,0)," ")</f>
        <v xml:space="preserve"> </v>
      </c>
      <c r="K503" s="100" t="str">
        <f>IFERROR(VLOOKUP(Tablo5[[#This Row],[BOYA KODU]],Tablo14[#All],4,0)," ")</f>
        <v xml:space="preserve"> </v>
      </c>
      <c r="L503" s="100" t="str">
        <f>IFERROR(VLOOKUP(Tablo5[[#This Row],[BOYA KODU]],Tablo14[#All],6,0)," ")</f>
        <v xml:space="preserve"> </v>
      </c>
      <c r="M503" s="100" t="str">
        <f t="shared" si="49"/>
        <v xml:space="preserve"> </v>
      </c>
      <c r="N503" s="100" t="str">
        <f>IFERROR(VLOOKUP(Tablo5[[#This Row],[ÜRÜN KODU]],YMKODLARI!$A$1:$K$363,8,0)," ")</f>
        <v xml:space="preserve"> </v>
      </c>
      <c r="O503" s="100" t="str">
        <f>IFERROR(VLOOKUP(Tablo5[[#This Row],[HAMMADDE KODU]],Tablo1[#All],3,0)," ")</f>
        <v xml:space="preserve"> </v>
      </c>
      <c r="P503" s="100" t="str">
        <f>IFERROR(VLOOKUP(Tablo5[[#This Row],[HAMMADDE KODU]],Tablo1[#All],4,0)," ")</f>
        <v xml:space="preserve"> </v>
      </c>
      <c r="Q503" s="100" t="str">
        <f>IFERROR(VLOOKUP(Tablo5[[#This Row],[ÜRÜN KODU]],YMKODLARI!$A$1:$K$363,5,0)," ")</f>
        <v xml:space="preserve"> </v>
      </c>
      <c r="R503" s="100" t="str">
        <f>IFERROR(VLOOKUP(Tablo5[[#This Row],[ÜRÜN KODU]],YMKODLARI!$A$1:$K$363,6,0)," ")</f>
        <v xml:space="preserve"> </v>
      </c>
      <c r="S503" s="100" t="str">
        <f>IFERROR(Tablo5[[#This Row],[YOLLUK HARİÇ BASKI GRAMI]]/Tablo5[[#This Row],[KALIP GÖZ ADEDİ]]," ")</f>
        <v xml:space="preserve"> </v>
      </c>
      <c r="T503" s="100" t="str">
        <f t="shared" si="51"/>
        <v xml:space="preserve"> </v>
      </c>
      <c r="U503" s="100"/>
      <c r="V503" s="100" t="str">
        <f t="shared" si="50"/>
        <v xml:space="preserve"> </v>
      </c>
      <c r="W503" s="101">
        <f t="shared" si="52"/>
        <v>24</v>
      </c>
      <c r="X503" s="102">
        <f t="shared" si="53"/>
        <v>0</v>
      </c>
      <c r="Y503" s="100" t="str">
        <f t="shared" si="54"/>
        <v xml:space="preserve"> </v>
      </c>
      <c r="Z503" s="100" t="str">
        <f t="shared" si="55"/>
        <v xml:space="preserve"> </v>
      </c>
    </row>
    <row r="504" spans="1:26">
      <c r="A504" s="100"/>
      <c r="B504" s="108" t="str">
        <f>IFERROR(VLOOKUP(Tablo5[[#This Row],[ÜRÜN KODU]],YMKODLARI!$A$1:$K$363,2,0)," ")</f>
        <v xml:space="preserve"> </v>
      </c>
      <c r="C504" s="99"/>
      <c r="D504" s="100"/>
      <c r="E504" s="101"/>
      <c r="F504" s="101"/>
      <c r="G504" s="100" t="str">
        <f>IFERROR(VLOOKUP(Tablo5[[#This Row],[ÜRÜN KODU]],YMKODLARI!$A$1:$K$363,3,0)," ")</f>
        <v xml:space="preserve"> </v>
      </c>
      <c r="H504" s="100" t="str">
        <f>IFERROR(VLOOKUP(Tablo5[[#This Row],[ÜRÜN KODU]],YMKODLARI!$A$1:$K$363,4,0)," ")</f>
        <v xml:space="preserve"> </v>
      </c>
      <c r="I504" s="100"/>
      <c r="J504" s="100" t="str">
        <f>IFERROR(VLOOKUP(Tablo5[[#This Row],[ÜRÜN KODU]],YMKODLARI!$A$1:$K$363,9,0)," ")</f>
        <v xml:space="preserve"> </v>
      </c>
      <c r="K504" s="100" t="str">
        <f>IFERROR(VLOOKUP(Tablo5[[#This Row],[BOYA KODU]],Tablo14[#All],4,0)," ")</f>
        <v xml:space="preserve"> </v>
      </c>
      <c r="L504" s="100" t="str">
        <f>IFERROR(VLOOKUP(Tablo5[[#This Row],[BOYA KODU]],Tablo14[#All],6,0)," ")</f>
        <v xml:space="preserve"> </v>
      </c>
      <c r="M504" s="100" t="str">
        <f t="shared" si="49"/>
        <v xml:space="preserve"> </v>
      </c>
      <c r="N504" s="100" t="str">
        <f>IFERROR(VLOOKUP(Tablo5[[#This Row],[ÜRÜN KODU]],YMKODLARI!$A$1:$K$363,8,0)," ")</f>
        <v xml:space="preserve"> </v>
      </c>
      <c r="O504" s="100" t="str">
        <f>IFERROR(VLOOKUP(Tablo5[[#This Row],[HAMMADDE KODU]],Tablo1[#All],3,0)," ")</f>
        <v xml:space="preserve"> </v>
      </c>
      <c r="P504" s="100" t="str">
        <f>IFERROR(VLOOKUP(Tablo5[[#This Row],[HAMMADDE KODU]],Tablo1[#All],4,0)," ")</f>
        <v xml:space="preserve"> </v>
      </c>
      <c r="Q504" s="100" t="str">
        <f>IFERROR(VLOOKUP(Tablo5[[#This Row],[ÜRÜN KODU]],YMKODLARI!$A$1:$K$363,5,0)," ")</f>
        <v xml:space="preserve"> </v>
      </c>
      <c r="R504" s="100" t="str">
        <f>IFERROR(VLOOKUP(Tablo5[[#This Row],[ÜRÜN KODU]],YMKODLARI!$A$1:$K$363,6,0)," ")</f>
        <v xml:space="preserve"> </v>
      </c>
      <c r="S504" s="100" t="str">
        <f>IFERROR(Tablo5[[#This Row],[YOLLUK HARİÇ BASKI GRAMI]]/Tablo5[[#This Row],[KALIP GÖZ ADEDİ]]," ")</f>
        <v xml:space="preserve"> </v>
      </c>
      <c r="T504" s="100" t="str">
        <f t="shared" si="51"/>
        <v xml:space="preserve"> </v>
      </c>
      <c r="U504" s="100"/>
      <c r="V504" s="100" t="str">
        <f t="shared" si="50"/>
        <v xml:space="preserve"> </v>
      </c>
      <c r="W504" s="101">
        <f t="shared" si="52"/>
        <v>24</v>
      </c>
      <c r="X504" s="102">
        <f t="shared" si="53"/>
        <v>0</v>
      </c>
      <c r="Y504" s="100" t="str">
        <f t="shared" si="54"/>
        <v xml:space="preserve"> </v>
      </c>
      <c r="Z504" s="100" t="str">
        <f t="shared" si="55"/>
        <v xml:space="preserve"> </v>
      </c>
    </row>
    <row r="505" spans="1:26">
      <c r="A505" s="100"/>
      <c r="B505" s="108" t="str">
        <f>IFERROR(VLOOKUP(Tablo5[[#This Row],[ÜRÜN KODU]],YMKODLARI!$A$1:$K$363,2,0)," ")</f>
        <v xml:space="preserve"> </v>
      </c>
      <c r="C505" s="99"/>
      <c r="D505" s="100"/>
      <c r="E505" s="101"/>
      <c r="F505" s="101"/>
      <c r="G505" s="100" t="str">
        <f>IFERROR(VLOOKUP(Tablo5[[#This Row],[ÜRÜN KODU]],YMKODLARI!$A$1:$K$363,3,0)," ")</f>
        <v xml:space="preserve"> </v>
      </c>
      <c r="H505" s="100" t="str">
        <f>IFERROR(VLOOKUP(Tablo5[[#This Row],[ÜRÜN KODU]],YMKODLARI!$A$1:$K$363,4,0)," ")</f>
        <v xml:space="preserve"> </v>
      </c>
      <c r="I505" s="100"/>
      <c r="J505" s="100" t="str">
        <f>IFERROR(VLOOKUP(Tablo5[[#This Row],[ÜRÜN KODU]],YMKODLARI!$A$1:$K$363,9,0)," ")</f>
        <v xml:space="preserve"> </v>
      </c>
      <c r="K505" s="100" t="str">
        <f>IFERROR(VLOOKUP(Tablo5[[#This Row],[BOYA KODU]],Tablo14[#All],4,0)," ")</f>
        <v xml:space="preserve"> </v>
      </c>
      <c r="L505" s="100" t="str">
        <f>IFERROR(VLOOKUP(Tablo5[[#This Row],[BOYA KODU]],Tablo14[#All],6,0)," ")</f>
        <v xml:space="preserve"> </v>
      </c>
      <c r="M505" s="100" t="str">
        <f t="shared" si="49"/>
        <v xml:space="preserve"> </v>
      </c>
      <c r="N505" s="100" t="str">
        <f>IFERROR(VLOOKUP(Tablo5[[#This Row],[ÜRÜN KODU]],YMKODLARI!$A$1:$K$363,8,0)," ")</f>
        <v xml:space="preserve"> </v>
      </c>
      <c r="O505" s="100" t="str">
        <f>IFERROR(VLOOKUP(Tablo5[[#This Row],[HAMMADDE KODU]],Tablo1[#All],3,0)," ")</f>
        <v xml:space="preserve"> </v>
      </c>
      <c r="P505" s="100" t="str">
        <f>IFERROR(VLOOKUP(Tablo5[[#This Row],[HAMMADDE KODU]],Tablo1[#All],4,0)," ")</f>
        <v xml:space="preserve"> </v>
      </c>
      <c r="Q505" s="100" t="str">
        <f>IFERROR(VLOOKUP(Tablo5[[#This Row],[ÜRÜN KODU]],YMKODLARI!$A$1:$K$363,5,0)," ")</f>
        <v xml:space="preserve"> </v>
      </c>
      <c r="R505" s="100" t="str">
        <f>IFERROR(VLOOKUP(Tablo5[[#This Row],[ÜRÜN KODU]],YMKODLARI!$A$1:$K$363,6,0)," ")</f>
        <v xml:space="preserve"> </v>
      </c>
      <c r="S505" s="100" t="str">
        <f>IFERROR(Tablo5[[#This Row],[YOLLUK HARİÇ BASKI GRAMI]]/Tablo5[[#This Row],[KALIP GÖZ ADEDİ]]," ")</f>
        <v xml:space="preserve"> </v>
      </c>
      <c r="T505" s="100" t="str">
        <f t="shared" si="51"/>
        <v xml:space="preserve"> </v>
      </c>
      <c r="U505" s="100"/>
      <c r="V505" s="100" t="str">
        <f t="shared" si="50"/>
        <v xml:space="preserve"> </v>
      </c>
      <c r="W505" s="101">
        <f t="shared" si="52"/>
        <v>24</v>
      </c>
      <c r="X505" s="102">
        <f t="shared" si="53"/>
        <v>0</v>
      </c>
      <c r="Y505" s="100" t="str">
        <f t="shared" si="54"/>
        <v xml:space="preserve"> </v>
      </c>
      <c r="Z505" s="100" t="str">
        <f t="shared" si="55"/>
        <v xml:space="preserve"> </v>
      </c>
    </row>
    <row r="506" spans="1:26">
      <c r="A506" s="100"/>
      <c r="B506" s="108" t="str">
        <f>IFERROR(VLOOKUP(Tablo5[[#This Row],[ÜRÜN KODU]],YMKODLARI!$A$1:$K$363,2,0)," ")</f>
        <v xml:space="preserve"> </v>
      </c>
      <c r="C506" s="99"/>
      <c r="D506" s="100"/>
      <c r="E506" s="101"/>
      <c r="F506" s="101"/>
      <c r="G506" s="100" t="str">
        <f>IFERROR(VLOOKUP(Tablo5[[#This Row],[ÜRÜN KODU]],YMKODLARI!$A$1:$K$363,3,0)," ")</f>
        <v xml:space="preserve"> </v>
      </c>
      <c r="H506" s="100" t="str">
        <f>IFERROR(VLOOKUP(Tablo5[[#This Row],[ÜRÜN KODU]],YMKODLARI!$A$1:$K$363,4,0)," ")</f>
        <v xml:space="preserve"> </v>
      </c>
      <c r="I506" s="100"/>
      <c r="J506" s="100" t="str">
        <f>IFERROR(VLOOKUP(Tablo5[[#This Row],[ÜRÜN KODU]],YMKODLARI!$A$1:$K$363,9,0)," ")</f>
        <v xml:space="preserve"> </v>
      </c>
      <c r="K506" s="100" t="str">
        <f>IFERROR(VLOOKUP(Tablo5[[#This Row],[BOYA KODU]],Tablo14[#All],4,0)," ")</f>
        <v xml:space="preserve"> </v>
      </c>
      <c r="L506" s="100" t="str">
        <f>IFERROR(VLOOKUP(Tablo5[[#This Row],[BOYA KODU]],Tablo14[#All],6,0)," ")</f>
        <v xml:space="preserve"> </v>
      </c>
      <c r="M506" s="100" t="str">
        <f t="shared" si="49"/>
        <v xml:space="preserve"> </v>
      </c>
      <c r="N506" s="100" t="str">
        <f>IFERROR(VLOOKUP(Tablo5[[#This Row],[ÜRÜN KODU]],YMKODLARI!$A$1:$K$363,8,0)," ")</f>
        <v xml:space="preserve"> </v>
      </c>
      <c r="O506" s="100" t="str">
        <f>IFERROR(VLOOKUP(Tablo5[[#This Row],[HAMMADDE KODU]],Tablo1[#All],3,0)," ")</f>
        <v xml:space="preserve"> </v>
      </c>
      <c r="P506" s="100" t="str">
        <f>IFERROR(VLOOKUP(Tablo5[[#This Row],[HAMMADDE KODU]],Tablo1[#All],4,0)," ")</f>
        <v xml:space="preserve"> </v>
      </c>
      <c r="Q506" s="100" t="str">
        <f>IFERROR(VLOOKUP(Tablo5[[#This Row],[ÜRÜN KODU]],YMKODLARI!$A$1:$K$363,5,0)," ")</f>
        <v xml:space="preserve"> </v>
      </c>
      <c r="R506" s="100" t="str">
        <f>IFERROR(VLOOKUP(Tablo5[[#This Row],[ÜRÜN KODU]],YMKODLARI!$A$1:$K$363,6,0)," ")</f>
        <v xml:space="preserve"> </v>
      </c>
      <c r="S506" s="100" t="str">
        <f>IFERROR(Tablo5[[#This Row],[YOLLUK HARİÇ BASKI GRAMI]]/Tablo5[[#This Row],[KALIP GÖZ ADEDİ]]," ")</f>
        <v xml:space="preserve"> </v>
      </c>
      <c r="T506" s="100" t="str">
        <f t="shared" si="51"/>
        <v xml:space="preserve"> </v>
      </c>
      <c r="U506" s="100"/>
      <c r="V506" s="100" t="str">
        <f t="shared" si="50"/>
        <v xml:space="preserve"> </v>
      </c>
      <c r="W506" s="101">
        <f t="shared" si="52"/>
        <v>24</v>
      </c>
      <c r="X506" s="102">
        <f t="shared" si="53"/>
        <v>0</v>
      </c>
      <c r="Y506" s="100" t="str">
        <f t="shared" si="54"/>
        <v xml:space="preserve"> </v>
      </c>
      <c r="Z506" s="100" t="str">
        <f t="shared" si="55"/>
        <v xml:space="preserve"> </v>
      </c>
    </row>
    <row r="507" spans="1:26">
      <c r="A507" s="100"/>
      <c r="B507" s="108" t="str">
        <f>IFERROR(VLOOKUP(Tablo5[[#This Row],[ÜRÜN KODU]],YMKODLARI!$A$1:$K$363,2,0)," ")</f>
        <v xml:space="preserve"> </v>
      </c>
      <c r="C507" s="99"/>
      <c r="D507" s="100"/>
      <c r="E507" s="101"/>
      <c r="F507" s="101"/>
      <c r="G507" s="100" t="str">
        <f>IFERROR(VLOOKUP(Tablo5[[#This Row],[ÜRÜN KODU]],YMKODLARI!$A$1:$K$363,3,0)," ")</f>
        <v xml:space="preserve"> </v>
      </c>
      <c r="H507" s="100" t="str">
        <f>IFERROR(VLOOKUP(Tablo5[[#This Row],[ÜRÜN KODU]],YMKODLARI!$A$1:$K$363,4,0)," ")</f>
        <v xml:space="preserve"> </v>
      </c>
      <c r="I507" s="100"/>
      <c r="J507" s="100" t="str">
        <f>IFERROR(VLOOKUP(Tablo5[[#This Row],[ÜRÜN KODU]],YMKODLARI!$A$1:$K$363,9,0)," ")</f>
        <v xml:space="preserve"> </v>
      </c>
      <c r="K507" s="100" t="str">
        <f>IFERROR(VLOOKUP(Tablo5[[#This Row],[BOYA KODU]],Tablo14[#All],4,0)," ")</f>
        <v xml:space="preserve"> </v>
      </c>
      <c r="L507" s="100" t="str">
        <f>IFERROR(VLOOKUP(Tablo5[[#This Row],[BOYA KODU]],Tablo14[#All],6,0)," ")</f>
        <v xml:space="preserve"> </v>
      </c>
      <c r="M507" s="100" t="str">
        <f t="shared" si="49"/>
        <v xml:space="preserve"> </v>
      </c>
      <c r="N507" s="100" t="str">
        <f>IFERROR(VLOOKUP(Tablo5[[#This Row],[ÜRÜN KODU]],YMKODLARI!$A$1:$K$363,8,0)," ")</f>
        <v xml:space="preserve"> </v>
      </c>
      <c r="O507" s="100" t="str">
        <f>IFERROR(VLOOKUP(Tablo5[[#This Row],[HAMMADDE KODU]],Tablo1[#All],3,0)," ")</f>
        <v xml:space="preserve"> </v>
      </c>
      <c r="P507" s="100" t="str">
        <f>IFERROR(VLOOKUP(Tablo5[[#This Row],[HAMMADDE KODU]],Tablo1[#All],4,0)," ")</f>
        <v xml:space="preserve"> </v>
      </c>
      <c r="Q507" s="100" t="str">
        <f>IFERROR(VLOOKUP(Tablo5[[#This Row],[ÜRÜN KODU]],YMKODLARI!$A$1:$K$363,5,0)," ")</f>
        <v xml:space="preserve"> </v>
      </c>
      <c r="R507" s="100" t="str">
        <f>IFERROR(VLOOKUP(Tablo5[[#This Row],[ÜRÜN KODU]],YMKODLARI!$A$1:$K$363,6,0)," ")</f>
        <v xml:space="preserve"> </v>
      </c>
      <c r="S507" s="100" t="str">
        <f>IFERROR(Tablo5[[#This Row],[YOLLUK HARİÇ BASKI GRAMI]]/Tablo5[[#This Row],[KALIP GÖZ ADEDİ]]," ")</f>
        <v xml:space="preserve"> </v>
      </c>
      <c r="T507" s="100" t="str">
        <f t="shared" si="51"/>
        <v xml:space="preserve"> </v>
      </c>
      <c r="U507" s="100"/>
      <c r="V507" s="100" t="str">
        <f t="shared" si="50"/>
        <v xml:space="preserve"> </v>
      </c>
      <c r="W507" s="101">
        <f t="shared" si="52"/>
        <v>24</v>
      </c>
      <c r="X507" s="102">
        <f t="shared" si="53"/>
        <v>0</v>
      </c>
      <c r="Y507" s="100" t="str">
        <f t="shared" si="54"/>
        <v xml:space="preserve"> </v>
      </c>
      <c r="Z507" s="100" t="str">
        <f t="shared" si="55"/>
        <v xml:space="preserve"> </v>
      </c>
    </row>
    <row r="508" spans="1:26">
      <c r="A508" s="100"/>
      <c r="B508" s="108" t="str">
        <f>IFERROR(VLOOKUP(Tablo5[[#This Row],[ÜRÜN KODU]],YMKODLARI!$A$1:$K$363,2,0)," ")</f>
        <v xml:space="preserve"> </v>
      </c>
      <c r="C508" s="99"/>
      <c r="D508" s="100"/>
      <c r="E508" s="101"/>
      <c r="F508" s="101"/>
      <c r="G508" s="100" t="str">
        <f>IFERROR(VLOOKUP(Tablo5[[#This Row],[ÜRÜN KODU]],YMKODLARI!$A$1:$K$363,3,0)," ")</f>
        <v xml:space="preserve"> </v>
      </c>
      <c r="H508" s="100" t="str">
        <f>IFERROR(VLOOKUP(Tablo5[[#This Row],[ÜRÜN KODU]],YMKODLARI!$A$1:$K$363,4,0)," ")</f>
        <v xml:space="preserve"> </v>
      </c>
      <c r="I508" s="100"/>
      <c r="J508" s="100" t="str">
        <f>IFERROR(VLOOKUP(Tablo5[[#This Row],[ÜRÜN KODU]],YMKODLARI!$A$1:$K$363,9,0)," ")</f>
        <v xml:space="preserve"> </v>
      </c>
      <c r="K508" s="100" t="str">
        <f>IFERROR(VLOOKUP(Tablo5[[#This Row],[BOYA KODU]],Tablo14[#All],4,0)," ")</f>
        <v xml:space="preserve"> </v>
      </c>
      <c r="L508" s="100" t="str">
        <f>IFERROR(VLOOKUP(Tablo5[[#This Row],[BOYA KODU]],Tablo14[#All],6,0)," ")</f>
        <v xml:space="preserve"> </v>
      </c>
      <c r="M508" s="100" t="str">
        <f t="shared" si="49"/>
        <v xml:space="preserve"> </v>
      </c>
      <c r="N508" s="100" t="str">
        <f>IFERROR(VLOOKUP(Tablo5[[#This Row],[ÜRÜN KODU]],YMKODLARI!$A$1:$K$363,8,0)," ")</f>
        <v xml:space="preserve"> </v>
      </c>
      <c r="O508" s="100" t="str">
        <f>IFERROR(VLOOKUP(Tablo5[[#This Row],[HAMMADDE KODU]],Tablo1[#All],3,0)," ")</f>
        <v xml:space="preserve"> </v>
      </c>
      <c r="P508" s="100" t="str">
        <f>IFERROR(VLOOKUP(Tablo5[[#This Row],[HAMMADDE KODU]],Tablo1[#All],4,0)," ")</f>
        <v xml:space="preserve"> </v>
      </c>
      <c r="Q508" s="100" t="str">
        <f>IFERROR(VLOOKUP(Tablo5[[#This Row],[ÜRÜN KODU]],YMKODLARI!$A$1:$K$363,5,0)," ")</f>
        <v xml:space="preserve"> </v>
      </c>
      <c r="R508" s="100" t="str">
        <f>IFERROR(VLOOKUP(Tablo5[[#This Row],[ÜRÜN KODU]],YMKODLARI!$A$1:$K$363,6,0)," ")</f>
        <v xml:space="preserve"> </v>
      </c>
      <c r="S508" s="100" t="str">
        <f>IFERROR(Tablo5[[#This Row],[YOLLUK HARİÇ BASKI GRAMI]]/Tablo5[[#This Row],[KALIP GÖZ ADEDİ]]," ")</f>
        <v xml:space="preserve"> </v>
      </c>
      <c r="T508" s="100" t="str">
        <f t="shared" si="51"/>
        <v xml:space="preserve"> </v>
      </c>
      <c r="U508" s="100"/>
      <c r="V508" s="100" t="str">
        <f t="shared" si="50"/>
        <v xml:space="preserve"> </v>
      </c>
      <c r="W508" s="101">
        <f t="shared" si="52"/>
        <v>24</v>
      </c>
      <c r="X508" s="102">
        <f t="shared" si="53"/>
        <v>0</v>
      </c>
      <c r="Y508" s="100" t="str">
        <f t="shared" si="54"/>
        <v xml:space="preserve"> </v>
      </c>
      <c r="Z508" s="100" t="str">
        <f t="shared" si="55"/>
        <v xml:space="preserve"> </v>
      </c>
    </row>
    <row r="509" spans="1:26">
      <c r="A509" s="100"/>
      <c r="B509" s="108" t="str">
        <f>IFERROR(VLOOKUP(Tablo5[[#This Row],[ÜRÜN KODU]],YMKODLARI!$A$1:$K$363,2,0)," ")</f>
        <v xml:space="preserve"> </v>
      </c>
      <c r="C509" s="99"/>
      <c r="D509" s="100"/>
      <c r="E509" s="101"/>
      <c r="F509" s="101"/>
      <c r="G509" s="100" t="str">
        <f>IFERROR(VLOOKUP(Tablo5[[#This Row],[ÜRÜN KODU]],YMKODLARI!$A$1:$K$363,3,0)," ")</f>
        <v xml:space="preserve"> </v>
      </c>
      <c r="H509" s="100" t="str">
        <f>IFERROR(VLOOKUP(Tablo5[[#This Row],[ÜRÜN KODU]],YMKODLARI!$A$1:$K$363,4,0)," ")</f>
        <v xml:space="preserve"> </v>
      </c>
      <c r="I509" s="100"/>
      <c r="J509" s="100" t="str">
        <f>IFERROR(VLOOKUP(Tablo5[[#This Row],[ÜRÜN KODU]],YMKODLARI!$A$1:$K$363,9,0)," ")</f>
        <v xml:space="preserve"> </v>
      </c>
      <c r="K509" s="100" t="str">
        <f>IFERROR(VLOOKUP(Tablo5[[#This Row],[BOYA KODU]],Tablo14[#All],4,0)," ")</f>
        <v xml:space="preserve"> </v>
      </c>
      <c r="L509" s="100" t="str">
        <f>IFERROR(VLOOKUP(Tablo5[[#This Row],[BOYA KODU]],Tablo14[#All],6,0)," ")</f>
        <v xml:space="preserve"> </v>
      </c>
      <c r="M509" s="100" t="str">
        <f t="shared" si="49"/>
        <v xml:space="preserve"> </v>
      </c>
      <c r="N509" s="100" t="str">
        <f>IFERROR(VLOOKUP(Tablo5[[#This Row],[ÜRÜN KODU]],YMKODLARI!$A$1:$K$363,8,0)," ")</f>
        <v xml:space="preserve"> </v>
      </c>
      <c r="O509" s="100" t="str">
        <f>IFERROR(VLOOKUP(Tablo5[[#This Row],[HAMMADDE KODU]],Tablo1[#All],3,0)," ")</f>
        <v xml:space="preserve"> </v>
      </c>
      <c r="P509" s="100" t="str">
        <f>IFERROR(VLOOKUP(Tablo5[[#This Row],[HAMMADDE KODU]],Tablo1[#All],4,0)," ")</f>
        <v xml:space="preserve"> </v>
      </c>
      <c r="Q509" s="100" t="str">
        <f>IFERROR(VLOOKUP(Tablo5[[#This Row],[ÜRÜN KODU]],YMKODLARI!$A$1:$K$363,5,0)," ")</f>
        <v xml:space="preserve"> </v>
      </c>
      <c r="R509" s="100" t="str">
        <f>IFERROR(VLOOKUP(Tablo5[[#This Row],[ÜRÜN KODU]],YMKODLARI!$A$1:$K$363,6,0)," ")</f>
        <v xml:space="preserve"> </v>
      </c>
      <c r="S509" s="100" t="str">
        <f>IFERROR(Tablo5[[#This Row],[YOLLUK HARİÇ BASKI GRAMI]]/Tablo5[[#This Row],[KALIP GÖZ ADEDİ]]," ")</f>
        <v xml:space="preserve"> </v>
      </c>
      <c r="T509" s="100" t="str">
        <f t="shared" si="51"/>
        <v xml:space="preserve"> </v>
      </c>
      <c r="U509" s="100"/>
      <c r="V509" s="100" t="str">
        <f t="shared" si="50"/>
        <v xml:space="preserve"> </v>
      </c>
      <c r="W509" s="101">
        <f t="shared" si="52"/>
        <v>24</v>
      </c>
      <c r="X509" s="102">
        <f t="shared" si="53"/>
        <v>0</v>
      </c>
      <c r="Y509" s="100" t="str">
        <f t="shared" si="54"/>
        <v xml:space="preserve"> </v>
      </c>
      <c r="Z509" s="100" t="str">
        <f t="shared" si="55"/>
        <v xml:space="preserve"> </v>
      </c>
    </row>
    <row r="510" spans="1:26">
      <c r="A510" s="100"/>
      <c r="B510" s="108" t="str">
        <f>IFERROR(VLOOKUP(Tablo5[[#This Row],[ÜRÜN KODU]],YMKODLARI!$A$1:$K$363,2,0)," ")</f>
        <v xml:space="preserve"> </v>
      </c>
      <c r="C510" s="99"/>
      <c r="D510" s="100"/>
      <c r="E510" s="101"/>
      <c r="F510" s="101"/>
      <c r="G510" s="100" t="str">
        <f>IFERROR(VLOOKUP(Tablo5[[#This Row],[ÜRÜN KODU]],YMKODLARI!$A$1:$K$363,3,0)," ")</f>
        <v xml:space="preserve"> </v>
      </c>
      <c r="H510" s="100" t="str">
        <f>IFERROR(VLOOKUP(Tablo5[[#This Row],[ÜRÜN KODU]],YMKODLARI!$A$1:$K$363,4,0)," ")</f>
        <v xml:space="preserve"> </v>
      </c>
      <c r="I510" s="100"/>
      <c r="J510" s="100" t="str">
        <f>IFERROR(VLOOKUP(Tablo5[[#This Row],[ÜRÜN KODU]],YMKODLARI!$A$1:$K$363,9,0)," ")</f>
        <v xml:space="preserve"> </v>
      </c>
      <c r="K510" s="100" t="str">
        <f>IFERROR(VLOOKUP(Tablo5[[#This Row],[BOYA KODU]],Tablo14[#All],4,0)," ")</f>
        <v xml:space="preserve"> </v>
      </c>
      <c r="L510" s="100" t="str">
        <f>IFERROR(VLOOKUP(Tablo5[[#This Row],[BOYA KODU]],Tablo14[#All],6,0)," ")</f>
        <v xml:space="preserve"> </v>
      </c>
      <c r="M510" s="100" t="str">
        <f t="shared" si="49"/>
        <v xml:space="preserve"> </v>
      </c>
      <c r="N510" s="100" t="str">
        <f>IFERROR(VLOOKUP(Tablo5[[#This Row],[ÜRÜN KODU]],YMKODLARI!$A$1:$K$363,8,0)," ")</f>
        <v xml:space="preserve"> </v>
      </c>
      <c r="O510" s="100" t="str">
        <f>IFERROR(VLOOKUP(Tablo5[[#This Row],[HAMMADDE KODU]],Tablo1[#All],3,0)," ")</f>
        <v xml:space="preserve"> </v>
      </c>
      <c r="P510" s="100" t="str">
        <f>IFERROR(VLOOKUP(Tablo5[[#This Row],[HAMMADDE KODU]],Tablo1[#All],4,0)," ")</f>
        <v xml:space="preserve"> </v>
      </c>
      <c r="Q510" s="100" t="str">
        <f>IFERROR(VLOOKUP(Tablo5[[#This Row],[ÜRÜN KODU]],YMKODLARI!$A$1:$K$363,5,0)," ")</f>
        <v xml:space="preserve"> </v>
      </c>
      <c r="R510" s="100" t="str">
        <f>IFERROR(VLOOKUP(Tablo5[[#This Row],[ÜRÜN KODU]],YMKODLARI!$A$1:$K$363,6,0)," ")</f>
        <v xml:space="preserve"> </v>
      </c>
      <c r="S510" s="100" t="str">
        <f>IFERROR(Tablo5[[#This Row],[YOLLUK HARİÇ BASKI GRAMI]]/Tablo5[[#This Row],[KALIP GÖZ ADEDİ]]," ")</f>
        <v xml:space="preserve"> </v>
      </c>
      <c r="T510" s="100" t="str">
        <f t="shared" si="51"/>
        <v xml:space="preserve"> </v>
      </c>
      <c r="U510" s="100"/>
      <c r="V510" s="100" t="str">
        <f t="shared" si="50"/>
        <v xml:space="preserve"> </v>
      </c>
      <c r="W510" s="101">
        <f t="shared" si="52"/>
        <v>24</v>
      </c>
      <c r="X510" s="102">
        <f t="shared" si="53"/>
        <v>0</v>
      </c>
      <c r="Y510" s="100" t="str">
        <f t="shared" si="54"/>
        <v xml:space="preserve"> </v>
      </c>
      <c r="Z510" s="100" t="str">
        <f t="shared" si="55"/>
        <v xml:space="preserve"> </v>
      </c>
    </row>
    <row r="511" spans="1:26">
      <c r="A511" s="100"/>
      <c r="B511" s="108" t="str">
        <f>IFERROR(VLOOKUP(Tablo5[[#This Row],[ÜRÜN KODU]],YMKODLARI!$A$1:$K$363,2,0)," ")</f>
        <v xml:space="preserve"> </v>
      </c>
      <c r="C511" s="99"/>
      <c r="D511" s="100"/>
      <c r="E511" s="101"/>
      <c r="F511" s="101"/>
      <c r="G511" s="100" t="str">
        <f>IFERROR(VLOOKUP(Tablo5[[#This Row],[ÜRÜN KODU]],YMKODLARI!$A$1:$K$363,3,0)," ")</f>
        <v xml:space="preserve"> </v>
      </c>
      <c r="H511" s="100" t="str">
        <f>IFERROR(VLOOKUP(Tablo5[[#This Row],[ÜRÜN KODU]],YMKODLARI!$A$1:$K$363,4,0)," ")</f>
        <v xml:space="preserve"> </v>
      </c>
      <c r="I511" s="100"/>
      <c r="J511" s="100" t="str">
        <f>IFERROR(VLOOKUP(Tablo5[[#This Row],[ÜRÜN KODU]],YMKODLARI!$A$1:$K$363,9,0)," ")</f>
        <v xml:space="preserve"> </v>
      </c>
      <c r="K511" s="100" t="str">
        <f>IFERROR(VLOOKUP(Tablo5[[#This Row],[BOYA KODU]],Tablo14[#All],4,0)," ")</f>
        <v xml:space="preserve"> </v>
      </c>
      <c r="L511" s="100" t="str">
        <f>IFERROR(VLOOKUP(Tablo5[[#This Row],[BOYA KODU]],Tablo14[#All],6,0)," ")</f>
        <v xml:space="preserve"> </v>
      </c>
      <c r="M511" s="100" t="str">
        <f t="shared" si="49"/>
        <v xml:space="preserve"> </v>
      </c>
      <c r="N511" s="100" t="str">
        <f>IFERROR(VLOOKUP(Tablo5[[#This Row],[ÜRÜN KODU]],YMKODLARI!$A$1:$K$363,8,0)," ")</f>
        <v xml:space="preserve"> </v>
      </c>
      <c r="O511" s="100" t="str">
        <f>IFERROR(VLOOKUP(Tablo5[[#This Row],[HAMMADDE KODU]],Tablo1[#All],3,0)," ")</f>
        <v xml:space="preserve"> </v>
      </c>
      <c r="P511" s="100" t="str">
        <f>IFERROR(VLOOKUP(Tablo5[[#This Row],[HAMMADDE KODU]],Tablo1[#All],4,0)," ")</f>
        <v xml:space="preserve"> </v>
      </c>
      <c r="Q511" s="100" t="str">
        <f>IFERROR(VLOOKUP(Tablo5[[#This Row],[ÜRÜN KODU]],YMKODLARI!$A$1:$K$363,5,0)," ")</f>
        <v xml:space="preserve"> </v>
      </c>
      <c r="R511" s="100" t="str">
        <f>IFERROR(VLOOKUP(Tablo5[[#This Row],[ÜRÜN KODU]],YMKODLARI!$A$1:$K$363,6,0)," ")</f>
        <v xml:space="preserve"> </v>
      </c>
      <c r="S511" s="100" t="str">
        <f>IFERROR(Tablo5[[#This Row],[YOLLUK HARİÇ BASKI GRAMI]]/Tablo5[[#This Row],[KALIP GÖZ ADEDİ]]," ")</f>
        <v xml:space="preserve"> </v>
      </c>
      <c r="T511" s="100" t="str">
        <f t="shared" si="51"/>
        <v xml:space="preserve"> </v>
      </c>
      <c r="U511" s="100"/>
      <c r="V511" s="100" t="str">
        <f t="shared" si="50"/>
        <v xml:space="preserve"> </v>
      </c>
      <c r="W511" s="101">
        <f t="shared" si="52"/>
        <v>24</v>
      </c>
      <c r="X511" s="102">
        <f t="shared" si="53"/>
        <v>0</v>
      </c>
      <c r="Y511" s="100" t="str">
        <f t="shared" si="54"/>
        <v xml:space="preserve"> </v>
      </c>
      <c r="Z511" s="100" t="str">
        <f t="shared" si="55"/>
        <v xml:space="preserve"> </v>
      </c>
    </row>
    <row r="512" spans="1:26">
      <c r="A512" s="100"/>
      <c r="B512" s="108" t="str">
        <f>IFERROR(VLOOKUP(Tablo5[[#This Row],[ÜRÜN KODU]],YMKODLARI!$A$1:$K$363,2,0)," ")</f>
        <v xml:space="preserve"> </v>
      </c>
      <c r="C512" s="99"/>
      <c r="D512" s="100"/>
      <c r="E512" s="101"/>
      <c r="F512" s="101"/>
      <c r="G512" s="100" t="str">
        <f>IFERROR(VLOOKUP(Tablo5[[#This Row],[ÜRÜN KODU]],YMKODLARI!$A$1:$K$363,3,0)," ")</f>
        <v xml:space="preserve"> </v>
      </c>
      <c r="H512" s="100" t="str">
        <f>IFERROR(VLOOKUP(Tablo5[[#This Row],[ÜRÜN KODU]],YMKODLARI!$A$1:$K$363,4,0)," ")</f>
        <v xml:space="preserve"> </v>
      </c>
      <c r="I512" s="100"/>
      <c r="J512" s="100" t="str">
        <f>IFERROR(VLOOKUP(Tablo5[[#This Row],[ÜRÜN KODU]],YMKODLARI!$A$1:$K$363,9,0)," ")</f>
        <v xml:space="preserve"> </v>
      </c>
      <c r="K512" s="100" t="str">
        <f>IFERROR(VLOOKUP(Tablo5[[#This Row],[BOYA KODU]],Tablo14[#All],4,0)," ")</f>
        <v xml:space="preserve"> </v>
      </c>
      <c r="L512" s="100" t="str">
        <f>IFERROR(VLOOKUP(Tablo5[[#This Row],[BOYA KODU]],Tablo14[#All],6,0)," ")</f>
        <v xml:space="preserve"> </v>
      </c>
      <c r="M512" s="100" t="str">
        <f t="shared" si="49"/>
        <v xml:space="preserve"> </v>
      </c>
      <c r="N512" s="100" t="str">
        <f>IFERROR(VLOOKUP(Tablo5[[#This Row],[ÜRÜN KODU]],YMKODLARI!$A$1:$K$363,8,0)," ")</f>
        <v xml:space="preserve"> </v>
      </c>
      <c r="O512" s="100" t="str">
        <f>IFERROR(VLOOKUP(Tablo5[[#This Row],[HAMMADDE KODU]],Tablo1[#All],3,0)," ")</f>
        <v xml:space="preserve"> </v>
      </c>
      <c r="P512" s="100" t="str">
        <f>IFERROR(VLOOKUP(Tablo5[[#This Row],[HAMMADDE KODU]],Tablo1[#All],4,0)," ")</f>
        <v xml:space="preserve"> </v>
      </c>
      <c r="Q512" s="100" t="str">
        <f>IFERROR(VLOOKUP(Tablo5[[#This Row],[ÜRÜN KODU]],YMKODLARI!$A$1:$K$363,5,0)," ")</f>
        <v xml:space="preserve"> </v>
      </c>
      <c r="R512" s="100" t="str">
        <f>IFERROR(VLOOKUP(Tablo5[[#This Row],[ÜRÜN KODU]],YMKODLARI!$A$1:$K$363,6,0)," ")</f>
        <v xml:space="preserve"> </v>
      </c>
      <c r="S512" s="100" t="str">
        <f>IFERROR(Tablo5[[#This Row],[YOLLUK HARİÇ BASKI GRAMI]]/Tablo5[[#This Row],[KALIP GÖZ ADEDİ]]," ")</f>
        <v xml:space="preserve"> </v>
      </c>
      <c r="T512" s="100" t="str">
        <f t="shared" si="51"/>
        <v xml:space="preserve"> </v>
      </c>
      <c r="U512" s="100"/>
      <c r="V512" s="100" t="str">
        <f t="shared" si="50"/>
        <v xml:space="preserve"> </v>
      </c>
      <c r="W512" s="101">
        <f t="shared" si="52"/>
        <v>24</v>
      </c>
      <c r="X512" s="102">
        <f t="shared" si="53"/>
        <v>0</v>
      </c>
      <c r="Y512" s="100" t="str">
        <f t="shared" si="54"/>
        <v xml:space="preserve"> </v>
      </c>
      <c r="Z512" s="100" t="str">
        <f t="shared" si="55"/>
        <v xml:space="preserve"> </v>
      </c>
    </row>
    <row r="513" spans="1:26">
      <c r="A513" s="100"/>
      <c r="B513" s="108" t="str">
        <f>IFERROR(VLOOKUP(Tablo5[[#This Row],[ÜRÜN KODU]],YMKODLARI!$A$1:$K$363,2,0)," ")</f>
        <v xml:space="preserve"> </v>
      </c>
      <c r="C513" s="99"/>
      <c r="D513" s="100"/>
      <c r="E513" s="101"/>
      <c r="F513" s="101"/>
      <c r="G513" s="100" t="str">
        <f>IFERROR(VLOOKUP(Tablo5[[#This Row],[ÜRÜN KODU]],YMKODLARI!$A$1:$K$363,3,0)," ")</f>
        <v xml:space="preserve"> </v>
      </c>
      <c r="H513" s="100" t="str">
        <f>IFERROR(VLOOKUP(Tablo5[[#This Row],[ÜRÜN KODU]],YMKODLARI!$A$1:$K$363,4,0)," ")</f>
        <v xml:space="preserve"> </v>
      </c>
      <c r="I513" s="100"/>
      <c r="J513" s="100" t="str">
        <f>IFERROR(VLOOKUP(Tablo5[[#This Row],[ÜRÜN KODU]],YMKODLARI!$A$1:$K$363,9,0)," ")</f>
        <v xml:space="preserve"> </v>
      </c>
      <c r="K513" s="100" t="str">
        <f>IFERROR(VLOOKUP(Tablo5[[#This Row],[BOYA KODU]],Tablo14[#All],4,0)," ")</f>
        <v xml:space="preserve"> </v>
      </c>
      <c r="L513" s="100" t="str">
        <f>IFERROR(VLOOKUP(Tablo5[[#This Row],[BOYA KODU]],Tablo14[#All],6,0)," ")</f>
        <v xml:space="preserve"> </v>
      </c>
      <c r="M513" s="100" t="str">
        <f t="shared" si="49"/>
        <v xml:space="preserve"> </v>
      </c>
      <c r="N513" s="100" t="str">
        <f>IFERROR(VLOOKUP(Tablo5[[#This Row],[ÜRÜN KODU]],YMKODLARI!$A$1:$K$363,8,0)," ")</f>
        <v xml:space="preserve"> </v>
      </c>
      <c r="O513" s="100" t="str">
        <f>IFERROR(VLOOKUP(Tablo5[[#This Row],[HAMMADDE KODU]],Tablo1[#All],3,0)," ")</f>
        <v xml:space="preserve"> </v>
      </c>
      <c r="P513" s="100" t="str">
        <f>IFERROR(VLOOKUP(Tablo5[[#This Row],[HAMMADDE KODU]],Tablo1[#All],4,0)," ")</f>
        <v xml:space="preserve"> </v>
      </c>
      <c r="Q513" s="100" t="str">
        <f>IFERROR(VLOOKUP(Tablo5[[#This Row],[ÜRÜN KODU]],YMKODLARI!$A$1:$K$363,5,0)," ")</f>
        <v xml:space="preserve"> </v>
      </c>
      <c r="R513" s="100" t="str">
        <f>IFERROR(VLOOKUP(Tablo5[[#This Row],[ÜRÜN KODU]],YMKODLARI!$A$1:$K$363,6,0)," ")</f>
        <v xml:space="preserve"> </v>
      </c>
      <c r="S513" s="100" t="str">
        <f>IFERROR(Tablo5[[#This Row],[YOLLUK HARİÇ BASKI GRAMI]]/Tablo5[[#This Row],[KALIP GÖZ ADEDİ]]," ")</f>
        <v xml:space="preserve"> </v>
      </c>
      <c r="T513" s="100" t="str">
        <f t="shared" si="51"/>
        <v xml:space="preserve"> </v>
      </c>
      <c r="U513" s="100"/>
      <c r="V513" s="100" t="str">
        <f t="shared" si="50"/>
        <v xml:space="preserve"> </v>
      </c>
      <c r="W513" s="101">
        <f t="shared" si="52"/>
        <v>24</v>
      </c>
      <c r="X513" s="102">
        <f t="shared" si="53"/>
        <v>0</v>
      </c>
      <c r="Y513" s="100" t="str">
        <f t="shared" si="54"/>
        <v xml:space="preserve"> </v>
      </c>
      <c r="Z513" s="100" t="str">
        <f t="shared" si="55"/>
        <v xml:space="preserve"> </v>
      </c>
    </row>
    <row r="514" spans="1:26">
      <c r="A514" s="100"/>
      <c r="B514" s="108" t="str">
        <f>IFERROR(VLOOKUP(Tablo5[[#This Row],[ÜRÜN KODU]],YMKODLARI!$A$1:$K$363,2,0)," ")</f>
        <v xml:space="preserve"> </v>
      </c>
      <c r="C514" s="99"/>
      <c r="D514" s="100"/>
      <c r="E514" s="101"/>
      <c r="F514" s="101"/>
      <c r="G514" s="100" t="str">
        <f>IFERROR(VLOOKUP(Tablo5[[#This Row],[ÜRÜN KODU]],YMKODLARI!$A$1:$K$363,3,0)," ")</f>
        <v xml:space="preserve"> </v>
      </c>
      <c r="H514" s="100" t="str">
        <f>IFERROR(VLOOKUP(Tablo5[[#This Row],[ÜRÜN KODU]],YMKODLARI!$A$1:$K$363,4,0)," ")</f>
        <v xml:space="preserve"> </v>
      </c>
      <c r="I514" s="100"/>
      <c r="J514" s="100" t="str">
        <f>IFERROR(VLOOKUP(Tablo5[[#This Row],[ÜRÜN KODU]],YMKODLARI!$A$1:$K$363,9,0)," ")</f>
        <v xml:space="preserve"> </v>
      </c>
      <c r="K514" s="100" t="str">
        <f>IFERROR(VLOOKUP(Tablo5[[#This Row],[BOYA KODU]],Tablo14[#All],4,0)," ")</f>
        <v xml:space="preserve"> </v>
      </c>
      <c r="L514" s="100" t="str">
        <f>IFERROR(VLOOKUP(Tablo5[[#This Row],[BOYA KODU]],Tablo14[#All],6,0)," ")</f>
        <v xml:space="preserve"> </v>
      </c>
      <c r="M514" s="100" t="str">
        <f t="shared" si="49"/>
        <v xml:space="preserve"> </v>
      </c>
      <c r="N514" s="100" t="str">
        <f>IFERROR(VLOOKUP(Tablo5[[#This Row],[ÜRÜN KODU]],YMKODLARI!$A$1:$K$363,8,0)," ")</f>
        <v xml:space="preserve"> </v>
      </c>
      <c r="O514" s="100" t="str">
        <f>IFERROR(VLOOKUP(Tablo5[[#This Row],[HAMMADDE KODU]],Tablo1[#All],3,0)," ")</f>
        <v xml:space="preserve"> </v>
      </c>
      <c r="P514" s="100" t="str">
        <f>IFERROR(VLOOKUP(Tablo5[[#This Row],[HAMMADDE KODU]],Tablo1[#All],4,0)," ")</f>
        <v xml:space="preserve"> </v>
      </c>
      <c r="Q514" s="100" t="str">
        <f>IFERROR(VLOOKUP(Tablo5[[#This Row],[ÜRÜN KODU]],YMKODLARI!$A$1:$K$363,5,0)," ")</f>
        <v xml:space="preserve"> </v>
      </c>
      <c r="R514" s="100" t="str">
        <f>IFERROR(VLOOKUP(Tablo5[[#This Row],[ÜRÜN KODU]],YMKODLARI!$A$1:$K$363,6,0)," ")</f>
        <v xml:space="preserve"> </v>
      </c>
      <c r="S514" s="100" t="str">
        <f>IFERROR(Tablo5[[#This Row],[YOLLUK HARİÇ BASKI GRAMI]]/Tablo5[[#This Row],[KALIP GÖZ ADEDİ]]," ")</f>
        <v xml:space="preserve"> </v>
      </c>
      <c r="T514" s="100" t="str">
        <f t="shared" si="51"/>
        <v xml:space="preserve"> </v>
      </c>
      <c r="U514" s="100"/>
      <c r="V514" s="100" t="str">
        <f t="shared" si="50"/>
        <v xml:space="preserve"> </v>
      </c>
      <c r="W514" s="101">
        <f t="shared" si="52"/>
        <v>24</v>
      </c>
      <c r="X514" s="102">
        <f t="shared" si="53"/>
        <v>0</v>
      </c>
      <c r="Y514" s="100" t="str">
        <f t="shared" si="54"/>
        <v xml:space="preserve"> </v>
      </c>
      <c r="Z514" s="100" t="str">
        <f t="shared" si="55"/>
        <v xml:space="preserve"> </v>
      </c>
    </row>
    <row r="515" spans="1:26">
      <c r="A515" s="100"/>
      <c r="B515" s="108" t="str">
        <f>IFERROR(VLOOKUP(Tablo5[[#This Row],[ÜRÜN KODU]],YMKODLARI!$A$1:$K$363,2,0)," ")</f>
        <v xml:space="preserve"> </v>
      </c>
      <c r="C515" s="99"/>
      <c r="D515" s="100"/>
      <c r="E515" s="101"/>
      <c r="F515" s="101"/>
      <c r="G515" s="100" t="str">
        <f>IFERROR(VLOOKUP(Tablo5[[#This Row],[ÜRÜN KODU]],YMKODLARI!$A$1:$K$363,3,0)," ")</f>
        <v xml:space="preserve"> </v>
      </c>
      <c r="H515" s="100" t="str">
        <f>IFERROR(VLOOKUP(Tablo5[[#This Row],[ÜRÜN KODU]],YMKODLARI!$A$1:$K$363,4,0)," ")</f>
        <v xml:space="preserve"> </v>
      </c>
      <c r="I515" s="100"/>
      <c r="J515" s="100" t="str">
        <f>IFERROR(VLOOKUP(Tablo5[[#This Row],[ÜRÜN KODU]],YMKODLARI!$A$1:$K$363,9,0)," ")</f>
        <v xml:space="preserve"> </v>
      </c>
      <c r="K515" s="100" t="str">
        <f>IFERROR(VLOOKUP(Tablo5[[#This Row],[BOYA KODU]],Tablo14[#All],4,0)," ")</f>
        <v xml:space="preserve"> </v>
      </c>
      <c r="L515" s="100" t="str">
        <f>IFERROR(VLOOKUP(Tablo5[[#This Row],[BOYA KODU]],Tablo14[#All],6,0)," ")</f>
        <v xml:space="preserve"> </v>
      </c>
      <c r="M515" s="100" t="str">
        <f t="shared" ref="M515:M572" si="56">IFERROR((I515*Q515)*L515," ")</f>
        <v xml:space="preserve"> </v>
      </c>
      <c r="N515" s="100" t="str">
        <f>IFERROR(VLOOKUP(Tablo5[[#This Row],[ÜRÜN KODU]],YMKODLARI!$A$1:$K$363,8,0)," ")</f>
        <v xml:space="preserve"> </v>
      </c>
      <c r="O515" s="100" t="str">
        <f>IFERROR(VLOOKUP(Tablo5[[#This Row],[HAMMADDE KODU]],Tablo1[#All],3,0)," ")</f>
        <v xml:space="preserve"> </v>
      </c>
      <c r="P515" s="100" t="str">
        <f>IFERROR(VLOOKUP(Tablo5[[#This Row],[HAMMADDE KODU]],Tablo1[#All],4,0)," ")</f>
        <v xml:space="preserve"> </v>
      </c>
      <c r="Q515" s="100" t="str">
        <f>IFERROR(VLOOKUP(Tablo5[[#This Row],[ÜRÜN KODU]],YMKODLARI!$A$1:$K$363,5,0)," ")</f>
        <v xml:space="preserve"> </v>
      </c>
      <c r="R515" s="100" t="str">
        <f>IFERROR(VLOOKUP(Tablo5[[#This Row],[ÜRÜN KODU]],YMKODLARI!$A$1:$K$363,6,0)," ")</f>
        <v xml:space="preserve"> </v>
      </c>
      <c r="S515" s="100" t="str">
        <f>IFERROR(Tablo5[[#This Row],[YOLLUK HARİÇ BASKI GRAMI]]/Tablo5[[#This Row],[KALIP GÖZ ADEDİ]]," ")</f>
        <v xml:space="preserve"> </v>
      </c>
      <c r="T515" s="100" t="str">
        <f t="shared" si="51"/>
        <v xml:space="preserve"> </v>
      </c>
      <c r="U515" s="100"/>
      <c r="V515" s="100" t="str">
        <f t="shared" ref="V515:V572" si="57">IFERROR(U515+(R515*I515) /1000," ")</f>
        <v xml:space="preserve"> </v>
      </c>
      <c r="W515" s="101">
        <f t="shared" si="52"/>
        <v>24</v>
      </c>
      <c r="X515" s="102">
        <f t="shared" si="53"/>
        <v>0</v>
      </c>
      <c r="Y515" s="100" t="str">
        <f t="shared" si="54"/>
        <v xml:space="preserve"> </v>
      </c>
      <c r="Z515" s="100" t="str">
        <f t="shared" si="55"/>
        <v xml:space="preserve"> </v>
      </c>
    </row>
    <row r="516" spans="1:26">
      <c r="A516" s="100"/>
      <c r="B516" s="108" t="str">
        <f>IFERROR(VLOOKUP(Tablo5[[#This Row],[ÜRÜN KODU]],YMKODLARI!$A$1:$K$363,2,0)," ")</f>
        <v xml:space="preserve"> </v>
      </c>
      <c r="C516" s="99"/>
      <c r="D516" s="100"/>
      <c r="E516" s="101"/>
      <c r="F516" s="101"/>
      <c r="G516" s="100" t="str">
        <f>IFERROR(VLOOKUP(Tablo5[[#This Row],[ÜRÜN KODU]],YMKODLARI!$A$1:$K$363,3,0)," ")</f>
        <v xml:space="preserve"> </v>
      </c>
      <c r="H516" s="100" t="str">
        <f>IFERROR(VLOOKUP(Tablo5[[#This Row],[ÜRÜN KODU]],YMKODLARI!$A$1:$K$363,4,0)," ")</f>
        <v xml:space="preserve"> </v>
      </c>
      <c r="I516" s="100"/>
      <c r="J516" s="100" t="str">
        <f>IFERROR(VLOOKUP(Tablo5[[#This Row],[ÜRÜN KODU]],YMKODLARI!$A$1:$K$363,9,0)," ")</f>
        <v xml:space="preserve"> </v>
      </c>
      <c r="K516" s="100" t="str">
        <f>IFERROR(VLOOKUP(Tablo5[[#This Row],[BOYA KODU]],Tablo14[#All],4,0)," ")</f>
        <v xml:space="preserve"> </v>
      </c>
      <c r="L516" s="100" t="str">
        <f>IFERROR(VLOOKUP(Tablo5[[#This Row],[BOYA KODU]],Tablo14[#All],6,0)," ")</f>
        <v xml:space="preserve"> </v>
      </c>
      <c r="M516" s="100" t="str">
        <f t="shared" si="56"/>
        <v xml:space="preserve"> </v>
      </c>
      <c r="N516" s="100" t="str">
        <f>IFERROR(VLOOKUP(Tablo5[[#This Row],[ÜRÜN KODU]],YMKODLARI!$A$1:$K$363,8,0)," ")</f>
        <v xml:space="preserve"> </v>
      </c>
      <c r="O516" s="100" t="str">
        <f>IFERROR(VLOOKUP(Tablo5[[#This Row],[HAMMADDE KODU]],Tablo1[#All],3,0)," ")</f>
        <v xml:space="preserve"> </v>
      </c>
      <c r="P516" s="100" t="str">
        <f>IFERROR(VLOOKUP(Tablo5[[#This Row],[HAMMADDE KODU]],Tablo1[#All],4,0)," ")</f>
        <v xml:space="preserve"> </v>
      </c>
      <c r="Q516" s="100" t="str">
        <f>IFERROR(VLOOKUP(Tablo5[[#This Row],[ÜRÜN KODU]],YMKODLARI!$A$1:$K$363,5,0)," ")</f>
        <v xml:space="preserve"> </v>
      </c>
      <c r="R516" s="100" t="str">
        <f>IFERROR(VLOOKUP(Tablo5[[#This Row],[ÜRÜN KODU]],YMKODLARI!$A$1:$K$363,6,0)," ")</f>
        <v xml:space="preserve"> </v>
      </c>
      <c r="S516" s="100" t="str">
        <f>IFERROR(Tablo5[[#This Row],[YOLLUK HARİÇ BASKI GRAMI]]/Tablo5[[#This Row],[KALIP GÖZ ADEDİ]]," ")</f>
        <v xml:space="preserve"> </v>
      </c>
      <c r="T516" s="100" t="str">
        <f t="shared" ref="T516:T572" si="58">IFERROR(Q516-R516," ")</f>
        <v xml:space="preserve"> </v>
      </c>
      <c r="U516" s="100"/>
      <c r="V516" s="100" t="str">
        <f t="shared" si="57"/>
        <v xml:space="preserve"> </v>
      </c>
      <c r="W516" s="101">
        <f t="shared" ref="W516:W572" si="59">IFERROR(24-(E516-F516)," ")</f>
        <v>24</v>
      </c>
      <c r="X516" s="102">
        <f t="shared" ref="X516:X572" si="60">IFERROR((W516-INT(W516))*24," ")</f>
        <v>0</v>
      </c>
      <c r="Y516" s="100" t="str">
        <f t="shared" ref="Y516:Y572" si="61">IFERROR(H516*I516/3600," ")</f>
        <v xml:space="preserve"> </v>
      </c>
      <c r="Z516" s="100" t="str">
        <f t="shared" ref="Z516:Z572" si="62">IFERROR(I516*G516," " )</f>
        <v xml:space="preserve"> </v>
      </c>
    </row>
    <row r="517" spans="1:26">
      <c r="A517" s="100"/>
      <c r="B517" s="108" t="str">
        <f>IFERROR(VLOOKUP(Tablo5[[#This Row],[ÜRÜN KODU]],YMKODLARI!$A$1:$K$363,2,0)," ")</f>
        <v xml:space="preserve"> </v>
      </c>
      <c r="C517" s="99"/>
      <c r="D517" s="100"/>
      <c r="E517" s="101"/>
      <c r="F517" s="101"/>
      <c r="G517" s="100" t="str">
        <f>IFERROR(VLOOKUP(Tablo5[[#This Row],[ÜRÜN KODU]],YMKODLARI!$A$1:$K$363,3,0)," ")</f>
        <v xml:space="preserve"> </v>
      </c>
      <c r="H517" s="100" t="str">
        <f>IFERROR(VLOOKUP(Tablo5[[#This Row],[ÜRÜN KODU]],YMKODLARI!$A$1:$K$363,4,0)," ")</f>
        <v xml:space="preserve"> </v>
      </c>
      <c r="I517" s="100"/>
      <c r="J517" s="100" t="str">
        <f>IFERROR(VLOOKUP(Tablo5[[#This Row],[ÜRÜN KODU]],YMKODLARI!$A$1:$K$363,9,0)," ")</f>
        <v xml:space="preserve"> </v>
      </c>
      <c r="K517" s="100" t="str">
        <f>IFERROR(VLOOKUP(Tablo5[[#This Row],[BOYA KODU]],Tablo14[#All],4,0)," ")</f>
        <v xml:space="preserve"> </v>
      </c>
      <c r="L517" s="100" t="str">
        <f>IFERROR(VLOOKUP(Tablo5[[#This Row],[BOYA KODU]],Tablo14[#All],6,0)," ")</f>
        <v xml:space="preserve"> </v>
      </c>
      <c r="M517" s="100" t="str">
        <f t="shared" si="56"/>
        <v xml:space="preserve"> </v>
      </c>
      <c r="N517" s="100" t="str">
        <f>IFERROR(VLOOKUP(Tablo5[[#This Row],[ÜRÜN KODU]],YMKODLARI!$A$1:$K$363,8,0)," ")</f>
        <v xml:space="preserve"> </v>
      </c>
      <c r="O517" s="100" t="str">
        <f>IFERROR(VLOOKUP(Tablo5[[#This Row],[HAMMADDE KODU]],Tablo1[#All],3,0)," ")</f>
        <v xml:space="preserve"> </v>
      </c>
      <c r="P517" s="100" t="str">
        <f>IFERROR(VLOOKUP(Tablo5[[#This Row],[HAMMADDE KODU]],Tablo1[#All],4,0)," ")</f>
        <v xml:space="preserve"> </v>
      </c>
      <c r="Q517" s="100" t="str">
        <f>IFERROR(VLOOKUP(Tablo5[[#This Row],[ÜRÜN KODU]],YMKODLARI!$A$1:$K$363,5,0)," ")</f>
        <v xml:space="preserve"> </v>
      </c>
      <c r="R517" s="100" t="str">
        <f>IFERROR(VLOOKUP(Tablo5[[#This Row],[ÜRÜN KODU]],YMKODLARI!$A$1:$K$363,6,0)," ")</f>
        <v xml:space="preserve"> </v>
      </c>
      <c r="S517" s="100" t="str">
        <f>IFERROR(Tablo5[[#This Row],[YOLLUK HARİÇ BASKI GRAMI]]/Tablo5[[#This Row],[KALIP GÖZ ADEDİ]]," ")</f>
        <v xml:space="preserve"> </v>
      </c>
      <c r="T517" s="100" t="str">
        <f t="shared" si="58"/>
        <v xml:space="preserve"> </v>
      </c>
      <c r="U517" s="100"/>
      <c r="V517" s="100" t="str">
        <f t="shared" si="57"/>
        <v xml:space="preserve"> </v>
      </c>
      <c r="W517" s="101">
        <f t="shared" si="59"/>
        <v>24</v>
      </c>
      <c r="X517" s="102">
        <f t="shared" si="60"/>
        <v>0</v>
      </c>
      <c r="Y517" s="100" t="str">
        <f t="shared" si="61"/>
        <v xml:space="preserve"> </v>
      </c>
      <c r="Z517" s="100" t="str">
        <f t="shared" si="62"/>
        <v xml:space="preserve"> </v>
      </c>
    </row>
    <row r="518" spans="1:26">
      <c r="A518" s="100"/>
      <c r="B518" s="108" t="str">
        <f>IFERROR(VLOOKUP(Tablo5[[#This Row],[ÜRÜN KODU]],YMKODLARI!$A$1:$K$363,2,0)," ")</f>
        <v xml:space="preserve"> </v>
      </c>
      <c r="C518" s="99"/>
      <c r="D518" s="100"/>
      <c r="E518" s="101"/>
      <c r="F518" s="101"/>
      <c r="G518" s="100" t="str">
        <f>IFERROR(VLOOKUP(Tablo5[[#This Row],[ÜRÜN KODU]],YMKODLARI!$A$1:$K$363,3,0)," ")</f>
        <v xml:space="preserve"> </v>
      </c>
      <c r="H518" s="100" t="str">
        <f>IFERROR(VLOOKUP(Tablo5[[#This Row],[ÜRÜN KODU]],YMKODLARI!$A$1:$K$363,4,0)," ")</f>
        <v xml:space="preserve"> </v>
      </c>
      <c r="I518" s="100"/>
      <c r="J518" s="100" t="str">
        <f>IFERROR(VLOOKUP(Tablo5[[#This Row],[ÜRÜN KODU]],YMKODLARI!$A$1:$K$363,9,0)," ")</f>
        <v xml:space="preserve"> </v>
      </c>
      <c r="K518" s="100" t="str">
        <f>IFERROR(VLOOKUP(Tablo5[[#This Row],[BOYA KODU]],Tablo14[#All],4,0)," ")</f>
        <v xml:space="preserve"> </v>
      </c>
      <c r="L518" s="100" t="str">
        <f>IFERROR(VLOOKUP(Tablo5[[#This Row],[BOYA KODU]],Tablo14[#All],6,0)," ")</f>
        <v xml:space="preserve"> </v>
      </c>
      <c r="M518" s="100" t="str">
        <f t="shared" si="56"/>
        <v xml:space="preserve"> </v>
      </c>
      <c r="N518" s="100" t="str">
        <f>IFERROR(VLOOKUP(Tablo5[[#This Row],[ÜRÜN KODU]],YMKODLARI!$A$1:$K$363,8,0)," ")</f>
        <v xml:space="preserve"> </v>
      </c>
      <c r="O518" s="100" t="str">
        <f>IFERROR(VLOOKUP(Tablo5[[#This Row],[HAMMADDE KODU]],Tablo1[#All],3,0)," ")</f>
        <v xml:space="preserve"> </v>
      </c>
      <c r="P518" s="100" t="str">
        <f>IFERROR(VLOOKUP(Tablo5[[#This Row],[HAMMADDE KODU]],Tablo1[#All],4,0)," ")</f>
        <v xml:space="preserve"> </v>
      </c>
      <c r="Q518" s="100" t="str">
        <f>IFERROR(VLOOKUP(Tablo5[[#This Row],[ÜRÜN KODU]],YMKODLARI!$A$1:$K$363,5,0)," ")</f>
        <v xml:space="preserve"> </v>
      </c>
      <c r="R518" s="100" t="str">
        <f>IFERROR(VLOOKUP(Tablo5[[#This Row],[ÜRÜN KODU]],YMKODLARI!$A$1:$K$363,6,0)," ")</f>
        <v xml:space="preserve"> </v>
      </c>
      <c r="S518" s="100" t="str">
        <f>IFERROR(Tablo5[[#This Row],[YOLLUK HARİÇ BASKI GRAMI]]/Tablo5[[#This Row],[KALIP GÖZ ADEDİ]]," ")</f>
        <v xml:space="preserve"> </v>
      </c>
      <c r="T518" s="100" t="str">
        <f t="shared" si="58"/>
        <v xml:space="preserve"> </v>
      </c>
      <c r="U518" s="100"/>
      <c r="V518" s="100" t="str">
        <f t="shared" si="57"/>
        <v xml:space="preserve"> </v>
      </c>
      <c r="W518" s="101">
        <f t="shared" si="59"/>
        <v>24</v>
      </c>
      <c r="X518" s="102">
        <f t="shared" si="60"/>
        <v>0</v>
      </c>
      <c r="Y518" s="100" t="str">
        <f t="shared" si="61"/>
        <v xml:space="preserve"> </v>
      </c>
      <c r="Z518" s="100" t="str">
        <f t="shared" si="62"/>
        <v xml:space="preserve"> </v>
      </c>
    </row>
    <row r="519" spans="1:26">
      <c r="A519" s="100"/>
      <c r="B519" s="108" t="str">
        <f>IFERROR(VLOOKUP(Tablo5[[#This Row],[ÜRÜN KODU]],YMKODLARI!$A$1:$K$363,2,0)," ")</f>
        <v xml:space="preserve"> </v>
      </c>
      <c r="C519" s="99"/>
      <c r="D519" s="100"/>
      <c r="E519" s="101"/>
      <c r="F519" s="101"/>
      <c r="G519" s="100" t="str">
        <f>IFERROR(VLOOKUP(Tablo5[[#This Row],[ÜRÜN KODU]],YMKODLARI!$A$1:$K$363,3,0)," ")</f>
        <v xml:space="preserve"> </v>
      </c>
      <c r="H519" s="100" t="str">
        <f>IFERROR(VLOOKUP(Tablo5[[#This Row],[ÜRÜN KODU]],YMKODLARI!$A$1:$K$363,4,0)," ")</f>
        <v xml:space="preserve"> </v>
      </c>
      <c r="I519" s="100"/>
      <c r="J519" s="100" t="str">
        <f>IFERROR(VLOOKUP(Tablo5[[#This Row],[ÜRÜN KODU]],YMKODLARI!$A$1:$K$363,9,0)," ")</f>
        <v xml:space="preserve"> </v>
      </c>
      <c r="K519" s="100" t="str">
        <f>IFERROR(VLOOKUP(Tablo5[[#This Row],[BOYA KODU]],Tablo14[#All],4,0)," ")</f>
        <v xml:space="preserve"> </v>
      </c>
      <c r="L519" s="100" t="str">
        <f>IFERROR(VLOOKUP(Tablo5[[#This Row],[BOYA KODU]],Tablo14[#All],6,0)," ")</f>
        <v xml:space="preserve"> </v>
      </c>
      <c r="M519" s="100" t="str">
        <f t="shared" si="56"/>
        <v xml:space="preserve"> </v>
      </c>
      <c r="N519" s="100" t="str">
        <f>IFERROR(VLOOKUP(Tablo5[[#This Row],[ÜRÜN KODU]],YMKODLARI!$A$1:$K$363,8,0)," ")</f>
        <v xml:space="preserve"> </v>
      </c>
      <c r="O519" s="100" t="str">
        <f>IFERROR(VLOOKUP(Tablo5[[#This Row],[HAMMADDE KODU]],Tablo1[#All],3,0)," ")</f>
        <v xml:space="preserve"> </v>
      </c>
      <c r="P519" s="100" t="str">
        <f>IFERROR(VLOOKUP(Tablo5[[#This Row],[HAMMADDE KODU]],Tablo1[#All],4,0)," ")</f>
        <v xml:space="preserve"> </v>
      </c>
      <c r="Q519" s="100" t="str">
        <f>IFERROR(VLOOKUP(Tablo5[[#This Row],[ÜRÜN KODU]],YMKODLARI!$A$1:$K$363,5,0)," ")</f>
        <v xml:space="preserve"> </v>
      </c>
      <c r="R519" s="100" t="str">
        <f>IFERROR(VLOOKUP(Tablo5[[#This Row],[ÜRÜN KODU]],YMKODLARI!$A$1:$K$363,6,0)," ")</f>
        <v xml:space="preserve"> </v>
      </c>
      <c r="S519" s="100" t="str">
        <f>IFERROR(Tablo5[[#This Row],[YOLLUK HARİÇ BASKI GRAMI]]/Tablo5[[#This Row],[KALIP GÖZ ADEDİ]]," ")</f>
        <v xml:space="preserve"> </v>
      </c>
      <c r="T519" s="100" t="str">
        <f t="shared" si="58"/>
        <v xml:space="preserve"> </v>
      </c>
      <c r="U519" s="100"/>
      <c r="V519" s="100" t="str">
        <f t="shared" si="57"/>
        <v xml:space="preserve"> </v>
      </c>
      <c r="W519" s="101">
        <f t="shared" si="59"/>
        <v>24</v>
      </c>
      <c r="X519" s="102">
        <f t="shared" si="60"/>
        <v>0</v>
      </c>
      <c r="Y519" s="100" t="str">
        <f t="shared" si="61"/>
        <v xml:space="preserve"> </v>
      </c>
      <c r="Z519" s="100" t="str">
        <f t="shared" si="62"/>
        <v xml:space="preserve"> </v>
      </c>
    </row>
    <row r="520" spans="1:26">
      <c r="A520" s="100"/>
      <c r="B520" s="108" t="str">
        <f>IFERROR(VLOOKUP(Tablo5[[#This Row],[ÜRÜN KODU]],YMKODLARI!$A$1:$K$363,2,0)," ")</f>
        <v xml:space="preserve"> </v>
      </c>
      <c r="C520" s="99"/>
      <c r="D520" s="100"/>
      <c r="E520" s="101"/>
      <c r="F520" s="101"/>
      <c r="G520" s="100" t="str">
        <f>IFERROR(VLOOKUP(Tablo5[[#This Row],[ÜRÜN KODU]],YMKODLARI!$A$1:$K$363,3,0)," ")</f>
        <v xml:space="preserve"> </v>
      </c>
      <c r="H520" s="100" t="str">
        <f>IFERROR(VLOOKUP(Tablo5[[#This Row],[ÜRÜN KODU]],YMKODLARI!$A$1:$K$363,4,0)," ")</f>
        <v xml:space="preserve"> </v>
      </c>
      <c r="I520" s="100"/>
      <c r="J520" s="100" t="str">
        <f>IFERROR(VLOOKUP(Tablo5[[#This Row],[ÜRÜN KODU]],YMKODLARI!$A$1:$K$363,9,0)," ")</f>
        <v xml:space="preserve"> </v>
      </c>
      <c r="K520" s="100" t="str">
        <f>IFERROR(VLOOKUP(Tablo5[[#This Row],[BOYA KODU]],Tablo14[#All],4,0)," ")</f>
        <v xml:space="preserve"> </v>
      </c>
      <c r="L520" s="100" t="str">
        <f>IFERROR(VLOOKUP(Tablo5[[#This Row],[BOYA KODU]],Tablo14[#All],6,0)," ")</f>
        <v xml:space="preserve"> </v>
      </c>
      <c r="M520" s="100" t="str">
        <f t="shared" si="56"/>
        <v xml:space="preserve"> </v>
      </c>
      <c r="N520" s="100" t="str">
        <f>IFERROR(VLOOKUP(Tablo5[[#This Row],[ÜRÜN KODU]],YMKODLARI!$A$1:$K$363,8,0)," ")</f>
        <v xml:space="preserve"> </v>
      </c>
      <c r="O520" s="100" t="str">
        <f>IFERROR(VLOOKUP(Tablo5[[#This Row],[HAMMADDE KODU]],Tablo1[#All],3,0)," ")</f>
        <v xml:space="preserve"> </v>
      </c>
      <c r="P520" s="100" t="str">
        <f>IFERROR(VLOOKUP(Tablo5[[#This Row],[HAMMADDE KODU]],Tablo1[#All],4,0)," ")</f>
        <v xml:space="preserve"> </v>
      </c>
      <c r="Q520" s="100" t="str">
        <f>IFERROR(VLOOKUP(Tablo5[[#This Row],[ÜRÜN KODU]],YMKODLARI!$A$1:$K$363,5,0)," ")</f>
        <v xml:space="preserve"> </v>
      </c>
      <c r="R520" s="100" t="str">
        <f>IFERROR(VLOOKUP(Tablo5[[#This Row],[ÜRÜN KODU]],YMKODLARI!$A$1:$K$363,6,0)," ")</f>
        <v xml:space="preserve"> </v>
      </c>
      <c r="S520" s="100" t="str">
        <f>IFERROR(Tablo5[[#This Row],[YOLLUK HARİÇ BASKI GRAMI]]/Tablo5[[#This Row],[KALIP GÖZ ADEDİ]]," ")</f>
        <v xml:space="preserve"> </v>
      </c>
      <c r="T520" s="100" t="str">
        <f t="shared" si="58"/>
        <v xml:space="preserve"> </v>
      </c>
      <c r="U520" s="100"/>
      <c r="V520" s="100" t="str">
        <f t="shared" si="57"/>
        <v xml:space="preserve"> </v>
      </c>
      <c r="W520" s="101">
        <f t="shared" si="59"/>
        <v>24</v>
      </c>
      <c r="X520" s="102">
        <f t="shared" si="60"/>
        <v>0</v>
      </c>
      <c r="Y520" s="100" t="str">
        <f t="shared" si="61"/>
        <v xml:space="preserve"> </v>
      </c>
      <c r="Z520" s="100" t="str">
        <f t="shared" si="62"/>
        <v xml:space="preserve"> </v>
      </c>
    </row>
    <row r="521" spans="1:26">
      <c r="A521" s="100"/>
      <c r="B521" s="108" t="str">
        <f>IFERROR(VLOOKUP(Tablo5[[#This Row],[ÜRÜN KODU]],YMKODLARI!$A$1:$K$363,2,0)," ")</f>
        <v xml:space="preserve"> </v>
      </c>
      <c r="C521" s="99"/>
      <c r="D521" s="100"/>
      <c r="E521" s="101"/>
      <c r="F521" s="101"/>
      <c r="G521" s="100" t="str">
        <f>IFERROR(VLOOKUP(Tablo5[[#This Row],[ÜRÜN KODU]],YMKODLARI!$A$1:$K$363,3,0)," ")</f>
        <v xml:space="preserve"> </v>
      </c>
      <c r="H521" s="100" t="str">
        <f>IFERROR(VLOOKUP(Tablo5[[#This Row],[ÜRÜN KODU]],YMKODLARI!$A$1:$K$363,4,0)," ")</f>
        <v xml:space="preserve"> </v>
      </c>
      <c r="I521" s="100"/>
      <c r="J521" s="100" t="str">
        <f>IFERROR(VLOOKUP(Tablo5[[#This Row],[ÜRÜN KODU]],YMKODLARI!$A$1:$K$363,9,0)," ")</f>
        <v xml:space="preserve"> </v>
      </c>
      <c r="K521" s="100" t="str">
        <f>IFERROR(VLOOKUP(Tablo5[[#This Row],[BOYA KODU]],Tablo14[#All],4,0)," ")</f>
        <v xml:space="preserve"> </v>
      </c>
      <c r="L521" s="100" t="str">
        <f>IFERROR(VLOOKUP(Tablo5[[#This Row],[BOYA KODU]],Tablo14[#All],6,0)," ")</f>
        <v xml:space="preserve"> </v>
      </c>
      <c r="M521" s="100" t="str">
        <f t="shared" si="56"/>
        <v xml:space="preserve"> </v>
      </c>
      <c r="N521" s="100" t="str">
        <f>IFERROR(VLOOKUP(Tablo5[[#This Row],[ÜRÜN KODU]],YMKODLARI!$A$1:$K$363,8,0)," ")</f>
        <v xml:space="preserve"> </v>
      </c>
      <c r="O521" s="100" t="str">
        <f>IFERROR(VLOOKUP(Tablo5[[#This Row],[HAMMADDE KODU]],Tablo1[#All],3,0)," ")</f>
        <v xml:space="preserve"> </v>
      </c>
      <c r="P521" s="100" t="str">
        <f>IFERROR(VLOOKUP(Tablo5[[#This Row],[HAMMADDE KODU]],Tablo1[#All],4,0)," ")</f>
        <v xml:space="preserve"> </v>
      </c>
      <c r="Q521" s="100" t="str">
        <f>IFERROR(VLOOKUP(Tablo5[[#This Row],[ÜRÜN KODU]],YMKODLARI!$A$1:$K$363,5,0)," ")</f>
        <v xml:space="preserve"> </v>
      </c>
      <c r="R521" s="100" t="str">
        <f>IFERROR(VLOOKUP(Tablo5[[#This Row],[ÜRÜN KODU]],YMKODLARI!$A$1:$K$363,6,0)," ")</f>
        <v xml:space="preserve"> </v>
      </c>
      <c r="S521" s="100" t="str">
        <f>IFERROR(Tablo5[[#This Row],[YOLLUK HARİÇ BASKI GRAMI]]/Tablo5[[#This Row],[KALIP GÖZ ADEDİ]]," ")</f>
        <v xml:space="preserve"> </v>
      </c>
      <c r="T521" s="100" t="str">
        <f t="shared" si="58"/>
        <v xml:space="preserve"> </v>
      </c>
      <c r="U521" s="100"/>
      <c r="V521" s="100" t="str">
        <f t="shared" si="57"/>
        <v xml:space="preserve"> </v>
      </c>
      <c r="W521" s="101">
        <f t="shared" si="59"/>
        <v>24</v>
      </c>
      <c r="X521" s="102">
        <f t="shared" si="60"/>
        <v>0</v>
      </c>
      <c r="Y521" s="100" t="str">
        <f t="shared" si="61"/>
        <v xml:space="preserve"> </v>
      </c>
      <c r="Z521" s="100" t="str">
        <f t="shared" si="62"/>
        <v xml:space="preserve"> </v>
      </c>
    </row>
    <row r="522" spans="1:26">
      <c r="A522" s="100"/>
      <c r="B522" s="108" t="str">
        <f>IFERROR(VLOOKUP(Tablo5[[#This Row],[ÜRÜN KODU]],YMKODLARI!$A$1:$K$363,2,0)," ")</f>
        <v xml:space="preserve"> </v>
      </c>
      <c r="C522" s="99"/>
      <c r="D522" s="100"/>
      <c r="E522" s="101"/>
      <c r="F522" s="101"/>
      <c r="G522" s="100" t="str">
        <f>IFERROR(VLOOKUP(Tablo5[[#This Row],[ÜRÜN KODU]],YMKODLARI!$A$1:$K$363,3,0)," ")</f>
        <v xml:space="preserve"> </v>
      </c>
      <c r="H522" s="100" t="str">
        <f>IFERROR(VLOOKUP(Tablo5[[#This Row],[ÜRÜN KODU]],YMKODLARI!$A$1:$K$363,4,0)," ")</f>
        <v xml:space="preserve"> </v>
      </c>
      <c r="I522" s="100"/>
      <c r="J522" s="100" t="str">
        <f>IFERROR(VLOOKUP(Tablo5[[#This Row],[ÜRÜN KODU]],YMKODLARI!$A$1:$K$363,9,0)," ")</f>
        <v xml:space="preserve"> </v>
      </c>
      <c r="K522" s="100" t="str">
        <f>IFERROR(VLOOKUP(Tablo5[[#This Row],[BOYA KODU]],Tablo14[#All],4,0)," ")</f>
        <v xml:space="preserve"> </v>
      </c>
      <c r="L522" s="100" t="str">
        <f>IFERROR(VLOOKUP(Tablo5[[#This Row],[BOYA KODU]],Tablo14[#All],6,0)," ")</f>
        <v xml:space="preserve"> </v>
      </c>
      <c r="M522" s="100" t="str">
        <f t="shared" si="56"/>
        <v xml:space="preserve"> </v>
      </c>
      <c r="N522" s="100" t="str">
        <f>IFERROR(VLOOKUP(Tablo5[[#This Row],[ÜRÜN KODU]],YMKODLARI!$A$1:$K$363,8,0)," ")</f>
        <v xml:space="preserve"> </v>
      </c>
      <c r="O522" s="100" t="str">
        <f>IFERROR(VLOOKUP(Tablo5[[#This Row],[HAMMADDE KODU]],Tablo1[#All],3,0)," ")</f>
        <v xml:space="preserve"> </v>
      </c>
      <c r="P522" s="100" t="str">
        <f>IFERROR(VLOOKUP(Tablo5[[#This Row],[HAMMADDE KODU]],Tablo1[#All],4,0)," ")</f>
        <v xml:space="preserve"> </v>
      </c>
      <c r="Q522" s="100" t="str">
        <f>IFERROR(VLOOKUP(Tablo5[[#This Row],[ÜRÜN KODU]],YMKODLARI!$A$1:$K$363,5,0)," ")</f>
        <v xml:space="preserve"> </v>
      </c>
      <c r="R522" s="100" t="str">
        <f>IFERROR(VLOOKUP(Tablo5[[#This Row],[ÜRÜN KODU]],YMKODLARI!$A$1:$K$363,6,0)," ")</f>
        <v xml:space="preserve"> </v>
      </c>
      <c r="S522" s="100" t="str">
        <f>IFERROR(Tablo5[[#This Row],[YOLLUK HARİÇ BASKI GRAMI]]/Tablo5[[#This Row],[KALIP GÖZ ADEDİ]]," ")</f>
        <v xml:space="preserve"> </v>
      </c>
      <c r="T522" s="100" t="str">
        <f t="shared" si="58"/>
        <v xml:space="preserve"> </v>
      </c>
      <c r="U522" s="100"/>
      <c r="V522" s="100" t="str">
        <f t="shared" si="57"/>
        <v xml:space="preserve"> </v>
      </c>
      <c r="W522" s="101">
        <f t="shared" si="59"/>
        <v>24</v>
      </c>
      <c r="X522" s="102">
        <f t="shared" si="60"/>
        <v>0</v>
      </c>
      <c r="Y522" s="100" t="str">
        <f t="shared" si="61"/>
        <v xml:space="preserve"> </v>
      </c>
      <c r="Z522" s="100" t="str">
        <f t="shared" si="62"/>
        <v xml:space="preserve"> </v>
      </c>
    </row>
    <row r="523" spans="1:26">
      <c r="A523" s="100"/>
      <c r="B523" s="108" t="str">
        <f>IFERROR(VLOOKUP(Tablo5[[#This Row],[ÜRÜN KODU]],YMKODLARI!$A$1:$K$363,2,0)," ")</f>
        <v xml:space="preserve"> </v>
      </c>
      <c r="C523" s="99"/>
      <c r="D523" s="100"/>
      <c r="E523" s="101"/>
      <c r="F523" s="101"/>
      <c r="G523" s="100" t="str">
        <f>IFERROR(VLOOKUP(Tablo5[[#This Row],[ÜRÜN KODU]],YMKODLARI!$A$1:$K$363,3,0)," ")</f>
        <v xml:space="preserve"> </v>
      </c>
      <c r="H523" s="100" t="str">
        <f>IFERROR(VLOOKUP(Tablo5[[#This Row],[ÜRÜN KODU]],YMKODLARI!$A$1:$K$363,4,0)," ")</f>
        <v xml:space="preserve"> </v>
      </c>
      <c r="I523" s="100"/>
      <c r="J523" s="100" t="str">
        <f>IFERROR(VLOOKUP(Tablo5[[#This Row],[ÜRÜN KODU]],YMKODLARI!$A$1:$K$363,9,0)," ")</f>
        <v xml:space="preserve"> </v>
      </c>
      <c r="K523" s="100" t="str">
        <f>IFERROR(VLOOKUP(Tablo5[[#This Row],[BOYA KODU]],Tablo14[#All],4,0)," ")</f>
        <v xml:space="preserve"> </v>
      </c>
      <c r="L523" s="100" t="str">
        <f>IFERROR(VLOOKUP(Tablo5[[#This Row],[BOYA KODU]],Tablo14[#All],6,0)," ")</f>
        <v xml:space="preserve"> </v>
      </c>
      <c r="M523" s="100" t="str">
        <f t="shared" si="56"/>
        <v xml:space="preserve"> </v>
      </c>
      <c r="N523" s="100" t="str">
        <f>IFERROR(VLOOKUP(Tablo5[[#This Row],[ÜRÜN KODU]],YMKODLARI!$A$1:$K$363,8,0)," ")</f>
        <v xml:space="preserve"> </v>
      </c>
      <c r="O523" s="100" t="str">
        <f>IFERROR(VLOOKUP(Tablo5[[#This Row],[HAMMADDE KODU]],Tablo1[#All],3,0)," ")</f>
        <v xml:space="preserve"> </v>
      </c>
      <c r="P523" s="100" t="str">
        <f>IFERROR(VLOOKUP(Tablo5[[#This Row],[HAMMADDE KODU]],Tablo1[#All],4,0)," ")</f>
        <v xml:space="preserve"> </v>
      </c>
      <c r="Q523" s="100" t="str">
        <f>IFERROR(VLOOKUP(Tablo5[[#This Row],[ÜRÜN KODU]],YMKODLARI!$A$1:$K$363,5,0)," ")</f>
        <v xml:space="preserve"> </v>
      </c>
      <c r="R523" s="100" t="str">
        <f>IFERROR(VLOOKUP(Tablo5[[#This Row],[ÜRÜN KODU]],YMKODLARI!$A$1:$K$363,6,0)," ")</f>
        <v xml:space="preserve"> </v>
      </c>
      <c r="S523" s="100" t="str">
        <f>IFERROR(Tablo5[[#This Row],[YOLLUK HARİÇ BASKI GRAMI]]/Tablo5[[#This Row],[KALIP GÖZ ADEDİ]]," ")</f>
        <v xml:space="preserve"> </v>
      </c>
      <c r="T523" s="100" t="str">
        <f t="shared" si="58"/>
        <v xml:space="preserve"> </v>
      </c>
      <c r="U523" s="100"/>
      <c r="V523" s="100" t="str">
        <f t="shared" si="57"/>
        <v xml:space="preserve"> </v>
      </c>
      <c r="W523" s="101">
        <f t="shared" si="59"/>
        <v>24</v>
      </c>
      <c r="X523" s="102">
        <f t="shared" si="60"/>
        <v>0</v>
      </c>
      <c r="Y523" s="100" t="str">
        <f t="shared" si="61"/>
        <v xml:space="preserve"> </v>
      </c>
      <c r="Z523" s="100" t="str">
        <f t="shared" si="62"/>
        <v xml:space="preserve"> </v>
      </c>
    </row>
    <row r="524" spans="1:26">
      <c r="A524" s="100"/>
      <c r="B524" s="108" t="str">
        <f>IFERROR(VLOOKUP(Tablo5[[#This Row],[ÜRÜN KODU]],YMKODLARI!$A$1:$K$363,2,0)," ")</f>
        <v xml:space="preserve"> </v>
      </c>
      <c r="C524" s="99"/>
      <c r="D524" s="100"/>
      <c r="E524" s="101"/>
      <c r="F524" s="101"/>
      <c r="G524" s="100" t="str">
        <f>IFERROR(VLOOKUP(Tablo5[[#This Row],[ÜRÜN KODU]],YMKODLARI!$A$1:$K$363,3,0)," ")</f>
        <v xml:space="preserve"> </v>
      </c>
      <c r="H524" s="100" t="str">
        <f>IFERROR(VLOOKUP(Tablo5[[#This Row],[ÜRÜN KODU]],YMKODLARI!$A$1:$K$363,4,0)," ")</f>
        <v xml:space="preserve"> </v>
      </c>
      <c r="I524" s="100"/>
      <c r="J524" s="100" t="str">
        <f>IFERROR(VLOOKUP(Tablo5[[#This Row],[ÜRÜN KODU]],YMKODLARI!$A$1:$K$363,9,0)," ")</f>
        <v xml:space="preserve"> </v>
      </c>
      <c r="K524" s="100" t="str">
        <f>IFERROR(VLOOKUP(Tablo5[[#This Row],[BOYA KODU]],Tablo14[#All],4,0)," ")</f>
        <v xml:space="preserve"> </v>
      </c>
      <c r="L524" s="100" t="str">
        <f>IFERROR(VLOOKUP(Tablo5[[#This Row],[BOYA KODU]],Tablo14[#All],6,0)," ")</f>
        <v xml:space="preserve"> </v>
      </c>
      <c r="M524" s="100" t="str">
        <f t="shared" si="56"/>
        <v xml:space="preserve"> </v>
      </c>
      <c r="N524" s="100" t="str">
        <f>IFERROR(VLOOKUP(Tablo5[[#This Row],[ÜRÜN KODU]],YMKODLARI!$A$1:$K$363,8,0)," ")</f>
        <v xml:space="preserve"> </v>
      </c>
      <c r="O524" s="100" t="str">
        <f>IFERROR(VLOOKUP(Tablo5[[#This Row],[HAMMADDE KODU]],Tablo1[#All],3,0)," ")</f>
        <v xml:space="preserve"> </v>
      </c>
      <c r="P524" s="100" t="str">
        <f>IFERROR(VLOOKUP(Tablo5[[#This Row],[HAMMADDE KODU]],Tablo1[#All],4,0)," ")</f>
        <v xml:space="preserve"> </v>
      </c>
      <c r="Q524" s="100" t="str">
        <f>IFERROR(VLOOKUP(Tablo5[[#This Row],[ÜRÜN KODU]],YMKODLARI!$A$1:$K$363,5,0)," ")</f>
        <v xml:space="preserve"> </v>
      </c>
      <c r="R524" s="100" t="str">
        <f>IFERROR(VLOOKUP(Tablo5[[#This Row],[ÜRÜN KODU]],YMKODLARI!$A$1:$K$363,6,0)," ")</f>
        <v xml:space="preserve"> </v>
      </c>
      <c r="S524" s="100" t="str">
        <f>IFERROR(Tablo5[[#This Row],[YOLLUK HARİÇ BASKI GRAMI]]/Tablo5[[#This Row],[KALIP GÖZ ADEDİ]]," ")</f>
        <v xml:space="preserve"> </v>
      </c>
      <c r="T524" s="100" t="str">
        <f t="shared" si="58"/>
        <v xml:space="preserve"> </v>
      </c>
      <c r="U524" s="100"/>
      <c r="V524" s="100" t="str">
        <f t="shared" si="57"/>
        <v xml:space="preserve"> </v>
      </c>
      <c r="W524" s="101">
        <f t="shared" si="59"/>
        <v>24</v>
      </c>
      <c r="X524" s="102">
        <f t="shared" si="60"/>
        <v>0</v>
      </c>
      <c r="Y524" s="100" t="str">
        <f t="shared" si="61"/>
        <v xml:space="preserve"> </v>
      </c>
      <c r="Z524" s="100" t="str">
        <f t="shared" si="62"/>
        <v xml:space="preserve"> </v>
      </c>
    </row>
    <row r="525" spans="1:26">
      <c r="A525" s="100"/>
      <c r="B525" s="108" t="str">
        <f>IFERROR(VLOOKUP(Tablo5[[#This Row],[ÜRÜN KODU]],YMKODLARI!$A$1:$K$363,2,0)," ")</f>
        <v xml:space="preserve"> </v>
      </c>
      <c r="C525" s="99"/>
      <c r="D525" s="100"/>
      <c r="E525" s="101"/>
      <c r="F525" s="101"/>
      <c r="G525" s="100" t="str">
        <f>IFERROR(VLOOKUP(Tablo5[[#This Row],[ÜRÜN KODU]],YMKODLARI!$A$1:$K$363,3,0)," ")</f>
        <v xml:space="preserve"> </v>
      </c>
      <c r="H525" s="100" t="str">
        <f>IFERROR(VLOOKUP(Tablo5[[#This Row],[ÜRÜN KODU]],YMKODLARI!$A$1:$K$363,4,0)," ")</f>
        <v xml:space="preserve"> </v>
      </c>
      <c r="I525" s="100"/>
      <c r="J525" s="100" t="str">
        <f>IFERROR(VLOOKUP(Tablo5[[#This Row],[ÜRÜN KODU]],YMKODLARI!$A$1:$K$363,9,0)," ")</f>
        <v xml:space="preserve"> </v>
      </c>
      <c r="K525" s="100" t="str">
        <f>IFERROR(VLOOKUP(Tablo5[[#This Row],[BOYA KODU]],Tablo14[#All],4,0)," ")</f>
        <v xml:space="preserve"> </v>
      </c>
      <c r="L525" s="100" t="str">
        <f>IFERROR(VLOOKUP(Tablo5[[#This Row],[BOYA KODU]],Tablo14[#All],6,0)," ")</f>
        <v xml:space="preserve"> </v>
      </c>
      <c r="M525" s="100" t="str">
        <f t="shared" si="56"/>
        <v xml:space="preserve"> </v>
      </c>
      <c r="N525" s="100" t="str">
        <f>IFERROR(VLOOKUP(Tablo5[[#This Row],[ÜRÜN KODU]],YMKODLARI!$A$1:$K$363,8,0)," ")</f>
        <v xml:space="preserve"> </v>
      </c>
      <c r="O525" s="100" t="str">
        <f>IFERROR(VLOOKUP(Tablo5[[#This Row],[HAMMADDE KODU]],Tablo1[#All],3,0)," ")</f>
        <v xml:space="preserve"> </v>
      </c>
      <c r="P525" s="100" t="str">
        <f>IFERROR(VLOOKUP(Tablo5[[#This Row],[HAMMADDE KODU]],Tablo1[#All],4,0)," ")</f>
        <v xml:space="preserve"> </v>
      </c>
      <c r="Q525" s="100" t="str">
        <f>IFERROR(VLOOKUP(Tablo5[[#This Row],[ÜRÜN KODU]],YMKODLARI!$A$1:$K$363,5,0)," ")</f>
        <v xml:space="preserve"> </v>
      </c>
      <c r="R525" s="100" t="str">
        <f>IFERROR(VLOOKUP(Tablo5[[#This Row],[ÜRÜN KODU]],YMKODLARI!$A$1:$K$363,6,0)," ")</f>
        <v xml:space="preserve"> </v>
      </c>
      <c r="S525" s="100" t="str">
        <f>IFERROR(Tablo5[[#This Row],[YOLLUK HARİÇ BASKI GRAMI]]/Tablo5[[#This Row],[KALIP GÖZ ADEDİ]]," ")</f>
        <v xml:space="preserve"> </v>
      </c>
      <c r="T525" s="100" t="str">
        <f t="shared" si="58"/>
        <v xml:space="preserve"> </v>
      </c>
      <c r="U525" s="100"/>
      <c r="V525" s="100" t="str">
        <f t="shared" si="57"/>
        <v xml:space="preserve"> </v>
      </c>
      <c r="W525" s="101">
        <f t="shared" si="59"/>
        <v>24</v>
      </c>
      <c r="X525" s="102">
        <f t="shared" si="60"/>
        <v>0</v>
      </c>
      <c r="Y525" s="100" t="str">
        <f t="shared" si="61"/>
        <v xml:space="preserve"> </v>
      </c>
      <c r="Z525" s="100" t="str">
        <f t="shared" si="62"/>
        <v xml:space="preserve"> </v>
      </c>
    </row>
    <row r="526" spans="1:26">
      <c r="A526" s="100"/>
      <c r="B526" s="108" t="str">
        <f>IFERROR(VLOOKUP(Tablo5[[#This Row],[ÜRÜN KODU]],YMKODLARI!$A$1:$K$363,2,0)," ")</f>
        <v xml:space="preserve"> </v>
      </c>
      <c r="C526" s="99"/>
      <c r="D526" s="100"/>
      <c r="E526" s="101"/>
      <c r="F526" s="101"/>
      <c r="G526" s="100" t="str">
        <f>IFERROR(VLOOKUP(Tablo5[[#This Row],[ÜRÜN KODU]],YMKODLARI!$A$1:$K$363,3,0)," ")</f>
        <v xml:space="preserve"> </v>
      </c>
      <c r="H526" s="100" t="str">
        <f>IFERROR(VLOOKUP(Tablo5[[#This Row],[ÜRÜN KODU]],YMKODLARI!$A$1:$K$363,4,0)," ")</f>
        <v xml:space="preserve"> </v>
      </c>
      <c r="I526" s="100"/>
      <c r="J526" s="100" t="str">
        <f>IFERROR(VLOOKUP(Tablo5[[#This Row],[ÜRÜN KODU]],YMKODLARI!$A$1:$K$363,9,0)," ")</f>
        <v xml:space="preserve"> </v>
      </c>
      <c r="K526" s="100" t="str">
        <f>IFERROR(VLOOKUP(Tablo5[[#This Row],[BOYA KODU]],Tablo14[#All],4,0)," ")</f>
        <v xml:space="preserve"> </v>
      </c>
      <c r="L526" s="100" t="str">
        <f>IFERROR(VLOOKUP(Tablo5[[#This Row],[BOYA KODU]],Tablo14[#All],6,0)," ")</f>
        <v xml:space="preserve"> </v>
      </c>
      <c r="M526" s="100" t="str">
        <f t="shared" si="56"/>
        <v xml:space="preserve"> </v>
      </c>
      <c r="N526" s="100" t="str">
        <f>IFERROR(VLOOKUP(Tablo5[[#This Row],[ÜRÜN KODU]],YMKODLARI!$A$1:$K$363,8,0)," ")</f>
        <v xml:space="preserve"> </v>
      </c>
      <c r="O526" s="100" t="str">
        <f>IFERROR(VLOOKUP(Tablo5[[#This Row],[HAMMADDE KODU]],Tablo1[#All],3,0)," ")</f>
        <v xml:space="preserve"> </v>
      </c>
      <c r="P526" s="100" t="str">
        <f>IFERROR(VLOOKUP(Tablo5[[#This Row],[HAMMADDE KODU]],Tablo1[#All],4,0)," ")</f>
        <v xml:space="preserve"> </v>
      </c>
      <c r="Q526" s="100" t="str">
        <f>IFERROR(VLOOKUP(Tablo5[[#This Row],[ÜRÜN KODU]],YMKODLARI!$A$1:$K$363,5,0)," ")</f>
        <v xml:space="preserve"> </v>
      </c>
      <c r="R526" s="100" t="str">
        <f>IFERROR(VLOOKUP(Tablo5[[#This Row],[ÜRÜN KODU]],YMKODLARI!$A$1:$K$363,6,0)," ")</f>
        <v xml:space="preserve"> </v>
      </c>
      <c r="S526" s="100" t="str">
        <f>IFERROR(Tablo5[[#This Row],[YOLLUK HARİÇ BASKI GRAMI]]/Tablo5[[#This Row],[KALIP GÖZ ADEDİ]]," ")</f>
        <v xml:space="preserve"> </v>
      </c>
      <c r="T526" s="100" t="str">
        <f t="shared" si="58"/>
        <v xml:space="preserve"> </v>
      </c>
      <c r="U526" s="100"/>
      <c r="V526" s="100" t="str">
        <f t="shared" si="57"/>
        <v xml:space="preserve"> </v>
      </c>
      <c r="W526" s="101">
        <f t="shared" si="59"/>
        <v>24</v>
      </c>
      <c r="X526" s="102">
        <f t="shared" si="60"/>
        <v>0</v>
      </c>
      <c r="Y526" s="100" t="str">
        <f t="shared" si="61"/>
        <v xml:space="preserve"> </v>
      </c>
      <c r="Z526" s="100" t="str">
        <f t="shared" si="62"/>
        <v xml:space="preserve"> </v>
      </c>
    </row>
    <row r="527" spans="1:26">
      <c r="A527" s="100"/>
      <c r="B527" s="108" t="str">
        <f>IFERROR(VLOOKUP(Tablo5[[#This Row],[ÜRÜN KODU]],YMKODLARI!$A$1:$K$363,2,0)," ")</f>
        <v xml:space="preserve"> </v>
      </c>
      <c r="C527" s="99"/>
      <c r="D527" s="100"/>
      <c r="E527" s="101"/>
      <c r="F527" s="101"/>
      <c r="G527" s="100" t="str">
        <f>IFERROR(VLOOKUP(Tablo5[[#This Row],[ÜRÜN KODU]],YMKODLARI!$A$1:$K$363,3,0)," ")</f>
        <v xml:space="preserve"> </v>
      </c>
      <c r="H527" s="100" t="str">
        <f>IFERROR(VLOOKUP(Tablo5[[#This Row],[ÜRÜN KODU]],YMKODLARI!$A$1:$K$363,4,0)," ")</f>
        <v xml:space="preserve"> </v>
      </c>
      <c r="I527" s="100"/>
      <c r="J527" s="100" t="str">
        <f>IFERROR(VLOOKUP(Tablo5[[#This Row],[ÜRÜN KODU]],YMKODLARI!$A$1:$K$363,9,0)," ")</f>
        <v xml:space="preserve"> </v>
      </c>
      <c r="K527" s="100" t="str">
        <f>IFERROR(VLOOKUP(Tablo5[[#This Row],[BOYA KODU]],Tablo14[#All],4,0)," ")</f>
        <v xml:space="preserve"> </v>
      </c>
      <c r="L527" s="100" t="str">
        <f>IFERROR(VLOOKUP(Tablo5[[#This Row],[BOYA KODU]],Tablo14[#All],6,0)," ")</f>
        <v xml:space="preserve"> </v>
      </c>
      <c r="M527" s="100" t="str">
        <f t="shared" si="56"/>
        <v xml:space="preserve"> </v>
      </c>
      <c r="N527" s="100" t="str">
        <f>IFERROR(VLOOKUP(Tablo5[[#This Row],[ÜRÜN KODU]],YMKODLARI!$A$1:$K$363,8,0)," ")</f>
        <v xml:space="preserve"> </v>
      </c>
      <c r="O527" s="100" t="str">
        <f>IFERROR(VLOOKUP(Tablo5[[#This Row],[HAMMADDE KODU]],Tablo1[#All],3,0)," ")</f>
        <v xml:space="preserve"> </v>
      </c>
      <c r="P527" s="100" t="str">
        <f>IFERROR(VLOOKUP(Tablo5[[#This Row],[HAMMADDE KODU]],Tablo1[#All],4,0)," ")</f>
        <v xml:space="preserve"> </v>
      </c>
      <c r="Q527" s="100" t="str">
        <f>IFERROR(VLOOKUP(Tablo5[[#This Row],[ÜRÜN KODU]],YMKODLARI!$A$1:$K$363,5,0)," ")</f>
        <v xml:space="preserve"> </v>
      </c>
      <c r="R527" s="100" t="str">
        <f>IFERROR(VLOOKUP(Tablo5[[#This Row],[ÜRÜN KODU]],YMKODLARI!$A$1:$K$363,6,0)," ")</f>
        <v xml:space="preserve"> </v>
      </c>
      <c r="S527" s="100" t="str">
        <f>IFERROR(Tablo5[[#This Row],[YOLLUK HARİÇ BASKI GRAMI]]/Tablo5[[#This Row],[KALIP GÖZ ADEDİ]]," ")</f>
        <v xml:space="preserve"> </v>
      </c>
      <c r="T527" s="100" t="str">
        <f t="shared" si="58"/>
        <v xml:space="preserve"> </v>
      </c>
      <c r="U527" s="100"/>
      <c r="V527" s="100" t="str">
        <f t="shared" si="57"/>
        <v xml:space="preserve"> </v>
      </c>
      <c r="W527" s="101">
        <f t="shared" si="59"/>
        <v>24</v>
      </c>
      <c r="X527" s="102">
        <f t="shared" si="60"/>
        <v>0</v>
      </c>
      <c r="Y527" s="100" t="str">
        <f t="shared" si="61"/>
        <v xml:space="preserve"> </v>
      </c>
      <c r="Z527" s="100" t="str">
        <f t="shared" si="62"/>
        <v xml:space="preserve"> </v>
      </c>
    </row>
    <row r="528" spans="1:26">
      <c r="A528" s="100"/>
      <c r="B528" s="108" t="str">
        <f>IFERROR(VLOOKUP(Tablo5[[#This Row],[ÜRÜN KODU]],YMKODLARI!$A$1:$K$363,2,0)," ")</f>
        <v xml:space="preserve"> </v>
      </c>
      <c r="C528" s="99"/>
      <c r="D528" s="100"/>
      <c r="E528" s="101"/>
      <c r="F528" s="101"/>
      <c r="G528" s="100" t="str">
        <f>IFERROR(VLOOKUP(Tablo5[[#This Row],[ÜRÜN KODU]],YMKODLARI!$A$1:$K$363,3,0)," ")</f>
        <v xml:space="preserve"> </v>
      </c>
      <c r="H528" s="100" t="str">
        <f>IFERROR(VLOOKUP(Tablo5[[#This Row],[ÜRÜN KODU]],YMKODLARI!$A$1:$K$363,4,0)," ")</f>
        <v xml:space="preserve"> </v>
      </c>
      <c r="I528" s="100"/>
      <c r="J528" s="100" t="str">
        <f>IFERROR(VLOOKUP(Tablo5[[#This Row],[ÜRÜN KODU]],YMKODLARI!$A$1:$K$363,9,0)," ")</f>
        <v xml:space="preserve"> </v>
      </c>
      <c r="K528" s="100" t="str">
        <f>IFERROR(VLOOKUP(Tablo5[[#This Row],[BOYA KODU]],Tablo14[#All],4,0)," ")</f>
        <v xml:space="preserve"> </v>
      </c>
      <c r="L528" s="100" t="str">
        <f>IFERROR(VLOOKUP(Tablo5[[#This Row],[BOYA KODU]],Tablo14[#All],6,0)," ")</f>
        <v xml:space="preserve"> </v>
      </c>
      <c r="M528" s="100" t="str">
        <f t="shared" si="56"/>
        <v xml:space="preserve"> </v>
      </c>
      <c r="N528" s="100" t="str">
        <f>IFERROR(VLOOKUP(Tablo5[[#This Row],[ÜRÜN KODU]],YMKODLARI!$A$1:$K$363,8,0)," ")</f>
        <v xml:space="preserve"> </v>
      </c>
      <c r="O528" s="100" t="str">
        <f>IFERROR(VLOOKUP(Tablo5[[#This Row],[HAMMADDE KODU]],Tablo1[#All],3,0)," ")</f>
        <v xml:space="preserve"> </v>
      </c>
      <c r="P528" s="100" t="str">
        <f>IFERROR(VLOOKUP(Tablo5[[#This Row],[HAMMADDE KODU]],Tablo1[#All],4,0)," ")</f>
        <v xml:space="preserve"> </v>
      </c>
      <c r="Q528" s="100" t="str">
        <f>IFERROR(VLOOKUP(Tablo5[[#This Row],[ÜRÜN KODU]],YMKODLARI!$A$1:$K$363,5,0)," ")</f>
        <v xml:space="preserve"> </v>
      </c>
      <c r="R528" s="100" t="str">
        <f>IFERROR(VLOOKUP(Tablo5[[#This Row],[ÜRÜN KODU]],YMKODLARI!$A$1:$K$363,6,0)," ")</f>
        <v xml:space="preserve"> </v>
      </c>
      <c r="S528" s="100" t="str">
        <f>IFERROR(Tablo5[[#This Row],[YOLLUK HARİÇ BASKI GRAMI]]/Tablo5[[#This Row],[KALIP GÖZ ADEDİ]]," ")</f>
        <v xml:space="preserve"> </v>
      </c>
      <c r="T528" s="100" t="str">
        <f t="shared" si="58"/>
        <v xml:space="preserve"> </v>
      </c>
      <c r="U528" s="100"/>
      <c r="V528" s="100" t="str">
        <f t="shared" si="57"/>
        <v xml:space="preserve"> </v>
      </c>
      <c r="W528" s="101">
        <f t="shared" si="59"/>
        <v>24</v>
      </c>
      <c r="X528" s="102">
        <f t="shared" si="60"/>
        <v>0</v>
      </c>
      <c r="Y528" s="100" t="str">
        <f t="shared" si="61"/>
        <v xml:space="preserve"> </v>
      </c>
      <c r="Z528" s="100" t="str">
        <f t="shared" si="62"/>
        <v xml:space="preserve"> </v>
      </c>
    </row>
    <row r="529" spans="1:26">
      <c r="A529" s="100"/>
      <c r="B529" s="108" t="str">
        <f>IFERROR(VLOOKUP(Tablo5[[#This Row],[ÜRÜN KODU]],YMKODLARI!$A$1:$K$363,2,0)," ")</f>
        <v xml:space="preserve"> </v>
      </c>
      <c r="C529" s="99"/>
      <c r="D529" s="100"/>
      <c r="E529" s="101"/>
      <c r="F529" s="101"/>
      <c r="G529" s="100" t="str">
        <f>IFERROR(VLOOKUP(Tablo5[[#This Row],[ÜRÜN KODU]],YMKODLARI!$A$1:$K$363,3,0)," ")</f>
        <v xml:space="preserve"> </v>
      </c>
      <c r="H529" s="100" t="str">
        <f>IFERROR(VLOOKUP(Tablo5[[#This Row],[ÜRÜN KODU]],YMKODLARI!$A$1:$K$363,4,0)," ")</f>
        <v xml:space="preserve"> </v>
      </c>
      <c r="I529" s="100"/>
      <c r="J529" s="100" t="str">
        <f>IFERROR(VLOOKUP(Tablo5[[#This Row],[ÜRÜN KODU]],YMKODLARI!$A$1:$K$363,9,0)," ")</f>
        <v xml:space="preserve"> </v>
      </c>
      <c r="K529" s="100" t="str">
        <f>IFERROR(VLOOKUP(Tablo5[[#This Row],[BOYA KODU]],Tablo14[#All],4,0)," ")</f>
        <v xml:space="preserve"> </v>
      </c>
      <c r="L529" s="100" t="str">
        <f>IFERROR(VLOOKUP(Tablo5[[#This Row],[BOYA KODU]],Tablo14[#All],6,0)," ")</f>
        <v xml:space="preserve"> </v>
      </c>
      <c r="M529" s="100" t="str">
        <f t="shared" si="56"/>
        <v xml:space="preserve"> </v>
      </c>
      <c r="N529" s="100" t="str">
        <f>IFERROR(VLOOKUP(Tablo5[[#This Row],[ÜRÜN KODU]],YMKODLARI!$A$1:$K$363,8,0)," ")</f>
        <v xml:space="preserve"> </v>
      </c>
      <c r="O529" s="100" t="str">
        <f>IFERROR(VLOOKUP(Tablo5[[#This Row],[HAMMADDE KODU]],Tablo1[#All],3,0)," ")</f>
        <v xml:space="preserve"> </v>
      </c>
      <c r="P529" s="100" t="str">
        <f>IFERROR(VLOOKUP(Tablo5[[#This Row],[HAMMADDE KODU]],Tablo1[#All],4,0)," ")</f>
        <v xml:space="preserve"> </v>
      </c>
      <c r="Q529" s="100" t="str">
        <f>IFERROR(VLOOKUP(Tablo5[[#This Row],[ÜRÜN KODU]],YMKODLARI!$A$1:$K$363,5,0)," ")</f>
        <v xml:space="preserve"> </v>
      </c>
      <c r="R529" s="100" t="str">
        <f>IFERROR(VLOOKUP(Tablo5[[#This Row],[ÜRÜN KODU]],YMKODLARI!$A$1:$K$363,6,0)," ")</f>
        <v xml:space="preserve"> </v>
      </c>
      <c r="S529" s="100" t="str">
        <f>IFERROR(Tablo5[[#This Row],[YOLLUK HARİÇ BASKI GRAMI]]/Tablo5[[#This Row],[KALIP GÖZ ADEDİ]]," ")</f>
        <v xml:space="preserve"> </v>
      </c>
      <c r="T529" s="100" t="str">
        <f t="shared" si="58"/>
        <v xml:space="preserve"> </v>
      </c>
      <c r="U529" s="100"/>
      <c r="V529" s="100" t="str">
        <f t="shared" si="57"/>
        <v xml:space="preserve"> </v>
      </c>
      <c r="W529" s="101">
        <f t="shared" si="59"/>
        <v>24</v>
      </c>
      <c r="X529" s="102">
        <f t="shared" si="60"/>
        <v>0</v>
      </c>
      <c r="Y529" s="100" t="str">
        <f t="shared" si="61"/>
        <v xml:space="preserve"> </v>
      </c>
      <c r="Z529" s="100" t="str">
        <f t="shared" si="62"/>
        <v xml:space="preserve"> </v>
      </c>
    </row>
    <row r="530" spans="1:26">
      <c r="A530" s="100"/>
      <c r="B530" s="108" t="str">
        <f>IFERROR(VLOOKUP(Tablo5[[#This Row],[ÜRÜN KODU]],YMKODLARI!$A$1:$K$363,2,0)," ")</f>
        <v xml:space="preserve"> </v>
      </c>
      <c r="C530" s="99"/>
      <c r="D530" s="100"/>
      <c r="E530" s="101"/>
      <c r="F530" s="101"/>
      <c r="G530" s="100" t="str">
        <f>IFERROR(VLOOKUP(Tablo5[[#This Row],[ÜRÜN KODU]],YMKODLARI!$A$1:$K$363,3,0)," ")</f>
        <v xml:space="preserve"> </v>
      </c>
      <c r="H530" s="100" t="str">
        <f>IFERROR(VLOOKUP(Tablo5[[#This Row],[ÜRÜN KODU]],YMKODLARI!$A$1:$K$363,4,0)," ")</f>
        <v xml:space="preserve"> </v>
      </c>
      <c r="I530" s="100"/>
      <c r="J530" s="100" t="str">
        <f>IFERROR(VLOOKUP(Tablo5[[#This Row],[ÜRÜN KODU]],YMKODLARI!$A$1:$K$363,9,0)," ")</f>
        <v xml:space="preserve"> </v>
      </c>
      <c r="K530" s="100" t="str">
        <f>IFERROR(VLOOKUP(Tablo5[[#This Row],[BOYA KODU]],Tablo14[#All],4,0)," ")</f>
        <v xml:space="preserve"> </v>
      </c>
      <c r="L530" s="100" t="str">
        <f>IFERROR(VLOOKUP(Tablo5[[#This Row],[BOYA KODU]],Tablo14[#All],6,0)," ")</f>
        <v xml:space="preserve"> </v>
      </c>
      <c r="M530" s="100" t="str">
        <f t="shared" si="56"/>
        <v xml:space="preserve"> </v>
      </c>
      <c r="N530" s="100" t="str">
        <f>IFERROR(VLOOKUP(Tablo5[[#This Row],[ÜRÜN KODU]],YMKODLARI!$A$1:$K$363,8,0)," ")</f>
        <v xml:space="preserve"> </v>
      </c>
      <c r="O530" s="100" t="str">
        <f>IFERROR(VLOOKUP(Tablo5[[#This Row],[HAMMADDE KODU]],Tablo1[#All],3,0)," ")</f>
        <v xml:space="preserve"> </v>
      </c>
      <c r="P530" s="100" t="str">
        <f>IFERROR(VLOOKUP(Tablo5[[#This Row],[HAMMADDE KODU]],Tablo1[#All],4,0)," ")</f>
        <v xml:space="preserve"> </v>
      </c>
      <c r="Q530" s="100" t="str">
        <f>IFERROR(VLOOKUP(Tablo5[[#This Row],[ÜRÜN KODU]],YMKODLARI!$A$1:$K$363,5,0)," ")</f>
        <v xml:space="preserve"> </v>
      </c>
      <c r="R530" s="100" t="str">
        <f>IFERROR(VLOOKUP(Tablo5[[#This Row],[ÜRÜN KODU]],YMKODLARI!$A$1:$K$363,6,0)," ")</f>
        <v xml:space="preserve"> </v>
      </c>
      <c r="S530" s="100" t="str">
        <f>IFERROR(Tablo5[[#This Row],[YOLLUK HARİÇ BASKI GRAMI]]/Tablo5[[#This Row],[KALIP GÖZ ADEDİ]]," ")</f>
        <v xml:space="preserve"> </v>
      </c>
      <c r="T530" s="100" t="str">
        <f t="shared" si="58"/>
        <v xml:space="preserve"> </v>
      </c>
      <c r="U530" s="100"/>
      <c r="V530" s="100" t="str">
        <f t="shared" si="57"/>
        <v xml:space="preserve"> </v>
      </c>
      <c r="W530" s="101">
        <f t="shared" si="59"/>
        <v>24</v>
      </c>
      <c r="X530" s="102">
        <f t="shared" si="60"/>
        <v>0</v>
      </c>
      <c r="Y530" s="100" t="str">
        <f t="shared" si="61"/>
        <v xml:space="preserve"> </v>
      </c>
      <c r="Z530" s="100" t="str">
        <f t="shared" si="62"/>
        <v xml:space="preserve"> </v>
      </c>
    </row>
    <row r="531" spans="1:26">
      <c r="A531" s="100"/>
      <c r="B531" s="108" t="str">
        <f>IFERROR(VLOOKUP(Tablo5[[#This Row],[ÜRÜN KODU]],YMKODLARI!$A$1:$K$363,2,0)," ")</f>
        <v xml:space="preserve"> </v>
      </c>
      <c r="C531" s="99"/>
      <c r="D531" s="100"/>
      <c r="E531" s="101"/>
      <c r="F531" s="101"/>
      <c r="G531" s="100" t="str">
        <f>IFERROR(VLOOKUP(Tablo5[[#This Row],[ÜRÜN KODU]],YMKODLARI!$A$1:$K$363,3,0)," ")</f>
        <v xml:space="preserve"> </v>
      </c>
      <c r="H531" s="100" t="str">
        <f>IFERROR(VLOOKUP(Tablo5[[#This Row],[ÜRÜN KODU]],YMKODLARI!$A$1:$K$363,4,0)," ")</f>
        <v xml:space="preserve"> </v>
      </c>
      <c r="I531" s="100"/>
      <c r="J531" s="100" t="str">
        <f>IFERROR(VLOOKUP(Tablo5[[#This Row],[ÜRÜN KODU]],YMKODLARI!$A$1:$K$363,9,0)," ")</f>
        <v xml:space="preserve"> </v>
      </c>
      <c r="K531" s="100" t="str">
        <f>IFERROR(VLOOKUP(Tablo5[[#This Row],[BOYA KODU]],Tablo14[#All],4,0)," ")</f>
        <v xml:space="preserve"> </v>
      </c>
      <c r="L531" s="100" t="str">
        <f>IFERROR(VLOOKUP(Tablo5[[#This Row],[BOYA KODU]],Tablo14[#All],6,0)," ")</f>
        <v xml:space="preserve"> </v>
      </c>
      <c r="M531" s="100" t="str">
        <f t="shared" si="56"/>
        <v xml:space="preserve"> </v>
      </c>
      <c r="N531" s="100" t="str">
        <f>IFERROR(VLOOKUP(Tablo5[[#This Row],[ÜRÜN KODU]],YMKODLARI!$A$1:$K$363,8,0)," ")</f>
        <v xml:space="preserve"> </v>
      </c>
      <c r="O531" s="100" t="str">
        <f>IFERROR(VLOOKUP(Tablo5[[#This Row],[HAMMADDE KODU]],Tablo1[#All],3,0)," ")</f>
        <v xml:space="preserve"> </v>
      </c>
      <c r="P531" s="100" t="str">
        <f>IFERROR(VLOOKUP(Tablo5[[#This Row],[HAMMADDE KODU]],Tablo1[#All],4,0)," ")</f>
        <v xml:space="preserve"> </v>
      </c>
      <c r="Q531" s="100" t="str">
        <f>IFERROR(VLOOKUP(Tablo5[[#This Row],[ÜRÜN KODU]],YMKODLARI!$A$1:$K$363,5,0)," ")</f>
        <v xml:space="preserve"> </v>
      </c>
      <c r="R531" s="100" t="str">
        <f>IFERROR(VLOOKUP(Tablo5[[#This Row],[ÜRÜN KODU]],YMKODLARI!$A$1:$K$363,6,0)," ")</f>
        <v xml:space="preserve"> </v>
      </c>
      <c r="S531" s="100" t="str">
        <f>IFERROR(Tablo5[[#This Row],[YOLLUK HARİÇ BASKI GRAMI]]/Tablo5[[#This Row],[KALIP GÖZ ADEDİ]]," ")</f>
        <v xml:space="preserve"> </v>
      </c>
      <c r="T531" s="100" t="str">
        <f t="shared" si="58"/>
        <v xml:space="preserve"> </v>
      </c>
      <c r="U531" s="100"/>
      <c r="V531" s="100" t="str">
        <f t="shared" si="57"/>
        <v xml:space="preserve"> </v>
      </c>
      <c r="W531" s="101">
        <f t="shared" si="59"/>
        <v>24</v>
      </c>
      <c r="X531" s="102">
        <f t="shared" si="60"/>
        <v>0</v>
      </c>
      <c r="Y531" s="100" t="str">
        <f t="shared" si="61"/>
        <v xml:space="preserve"> </v>
      </c>
      <c r="Z531" s="100" t="str">
        <f t="shared" si="62"/>
        <v xml:space="preserve"> </v>
      </c>
    </row>
    <row r="532" spans="1:26">
      <c r="A532" s="100"/>
      <c r="B532" s="108" t="str">
        <f>IFERROR(VLOOKUP(Tablo5[[#This Row],[ÜRÜN KODU]],YMKODLARI!$A$1:$K$363,2,0)," ")</f>
        <v xml:space="preserve"> </v>
      </c>
      <c r="C532" s="99"/>
      <c r="D532" s="100"/>
      <c r="E532" s="101"/>
      <c r="F532" s="101"/>
      <c r="G532" s="100" t="str">
        <f>IFERROR(VLOOKUP(Tablo5[[#This Row],[ÜRÜN KODU]],YMKODLARI!$A$1:$K$363,3,0)," ")</f>
        <v xml:space="preserve"> </v>
      </c>
      <c r="H532" s="100" t="str">
        <f>IFERROR(VLOOKUP(Tablo5[[#This Row],[ÜRÜN KODU]],YMKODLARI!$A$1:$K$363,4,0)," ")</f>
        <v xml:space="preserve"> </v>
      </c>
      <c r="I532" s="100"/>
      <c r="J532" s="100" t="str">
        <f>IFERROR(VLOOKUP(Tablo5[[#This Row],[ÜRÜN KODU]],YMKODLARI!$A$1:$K$363,9,0)," ")</f>
        <v xml:space="preserve"> </v>
      </c>
      <c r="K532" s="100" t="str">
        <f>IFERROR(VLOOKUP(Tablo5[[#This Row],[BOYA KODU]],Tablo14[#All],4,0)," ")</f>
        <v xml:space="preserve"> </v>
      </c>
      <c r="L532" s="100" t="str">
        <f>IFERROR(VLOOKUP(Tablo5[[#This Row],[BOYA KODU]],Tablo14[#All],6,0)," ")</f>
        <v xml:space="preserve"> </v>
      </c>
      <c r="M532" s="100" t="str">
        <f t="shared" si="56"/>
        <v xml:space="preserve"> </v>
      </c>
      <c r="N532" s="100" t="str">
        <f>IFERROR(VLOOKUP(Tablo5[[#This Row],[ÜRÜN KODU]],YMKODLARI!$A$1:$K$363,8,0)," ")</f>
        <v xml:space="preserve"> </v>
      </c>
      <c r="O532" s="100" t="str">
        <f>IFERROR(VLOOKUP(Tablo5[[#This Row],[HAMMADDE KODU]],Tablo1[#All],3,0)," ")</f>
        <v xml:space="preserve"> </v>
      </c>
      <c r="P532" s="100" t="str">
        <f>IFERROR(VLOOKUP(Tablo5[[#This Row],[HAMMADDE KODU]],Tablo1[#All],4,0)," ")</f>
        <v xml:space="preserve"> </v>
      </c>
      <c r="Q532" s="100" t="str">
        <f>IFERROR(VLOOKUP(Tablo5[[#This Row],[ÜRÜN KODU]],YMKODLARI!$A$1:$K$363,5,0)," ")</f>
        <v xml:space="preserve"> </v>
      </c>
      <c r="R532" s="100" t="str">
        <f>IFERROR(VLOOKUP(Tablo5[[#This Row],[ÜRÜN KODU]],YMKODLARI!$A$1:$K$363,6,0)," ")</f>
        <v xml:space="preserve"> </v>
      </c>
      <c r="S532" s="100" t="str">
        <f>IFERROR(Tablo5[[#This Row],[YOLLUK HARİÇ BASKI GRAMI]]/Tablo5[[#This Row],[KALIP GÖZ ADEDİ]]," ")</f>
        <v xml:space="preserve"> </v>
      </c>
      <c r="T532" s="100" t="str">
        <f t="shared" si="58"/>
        <v xml:space="preserve"> </v>
      </c>
      <c r="U532" s="100"/>
      <c r="V532" s="100" t="str">
        <f t="shared" si="57"/>
        <v xml:space="preserve"> </v>
      </c>
      <c r="W532" s="101">
        <f t="shared" si="59"/>
        <v>24</v>
      </c>
      <c r="X532" s="102">
        <f t="shared" si="60"/>
        <v>0</v>
      </c>
      <c r="Y532" s="100" t="str">
        <f t="shared" si="61"/>
        <v xml:space="preserve"> </v>
      </c>
      <c r="Z532" s="100" t="str">
        <f t="shared" si="62"/>
        <v xml:space="preserve"> </v>
      </c>
    </row>
    <row r="533" spans="1:26">
      <c r="A533" s="100"/>
      <c r="B533" s="108" t="str">
        <f>IFERROR(VLOOKUP(Tablo5[[#This Row],[ÜRÜN KODU]],YMKODLARI!$A$1:$K$363,2,0)," ")</f>
        <v xml:space="preserve"> </v>
      </c>
      <c r="C533" s="99"/>
      <c r="D533" s="100"/>
      <c r="E533" s="101"/>
      <c r="F533" s="101"/>
      <c r="G533" s="100" t="str">
        <f>IFERROR(VLOOKUP(Tablo5[[#This Row],[ÜRÜN KODU]],YMKODLARI!$A$1:$K$363,3,0)," ")</f>
        <v xml:space="preserve"> </v>
      </c>
      <c r="H533" s="100" t="str">
        <f>IFERROR(VLOOKUP(Tablo5[[#This Row],[ÜRÜN KODU]],YMKODLARI!$A$1:$K$363,4,0)," ")</f>
        <v xml:space="preserve"> </v>
      </c>
      <c r="I533" s="100"/>
      <c r="J533" s="100" t="str">
        <f>IFERROR(VLOOKUP(Tablo5[[#This Row],[ÜRÜN KODU]],YMKODLARI!$A$1:$K$363,9,0)," ")</f>
        <v xml:space="preserve"> </v>
      </c>
      <c r="K533" s="100" t="str">
        <f>IFERROR(VLOOKUP(Tablo5[[#This Row],[BOYA KODU]],Tablo14[#All],4,0)," ")</f>
        <v xml:space="preserve"> </v>
      </c>
      <c r="L533" s="100" t="str">
        <f>IFERROR(VLOOKUP(Tablo5[[#This Row],[BOYA KODU]],Tablo14[#All],6,0)," ")</f>
        <v xml:space="preserve"> </v>
      </c>
      <c r="M533" s="100" t="str">
        <f t="shared" si="56"/>
        <v xml:space="preserve"> </v>
      </c>
      <c r="N533" s="100" t="str">
        <f>IFERROR(VLOOKUP(Tablo5[[#This Row],[ÜRÜN KODU]],YMKODLARI!$A$1:$K$363,8,0)," ")</f>
        <v xml:space="preserve"> </v>
      </c>
      <c r="O533" s="100" t="str">
        <f>IFERROR(VLOOKUP(Tablo5[[#This Row],[HAMMADDE KODU]],Tablo1[#All],3,0)," ")</f>
        <v xml:space="preserve"> </v>
      </c>
      <c r="P533" s="100" t="str">
        <f>IFERROR(VLOOKUP(Tablo5[[#This Row],[HAMMADDE KODU]],Tablo1[#All],4,0)," ")</f>
        <v xml:space="preserve"> </v>
      </c>
      <c r="Q533" s="100" t="str">
        <f>IFERROR(VLOOKUP(Tablo5[[#This Row],[ÜRÜN KODU]],YMKODLARI!$A$1:$K$363,5,0)," ")</f>
        <v xml:space="preserve"> </v>
      </c>
      <c r="R533" s="100" t="str">
        <f>IFERROR(VLOOKUP(Tablo5[[#This Row],[ÜRÜN KODU]],YMKODLARI!$A$1:$K$363,6,0)," ")</f>
        <v xml:space="preserve"> </v>
      </c>
      <c r="S533" s="100" t="str">
        <f>IFERROR(Tablo5[[#This Row],[YOLLUK HARİÇ BASKI GRAMI]]/Tablo5[[#This Row],[KALIP GÖZ ADEDİ]]," ")</f>
        <v xml:space="preserve"> </v>
      </c>
      <c r="T533" s="100" t="str">
        <f t="shared" si="58"/>
        <v xml:space="preserve"> </v>
      </c>
      <c r="U533" s="100"/>
      <c r="V533" s="100" t="str">
        <f t="shared" si="57"/>
        <v xml:space="preserve"> </v>
      </c>
      <c r="W533" s="101">
        <f t="shared" si="59"/>
        <v>24</v>
      </c>
      <c r="X533" s="102">
        <f t="shared" si="60"/>
        <v>0</v>
      </c>
      <c r="Y533" s="100" t="str">
        <f t="shared" si="61"/>
        <v xml:space="preserve"> </v>
      </c>
      <c r="Z533" s="100" t="str">
        <f t="shared" si="62"/>
        <v xml:space="preserve"> </v>
      </c>
    </row>
    <row r="534" spans="1:26">
      <c r="A534" s="100"/>
      <c r="B534" s="108" t="str">
        <f>IFERROR(VLOOKUP(Tablo5[[#This Row],[ÜRÜN KODU]],YMKODLARI!$A$1:$K$363,2,0)," ")</f>
        <v xml:space="preserve"> </v>
      </c>
      <c r="C534" s="99"/>
      <c r="D534" s="100"/>
      <c r="E534" s="101"/>
      <c r="F534" s="101"/>
      <c r="G534" s="100" t="str">
        <f>IFERROR(VLOOKUP(Tablo5[[#This Row],[ÜRÜN KODU]],YMKODLARI!$A$1:$K$363,3,0)," ")</f>
        <v xml:space="preserve"> </v>
      </c>
      <c r="H534" s="100" t="str">
        <f>IFERROR(VLOOKUP(Tablo5[[#This Row],[ÜRÜN KODU]],YMKODLARI!$A$1:$K$363,4,0)," ")</f>
        <v xml:space="preserve"> </v>
      </c>
      <c r="I534" s="100"/>
      <c r="J534" s="100" t="str">
        <f>IFERROR(VLOOKUP(Tablo5[[#This Row],[ÜRÜN KODU]],YMKODLARI!$A$1:$K$363,9,0)," ")</f>
        <v xml:space="preserve"> </v>
      </c>
      <c r="K534" s="100" t="str">
        <f>IFERROR(VLOOKUP(Tablo5[[#This Row],[BOYA KODU]],Tablo14[#All],4,0)," ")</f>
        <v xml:space="preserve"> </v>
      </c>
      <c r="L534" s="100" t="str">
        <f>IFERROR(VLOOKUP(Tablo5[[#This Row],[BOYA KODU]],Tablo14[#All],6,0)," ")</f>
        <v xml:space="preserve"> </v>
      </c>
      <c r="M534" s="100" t="str">
        <f t="shared" si="56"/>
        <v xml:space="preserve"> </v>
      </c>
      <c r="N534" s="100" t="str">
        <f>IFERROR(VLOOKUP(Tablo5[[#This Row],[ÜRÜN KODU]],YMKODLARI!$A$1:$K$363,8,0)," ")</f>
        <v xml:space="preserve"> </v>
      </c>
      <c r="O534" s="100" t="str">
        <f>IFERROR(VLOOKUP(Tablo5[[#This Row],[HAMMADDE KODU]],Tablo1[#All],3,0)," ")</f>
        <v xml:space="preserve"> </v>
      </c>
      <c r="P534" s="100" t="str">
        <f>IFERROR(VLOOKUP(Tablo5[[#This Row],[HAMMADDE KODU]],Tablo1[#All],4,0)," ")</f>
        <v xml:space="preserve"> </v>
      </c>
      <c r="Q534" s="100" t="str">
        <f>IFERROR(VLOOKUP(Tablo5[[#This Row],[ÜRÜN KODU]],YMKODLARI!$A$1:$K$363,5,0)," ")</f>
        <v xml:space="preserve"> </v>
      </c>
      <c r="R534" s="100" t="str">
        <f>IFERROR(VLOOKUP(Tablo5[[#This Row],[ÜRÜN KODU]],YMKODLARI!$A$1:$K$363,6,0)," ")</f>
        <v xml:space="preserve"> </v>
      </c>
      <c r="S534" s="100" t="str">
        <f>IFERROR(Tablo5[[#This Row],[YOLLUK HARİÇ BASKI GRAMI]]/Tablo5[[#This Row],[KALIP GÖZ ADEDİ]]," ")</f>
        <v xml:space="preserve"> </v>
      </c>
      <c r="T534" s="100" t="str">
        <f t="shared" si="58"/>
        <v xml:space="preserve"> </v>
      </c>
      <c r="U534" s="100"/>
      <c r="V534" s="100" t="str">
        <f t="shared" si="57"/>
        <v xml:space="preserve"> </v>
      </c>
      <c r="W534" s="101">
        <f t="shared" si="59"/>
        <v>24</v>
      </c>
      <c r="X534" s="102">
        <f t="shared" si="60"/>
        <v>0</v>
      </c>
      <c r="Y534" s="100" t="str">
        <f t="shared" si="61"/>
        <v xml:space="preserve"> </v>
      </c>
      <c r="Z534" s="100" t="str">
        <f t="shared" si="62"/>
        <v xml:space="preserve"> </v>
      </c>
    </row>
    <row r="535" spans="1:26">
      <c r="A535" s="100"/>
      <c r="B535" s="108" t="str">
        <f>IFERROR(VLOOKUP(Tablo5[[#This Row],[ÜRÜN KODU]],YMKODLARI!$A$1:$K$363,2,0)," ")</f>
        <v xml:space="preserve"> </v>
      </c>
      <c r="C535" s="99"/>
      <c r="D535" s="100"/>
      <c r="E535" s="101"/>
      <c r="F535" s="101"/>
      <c r="G535" s="100" t="str">
        <f>IFERROR(VLOOKUP(Tablo5[[#This Row],[ÜRÜN KODU]],YMKODLARI!$A$1:$K$363,3,0)," ")</f>
        <v xml:space="preserve"> </v>
      </c>
      <c r="H535" s="100" t="str">
        <f>IFERROR(VLOOKUP(Tablo5[[#This Row],[ÜRÜN KODU]],YMKODLARI!$A$1:$K$363,4,0)," ")</f>
        <v xml:space="preserve"> </v>
      </c>
      <c r="I535" s="100"/>
      <c r="J535" s="100" t="str">
        <f>IFERROR(VLOOKUP(Tablo5[[#This Row],[ÜRÜN KODU]],YMKODLARI!$A$1:$K$363,9,0)," ")</f>
        <v xml:space="preserve"> </v>
      </c>
      <c r="K535" s="100" t="str">
        <f>IFERROR(VLOOKUP(Tablo5[[#This Row],[BOYA KODU]],Tablo14[#All],4,0)," ")</f>
        <v xml:space="preserve"> </v>
      </c>
      <c r="L535" s="100" t="str">
        <f>IFERROR(VLOOKUP(Tablo5[[#This Row],[BOYA KODU]],Tablo14[#All],6,0)," ")</f>
        <v xml:space="preserve"> </v>
      </c>
      <c r="M535" s="100" t="str">
        <f t="shared" si="56"/>
        <v xml:space="preserve"> </v>
      </c>
      <c r="N535" s="100" t="str">
        <f>IFERROR(VLOOKUP(Tablo5[[#This Row],[ÜRÜN KODU]],YMKODLARI!$A$1:$K$363,8,0)," ")</f>
        <v xml:space="preserve"> </v>
      </c>
      <c r="O535" s="100" t="str">
        <f>IFERROR(VLOOKUP(Tablo5[[#This Row],[HAMMADDE KODU]],Tablo1[#All],3,0)," ")</f>
        <v xml:space="preserve"> </v>
      </c>
      <c r="P535" s="100" t="str">
        <f>IFERROR(VLOOKUP(Tablo5[[#This Row],[HAMMADDE KODU]],Tablo1[#All],4,0)," ")</f>
        <v xml:space="preserve"> </v>
      </c>
      <c r="Q535" s="100" t="str">
        <f>IFERROR(VLOOKUP(Tablo5[[#This Row],[ÜRÜN KODU]],YMKODLARI!$A$1:$K$363,5,0)," ")</f>
        <v xml:space="preserve"> </v>
      </c>
      <c r="R535" s="100" t="str">
        <f>IFERROR(VLOOKUP(Tablo5[[#This Row],[ÜRÜN KODU]],YMKODLARI!$A$1:$K$363,6,0)," ")</f>
        <v xml:space="preserve"> </v>
      </c>
      <c r="S535" s="100" t="str">
        <f>IFERROR(Tablo5[[#This Row],[YOLLUK HARİÇ BASKI GRAMI]]/Tablo5[[#This Row],[KALIP GÖZ ADEDİ]]," ")</f>
        <v xml:space="preserve"> </v>
      </c>
      <c r="T535" s="100" t="str">
        <f t="shared" si="58"/>
        <v xml:space="preserve"> </v>
      </c>
      <c r="U535" s="100"/>
      <c r="V535" s="100" t="str">
        <f t="shared" si="57"/>
        <v xml:space="preserve"> </v>
      </c>
      <c r="W535" s="101">
        <f t="shared" si="59"/>
        <v>24</v>
      </c>
      <c r="X535" s="102">
        <f t="shared" si="60"/>
        <v>0</v>
      </c>
      <c r="Y535" s="100" t="str">
        <f t="shared" si="61"/>
        <v xml:space="preserve"> </v>
      </c>
      <c r="Z535" s="100" t="str">
        <f t="shared" si="62"/>
        <v xml:space="preserve"> </v>
      </c>
    </row>
    <row r="536" spans="1:26">
      <c r="A536" s="100"/>
      <c r="B536" s="108" t="str">
        <f>IFERROR(VLOOKUP(Tablo5[[#This Row],[ÜRÜN KODU]],YMKODLARI!$A$1:$K$363,2,0)," ")</f>
        <v xml:space="preserve"> </v>
      </c>
      <c r="C536" s="99"/>
      <c r="D536" s="100"/>
      <c r="E536" s="101"/>
      <c r="F536" s="101"/>
      <c r="G536" s="100" t="str">
        <f>IFERROR(VLOOKUP(Tablo5[[#This Row],[ÜRÜN KODU]],YMKODLARI!$A$1:$K$363,3,0)," ")</f>
        <v xml:space="preserve"> </v>
      </c>
      <c r="H536" s="100" t="str">
        <f>IFERROR(VLOOKUP(Tablo5[[#This Row],[ÜRÜN KODU]],YMKODLARI!$A$1:$K$363,4,0)," ")</f>
        <v xml:space="preserve"> </v>
      </c>
      <c r="I536" s="100"/>
      <c r="J536" s="100" t="str">
        <f>IFERROR(VLOOKUP(Tablo5[[#This Row],[ÜRÜN KODU]],YMKODLARI!$A$1:$K$363,9,0)," ")</f>
        <v xml:space="preserve"> </v>
      </c>
      <c r="K536" s="100" t="str">
        <f>IFERROR(VLOOKUP(Tablo5[[#This Row],[BOYA KODU]],Tablo14[#All],4,0)," ")</f>
        <v xml:space="preserve"> </v>
      </c>
      <c r="L536" s="100" t="str">
        <f>IFERROR(VLOOKUP(Tablo5[[#This Row],[BOYA KODU]],Tablo14[#All],6,0)," ")</f>
        <v xml:space="preserve"> </v>
      </c>
      <c r="M536" s="100" t="str">
        <f t="shared" si="56"/>
        <v xml:space="preserve"> </v>
      </c>
      <c r="N536" s="100" t="str">
        <f>IFERROR(VLOOKUP(Tablo5[[#This Row],[ÜRÜN KODU]],YMKODLARI!$A$1:$K$363,8,0)," ")</f>
        <v xml:space="preserve"> </v>
      </c>
      <c r="O536" s="100" t="str">
        <f>IFERROR(VLOOKUP(Tablo5[[#This Row],[HAMMADDE KODU]],Tablo1[#All],3,0)," ")</f>
        <v xml:space="preserve"> </v>
      </c>
      <c r="P536" s="100" t="str">
        <f>IFERROR(VLOOKUP(Tablo5[[#This Row],[HAMMADDE KODU]],Tablo1[#All],4,0)," ")</f>
        <v xml:space="preserve"> </v>
      </c>
      <c r="Q536" s="100" t="str">
        <f>IFERROR(VLOOKUP(Tablo5[[#This Row],[ÜRÜN KODU]],YMKODLARI!$A$1:$K$363,5,0)," ")</f>
        <v xml:space="preserve"> </v>
      </c>
      <c r="R536" s="100" t="str">
        <f>IFERROR(VLOOKUP(Tablo5[[#This Row],[ÜRÜN KODU]],YMKODLARI!$A$1:$K$363,6,0)," ")</f>
        <v xml:space="preserve"> </v>
      </c>
      <c r="S536" s="100" t="str">
        <f>IFERROR(Tablo5[[#This Row],[YOLLUK HARİÇ BASKI GRAMI]]/Tablo5[[#This Row],[KALIP GÖZ ADEDİ]]," ")</f>
        <v xml:space="preserve"> </v>
      </c>
      <c r="T536" s="100" t="str">
        <f t="shared" si="58"/>
        <v xml:space="preserve"> </v>
      </c>
      <c r="U536" s="100"/>
      <c r="V536" s="100" t="str">
        <f t="shared" si="57"/>
        <v xml:space="preserve"> </v>
      </c>
      <c r="W536" s="101">
        <f t="shared" si="59"/>
        <v>24</v>
      </c>
      <c r="X536" s="102">
        <f t="shared" si="60"/>
        <v>0</v>
      </c>
      <c r="Y536" s="100" t="str">
        <f t="shared" si="61"/>
        <v xml:space="preserve"> </v>
      </c>
      <c r="Z536" s="100" t="str">
        <f t="shared" si="62"/>
        <v xml:space="preserve"> </v>
      </c>
    </row>
    <row r="537" spans="1:26">
      <c r="A537" s="100"/>
      <c r="B537" s="108" t="str">
        <f>IFERROR(VLOOKUP(Tablo5[[#This Row],[ÜRÜN KODU]],YMKODLARI!$A$1:$K$363,2,0)," ")</f>
        <v xml:space="preserve"> </v>
      </c>
      <c r="C537" s="99"/>
      <c r="D537" s="100"/>
      <c r="E537" s="101"/>
      <c r="F537" s="101"/>
      <c r="G537" s="100" t="str">
        <f>IFERROR(VLOOKUP(Tablo5[[#This Row],[ÜRÜN KODU]],YMKODLARI!$A$1:$K$363,3,0)," ")</f>
        <v xml:space="preserve"> </v>
      </c>
      <c r="H537" s="100" t="str">
        <f>IFERROR(VLOOKUP(Tablo5[[#This Row],[ÜRÜN KODU]],YMKODLARI!$A$1:$K$363,4,0)," ")</f>
        <v xml:space="preserve"> </v>
      </c>
      <c r="I537" s="100"/>
      <c r="J537" s="100" t="str">
        <f>IFERROR(VLOOKUP(Tablo5[[#This Row],[ÜRÜN KODU]],YMKODLARI!$A$1:$K$363,9,0)," ")</f>
        <v xml:space="preserve"> </v>
      </c>
      <c r="K537" s="100" t="str">
        <f>IFERROR(VLOOKUP(Tablo5[[#This Row],[BOYA KODU]],Tablo14[#All],4,0)," ")</f>
        <v xml:space="preserve"> </v>
      </c>
      <c r="L537" s="100" t="str">
        <f>IFERROR(VLOOKUP(Tablo5[[#This Row],[BOYA KODU]],Tablo14[#All],6,0)," ")</f>
        <v xml:space="preserve"> </v>
      </c>
      <c r="M537" s="100" t="str">
        <f t="shared" si="56"/>
        <v xml:space="preserve"> </v>
      </c>
      <c r="N537" s="100" t="str">
        <f>IFERROR(VLOOKUP(Tablo5[[#This Row],[ÜRÜN KODU]],YMKODLARI!$A$1:$K$363,8,0)," ")</f>
        <v xml:space="preserve"> </v>
      </c>
      <c r="O537" s="100" t="str">
        <f>IFERROR(VLOOKUP(Tablo5[[#This Row],[HAMMADDE KODU]],Tablo1[#All],3,0)," ")</f>
        <v xml:space="preserve"> </v>
      </c>
      <c r="P537" s="100" t="str">
        <f>IFERROR(VLOOKUP(Tablo5[[#This Row],[HAMMADDE KODU]],Tablo1[#All],4,0)," ")</f>
        <v xml:space="preserve"> </v>
      </c>
      <c r="Q537" s="100" t="str">
        <f>IFERROR(VLOOKUP(Tablo5[[#This Row],[ÜRÜN KODU]],YMKODLARI!$A$1:$K$363,5,0)," ")</f>
        <v xml:space="preserve"> </v>
      </c>
      <c r="R537" s="100" t="str">
        <f>IFERROR(VLOOKUP(Tablo5[[#This Row],[ÜRÜN KODU]],YMKODLARI!$A$1:$K$363,6,0)," ")</f>
        <v xml:space="preserve"> </v>
      </c>
      <c r="S537" s="100" t="str">
        <f>IFERROR(Tablo5[[#This Row],[YOLLUK HARİÇ BASKI GRAMI]]/Tablo5[[#This Row],[KALIP GÖZ ADEDİ]]," ")</f>
        <v xml:space="preserve"> </v>
      </c>
      <c r="T537" s="100" t="str">
        <f t="shared" si="58"/>
        <v xml:space="preserve"> </v>
      </c>
      <c r="U537" s="100"/>
      <c r="V537" s="100" t="str">
        <f t="shared" si="57"/>
        <v xml:space="preserve"> </v>
      </c>
      <c r="W537" s="101">
        <f t="shared" si="59"/>
        <v>24</v>
      </c>
      <c r="X537" s="102">
        <f t="shared" si="60"/>
        <v>0</v>
      </c>
      <c r="Y537" s="100" t="str">
        <f t="shared" si="61"/>
        <v xml:space="preserve"> </v>
      </c>
      <c r="Z537" s="100" t="str">
        <f t="shared" si="62"/>
        <v xml:space="preserve"> </v>
      </c>
    </row>
    <row r="538" spans="1:26">
      <c r="A538" s="100"/>
      <c r="B538" s="108" t="str">
        <f>IFERROR(VLOOKUP(Tablo5[[#This Row],[ÜRÜN KODU]],YMKODLARI!$A$1:$K$363,2,0)," ")</f>
        <v xml:space="preserve"> </v>
      </c>
      <c r="C538" s="99"/>
      <c r="D538" s="100"/>
      <c r="E538" s="101"/>
      <c r="F538" s="101"/>
      <c r="G538" s="100" t="str">
        <f>IFERROR(VLOOKUP(Tablo5[[#This Row],[ÜRÜN KODU]],YMKODLARI!$A$1:$K$363,3,0)," ")</f>
        <v xml:space="preserve"> </v>
      </c>
      <c r="H538" s="100" t="str">
        <f>IFERROR(VLOOKUP(Tablo5[[#This Row],[ÜRÜN KODU]],YMKODLARI!$A$1:$K$363,4,0)," ")</f>
        <v xml:space="preserve"> </v>
      </c>
      <c r="I538" s="100"/>
      <c r="J538" s="100" t="str">
        <f>IFERROR(VLOOKUP(Tablo5[[#This Row],[ÜRÜN KODU]],YMKODLARI!$A$1:$K$363,9,0)," ")</f>
        <v xml:space="preserve"> </v>
      </c>
      <c r="K538" s="100" t="str">
        <f>IFERROR(VLOOKUP(Tablo5[[#This Row],[BOYA KODU]],Tablo14[#All],4,0)," ")</f>
        <v xml:space="preserve"> </v>
      </c>
      <c r="L538" s="100" t="str">
        <f>IFERROR(VLOOKUP(Tablo5[[#This Row],[BOYA KODU]],Tablo14[#All],6,0)," ")</f>
        <v xml:space="preserve"> </v>
      </c>
      <c r="M538" s="100" t="str">
        <f t="shared" si="56"/>
        <v xml:space="preserve"> </v>
      </c>
      <c r="N538" s="100" t="str">
        <f>IFERROR(VLOOKUP(Tablo5[[#This Row],[ÜRÜN KODU]],YMKODLARI!$A$1:$K$363,8,0)," ")</f>
        <v xml:space="preserve"> </v>
      </c>
      <c r="O538" s="100" t="str">
        <f>IFERROR(VLOOKUP(Tablo5[[#This Row],[HAMMADDE KODU]],Tablo1[#All],3,0)," ")</f>
        <v xml:space="preserve"> </v>
      </c>
      <c r="P538" s="100" t="str">
        <f>IFERROR(VLOOKUP(Tablo5[[#This Row],[HAMMADDE KODU]],Tablo1[#All],4,0)," ")</f>
        <v xml:space="preserve"> </v>
      </c>
      <c r="Q538" s="100" t="str">
        <f>IFERROR(VLOOKUP(Tablo5[[#This Row],[ÜRÜN KODU]],YMKODLARI!$A$1:$K$363,5,0)," ")</f>
        <v xml:space="preserve"> </v>
      </c>
      <c r="R538" s="100" t="str">
        <f>IFERROR(VLOOKUP(Tablo5[[#This Row],[ÜRÜN KODU]],YMKODLARI!$A$1:$K$363,6,0)," ")</f>
        <v xml:space="preserve"> </v>
      </c>
      <c r="S538" s="100" t="str">
        <f>IFERROR(Tablo5[[#This Row],[YOLLUK HARİÇ BASKI GRAMI]]/Tablo5[[#This Row],[KALIP GÖZ ADEDİ]]," ")</f>
        <v xml:space="preserve"> </v>
      </c>
      <c r="T538" s="100" t="str">
        <f t="shared" si="58"/>
        <v xml:space="preserve"> </v>
      </c>
      <c r="U538" s="100"/>
      <c r="V538" s="100" t="str">
        <f t="shared" si="57"/>
        <v xml:space="preserve"> </v>
      </c>
      <c r="W538" s="101">
        <f t="shared" si="59"/>
        <v>24</v>
      </c>
      <c r="X538" s="102">
        <f t="shared" si="60"/>
        <v>0</v>
      </c>
      <c r="Y538" s="100" t="str">
        <f t="shared" si="61"/>
        <v xml:space="preserve"> </v>
      </c>
      <c r="Z538" s="100" t="str">
        <f t="shared" si="62"/>
        <v xml:space="preserve"> </v>
      </c>
    </row>
    <row r="539" spans="1:26">
      <c r="A539" s="100"/>
      <c r="B539" s="108" t="str">
        <f>IFERROR(VLOOKUP(Tablo5[[#This Row],[ÜRÜN KODU]],YMKODLARI!$A$1:$K$363,2,0)," ")</f>
        <v xml:space="preserve"> </v>
      </c>
      <c r="C539" s="99"/>
      <c r="D539" s="100"/>
      <c r="E539" s="101"/>
      <c r="F539" s="101"/>
      <c r="G539" s="100" t="str">
        <f>IFERROR(VLOOKUP(Tablo5[[#This Row],[ÜRÜN KODU]],YMKODLARI!$A$1:$K$363,3,0)," ")</f>
        <v xml:space="preserve"> </v>
      </c>
      <c r="H539" s="100" t="str">
        <f>IFERROR(VLOOKUP(Tablo5[[#This Row],[ÜRÜN KODU]],YMKODLARI!$A$1:$K$363,4,0)," ")</f>
        <v xml:space="preserve"> </v>
      </c>
      <c r="I539" s="100"/>
      <c r="J539" s="100" t="str">
        <f>IFERROR(VLOOKUP(Tablo5[[#This Row],[ÜRÜN KODU]],YMKODLARI!$A$1:$K$363,9,0)," ")</f>
        <v xml:space="preserve"> </v>
      </c>
      <c r="K539" s="100" t="str">
        <f>IFERROR(VLOOKUP(Tablo5[[#This Row],[BOYA KODU]],Tablo14[#All],4,0)," ")</f>
        <v xml:space="preserve"> </v>
      </c>
      <c r="L539" s="100" t="str">
        <f>IFERROR(VLOOKUP(Tablo5[[#This Row],[BOYA KODU]],Tablo14[#All],6,0)," ")</f>
        <v xml:space="preserve"> </v>
      </c>
      <c r="M539" s="100" t="str">
        <f t="shared" si="56"/>
        <v xml:space="preserve"> </v>
      </c>
      <c r="N539" s="100" t="str">
        <f>IFERROR(VLOOKUP(Tablo5[[#This Row],[ÜRÜN KODU]],YMKODLARI!$A$1:$K$363,8,0)," ")</f>
        <v xml:space="preserve"> </v>
      </c>
      <c r="O539" s="100" t="str">
        <f>IFERROR(VLOOKUP(Tablo5[[#This Row],[HAMMADDE KODU]],Tablo1[#All],3,0)," ")</f>
        <v xml:space="preserve"> </v>
      </c>
      <c r="P539" s="100" t="str">
        <f>IFERROR(VLOOKUP(Tablo5[[#This Row],[HAMMADDE KODU]],Tablo1[#All],4,0)," ")</f>
        <v xml:space="preserve"> </v>
      </c>
      <c r="Q539" s="100" t="str">
        <f>IFERROR(VLOOKUP(Tablo5[[#This Row],[ÜRÜN KODU]],YMKODLARI!$A$1:$K$363,5,0)," ")</f>
        <v xml:space="preserve"> </v>
      </c>
      <c r="R539" s="100" t="str">
        <f>IFERROR(VLOOKUP(Tablo5[[#This Row],[ÜRÜN KODU]],YMKODLARI!$A$1:$K$363,6,0)," ")</f>
        <v xml:space="preserve"> </v>
      </c>
      <c r="S539" s="100" t="str">
        <f>IFERROR(Tablo5[[#This Row],[YOLLUK HARİÇ BASKI GRAMI]]/Tablo5[[#This Row],[KALIP GÖZ ADEDİ]]," ")</f>
        <v xml:space="preserve"> </v>
      </c>
      <c r="T539" s="100" t="str">
        <f t="shared" si="58"/>
        <v xml:space="preserve"> </v>
      </c>
      <c r="U539" s="100"/>
      <c r="V539" s="100" t="str">
        <f t="shared" si="57"/>
        <v xml:space="preserve"> </v>
      </c>
      <c r="W539" s="101">
        <f t="shared" si="59"/>
        <v>24</v>
      </c>
      <c r="X539" s="102">
        <f t="shared" si="60"/>
        <v>0</v>
      </c>
      <c r="Y539" s="100" t="str">
        <f t="shared" si="61"/>
        <v xml:space="preserve"> </v>
      </c>
      <c r="Z539" s="100" t="str">
        <f t="shared" si="62"/>
        <v xml:space="preserve"> </v>
      </c>
    </row>
    <row r="540" spans="1:26">
      <c r="A540" s="100"/>
      <c r="B540" s="108" t="str">
        <f>IFERROR(VLOOKUP(Tablo5[[#This Row],[ÜRÜN KODU]],YMKODLARI!$A$1:$K$363,2,0)," ")</f>
        <v xml:space="preserve"> </v>
      </c>
      <c r="C540" s="99"/>
      <c r="D540" s="100"/>
      <c r="E540" s="101"/>
      <c r="F540" s="101"/>
      <c r="G540" s="100" t="str">
        <f>IFERROR(VLOOKUP(Tablo5[[#This Row],[ÜRÜN KODU]],YMKODLARI!$A$1:$K$363,3,0)," ")</f>
        <v xml:space="preserve"> </v>
      </c>
      <c r="H540" s="100" t="str">
        <f>IFERROR(VLOOKUP(Tablo5[[#This Row],[ÜRÜN KODU]],YMKODLARI!$A$1:$K$363,4,0)," ")</f>
        <v xml:space="preserve"> </v>
      </c>
      <c r="I540" s="100"/>
      <c r="J540" s="100" t="str">
        <f>IFERROR(VLOOKUP(Tablo5[[#This Row],[ÜRÜN KODU]],YMKODLARI!$A$1:$K$363,9,0)," ")</f>
        <v xml:space="preserve"> </v>
      </c>
      <c r="K540" s="100" t="str">
        <f>IFERROR(VLOOKUP(Tablo5[[#This Row],[BOYA KODU]],Tablo14[#All],4,0)," ")</f>
        <v xml:space="preserve"> </v>
      </c>
      <c r="L540" s="100" t="str">
        <f>IFERROR(VLOOKUP(Tablo5[[#This Row],[BOYA KODU]],Tablo14[#All],6,0)," ")</f>
        <v xml:space="preserve"> </v>
      </c>
      <c r="M540" s="100" t="str">
        <f t="shared" si="56"/>
        <v xml:space="preserve"> </v>
      </c>
      <c r="N540" s="100" t="str">
        <f>IFERROR(VLOOKUP(Tablo5[[#This Row],[ÜRÜN KODU]],YMKODLARI!$A$1:$K$363,8,0)," ")</f>
        <v xml:space="preserve"> </v>
      </c>
      <c r="O540" s="100" t="str">
        <f>IFERROR(VLOOKUP(Tablo5[[#This Row],[HAMMADDE KODU]],Tablo1[#All],3,0)," ")</f>
        <v xml:space="preserve"> </v>
      </c>
      <c r="P540" s="100" t="str">
        <f>IFERROR(VLOOKUP(Tablo5[[#This Row],[HAMMADDE KODU]],Tablo1[#All],4,0)," ")</f>
        <v xml:space="preserve"> </v>
      </c>
      <c r="Q540" s="100" t="str">
        <f>IFERROR(VLOOKUP(Tablo5[[#This Row],[ÜRÜN KODU]],YMKODLARI!$A$1:$K$363,5,0)," ")</f>
        <v xml:space="preserve"> </v>
      </c>
      <c r="R540" s="100" t="str">
        <f>IFERROR(VLOOKUP(Tablo5[[#This Row],[ÜRÜN KODU]],YMKODLARI!$A$1:$K$363,6,0)," ")</f>
        <v xml:space="preserve"> </v>
      </c>
      <c r="S540" s="100" t="str">
        <f>IFERROR(Tablo5[[#This Row],[YOLLUK HARİÇ BASKI GRAMI]]/Tablo5[[#This Row],[KALIP GÖZ ADEDİ]]," ")</f>
        <v xml:space="preserve"> </v>
      </c>
      <c r="T540" s="100" t="str">
        <f t="shared" si="58"/>
        <v xml:space="preserve"> </v>
      </c>
      <c r="U540" s="100"/>
      <c r="V540" s="100" t="str">
        <f t="shared" si="57"/>
        <v xml:space="preserve"> </v>
      </c>
      <c r="W540" s="101">
        <f t="shared" si="59"/>
        <v>24</v>
      </c>
      <c r="X540" s="102">
        <f t="shared" si="60"/>
        <v>0</v>
      </c>
      <c r="Y540" s="100" t="str">
        <f t="shared" si="61"/>
        <v xml:space="preserve"> </v>
      </c>
      <c r="Z540" s="100" t="str">
        <f t="shared" si="62"/>
        <v xml:space="preserve"> </v>
      </c>
    </row>
    <row r="541" spans="1:26">
      <c r="A541" s="100"/>
      <c r="B541" s="108" t="str">
        <f>IFERROR(VLOOKUP(Tablo5[[#This Row],[ÜRÜN KODU]],YMKODLARI!$A$1:$K$363,2,0)," ")</f>
        <v xml:space="preserve"> </v>
      </c>
      <c r="C541" s="99"/>
      <c r="D541" s="100"/>
      <c r="E541" s="101"/>
      <c r="F541" s="101"/>
      <c r="G541" s="100" t="str">
        <f>IFERROR(VLOOKUP(Tablo5[[#This Row],[ÜRÜN KODU]],YMKODLARI!$A$1:$K$363,3,0)," ")</f>
        <v xml:space="preserve"> </v>
      </c>
      <c r="H541" s="100" t="str">
        <f>IFERROR(VLOOKUP(Tablo5[[#This Row],[ÜRÜN KODU]],YMKODLARI!$A$1:$K$363,4,0)," ")</f>
        <v xml:space="preserve"> </v>
      </c>
      <c r="I541" s="100"/>
      <c r="J541" s="100" t="str">
        <f>IFERROR(VLOOKUP(Tablo5[[#This Row],[ÜRÜN KODU]],YMKODLARI!$A$1:$K$363,9,0)," ")</f>
        <v xml:space="preserve"> </v>
      </c>
      <c r="K541" s="100" t="str">
        <f>IFERROR(VLOOKUP(Tablo5[[#This Row],[BOYA KODU]],Tablo14[#All],4,0)," ")</f>
        <v xml:space="preserve"> </v>
      </c>
      <c r="L541" s="100" t="str">
        <f>IFERROR(VLOOKUP(Tablo5[[#This Row],[BOYA KODU]],Tablo14[#All],6,0)," ")</f>
        <v xml:space="preserve"> </v>
      </c>
      <c r="M541" s="100" t="str">
        <f t="shared" si="56"/>
        <v xml:space="preserve"> </v>
      </c>
      <c r="N541" s="100" t="str">
        <f>IFERROR(VLOOKUP(Tablo5[[#This Row],[ÜRÜN KODU]],YMKODLARI!$A$1:$K$363,8,0)," ")</f>
        <v xml:space="preserve"> </v>
      </c>
      <c r="O541" s="100" t="str">
        <f>IFERROR(VLOOKUP(Tablo5[[#This Row],[HAMMADDE KODU]],Tablo1[#All],3,0)," ")</f>
        <v xml:space="preserve"> </v>
      </c>
      <c r="P541" s="100" t="str">
        <f>IFERROR(VLOOKUP(Tablo5[[#This Row],[HAMMADDE KODU]],Tablo1[#All],4,0)," ")</f>
        <v xml:space="preserve"> </v>
      </c>
      <c r="Q541" s="100" t="str">
        <f>IFERROR(VLOOKUP(Tablo5[[#This Row],[ÜRÜN KODU]],YMKODLARI!$A$1:$K$363,5,0)," ")</f>
        <v xml:space="preserve"> </v>
      </c>
      <c r="R541" s="100" t="str">
        <f>IFERROR(VLOOKUP(Tablo5[[#This Row],[ÜRÜN KODU]],YMKODLARI!$A$1:$K$363,6,0)," ")</f>
        <v xml:space="preserve"> </v>
      </c>
      <c r="S541" s="100" t="str">
        <f>IFERROR(Tablo5[[#This Row],[YOLLUK HARİÇ BASKI GRAMI]]/Tablo5[[#This Row],[KALIP GÖZ ADEDİ]]," ")</f>
        <v xml:space="preserve"> </v>
      </c>
      <c r="T541" s="100" t="str">
        <f t="shared" si="58"/>
        <v xml:space="preserve"> </v>
      </c>
      <c r="U541" s="100"/>
      <c r="V541" s="100" t="str">
        <f t="shared" si="57"/>
        <v xml:space="preserve"> </v>
      </c>
      <c r="W541" s="101">
        <f t="shared" si="59"/>
        <v>24</v>
      </c>
      <c r="X541" s="102">
        <f t="shared" si="60"/>
        <v>0</v>
      </c>
      <c r="Y541" s="100" t="str">
        <f t="shared" si="61"/>
        <v xml:space="preserve"> </v>
      </c>
      <c r="Z541" s="100" t="str">
        <f t="shared" si="62"/>
        <v xml:space="preserve"> </v>
      </c>
    </row>
    <row r="542" spans="1:26">
      <c r="A542" s="100"/>
      <c r="B542" s="108" t="str">
        <f>IFERROR(VLOOKUP(Tablo5[[#This Row],[ÜRÜN KODU]],YMKODLARI!$A$1:$K$363,2,0)," ")</f>
        <v xml:space="preserve"> </v>
      </c>
      <c r="C542" s="99"/>
      <c r="D542" s="100"/>
      <c r="E542" s="101"/>
      <c r="F542" s="101"/>
      <c r="G542" s="100" t="str">
        <f>IFERROR(VLOOKUP(Tablo5[[#This Row],[ÜRÜN KODU]],YMKODLARI!$A$1:$K$363,3,0)," ")</f>
        <v xml:space="preserve"> </v>
      </c>
      <c r="H542" s="100" t="str">
        <f>IFERROR(VLOOKUP(Tablo5[[#This Row],[ÜRÜN KODU]],YMKODLARI!$A$1:$K$363,4,0)," ")</f>
        <v xml:space="preserve"> </v>
      </c>
      <c r="I542" s="100"/>
      <c r="J542" s="100" t="str">
        <f>IFERROR(VLOOKUP(Tablo5[[#This Row],[ÜRÜN KODU]],YMKODLARI!$A$1:$K$363,9,0)," ")</f>
        <v xml:space="preserve"> </v>
      </c>
      <c r="K542" s="100" t="str">
        <f>IFERROR(VLOOKUP(Tablo5[[#This Row],[BOYA KODU]],Tablo14[#All],4,0)," ")</f>
        <v xml:space="preserve"> </v>
      </c>
      <c r="L542" s="100" t="str">
        <f>IFERROR(VLOOKUP(Tablo5[[#This Row],[BOYA KODU]],Tablo14[#All],6,0)," ")</f>
        <v xml:space="preserve"> </v>
      </c>
      <c r="M542" s="100" t="str">
        <f t="shared" si="56"/>
        <v xml:space="preserve"> </v>
      </c>
      <c r="N542" s="100" t="str">
        <f>IFERROR(VLOOKUP(Tablo5[[#This Row],[ÜRÜN KODU]],YMKODLARI!$A$1:$K$363,8,0)," ")</f>
        <v xml:space="preserve"> </v>
      </c>
      <c r="O542" s="100" t="str">
        <f>IFERROR(VLOOKUP(Tablo5[[#This Row],[HAMMADDE KODU]],Tablo1[#All],3,0)," ")</f>
        <v xml:space="preserve"> </v>
      </c>
      <c r="P542" s="100" t="str">
        <f>IFERROR(VLOOKUP(Tablo5[[#This Row],[HAMMADDE KODU]],Tablo1[#All],4,0)," ")</f>
        <v xml:space="preserve"> </v>
      </c>
      <c r="Q542" s="100" t="str">
        <f>IFERROR(VLOOKUP(Tablo5[[#This Row],[ÜRÜN KODU]],YMKODLARI!$A$1:$K$363,5,0)," ")</f>
        <v xml:space="preserve"> </v>
      </c>
      <c r="R542" s="100" t="str">
        <f>IFERROR(VLOOKUP(Tablo5[[#This Row],[ÜRÜN KODU]],YMKODLARI!$A$1:$K$363,6,0)," ")</f>
        <v xml:space="preserve"> </v>
      </c>
      <c r="S542" s="100" t="str">
        <f>IFERROR(Tablo5[[#This Row],[YOLLUK HARİÇ BASKI GRAMI]]/Tablo5[[#This Row],[KALIP GÖZ ADEDİ]]," ")</f>
        <v xml:space="preserve"> </v>
      </c>
      <c r="T542" s="100" t="str">
        <f t="shared" si="58"/>
        <v xml:space="preserve"> </v>
      </c>
      <c r="U542" s="100"/>
      <c r="V542" s="100" t="str">
        <f t="shared" si="57"/>
        <v xml:space="preserve"> </v>
      </c>
      <c r="W542" s="101">
        <f t="shared" si="59"/>
        <v>24</v>
      </c>
      <c r="X542" s="102">
        <f t="shared" si="60"/>
        <v>0</v>
      </c>
      <c r="Y542" s="100" t="str">
        <f t="shared" si="61"/>
        <v xml:space="preserve"> </v>
      </c>
      <c r="Z542" s="100" t="str">
        <f t="shared" si="62"/>
        <v xml:space="preserve"> </v>
      </c>
    </row>
    <row r="543" spans="1:26">
      <c r="A543" s="100"/>
      <c r="B543" s="108" t="str">
        <f>IFERROR(VLOOKUP(Tablo5[[#This Row],[ÜRÜN KODU]],YMKODLARI!$A$1:$K$363,2,0)," ")</f>
        <v xml:space="preserve"> </v>
      </c>
      <c r="C543" s="99"/>
      <c r="D543" s="100"/>
      <c r="E543" s="101"/>
      <c r="F543" s="101"/>
      <c r="G543" s="100" t="str">
        <f>IFERROR(VLOOKUP(Tablo5[[#This Row],[ÜRÜN KODU]],YMKODLARI!$A$1:$K$363,3,0)," ")</f>
        <v xml:space="preserve"> </v>
      </c>
      <c r="H543" s="100" t="str">
        <f>IFERROR(VLOOKUP(Tablo5[[#This Row],[ÜRÜN KODU]],YMKODLARI!$A$1:$K$363,4,0)," ")</f>
        <v xml:space="preserve"> </v>
      </c>
      <c r="I543" s="100"/>
      <c r="J543" s="100" t="str">
        <f>IFERROR(VLOOKUP(Tablo5[[#This Row],[ÜRÜN KODU]],YMKODLARI!$A$1:$K$363,9,0)," ")</f>
        <v xml:space="preserve"> </v>
      </c>
      <c r="K543" s="100" t="str">
        <f>IFERROR(VLOOKUP(Tablo5[[#This Row],[BOYA KODU]],Tablo14[#All],4,0)," ")</f>
        <v xml:space="preserve"> </v>
      </c>
      <c r="L543" s="100" t="str">
        <f>IFERROR(VLOOKUP(Tablo5[[#This Row],[BOYA KODU]],Tablo14[#All],6,0)," ")</f>
        <v xml:space="preserve"> </v>
      </c>
      <c r="M543" s="100" t="str">
        <f t="shared" si="56"/>
        <v xml:space="preserve"> </v>
      </c>
      <c r="N543" s="100" t="str">
        <f>IFERROR(VLOOKUP(Tablo5[[#This Row],[ÜRÜN KODU]],YMKODLARI!$A$1:$K$363,8,0)," ")</f>
        <v xml:space="preserve"> </v>
      </c>
      <c r="O543" s="100" t="str">
        <f>IFERROR(VLOOKUP(Tablo5[[#This Row],[HAMMADDE KODU]],Tablo1[#All],3,0)," ")</f>
        <v xml:space="preserve"> </v>
      </c>
      <c r="P543" s="100" t="str">
        <f>IFERROR(VLOOKUP(Tablo5[[#This Row],[HAMMADDE KODU]],Tablo1[#All],4,0)," ")</f>
        <v xml:space="preserve"> </v>
      </c>
      <c r="Q543" s="100" t="str">
        <f>IFERROR(VLOOKUP(Tablo5[[#This Row],[ÜRÜN KODU]],YMKODLARI!$A$1:$K$363,5,0)," ")</f>
        <v xml:space="preserve"> </v>
      </c>
      <c r="R543" s="100" t="str">
        <f>IFERROR(VLOOKUP(Tablo5[[#This Row],[ÜRÜN KODU]],YMKODLARI!$A$1:$K$363,6,0)," ")</f>
        <v xml:space="preserve"> </v>
      </c>
      <c r="S543" s="100" t="str">
        <f>IFERROR(Tablo5[[#This Row],[YOLLUK HARİÇ BASKI GRAMI]]/Tablo5[[#This Row],[KALIP GÖZ ADEDİ]]," ")</f>
        <v xml:space="preserve"> </v>
      </c>
      <c r="T543" s="100" t="str">
        <f t="shared" si="58"/>
        <v xml:space="preserve"> </v>
      </c>
      <c r="U543" s="100"/>
      <c r="V543" s="100" t="str">
        <f t="shared" si="57"/>
        <v xml:space="preserve"> </v>
      </c>
      <c r="W543" s="101">
        <f t="shared" si="59"/>
        <v>24</v>
      </c>
      <c r="X543" s="102">
        <f t="shared" si="60"/>
        <v>0</v>
      </c>
      <c r="Y543" s="100" t="str">
        <f t="shared" si="61"/>
        <v xml:space="preserve"> </v>
      </c>
      <c r="Z543" s="100" t="str">
        <f t="shared" si="62"/>
        <v xml:space="preserve"> </v>
      </c>
    </row>
    <row r="544" spans="1:26">
      <c r="A544" s="100"/>
      <c r="B544" s="108" t="str">
        <f>IFERROR(VLOOKUP(Tablo5[[#This Row],[ÜRÜN KODU]],YMKODLARI!$A$1:$K$363,2,0)," ")</f>
        <v xml:space="preserve"> </v>
      </c>
      <c r="C544" s="99"/>
      <c r="D544" s="100"/>
      <c r="E544" s="101"/>
      <c r="F544" s="101"/>
      <c r="G544" s="100" t="str">
        <f>IFERROR(VLOOKUP(Tablo5[[#This Row],[ÜRÜN KODU]],YMKODLARI!$A$1:$K$363,3,0)," ")</f>
        <v xml:space="preserve"> </v>
      </c>
      <c r="H544" s="100" t="str">
        <f>IFERROR(VLOOKUP(Tablo5[[#This Row],[ÜRÜN KODU]],YMKODLARI!$A$1:$K$363,4,0)," ")</f>
        <v xml:space="preserve"> </v>
      </c>
      <c r="I544" s="100"/>
      <c r="J544" s="100" t="str">
        <f>IFERROR(VLOOKUP(Tablo5[[#This Row],[ÜRÜN KODU]],YMKODLARI!$A$1:$K$363,9,0)," ")</f>
        <v xml:space="preserve"> </v>
      </c>
      <c r="K544" s="100" t="str">
        <f>IFERROR(VLOOKUP(Tablo5[[#This Row],[BOYA KODU]],Tablo14[#All],4,0)," ")</f>
        <v xml:space="preserve"> </v>
      </c>
      <c r="L544" s="100" t="str">
        <f>IFERROR(VLOOKUP(Tablo5[[#This Row],[BOYA KODU]],Tablo14[#All],6,0)," ")</f>
        <v xml:space="preserve"> </v>
      </c>
      <c r="M544" s="100" t="str">
        <f t="shared" si="56"/>
        <v xml:space="preserve"> </v>
      </c>
      <c r="N544" s="100" t="str">
        <f>IFERROR(VLOOKUP(Tablo5[[#This Row],[ÜRÜN KODU]],YMKODLARI!$A$1:$K$363,8,0)," ")</f>
        <v xml:space="preserve"> </v>
      </c>
      <c r="O544" s="100" t="str">
        <f>IFERROR(VLOOKUP(Tablo5[[#This Row],[HAMMADDE KODU]],Tablo1[#All],3,0)," ")</f>
        <v xml:space="preserve"> </v>
      </c>
      <c r="P544" s="100" t="str">
        <f>IFERROR(VLOOKUP(Tablo5[[#This Row],[HAMMADDE KODU]],Tablo1[#All],4,0)," ")</f>
        <v xml:space="preserve"> </v>
      </c>
      <c r="Q544" s="100" t="str">
        <f>IFERROR(VLOOKUP(Tablo5[[#This Row],[ÜRÜN KODU]],YMKODLARI!$A$1:$K$363,5,0)," ")</f>
        <v xml:space="preserve"> </v>
      </c>
      <c r="R544" s="100" t="str">
        <f>IFERROR(VLOOKUP(Tablo5[[#This Row],[ÜRÜN KODU]],YMKODLARI!$A$1:$K$363,6,0)," ")</f>
        <v xml:space="preserve"> </v>
      </c>
      <c r="S544" s="100" t="str">
        <f>IFERROR(Tablo5[[#This Row],[YOLLUK HARİÇ BASKI GRAMI]]/Tablo5[[#This Row],[KALIP GÖZ ADEDİ]]," ")</f>
        <v xml:space="preserve"> </v>
      </c>
      <c r="T544" s="100" t="str">
        <f t="shared" si="58"/>
        <v xml:space="preserve"> </v>
      </c>
      <c r="U544" s="100"/>
      <c r="V544" s="100" t="str">
        <f t="shared" si="57"/>
        <v xml:space="preserve"> </v>
      </c>
      <c r="W544" s="101">
        <f t="shared" si="59"/>
        <v>24</v>
      </c>
      <c r="X544" s="102">
        <f t="shared" si="60"/>
        <v>0</v>
      </c>
      <c r="Y544" s="100" t="str">
        <f t="shared" si="61"/>
        <v xml:space="preserve"> </v>
      </c>
      <c r="Z544" s="100" t="str">
        <f t="shared" si="62"/>
        <v xml:space="preserve"> </v>
      </c>
    </row>
    <row r="545" spans="1:26">
      <c r="A545" s="100"/>
      <c r="B545" s="108" t="str">
        <f>IFERROR(VLOOKUP(Tablo5[[#This Row],[ÜRÜN KODU]],YMKODLARI!$A$1:$K$363,2,0)," ")</f>
        <v xml:space="preserve"> </v>
      </c>
      <c r="C545" s="99"/>
      <c r="D545" s="100"/>
      <c r="E545" s="101"/>
      <c r="F545" s="101"/>
      <c r="G545" s="100" t="str">
        <f>IFERROR(VLOOKUP(Tablo5[[#This Row],[ÜRÜN KODU]],YMKODLARI!$A$1:$K$363,3,0)," ")</f>
        <v xml:space="preserve"> </v>
      </c>
      <c r="H545" s="100" t="str">
        <f>IFERROR(VLOOKUP(Tablo5[[#This Row],[ÜRÜN KODU]],YMKODLARI!$A$1:$K$363,4,0)," ")</f>
        <v xml:space="preserve"> </v>
      </c>
      <c r="I545" s="100"/>
      <c r="J545" s="100" t="str">
        <f>IFERROR(VLOOKUP(Tablo5[[#This Row],[ÜRÜN KODU]],YMKODLARI!$A$1:$K$363,9,0)," ")</f>
        <v xml:space="preserve"> </v>
      </c>
      <c r="K545" s="100" t="str">
        <f>IFERROR(VLOOKUP(Tablo5[[#This Row],[BOYA KODU]],Tablo14[#All],4,0)," ")</f>
        <v xml:space="preserve"> </v>
      </c>
      <c r="L545" s="100" t="str">
        <f>IFERROR(VLOOKUP(Tablo5[[#This Row],[BOYA KODU]],Tablo14[#All],6,0)," ")</f>
        <v xml:space="preserve"> </v>
      </c>
      <c r="M545" s="100" t="str">
        <f t="shared" si="56"/>
        <v xml:space="preserve"> </v>
      </c>
      <c r="N545" s="100" t="str">
        <f>IFERROR(VLOOKUP(Tablo5[[#This Row],[ÜRÜN KODU]],YMKODLARI!$A$1:$K$363,8,0)," ")</f>
        <v xml:space="preserve"> </v>
      </c>
      <c r="O545" s="100" t="str">
        <f>IFERROR(VLOOKUP(Tablo5[[#This Row],[HAMMADDE KODU]],Tablo1[#All],3,0)," ")</f>
        <v xml:space="preserve"> </v>
      </c>
      <c r="P545" s="100" t="str">
        <f>IFERROR(VLOOKUP(Tablo5[[#This Row],[HAMMADDE KODU]],Tablo1[#All],4,0)," ")</f>
        <v xml:space="preserve"> </v>
      </c>
      <c r="Q545" s="100" t="str">
        <f>IFERROR(VLOOKUP(Tablo5[[#This Row],[ÜRÜN KODU]],YMKODLARI!$A$1:$K$363,5,0)," ")</f>
        <v xml:space="preserve"> </v>
      </c>
      <c r="R545" s="100" t="str">
        <f>IFERROR(VLOOKUP(Tablo5[[#This Row],[ÜRÜN KODU]],YMKODLARI!$A$1:$K$363,6,0)," ")</f>
        <v xml:space="preserve"> </v>
      </c>
      <c r="S545" s="100" t="str">
        <f>IFERROR(Tablo5[[#This Row],[YOLLUK HARİÇ BASKI GRAMI]]/Tablo5[[#This Row],[KALIP GÖZ ADEDİ]]," ")</f>
        <v xml:space="preserve"> </v>
      </c>
      <c r="T545" s="100" t="str">
        <f t="shared" si="58"/>
        <v xml:space="preserve"> </v>
      </c>
      <c r="U545" s="100"/>
      <c r="V545" s="100" t="str">
        <f t="shared" si="57"/>
        <v xml:space="preserve"> </v>
      </c>
      <c r="W545" s="101">
        <f t="shared" si="59"/>
        <v>24</v>
      </c>
      <c r="X545" s="102">
        <f t="shared" si="60"/>
        <v>0</v>
      </c>
      <c r="Y545" s="100" t="str">
        <f t="shared" si="61"/>
        <v xml:space="preserve"> </v>
      </c>
      <c r="Z545" s="100" t="str">
        <f t="shared" si="62"/>
        <v xml:space="preserve"> </v>
      </c>
    </row>
    <row r="546" spans="1:26">
      <c r="A546" s="100"/>
      <c r="B546" s="108" t="str">
        <f>IFERROR(VLOOKUP(Tablo5[[#This Row],[ÜRÜN KODU]],YMKODLARI!$A$1:$K$363,2,0)," ")</f>
        <v xml:space="preserve"> </v>
      </c>
      <c r="C546" s="99"/>
      <c r="D546" s="100"/>
      <c r="E546" s="101"/>
      <c r="F546" s="101"/>
      <c r="G546" s="100" t="str">
        <f>IFERROR(VLOOKUP(Tablo5[[#This Row],[ÜRÜN KODU]],YMKODLARI!$A$1:$K$363,3,0)," ")</f>
        <v xml:space="preserve"> </v>
      </c>
      <c r="H546" s="100" t="str">
        <f>IFERROR(VLOOKUP(Tablo5[[#This Row],[ÜRÜN KODU]],YMKODLARI!$A$1:$K$363,4,0)," ")</f>
        <v xml:space="preserve"> </v>
      </c>
      <c r="I546" s="100"/>
      <c r="J546" s="100" t="str">
        <f>IFERROR(VLOOKUP(Tablo5[[#This Row],[ÜRÜN KODU]],YMKODLARI!$A$1:$K$363,9,0)," ")</f>
        <v xml:space="preserve"> </v>
      </c>
      <c r="K546" s="100" t="str">
        <f>IFERROR(VLOOKUP(Tablo5[[#This Row],[BOYA KODU]],Tablo14[#All],4,0)," ")</f>
        <v xml:space="preserve"> </v>
      </c>
      <c r="L546" s="100" t="str">
        <f>IFERROR(VLOOKUP(Tablo5[[#This Row],[BOYA KODU]],Tablo14[#All],6,0)," ")</f>
        <v xml:space="preserve"> </v>
      </c>
      <c r="M546" s="100" t="str">
        <f t="shared" si="56"/>
        <v xml:space="preserve"> </v>
      </c>
      <c r="N546" s="100" t="str">
        <f>IFERROR(VLOOKUP(Tablo5[[#This Row],[ÜRÜN KODU]],YMKODLARI!$A$1:$K$363,8,0)," ")</f>
        <v xml:space="preserve"> </v>
      </c>
      <c r="O546" s="100" t="str">
        <f>IFERROR(VLOOKUP(Tablo5[[#This Row],[HAMMADDE KODU]],Tablo1[#All],3,0)," ")</f>
        <v xml:space="preserve"> </v>
      </c>
      <c r="P546" s="100" t="str">
        <f>IFERROR(VLOOKUP(Tablo5[[#This Row],[HAMMADDE KODU]],Tablo1[#All],4,0)," ")</f>
        <v xml:space="preserve"> </v>
      </c>
      <c r="Q546" s="100" t="str">
        <f>IFERROR(VLOOKUP(Tablo5[[#This Row],[ÜRÜN KODU]],YMKODLARI!$A$1:$K$363,5,0)," ")</f>
        <v xml:space="preserve"> </v>
      </c>
      <c r="R546" s="100" t="str">
        <f>IFERROR(VLOOKUP(Tablo5[[#This Row],[ÜRÜN KODU]],YMKODLARI!$A$1:$K$363,6,0)," ")</f>
        <v xml:space="preserve"> </v>
      </c>
      <c r="S546" s="100" t="str">
        <f>IFERROR(Tablo5[[#This Row],[YOLLUK HARİÇ BASKI GRAMI]]/Tablo5[[#This Row],[KALIP GÖZ ADEDİ]]," ")</f>
        <v xml:space="preserve"> </v>
      </c>
      <c r="T546" s="100" t="str">
        <f t="shared" si="58"/>
        <v xml:space="preserve"> </v>
      </c>
      <c r="U546" s="100"/>
      <c r="V546" s="100" t="str">
        <f t="shared" si="57"/>
        <v xml:space="preserve"> </v>
      </c>
      <c r="W546" s="101">
        <f t="shared" si="59"/>
        <v>24</v>
      </c>
      <c r="X546" s="102">
        <f t="shared" si="60"/>
        <v>0</v>
      </c>
      <c r="Y546" s="100" t="str">
        <f t="shared" si="61"/>
        <v xml:space="preserve"> </v>
      </c>
      <c r="Z546" s="100" t="str">
        <f t="shared" si="62"/>
        <v xml:space="preserve"> </v>
      </c>
    </row>
    <row r="547" spans="1:26">
      <c r="A547" s="100"/>
      <c r="B547" s="108" t="str">
        <f>IFERROR(VLOOKUP(Tablo5[[#This Row],[ÜRÜN KODU]],YMKODLARI!$A$1:$K$363,2,0)," ")</f>
        <v xml:space="preserve"> </v>
      </c>
      <c r="C547" s="99"/>
      <c r="D547" s="100"/>
      <c r="E547" s="101"/>
      <c r="F547" s="101"/>
      <c r="G547" s="100" t="str">
        <f>IFERROR(VLOOKUP(Tablo5[[#This Row],[ÜRÜN KODU]],YMKODLARI!$A$1:$K$363,3,0)," ")</f>
        <v xml:space="preserve"> </v>
      </c>
      <c r="H547" s="100" t="str">
        <f>IFERROR(VLOOKUP(Tablo5[[#This Row],[ÜRÜN KODU]],YMKODLARI!$A$1:$K$363,4,0)," ")</f>
        <v xml:space="preserve"> </v>
      </c>
      <c r="I547" s="100"/>
      <c r="J547" s="100" t="str">
        <f>IFERROR(VLOOKUP(Tablo5[[#This Row],[ÜRÜN KODU]],YMKODLARI!$A$1:$K$363,9,0)," ")</f>
        <v xml:space="preserve"> </v>
      </c>
      <c r="K547" s="100" t="str">
        <f>IFERROR(VLOOKUP(Tablo5[[#This Row],[BOYA KODU]],Tablo14[#All],4,0)," ")</f>
        <v xml:space="preserve"> </v>
      </c>
      <c r="L547" s="100" t="str">
        <f>IFERROR(VLOOKUP(Tablo5[[#This Row],[BOYA KODU]],Tablo14[#All],6,0)," ")</f>
        <v xml:space="preserve"> </v>
      </c>
      <c r="M547" s="100" t="str">
        <f t="shared" si="56"/>
        <v xml:space="preserve"> </v>
      </c>
      <c r="N547" s="100" t="str">
        <f>IFERROR(VLOOKUP(Tablo5[[#This Row],[ÜRÜN KODU]],YMKODLARI!$A$1:$K$363,8,0)," ")</f>
        <v xml:space="preserve"> </v>
      </c>
      <c r="O547" s="100" t="str">
        <f>IFERROR(VLOOKUP(Tablo5[[#This Row],[HAMMADDE KODU]],Tablo1[#All],3,0)," ")</f>
        <v xml:space="preserve"> </v>
      </c>
      <c r="P547" s="100" t="str">
        <f>IFERROR(VLOOKUP(Tablo5[[#This Row],[HAMMADDE KODU]],Tablo1[#All],4,0)," ")</f>
        <v xml:space="preserve"> </v>
      </c>
      <c r="Q547" s="100" t="str">
        <f>IFERROR(VLOOKUP(Tablo5[[#This Row],[ÜRÜN KODU]],YMKODLARI!$A$1:$K$363,5,0)," ")</f>
        <v xml:space="preserve"> </v>
      </c>
      <c r="R547" s="100" t="str">
        <f>IFERROR(VLOOKUP(Tablo5[[#This Row],[ÜRÜN KODU]],YMKODLARI!$A$1:$K$363,6,0)," ")</f>
        <v xml:space="preserve"> </v>
      </c>
      <c r="S547" s="100" t="str">
        <f>IFERROR(Tablo5[[#This Row],[YOLLUK HARİÇ BASKI GRAMI]]/Tablo5[[#This Row],[KALIP GÖZ ADEDİ]]," ")</f>
        <v xml:space="preserve"> </v>
      </c>
      <c r="T547" s="100" t="str">
        <f t="shared" si="58"/>
        <v xml:space="preserve"> </v>
      </c>
      <c r="U547" s="100"/>
      <c r="V547" s="100" t="str">
        <f t="shared" si="57"/>
        <v xml:space="preserve"> </v>
      </c>
      <c r="W547" s="101">
        <f t="shared" si="59"/>
        <v>24</v>
      </c>
      <c r="X547" s="102">
        <f t="shared" si="60"/>
        <v>0</v>
      </c>
      <c r="Y547" s="100" t="str">
        <f t="shared" si="61"/>
        <v xml:space="preserve"> </v>
      </c>
      <c r="Z547" s="100" t="str">
        <f t="shared" si="62"/>
        <v xml:space="preserve"> </v>
      </c>
    </row>
    <row r="548" spans="1:26">
      <c r="A548" s="100"/>
      <c r="B548" s="108" t="str">
        <f>IFERROR(VLOOKUP(Tablo5[[#This Row],[ÜRÜN KODU]],YMKODLARI!$A$1:$K$363,2,0)," ")</f>
        <v xml:space="preserve"> </v>
      </c>
      <c r="C548" s="99"/>
      <c r="D548" s="100"/>
      <c r="E548" s="101"/>
      <c r="F548" s="101"/>
      <c r="G548" s="100" t="str">
        <f>IFERROR(VLOOKUP(Tablo5[[#This Row],[ÜRÜN KODU]],YMKODLARI!$A$1:$K$363,3,0)," ")</f>
        <v xml:space="preserve"> </v>
      </c>
      <c r="H548" s="100" t="str">
        <f>IFERROR(VLOOKUP(Tablo5[[#This Row],[ÜRÜN KODU]],YMKODLARI!$A$1:$K$363,4,0)," ")</f>
        <v xml:space="preserve"> </v>
      </c>
      <c r="I548" s="100"/>
      <c r="J548" s="100" t="str">
        <f>IFERROR(VLOOKUP(Tablo5[[#This Row],[ÜRÜN KODU]],YMKODLARI!$A$1:$K$363,9,0)," ")</f>
        <v xml:space="preserve"> </v>
      </c>
      <c r="K548" s="100" t="str">
        <f>IFERROR(VLOOKUP(Tablo5[[#This Row],[BOYA KODU]],Tablo14[#All],4,0)," ")</f>
        <v xml:space="preserve"> </v>
      </c>
      <c r="L548" s="100" t="str">
        <f>IFERROR(VLOOKUP(Tablo5[[#This Row],[BOYA KODU]],Tablo14[#All],6,0)," ")</f>
        <v xml:space="preserve"> </v>
      </c>
      <c r="M548" s="100" t="str">
        <f t="shared" si="56"/>
        <v xml:space="preserve"> </v>
      </c>
      <c r="N548" s="100" t="str">
        <f>IFERROR(VLOOKUP(Tablo5[[#This Row],[ÜRÜN KODU]],YMKODLARI!$A$1:$K$363,8,0)," ")</f>
        <v xml:space="preserve"> </v>
      </c>
      <c r="O548" s="100" t="str">
        <f>IFERROR(VLOOKUP(Tablo5[[#This Row],[HAMMADDE KODU]],Tablo1[#All],3,0)," ")</f>
        <v xml:space="preserve"> </v>
      </c>
      <c r="P548" s="100" t="str">
        <f>IFERROR(VLOOKUP(Tablo5[[#This Row],[HAMMADDE KODU]],Tablo1[#All],4,0)," ")</f>
        <v xml:space="preserve"> </v>
      </c>
      <c r="Q548" s="100" t="str">
        <f>IFERROR(VLOOKUP(Tablo5[[#This Row],[ÜRÜN KODU]],YMKODLARI!$A$1:$K$363,5,0)," ")</f>
        <v xml:space="preserve"> </v>
      </c>
      <c r="R548" s="100" t="str">
        <f>IFERROR(VLOOKUP(Tablo5[[#This Row],[ÜRÜN KODU]],YMKODLARI!$A$1:$K$363,6,0)," ")</f>
        <v xml:space="preserve"> </v>
      </c>
      <c r="S548" s="100" t="str">
        <f>IFERROR(Tablo5[[#This Row],[YOLLUK HARİÇ BASKI GRAMI]]/Tablo5[[#This Row],[KALIP GÖZ ADEDİ]]," ")</f>
        <v xml:space="preserve"> </v>
      </c>
      <c r="T548" s="100" t="str">
        <f t="shared" si="58"/>
        <v xml:space="preserve"> </v>
      </c>
      <c r="U548" s="100"/>
      <c r="V548" s="100" t="str">
        <f t="shared" si="57"/>
        <v xml:space="preserve"> </v>
      </c>
      <c r="W548" s="101">
        <f t="shared" si="59"/>
        <v>24</v>
      </c>
      <c r="X548" s="102">
        <f t="shared" si="60"/>
        <v>0</v>
      </c>
      <c r="Y548" s="100" t="str">
        <f t="shared" si="61"/>
        <v xml:space="preserve"> </v>
      </c>
      <c r="Z548" s="100" t="str">
        <f t="shared" si="62"/>
        <v xml:space="preserve"> </v>
      </c>
    </row>
    <row r="549" spans="1:26">
      <c r="A549" s="100"/>
      <c r="B549" s="108" t="str">
        <f>IFERROR(VLOOKUP(Tablo5[[#This Row],[ÜRÜN KODU]],YMKODLARI!$A$1:$K$363,2,0)," ")</f>
        <v xml:space="preserve"> </v>
      </c>
      <c r="C549" s="99"/>
      <c r="D549" s="100"/>
      <c r="E549" s="101"/>
      <c r="F549" s="101"/>
      <c r="G549" s="100" t="str">
        <f>IFERROR(VLOOKUP(Tablo5[[#This Row],[ÜRÜN KODU]],YMKODLARI!$A$1:$K$363,3,0)," ")</f>
        <v xml:space="preserve"> </v>
      </c>
      <c r="H549" s="100" t="str">
        <f>IFERROR(VLOOKUP(Tablo5[[#This Row],[ÜRÜN KODU]],YMKODLARI!$A$1:$K$363,4,0)," ")</f>
        <v xml:space="preserve"> </v>
      </c>
      <c r="I549" s="100"/>
      <c r="J549" s="100" t="str">
        <f>IFERROR(VLOOKUP(Tablo5[[#This Row],[ÜRÜN KODU]],YMKODLARI!$A$1:$K$363,9,0)," ")</f>
        <v xml:space="preserve"> </v>
      </c>
      <c r="K549" s="100" t="str">
        <f>IFERROR(VLOOKUP(Tablo5[[#This Row],[BOYA KODU]],Tablo14[#All],4,0)," ")</f>
        <v xml:space="preserve"> </v>
      </c>
      <c r="L549" s="100" t="str">
        <f>IFERROR(VLOOKUP(Tablo5[[#This Row],[BOYA KODU]],Tablo14[#All],6,0)," ")</f>
        <v xml:space="preserve"> </v>
      </c>
      <c r="M549" s="100" t="str">
        <f t="shared" si="56"/>
        <v xml:space="preserve"> </v>
      </c>
      <c r="N549" s="100" t="str">
        <f>IFERROR(VLOOKUP(Tablo5[[#This Row],[ÜRÜN KODU]],YMKODLARI!$A$1:$K$363,8,0)," ")</f>
        <v xml:space="preserve"> </v>
      </c>
      <c r="O549" s="100" t="str">
        <f>IFERROR(VLOOKUP(Tablo5[[#This Row],[HAMMADDE KODU]],Tablo1[#All],3,0)," ")</f>
        <v xml:space="preserve"> </v>
      </c>
      <c r="P549" s="100" t="str">
        <f>IFERROR(VLOOKUP(Tablo5[[#This Row],[HAMMADDE KODU]],Tablo1[#All],4,0)," ")</f>
        <v xml:space="preserve"> </v>
      </c>
      <c r="Q549" s="100" t="str">
        <f>IFERROR(VLOOKUP(Tablo5[[#This Row],[ÜRÜN KODU]],YMKODLARI!$A$1:$K$363,5,0)," ")</f>
        <v xml:space="preserve"> </v>
      </c>
      <c r="R549" s="100" t="str">
        <f>IFERROR(VLOOKUP(Tablo5[[#This Row],[ÜRÜN KODU]],YMKODLARI!$A$1:$K$363,6,0)," ")</f>
        <v xml:space="preserve"> </v>
      </c>
      <c r="S549" s="100" t="str">
        <f>IFERROR(Tablo5[[#This Row],[YOLLUK HARİÇ BASKI GRAMI]]/Tablo5[[#This Row],[KALIP GÖZ ADEDİ]]," ")</f>
        <v xml:space="preserve"> </v>
      </c>
      <c r="T549" s="100" t="str">
        <f t="shared" si="58"/>
        <v xml:space="preserve"> </v>
      </c>
      <c r="U549" s="100"/>
      <c r="V549" s="100" t="str">
        <f t="shared" si="57"/>
        <v xml:space="preserve"> </v>
      </c>
      <c r="W549" s="101">
        <f t="shared" si="59"/>
        <v>24</v>
      </c>
      <c r="X549" s="102">
        <f t="shared" si="60"/>
        <v>0</v>
      </c>
      <c r="Y549" s="100" t="str">
        <f t="shared" si="61"/>
        <v xml:space="preserve"> </v>
      </c>
      <c r="Z549" s="100" t="str">
        <f t="shared" si="62"/>
        <v xml:space="preserve"> </v>
      </c>
    </row>
    <row r="550" spans="1:26">
      <c r="A550" s="100"/>
      <c r="B550" s="108" t="str">
        <f>IFERROR(VLOOKUP(Tablo5[[#This Row],[ÜRÜN KODU]],YMKODLARI!$A$1:$K$363,2,0)," ")</f>
        <v xml:space="preserve"> </v>
      </c>
      <c r="C550" s="99"/>
      <c r="D550" s="100"/>
      <c r="E550" s="101"/>
      <c r="F550" s="101"/>
      <c r="G550" s="100" t="str">
        <f>IFERROR(VLOOKUP(Tablo5[[#This Row],[ÜRÜN KODU]],YMKODLARI!$A$1:$K$363,3,0)," ")</f>
        <v xml:space="preserve"> </v>
      </c>
      <c r="H550" s="100" t="str">
        <f>IFERROR(VLOOKUP(Tablo5[[#This Row],[ÜRÜN KODU]],YMKODLARI!$A$1:$K$363,4,0)," ")</f>
        <v xml:space="preserve"> </v>
      </c>
      <c r="I550" s="100"/>
      <c r="J550" s="100" t="str">
        <f>IFERROR(VLOOKUP(Tablo5[[#This Row],[ÜRÜN KODU]],YMKODLARI!$A$1:$K$363,9,0)," ")</f>
        <v xml:space="preserve"> </v>
      </c>
      <c r="K550" s="100" t="str">
        <f>IFERROR(VLOOKUP(Tablo5[[#This Row],[BOYA KODU]],Tablo14[#All],4,0)," ")</f>
        <v xml:space="preserve"> </v>
      </c>
      <c r="L550" s="100" t="str">
        <f>IFERROR(VLOOKUP(Tablo5[[#This Row],[BOYA KODU]],Tablo14[#All],6,0)," ")</f>
        <v xml:space="preserve"> </v>
      </c>
      <c r="M550" s="100" t="str">
        <f t="shared" si="56"/>
        <v xml:space="preserve"> </v>
      </c>
      <c r="N550" s="100" t="str">
        <f>IFERROR(VLOOKUP(Tablo5[[#This Row],[ÜRÜN KODU]],YMKODLARI!$A$1:$K$363,8,0)," ")</f>
        <v xml:space="preserve"> </v>
      </c>
      <c r="O550" s="100" t="str">
        <f>IFERROR(VLOOKUP(Tablo5[[#This Row],[HAMMADDE KODU]],Tablo1[#All],3,0)," ")</f>
        <v xml:space="preserve"> </v>
      </c>
      <c r="P550" s="100" t="str">
        <f>IFERROR(VLOOKUP(Tablo5[[#This Row],[HAMMADDE KODU]],Tablo1[#All],4,0)," ")</f>
        <v xml:space="preserve"> </v>
      </c>
      <c r="Q550" s="100" t="str">
        <f>IFERROR(VLOOKUP(Tablo5[[#This Row],[ÜRÜN KODU]],YMKODLARI!$A$1:$K$363,5,0)," ")</f>
        <v xml:space="preserve"> </v>
      </c>
      <c r="R550" s="100" t="str">
        <f>IFERROR(VLOOKUP(Tablo5[[#This Row],[ÜRÜN KODU]],YMKODLARI!$A$1:$K$363,6,0)," ")</f>
        <v xml:space="preserve"> </v>
      </c>
      <c r="S550" s="100" t="str">
        <f>IFERROR(Tablo5[[#This Row],[YOLLUK HARİÇ BASKI GRAMI]]/Tablo5[[#This Row],[KALIP GÖZ ADEDİ]]," ")</f>
        <v xml:space="preserve"> </v>
      </c>
      <c r="T550" s="100" t="str">
        <f t="shared" si="58"/>
        <v xml:space="preserve"> </v>
      </c>
      <c r="U550" s="100"/>
      <c r="V550" s="100" t="str">
        <f t="shared" si="57"/>
        <v xml:space="preserve"> </v>
      </c>
      <c r="W550" s="101">
        <f t="shared" si="59"/>
        <v>24</v>
      </c>
      <c r="X550" s="102">
        <f t="shared" si="60"/>
        <v>0</v>
      </c>
      <c r="Y550" s="100" t="str">
        <f t="shared" si="61"/>
        <v xml:space="preserve"> </v>
      </c>
      <c r="Z550" s="100" t="str">
        <f t="shared" si="62"/>
        <v xml:space="preserve"> </v>
      </c>
    </row>
    <row r="551" spans="1:26">
      <c r="A551" s="100"/>
      <c r="B551" s="108" t="str">
        <f>IFERROR(VLOOKUP(Tablo5[[#This Row],[ÜRÜN KODU]],YMKODLARI!$A$1:$K$363,2,0)," ")</f>
        <v xml:space="preserve"> </v>
      </c>
      <c r="C551" s="99"/>
      <c r="D551" s="100"/>
      <c r="E551" s="101"/>
      <c r="F551" s="101"/>
      <c r="G551" s="100" t="str">
        <f>IFERROR(VLOOKUP(Tablo5[[#This Row],[ÜRÜN KODU]],YMKODLARI!$A$1:$K$363,3,0)," ")</f>
        <v xml:space="preserve"> </v>
      </c>
      <c r="H551" s="100" t="str">
        <f>IFERROR(VLOOKUP(Tablo5[[#This Row],[ÜRÜN KODU]],YMKODLARI!$A$1:$K$363,4,0)," ")</f>
        <v xml:space="preserve"> </v>
      </c>
      <c r="I551" s="100"/>
      <c r="J551" s="100" t="str">
        <f>IFERROR(VLOOKUP(Tablo5[[#This Row],[ÜRÜN KODU]],YMKODLARI!$A$1:$K$363,9,0)," ")</f>
        <v xml:space="preserve"> </v>
      </c>
      <c r="K551" s="100" t="str">
        <f>IFERROR(VLOOKUP(Tablo5[[#This Row],[BOYA KODU]],Tablo14[#All],4,0)," ")</f>
        <v xml:space="preserve"> </v>
      </c>
      <c r="L551" s="100" t="str">
        <f>IFERROR(VLOOKUP(Tablo5[[#This Row],[BOYA KODU]],Tablo14[#All],6,0)," ")</f>
        <v xml:space="preserve"> </v>
      </c>
      <c r="M551" s="100" t="str">
        <f t="shared" si="56"/>
        <v xml:space="preserve"> </v>
      </c>
      <c r="N551" s="100" t="str">
        <f>IFERROR(VLOOKUP(Tablo5[[#This Row],[ÜRÜN KODU]],YMKODLARI!$A$1:$K$363,8,0)," ")</f>
        <v xml:space="preserve"> </v>
      </c>
      <c r="O551" s="100" t="str">
        <f>IFERROR(VLOOKUP(Tablo5[[#This Row],[HAMMADDE KODU]],Tablo1[#All],3,0)," ")</f>
        <v xml:space="preserve"> </v>
      </c>
      <c r="P551" s="100" t="str">
        <f>IFERROR(VLOOKUP(Tablo5[[#This Row],[HAMMADDE KODU]],Tablo1[#All],4,0)," ")</f>
        <v xml:space="preserve"> </v>
      </c>
      <c r="Q551" s="100" t="str">
        <f>IFERROR(VLOOKUP(Tablo5[[#This Row],[ÜRÜN KODU]],YMKODLARI!$A$1:$K$363,5,0)," ")</f>
        <v xml:space="preserve"> </v>
      </c>
      <c r="R551" s="100" t="str">
        <f>IFERROR(VLOOKUP(Tablo5[[#This Row],[ÜRÜN KODU]],YMKODLARI!$A$1:$K$363,6,0)," ")</f>
        <v xml:space="preserve"> </v>
      </c>
      <c r="S551" s="100" t="str">
        <f>IFERROR(Tablo5[[#This Row],[YOLLUK HARİÇ BASKI GRAMI]]/Tablo5[[#This Row],[KALIP GÖZ ADEDİ]]," ")</f>
        <v xml:space="preserve"> </v>
      </c>
      <c r="T551" s="100" t="str">
        <f t="shared" si="58"/>
        <v xml:space="preserve"> </v>
      </c>
      <c r="U551" s="100"/>
      <c r="V551" s="100" t="str">
        <f t="shared" si="57"/>
        <v xml:space="preserve"> </v>
      </c>
      <c r="W551" s="101">
        <f t="shared" si="59"/>
        <v>24</v>
      </c>
      <c r="X551" s="102">
        <f t="shared" si="60"/>
        <v>0</v>
      </c>
      <c r="Y551" s="100" t="str">
        <f t="shared" si="61"/>
        <v xml:space="preserve"> </v>
      </c>
      <c r="Z551" s="100" t="str">
        <f t="shared" si="62"/>
        <v xml:space="preserve"> </v>
      </c>
    </row>
    <row r="552" spans="1:26">
      <c r="A552" s="100"/>
      <c r="B552" s="108" t="str">
        <f>IFERROR(VLOOKUP(Tablo5[[#This Row],[ÜRÜN KODU]],YMKODLARI!$A$1:$K$363,2,0)," ")</f>
        <v xml:space="preserve"> </v>
      </c>
      <c r="C552" s="99"/>
      <c r="D552" s="100"/>
      <c r="E552" s="101"/>
      <c r="F552" s="101"/>
      <c r="G552" s="100" t="str">
        <f>IFERROR(VLOOKUP(Tablo5[[#This Row],[ÜRÜN KODU]],YMKODLARI!$A$1:$K$363,3,0)," ")</f>
        <v xml:space="preserve"> </v>
      </c>
      <c r="H552" s="100" t="str">
        <f>IFERROR(VLOOKUP(Tablo5[[#This Row],[ÜRÜN KODU]],YMKODLARI!$A$1:$K$363,4,0)," ")</f>
        <v xml:space="preserve"> </v>
      </c>
      <c r="I552" s="100"/>
      <c r="J552" s="100" t="str">
        <f>IFERROR(VLOOKUP(Tablo5[[#This Row],[ÜRÜN KODU]],YMKODLARI!$A$1:$K$363,9,0)," ")</f>
        <v xml:space="preserve"> </v>
      </c>
      <c r="K552" s="100" t="str">
        <f>IFERROR(VLOOKUP(Tablo5[[#This Row],[BOYA KODU]],Tablo14[#All],4,0)," ")</f>
        <v xml:space="preserve"> </v>
      </c>
      <c r="L552" s="100" t="str">
        <f>IFERROR(VLOOKUP(Tablo5[[#This Row],[BOYA KODU]],Tablo14[#All],6,0)," ")</f>
        <v xml:space="preserve"> </v>
      </c>
      <c r="M552" s="100" t="str">
        <f t="shared" si="56"/>
        <v xml:space="preserve"> </v>
      </c>
      <c r="N552" s="100" t="str">
        <f>IFERROR(VLOOKUP(Tablo5[[#This Row],[ÜRÜN KODU]],YMKODLARI!$A$1:$K$363,8,0)," ")</f>
        <v xml:space="preserve"> </v>
      </c>
      <c r="O552" s="100" t="str">
        <f>IFERROR(VLOOKUP(Tablo5[[#This Row],[HAMMADDE KODU]],Tablo1[#All],3,0)," ")</f>
        <v xml:space="preserve"> </v>
      </c>
      <c r="P552" s="100" t="str">
        <f>IFERROR(VLOOKUP(Tablo5[[#This Row],[HAMMADDE KODU]],Tablo1[#All],4,0)," ")</f>
        <v xml:space="preserve"> </v>
      </c>
      <c r="Q552" s="100" t="str">
        <f>IFERROR(VLOOKUP(Tablo5[[#This Row],[ÜRÜN KODU]],YMKODLARI!$A$1:$K$363,5,0)," ")</f>
        <v xml:space="preserve"> </v>
      </c>
      <c r="R552" s="100" t="str">
        <f>IFERROR(VLOOKUP(Tablo5[[#This Row],[ÜRÜN KODU]],YMKODLARI!$A$1:$K$363,6,0)," ")</f>
        <v xml:space="preserve"> </v>
      </c>
      <c r="S552" s="100" t="str">
        <f>IFERROR(Tablo5[[#This Row],[YOLLUK HARİÇ BASKI GRAMI]]/Tablo5[[#This Row],[KALIP GÖZ ADEDİ]]," ")</f>
        <v xml:space="preserve"> </v>
      </c>
      <c r="T552" s="100" t="str">
        <f t="shared" si="58"/>
        <v xml:space="preserve"> </v>
      </c>
      <c r="U552" s="100"/>
      <c r="V552" s="100" t="str">
        <f t="shared" si="57"/>
        <v xml:space="preserve"> </v>
      </c>
      <c r="W552" s="101">
        <f t="shared" si="59"/>
        <v>24</v>
      </c>
      <c r="X552" s="102">
        <f t="shared" si="60"/>
        <v>0</v>
      </c>
      <c r="Y552" s="100" t="str">
        <f t="shared" si="61"/>
        <v xml:space="preserve"> </v>
      </c>
      <c r="Z552" s="100" t="str">
        <f t="shared" si="62"/>
        <v xml:space="preserve"> </v>
      </c>
    </row>
    <row r="553" spans="1:26">
      <c r="A553" s="100"/>
      <c r="B553" s="108" t="str">
        <f>IFERROR(VLOOKUP(Tablo5[[#This Row],[ÜRÜN KODU]],YMKODLARI!$A$1:$K$363,2,0)," ")</f>
        <v xml:space="preserve"> </v>
      </c>
      <c r="C553" s="99"/>
      <c r="D553" s="100"/>
      <c r="E553" s="101"/>
      <c r="F553" s="101"/>
      <c r="G553" s="100" t="str">
        <f>IFERROR(VLOOKUP(Tablo5[[#This Row],[ÜRÜN KODU]],YMKODLARI!$A$1:$K$363,3,0)," ")</f>
        <v xml:space="preserve"> </v>
      </c>
      <c r="H553" s="100" t="str">
        <f>IFERROR(VLOOKUP(Tablo5[[#This Row],[ÜRÜN KODU]],YMKODLARI!$A$1:$K$363,4,0)," ")</f>
        <v xml:space="preserve"> </v>
      </c>
      <c r="I553" s="100"/>
      <c r="J553" s="100" t="str">
        <f>IFERROR(VLOOKUP(Tablo5[[#This Row],[ÜRÜN KODU]],YMKODLARI!$A$1:$K$363,9,0)," ")</f>
        <v xml:space="preserve"> </v>
      </c>
      <c r="K553" s="100" t="str">
        <f>IFERROR(VLOOKUP(Tablo5[[#This Row],[BOYA KODU]],Tablo14[#All],4,0)," ")</f>
        <v xml:space="preserve"> </v>
      </c>
      <c r="L553" s="100" t="str">
        <f>IFERROR(VLOOKUP(Tablo5[[#This Row],[BOYA KODU]],Tablo14[#All],6,0)," ")</f>
        <v xml:space="preserve"> </v>
      </c>
      <c r="M553" s="100" t="str">
        <f t="shared" si="56"/>
        <v xml:space="preserve"> </v>
      </c>
      <c r="N553" s="100" t="str">
        <f>IFERROR(VLOOKUP(Tablo5[[#This Row],[ÜRÜN KODU]],YMKODLARI!$A$1:$K$363,8,0)," ")</f>
        <v xml:space="preserve"> </v>
      </c>
      <c r="O553" s="100" t="str">
        <f>IFERROR(VLOOKUP(Tablo5[[#This Row],[HAMMADDE KODU]],Tablo1[#All],3,0)," ")</f>
        <v xml:space="preserve"> </v>
      </c>
      <c r="P553" s="100" t="str">
        <f>IFERROR(VLOOKUP(Tablo5[[#This Row],[HAMMADDE KODU]],Tablo1[#All],4,0)," ")</f>
        <v xml:space="preserve"> </v>
      </c>
      <c r="Q553" s="100" t="str">
        <f>IFERROR(VLOOKUP(Tablo5[[#This Row],[ÜRÜN KODU]],YMKODLARI!$A$1:$K$363,5,0)," ")</f>
        <v xml:space="preserve"> </v>
      </c>
      <c r="R553" s="100" t="str">
        <f>IFERROR(VLOOKUP(Tablo5[[#This Row],[ÜRÜN KODU]],YMKODLARI!$A$1:$K$363,6,0)," ")</f>
        <v xml:space="preserve"> </v>
      </c>
      <c r="S553" s="100" t="str">
        <f>IFERROR(Tablo5[[#This Row],[YOLLUK HARİÇ BASKI GRAMI]]/Tablo5[[#This Row],[KALIP GÖZ ADEDİ]]," ")</f>
        <v xml:space="preserve"> </v>
      </c>
      <c r="T553" s="100" t="str">
        <f t="shared" si="58"/>
        <v xml:space="preserve"> </v>
      </c>
      <c r="U553" s="100"/>
      <c r="V553" s="100" t="str">
        <f t="shared" si="57"/>
        <v xml:space="preserve"> </v>
      </c>
      <c r="W553" s="101">
        <f t="shared" si="59"/>
        <v>24</v>
      </c>
      <c r="X553" s="102">
        <f t="shared" si="60"/>
        <v>0</v>
      </c>
      <c r="Y553" s="100" t="str">
        <f t="shared" si="61"/>
        <v xml:space="preserve"> </v>
      </c>
      <c r="Z553" s="100" t="str">
        <f t="shared" si="62"/>
        <v xml:space="preserve"> </v>
      </c>
    </row>
    <row r="554" spans="1:26">
      <c r="A554" s="100"/>
      <c r="B554" s="108" t="str">
        <f>IFERROR(VLOOKUP(Tablo5[[#This Row],[ÜRÜN KODU]],YMKODLARI!$A$1:$K$363,2,0)," ")</f>
        <v xml:space="preserve"> </v>
      </c>
      <c r="C554" s="99"/>
      <c r="D554" s="100"/>
      <c r="E554" s="101"/>
      <c r="F554" s="101"/>
      <c r="G554" s="100" t="str">
        <f>IFERROR(VLOOKUP(Tablo5[[#This Row],[ÜRÜN KODU]],YMKODLARI!$A$1:$K$363,3,0)," ")</f>
        <v xml:space="preserve"> </v>
      </c>
      <c r="H554" s="100" t="str">
        <f>IFERROR(VLOOKUP(Tablo5[[#This Row],[ÜRÜN KODU]],YMKODLARI!$A$1:$K$363,4,0)," ")</f>
        <v xml:space="preserve"> </v>
      </c>
      <c r="I554" s="100"/>
      <c r="J554" s="100" t="str">
        <f>IFERROR(VLOOKUP(Tablo5[[#This Row],[ÜRÜN KODU]],YMKODLARI!$A$1:$K$363,9,0)," ")</f>
        <v xml:space="preserve"> </v>
      </c>
      <c r="K554" s="100" t="str">
        <f>IFERROR(VLOOKUP(Tablo5[[#This Row],[BOYA KODU]],Tablo14[#All],4,0)," ")</f>
        <v xml:space="preserve"> </v>
      </c>
      <c r="L554" s="100" t="str">
        <f>IFERROR(VLOOKUP(Tablo5[[#This Row],[BOYA KODU]],Tablo14[#All],6,0)," ")</f>
        <v xml:space="preserve"> </v>
      </c>
      <c r="M554" s="100" t="str">
        <f t="shared" si="56"/>
        <v xml:space="preserve"> </v>
      </c>
      <c r="N554" s="100" t="str">
        <f>IFERROR(VLOOKUP(Tablo5[[#This Row],[ÜRÜN KODU]],YMKODLARI!$A$1:$K$363,8,0)," ")</f>
        <v xml:space="preserve"> </v>
      </c>
      <c r="O554" s="100" t="str">
        <f>IFERROR(VLOOKUP(Tablo5[[#This Row],[HAMMADDE KODU]],Tablo1[#All],3,0)," ")</f>
        <v xml:space="preserve"> </v>
      </c>
      <c r="P554" s="100" t="str">
        <f>IFERROR(VLOOKUP(Tablo5[[#This Row],[HAMMADDE KODU]],Tablo1[#All],4,0)," ")</f>
        <v xml:space="preserve"> </v>
      </c>
      <c r="Q554" s="100" t="str">
        <f>IFERROR(VLOOKUP(Tablo5[[#This Row],[ÜRÜN KODU]],YMKODLARI!$A$1:$K$363,5,0)," ")</f>
        <v xml:space="preserve"> </v>
      </c>
      <c r="R554" s="100" t="str">
        <f>IFERROR(VLOOKUP(Tablo5[[#This Row],[ÜRÜN KODU]],YMKODLARI!$A$1:$K$363,6,0)," ")</f>
        <v xml:space="preserve"> </v>
      </c>
      <c r="S554" s="100" t="str">
        <f>IFERROR(Tablo5[[#This Row],[YOLLUK HARİÇ BASKI GRAMI]]/Tablo5[[#This Row],[KALIP GÖZ ADEDİ]]," ")</f>
        <v xml:space="preserve"> </v>
      </c>
      <c r="T554" s="100" t="str">
        <f t="shared" si="58"/>
        <v xml:space="preserve"> </v>
      </c>
      <c r="U554" s="100"/>
      <c r="V554" s="100" t="str">
        <f t="shared" si="57"/>
        <v xml:space="preserve"> </v>
      </c>
      <c r="W554" s="101">
        <f t="shared" si="59"/>
        <v>24</v>
      </c>
      <c r="X554" s="102">
        <f t="shared" si="60"/>
        <v>0</v>
      </c>
      <c r="Y554" s="100" t="str">
        <f t="shared" si="61"/>
        <v xml:space="preserve"> </v>
      </c>
      <c r="Z554" s="100" t="str">
        <f t="shared" si="62"/>
        <v xml:space="preserve"> </v>
      </c>
    </row>
    <row r="555" spans="1:26">
      <c r="A555" s="100"/>
      <c r="B555" s="108" t="str">
        <f>IFERROR(VLOOKUP(Tablo5[[#This Row],[ÜRÜN KODU]],YMKODLARI!$A$1:$K$363,2,0)," ")</f>
        <v xml:space="preserve"> </v>
      </c>
      <c r="C555" s="99"/>
      <c r="D555" s="100"/>
      <c r="E555" s="101"/>
      <c r="F555" s="101"/>
      <c r="G555" s="100" t="str">
        <f>IFERROR(VLOOKUP(Tablo5[[#This Row],[ÜRÜN KODU]],YMKODLARI!$A$1:$K$363,3,0)," ")</f>
        <v xml:space="preserve"> </v>
      </c>
      <c r="H555" s="100" t="str">
        <f>IFERROR(VLOOKUP(Tablo5[[#This Row],[ÜRÜN KODU]],YMKODLARI!$A$1:$K$363,4,0)," ")</f>
        <v xml:space="preserve"> </v>
      </c>
      <c r="I555" s="100"/>
      <c r="J555" s="100" t="str">
        <f>IFERROR(VLOOKUP(Tablo5[[#This Row],[ÜRÜN KODU]],YMKODLARI!$A$1:$K$363,9,0)," ")</f>
        <v xml:space="preserve"> </v>
      </c>
      <c r="K555" s="100" t="str">
        <f>IFERROR(VLOOKUP(Tablo5[[#This Row],[BOYA KODU]],Tablo14[#All],4,0)," ")</f>
        <v xml:space="preserve"> </v>
      </c>
      <c r="L555" s="100" t="str">
        <f>IFERROR(VLOOKUP(Tablo5[[#This Row],[BOYA KODU]],Tablo14[#All],6,0)," ")</f>
        <v xml:space="preserve"> </v>
      </c>
      <c r="M555" s="100" t="str">
        <f t="shared" si="56"/>
        <v xml:space="preserve"> </v>
      </c>
      <c r="N555" s="100" t="str">
        <f>IFERROR(VLOOKUP(Tablo5[[#This Row],[ÜRÜN KODU]],YMKODLARI!$A$1:$K$363,8,0)," ")</f>
        <v xml:space="preserve"> </v>
      </c>
      <c r="O555" s="100" t="str">
        <f>IFERROR(VLOOKUP(Tablo5[[#This Row],[HAMMADDE KODU]],Tablo1[#All],3,0)," ")</f>
        <v xml:space="preserve"> </v>
      </c>
      <c r="P555" s="100" t="str">
        <f>IFERROR(VLOOKUP(Tablo5[[#This Row],[HAMMADDE KODU]],Tablo1[#All],4,0)," ")</f>
        <v xml:space="preserve"> </v>
      </c>
      <c r="Q555" s="100" t="str">
        <f>IFERROR(VLOOKUP(Tablo5[[#This Row],[ÜRÜN KODU]],YMKODLARI!$A$1:$K$363,5,0)," ")</f>
        <v xml:space="preserve"> </v>
      </c>
      <c r="R555" s="100" t="str">
        <f>IFERROR(VLOOKUP(Tablo5[[#This Row],[ÜRÜN KODU]],YMKODLARI!$A$1:$K$363,6,0)," ")</f>
        <v xml:space="preserve"> </v>
      </c>
      <c r="S555" s="100" t="str">
        <f>IFERROR(Tablo5[[#This Row],[YOLLUK HARİÇ BASKI GRAMI]]/Tablo5[[#This Row],[KALIP GÖZ ADEDİ]]," ")</f>
        <v xml:space="preserve"> </v>
      </c>
      <c r="T555" s="100" t="str">
        <f t="shared" si="58"/>
        <v xml:space="preserve"> </v>
      </c>
      <c r="U555" s="100"/>
      <c r="V555" s="100" t="str">
        <f t="shared" si="57"/>
        <v xml:space="preserve"> </v>
      </c>
      <c r="W555" s="101">
        <f t="shared" si="59"/>
        <v>24</v>
      </c>
      <c r="X555" s="102">
        <f t="shared" si="60"/>
        <v>0</v>
      </c>
      <c r="Y555" s="100" t="str">
        <f t="shared" si="61"/>
        <v xml:space="preserve"> </v>
      </c>
      <c r="Z555" s="100" t="str">
        <f t="shared" si="62"/>
        <v xml:space="preserve"> </v>
      </c>
    </row>
    <row r="556" spans="1:26">
      <c r="A556" s="100"/>
      <c r="B556" s="108" t="str">
        <f>IFERROR(VLOOKUP(Tablo5[[#This Row],[ÜRÜN KODU]],YMKODLARI!$A$1:$K$363,2,0)," ")</f>
        <v xml:space="preserve"> </v>
      </c>
      <c r="C556" s="99"/>
      <c r="D556" s="100"/>
      <c r="E556" s="101"/>
      <c r="F556" s="101"/>
      <c r="G556" s="100" t="str">
        <f>IFERROR(VLOOKUP(Tablo5[[#This Row],[ÜRÜN KODU]],YMKODLARI!$A$1:$K$363,3,0)," ")</f>
        <v xml:space="preserve"> </v>
      </c>
      <c r="H556" s="100" t="str">
        <f>IFERROR(VLOOKUP(Tablo5[[#This Row],[ÜRÜN KODU]],YMKODLARI!$A$1:$K$363,4,0)," ")</f>
        <v xml:space="preserve"> </v>
      </c>
      <c r="I556" s="100"/>
      <c r="J556" s="100" t="str">
        <f>IFERROR(VLOOKUP(Tablo5[[#This Row],[ÜRÜN KODU]],YMKODLARI!$A$1:$K$363,9,0)," ")</f>
        <v xml:space="preserve"> </v>
      </c>
      <c r="K556" s="100" t="str">
        <f>IFERROR(VLOOKUP(Tablo5[[#This Row],[BOYA KODU]],Tablo14[#All],4,0)," ")</f>
        <v xml:space="preserve"> </v>
      </c>
      <c r="L556" s="100" t="str">
        <f>IFERROR(VLOOKUP(Tablo5[[#This Row],[BOYA KODU]],Tablo14[#All],6,0)," ")</f>
        <v xml:space="preserve"> </v>
      </c>
      <c r="M556" s="100" t="str">
        <f t="shared" si="56"/>
        <v xml:space="preserve"> </v>
      </c>
      <c r="N556" s="100" t="str">
        <f>IFERROR(VLOOKUP(Tablo5[[#This Row],[ÜRÜN KODU]],YMKODLARI!$A$1:$K$363,8,0)," ")</f>
        <v xml:space="preserve"> </v>
      </c>
      <c r="O556" s="100" t="str">
        <f>IFERROR(VLOOKUP(Tablo5[[#This Row],[HAMMADDE KODU]],Tablo1[#All],3,0)," ")</f>
        <v xml:space="preserve"> </v>
      </c>
      <c r="P556" s="100" t="str">
        <f>IFERROR(VLOOKUP(Tablo5[[#This Row],[HAMMADDE KODU]],Tablo1[#All],4,0)," ")</f>
        <v xml:space="preserve"> </v>
      </c>
      <c r="Q556" s="100" t="str">
        <f>IFERROR(VLOOKUP(Tablo5[[#This Row],[ÜRÜN KODU]],YMKODLARI!$A$1:$K$363,5,0)," ")</f>
        <v xml:space="preserve"> </v>
      </c>
      <c r="R556" s="100" t="str">
        <f>IFERROR(VLOOKUP(Tablo5[[#This Row],[ÜRÜN KODU]],YMKODLARI!$A$1:$K$363,6,0)," ")</f>
        <v xml:space="preserve"> </v>
      </c>
      <c r="S556" s="100" t="str">
        <f>IFERROR(Tablo5[[#This Row],[YOLLUK HARİÇ BASKI GRAMI]]/Tablo5[[#This Row],[KALIP GÖZ ADEDİ]]," ")</f>
        <v xml:space="preserve"> </v>
      </c>
      <c r="T556" s="100" t="str">
        <f t="shared" si="58"/>
        <v xml:space="preserve"> </v>
      </c>
      <c r="U556" s="100"/>
      <c r="V556" s="100" t="str">
        <f t="shared" si="57"/>
        <v xml:space="preserve"> </v>
      </c>
      <c r="W556" s="101">
        <f t="shared" si="59"/>
        <v>24</v>
      </c>
      <c r="X556" s="102">
        <f t="shared" si="60"/>
        <v>0</v>
      </c>
      <c r="Y556" s="100" t="str">
        <f t="shared" si="61"/>
        <v xml:space="preserve"> </v>
      </c>
      <c r="Z556" s="100" t="str">
        <f t="shared" si="62"/>
        <v xml:space="preserve"> </v>
      </c>
    </row>
    <row r="557" spans="1:26">
      <c r="A557" s="100"/>
      <c r="B557" s="108" t="str">
        <f>IFERROR(VLOOKUP(Tablo5[[#This Row],[ÜRÜN KODU]],YMKODLARI!$A$1:$K$363,2,0)," ")</f>
        <v xml:space="preserve"> </v>
      </c>
      <c r="C557" s="99"/>
      <c r="D557" s="100"/>
      <c r="E557" s="101"/>
      <c r="F557" s="101"/>
      <c r="G557" s="100" t="str">
        <f>IFERROR(VLOOKUP(Tablo5[[#This Row],[ÜRÜN KODU]],YMKODLARI!$A$1:$K$363,3,0)," ")</f>
        <v xml:space="preserve"> </v>
      </c>
      <c r="H557" s="100" t="str">
        <f>IFERROR(VLOOKUP(Tablo5[[#This Row],[ÜRÜN KODU]],YMKODLARI!$A$1:$K$363,4,0)," ")</f>
        <v xml:space="preserve"> </v>
      </c>
      <c r="I557" s="100"/>
      <c r="J557" s="100" t="str">
        <f>IFERROR(VLOOKUP(Tablo5[[#This Row],[ÜRÜN KODU]],YMKODLARI!$A$1:$K$363,9,0)," ")</f>
        <v xml:space="preserve"> </v>
      </c>
      <c r="K557" s="100" t="str">
        <f>IFERROR(VLOOKUP(Tablo5[[#This Row],[BOYA KODU]],Tablo14[#All],4,0)," ")</f>
        <v xml:space="preserve"> </v>
      </c>
      <c r="L557" s="100" t="str">
        <f>IFERROR(VLOOKUP(Tablo5[[#This Row],[BOYA KODU]],Tablo14[#All],6,0)," ")</f>
        <v xml:space="preserve"> </v>
      </c>
      <c r="M557" s="100" t="str">
        <f t="shared" si="56"/>
        <v xml:space="preserve"> </v>
      </c>
      <c r="N557" s="100" t="str">
        <f>IFERROR(VLOOKUP(Tablo5[[#This Row],[ÜRÜN KODU]],YMKODLARI!$A$1:$K$363,8,0)," ")</f>
        <v xml:space="preserve"> </v>
      </c>
      <c r="O557" s="100" t="str">
        <f>IFERROR(VLOOKUP(Tablo5[[#This Row],[HAMMADDE KODU]],Tablo1[#All],3,0)," ")</f>
        <v xml:space="preserve"> </v>
      </c>
      <c r="P557" s="100" t="str">
        <f>IFERROR(VLOOKUP(Tablo5[[#This Row],[HAMMADDE KODU]],Tablo1[#All],4,0)," ")</f>
        <v xml:space="preserve"> </v>
      </c>
      <c r="Q557" s="100" t="str">
        <f>IFERROR(VLOOKUP(Tablo5[[#This Row],[ÜRÜN KODU]],YMKODLARI!$A$1:$K$363,5,0)," ")</f>
        <v xml:space="preserve"> </v>
      </c>
      <c r="R557" s="100" t="str">
        <f>IFERROR(VLOOKUP(Tablo5[[#This Row],[ÜRÜN KODU]],YMKODLARI!$A$1:$K$363,6,0)," ")</f>
        <v xml:space="preserve"> </v>
      </c>
      <c r="S557" s="100" t="str">
        <f>IFERROR(Tablo5[[#This Row],[YOLLUK HARİÇ BASKI GRAMI]]/Tablo5[[#This Row],[KALIP GÖZ ADEDİ]]," ")</f>
        <v xml:space="preserve"> </v>
      </c>
      <c r="T557" s="100" t="str">
        <f t="shared" si="58"/>
        <v xml:space="preserve"> </v>
      </c>
      <c r="U557" s="100"/>
      <c r="V557" s="100" t="str">
        <f t="shared" si="57"/>
        <v xml:space="preserve"> </v>
      </c>
      <c r="W557" s="101">
        <f t="shared" si="59"/>
        <v>24</v>
      </c>
      <c r="X557" s="102">
        <f t="shared" si="60"/>
        <v>0</v>
      </c>
      <c r="Y557" s="100" t="str">
        <f t="shared" si="61"/>
        <v xml:space="preserve"> </v>
      </c>
      <c r="Z557" s="100" t="str">
        <f t="shared" si="62"/>
        <v xml:space="preserve"> </v>
      </c>
    </row>
    <row r="558" spans="1:26">
      <c r="A558" s="100"/>
      <c r="B558" s="108" t="str">
        <f>IFERROR(VLOOKUP(Tablo5[[#This Row],[ÜRÜN KODU]],YMKODLARI!$A$1:$K$363,2,0)," ")</f>
        <v xml:space="preserve"> </v>
      </c>
      <c r="C558" s="99"/>
      <c r="D558" s="100"/>
      <c r="E558" s="101"/>
      <c r="F558" s="101"/>
      <c r="G558" s="100" t="str">
        <f>IFERROR(VLOOKUP(Tablo5[[#This Row],[ÜRÜN KODU]],YMKODLARI!$A$1:$K$363,3,0)," ")</f>
        <v xml:space="preserve"> </v>
      </c>
      <c r="H558" s="100" t="str">
        <f>IFERROR(VLOOKUP(Tablo5[[#This Row],[ÜRÜN KODU]],YMKODLARI!$A$1:$K$363,4,0)," ")</f>
        <v xml:space="preserve"> </v>
      </c>
      <c r="I558" s="100"/>
      <c r="J558" s="100" t="str">
        <f>IFERROR(VLOOKUP(Tablo5[[#This Row],[ÜRÜN KODU]],YMKODLARI!$A$1:$K$363,9,0)," ")</f>
        <v xml:space="preserve"> </v>
      </c>
      <c r="K558" s="100" t="str">
        <f>IFERROR(VLOOKUP(Tablo5[[#This Row],[BOYA KODU]],Tablo14[#All],4,0)," ")</f>
        <v xml:space="preserve"> </v>
      </c>
      <c r="L558" s="100" t="str">
        <f>IFERROR(VLOOKUP(Tablo5[[#This Row],[BOYA KODU]],Tablo14[#All],6,0)," ")</f>
        <v xml:space="preserve"> </v>
      </c>
      <c r="M558" s="100" t="str">
        <f t="shared" si="56"/>
        <v xml:space="preserve"> </v>
      </c>
      <c r="N558" s="100" t="str">
        <f>IFERROR(VLOOKUP(Tablo5[[#This Row],[ÜRÜN KODU]],YMKODLARI!$A$1:$K$363,8,0)," ")</f>
        <v xml:space="preserve"> </v>
      </c>
      <c r="O558" s="100" t="str">
        <f>IFERROR(VLOOKUP(Tablo5[[#This Row],[HAMMADDE KODU]],Tablo1[#All],3,0)," ")</f>
        <v xml:space="preserve"> </v>
      </c>
      <c r="P558" s="100" t="str">
        <f>IFERROR(VLOOKUP(Tablo5[[#This Row],[HAMMADDE KODU]],Tablo1[#All],4,0)," ")</f>
        <v xml:space="preserve"> </v>
      </c>
      <c r="Q558" s="100" t="str">
        <f>IFERROR(VLOOKUP(Tablo5[[#This Row],[ÜRÜN KODU]],YMKODLARI!$A$1:$K$363,5,0)," ")</f>
        <v xml:space="preserve"> </v>
      </c>
      <c r="R558" s="100" t="str">
        <f>IFERROR(VLOOKUP(Tablo5[[#This Row],[ÜRÜN KODU]],YMKODLARI!$A$1:$K$363,6,0)," ")</f>
        <v xml:space="preserve"> </v>
      </c>
      <c r="S558" s="100" t="str">
        <f>IFERROR(Tablo5[[#This Row],[YOLLUK HARİÇ BASKI GRAMI]]/Tablo5[[#This Row],[KALIP GÖZ ADEDİ]]," ")</f>
        <v xml:space="preserve"> </v>
      </c>
      <c r="T558" s="100" t="str">
        <f t="shared" si="58"/>
        <v xml:space="preserve"> </v>
      </c>
      <c r="U558" s="100"/>
      <c r="V558" s="100" t="str">
        <f t="shared" si="57"/>
        <v xml:space="preserve"> </v>
      </c>
      <c r="W558" s="101">
        <f t="shared" si="59"/>
        <v>24</v>
      </c>
      <c r="X558" s="102">
        <f t="shared" si="60"/>
        <v>0</v>
      </c>
      <c r="Y558" s="100" t="str">
        <f t="shared" si="61"/>
        <v xml:space="preserve"> </v>
      </c>
      <c r="Z558" s="100" t="str">
        <f t="shared" si="62"/>
        <v xml:space="preserve"> </v>
      </c>
    </row>
    <row r="559" spans="1:26">
      <c r="A559" s="100"/>
      <c r="B559" s="108" t="str">
        <f>IFERROR(VLOOKUP(Tablo5[[#This Row],[ÜRÜN KODU]],YMKODLARI!$A$1:$K$363,2,0)," ")</f>
        <v xml:space="preserve"> </v>
      </c>
      <c r="C559" s="99"/>
      <c r="D559" s="100"/>
      <c r="E559" s="101"/>
      <c r="F559" s="101"/>
      <c r="G559" s="100" t="str">
        <f>IFERROR(VLOOKUP(Tablo5[[#This Row],[ÜRÜN KODU]],YMKODLARI!$A$1:$K$363,3,0)," ")</f>
        <v xml:space="preserve"> </v>
      </c>
      <c r="H559" s="100" t="str">
        <f>IFERROR(VLOOKUP(Tablo5[[#This Row],[ÜRÜN KODU]],YMKODLARI!$A$1:$K$363,4,0)," ")</f>
        <v xml:space="preserve"> </v>
      </c>
      <c r="I559" s="100"/>
      <c r="J559" s="100" t="str">
        <f>IFERROR(VLOOKUP(Tablo5[[#This Row],[ÜRÜN KODU]],YMKODLARI!$A$1:$K$363,9,0)," ")</f>
        <v xml:space="preserve"> </v>
      </c>
      <c r="K559" s="100" t="str">
        <f>IFERROR(VLOOKUP(Tablo5[[#This Row],[BOYA KODU]],Tablo14[#All],4,0)," ")</f>
        <v xml:space="preserve"> </v>
      </c>
      <c r="L559" s="100" t="str">
        <f>IFERROR(VLOOKUP(Tablo5[[#This Row],[BOYA KODU]],Tablo14[#All],6,0)," ")</f>
        <v xml:space="preserve"> </v>
      </c>
      <c r="M559" s="100" t="str">
        <f t="shared" si="56"/>
        <v xml:space="preserve"> </v>
      </c>
      <c r="N559" s="100" t="str">
        <f>IFERROR(VLOOKUP(Tablo5[[#This Row],[ÜRÜN KODU]],YMKODLARI!$A$1:$K$363,8,0)," ")</f>
        <v xml:space="preserve"> </v>
      </c>
      <c r="O559" s="100" t="str">
        <f>IFERROR(VLOOKUP(Tablo5[[#This Row],[HAMMADDE KODU]],Tablo1[#All],3,0)," ")</f>
        <v xml:space="preserve"> </v>
      </c>
      <c r="P559" s="100" t="str">
        <f>IFERROR(VLOOKUP(Tablo5[[#This Row],[HAMMADDE KODU]],Tablo1[#All],4,0)," ")</f>
        <v xml:space="preserve"> </v>
      </c>
      <c r="Q559" s="100" t="str">
        <f>IFERROR(VLOOKUP(Tablo5[[#This Row],[ÜRÜN KODU]],YMKODLARI!$A$1:$K$363,5,0)," ")</f>
        <v xml:space="preserve"> </v>
      </c>
      <c r="R559" s="100" t="str">
        <f>IFERROR(VLOOKUP(Tablo5[[#This Row],[ÜRÜN KODU]],YMKODLARI!$A$1:$K$363,6,0)," ")</f>
        <v xml:space="preserve"> </v>
      </c>
      <c r="S559" s="100" t="str">
        <f>IFERROR(Tablo5[[#This Row],[YOLLUK HARİÇ BASKI GRAMI]]/Tablo5[[#This Row],[KALIP GÖZ ADEDİ]]," ")</f>
        <v xml:space="preserve"> </v>
      </c>
      <c r="T559" s="100" t="str">
        <f t="shared" si="58"/>
        <v xml:space="preserve"> </v>
      </c>
      <c r="U559" s="100"/>
      <c r="V559" s="100" t="str">
        <f t="shared" si="57"/>
        <v xml:space="preserve"> </v>
      </c>
      <c r="W559" s="101">
        <f t="shared" si="59"/>
        <v>24</v>
      </c>
      <c r="X559" s="102">
        <f t="shared" si="60"/>
        <v>0</v>
      </c>
      <c r="Y559" s="100" t="str">
        <f t="shared" si="61"/>
        <v xml:space="preserve"> </v>
      </c>
      <c r="Z559" s="100" t="str">
        <f t="shared" si="62"/>
        <v xml:space="preserve"> </v>
      </c>
    </row>
    <row r="560" spans="1:26">
      <c r="A560" s="100"/>
      <c r="B560" s="108" t="str">
        <f>IFERROR(VLOOKUP(Tablo5[[#This Row],[ÜRÜN KODU]],YMKODLARI!$A$1:$K$363,2,0)," ")</f>
        <v xml:space="preserve"> </v>
      </c>
      <c r="C560" s="99"/>
      <c r="D560" s="100"/>
      <c r="E560" s="101"/>
      <c r="F560" s="101"/>
      <c r="G560" s="100" t="str">
        <f>IFERROR(VLOOKUP(Tablo5[[#This Row],[ÜRÜN KODU]],YMKODLARI!$A$1:$K$363,3,0)," ")</f>
        <v xml:space="preserve"> </v>
      </c>
      <c r="H560" s="100" t="str">
        <f>IFERROR(VLOOKUP(Tablo5[[#This Row],[ÜRÜN KODU]],YMKODLARI!$A$1:$K$363,4,0)," ")</f>
        <v xml:space="preserve"> </v>
      </c>
      <c r="I560" s="100"/>
      <c r="J560" s="100" t="str">
        <f>IFERROR(VLOOKUP(Tablo5[[#This Row],[ÜRÜN KODU]],YMKODLARI!$A$1:$K$363,9,0)," ")</f>
        <v xml:space="preserve"> </v>
      </c>
      <c r="K560" s="100" t="str">
        <f>IFERROR(VLOOKUP(Tablo5[[#This Row],[BOYA KODU]],Tablo14[#All],4,0)," ")</f>
        <v xml:space="preserve"> </v>
      </c>
      <c r="L560" s="100" t="str">
        <f>IFERROR(VLOOKUP(Tablo5[[#This Row],[BOYA KODU]],Tablo14[#All],6,0)," ")</f>
        <v xml:space="preserve"> </v>
      </c>
      <c r="M560" s="100" t="str">
        <f t="shared" si="56"/>
        <v xml:space="preserve"> </v>
      </c>
      <c r="N560" s="100" t="str">
        <f>IFERROR(VLOOKUP(Tablo5[[#This Row],[ÜRÜN KODU]],YMKODLARI!$A$1:$K$363,8,0)," ")</f>
        <v xml:space="preserve"> </v>
      </c>
      <c r="O560" s="100" t="str">
        <f>IFERROR(VLOOKUP(Tablo5[[#This Row],[HAMMADDE KODU]],Tablo1[#All],3,0)," ")</f>
        <v xml:space="preserve"> </v>
      </c>
      <c r="P560" s="100" t="str">
        <f>IFERROR(VLOOKUP(Tablo5[[#This Row],[HAMMADDE KODU]],Tablo1[#All],4,0)," ")</f>
        <v xml:space="preserve"> </v>
      </c>
      <c r="Q560" s="100" t="str">
        <f>IFERROR(VLOOKUP(Tablo5[[#This Row],[ÜRÜN KODU]],YMKODLARI!$A$1:$K$363,5,0)," ")</f>
        <v xml:space="preserve"> </v>
      </c>
      <c r="R560" s="100" t="str">
        <f>IFERROR(VLOOKUP(Tablo5[[#This Row],[ÜRÜN KODU]],YMKODLARI!$A$1:$K$363,6,0)," ")</f>
        <v xml:space="preserve"> </v>
      </c>
      <c r="S560" s="100" t="str">
        <f>IFERROR(Tablo5[[#This Row],[YOLLUK HARİÇ BASKI GRAMI]]/Tablo5[[#This Row],[KALIP GÖZ ADEDİ]]," ")</f>
        <v xml:space="preserve"> </v>
      </c>
      <c r="T560" s="100" t="str">
        <f t="shared" si="58"/>
        <v xml:space="preserve"> </v>
      </c>
      <c r="U560" s="100"/>
      <c r="V560" s="100" t="str">
        <f t="shared" si="57"/>
        <v xml:space="preserve"> </v>
      </c>
      <c r="W560" s="101">
        <f t="shared" si="59"/>
        <v>24</v>
      </c>
      <c r="X560" s="102">
        <f t="shared" si="60"/>
        <v>0</v>
      </c>
      <c r="Y560" s="100" t="str">
        <f t="shared" si="61"/>
        <v xml:space="preserve"> </v>
      </c>
      <c r="Z560" s="100" t="str">
        <f t="shared" si="62"/>
        <v xml:space="preserve"> </v>
      </c>
    </row>
    <row r="561" spans="1:26">
      <c r="A561" s="100"/>
      <c r="B561" s="108" t="str">
        <f>IFERROR(VLOOKUP(Tablo5[[#This Row],[ÜRÜN KODU]],YMKODLARI!$A$1:$K$363,2,0)," ")</f>
        <v xml:space="preserve"> </v>
      </c>
      <c r="C561" s="99"/>
      <c r="D561" s="100"/>
      <c r="E561" s="101"/>
      <c r="F561" s="101"/>
      <c r="G561" s="100" t="str">
        <f>IFERROR(VLOOKUP(Tablo5[[#This Row],[ÜRÜN KODU]],YMKODLARI!$A$1:$K$363,3,0)," ")</f>
        <v xml:space="preserve"> </v>
      </c>
      <c r="H561" s="100" t="str">
        <f>IFERROR(VLOOKUP(Tablo5[[#This Row],[ÜRÜN KODU]],YMKODLARI!$A$1:$K$363,4,0)," ")</f>
        <v xml:space="preserve"> </v>
      </c>
      <c r="I561" s="100"/>
      <c r="J561" s="100" t="str">
        <f>IFERROR(VLOOKUP(Tablo5[[#This Row],[ÜRÜN KODU]],YMKODLARI!$A$1:$K$363,9,0)," ")</f>
        <v xml:space="preserve"> </v>
      </c>
      <c r="K561" s="100" t="str">
        <f>IFERROR(VLOOKUP(Tablo5[[#This Row],[BOYA KODU]],Tablo14[#All],4,0)," ")</f>
        <v xml:space="preserve"> </v>
      </c>
      <c r="L561" s="100" t="str">
        <f>IFERROR(VLOOKUP(Tablo5[[#This Row],[BOYA KODU]],Tablo14[#All],6,0)," ")</f>
        <v xml:space="preserve"> </v>
      </c>
      <c r="M561" s="100" t="str">
        <f t="shared" si="56"/>
        <v xml:space="preserve"> </v>
      </c>
      <c r="N561" s="100" t="str">
        <f>IFERROR(VLOOKUP(Tablo5[[#This Row],[ÜRÜN KODU]],YMKODLARI!$A$1:$K$363,8,0)," ")</f>
        <v xml:space="preserve"> </v>
      </c>
      <c r="O561" s="100" t="str">
        <f>IFERROR(VLOOKUP(Tablo5[[#This Row],[HAMMADDE KODU]],Tablo1[#All],3,0)," ")</f>
        <v xml:space="preserve"> </v>
      </c>
      <c r="P561" s="100" t="str">
        <f>IFERROR(VLOOKUP(Tablo5[[#This Row],[HAMMADDE KODU]],Tablo1[#All],4,0)," ")</f>
        <v xml:space="preserve"> </v>
      </c>
      <c r="Q561" s="100" t="str">
        <f>IFERROR(VLOOKUP(Tablo5[[#This Row],[ÜRÜN KODU]],YMKODLARI!$A$1:$K$363,5,0)," ")</f>
        <v xml:space="preserve"> </v>
      </c>
      <c r="R561" s="100" t="str">
        <f>IFERROR(VLOOKUP(Tablo5[[#This Row],[ÜRÜN KODU]],YMKODLARI!$A$1:$K$363,6,0)," ")</f>
        <v xml:space="preserve"> </v>
      </c>
      <c r="S561" s="100" t="str">
        <f>IFERROR(Tablo5[[#This Row],[YOLLUK HARİÇ BASKI GRAMI]]/Tablo5[[#This Row],[KALIP GÖZ ADEDİ]]," ")</f>
        <v xml:space="preserve"> </v>
      </c>
      <c r="T561" s="100" t="str">
        <f t="shared" si="58"/>
        <v xml:space="preserve"> </v>
      </c>
      <c r="U561" s="100"/>
      <c r="V561" s="100" t="str">
        <f t="shared" si="57"/>
        <v xml:space="preserve"> </v>
      </c>
      <c r="W561" s="101">
        <f t="shared" si="59"/>
        <v>24</v>
      </c>
      <c r="X561" s="102">
        <f t="shared" si="60"/>
        <v>0</v>
      </c>
      <c r="Y561" s="100" t="str">
        <f t="shared" si="61"/>
        <v xml:space="preserve"> </v>
      </c>
      <c r="Z561" s="100" t="str">
        <f t="shared" si="62"/>
        <v xml:space="preserve"> </v>
      </c>
    </row>
    <row r="562" spans="1:26">
      <c r="A562" s="100"/>
      <c r="B562" s="108" t="str">
        <f>IFERROR(VLOOKUP(Tablo5[[#This Row],[ÜRÜN KODU]],YMKODLARI!$A$1:$K$363,2,0)," ")</f>
        <v xml:space="preserve"> </v>
      </c>
      <c r="C562" s="99"/>
      <c r="D562" s="100"/>
      <c r="E562" s="101"/>
      <c r="F562" s="101"/>
      <c r="G562" s="100" t="str">
        <f>IFERROR(VLOOKUP(Tablo5[[#This Row],[ÜRÜN KODU]],YMKODLARI!$A$1:$K$363,3,0)," ")</f>
        <v xml:space="preserve"> </v>
      </c>
      <c r="H562" s="100" t="str">
        <f>IFERROR(VLOOKUP(Tablo5[[#This Row],[ÜRÜN KODU]],YMKODLARI!$A$1:$K$363,4,0)," ")</f>
        <v xml:space="preserve"> </v>
      </c>
      <c r="I562" s="100"/>
      <c r="J562" s="100" t="str">
        <f>IFERROR(VLOOKUP(Tablo5[[#This Row],[ÜRÜN KODU]],YMKODLARI!$A$1:$K$363,9,0)," ")</f>
        <v xml:space="preserve"> </v>
      </c>
      <c r="K562" s="100" t="str">
        <f>IFERROR(VLOOKUP(Tablo5[[#This Row],[BOYA KODU]],Tablo14[#All],4,0)," ")</f>
        <v xml:space="preserve"> </v>
      </c>
      <c r="L562" s="100" t="str">
        <f>IFERROR(VLOOKUP(Tablo5[[#This Row],[BOYA KODU]],Tablo14[#All],6,0)," ")</f>
        <v xml:space="preserve"> </v>
      </c>
      <c r="M562" s="100" t="str">
        <f t="shared" si="56"/>
        <v xml:space="preserve"> </v>
      </c>
      <c r="N562" s="100" t="str">
        <f>IFERROR(VLOOKUP(Tablo5[[#This Row],[ÜRÜN KODU]],YMKODLARI!$A$1:$K$363,8,0)," ")</f>
        <v xml:space="preserve"> </v>
      </c>
      <c r="O562" s="100" t="str">
        <f>IFERROR(VLOOKUP(Tablo5[[#This Row],[HAMMADDE KODU]],Tablo1[#All],3,0)," ")</f>
        <v xml:space="preserve"> </v>
      </c>
      <c r="P562" s="100" t="str">
        <f>IFERROR(VLOOKUP(Tablo5[[#This Row],[HAMMADDE KODU]],Tablo1[#All],4,0)," ")</f>
        <v xml:space="preserve"> </v>
      </c>
      <c r="Q562" s="100" t="str">
        <f>IFERROR(VLOOKUP(Tablo5[[#This Row],[ÜRÜN KODU]],YMKODLARI!$A$1:$K$363,5,0)," ")</f>
        <v xml:space="preserve"> </v>
      </c>
      <c r="R562" s="100" t="str">
        <f>IFERROR(VLOOKUP(Tablo5[[#This Row],[ÜRÜN KODU]],YMKODLARI!$A$1:$K$363,6,0)," ")</f>
        <v xml:space="preserve"> </v>
      </c>
      <c r="S562" s="100" t="str">
        <f>IFERROR(Tablo5[[#This Row],[YOLLUK HARİÇ BASKI GRAMI]]/Tablo5[[#This Row],[KALIP GÖZ ADEDİ]]," ")</f>
        <v xml:space="preserve"> </v>
      </c>
      <c r="T562" s="100" t="str">
        <f t="shared" si="58"/>
        <v xml:space="preserve"> </v>
      </c>
      <c r="U562" s="100"/>
      <c r="V562" s="100" t="str">
        <f t="shared" si="57"/>
        <v xml:space="preserve"> </v>
      </c>
      <c r="W562" s="101">
        <f t="shared" si="59"/>
        <v>24</v>
      </c>
      <c r="X562" s="102">
        <f t="shared" si="60"/>
        <v>0</v>
      </c>
      <c r="Y562" s="100" t="str">
        <f t="shared" si="61"/>
        <v xml:space="preserve"> </v>
      </c>
      <c r="Z562" s="100" t="str">
        <f t="shared" si="62"/>
        <v xml:space="preserve"> </v>
      </c>
    </row>
    <row r="563" spans="1:26">
      <c r="A563" s="100"/>
      <c r="B563" s="108" t="str">
        <f>IFERROR(VLOOKUP(Tablo5[[#This Row],[ÜRÜN KODU]],YMKODLARI!$A$1:$K$363,2,0)," ")</f>
        <v xml:space="preserve"> </v>
      </c>
      <c r="C563" s="99"/>
      <c r="D563" s="100"/>
      <c r="E563" s="101"/>
      <c r="F563" s="101"/>
      <c r="G563" s="100" t="str">
        <f>IFERROR(VLOOKUP(Tablo5[[#This Row],[ÜRÜN KODU]],YMKODLARI!$A$1:$K$363,3,0)," ")</f>
        <v xml:space="preserve"> </v>
      </c>
      <c r="H563" s="100" t="str">
        <f>IFERROR(VLOOKUP(Tablo5[[#This Row],[ÜRÜN KODU]],YMKODLARI!$A$1:$K$363,4,0)," ")</f>
        <v xml:space="preserve"> </v>
      </c>
      <c r="I563" s="100"/>
      <c r="J563" s="100" t="str">
        <f>IFERROR(VLOOKUP(Tablo5[[#This Row],[ÜRÜN KODU]],YMKODLARI!$A$1:$K$363,9,0)," ")</f>
        <v xml:space="preserve"> </v>
      </c>
      <c r="K563" s="100" t="str">
        <f>IFERROR(VLOOKUP(Tablo5[[#This Row],[BOYA KODU]],Tablo14[#All],4,0)," ")</f>
        <v xml:space="preserve"> </v>
      </c>
      <c r="L563" s="100" t="str">
        <f>IFERROR(VLOOKUP(Tablo5[[#This Row],[BOYA KODU]],Tablo14[#All],6,0)," ")</f>
        <v xml:space="preserve"> </v>
      </c>
      <c r="M563" s="100" t="str">
        <f t="shared" si="56"/>
        <v xml:space="preserve"> </v>
      </c>
      <c r="N563" s="100" t="str">
        <f>IFERROR(VLOOKUP(Tablo5[[#This Row],[ÜRÜN KODU]],YMKODLARI!$A$1:$K$363,8,0)," ")</f>
        <v xml:space="preserve"> </v>
      </c>
      <c r="O563" s="100" t="str">
        <f>IFERROR(VLOOKUP(Tablo5[[#This Row],[HAMMADDE KODU]],Tablo1[#All],3,0)," ")</f>
        <v xml:space="preserve"> </v>
      </c>
      <c r="P563" s="100" t="str">
        <f>IFERROR(VLOOKUP(Tablo5[[#This Row],[HAMMADDE KODU]],Tablo1[#All],4,0)," ")</f>
        <v xml:space="preserve"> </v>
      </c>
      <c r="Q563" s="100" t="str">
        <f>IFERROR(VLOOKUP(Tablo5[[#This Row],[ÜRÜN KODU]],YMKODLARI!$A$1:$K$363,5,0)," ")</f>
        <v xml:space="preserve"> </v>
      </c>
      <c r="R563" s="100" t="str">
        <f>IFERROR(VLOOKUP(Tablo5[[#This Row],[ÜRÜN KODU]],YMKODLARI!$A$1:$K$363,6,0)," ")</f>
        <v xml:space="preserve"> </v>
      </c>
      <c r="S563" s="100" t="str">
        <f>IFERROR(Tablo5[[#This Row],[YOLLUK HARİÇ BASKI GRAMI]]/Tablo5[[#This Row],[KALIP GÖZ ADEDİ]]," ")</f>
        <v xml:space="preserve"> </v>
      </c>
      <c r="T563" s="100" t="str">
        <f t="shared" si="58"/>
        <v xml:space="preserve"> </v>
      </c>
      <c r="U563" s="100"/>
      <c r="V563" s="100" t="str">
        <f t="shared" si="57"/>
        <v xml:space="preserve"> </v>
      </c>
      <c r="W563" s="101">
        <f t="shared" si="59"/>
        <v>24</v>
      </c>
      <c r="X563" s="102">
        <f t="shared" si="60"/>
        <v>0</v>
      </c>
      <c r="Y563" s="100" t="str">
        <f t="shared" si="61"/>
        <v xml:space="preserve"> </v>
      </c>
      <c r="Z563" s="100" t="str">
        <f t="shared" si="62"/>
        <v xml:space="preserve"> </v>
      </c>
    </row>
    <row r="564" spans="1:26">
      <c r="A564" s="100"/>
      <c r="B564" s="108" t="str">
        <f>IFERROR(VLOOKUP(Tablo5[[#This Row],[ÜRÜN KODU]],YMKODLARI!$A$1:$K$363,2,0)," ")</f>
        <v xml:space="preserve"> </v>
      </c>
      <c r="C564" s="99"/>
      <c r="D564" s="100"/>
      <c r="E564" s="101"/>
      <c r="F564" s="101"/>
      <c r="G564" s="100" t="str">
        <f>IFERROR(VLOOKUP(Tablo5[[#This Row],[ÜRÜN KODU]],YMKODLARI!$A$1:$K$363,3,0)," ")</f>
        <v xml:space="preserve"> </v>
      </c>
      <c r="H564" s="100" t="str">
        <f>IFERROR(VLOOKUP(Tablo5[[#This Row],[ÜRÜN KODU]],YMKODLARI!$A$1:$K$363,4,0)," ")</f>
        <v xml:space="preserve"> </v>
      </c>
      <c r="I564" s="100"/>
      <c r="J564" s="100" t="str">
        <f>IFERROR(VLOOKUP(Tablo5[[#This Row],[ÜRÜN KODU]],YMKODLARI!$A$1:$K$363,9,0)," ")</f>
        <v xml:space="preserve"> </v>
      </c>
      <c r="K564" s="100" t="str">
        <f>IFERROR(VLOOKUP(Tablo5[[#This Row],[BOYA KODU]],Tablo14[#All],4,0)," ")</f>
        <v xml:space="preserve"> </v>
      </c>
      <c r="L564" s="100" t="str">
        <f>IFERROR(VLOOKUP(Tablo5[[#This Row],[BOYA KODU]],Tablo14[#All],6,0)," ")</f>
        <v xml:space="preserve"> </v>
      </c>
      <c r="M564" s="100" t="str">
        <f t="shared" si="56"/>
        <v xml:space="preserve"> </v>
      </c>
      <c r="N564" s="100" t="str">
        <f>IFERROR(VLOOKUP(Tablo5[[#This Row],[ÜRÜN KODU]],YMKODLARI!$A$1:$K$363,8,0)," ")</f>
        <v xml:space="preserve"> </v>
      </c>
      <c r="O564" s="100" t="str">
        <f>IFERROR(VLOOKUP(Tablo5[[#This Row],[HAMMADDE KODU]],Tablo1[#All],3,0)," ")</f>
        <v xml:space="preserve"> </v>
      </c>
      <c r="P564" s="100" t="str">
        <f>IFERROR(VLOOKUP(Tablo5[[#This Row],[HAMMADDE KODU]],Tablo1[#All],4,0)," ")</f>
        <v xml:space="preserve"> </v>
      </c>
      <c r="Q564" s="100" t="str">
        <f>IFERROR(VLOOKUP(Tablo5[[#This Row],[ÜRÜN KODU]],YMKODLARI!$A$1:$K$363,5,0)," ")</f>
        <v xml:space="preserve"> </v>
      </c>
      <c r="R564" s="100" t="str">
        <f>IFERROR(VLOOKUP(Tablo5[[#This Row],[ÜRÜN KODU]],YMKODLARI!$A$1:$K$363,6,0)," ")</f>
        <v xml:space="preserve"> </v>
      </c>
      <c r="S564" s="100" t="str">
        <f>IFERROR(Tablo5[[#This Row],[YOLLUK HARİÇ BASKI GRAMI]]/Tablo5[[#This Row],[KALIP GÖZ ADEDİ]]," ")</f>
        <v xml:space="preserve"> </v>
      </c>
      <c r="T564" s="100" t="str">
        <f t="shared" si="58"/>
        <v xml:space="preserve"> </v>
      </c>
      <c r="U564" s="100"/>
      <c r="V564" s="100" t="str">
        <f t="shared" si="57"/>
        <v xml:space="preserve"> </v>
      </c>
      <c r="W564" s="101">
        <f t="shared" si="59"/>
        <v>24</v>
      </c>
      <c r="X564" s="102">
        <f t="shared" si="60"/>
        <v>0</v>
      </c>
      <c r="Y564" s="100" t="str">
        <f t="shared" si="61"/>
        <v xml:space="preserve"> </v>
      </c>
      <c r="Z564" s="100" t="str">
        <f t="shared" si="62"/>
        <v xml:space="preserve"> </v>
      </c>
    </row>
    <row r="565" spans="1:26">
      <c r="A565" s="100"/>
      <c r="B565" s="108" t="str">
        <f>IFERROR(VLOOKUP(Tablo5[[#This Row],[ÜRÜN KODU]],YMKODLARI!$A$1:$K$363,2,0)," ")</f>
        <v xml:space="preserve"> </v>
      </c>
      <c r="C565" s="99"/>
      <c r="D565" s="100"/>
      <c r="E565" s="101"/>
      <c r="F565" s="101"/>
      <c r="G565" s="100" t="str">
        <f>IFERROR(VLOOKUP(Tablo5[[#This Row],[ÜRÜN KODU]],YMKODLARI!$A$1:$K$363,3,0)," ")</f>
        <v xml:space="preserve"> </v>
      </c>
      <c r="H565" s="100" t="str">
        <f>IFERROR(VLOOKUP(Tablo5[[#This Row],[ÜRÜN KODU]],YMKODLARI!$A$1:$K$363,4,0)," ")</f>
        <v xml:space="preserve"> </v>
      </c>
      <c r="I565" s="100"/>
      <c r="J565" s="100" t="str">
        <f>IFERROR(VLOOKUP(Tablo5[[#This Row],[ÜRÜN KODU]],YMKODLARI!$A$1:$K$363,9,0)," ")</f>
        <v xml:space="preserve"> </v>
      </c>
      <c r="K565" s="100" t="str">
        <f>IFERROR(VLOOKUP(Tablo5[[#This Row],[BOYA KODU]],Tablo14[#All],4,0)," ")</f>
        <v xml:space="preserve"> </v>
      </c>
      <c r="L565" s="100" t="str">
        <f>IFERROR(VLOOKUP(Tablo5[[#This Row],[BOYA KODU]],Tablo14[#All],6,0)," ")</f>
        <v xml:space="preserve"> </v>
      </c>
      <c r="M565" s="100" t="str">
        <f t="shared" si="56"/>
        <v xml:space="preserve"> </v>
      </c>
      <c r="N565" s="100" t="str">
        <f>IFERROR(VLOOKUP(Tablo5[[#This Row],[ÜRÜN KODU]],YMKODLARI!$A$1:$K$363,8,0)," ")</f>
        <v xml:space="preserve"> </v>
      </c>
      <c r="O565" s="100" t="str">
        <f>IFERROR(VLOOKUP(Tablo5[[#This Row],[HAMMADDE KODU]],Tablo1[#All],3,0)," ")</f>
        <v xml:space="preserve"> </v>
      </c>
      <c r="P565" s="100" t="str">
        <f>IFERROR(VLOOKUP(Tablo5[[#This Row],[HAMMADDE KODU]],Tablo1[#All],4,0)," ")</f>
        <v xml:space="preserve"> </v>
      </c>
      <c r="Q565" s="100" t="str">
        <f>IFERROR(VLOOKUP(Tablo5[[#This Row],[ÜRÜN KODU]],YMKODLARI!$A$1:$K$363,5,0)," ")</f>
        <v xml:space="preserve"> </v>
      </c>
      <c r="R565" s="100" t="str">
        <f>IFERROR(VLOOKUP(Tablo5[[#This Row],[ÜRÜN KODU]],YMKODLARI!$A$1:$K$363,6,0)," ")</f>
        <v xml:space="preserve"> </v>
      </c>
      <c r="S565" s="100" t="str">
        <f>IFERROR(Tablo5[[#This Row],[YOLLUK HARİÇ BASKI GRAMI]]/Tablo5[[#This Row],[KALIP GÖZ ADEDİ]]," ")</f>
        <v xml:space="preserve"> </v>
      </c>
      <c r="T565" s="100" t="str">
        <f t="shared" si="58"/>
        <v xml:space="preserve"> </v>
      </c>
      <c r="U565" s="100"/>
      <c r="V565" s="100" t="str">
        <f t="shared" si="57"/>
        <v xml:space="preserve"> </v>
      </c>
      <c r="W565" s="101">
        <f t="shared" si="59"/>
        <v>24</v>
      </c>
      <c r="X565" s="102">
        <f t="shared" si="60"/>
        <v>0</v>
      </c>
      <c r="Y565" s="100" t="str">
        <f t="shared" si="61"/>
        <v xml:space="preserve"> </v>
      </c>
      <c r="Z565" s="100" t="str">
        <f t="shared" si="62"/>
        <v xml:space="preserve"> </v>
      </c>
    </row>
    <row r="566" spans="1:26">
      <c r="A566" s="100"/>
      <c r="B566" s="108" t="str">
        <f>IFERROR(VLOOKUP(Tablo5[[#This Row],[ÜRÜN KODU]],YMKODLARI!$A$1:$K$363,2,0)," ")</f>
        <v xml:space="preserve"> </v>
      </c>
      <c r="C566" s="99"/>
      <c r="D566" s="100"/>
      <c r="E566" s="101"/>
      <c r="F566" s="101"/>
      <c r="G566" s="100" t="str">
        <f>IFERROR(VLOOKUP(Tablo5[[#This Row],[ÜRÜN KODU]],YMKODLARI!$A$1:$K$363,3,0)," ")</f>
        <v xml:space="preserve"> </v>
      </c>
      <c r="H566" s="100" t="str">
        <f>IFERROR(VLOOKUP(Tablo5[[#This Row],[ÜRÜN KODU]],YMKODLARI!$A$1:$K$363,4,0)," ")</f>
        <v xml:space="preserve"> </v>
      </c>
      <c r="I566" s="100"/>
      <c r="J566" s="100" t="str">
        <f>IFERROR(VLOOKUP(Tablo5[[#This Row],[ÜRÜN KODU]],YMKODLARI!$A$1:$K$363,9,0)," ")</f>
        <v xml:space="preserve"> </v>
      </c>
      <c r="K566" s="100" t="str">
        <f>IFERROR(VLOOKUP(Tablo5[[#This Row],[BOYA KODU]],Tablo14[#All],4,0)," ")</f>
        <v xml:space="preserve"> </v>
      </c>
      <c r="L566" s="100" t="str">
        <f>IFERROR(VLOOKUP(Tablo5[[#This Row],[BOYA KODU]],Tablo14[#All],6,0)," ")</f>
        <v xml:space="preserve"> </v>
      </c>
      <c r="M566" s="100" t="str">
        <f t="shared" si="56"/>
        <v xml:space="preserve"> </v>
      </c>
      <c r="N566" s="100" t="str">
        <f>IFERROR(VLOOKUP(Tablo5[[#This Row],[ÜRÜN KODU]],YMKODLARI!$A$1:$K$363,8,0)," ")</f>
        <v xml:space="preserve"> </v>
      </c>
      <c r="O566" s="100" t="str">
        <f>IFERROR(VLOOKUP(Tablo5[[#This Row],[HAMMADDE KODU]],Tablo1[#All],3,0)," ")</f>
        <v xml:space="preserve"> </v>
      </c>
      <c r="P566" s="100" t="str">
        <f>IFERROR(VLOOKUP(Tablo5[[#This Row],[HAMMADDE KODU]],Tablo1[#All],4,0)," ")</f>
        <v xml:space="preserve"> </v>
      </c>
      <c r="Q566" s="100" t="str">
        <f>IFERROR(VLOOKUP(Tablo5[[#This Row],[ÜRÜN KODU]],YMKODLARI!$A$1:$K$363,5,0)," ")</f>
        <v xml:space="preserve"> </v>
      </c>
      <c r="R566" s="100" t="str">
        <f>IFERROR(VLOOKUP(Tablo5[[#This Row],[ÜRÜN KODU]],YMKODLARI!$A$1:$K$363,6,0)," ")</f>
        <v xml:space="preserve"> </v>
      </c>
      <c r="S566" s="100" t="str">
        <f>IFERROR(Tablo5[[#This Row],[YOLLUK HARİÇ BASKI GRAMI]]/Tablo5[[#This Row],[KALIP GÖZ ADEDİ]]," ")</f>
        <v xml:space="preserve"> </v>
      </c>
      <c r="T566" s="100" t="str">
        <f t="shared" si="58"/>
        <v xml:space="preserve"> </v>
      </c>
      <c r="U566" s="100"/>
      <c r="V566" s="100" t="str">
        <f t="shared" si="57"/>
        <v xml:space="preserve"> </v>
      </c>
      <c r="W566" s="101">
        <f t="shared" si="59"/>
        <v>24</v>
      </c>
      <c r="X566" s="102">
        <f t="shared" si="60"/>
        <v>0</v>
      </c>
      <c r="Y566" s="100" t="str">
        <f t="shared" si="61"/>
        <v xml:space="preserve"> </v>
      </c>
      <c r="Z566" s="100" t="str">
        <f t="shared" si="62"/>
        <v xml:space="preserve"> </v>
      </c>
    </row>
    <row r="567" spans="1:26">
      <c r="A567" s="100"/>
      <c r="B567" s="108" t="str">
        <f>IFERROR(VLOOKUP(Tablo5[[#This Row],[ÜRÜN KODU]],YMKODLARI!$A$1:$K$363,2,0)," ")</f>
        <v xml:space="preserve"> </v>
      </c>
      <c r="C567" s="99"/>
      <c r="D567" s="100"/>
      <c r="E567" s="101"/>
      <c r="F567" s="101"/>
      <c r="G567" s="100" t="str">
        <f>IFERROR(VLOOKUP(Tablo5[[#This Row],[ÜRÜN KODU]],YMKODLARI!$A$1:$K$363,3,0)," ")</f>
        <v xml:space="preserve"> </v>
      </c>
      <c r="H567" s="100" t="str">
        <f>IFERROR(VLOOKUP(Tablo5[[#This Row],[ÜRÜN KODU]],YMKODLARI!$A$1:$K$363,4,0)," ")</f>
        <v xml:space="preserve"> </v>
      </c>
      <c r="I567" s="100"/>
      <c r="J567" s="100" t="str">
        <f>IFERROR(VLOOKUP(Tablo5[[#This Row],[ÜRÜN KODU]],YMKODLARI!$A$1:$K$363,9,0)," ")</f>
        <v xml:space="preserve"> </v>
      </c>
      <c r="K567" s="100" t="str">
        <f>IFERROR(VLOOKUP(Tablo5[[#This Row],[BOYA KODU]],Tablo14[#All],4,0)," ")</f>
        <v xml:space="preserve"> </v>
      </c>
      <c r="L567" s="100" t="str">
        <f>IFERROR(VLOOKUP(Tablo5[[#This Row],[BOYA KODU]],Tablo14[#All],6,0)," ")</f>
        <v xml:space="preserve"> </v>
      </c>
      <c r="M567" s="100" t="str">
        <f t="shared" si="56"/>
        <v xml:space="preserve"> </v>
      </c>
      <c r="N567" s="100" t="str">
        <f>IFERROR(VLOOKUP(Tablo5[[#This Row],[ÜRÜN KODU]],YMKODLARI!$A$1:$K$363,8,0)," ")</f>
        <v xml:space="preserve"> </v>
      </c>
      <c r="O567" s="100" t="str">
        <f>IFERROR(VLOOKUP(Tablo5[[#This Row],[HAMMADDE KODU]],Tablo1[#All],3,0)," ")</f>
        <v xml:space="preserve"> </v>
      </c>
      <c r="P567" s="100" t="str">
        <f>IFERROR(VLOOKUP(Tablo5[[#This Row],[HAMMADDE KODU]],Tablo1[#All],4,0)," ")</f>
        <v xml:space="preserve"> </v>
      </c>
      <c r="Q567" s="100" t="str">
        <f>IFERROR(VLOOKUP(Tablo5[[#This Row],[ÜRÜN KODU]],YMKODLARI!$A$1:$K$363,5,0)," ")</f>
        <v xml:space="preserve"> </v>
      </c>
      <c r="R567" s="100" t="str">
        <f>IFERROR(VLOOKUP(Tablo5[[#This Row],[ÜRÜN KODU]],YMKODLARI!$A$1:$K$363,6,0)," ")</f>
        <v xml:space="preserve"> </v>
      </c>
      <c r="S567" s="100" t="str">
        <f>IFERROR(Tablo5[[#This Row],[YOLLUK HARİÇ BASKI GRAMI]]/Tablo5[[#This Row],[KALIP GÖZ ADEDİ]]," ")</f>
        <v xml:space="preserve"> </v>
      </c>
      <c r="T567" s="100" t="str">
        <f t="shared" si="58"/>
        <v xml:space="preserve"> </v>
      </c>
      <c r="U567" s="100"/>
      <c r="V567" s="100" t="str">
        <f t="shared" si="57"/>
        <v xml:space="preserve"> </v>
      </c>
      <c r="W567" s="101">
        <f t="shared" si="59"/>
        <v>24</v>
      </c>
      <c r="X567" s="102">
        <f t="shared" si="60"/>
        <v>0</v>
      </c>
      <c r="Y567" s="100" t="str">
        <f t="shared" si="61"/>
        <v xml:space="preserve"> </v>
      </c>
      <c r="Z567" s="100" t="str">
        <f t="shared" si="62"/>
        <v xml:space="preserve"> </v>
      </c>
    </row>
    <row r="568" spans="1:26">
      <c r="A568" s="100"/>
      <c r="B568" s="108" t="str">
        <f>IFERROR(VLOOKUP(Tablo5[[#This Row],[ÜRÜN KODU]],YMKODLARI!$A$1:$K$363,2,0)," ")</f>
        <v xml:space="preserve"> </v>
      </c>
      <c r="C568" s="99"/>
      <c r="D568" s="100"/>
      <c r="E568" s="101"/>
      <c r="F568" s="101"/>
      <c r="G568" s="100" t="str">
        <f>IFERROR(VLOOKUP(Tablo5[[#This Row],[ÜRÜN KODU]],YMKODLARI!$A$1:$K$363,3,0)," ")</f>
        <v xml:space="preserve"> </v>
      </c>
      <c r="H568" s="100" t="str">
        <f>IFERROR(VLOOKUP(Tablo5[[#This Row],[ÜRÜN KODU]],YMKODLARI!$A$1:$K$363,4,0)," ")</f>
        <v xml:space="preserve"> </v>
      </c>
      <c r="I568" s="100"/>
      <c r="J568" s="100" t="str">
        <f>IFERROR(VLOOKUP(Tablo5[[#This Row],[ÜRÜN KODU]],YMKODLARI!$A$1:$K$363,9,0)," ")</f>
        <v xml:space="preserve"> </v>
      </c>
      <c r="K568" s="100" t="str">
        <f>IFERROR(VLOOKUP(Tablo5[[#This Row],[BOYA KODU]],Tablo14[#All],4,0)," ")</f>
        <v xml:space="preserve"> </v>
      </c>
      <c r="L568" s="100" t="str">
        <f>IFERROR(VLOOKUP(Tablo5[[#This Row],[BOYA KODU]],Tablo14[#All],6,0)," ")</f>
        <v xml:space="preserve"> </v>
      </c>
      <c r="M568" s="100" t="str">
        <f t="shared" si="56"/>
        <v xml:space="preserve"> </v>
      </c>
      <c r="N568" s="100" t="str">
        <f>IFERROR(VLOOKUP(Tablo5[[#This Row],[ÜRÜN KODU]],YMKODLARI!$A$1:$K$363,8,0)," ")</f>
        <v xml:space="preserve"> </v>
      </c>
      <c r="O568" s="100" t="str">
        <f>IFERROR(VLOOKUP(Tablo5[[#This Row],[HAMMADDE KODU]],Tablo1[#All],3,0)," ")</f>
        <v xml:space="preserve"> </v>
      </c>
      <c r="P568" s="100" t="str">
        <f>IFERROR(VLOOKUP(Tablo5[[#This Row],[HAMMADDE KODU]],Tablo1[#All],4,0)," ")</f>
        <v xml:space="preserve"> </v>
      </c>
      <c r="Q568" s="100" t="str">
        <f>IFERROR(VLOOKUP(Tablo5[[#This Row],[ÜRÜN KODU]],YMKODLARI!$A$1:$K$363,5,0)," ")</f>
        <v xml:space="preserve"> </v>
      </c>
      <c r="R568" s="100" t="str">
        <f>IFERROR(VLOOKUP(Tablo5[[#This Row],[ÜRÜN KODU]],YMKODLARI!$A$1:$K$363,6,0)," ")</f>
        <v xml:space="preserve"> </v>
      </c>
      <c r="S568" s="100" t="str">
        <f>IFERROR(Tablo5[[#This Row],[YOLLUK HARİÇ BASKI GRAMI]]/Tablo5[[#This Row],[KALIP GÖZ ADEDİ]]," ")</f>
        <v xml:space="preserve"> </v>
      </c>
      <c r="T568" s="100" t="str">
        <f t="shared" si="58"/>
        <v xml:space="preserve"> </v>
      </c>
      <c r="U568" s="100"/>
      <c r="V568" s="100" t="str">
        <f t="shared" si="57"/>
        <v xml:space="preserve"> </v>
      </c>
      <c r="W568" s="101">
        <f t="shared" si="59"/>
        <v>24</v>
      </c>
      <c r="X568" s="102">
        <f t="shared" si="60"/>
        <v>0</v>
      </c>
      <c r="Y568" s="100" t="str">
        <f t="shared" si="61"/>
        <v xml:space="preserve"> </v>
      </c>
      <c r="Z568" s="100" t="str">
        <f t="shared" si="62"/>
        <v xml:space="preserve"> </v>
      </c>
    </row>
    <row r="569" spans="1:26">
      <c r="A569" s="100"/>
      <c r="B569" s="108" t="str">
        <f>IFERROR(VLOOKUP(Tablo5[[#This Row],[ÜRÜN KODU]],YMKODLARI!$A$1:$K$363,2,0)," ")</f>
        <v xml:space="preserve"> </v>
      </c>
      <c r="C569" s="99"/>
      <c r="D569" s="100"/>
      <c r="E569" s="101"/>
      <c r="F569" s="101"/>
      <c r="G569" s="100" t="str">
        <f>IFERROR(VLOOKUP(Tablo5[[#This Row],[ÜRÜN KODU]],YMKODLARI!$A$1:$K$363,3,0)," ")</f>
        <v xml:space="preserve"> </v>
      </c>
      <c r="H569" s="100" t="str">
        <f>IFERROR(VLOOKUP(Tablo5[[#This Row],[ÜRÜN KODU]],YMKODLARI!$A$1:$K$363,4,0)," ")</f>
        <v xml:space="preserve"> </v>
      </c>
      <c r="I569" s="100"/>
      <c r="J569" s="100" t="str">
        <f>IFERROR(VLOOKUP(Tablo5[[#This Row],[ÜRÜN KODU]],YMKODLARI!$A$1:$K$363,9,0)," ")</f>
        <v xml:space="preserve"> </v>
      </c>
      <c r="K569" s="100" t="str">
        <f>IFERROR(VLOOKUP(Tablo5[[#This Row],[BOYA KODU]],Tablo14[#All],4,0)," ")</f>
        <v xml:space="preserve"> </v>
      </c>
      <c r="L569" s="100" t="str">
        <f>IFERROR(VLOOKUP(Tablo5[[#This Row],[BOYA KODU]],Tablo14[#All],6,0)," ")</f>
        <v xml:space="preserve"> </v>
      </c>
      <c r="M569" s="100" t="str">
        <f t="shared" si="56"/>
        <v xml:space="preserve"> </v>
      </c>
      <c r="N569" s="100" t="str">
        <f>IFERROR(VLOOKUP(Tablo5[[#This Row],[ÜRÜN KODU]],YMKODLARI!$A$1:$K$363,8,0)," ")</f>
        <v xml:space="preserve"> </v>
      </c>
      <c r="O569" s="100" t="str">
        <f>IFERROR(VLOOKUP(Tablo5[[#This Row],[HAMMADDE KODU]],Tablo1[#All],3,0)," ")</f>
        <v xml:space="preserve"> </v>
      </c>
      <c r="P569" s="100" t="str">
        <f>IFERROR(VLOOKUP(Tablo5[[#This Row],[HAMMADDE KODU]],Tablo1[#All],4,0)," ")</f>
        <v xml:space="preserve"> </v>
      </c>
      <c r="Q569" s="100" t="str">
        <f>IFERROR(VLOOKUP(Tablo5[[#This Row],[ÜRÜN KODU]],YMKODLARI!$A$1:$K$363,5,0)," ")</f>
        <v xml:space="preserve"> </v>
      </c>
      <c r="R569" s="100" t="str">
        <f>IFERROR(VLOOKUP(Tablo5[[#This Row],[ÜRÜN KODU]],YMKODLARI!$A$1:$K$363,6,0)," ")</f>
        <v xml:space="preserve"> </v>
      </c>
      <c r="S569" s="100" t="str">
        <f>IFERROR(Tablo5[[#This Row],[YOLLUK HARİÇ BASKI GRAMI]]/Tablo5[[#This Row],[KALIP GÖZ ADEDİ]]," ")</f>
        <v xml:space="preserve"> </v>
      </c>
      <c r="T569" s="100" t="str">
        <f t="shared" si="58"/>
        <v xml:space="preserve"> </v>
      </c>
      <c r="U569" s="100"/>
      <c r="V569" s="100" t="str">
        <f t="shared" si="57"/>
        <v xml:space="preserve"> </v>
      </c>
      <c r="W569" s="101">
        <f t="shared" si="59"/>
        <v>24</v>
      </c>
      <c r="X569" s="102">
        <f t="shared" si="60"/>
        <v>0</v>
      </c>
      <c r="Y569" s="100" t="str">
        <f t="shared" si="61"/>
        <v xml:space="preserve"> </v>
      </c>
      <c r="Z569" s="100" t="str">
        <f t="shared" si="62"/>
        <v xml:space="preserve"> </v>
      </c>
    </row>
    <row r="570" spans="1:26">
      <c r="A570" s="100"/>
      <c r="B570" s="108" t="str">
        <f>IFERROR(VLOOKUP(Tablo5[[#This Row],[ÜRÜN KODU]],YMKODLARI!$A$1:$K$363,2,0)," ")</f>
        <v xml:space="preserve"> </v>
      </c>
      <c r="C570" s="99"/>
      <c r="D570" s="100"/>
      <c r="E570" s="101"/>
      <c r="F570" s="101"/>
      <c r="G570" s="100" t="str">
        <f>IFERROR(VLOOKUP(Tablo5[[#This Row],[ÜRÜN KODU]],YMKODLARI!$A$1:$K$363,3,0)," ")</f>
        <v xml:space="preserve"> </v>
      </c>
      <c r="H570" s="100" t="str">
        <f>IFERROR(VLOOKUP(Tablo5[[#This Row],[ÜRÜN KODU]],YMKODLARI!$A$1:$K$363,4,0)," ")</f>
        <v xml:space="preserve"> </v>
      </c>
      <c r="I570" s="100"/>
      <c r="J570" s="100" t="str">
        <f>IFERROR(VLOOKUP(Tablo5[[#This Row],[ÜRÜN KODU]],YMKODLARI!$A$1:$K$363,9,0)," ")</f>
        <v xml:space="preserve"> </v>
      </c>
      <c r="K570" s="100" t="str">
        <f>IFERROR(VLOOKUP(Tablo5[[#This Row],[BOYA KODU]],Tablo14[#All],4,0)," ")</f>
        <v xml:space="preserve"> </v>
      </c>
      <c r="L570" s="100" t="str">
        <f>IFERROR(VLOOKUP(Tablo5[[#This Row],[BOYA KODU]],Tablo14[#All],6,0)," ")</f>
        <v xml:space="preserve"> </v>
      </c>
      <c r="M570" s="100" t="str">
        <f t="shared" si="56"/>
        <v xml:space="preserve"> </v>
      </c>
      <c r="N570" s="100" t="str">
        <f>IFERROR(VLOOKUP(Tablo5[[#This Row],[ÜRÜN KODU]],YMKODLARI!$A$1:$K$363,8,0)," ")</f>
        <v xml:space="preserve"> </v>
      </c>
      <c r="O570" s="100" t="str">
        <f>IFERROR(VLOOKUP(Tablo5[[#This Row],[HAMMADDE KODU]],Tablo1[#All],3,0)," ")</f>
        <v xml:space="preserve"> </v>
      </c>
      <c r="P570" s="100" t="str">
        <f>IFERROR(VLOOKUP(Tablo5[[#This Row],[HAMMADDE KODU]],Tablo1[#All],4,0)," ")</f>
        <v xml:space="preserve"> </v>
      </c>
      <c r="Q570" s="100" t="str">
        <f>IFERROR(VLOOKUP(Tablo5[[#This Row],[ÜRÜN KODU]],YMKODLARI!$A$1:$K$363,5,0)," ")</f>
        <v xml:space="preserve"> </v>
      </c>
      <c r="R570" s="100" t="str">
        <f>IFERROR(VLOOKUP(Tablo5[[#This Row],[ÜRÜN KODU]],YMKODLARI!$A$1:$K$363,6,0)," ")</f>
        <v xml:space="preserve"> </v>
      </c>
      <c r="S570" s="100" t="str">
        <f>IFERROR(Tablo5[[#This Row],[YOLLUK HARİÇ BASKI GRAMI]]/Tablo5[[#This Row],[KALIP GÖZ ADEDİ]]," ")</f>
        <v xml:space="preserve"> </v>
      </c>
      <c r="T570" s="100" t="str">
        <f t="shared" si="58"/>
        <v xml:space="preserve"> </v>
      </c>
      <c r="U570" s="100"/>
      <c r="V570" s="100" t="str">
        <f t="shared" si="57"/>
        <v xml:space="preserve"> </v>
      </c>
      <c r="W570" s="101">
        <f t="shared" si="59"/>
        <v>24</v>
      </c>
      <c r="X570" s="102">
        <f t="shared" si="60"/>
        <v>0</v>
      </c>
      <c r="Y570" s="100" t="str">
        <f t="shared" si="61"/>
        <v xml:space="preserve"> </v>
      </c>
      <c r="Z570" s="100" t="str">
        <f t="shared" si="62"/>
        <v xml:space="preserve"> </v>
      </c>
    </row>
    <row r="571" spans="1:26">
      <c r="A571" s="100"/>
      <c r="B571" s="108" t="str">
        <f>IFERROR(VLOOKUP(Tablo5[[#This Row],[ÜRÜN KODU]],YMKODLARI!$A$1:$K$363,2,0)," ")</f>
        <v xml:space="preserve"> </v>
      </c>
      <c r="C571" s="99"/>
      <c r="D571" s="100"/>
      <c r="E571" s="101"/>
      <c r="F571" s="101"/>
      <c r="G571" s="100" t="str">
        <f>IFERROR(VLOOKUP(Tablo5[[#This Row],[ÜRÜN KODU]],YMKODLARI!$A$1:$K$363,3,0)," ")</f>
        <v xml:space="preserve"> </v>
      </c>
      <c r="H571" s="100" t="str">
        <f>IFERROR(VLOOKUP(Tablo5[[#This Row],[ÜRÜN KODU]],YMKODLARI!$A$1:$K$363,4,0)," ")</f>
        <v xml:space="preserve"> </v>
      </c>
      <c r="I571" s="100"/>
      <c r="J571" s="100" t="str">
        <f>IFERROR(VLOOKUP(Tablo5[[#This Row],[ÜRÜN KODU]],YMKODLARI!$A$1:$K$363,9,0)," ")</f>
        <v xml:space="preserve"> </v>
      </c>
      <c r="K571" s="100" t="str">
        <f>IFERROR(VLOOKUP(Tablo5[[#This Row],[BOYA KODU]],Tablo14[#All],4,0)," ")</f>
        <v xml:space="preserve"> </v>
      </c>
      <c r="L571" s="100" t="str">
        <f>IFERROR(VLOOKUP(Tablo5[[#This Row],[BOYA KODU]],Tablo14[#All],6,0)," ")</f>
        <v xml:space="preserve"> </v>
      </c>
      <c r="M571" s="100" t="str">
        <f t="shared" si="56"/>
        <v xml:space="preserve"> </v>
      </c>
      <c r="N571" s="100" t="str">
        <f>IFERROR(VLOOKUP(Tablo5[[#This Row],[ÜRÜN KODU]],YMKODLARI!$A$1:$K$363,8,0)," ")</f>
        <v xml:space="preserve"> </v>
      </c>
      <c r="O571" s="100" t="str">
        <f>IFERROR(VLOOKUP(Tablo5[[#This Row],[HAMMADDE KODU]],Tablo1[#All],3,0)," ")</f>
        <v xml:space="preserve"> </v>
      </c>
      <c r="P571" s="100" t="str">
        <f>IFERROR(VLOOKUP(Tablo5[[#This Row],[HAMMADDE KODU]],Tablo1[#All],4,0)," ")</f>
        <v xml:space="preserve"> </v>
      </c>
      <c r="Q571" s="100" t="str">
        <f>IFERROR(VLOOKUP(Tablo5[[#This Row],[ÜRÜN KODU]],YMKODLARI!$A$1:$K$363,5,0)," ")</f>
        <v xml:space="preserve"> </v>
      </c>
      <c r="R571" s="100" t="str">
        <f>IFERROR(VLOOKUP(Tablo5[[#This Row],[ÜRÜN KODU]],YMKODLARI!$A$1:$K$363,6,0)," ")</f>
        <v xml:space="preserve"> </v>
      </c>
      <c r="S571" s="100" t="str">
        <f>IFERROR(Tablo5[[#This Row],[YOLLUK HARİÇ BASKI GRAMI]]/Tablo5[[#This Row],[KALIP GÖZ ADEDİ]]," ")</f>
        <v xml:space="preserve"> </v>
      </c>
      <c r="T571" s="100" t="str">
        <f t="shared" si="58"/>
        <v xml:space="preserve"> </v>
      </c>
      <c r="U571" s="100"/>
      <c r="V571" s="100" t="str">
        <f t="shared" si="57"/>
        <v xml:space="preserve"> </v>
      </c>
      <c r="W571" s="101">
        <f t="shared" si="59"/>
        <v>24</v>
      </c>
      <c r="X571" s="102">
        <f t="shared" si="60"/>
        <v>0</v>
      </c>
      <c r="Y571" s="100" t="str">
        <f t="shared" si="61"/>
        <v xml:space="preserve"> </v>
      </c>
      <c r="Z571" s="100" t="str">
        <f t="shared" si="62"/>
        <v xml:space="preserve"> </v>
      </c>
    </row>
    <row r="572" spans="1:26">
      <c r="A572" s="100"/>
      <c r="B572" s="108" t="str">
        <f>IFERROR(VLOOKUP(Tablo5[[#This Row],[ÜRÜN KODU]],YMKODLARI!$A$1:$K$363,2,0)," ")</f>
        <v xml:space="preserve"> </v>
      </c>
      <c r="C572" s="99"/>
      <c r="D572" s="100"/>
      <c r="E572" s="101"/>
      <c r="F572" s="101"/>
      <c r="G572" s="100" t="str">
        <f>IFERROR(VLOOKUP(Tablo5[[#This Row],[ÜRÜN KODU]],YMKODLARI!$A$1:$K$363,3,0)," ")</f>
        <v xml:space="preserve"> </v>
      </c>
      <c r="H572" s="100" t="str">
        <f>IFERROR(VLOOKUP(Tablo5[[#This Row],[ÜRÜN KODU]],YMKODLARI!$A$1:$K$363,4,0)," ")</f>
        <v xml:space="preserve"> </v>
      </c>
      <c r="I572" s="100"/>
      <c r="J572" s="100" t="str">
        <f>IFERROR(VLOOKUP(Tablo5[[#This Row],[ÜRÜN KODU]],YMKODLARI!$A$1:$K$363,9,0)," ")</f>
        <v xml:space="preserve"> </v>
      </c>
      <c r="K572" s="100" t="str">
        <f>IFERROR(VLOOKUP(Tablo5[[#This Row],[BOYA KODU]],Tablo14[#All],4,0)," ")</f>
        <v xml:space="preserve"> </v>
      </c>
      <c r="L572" s="100" t="str">
        <f>IFERROR(VLOOKUP(Tablo5[[#This Row],[BOYA KODU]],Tablo14[#All],6,0)," ")</f>
        <v xml:space="preserve"> </v>
      </c>
      <c r="M572" s="100" t="str">
        <f t="shared" si="56"/>
        <v xml:space="preserve"> </v>
      </c>
      <c r="N572" s="100" t="str">
        <f>IFERROR(VLOOKUP(Tablo5[[#This Row],[ÜRÜN KODU]],YMKODLARI!$A$1:$K$363,8,0)," ")</f>
        <v xml:space="preserve"> </v>
      </c>
      <c r="O572" s="100" t="str">
        <f>IFERROR(VLOOKUP(Tablo5[[#This Row],[HAMMADDE KODU]],Tablo1[#All],3,0)," ")</f>
        <v xml:space="preserve"> </v>
      </c>
      <c r="P572" s="100" t="str">
        <f>IFERROR(VLOOKUP(Tablo5[[#This Row],[HAMMADDE KODU]],Tablo1[#All],4,0)," ")</f>
        <v xml:space="preserve"> </v>
      </c>
      <c r="Q572" s="100" t="str">
        <f>IFERROR(VLOOKUP(Tablo5[[#This Row],[ÜRÜN KODU]],YMKODLARI!$A$1:$K$363,5,0)," ")</f>
        <v xml:space="preserve"> </v>
      </c>
      <c r="R572" s="100" t="str">
        <f>IFERROR(VLOOKUP(Tablo5[[#This Row],[ÜRÜN KODU]],YMKODLARI!$A$1:$K$363,6,0)," ")</f>
        <v xml:space="preserve"> </v>
      </c>
      <c r="S572" s="100" t="str">
        <f>IFERROR(Tablo5[[#This Row],[YOLLUK HARİÇ BASKI GRAMI]]/Tablo5[[#This Row],[KALIP GÖZ ADEDİ]]," ")</f>
        <v xml:space="preserve"> </v>
      </c>
      <c r="T572" s="100" t="str">
        <f t="shared" si="58"/>
        <v xml:space="preserve"> </v>
      </c>
      <c r="U572" s="100"/>
      <c r="V572" s="100" t="str">
        <f t="shared" si="57"/>
        <v xml:space="preserve"> </v>
      </c>
      <c r="W572" s="101">
        <f t="shared" si="59"/>
        <v>24</v>
      </c>
      <c r="X572" s="102">
        <f t="shared" si="60"/>
        <v>0</v>
      </c>
      <c r="Y572" s="100" t="str">
        <f t="shared" si="61"/>
        <v xml:space="preserve"> </v>
      </c>
      <c r="Z572" s="100" t="str">
        <f t="shared" si="62"/>
        <v xml:space="preserve"> </v>
      </c>
    </row>
    <row r="573" spans="1:26">
      <c r="A573" s="111"/>
      <c r="B573" s="112" t="str">
        <f>IFERROR(VLOOKUP(Tablo5[[#This Row],[ÜRÜN KODU]],YMKODLARI!$A$1:$K$363,2,0)," ")</f>
        <v xml:space="preserve"> </v>
      </c>
      <c r="C573" s="113"/>
      <c r="D573" s="111"/>
      <c r="E573" s="114"/>
      <c r="F573" s="114"/>
      <c r="G573" s="111" t="str">
        <f>IFERROR(VLOOKUP(Tablo5[[#This Row],[ÜRÜN KODU]],YMKODLARI!$A$1:$K$363,3,0)," ")</f>
        <v xml:space="preserve"> </v>
      </c>
      <c r="H573" s="111" t="str">
        <f>IFERROR(VLOOKUP(Tablo5[[#This Row],[ÜRÜN KODU]],YMKODLARI!$A$1:$K$363,4,0)," ")</f>
        <v xml:space="preserve"> </v>
      </c>
      <c r="I573" s="111"/>
      <c r="J573" s="111" t="str">
        <f>IFERROR(VLOOKUP(Tablo5[[#This Row],[ÜRÜN KODU]],YMKODLARI!$A$1:$K$363,9,0)," ")</f>
        <v xml:space="preserve"> </v>
      </c>
      <c r="K573" s="111" t="str">
        <f>IFERROR(VLOOKUP(Tablo5[[#This Row],[BOYA KODU]],Tablo14[#All],4,0)," ")</f>
        <v xml:space="preserve"> </v>
      </c>
      <c r="L573" s="111" t="str">
        <f>IFERROR(VLOOKUP(Tablo5[[#This Row],[BOYA KODU]],Tablo14[#All],6,0)," ")</f>
        <v xml:space="preserve"> </v>
      </c>
      <c r="M573" s="111" t="str">
        <f>IFERROR((I573*Q573)*L573," ")</f>
        <v xml:space="preserve"> </v>
      </c>
      <c r="N573" s="111" t="str">
        <f>IFERROR(VLOOKUP(Tablo5[[#This Row],[ÜRÜN KODU]],YMKODLARI!$A$1:$K$363,8,0)," ")</f>
        <v xml:space="preserve"> </v>
      </c>
      <c r="O573" s="111" t="str">
        <f>IFERROR(VLOOKUP(Tablo5[[#This Row],[HAMMADDE KODU]],Tablo1[#All],3,0)," ")</f>
        <v xml:space="preserve"> </v>
      </c>
      <c r="P573" s="111" t="str">
        <f>IFERROR(VLOOKUP(Tablo5[[#This Row],[HAMMADDE KODU]],Tablo1[#All],4,0)," ")</f>
        <v xml:space="preserve"> </v>
      </c>
      <c r="Q573" s="111" t="str">
        <f>IFERROR(VLOOKUP(Tablo5[[#This Row],[ÜRÜN KODU]],YMKODLARI!$A$1:$K$363,5,0)," ")</f>
        <v xml:space="preserve"> </v>
      </c>
      <c r="R573" s="111" t="str">
        <f>IFERROR(VLOOKUP(Tablo5[[#This Row],[ÜRÜN KODU]],YMKODLARI!$A$1:$K$363,6,0)," ")</f>
        <v xml:space="preserve"> </v>
      </c>
      <c r="S573" s="111" t="str">
        <f>IFERROR(Tablo5[[#This Row],[YOLLUK HARİÇ BASKI GRAMI]]/Tablo5[[#This Row],[KALIP GÖZ ADEDİ]]," ")</f>
        <v xml:space="preserve"> </v>
      </c>
      <c r="T573" s="111" t="str">
        <f>IFERROR(Q573-R573," ")</f>
        <v xml:space="preserve"> </v>
      </c>
      <c r="U573" s="111">
        <v>0</v>
      </c>
      <c r="V573" s="111" t="str">
        <f>IFERROR(U573+(R573*I573) /1000," ")</f>
        <v xml:space="preserve"> </v>
      </c>
      <c r="W573" s="114">
        <f>IFERROR(24-(E573-F573)," ")</f>
        <v>24</v>
      </c>
      <c r="X573" s="115">
        <f>IFERROR((W573-INT(W573))*24," ")</f>
        <v>0</v>
      </c>
      <c r="Y573" s="111" t="str">
        <f>IFERROR(H573*I573/3600," ")</f>
        <v xml:space="preserve"> </v>
      </c>
      <c r="Z573" s="111" t="str">
        <f>IFERROR(I573*G573," " )</f>
        <v xml:space="preserve"> </v>
      </c>
    </row>
  </sheetData>
  <sheetProtection password="CC17" sheet="1" objects="1" scenarios="1" selectLockedCells="1"/>
  <protectedRanges>
    <protectedRange sqref="I1:I1048576 C1:F131 C574:F1048576 D132:F138 D139 E139:F573 U1:U1048576 C132:C573" name="girdiler"/>
    <protectedRange sqref="A3:A1716" name="ürün kodu"/>
  </protectedRanges>
  <mergeCells count="1">
    <mergeCell ref="A1:B1"/>
  </mergeCells>
  <dataValidations count="3">
    <dataValidation allowBlank="1" showInputMessage="1" showErrorMessage="1" errorTitle="HATALI  GİRİŞ" error="LÜTFEN YARI MAMÜL KODUNU DOĞRU GİRİNİZ..." sqref="A17:A27"/>
    <dataValidation type="date" allowBlank="1" showInputMessage="1" showErrorMessage="1" errorTitle="HATALI GİRİŞ" error="TARİH SADECE ARALIK AYINA AİT OLMALI !!!!_x000a_" sqref="C6:C26">
      <formula1>43831</formula1>
      <formula2>43861</formula2>
    </dataValidation>
    <dataValidation type="textLength" allowBlank="1" showInputMessage="1" showErrorMessage="1" errorTitle="HATALI  GİRİŞ" error="LÜTFEN YARI MAMÜL KODUNU DOĞRU GİRİNİZ..." sqref="A28:A32">
      <formula1>5</formula1>
      <formula2>5</formula2>
    </dataValidation>
  </dataValidations>
  <pageMargins left="0.7" right="0.7" top="0.75" bottom="0.75" header="0.3" footer="0.3"/>
  <pageSetup paperSize="9" orientation="portrait" verticalDpi="0" r:id="rId1"/>
  <ignoredErrors>
    <ignoredError sqref="A28:A32" listDataValidation="1"/>
  </ignoredErrors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>
  <sheetPr codeName="Sayfa6"/>
  <dimension ref="A1:Z572"/>
  <sheetViews>
    <sheetView topLeftCell="C1" zoomScale="115" zoomScaleNormal="115" workbookViewId="0">
      <pane ySplit="1" topLeftCell="A184" activePane="bottomLeft" state="frozen"/>
      <selection activeCell="F19" sqref="F19"/>
      <selection pane="bottomLeft" activeCell="K194" sqref="K194"/>
    </sheetView>
  </sheetViews>
  <sheetFormatPr defaultRowHeight="15"/>
  <cols>
    <col min="1" max="1" width="13.28515625" style="90" customWidth="1"/>
    <col min="2" max="2" width="34.42578125" style="98" customWidth="1"/>
    <col min="3" max="3" width="11.85546875" style="89" bestFit="1" customWidth="1"/>
    <col min="4" max="4" width="15.28515625" style="90" customWidth="1"/>
    <col min="5" max="5" width="12" style="91" customWidth="1"/>
    <col min="6" max="6" width="10.140625" style="91" customWidth="1"/>
    <col min="7" max="7" width="9.140625" style="90" customWidth="1"/>
    <col min="8" max="8" width="9" style="90" customWidth="1"/>
    <col min="9" max="9" width="11.7109375" style="90" customWidth="1"/>
    <col min="10" max="10" width="12.7109375" style="90" bestFit="1" customWidth="1"/>
    <col min="11" max="11" width="11.85546875" style="90" customWidth="1"/>
    <col min="12" max="12" width="10" style="90" customWidth="1"/>
    <col min="13" max="13" width="12.140625" style="90" customWidth="1"/>
    <col min="14" max="16" width="12.42578125" style="90" customWidth="1"/>
    <col min="17" max="17" width="8.5703125" style="90" customWidth="1"/>
    <col min="18" max="18" width="10.5703125" style="90" customWidth="1"/>
    <col min="19" max="19" width="7.5703125" style="90" customWidth="1"/>
    <col min="20" max="20" width="10" style="90" customWidth="1"/>
    <col min="21" max="21" width="9.140625" style="90"/>
    <col min="22" max="22" width="12.85546875" style="90" customWidth="1"/>
    <col min="23" max="23" width="11.85546875" style="91" customWidth="1"/>
    <col min="24" max="24" width="11.85546875" style="92" customWidth="1"/>
    <col min="25" max="25" width="9.5703125" style="90" customWidth="1"/>
    <col min="26" max="26" width="10.28515625" style="90" customWidth="1"/>
    <col min="27" max="16384" width="9.140625" style="90"/>
  </cols>
  <sheetData>
    <row r="1" spans="1:26" s="93" customFormat="1" ht="105" customHeight="1">
      <c r="A1" s="93" t="s">
        <v>0</v>
      </c>
      <c r="B1" s="94" t="s">
        <v>1</v>
      </c>
      <c r="C1" s="95" t="s">
        <v>2</v>
      </c>
      <c r="D1" s="93" t="s">
        <v>3</v>
      </c>
      <c r="E1" s="96" t="s">
        <v>4</v>
      </c>
      <c r="F1" s="96" t="s">
        <v>5</v>
      </c>
      <c r="G1" s="93" t="s">
        <v>6</v>
      </c>
      <c r="H1" s="93" t="s">
        <v>7</v>
      </c>
      <c r="I1" s="93" t="s">
        <v>8</v>
      </c>
      <c r="J1" s="93" t="s">
        <v>9</v>
      </c>
      <c r="K1" s="93" t="s">
        <v>10</v>
      </c>
      <c r="L1" s="93" t="s">
        <v>11</v>
      </c>
      <c r="M1" s="93" t="s">
        <v>12</v>
      </c>
      <c r="N1" s="93" t="s">
        <v>13</v>
      </c>
      <c r="O1" s="93" t="s">
        <v>14</v>
      </c>
      <c r="P1" s="93" t="s">
        <v>15</v>
      </c>
      <c r="Q1" s="93" t="s">
        <v>16</v>
      </c>
      <c r="R1" s="93" t="s">
        <v>17</v>
      </c>
      <c r="S1" s="93" t="s">
        <v>18</v>
      </c>
      <c r="T1" s="93" t="s">
        <v>19</v>
      </c>
      <c r="U1" s="93" t="s">
        <v>20</v>
      </c>
      <c r="V1" s="93" t="s">
        <v>21</v>
      </c>
      <c r="W1" s="96" t="s">
        <v>22</v>
      </c>
      <c r="X1" s="97" t="s">
        <v>23</v>
      </c>
      <c r="Y1" s="93" t="s">
        <v>24</v>
      </c>
      <c r="Z1" s="93" t="s">
        <v>25</v>
      </c>
    </row>
    <row r="2" spans="1:26">
      <c r="A2" s="100" t="s">
        <v>42</v>
      </c>
      <c r="B2" s="108" t="str">
        <f>IFERROR(VLOOKUP(Tablo515[[#This Row],[ÜRÜN KODU]],YMKODLARI!$A$1:$K$363,2,0)," ")</f>
        <v>DAMAK EMZİK UCU 2 NO</v>
      </c>
      <c r="C2" s="99">
        <v>43832</v>
      </c>
      <c r="D2" s="100" t="s">
        <v>33</v>
      </c>
      <c r="E2" s="101">
        <v>0.33333333333333331</v>
      </c>
      <c r="F2" s="101">
        <v>0.83333333333333337</v>
      </c>
      <c r="G2" s="100">
        <f>IFERROR(VLOOKUP(Tablo515[[#This Row],[ÜRÜN KODU]],YMKODLARI!$A$1:$K$363,3,0)," ")</f>
        <v>8</v>
      </c>
      <c r="H2" s="100">
        <f>IFERROR(VLOOKUP(Tablo515[[#This Row],[ÜRÜN KODU]],YMKODLARI!$A$1:$K$363,4,0)," ")</f>
        <v>30</v>
      </c>
      <c r="I2" s="100">
        <v>1122</v>
      </c>
      <c r="J2" s="100" t="str">
        <f>IFERROR(VLOOKUP(Tablo515[[#This Row],[ÜRÜN KODU]],YMKODLARI!$A$1:$K$363,9,0)," ")</f>
        <v>Şeffaf</v>
      </c>
      <c r="K2" s="100" t="str">
        <f>IFERROR(VLOOKUP(Tablo515[[#This Row],[BOYA KODU]],Tablo14[#All],4,0)," ")</f>
        <v xml:space="preserve"> </v>
      </c>
      <c r="L2" s="100" t="str">
        <f>IFERROR(VLOOKUP(Tablo515[[#This Row],[BOYA KODU]],Tablo14[#All],6,0)," ")</f>
        <v xml:space="preserve"> </v>
      </c>
      <c r="M2" s="100" t="str">
        <f t="shared" ref="M2:M65" si="0">IFERROR((I2*Q2)*L2," ")</f>
        <v xml:space="preserve"> </v>
      </c>
      <c r="N2" s="100" t="str">
        <f>IFERROR(VLOOKUP(Tablo515[[#This Row],[ÜRÜN KODU]],YMKODLARI!$A$1:$K$363,8,0)," ")</f>
        <v>HM 004</v>
      </c>
      <c r="O2" s="100" t="str">
        <f>IFERROR(VLOOKUP(Tablo515[[#This Row],[HAMMADDE KODU]],Tablo1[#All],3,0)," ")</f>
        <v>LSR 50</v>
      </c>
      <c r="P2" s="100" t="str">
        <f>IFERROR(VLOOKUP(Tablo515[[#This Row],[HAMMADDE KODU]],Tablo1[#All],4,0)," ")</f>
        <v>TERRA</v>
      </c>
      <c r="Q2" s="100">
        <f>IFERROR(VLOOKUP(Tablo515[[#This Row],[ÜRÜN KODU]],YMKODLARI!$A$1:$K$363,5,0)," ")</f>
        <v>21.9</v>
      </c>
      <c r="R2" s="100">
        <f>IFERROR(VLOOKUP(Tablo515[[#This Row],[ÜRÜN KODU]],YMKODLARI!$A$1:$K$363,6,0)," ")</f>
        <v>16.100000000000001</v>
      </c>
      <c r="S2" s="100">
        <f>IFERROR(Tablo515[[#This Row],[YOLLUK HARİÇ BASKI GRAMI]]/Tablo515[[#This Row],[KALIP GÖZ ADEDİ]]," ")</f>
        <v>2.0125000000000002</v>
      </c>
      <c r="T2" s="100">
        <f>IFERROR(Q2-R2," ")</f>
        <v>5.7999999999999972</v>
      </c>
      <c r="U2" s="116">
        <v>6.5</v>
      </c>
      <c r="V2" s="100">
        <f t="shared" ref="V2:V65" si="1">IFERROR(U2+(R2*I2) /1000," ")</f>
        <v>24.5642</v>
      </c>
      <c r="W2" s="101">
        <f>IFERROR(24-(E2-F2)," ")</f>
        <v>24.5</v>
      </c>
      <c r="X2" s="102">
        <f>IFERROR((W2-INT(W2))*24," ")</f>
        <v>12</v>
      </c>
      <c r="Y2" s="100">
        <f>IFERROR(H2*I2/3600," ")</f>
        <v>9.35</v>
      </c>
      <c r="Z2" s="100">
        <f>IFERROR(I2*G2," " )</f>
        <v>8976</v>
      </c>
    </row>
    <row r="3" spans="1:26">
      <c r="A3" s="100" t="s">
        <v>42</v>
      </c>
      <c r="B3" s="108" t="str">
        <f>IFERROR(VLOOKUP(Tablo515[[#This Row],[ÜRÜN KODU]],YMKODLARI!$A$1:$K$363,2,0)," ")</f>
        <v>DAMAK EMZİK UCU 2 NO</v>
      </c>
      <c r="C3" s="99">
        <v>43833</v>
      </c>
      <c r="D3" s="100" t="s">
        <v>33</v>
      </c>
      <c r="E3" s="101">
        <v>0.33333333333333331</v>
      </c>
      <c r="F3" s="101">
        <v>0.83333333333333337</v>
      </c>
      <c r="G3" s="100">
        <f>IFERROR(VLOOKUP(Tablo515[[#This Row],[ÜRÜN KODU]],YMKODLARI!$A$1:$K$363,3,0)," ")</f>
        <v>8</v>
      </c>
      <c r="H3" s="100">
        <f>IFERROR(VLOOKUP(Tablo515[[#This Row],[ÜRÜN KODU]],YMKODLARI!$A$1:$K$363,4,0)," ")</f>
        <v>30</v>
      </c>
      <c r="I3" s="100">
        <v>1044</v>
      </c>
      <c r="J3" s="100" t="str">
        <f>IFERROR(VLOOKUP(Tablo515[[#This Row],[ÜRÜN KODU]],YMKODLARI!$A$1:$K$363,9,0)," ")</f>
        <v>Şeffaf</v>
      </c>
      <c r="K3" s="100" t="str">
        <f>IFERROR(VLOOKUP(Tablo515[[#This Row],[BOYA KODU]],Tablo14[#All],4,0)," ")</f>
        <v xml:space="preserve"> </v>
      </c>
      <c r="L3" s="100" t="str">
        <f>IFERROR(VLOOKUP(Tablo515[[#This Row],[BOYA KODU]],Tablo14[#All],6,0)," ")</f>
        <v xml:space="preserve"> </v>
      </c>
      <c r="M3" s="100" t="str">
        <f t="shared" si="0"/>
        <v xml:space="preserve"> </v>
      </c>
      <c r="N3" s="100" t="str">
        <f>IFERROR(VLOOKUP(Tablo515[[#This Row],[ÜRÜN KODU]],YMKODLARI!$A$1:$K$363,8,0)," ")</f>
        <v>HM 004</v>
      </c>
      <c r="O3" s="100" t="str">
        <f>IFERROR(VLOOKUP(Tablo515[[#This Row],[HAMMADDE KODU]],Tablo1[#All],3,0)," ")</f>
        <v>LSR 50</v>
      </c>
      <c r="P3" s="100" t="str">
        <f>IFERROR(VLOOKUP(Tablo515[[#This Row],[HAMMADDE KODU]],Tablo1[#All],4,0)," ")</f>
        <v>TERRA</v>
      </c>
      <c r="Q3" s="100">
        <f>IFERROR(VLOOKUP(Tablo515[[#This Row],[ÜRÜN KODU]],YMKODLARI!$A$1:$K$363,5,0)," ")</f>
        <v>21.9</v>
      </c>
      <c r="R3" s="100">
        <f>IFERROR(VLOOKUP(Tablo515[[#This Row],[ÜRÜN KODU]],YMKODLARI!$A$1:$K$363,6,0)," ")</f>
        <v>16.100000000000001</v>
      </c>
      <c r="S3" s="100">
        <f>IFERROR(Tablo515[[#This Row],[YOLLUK HARİÇ BASKI GRAMI]]/Tablo515[[#This Row],[KALIP GÖZ ADEDİ]]," ")</f>
        <v>2.0125000000000002</v>
      </c>
      <c r="T3" s="100">
        <f t="shared" ref="T3:T66" si="2">IFERROR(Q3-R3," ")</f>
        <v>5.7999999999999972</v>
      </c>
      <c r="U3" s="116">
        <v>7.7</v>
      </c>
      <c r="V3" s="100">
        <f t="shared" si="1"/>
        <v>24.508400000000002</v>
      </c>
      <c r="W3" s="101">
        <f t="shared" ref="W3:W66" si="3">IFERROR(24-(E3-F3)," ")</f>
        <v>24.5</v>
      </c>
      <c r="X3" s="102">
        <f t="shared" ref="X3:X66" si="4">IFERROR((W3-INT(W3))*24," ")</f>
        <v>12</v>
      </c>
      <c r="Y3" s="100">
        <f t="shared" ref="Y3:Y66" si="5">IFERROR(H3*I3/3600," ")</f>
        <v>8.6999999999999993</v>
      </c>
      <c r="Z3" s="100">
        <f t="shared" ref="Z3:Z66" si="6">IFERROR(I3*G3," " )</f>
        <v>8352</v>
      </c>
    </row>
    <row r="4" spans="1:26">
      <c r="A4" s="100" t="s">
        <v>42</v>
      </c>
      <c r="B4" s="108" t="str">
        <f>IFERROR(VLOOKUP(Tablo515[[#This Row],[ÜRÜN KODU]],YMKODLARI!$A$1:$K$363,2,0)," ")</f>
        <v>DAMAK EMZİK UCU 2 NO</v>
      </c>
      <c r="C4" s="99">
        <v>43836</v>
      </c>
      <c r="D4" s="100" t="s">
        <v>37</v>
      </c>
      <c r="E4" s="101">
        <v>0.33333333333333331</v>
      </c>
      <c r="F4" s="101">
        <v>0.83333333333333337</v>
      </c>
      <c r="G4" s="100">
        <f>IFERROR(VLOOKUP(Tablo515[[#This Row],[ÜRÜN KODU]],YMKODLARI!$A$1:$K$363,3,0)," ")</f>
        <v>8</v>
      </c>
      <c r="H4" s="100">
        <f>IFERROR(VLOOKUP(Tablo515[[#This Row],[ÜRÜN KODU]],YMKODLARI!$A$1:$K$363,4,0)," ")</f>
        <v>30</v>
      </c>
      <c r="I4" s="100">
        <v>1100</v>
      </c>
      <c r="J4" s="100" t="str">
        <f>IFERROR(VLOOKUP(Tablo515[[#This Row],[ÜRÜN KODU]],YMKODLARI!$A$1:$K$363,9,0)," ")</f>
        <v>Şeffaf</v>
      </c>
      <c r="K4" s="100" t="str">
        <f>IFERROR(VLOOKUP(Tablo515[[#This Row],[BOYA KODU]],Tablo14[#All],4,0)," ")</f>
        <v xml:space="preserve"> </v>
      </c>
      <c r="L4" s="100" t="str">
        <f>IFERROR(VLOOKUP(Tablo515[[#This Row],[BOYA KODU]],Tablo14[#All],6,0)," ")</f>
        <v xml:space="preserve"> </v>
      </c>
      <c r="M4" s="100" t="str">
        <f t="shared" si="0"/>
        <v xml:space="preserve"> </v>
      </c>
      <c r="N4" s="100" t="str">
        <f>IFERROR(VLOOKUP(Tablo515[[#This Row],[ÜRÜN KODU]],YMKODLARI!$A$1:$K$363,8,0)," ")</f>
        <v>HM 004</v>
      </c>
      <c r="O4" s="100" t="str">
        <f>IFERROR(VLOOKUP(Tablo515[[#This Row],[HAMMADDE KODU]],Tablo1[#All],3,0)," ")</f>
        <v>LSR 50</v>
      </c>
      <c r="P4" s="100" t="str">
        <f>IFERROR(VLOOKUP(Tablo515[[#This Row],[HAMMADDE KODU]],Tablo1[#All],4,0)," ")</f>
        <v>TERRA</v>
      </c>
      <c r="Q4" s="100">
        <f>IFERROR(VLOOKUP(Tablo515[[#This Row],[ÜRÜN KODU]],YMKODLARI!$A$1:$K$363,5,0)," ")</f>
        <v>21.9</v>
      </c>
      <c r="R4" s="100">
        <f>IFERROR(VLOOKUP(Tablo515[[#This Row],[ÜRÜN KODU]],YMKODLARI!$A$1:$K$363,6,0)," ")</f>
        <v>16.100000000000001</v>
      </c>
      <c r="S4" s="100">
        <f>IFERROR(Tablo515[[#This Row],[YOLLUK HARİÇ BASKI GRAMI]]/Tablo515[[#This Row],[KALIP GÖZ ADEDİ]]," ")</f>
        <v>2.0125000000000002</v>
      </c>
      <c r="T4" s="100">
        <f t="shared" si="2"/>
        <v>5.7999999999999972</v>
      </c>
      <c r="U4" s="116">
        <v>6.8</v>
      </c>
      <c r="V4" s="100">
        <f t="shared" si="1"/>
        <v>24.51</v>
      </c>
      <c r="W4" s="101">
        <f t="shared" si="3"/>
        <v>24.5</v>
      </c>
      <c r="X4" s="102">
        <f t="shared" si="4"/>
        <v>12</v>
      </c>
      <c r="Y4" s="100">
        <f t="shared" si="5"/>
        <v>9.1666666666666661</v>
      </c>
      <c r="Z4" s="100">
        <f t="shared" si="6"/>
        <v>8800</v>
      </c>
    </row>
    <row r="5" spans="1:26">
      <c r="A5" s="100" t="s">
        <v>42</v>
      </c>
      <c r="B5" s="108" t="str">
        <f>IFERROR(VLOOKUP(Tablo515[[#This Row],[ÜRÜN KODU]],YMKODLARI!$A$1:$K$363,2,0)," ")</f>
        <v>DAMAK EMZİK UCU 2 NO</v>
      </c>
      <c r="C5" s="99">
        <v>43836</v>
      </c>
      <c r="D5" s="100" t="s">
        <v>33</v>
      </c>
      <c r="E5" s="101">
        <v>0</v>
      </c>
      <c r="F5" s="101">
        <v>0.33333333333333331</v>
      </c>
      <c r="G5" s="100">
        <f>IFERROR(VLOOKUP(Tablo515[[#This Row],[ÜRÜN KODU]],YMKODLARI!$A$1:$K$363,3,0)," ")</f>
        <v>8</v>
      </c>
      <c r="H5" s="100">
        <f>IFERROR(VLOOKUP(Tablo515[[#This Row],[ÜRÜN KODU]],YMKODLARI!$A$1:$K$363,4,0)," ")</f>
        <v>30</v>
      </c>
      <c r="I5" s="100">
        <v>435</v>
      </c>
      <c r="J5" s="100" t="str">
        <f>IFERROR(VLOOKUP(Tablo515[[#This Row],[ÜRÜN KODU]],YMKODLARI!$A$1:$K$363,9,0)," ")</f>
        <v>Şeffaf</v>
      </c>
      <c r="K5" s="100" t="str">
        <f>IFERROR(VLOOKUP(Tablo515[[#This Row],[BOYA KODU]],Tablo14[#All],4,0)," ")</f>
        <v xml:space="preserve"> </v>
      </c>
      <c r="L5" s="100" t="str">
        <f>IFERROR(VLOOKUP(Tablo515[[#This Row],[BOYA KODU]],Tablo14[#All],6,0)," ")</f>
        <v xml:space="preserve"> </v>
      </c>
      <c r="M5" s="100" t="str">
        <f t="shared" si="0"/>
        <v xml:space="preserve"> </v>
      </c>
      <c r="N5" s="100" t="str">
        <f>IFERROR(VLOOKUP(Tablo515[[#This Row],[ÜRÜN KODU]],YMKODLARI!$A$1:$K$363,8,0)," ")</f>
        <v>HM 004</v>
      </c>
      <c r="O5" s="100" t="str">
        <f>IFERROR(VLOOKUP(Tablo515[[#This Row],[HAMMADDE KODU]],Tablo1[#All],3,0)," ")</f>
        <v>LSR 50</v>
      </c>
      <c r="P5" s="100" t="str">
        <f>IFERROR(VLOOKUP(Tablo515[[#This Row],[HAMMADDE KODU]],Tablo1[#All],4,0)," ")</f>
        <v>TERRA</v>
      </c>
      <c r="Q5" s="100">
        <f>IFERROR(VLOOKUP(Tablo515[[#This Row],[ÜRÜN KODU]],YMKODLARI!$A$1:$K$363,5,0)," ")</f>
        <v>21.9</v>
      </c>
      <c r="R5" s="100">
        <f>IFERROR(VLOOKUP(Tablo515[[#This Row],[ÜRÜN KODU]],YMKODLARI!$A$1:$K$363,6,0)," ")</f>
        <v>16.100000000000001</v>
      </c>
      <c r="S5" s="100">
        <f>IFERROR(Tablo515[[#This Row],[YOLLUK HARİÇ BASKI GRAMI]]/Tablo515[[#This Row],[KALIP GÖZ ADEDİ]]," ")</f>
        <v>2.0125000000000002</v>
      </c>
      <c r="T5" s="100">
        <f t="shared" si="2"/>
        <v>5.7999999999999972</v>
      </c>
      <c r="U5" s="116">
        <v>3.2</v>
      </c>
      <c r="V5" s="100">
        <f t="shared" si="1"/>
        <v>10.203500000000002</v>
      </c>
      <c r="W5" s="101">
        <f t="shared" si="3"/>
        <v>24.333333333333332</v>
      </c>
      <c r="X5" s="102">
        <f t="shared" si="4"/>
        <v>7.9999999999999716</v>
      </c>
      <c r="Y5" s="100">
        <f t="shared" si="5"/>
        <v>3.625</v>
      </c>
      <c r="Z5" s="100">
        <f t="shared" si="6"/>
        <v>3480</v>
      </c>
    </row>
    <row r="6" spans="1:26">
      <c r="A6" s="100" t="s">
        <v>42</v>
      </c>
      <c r="B6" s="108" t="str">
        <f>IFERROR(VLOOKUP(Tablo515[[#This Row],[ÜRÜN KODU]],YMKODLARI!$A$1:$K$363,2,0)," ")</f>
        <v>DAMAK EMZİK UCU 2 NO</v>
      </c>
      <c r="C6" s="99">
        <v>43837</v>
      </c>
      <c r="D6" s="100" t="s">
        <v>37</v>
      </c>
      <c r="E6" s="101">
        <v>0.33333333333333331</v>
      </c>
      <c r="F6" s="101">
        <v>0.83333333333333337</v>
      </c>
      <c r="G6" s="100">
        <f>IFERROR(VLOOKUP(Tablo515[[#This Row],[ÜRÜN KODU]],YMKODLARI!$A$1:$K$363,3,0)," ")</f>
        <v>8</v>
      </c>
      <c r="H6" s="100">
        <f>IFERROR(VLOOKUP(Tablo515[[#This Row],[ÜRÜN KODU]],YMKODLARI!$A$1:$K$363,4,0)," ")</f>
        <v>30</v>
      </c>
      <c r="I6" s="100">
        <v>1111</v>
      </c>
      <c r="J6" s="100" t="str">
        <f>IFERROR(VLOOKUP(Tablo515[[#This Row],[ÜRÜN KODU]],YMKODLARI!$A$1:$K$363,9,0)," ")</f>
        <v>Şeffaf</v>
      </c>
      <c r="K6" s="100" t="str">
        <f>IFERROR(VLOOKUP(Tablo515[[#This Row],[BOYA KODU]],Tablo14[#All],4,0)," ")</f>
        <v xml:space="preserve"> </v>
      </c>
      <c r="L6" s="100" t="str">
        <f>IFERROR(VLOOKUP(Tablo515[[#This Row],[BOYA KODU]],Tablo14[#All],6,0)," ")</f>
        <v xml:space="preserve"> </v>
      </c>
      <c r="M6" s="100" t="str">
        <f t="shared" si="0"/>
        <v xml:space="preserve"> </v>
      </c>
      <c r="N6" s="100" t="str">
        <f>IFERROR(VLOOKUP(Tablo515[[#This Row],[ÜRÜN KODU]],YMKODLARI!$A$1:$K$363,8,0)," ")</f>
        <v>HM 004</v>
      </c>
      <c r="O6" s="100" t="str">
        <f>IFERROR(VLOOKUP(Tablo515[[#This Row],[HAMMADDE KODU]],Tablo1[#All],3,0)," ")</f>
        <v>LSR 50</v>
      </c>
      <c r="P6" s="100" t="str">
        <f>IFERROR(VLOOKUP(Tablo515[[#This Row],[HAMMADDE KODU]],Tablo1[#All],4,0)," ")</f>
        <v>TERRA</v>
      </c>
      <c r="Q6" s="100">
        <f>IFERROR(VLOOKUP(Tablo515[[#This Row],[ÜRÜN KODU]],YMKODLARI!$A$1:$K$363,5,0)," ")</f>
        <v>21.9</v>
      </c>
      <c r="R6" s="100">
        <f>IFERROR(VLOOKUP(Tablo515[[#This Row],[ÜRÜN KODU]],YMKODLARI!$A$1:$K$363,6,0)," ")</f>
        <v>16.100000000000001</v>
      </c>
      <c r="S6" s="100">
        <f>IFERROR(Tablo515[[#This Row],[YOLLUK HARİÇ BASKI GRAMI]]/Tablo515[[#This Row],[KALIP GÖZ ADEDİ]]," ")</f>
        <v>2.0125000000000002</v>
      </c>
      <c r="T6" s="100">
        <f t="shared" si="2"/>
        <v>5.7999999999999972</v>
      </c>
      <c r="U6" s="116">
        <v>6.9</v>
      </c>
      <c r="V6" s="100">
        <f t="shared" si="1"/>
        <v>24.787100000000002</v>
      </c>
      <c r="W6" s="101">
        <f t="shared" si="3"/>
        <v>24.5</v>
      </c>
      <c r="X6" s="102">
        <f t="shared" si="4"/>
        <v>12</v>
      </c>
      <c r="Y6" s="100">
        <f t="shared" si="5"/>
        <v>9.2583333333333329</v>
      </c>
      <c r="Z6" s="100">
        <f t="shared" si="6"/>
        <v>8888</v>
      </c>
    </row>
    <row r="7" spans="1:26">
      <c r="A7" s="100" t="s">
        <v>42</v>
      </c>
      <c r="B7" s="108" t="str">
        <f>IFERROR(VLOOKUP(Tablo515[[#This Row],[ÜRÜN KODU]],YMKODLARI!$A$1:$K$363,2,0)," ")</f>
        <v>DAMAK EMZİK UCU 2 NO</v>
      </c>
      <c r="C7" s="99">
        <v>43838</v>
      </c>
      <c r="D7" s="100" t="s">
        <v>37</v>
      </c>
      <c r="E7" s="101">
        <v>0.3576388888888889</v>
      </c>
      <c r="F7" s="101">
        <v>0.75</v>
      </c>
      <c r="G7" s="100">
        <f>IFERROR(VLOOKUP(Tablo515[[#This Row],[ÜRÜN KODU]],YMKODLARI!$A$1:$K$363,3,0)," ")</f>
        <v>8</v>
      </c>
      <c r="H7" s="100">
        <f>IFERROR(VLOOKUP(Tablo515[[#This Row],[ÜRÜN KODU]],YMKODLARI!$A$1:$K$363,4,0)," ")</f>
        <v>30</v>
      </c>
      <c r="I7" s="100">
        <v>798</v>
      </c>
      <c r="J7" s="100" t="str">
        <f>IFERROR(VLOOKUP(Tablo515[[#This Row],[ÜRÜN KODU]],YMKODLARI!$A$1:$K$363,9,0)," ")</f>
        <v>Şeffaf</v>
      </c>
      <c r="K7" s="100" t="str">
        <f>IFERROR(VLOOKUP(Tablo515[[#This Row],[BOYA KODU]],Tablo14[#All],4,0)," ")</f>
        <v xml:space="preserve"> </v>
      </c>
      <c r="L7" s="100" t="str">
        <f>IFERROR(VLOOKUP(Tablo515[[#This Row],[BOYA KODU]],Tablo14[#All],6,0)," ")</f>
        <v xml:space="preserve"> </v>
      </c>
      <c r="M7" s="100" t="str">
        <f t="shared" si="0"/>
        <v xml:space="preserve"> </v>
      </c>
      <c r="N7" s="100" t="str">
        <f>IFERROR(VLOOKUP(Tablo515[[#This Row],[ÜRÜN KODU]],YMKODLARI!$A$1:$K$363,8,0)," ")</f>
        <v>HM 004</v>
      </c>
      <c r="O7" s="100" t="str">
        <f>IFERROR(VLOOKUP(Tablo515[[#This Row],[HAMMADDE KODU]],Tablo1[#All],3,0)," ")</f>
        <v>LSR 50</v>
      </c>
      <c r="P7" s="100" t="str">
        <f>IFERROR(VLOOKUP(Tablo515[[#This Row],[HAMMADDE KODU]],Tablo1[#All],4,0)," ")</f>
        <v>TERRA</v>
      </c>
      <c r="Q7" s="100">
        <f>IFERROR(VLOOKUP(Tablo515[[#This Row],[ÜRÜN KODU]],YMKODLARI!$A$1:$K$363,5,0)," ")</f>
        <v>21.9</v>
      </c>
      <c r="R7" s="100">
        <f>IFERROR(VLOOKUP(Tablo515[[#This Row],[ÜRÜN KODU]],YMKODLARI!$A$1:$K$363,6,0)," ")</f>
        <v>16.100000000000001</v>
      </c>
      <c r="S7" s="100">
        <f>IFERROR(Tablo515[[#This Row],[YOLLUK HARİÇ BASKI GRAMI]]/Tablo515[[#This Row],[KALIP GÖZ ADEDİ]]," ")</f>
        <v>2.0125000000000002</v>
      </c>
      <c r="T7" s="100">
        <f t="shared" si="2"/>
        <v>5.7999999999999972</v>
      </c>
      <c r="U7" s="116">
        <v>5.7</v>
      </c>
      <c r="V7" s="100">
        <f t="shared" si="1"/>
        <v>18.547800000000002</v>
      </c>
      <c r="W7" s="101">
        <f t="shared" si="3"/>
        <v>24.392361111111111</v>
      </c>
      <c r="X7" s="102">
        <f t="shared" si="4"/>
        <v>9.4166666666666572</v>
      </c>
      <c r="Y7" s="100">
        <f t="shared" si="5"/>
        <v>6.65</v>
      </c>
      <c r="Z7" s="100">
        <f t="shared" si="6"/>
        <v>6384</v>
      </c>
    </row>
    <row r="8" spans="1:26">
      <c r="A8" s="100" t="s">
        <v>43</v>
      </c>
      <c r="B8" s="108" t="str">
        <f>IFERROR(VLOOKUP(Tablo515[[#This Row],[ÜRÜN KODU]],YMKODLARI!$A$1:$K$363,2,0)," ")</f>
        <v>BİBERON DAMAK UC 3 NO</v>
      </c>
      <c r="C8" s="99">
        <v>43843</v>
      </c>
      <c r="D8" s="100" t="s">
        <v>33</v>
      </c>
      <c r="E8" s="101">
        <v>0.59375</v>
      </c>
      <c r="F8" s="101">
        <v>0.72222222222222221</v>
      </c>
      <c r="G8" s="100">
        <f>IFERROR(VLOOKUP(Tablo515[[#This Row],[ÜRÜN KODU]],YMKODLARI!$A$1:$K$363,3,0)," ")</f>
        <v>4</v>
      </c>
      <c r="H8" s="100">
        <f>IFERROR(VLOOKUP(Tablo515[[#This Row],[ÜRÜN KODU]],YMKODLARI!$A$1:$K$363,4,0)," ")</f>
        <v>38.5</v>
      </c>
      <c r="I8" s="100">
        <v>218</v>
      </c>
      <c r="J8" s="100" t="str">
        <f>IFERROR(VLOOKUP(Tablo515[[#This Row],[ÜRÜN KODU]],YMKODLARI!$A$1:$K$363,9,0)," ")</f>
        <v>Şeffaf</v>
      </c>
      <c r="K8" s="100" t="str">
        <f>IFERROR(VLOOKUP(Tablo515[[#This Row],[BOYA KODU]],Tablo14[#All],4,0)," ")</f>
        <v xml:space="preserve"> </v>
      </c>
      <c r="L8" s="100" t="str">
        <f>IFERROR(VLOOKUP(Tablo515[[#This Row],[BOYA KODU]],Tablo14[#All],6,0)," ")</f>
        <v xml:space="preserve"> </v>
      </c>
      <c r="M8" s="100" t="str">
        <f t="shared" si="0"/>
        <v xml:space="preserve"> </v>
      </c>
      <c r="N8" s="100" t="str">
        <f>IFERROR(VLOOKUP(Tablo515[[#This Row],[ÜRÜN KODU]],YMKODLARI!$A$1:$K$363,8,0)," ")</f>
        <v>HM 003</v>
      </c>
      <c r="O8" s="100" t="str">
        <f>IFERROR(VLOOKUP(Tablo515[[#This Row],[HAMMADDE KODU]],Tablo1[#All],3,0)," ")</f>
        <v>LSR 45</v>
      </c>
      <c r="P8" s="100" t="str">
        <f>IFERROR(VLOOKUP(Tablo515[[#This Row],[HAMMADDE KODU]],Tablo1[#All],4,0)," ")</f>
        <v>SETA</v>
      </c>
      <c r="Q8" s="100">
        <f>IFERROR(VLOOKUP(Tablo515[[#This Row],[ÜRÜN KODU]],YMKODLARI!$A$1:$K$363,5,0)," ")</f>
        <v>28.5</v>
      </c>
      <c r="R8" s="100">
        <f>IFERROR(VLOOKUP(Tablo515[[#This Row],[ÜRÜN KODU]],YMKODLARI!$A$1:$K$363,6,0)," ")</f>
        <v>25.6</v>
      </c>
      <c r="S8" s="100">
        <f>IFERROR(Tablo515[[#This Row],[YOLLUK HARİÇ BASKI GRAMI]]/Tablo515[[#This Row],[KALIP GÖZ ADEDİ]]," ")</f>
        <v>6.4</v>
      </c>
      <c r="T8" s="100">
        <f t="shared" si="2"/>
        <v>2.8999999999999986</v>
      </c>
      <c r="U8" s="116">
        <v>1.4</v>
      </c>
      <c r="V8" s="100">
        <f t="shared" si="1"/>
        <v>6.9808000000000003</v>
      </c>
      <c r="W8" s="101">
        <f t="shared" si="3"/>
        <v>24.128472222222221</v>
      </c>
      <c r="X8" s="102">
        <f t="shared" si="4"/>
        <v>3.0833333333333144</v>
      </c>
      <c r="Y8" s="100">
        <f t="shared" si="5"/>
        <v>2.3313888888888887</v>
      </c>
      <c r="Z8" s="100">
        <f t="shared" si="6"/>
        <v>872</v>
      </c>
    </row>
    <row r="9" spans="1:26">
      <c r="A9" s="100" t="s">
        <v>43</v>
      </c>
      <c r="B9" s="108" t="str">
        <f>IFERROR(VLOOKUP(Tablo515[[#This Row],[ÜRÜN KODU]],YMKODLARI!$A$1:$K$363,2,0)," ")</f>
        <v>BİBERON DAMAK UC 3 NO</v>
      </c>
      <c r="C9" s="99">
        <v>43844</v>
      </c>
      <c r="D9" s="100" t="s">
        <v>33</v>
      </c>
      <c r="E9" s="101">
        <v>0.52083333333333337</v>
      </c>
      <c r="F9" s="101">
        <v>0.75</v>
      </c>
      <c r="G9" s="100">
        <f>IFERROR(VLOOKUP(Tablo515[[#This Row],[ÜRÜN KODU]],YMKODLARI!$A$1:$K$363,3,0)," ")</f>
        <v>4</v>
      </c>
      <c r="H9" s="100">
        <f>IFERROR(VLOOKUP(Tablo515[[#This Row],[ÜRÜN KODU]],YMKODLARI!$A$1:$K$363,4,0)," ")</f>
        <v>38.5</v>
      </c>
      <c r="I9" s="100">
        <v>415</v>
      </c>
      <c r="J9" s="100" t="str">
        <f>IFERROR(VLOOKUP(Tablo515[[#This Row],[ÜRÜN KODU]],YMKODLARI!$A$1:$K$363,9,0)," ")</f>
        <v>Şeffaf</v>
      </c>
      <c r="K9" s="100" t="str">
        <f>IFERROR(VLOOKUP(Tablo515[[#This Row],[BOYA KODU]],Tablo14[#All],4,0)," ")</f>
        <v xml:space="preserve"> </v>
      </c>
      <c r="L9" s="100" t="str">
        <f>IFERROR(VLOOKUP(Tablo515[[#This Row],[BOYA KODU]],Tablo14[#All],6,0)," ")</f>
        <v xml:space="preserve"> </v>
      </c>
      <c r="M9" s="100" t="str">
        <f t="shared" si="0"/>
        <v xml:space="preserve"> </v>
      </c>
      <c r="N9" s="100" t="str">
        <f>IFERROR(VLOOKUP(Tablo515[[#This Row],[ÜRÜN KODU]],YMKODLARI!$A$1:$K$363,8,0)," ")</f>
        <v>HM 003</v>
      </c>
      <c r="O9" s="100" t="str">
        <f>IFERROR(VLOOKUP(Tablo515[[#This Row],[HAMMADDE KODU]],Tablo1[#All],3,0)," ")</f>
        <v>LSR 45</v>
      </c>
      <c r="P9" s="100" t="str">
        <f>IFERROR(VLOOKUP(Tablo515[[#This Row],[HAMMADDE KODU]],Tablo1[#All],4,0)," ")</f>
        <v>SETA</v>
      </c>
      <c r="Q9" s="100">
        <f>IFERROR(VLOOKUP(Tablo515[[#This Row],[ÜRÜN KODU]],YMKODLARI!$A$1:$K$363,5,0)," ")</f>
        <v>28.5</v>
      </c>
      <c r="R9" s="100">
        <f>IFERROR(VLOOKUP(Tablo515[[#This Row],[ÜRÜN KODU]],YMKODLARI!$A$1:$K$363,6,0)," ")</f>
        <v>25.6</v>
      </c>
      <c r="S9" s="100">
        <f>IFERROR(Tablo515[[#This Row],[YOLLUK HARİÇ BASKI GRAMI]]/Tablo515[[#This Row],[KALIP GÖZ ADEDİ]]," ")</f>
        <v>6.4</v>
      </c>
      <c r="T9" s="100">
        <f t="shared" si="2"/>
        <v>2.8999999999999986</v>
      </c>
      <c r="U9" s="116">
        <v>1.7</v>
      </c>
      <c r="V9" s="100">
        <f t="shared" si="1"/>
        <v>12.324</v>
      </c>
      <c r="W9" s="101">
        <f t="shared" si="3"/>
        <v>24.229166666666668</v>
      </c>
      <c r="X9" s="102">
        <f t="shared" si="4"/>
        <v>5.5000000000000284</v>
      </c>
      <c r="Y9" s="100">
        <f t="shared" si="5"/>
        <v>4.4381944444444441</v>
      </c>
      <c r="Z9" s="100">
        <f t="shared" si="6"/>
        <v>1660</v>
      </c>
    </row>
    <row r="10" spans="1:26">
      <c r="A10" s="100" t="s">
        <v>43</v>
      </c>
      <c r="B10" s="108" t="str">
        <f>IFERROR(VLOOKUP(Tablo515[[#This Row],[ÜRÜN KODU]],YMKODLARI!$A$1:$K$363,2,0)," ")</f>
        <v>BİBERON DAMAK UC 3 NO</v>
      </c>
      <c r="C10" s="99">
        <v>43845</v>
      </c>
      <c r="D10" s="100" t="s">
        <v>33</v>
      </c>
      <c r="E10" s="101">
        <v>0.33333333333333331</v>
      </c>
      <c r="F10" s="101">
        <v>0.75</v>
      </c>
      <c r="G10" s="100">
        <f>IFERROR(VLOOKUP(Tablo515[[#This Row],[ÜRÜN KODU]],YMKODLARI!$A$1:$K$363,3,0)," ")</f>
        <v>4</v>
      </c>
      <c r="H10" s="100">
        <f>IFERROR(VLOOKUP(Tablo515[[#This Row],[ÜRÜN KODU]],YMKODLARI!$A$1:$K$363,4,0)," ")</f>
        <v>38.5</v>
      </c>
      <c r="I10" s="100">
        <v>804</v>
      </c>
      <c r="J10" s="100" t="str">
        <f>IFERROR(VLOOKUP(Tablo515[[#This Row],[ÜRÜN KODU]],YMKODLARI!$A$1:$K$363,9,0)," ")</f>
        <v>Şeffaf</v>
      </c>
      <c r="K10" s="100" t="str">
        <f>IFERROR(VLOOKUP(Tablo515[[#This Row],[BOYA KODU]],Tablo14[#All],4,0)," ")</f>
        <v xml:space="preserve"> </v>
      </c>
      <c r="L10" s="100" t="str">
        <f>IFERROR(VLOOKUP(Tablo515[[#This Row],[BOYA KODU]],Tablo14[#All],6,0)," ")</f>
        <v xml:space="preserve"> </v>
      </c>
      <c r="M10" s="100" t="str">
        <f t="shared" si="0"/>
        <v xml:space="preserve"> </v>
      </c>
      <c r="N10" s="100" t="str">
        <f>IFERROR(VLOOKUP(Tablo515[[#This Row],[ÜRÜN KODU]],YMKODLARI!$A$1:$K$363,8,0)," ")</f>
        <v>HM 003</v>
      </c>
      <c r="O10" s="100" t="str">
        <f>IFERROR(VLOOKUP(Tablo515[[#This Row],[HAMMADDE KODU]],Tablo1[#All],3,0)," ")</f>
        <v>LSR 45</v>
      </c>
      <c r="P10" s="100" t="str">
        <f>IFERROR(VLOOKUP(Tablo515[[#This Row],[HAMMADDE KODU]],Tablo1[#All],4,0)," ")</f>
        <v>SETA</v>
      </c>
      <c r="Q10" s="100">
        <f>IFERROR(VLOOKUP(Tablo515[[#This Row],[ÜRÜN KODU]],YMKODLARI!$A$1:$K$363,5,0)," ")</f>
        <v>28.5</v>
      </c>
      <c r="R10" s="100">
        <f>IFERROR(VLOOKUP(Tablo515[[#This Row],[ÜRÜN KODU]],YMKODLARI!$A$1:$K$363,6,0)," ")</f>
        <v>25.6</v>
      </c>
      <c r="S10" s="100">
        <f>IFERROR(Tablo515[[#This Row],[YOLLUK HARİÇ BASKI GRAMI]]/Tablo515[[#This Row],[KALIP GÖZ ADEDİ]]," ")</f>
        <v>6.4</v>
      </c>
      <c r="T10" s="100">
        <f t="shared" si="2"/>
        <v>2.8999999999999986</v>
      </c>
      <c r="U10" s="116">
        <v>3.3</v>
      </c>
      <c r="V10" s="100">
        <f t="shared" si="1"/>
        <v>23.882400000000001</v>
      </c>
      <c r="W10" s="101">
        <f t="shared" si="3"/>
        <v>24.416666666666668</v>
      </c>
      <c r="X10" s="102">
        <f t="shared" si="4"/>
        <v>10.000000000000028</v>
      </c>
      <c r="Y10" s="100">
        <f t="shared" si="5"/>
        <v>8.5983333333333327</v>
      </c>
      <c r="Z10" s="100">
        <f t="shared" si="6"/>
        <v>3216</v>
      </c>
    </row>
    <row r="11" spans="1:26">
      <c r="A11" s="100" t="s">
        <v>43</v>
      </c>
      <c r="B11" s="108" t="str">
        <f>IFERROR(VLOOKUP(Tablo515[[#This Row],[ÜRÜN KODU]],YMKODLARI!$A$1:$K$363,2,0)," ")</f>
        <v>BİBERON DAMAK UC 3 NO</v>
      </c>
      <c r="C11" s="99">
        <v>43846</v>
      </c>
      <c r="D11" s="100" t="s">
        <v>33</v>
      </c>
      <c r="E11" s="101">
        <v>0.33333333333333331</v>
      </c>
      <c r="F11" s="101">
        <v>0.75</v>
      </c>
      <c r="G11" s="100">
        <f>IFERROR(VLOOKUP(Tablo515[[#This Row],[ÜRÜN KODU]],YMKODLARI!$A$1:$K$363,3,0)," ")</f>
        <v>4</v>
      </c>
      <c r="H11" s="100">
        <f>IFERROR(VLOOKUP(Tablo515[[#This Row],[ÜRÜN KODU]],YMKODLARI!$A$1:$K$363,4,0)," ")</f>
        <v>38.5</v>
      </c>
      <c r="I11" s="100">
        <v>727</v>
      </c>
      <c r="J11" s="100" t="str">
        <f>IFERROR(VLOOKUP(Tablo515[[#This Row],[ÜRÜN KODU]],YMKODLARI!$A$1:$K$363,9,0)," ")</f>
        <v>Şeffaf</v>
      </c>
      <c r="K11" s="100" t="str">
        <f>IFERROR(VLOOKUP(Tablo515[[#This Row],[BOYA KODU]],Tablo14[#All],4,0)," ")</f>
        <v xml:space="preserve"> </v>
      </c>
      <c r="L11" s="100" t="str">
        <f>IFERROR(VLOOKUP(Tablo515[[#This Row],[BOYA KODU]],Tablo14[#All],6,0)," ")</f>
        <v xml:space="preserve"> </v>
      </c>
      <c r="M11" s="100" t="str">
        <f t="shared" si="0"/>
        <v xml:space="preserve"> </v>
      </c>
      <c r="N11" s="100" t="str">
        <f>IFERROR(VLOOKUP(Tablo515[[#This Row],[ÜRÜN KODU]],YMKODLARI!$A$1:$K$363,8,0)," ")</f>
        <v>HM 003</v>
      </c>
      <c r="O11" s="100" t="str">
        <f>IFERROR(VLOOKUP(Tablo515[[#This Row],[HAMMADDE KODU]],Tablo1[#All],3,0)," ")</f>
        <v>LSR 45</v>
      </c>
      <c r="P11" s="100" t="str">
        <f>IFERROR(VLOOKUP(Tablo515[[#This Row],[HAMMADDE KODU]],Tablo1[#All],4,0)," ")</f>
        <v>SETA</v>
      </c>
      <c r="Q11" s="100">
        <f>IFERROR(VLOOKUP(Tablo515[[#This Row],[ÜRÜN KODU]],YMKODLARI!$A$1:$K$363,5,0)," ")</f>
        <v>28.5</v>
      </c>
      <c r="R11" s="100">
        <f>IFERROR(VLOOKUP(Tablo515[[#This Row],[ÜRÜN KODU]],YMKODLARI!$A$1:$K$363,6,0)," ")</f>
        <v>25.6</v>
      </c>
      <c r="S11" s="100">
        <f>IFERROR(Tablo515[[#This Row],[YOLLUK HARİÇ BASKI GRAMI]]/Tablo515[[#This Row],[KALIP GÖZ ADEDİ]]," ")</f>
        <v>6.4</v>
      </c>
      <c r="T11" s="100">
        <f t="shared" si="2"/>
        <v>2.8999999999999986</v>
      </c>
      <c r="U11" s="116">
        <v>3.4</v>
      </c>
      <c r="V11" s="100">
        <f t="shared" si="1"/>
        <v>22.011199999999999</v>
      </c>
      <c r="W11" s="101">
        <f t="shared" si="3"/>
        <v>24.416666666666668</v>
      </c>
      <c r="X11" s="102">
        <f t="shared" si="4"/>
        <v>10.000000000000028</v>
      </c>
      <c r="Y11" s="100">
        <f t="shared" si="5"/>
        <v>7.774861111111111</v>
      </c>
      <c r="Z11" s="100">
        <f t="shared" si="6"/>
        <v>2908</v>
      </c>
    </row>
    <row r="12" spans="1:26">
      <c r="A12" s="100" t="s">
        <v>43</v>
      </c>
      <c r="B12" s="108" t="str">
        <f>IFERROR(VLOOKUP(Tablo515[[#This Row],[ÜRÜN KODU]],YMKODLARI!$A$1:$K$363,2,0)," ")</f>
        <v>BİBERON DAMAK UC 3 NO</v>
      </c>
      <c r="C12" s="99">
        <v>43847</v>
      </c>
      <c r="D12" s="100" t="s">
        <v>33</v>
      </c>
      <c r="E12" s="101">
        <v>0.33333333333333331</v>
      </c>
      <c r="F12" s="101">
        <v>0.65277777777777779</v>
      </c>
      <c r="G12" s="100">
        <f>IFERROR(VLOOKUP(Tablo515[[#This Row],[ÜRÜN KODU]],YMKODLARI!$A$1:$K$363,3,0)," ")</f>
        <v>4</v>
      </c>
      <c r="H12" s="100">
        <f>IFERROR(VLOOKUP(Tablo515[[#This Row],[ÜRÜN KODU]],YMKODLARI!$A$1:$K$363,4,0)," ")</f>
        <v>38.5</v>
      </c>
      <c r="I12" s="100">
        <v>603</v>
      </c>
      <c r="J12" s="100" t="str">
        <f>IFERROR(VLOOKUP(Tablo515[[#This Row],[ÜRÜN KODU]],YMKODLARI!$A$1:$K$363,9,0)," ")</f>
        <v>Şeffaf</v>
      </c>
      <c r="K12" s="100" t="str">
        <f>IFERROR(VLOOKUP(Tablo515[[#This Row],[BOYA KODU]],Tablo14[#All],4,0)," ")</f>
        <v xml:space="preserve"> </v>
      </c>
      <c r="L12" s="100" t="str">
        <f>IFERROR(VLOOKUP(Tablo515[[#This Row],[BOYA KODU]],Tablo14[#All],6,0)," ")</f>
        <v xml:space="preserve"> </v>
      </c>
      <c r="M12" s="100" t="str">
        <f t="shared" si="0"/>
        <v xml:space="preserve"> </v>
      </c>
      <c r="N12" s="100" t="str">
        <f>IFERROR(VLOOKUP(Tablo515[[#This Row],[ÜRÜN KODU]],YMKODLARI!$A$1:$K$363,8,0)," ")</f>
        <v>HM 003</v>
      </c>
      <c r="O12" s="100" t="str">
        <f>IFERROR(VLOOKUP(Tablo515[[#This Row],[HAMMADDE KODU]],Tablo1[#All],3,0)," ")</f>
        <v>LSR 45</v>
      </c>
      <c r="P12" s="100" t="str">
        <f>IFERROR(VLOOKUP(Tablo515[[#This Row],[HAMMADDE KODU]],Tablo1[#All],4,0)," ")</f>
        <v>SETA</v>
      </c>
      <c r="Q12" s="100">
        <f>IFERROR(VLOOKUP(Tablo515[[#This Row],[ÜRÜN KODU]],YMKODLARI!$A$1:$K$363,5,0)," ")</f>
        <v>28.5</v>
      </c>
      <c r="R12" s="100">
        <f>IFERROR(VLOOKUP(Tablo515[[#This Row],[ÜRÜN KODU]],YMKODLARI!$A$1:$K$363,6,0)," ")</f>
        <v>25.6</v>
      </c>
      <c r="S12" s="100">
        <f>IFERROR(Tablo515[[#This Row],[YOLLUK HARİÇ BASKI GRAMI]]/Tablo515[[#This Row],[KALIP GÖZ ADEDİ]]," ")</f>
        <v>6.4</v>
      </c>
      <c r="T12" s="100">
        <f t="shared" si="2"/>
        <v>2.8999999999999986</v>
      </c>
      <c r="U12" s="116">
        <v>2.7</v>
      </c>
      <c r="V12" s="100">
        <f t="shared" si="1"/>
        <v>18.136800000000001</v>
      </c>
      <c r="W12" s="101">
        <f t="shared" si="3"/>
        <v>24.319444444444443</v>
      </c>
      <c r="X12" s="102">
        <f>IFERROR((W12-INT(W12))*24," ")</f>
        <v>7.6666666666666288</v>
      </c>
      <c r="Y12" s="100">
        <f t="shared" si="5"/>
        <v>6.4487500000000004</v>
      </c>
      <c r="Z12" s="100">
        <f t="shared" si="6"/>
        <v>2412</v>
      </c>
    </row>
    <row r="13" spans="1:26">
      <c r="A13" s="100" t="s">
        <v>42</v>
      </c>
      <c r="B13" s="108" t="str">
        <f>IFERROR(VLOOKUP(Tablo515[[#This Row],[ÜRÜN KODU]],YMKODLARI!$A$1:$K$363,2,0)," ")</f>
        <v>DAMAK EMZİK UCU 2 NO</v>
      </c>
      <c r="C13" s="99">
        <v>43851</v>
      </c>
      <c r="D13" s="100" t="s">
        <v>33</v>
      </c>
      <c r="E13" s="101">
        <v>0.4375</v>
      </c>
      <c r="F13" s="101">
        <v>0.75</v>
      </c>
      <c r="G13" s="100">
        <f>IFERROR(VLOOKUP(Tablo515[[#This Row],[ÜRÜN KODU]],YMKODLARI!$A$1:$K$363,3,0)," ")</f>
        <v>8</v>
      </c>
      <c r="H13" s="100">
        <f>IFERROR(VLOOKUP(Tablo515[[#This Row],[ÜRÜN KODU]],YMKODLARI!$A$1:$K$363,4,0)," ")</f>
        <v>30</v>
      </c>
      <c r="I13" s="100">
        <v>560</v>
      </c>
      <c r="J13" s="100" t="str">
        <f>IFERROR(VLOOKUP(Tablo515[[#This Row],[ÜRÜN KODU]],YMKODLARI!$A$1:$K$363,9,0)," ")</f>
        <v>Şeffaf</v>
      </c>
      <c r="K13" s="100" t="str">
        <f>IFERROR(VLOOKUP(Tablo515[[#This Row],[BOYA KODU]],Tablo14[#All],4,0)," ")</f>
        <v xml:space="preserve"> </v>
      </c>
      <c r="L13" s="100" t="str">
        <f>IFERROR(VLOOKUP(Tablo515[[#This Row],[BOYA KODU]],Tablo14[#All],6,0)," ")</f>
        <v xml:space="preserve"> </v>
      </c>
      <c r="M13" s="100" t="str">
        <f t="shared" si="0"/>
        <v xml:space="preserve"> </v>
      </c>
      <c r="N13" s="100" t="str">
        <f>IFERROR(VLOOKUP(Tablo515[[#This Row],[ÜRÜN KODU]],YMKODLARI!$A$1:$K$363,8,0)," ")</f>
        <v>HM 004</v>
      </c>
      <c r="O13" s="100" t="str">
        <f>IFERROR(VLOOKUP(Tablo515[[#This Row],[HAMMADDE KODU]],Tablo1[#All],3,0)," ")</f>
        <v>LSR 50</v>
      </c>
      <c r="P13" s="100" t="str">
        <f>IFERROR(VLOOKUP(Tablo515[[#This Row],[HAMMADDE KODU]],Tablo1[#All],4,0)," ")</f>
        <v>TERRA</v>
      </c>
      <c r="Q13" s="100">
        <f>IFERROR(VLOOKUP(Tablo515[[#This Row],[ÜRÜN KODU]],YMKODLARI!$A$1:$K$363,5,0)," ")</f>
        <v>21.9</v>
      </c>
      <c r="R13" s="100">
        <f>IFERROR(VLOOKUP(Tablo515[[#This Row],[ÜRÜN KODU]],YMKODLARI!$A$1:$K$363,6,0)," ")</f>
        <v>16.100000000000001</v>
      </c>
      <c r="S13" s="100">
        <f>IFERROR(Tablo515[[#This Row],[YOLLUK HARİÇ BASKI GRAMI]]/Tablo515[[#This Row],[KALIP GÖZ ADEDİ]]," ")</f>
        <v>2.0125000000000002</v>
      </c>
      <c r="T13" s="100">
        <f t="shared" si="2"/>
        <v>5.7999999999999972</v>
      </c>
      <c r="U13" s="116">
        <v>4.0999999999999996</v>
      </c>
      <c r="V13" s="100">
        <f t="shared" si="1"/>
        <v>13.116</v>
      </c>
      <c r="W13" s="101">
        <f t="shared" si="3"/>
        <v>24.3125</v>
      </c>
      <c r="X13" s="102">
        <f t="shared" si="4"/>
        <v>7.5</v>
      </c>
      <c r="Y13" s="100">
        <f t="shared" si="5"/>
        <v>4.666666666666667</v>
      </c>
      <c r="Z13" s="100">
        <f t="shared" si="6"/>
        <v>4480</v>
      </c>
    </row>
    <row r="14" spans="1:26">
      <c r="A14" s="100" t="s">
        <v>42</v>
      </c>
      <c r="B14" s="108" t="str">
        <f>IFERROR(VLOOKUP(Tablo515[[#This Row],[ÜRÜN KODU]],YMKODLARI!$A$1:$K$363,2,0)," ")</f>
        <v>DAMAK EMZİK UCU 2 NO</v>
      </c>
      <c r="C14" s="99">
        <v>43852</v>
      </c>
      <c r="D14" s="100" t="s">
        <v>33</v>
      </c>
      <c r="E14" s="101">
        <v>0.33333333333333331</v>
      </c>
      <c r="F14" s="101">
        <v>0.75</v>
      </c>
      <c r="G14" s="100">
        <v>8</v>
      </c>
      <c r="H14" s="100">
        <f>IFERROR(VLOOKUP(Tablo515[[#This Row],[ÜRÜN KODU]],YMKODLARI!$A$1:$K$363,4,0)," ")</f>
        <v>30</v>
      </c>
      <c r="I14" s="100">
        <v>858</v>
      </c>
      <c r="J14" s="100" t="str">
        <f>IFERROR(VLOOKUP(Tablo515[[#This Row],[ÜRÜN KODU]],YMKODLARI!$A$1:$K$363,9,0)," ")</f>
        <v>Şeffaf</v>
      </c>
      <c r="K14" s="100" t="str">
        <f>IFERROR(VLOOKUP(Tablo515[[#This Row],[BOYA KODU]],Tablo14[#All],4,0)," ")</f>
        <v xml:space="preserve"> </v>
      </c>
      <c r="L14" s="100" t="str">
        <f>IFERROR(VLOOKUP(Tablo515[[#This Row],[BOYA KODU]],Tablo14[#All],6,0)," ")</f>
        <v xml:space="preserve"> </v>
      </c>
      <c r="M14" s="100" t="str">
        <f t="shared" si="0"/>
        <v xml:space="preserve"> </v>
      </c>
      <c r="N14" s="100" t="str">
        <f>IFERROR(VLOOKUP(Tablo515[[#This Row],[ÜRÜN KODU]],YMKODLARI!$A$1:$K$363,8,0)," ")</f>
        <v>HM 004</v>
      </c>
      <c r="O14" s="100" t="str">
        <f>IFERROR(VLOOKUP(Tablo515[[#This Row],[HAMMADDE KODU]],Tablo1[#All],3,0)," ")</f>
        <v>LSR 50</v>
      </c>
      <c r="P14" s="100" t="str">
        <f>IFERROR(VLOOKUP(Tablo515[[#This Row],[HAMMADDE KODU]],Tablo1[#All],4,0)," ")</f>
        <v>TERRA</v>
      </c>
      <c r="Q14" s="100">
        <f>IFERROR(VLOOKUP(Tablo515[[#This Row],[ÜRÜN KODU]],YMKODLARI!$A$1:$K$363,5,0)," ")</f>
        <v>21.9</v>
      </c>
      <c r="R14" s="100">
        <f>IFERROR(VLOOKUP(Tablo515[[#This Row],[ÜRÜN KODU]],YMKODLARI!$A$1:$K$363,6,0)," ")</f>
        <v>16.100000000000001</v>
      </c>
      <c r="S14" s="100">
        <f>IFERROR(Tablo515[[#This Row],[YOLLUK HARİÇ BASKI GRAMI]]/Tablo515[[#This Row],[KALIP GÖZ ADEDİ]]," ")</f>
        <v>2.0125000000000002</v>
      </c>
      <c r="T14" s="100">
        <f t="shared" si="2"/>
        <v>5.7999999999999972</v>
      </c>
      <c r="U14" s="116">
        <v>5.5</v>
      </c>
      <c r="V14" s="100">
        <f t="shared" si="1"/>
        <v>19.313800000000001</v>
      </c>
      <c r="W14" s="101">
        <f t="shared" si="3"/>
        <v>24.416666666666668</v>
      </c>
      <c r="X14" s="102">
        <f t="shared" si="4"/>
        <v>10.000000000000028</v>
      </c>
      <c r="Y14" s="100">
        <f t="shared" si="5"/>
        <v>7.15</v>
      </c>
      <c r="Z14" s="100">
        <f t="shared" si="6"/>
        <v>6864</v>
      </c>
    </row>
    <row r="15" spans="1:26">
      <c r="A15" s="100" t="s">
        <v>42</v>
      </c>
      <c r="B15" s="108" t="str">
        <f>IFERROR(VLOOKUP(Tablo515[[#This Row],[ÜRÜN KODU]],YMKODLARI!$A$1:$K$363,2,0)," ")</f>
        <v>DAMAK EMZİK UCU 2 NO</v>
      </c>
      <c r="C15" s="99">
        <v>43853</v>
      </c>
      <c r="D15" s="100" t="s">
        <v>33</v>
      </c>
      <c r="E15" s="101">
        <v>0.33333333333333331</v>
      </c>
      <c r="F15" s="101">
        <v>0.75</v>
      </c>
      <c r="G15" s="100">
        <f>IFERROR(VLOOKUP(Tablo515[[#This Row],[ÜRÜN KODU]],YMKODLARI!$A$1:$K$363,3,0)," ")</f>
        <v>8</v>
      </c>
      <c r="H15" s="100">
        <f>IFERROR(VLOOKUP(Tablo515[[#This Row],[ÜRÜN KODU]],YMKODLARI!$A$1:$K$363,4,0)," ")</f>
        <v>30</v>
      </c>
      <c r="I15" s="100">
        <v>879</v>
      </c>
      <c r="J15" s="100" t="str">
        <f>IFERROR(VLOOKUP(Tablo515[[#This Row],[ÜRÜN KODU]],YMKODLARI!$A$1:$K$363,9,0)," ")</f>
        <v>Şeffaf</v>
      </c>
      <c r="K15" s="100" t="str">
        <f>IFERROR(VLOOKUP(Tablo515[[#This Row],[BOYA KODU]],Tablo14[#All],4,0)," ")</f>
        <v xml:space="preserve"> </v>
      </c>
      <c r="L15" s="100" t="str">
        <f>IFERROR(VLOOKUP(Tablo515[[#This Row],[BOYA KODU]],Tablo14[#All],6,0)," ")</f>
        <v xml:space="preserve"> </v>
      </c>
      <c r="M15" s="100" t="str">
        <f t="shared" si="0"/>
        <v xml:space="preserve"> </v>
      </c>
      <c r="N15" s="100" t="str">
        <f>IFERROR(VLOOKUP(Tablo515[[#This Row],[ÜRÜN KODU]],YMKODLARI!$A$1:$K$363,8,0)," ")</f>
        <v>HM 004</v>
      </c>
      <c r="O15" s="100" t="str">
        <f>IFERROR(VLOOKUP(Tablo515[[#This Row],[HAMMADDE KODU]],Tablo1[#All],3,0)," ")</f>
        <v>LSR 50</v>
      </c>
      <c r="P15" s="100" t="str">
        <f>IFERROR(VLOOKUP(Tablo515[[#This Row],[HAMMADDE KODU]],Tablo1[#All],4,0)," ")</f>
        <v>TERRA</v>
      </c>
      <c r="Q15" s="100">
        <f>IFERROR(VLOOKUP(Tablo515[[#This Row],[ÜRÜN KODU]],YMKODLARI!$A$1:$K$363,5,0)," ")</f>
        <v>21.9</v>
      </c>
      <c r="R15" s="100">
        <f>IFERROR(VLOOKUP(Tablo515[[#This Row],[ÜRÜN KODU]],YMKODLARI!$A$1:$K$363,6,0)," ")</f>
        <v>16.100000000000001</v>
      </c>
      <c r="S15" s="100">
        <f>IFERROR(Tablo515[[#This Row],[YOLLUK HARİÇ BASKI GRAMI]]/Tablo515[[#This Row],[KALIP GÖZ ADEDİ]]," ")</f>
        <v>2.0125000000000002</v>
      </c>
      <c r="T15" s="100">
        <f t="shared" si="2"/>
        <v>5.7999999999999972</v>
      </c>
      <c r="U15" s="116">
        <v>5.6</v>
      </c>
      <c r="V15" s="100">
        <f t="shared" si="1"/>
        <v>19.751899999999999</v>
      </c>
      <c r="W15" s="101">
        <f t="shared" si="3"/>
        <v>24.416666666666668</v>
      </c>
      <c r="X15" s="102">
        <f t="shared" si="4"/>
        <v>10.000000000000028</v>
      </c>
      <c r="Y15" s="100">
        <f t="shared" si="5"/>
        <v>7.3250000000000002</v>
      </c>
      <c r="Z15" s="100">
        <f t="shared" si="6"/>
        <v>7032</v>
      </c>
    </row>
    <row r="16" spans="1:26">
      <c r="A16" s="100" t="s">
        <v>42</v>
      </c>
      <c r="B16" s="108" t="str">
        <f>IFERROR(VLOOKUP(Tablo515[[#This Row],[ÜRÜN KODU]],YMKODLARI!$A$1:$K$363,2,0)," ")</f>
        <v>DAMAK EMZİK UCU 2 NO</v>
      </c>
      <c r="C16" s="99">
        <v>43854</v>
      </c>
      <c r="D16" s="100" t="s">
        <v>33</v>
      </c>
      <c r="E16" s="101">
        <v>0.33333333333333331</v>
      </c>
      <c r="F16" s="101">
        <v>0.75</v>
      </c>
      <c r="G16" s="100">
        <f>IFERROR(VLOOKUP(Tablo515[[#This Row],[ÜRÜN KODU]],YMKODLARI!$A$1:$K$363,3,0)," ")</f>
        <v>8</v>
      </c>
      <c r="H16" s="100">
        <f>IFERROR(VLOOKUP(Tablo515[[#This Row],[ÜRÜN KODU]],YMKODLARI!$A$1:$K$363,4,0)," ")</f>
        <v>30</v>
      </c>
      <c r="I16" s="100">
        <v>743</v>
      </c>
      <c r="J16" s="100" t="str">
        <f>IFERROR(VLOOKUP(Tablo515[[#This Row],[ÜRÜN KODU]],YMKODLARI!$A$1:$K$363,9,0)," ")</f>
        <v>Şeffaf</v>
      </c>
      <c r="K16" s="100" t="str">
        <f>IFERROR(VLOOKUP(Tablo515[[#This Row],[BOYA KODU]],Tablo14[#All],4,0)," ")</f>
        <v xml:space="preserve"> </v>
      </c>
      <c r="L16" s="100" t="str">
        <f>IFERROR(VLOOKUP(Tablo515[[#This Row],[BOYA KODU]],Tablo14[#All],6,0)," ")</f>
        <v xml:space="preserve"> </v>
      </c>
      <c r="M16" s="100" t="str">
        <f t="shared" si="0"/>
        <v xml:space="preserve"> </v>
      </c>
      <c r="N16" s="100" t="str">
        <f>IFERROR(VLOOKUP(Tablo515[[#This Row],[ÜRÜN KODU]],YMKODLARI!$A$1:$K$363,8,0)," ")</f>
        <v>HM 004</v>
      </c>
      <c r="O16" s="100" t="str">
        <f>IFERROR(VLOOKUP(Tablo515[[#This Row],[HAMMADDE KODU]],Tablo1[#All],3,0)," ")</f>
        <v>LSR 50</v>
      </c>
      <c r="P16" s="100" t="str">
        <f>IFERROR(VLOOKUP(Tablo515[[#This Row],[HAMMADDE KODU]],Tablo1[#All],4,0)," ")</f>
        <v>TERRA</v>
      </c>
      <c r="Q16" s="100">
        <f>IFERROR(VLOOKUP(Tablo515[[#This Row],[ÜRÜN KODU]],YMKODLARI!$A$1:$K$363,5,0)," ")</f>
        <v>21.9</v>
      </c>
      <c r="R16" s="100">
        <f>IFERROR(VLOOKUP(Tablo515[[#This Row],[ÜRÜN KODU]],YMKODLARI!$A$1:$K$363,6,0)," ")</f>
        <v>16.100000000000001</v>
      </c>
      <c r="S16" s="100">
        <f>IFERROR(Tablo515[[#This Row],[YOLLUK HARİÇ BASKI GRAMI]]/Tablo515[[#This Row],[KALIP GÖZ ADEDİ]]," ")</f>
        <v>2.0125000000000002</v>
      </c>
      <c r="T16" s="100">
        <f t="shared" si="2"/>
        <v>5.7999999999999972</v>
      </c>
      <c r="U16" s="116">
        <v>4.5999999999999996</v>
      </c>
      <c r="V16" s="100">
        <f t="shared" si="1"/>
        <v>16.5623</v>
      </c>
      <c r="W16" s="101">
        <f t="shared" si="3"/>
        <v>24.416666666666668</v>
      </c>
      <c r="X16" s="102">
        <f t="shared" si="4"/>
        <v>10.000000000000028</v>
      </c>
      <c r="Y16" s="100">
        <f t="shared" si="5"/>
        <v>6.1916666666666664</v>
      </c>
      <c r="Z16" s="100">
        <f t="shared" si="6"/>
        <v>5944</v>
      </c>
    </row>
    <row r="17" spans="1:26">
      <c r="A17" s="100" t="s">
        <v>42</v>
      </c>
      <c r="B17" s="108" t="str">
        <f>IFERROR(VLOOKUP(Tablo515[[#This Row],[ÜRÜN KODU]],YMKODLARI!$A$1:$K$363,2,0)," ")</f>
        <v>DAMAK EMZİK UCU 2 NO</v>
      </c>
      <c r="C17" s="99">
        <v>43857</v>
      </c>
      <c r="D17" s="100" t="s">
        <v>33</v>
      </c>
      <c r="E17" s="101">
        <v>0.33333333333333331</v>
      </c>
      <c r="F17" s="101">
        <v>0.75</v>
      </c>
      <c r="G17" s="100">
        <f>IFERROR(VLOOKUP(Tablo515[[#This Row],[ÜRÜN KODU]],YMKODLARI!$A$1:$K$363,3,0)," ")</f>
        <v>8</v>
      </c>
      <c r="H17" s="100">
        <f>IFERROR(VLOOKUP(Tablo515[[#This Row],[ÜRÜN KODU]],YMKODLARI!$A$1:$K$363,4,0)," ")</f>
        <v>30</v>
      </c>
      <c r="I17" s="100">
        <v>616</v>
      </c>
      <c r="J17" s="100" t="str">
        <f>IFERROR(VLOOKUP(Tablo515[[#This Row],[ÜRÜN KODU]],YMKODLARI!$A$1:$K$363,9,0)," ")</f>
        <v>Şeffaf</v>
      </c>
      <c r="K17" s="100" t="str">
        <f>IFERROR(VLOOKUP(Tablo515[[#This Row],[BOYA KODU]],Tablo14[#All],4,0)," ")</f>
        <v xml:space="preserve"> </v>
      </c>
      <c r="L17" s="100" t="str">
        <f>IFERROR(VLOOKUP(Tablo515[[#This Row],[BOYA KODU]],Tablo14[#All],6,0)," ")</f>
        <v xml:space="preserve"> </v>
      </c>
      <c r="M17" s="100" t="str">
        <f t="shared" si="0"/>
        <v xml:space="preserve"> </v>
      </c>
      <c r="N17" s="100" t="str">
        <f>IFERROR(VLOOKUP(Tablo515[[#This Row],[ÜRÜN KODU]],YMKODLARI!$A$1:$K$363,8,0)," ")</f>
        <v>HM 004</v>
      </c>
      <c r="O17" s="100" t="str">
        <f>IFERROR(VLOOKUP(Tablo515[[#This Row],[HAMMADDE KODU]],Tablo1[#All],3,0)," ")</f>
        <v>LSR 50</v>
      </c>
      <c r="P17" s="100" t="str">
        <f>IFERROR(VLOOKUP(Tablo515[[#This Row],[HAMMADDE KODU]],Tablo1[#All],4,0)," ")</f>
        <v>TERRA</v>
      </c>
      <c r="Q17" s="100">
        <f>IFERROR(VLOOKUP(Tablo515[[#This Row],[ÜRÜN KODU]],YMKODLARI!$A$1:$K$363,5,0)," ")</f>
        <v>21.9</v>
      </c>
      <c r="R17" s="100">
        <f>IFERROR(VLOOKUP(Tablo515[[#This Row],[ÜRÜN KODU]],YMKODLARI!$A$1:$K$363,6,0)," ")</f>
        <v>16.100000000000001</v>
      </c>
      <c r="S17" s="100">
        <f>IFERROR(Tablo515[[#This Row],[YOLLUK HARİÇ BASKI GRAMI]]/Tablo515[[#This Row],[KALIP GÖZ ADEDİ]]," ")</f>
        <v>2.0125000000000002</v>
      </c>
      <c r="T17" s="100">
        <f t="shared" si="2"/>
        <v>5.7999999999999972</v>
      </c>
      <c r="U17" s="116">
        <v>0</v>
      </c>
      <c r="V17" s="100">
        <f t="shared" si="1"/>
        <v>9.9176000000000002</v>
      </c>
      <c r="W17" s="101">
        <f t="shared" si="3"/>
        <v>24.416666666666668</v>
      </c>
      <c r="X17" s="102">
        <f t="shared" si="4"/>
        <v>10.000000000000028</v>
      </c>
      <c r="Y17" s="100">
        <f t="shared" si="5"/>
        <v>5.1333333333333337</v>
      </c>
      <c r="Z17" s="100">
        <f t="shared" si="6"/>
        <v>4928</v>
      </c>
    </row>
    <row r="18" spans="1:26">
      <c r="A18" s="100" t="s">
        <v>26</v>
      </c>
      <c r="B18" s="108" t="str">
        <f>IFERROR(VLOOKUP(Tablo515[[#This Row],[ÜRÜN KODU]],YMKODLARI!$A$1:$K$363,2,0)," ")</f>
        <v>DAMAK EMZİK UCU 1 NO</v>
      </c>
      <c r="C18" s="99">
        <v>43858</v>
      </c>
      <c r="D18" s="100" t="s">
        <v>33</v>
      </c>
      <c r="E18" s="101">
        <v>0.36458333333333331</v>
      </c>
      <c r="F18" s="101">
        <v>0.75</v>
      </c>
      <c r="G18" s="100">
        <f>IFERROR(VLOOKUP(Tablo515[[#This Row],[ÜRÜN KODU]],YMKODLARI!$A$1:$K$363,3,0)," ")</f>
        <v>8</v>
      </c>
      <c r="H18" s="100">
        <f>IFERROR(VLOOKUP(Tablo515[[#This Row],[ÜRÜN KODU]],YMKODLARI!$A$1:$K$363,4,0)," ")</f>
        <v>30</v>
      </c>
      <c r="I18" s="100">
        <v>833</v>
      </c>
      <c r="J18" s="100" t="str">
        <f>IFERROR(VLOOKUP(Tablo515[[#This Row],[ÜRÜN KODU]],YMKODLARI!$A$1:$K$363,9,0)," ")</f>
        <v>Şeffaf</v>
      </c>
      <c r="K18" s="100" t="str">
        <f>IFERROR(VLOOKUP(Tablo515[[#This Row],[BOYA KODU]],Tablo14[#All],4,0)," ")</f>
        <v xml:space="preserve"> </v>
      </c>
      <c r="L18" s="100" t="str">
        <f>IFERROR(VLOOKUP(Tablo515[[#This Row],[BOYA KODU]],Tablo14[#All],6,0)," ")</f>
        <v xml:space="preserve"> </v>
      </c>
      <c r="M18" s="100" t="str">
        <f t="shared" si="0"/>
        <v xml:space="preserve"> </v>
      </c>
      <c r="N18" s="100" t="str">
        <f>IFERROR(VLOOKUP(Tablo515[[#This Row],[ÜRÜN KODU]],YMKODLARI!$A$1:$K$363,8,0)," ")</f>
        <v>HM 004</v>
      </c>
      <c r="O18" s="100" t="str">
        <f>IFERROR(VLOOKUP(Tablo515[[#This Row],[HAMMADDE KODU]],Tablo1[#All],3,0)," ")</f>
        <v>LSR 50</v>
      </c>
      <c r="P18" s="100" t="str">
        <f>IFERROR(VLOOKUP(Tablo515[[#This Row],[HAMMADDE KODU]],Tablo1[#All],4,0)," ")</f>
        <v>TERRA</v>
      </c>
      <c r="Q18" s="100">
        <f>IFERROR(VLOOKUP(Tablo515[[#This Row],[ÜRÜN KODU]],YMKODLARI!$A$1:$K$363,5,0)," ")</f>
        <v>20.399999999999999</v>
      </c>
      <c r="R18" s="100">
        <f>IFERROR(VLOOKUP(Tablo515[[#This Row],[ÜRÜN KODU]],YMKODLARI!$A$1:$K$363,6,0)," ")</f>
        <v>14.2</v>
      </c>
      <c r="S18" s="100">
        <f>IFERROR(Tablo515[[#This Row],[YOLLUK HARİÇ BASKI GRAMI]]/Tablo515[[#This Row],[KALIP GÖZ ADEDİ]]," ")</f>
        <v>1.7749999999999999</v>
      </c>
      <c r="T18" s="100">
        <f t="shared" si="2"/>
        <v>6.1999999999999993</v>
      </c>
      <c r="U18" s="116">
        <v>5.6</v>
      </c>
      <c r="V18" s="100">
        <f t="shared" si="1"/>
        <v>17.428599999999996</v>
      </c>
      <c r="W18" s="101">
        <f t="shared" si="3"/>
        <v>24.385416666666668</v>
      </c>
      <c r="X18" s="102">
        <f t="shared" si="4"/>
        <v>9.2500000000000284</v>
      </c>
      <c r="Y18" s="100">
        <f t="shared" si="5"/>
        <v>6.9416666666666664</v>
      </c>
      <c r="Z18" s="100">
        <f t="shared" si="6"/>
        <v>6664</v>
      </c>
    </row>
    <row r="19" spans="1:26">
      <c r="A19" s="100" t="s">
        <v>26</v>
      </c>
      <c r="B19" s="108" t="str">
        <f>IFERROR(VLOOKUP(Tablo515[[#This Row],[ÜRÜN KODU]],YMKODLARI!$A$1:$K$363,2,0)," ")</f>
        <v>DAMAK EMZİK UCU 1 NO</v>
      </c>
      <c r="C19" s="99">
        <v>43859</v>
      </c>
      <c r="D19" s="100" t="s">
        <v>33</v>
      </c>
      <c r="E19" s="101">
        <v>0.33333333333333331</v>
      </c>
      <c r="F19" s="101">
        <v>0.58333333333333337</v>
      </c>
      <c r="G19" s="100">
        <f>IFERROR(VLOOKUP(Tablo515[[#This Row],[ÜRÜN KODU]],YMKODLARI!$A$1:$K$363,3,0)," ")</f>
        <v>8</v>
      </c>
      <c r="H19" s="100">
        <f>IFERROR(VLOOKUP(Tablo515[[#This Row],[ÜRÜN KODU]],YMKODLARI!$A$1:$K$363,4,0)," ")</f>
        <v>30</v>
      </c>
      <c r="I19" s="100">
        <v>560</v>
      </c>
      <c r="J19" s="100" t="str">
        <f>IFERROR(VLOOKUP(Tablo515[[#This Row],[ÜRÜN KODU]],YMKODLARI!$A$1:$K$363,9,0)," ")</f>
        <v>Şeffaf</v>
      </c>
      <c r="K19" s="100" t="str">
        <f>IFERROR(VLOOKUP(Tablo515[[#This Row],[BOYA KODU]],Tablo14[#All],4,0)," ")</f>
        <v xml:space="preserve"> </v>
      </c>
      <c r="L19" s="100" t="str">
        <f>IFERROR(VLOOKUP(Tablo515[[#This Row],[BOYA KODU]],Tablo14[#All],6,0)," ")</f>
        <v xml:space="preserve"> </v>
      </c>
      <c r="M19" s="100" t="str">
        <f t="shared" si="0"/>
        <v xml:space="preserve"> </v>
      </c>
      <c r="N19" s="100" t="str">
        <f>IFERROR(VLOOKUP(Tablo515[[#This Row],[ÜRÜN KODU]],YMKODLARI!$A$1:$K$363,8,0)," ")</f>
        <v>HM 004</v>
      </c>
      <c r="O19" s="100" t="str">
        <f>IFERROR(VLOOKUP(Tablo515[[#This Row],[HAMMADDE KODU]],Tablo1[#All],3,0)," ")</f>
        <v>LSR 50</v>
      </c>
      <c r="P19" s="100" t="str">
        <f>IFERROR(VLOOKUP(Tablo515[[#This Row],[HAMMADDE KODU]],Tablo1[#All],4,0)," ")</f>
        <v>TERRA</v>
      </c>
      <c r="Q19" s="100">
        <f>IFERROR(VLOOKUP(Tablo515[[#This Row],[ÜRÜN KODU]],YMKODLARI!$A$1:$K$363,5,0)," ")</f>
        <v>20.399999999999999</v>
      </c>
      <c r="R19" s="100">
        <f>IFERROR(VLOOKUP(Tablo515[[#This Row],[ÜRÜN KODU]],YMKODLARI!$A$1:$K$363,6,0)," ")</f>
        <v>14.2</v>
      </c>
      <c r="S19" s="100">
        <f>IFERROR(Tablo515[[#This Row],[YOLLUK HARİÇ BASKI GRAMI]]/Tablo515[[#This Row],[KALIP GÖZ ADEDİ]]," ")</f>
        <v>1.7749999999999999</v>
      </c>
      <c r="T19" s="100">
        <f t="shared" si="2"/>
        <v>6.1999999999999993</v>
      </c>
      <c r="U19" s="116">
        <v>3.9</v>
      </c>
      <c r="V19" s="100">
        <f t="shared" si="1"/>
        <v>11.852</v>
      </c>
      <c r="W19" s="101">
        <f t="shared" si="3"/>
        <v>24.25</v>
      </c>
      <c r="X19" s="102">
        <f t="shared" si="4"/>
        <v>6</v>
      </c>
      <c r="Y19" s="100">
        <f t="shared" si="5"/>
        <v>4.666666666666667</v>
      </c>
      <c r="Z19" s="100">
        <f t="shared" si="6"/>
        <v>4480</v>
      </c>
    </row>
    <row r="20" spans="1:26">
      <c r="A20" s="100" t="s">
        <v>26</v>
      </c>
      <c r="B20" s="108" t="str">
        <f>IFERROR(VLOOKUP(Tablo515[[#This Row],[ÜRÜN KODU]],YMKODLARI!$A$1:$K$363,2,0)," ")</f>
        <v>DAMAK EMZİK UCU 1 NO</v>
      </c>
      <c r="C20" s="99">
        <v>43860</v>
      </c>
      <c r="D20" s="100" t="s">
        <v>33</v>
      </c>
      <c r="E20" s="101">
        <v>0.33333333333333331</v>
      </c>
      <c r="F20" s="101">
        <v>0.79166666666666663</v>
      </c>
      <c r="G20" s="100">
        <f>IFERROR(VLOOKUP(Tablo515[[#This Row],[ÜRÜN KODU]],YMKODLARI!$A$1:$K$363,3,0)," ")</f>
        <v>8</v>
      </c>
      <c r="H20" s="100">
        <f>IFERROR(VLOOKUP(Tablo515[[#This Row],[ÜRÜN KODU]],YMKODLARI!$A$1:$K$363,4,0)," ")</f>
        <v>30</v>
      </c>
      <c r="I20" s="100">
        <v>955</v>
      </c>
      <c r="J20" s="100" t="str">
        <f>IFERROR(VLOOKUP(Tablo515[[#This Row],[ÜRÜN KODU]],YMKODLARI!$A$1:$K$363,9,0)," ")</f>
        <v>Şeffaf</v>
      </c>
      <c r="K20" s="100" t="str">
        <f>IFERROR(VLOOKUP(Tablo515[[#This Row],[BOYA KODU]],Tablo14[#All],4,0)," ")</f>
        <v xml:space="preserve"> </v>
      </c>
      <c r="L20" s="100" t="str">
        <f>IFERROR(VLOOKUP(Tablo515[[#This Row],[BOYA KODU]],Tablo14[#All],6,0)," ")</f>
        <v xml:space="preserve"> </v>
      </c>
      <c r="M20" s="100" t="str">
        <f t="shared" si="0"/>
        <v xml:space="preserve"> </v>
      </c>
      <c r="N20" s="100" t="str">
        <f>IFERROR(VLOOKUP(Tablo515[[#This Row],[ÜRÜN KODU]],YMKODLARI!$A$1:$K$363,8,0)," ")</f>
        <v>HM 004</v>
      </c>
      <c r="O20" s="100" t="str">
        <f>IFERROR(VLOOKUP(Tablo515[[#This Row],[HAMMADDE KODU]],Tablo1[#All],3,0)," ")</f>
        <v>LSR 50</v>
      </c>
      <c r="P20" s="100" t="str">
        <f>IFERROR(VLOOKUP(Tablo515[[#This Row],[HAMMADDE KODU]],Tablo1[#All],4,0)," ")</f>
        <v>TERRA</v>
      </c>
      <c r="Q20" s="100">
        <f>IFERROR(VLOOKUP(Tablo515[[#This Row],[ÜRÜN KODU]],YMKODLARI!$A$1:$K$363,5,0)," ")</f>
        <v>20.399999999999999</v>
      </c>
      <c r="R20" s="100">
        <f>IFERROR(VLOOKUP(Tablo515[[#This Row],[ÜRÜN KODU]],YMKODLARI!$A$1:$K$363,6,0)," ")</f>
        <v>14.2</v>
      </c>
      <c r="S20" s="100">
        <f>IFERROR(Tablo515[[#This Row],[YOLLUK HARİÇ BASKI GRAMI]]/Tablo515[[#This Row],[KALIP GÖZ ADEDİ]]," ")</f>
        <v>1.7749999999999999</v>
      </c>
      <c r="T20" s="100">
        <f t="shared" si="2"/>
        <v>6.1999999999999993</v>
      </c>
      <c r="U20" s="116">
        <v>8.3000000000000007</v>
      </c>
      <c r="V20" s="100">
        <f t="shared" si="1"/>
        <v>21.861000000000001</v>
      </c>
      <c r="W20" s="101">
        <f t="shared" si="3"/>
        <v>24.458333333333332</v>
      </c>
      <c r="X20" s="102">
        <f t="shared" si="4"/>
        <v>10.999999999999972</v>
      </c>
      <c r="Y20" s="100">
        <f t="shared" si="5"/>
        <v>7.958333333333333</v>
      </c>
      <c r="Z20" s="100">
        <f t="shared" si="6"/>
        <v>7640</v>
      </c>
    </row>
    <row r="21" spans="1:26">
      <c r="A21" s="100" t="s">
        <v>26</v>
      </c>
      <c r="B21" s="108" t="str">
        <f>IFERROR(VLOOKUP(Tablo515[[#This Row],[ÜRÜN KODU]],YMKODLARI!$A$1:$K$363,2,0)," ")</f>
        <v>DAMAK EMZİK UCU 1 NO</v>
      </c>
      <c r="C21" s="99">
        <v>43861</v>
      </c>
      <c r="D21" s="100" t="s">
        <v>33</v>
      </c>
      <c r="E21" s="101">
        <v>0.33333333333333331</v>
      </c>
      <c r="F21" s="101">
        <v>0.72916666666666663</v>
      </c>
      <c r="G21" s="100">
        <f>IFERROR(VLOOKUP(Tablo515[[#This Row],[ÜRÜN KODU]],YMKODLARI!$A$1:$K$363,3,0)," ")</f>
        <v>8</v>
      </c>
      <c r="H21" s="100">
        <f>IFERROR(VLOOKUP(Tablo515[[#This Row],[ÜRÜN KODU]],YMKODLARI!$A$1:$K$363,4,0)," ")</f>
        <v>30</v>
      </c>
      <c r="I21" s="100">
        <v>947</v>
      </c>
      <c r="J21" s="100" t="str">
        <f>IFERROR(VLOOKUP(Tablo515[[#This Row],[ÜRÜN KODU]],YMKODLARI!$A$1:$K$363,9,0)," ")</f>
        <v>Şeffaf</v>
      </c>
      <c r="K21" s="100" t="str">
        <f>IFERROR(VLOOKUP(Tablo515[[#This Row],[BOYA KODU]],Tablo14[#All],4,0)," ")</f>
        <v xml:space="preserve"> </v>
      </c>
      <c r="L21" s="100" t="str">
        <f>IFERROR(VLOOKUP(Tablo515[[#This Row],[BOYA KODU]],Tablo14[#All],6,0)," ")</f>
        <v xml:space="preserve"> </v>
      </c>
      <c r="M21" s="100" t="str">
        <f t="shared" si="0"/>
        <v xml:space="preserve"> </v>
      </c>
      <c r="N21" s="100" t="str">
        <f>IFERROR(VLOOKUP(Tablo515[[#This Row],[ÜRÜN KODU]],YMKODLARI!$A$1:$K$363,8,0)," ")</f>
        <v>HM 004</v>
      </c>
      <c r="O21" s="100" t="str">
        <f>IFERROR(VLOOKUP(Tablo515[[#This Row],[HAMMADDE KODU]],Tablo1[#All],3,0)," ")</f>
        <v>LSR 50</v>
      </c>
      <c r="P21" s="100" t="str">
        <f>IFERROR(VLOOKUP(Tablo515[[#This Row],[HAMMADDE KODU]],Tablo1[#All],4,0)," ")</f>
        <v>TERRA</v>
      </c>
      <c r="Q21" s="100">
        <f>IFERROR(VLOOKUP(Tablo515[[#This Row],[ÜRÜN KODU]],YMKODLARI!$A$1:$K$363,5,0)," ")</f>
        <v>20.399999999999999</v>
      </c>
      <c r="R21" s="100">
        <f>IFERROR(VLOOKUP(Tablo515[[#This Row],[ÜRÜN KODU]],YMKODLARI!$A$1:$K$363,6,0)," ")</f>
        <v>14.2</v>
      </c>
      <c r="S21" s="100">
        <f>IFERROR(Tablo515[[#This Row],[YOLLUK HARİÇ BASKI GRAMI]]/Tablo515[[#This Row],[KALIP GÖZ ADEDİ]]," ")</f>
        <v>1.7749999999999999</v>
      </c>
      <c r="T21" s="100">
        <f t="shared" si="2"/>
        <v>6.1999999999999993</v>
      </c>
      <c r="U21" s="116">
        <v>6.4</v>
      </c>
      <c r="V21" s="100">
        <f t="shared" si="1"/>
        <v>19.8474</v>
      </c>
      <c r="W21" s="101">
        <f t="shared" si="3"/>
        <v>24.395833333333332</v>
      </c>
      <c r="X21" s="102">
        <f t="shared" si="4"/>
        <v>9.4999999999999716</v>
      </c>
      <c r="Y21" s="100">
        <f t="shared" si="5"/>
        <v>7.8916666666666666</v>
      </c>
      <c r="Z21" s="100">
        <f t="shared" si="6"/>
        <v>7576</v>
      </c>
    </row>
    <row r="22" spans="1:26">
      <c r="A22" s="100" t="s">
        <v>26</v>
      </c>
      <c r="B22" s="108" t="str">
        <f>IFERROR(VLOOKUP(Tablo515[[#This Row],[ÜRÜN KODU]],YMKODLARI!$A$1:$K$363,2,0)," ")</f>
        <v>DAMAK EMZİK UCU 1 NO</v>
      </c>
      <c r="C22" s="99">
        <v>43864</v>
      </c>
      <c r="D22" s="100" t="s">
        <v>33</v>
      </c>
      <c r="E22" s="101">
        <v>0.33333333333333331</v>
      </c>
      <c r="F22" s="101">
        <v>0.75</v>
      </c>
      <c r="G22" s="100">
        <f>IFERROR(VLOOKUP(Tablo515[[#This Row],[ÜRÜN KODU]],YMKODLARI!$A$1:$K$363,3,0)," ")</f>
        <v>8</v>
      </c>
      <c r="H22" s="100">
        <f>IFERROR(VLOOKUP(Tablo515[[#This Row],[ÜRÜN KODU]],YMKODLARI!$A$1:$K$363,4,0)," ")</f>
        <v>30</v>
      </c>
      <c r="I22" s="109">
        <v>962</v>
      </c>
      <c r="J22" s="100" t="str">
        <f>IFERROR(VLOOKUP(Tablo515[[#This Row],[ÜRÜN KODU]],YMKODLARI!$A$1:$K$363,9,0)," ")</f>
        <v>Şeffaf</v>
      </c>
      <c r="K22" s="100" t="str">
        <f>IFERROR(VLOOKUP(Tablo515[[#This Row],[BOYA KODU]],Tablo14[#All],4,0)," ")</f>
        <v xml:space="preserve"> </v>
      </c>
      <c r="L22" s="100" t="str">
        <f>IFERROR(VLOOKUP(Tablo515[[#This Row],[BOYA KODU]],Tablo14[#All],6,0)," ")</f>
        <v xml:space="preserve"> </v>
      </c>
      <c r="M22" s="100" t="str">
        <f t="shared" si="0"/>
        <v xml:space="preserve"> </v>
      </c>
      <c r="N22" s="100" t="str">
        <f>IFERROR(VLOOKUP(Tablo515[[#This Row],[ÜRÜN KODU]],YMKODLARI!$A$1:$K$363,8,0)," ")</f>
        <v>HM 004</v>
      </c>
      <c r="O22" s="100" t="str">
        <f>IFERROR(VLOOKUP(Tablo515[[#This Row],[HAMMADDE KODU]],Tablo1[#All],3,0)," ")</f>
        <v>LSR 50</v>
      </c>
      <c r="P22" s="100" t="str">
        <f>IFERROR(VLOOKUP(Tablo515[[#This Row],[HAMMADDE KODU]],Tablo1[#All],4,0)," ")</f>
        <v>TERRA</v>
      </c>
      <c r="Q22" s="100">
        <f>IFERROR(VLOOKUP(Tablo515[[#This Row],[ÜRÜN KODU]],YMKODLARI!$A$1:$K$363,5,0)," ")</f>
        <v>20.399999999999999</v>
      </c>
      <c r="R22" s="100">
        <f>IFERROR(VLOOKUP(Tablo515[[#This Row],[ÜRÜN KODU]],YMKODLARI!$A$1:$K$363,6,0)," ")</f>
        <v>14.2</v>
      </c>
      <c r="S22" s="100">
        <f>IFERROR(Tablo515[[#This Row],[YOLLUK HARİÇ BASKI GRAMI]]/Tablo515[[#This Row],[KALIP GÖZ ADEDİ]]," ")</f>
        <v>1.7749999999999999</v>
      </c>
      <c r="T22" s="100">
        <f t="shared" si="2"/>
        <v>6.1999999999999993</v>
      </c>
      <c r="U22" s="117">
        <v>6.3</v>
      </c>
      <c r="V22" s="100">
        <f t="shared" si="1"/>
        <v>19.9604</v>
      </c>
      <c r="W22" s="101">
        <f t="shared" si="3"/>
        <v>24.416666666666668</v>
      </c>
      <c r="X22" s="102">
        <f t="shared" si="4"/>
        <v>10.000000000000028</v>
      </c>
      <c r="Y22" s="100">
        <f t="shared" si="5"/>
        <v>8.0166666666666675</v>
      </c>
      <c r="Z22" s="100">
        <f t="shared" si="6"/>
        <v>7696</v>
      </c>
    </row>
    <row r="23" spans="1:26">
      <c r="A23" s="100" t="s">
        <v>26</v>
      </c>
      <c r="B23" s="108" t="str">
        <f>IFERROR(VLOOKUP(Tablo515[[#This Row],[ÜRÜN KODU]],YMKODLARI!$A$1:$K$363,2,0)," ")</f>
        <v>DAMAK EMZİK UCU 1 NO</v>
      </c>
      <c r="C23" s="99">
        <v>43865</v>
      </c>
      <c r="D23" s="100" t="s">
        <v>33</v>
      </c>
      <c r="E23" s="101">
        <v>0.33333333333333331</v>
      </c>
      <c r="F23" s="101">
        <v>0.75</v>
      </c>
      <c r="G23" s="100">
        <f>IFERROR(VLOOKUP(Tablo515[[#This Row],[ÜRÜN KODU]],YMKODLARI!$A$1:$K$363,3,0)," ")</f>
        <v>8</v>
      </c>
      <c r="H23" s="100">
        <f>IFERROR(VLOOKUP(Tablo515[[#This Row],[ÜRÜN KODU]],YMKODLARI!$A$1:$K$363,4,0)," ")</f>
        <v>30</v>
      </c>
      <c r="I23" s="109">
        <v>920</v>
      </c>
      <c r="J23" s="100" t="str">
        <f>IFERROR(VLOOKUP(Tablo515[[#This Row],[ÜRÜN KODU]],YMKODLARI!$A$1:$K$363,9,0)," ")</f>
        <v>Şeffaf</v>
      </c>
      <c r="K23" s="100" t="str">
        <f>IFERROR(VLOOKUP(Tablo515[[#This Row],[BOYA KODU]],Tablo14[#All],4,0)," ")</f>
        <v xml:space="preserve"> </v>
      </c>
      <c r="L23" s="100" t="str">
        <f>IFERROR(VLOOKUP(Tablo515[[#This Row],[BOYA KODU]],Tablo14[#All],6,0)," ")</f>
        <v xml:space="preserve"> </v>
      </c>
      <c r="M23" s="100" t="str">
        <f t="shared" si="0"/>
        <v xml:space="preserve"> </v>
      </c>
      <c r="N23" s="100" t="str">
        <f>IFERROR(VLOOKUP(Tablo515[[#This Row],[ÜRÜN KODU]],YMKODLARI!$A$1:$K$363,8,0)," ")</f>
        <v>HM 004</v>
      </c>
      <c r="O23" s="100" t="str">
        <f>IFERROR(VLOOKUP(Tablo515[[#This Row],[HAMMADDE KODU]],Tablo1[#All],3,0)," ")</f>
        <v>LSR 50</v>
      </c>
      <c r="P23" s="100" t="str">
        <f>IFERROR(VLOOKUP(Tablo515[[#This Row],[HAMMADDE KODU]],Tablo1[#All],4,0)," ")</f>
        <v>TERRA</v>
      </c>
      <c r="Q23" s="100">
        <f>IFERROR(VLOOKUP(Tablo515[[#This Row],[ÜRÜN KODU]],YMKODLARI!$A$1:$K$363,5,0)," ")</f>
        <v>20.399999999999999</v>
      </c>
      <c r="R23" s="100">
        <f>IFERROR(VLOOKUP(Tablo515[[#This Row],[ÜRÜN KODU]],YMKODLARI!$A$1:$K$363,6,0)," ")</f>
        <v>14.2</v>
      </c>
      <c r="S23" s="100">
        <f>IFERROR(Tablo515[[#This Row],[YOLLUK HARİÇ BASKI GRAMI]]/Tablo515[[#This Row],[KALIP GÖZ ADEDİ]]," ")</f>
        <v>1.7749999999999999</v>
      </c>
      <c r="T23" s="100">
        <f t="shared" si="2"/>
        <v>6.1999999999999993</v>
      </c>
      <c r="U23" s="117">
        <v>6</v>
      </c>
      <c r="V23" s="100">
        <f t="shared" si="1"/>
        <v>19.064</v>
      </c>
      <c r="W23" s="101">
        <f t="shared" si="3"/>
        <v>24.416666666666668</v>
      </c>
      <c r="X23" s="102">
        <f t="shared" si="4"/>
        <v>10.000000000000028</v>
      </c>
      <c r="Y23" s="100">
        <f t="shared" si="5"/>
        <v>7.666666666666667</v>
      </c>
      <c r="Z23" s="100">
        <f t="shared" si="6"/>
        <v>7360</v>
      </c>
    </row>
    <row r="24" spans="1:26">
      <c r="A24" s="100" t="s">
        <v>26</v>
      </c>
      <c r="B24" s="108" t="str">
        <f>IFERROR(VLOOKUP(Tablo515[[#This Row],[ÜRÜN KODU]],YMKODLARI!$A$1:$K$363,2,0)," ")</f>
        <v>DAMAK EMZİK UCU 1 NO</v>
      </c>
      <c r="C24" s="99">
        <v>43866</v>
      </c>
      <c r="D24" s="100" t="s">
        <v>33</v>
      </c>
      <c r="E24" s="101">
        <v>0.33333333333333331</v>
      </c>
      <c r="F24" s="101">
        <v>0.75</v>
      </c>
      <c r="G24" s="100">
        <f>IFERROR(VLOOKUP(Tablo515[[#This Row],[ÜRÜN KODU]],YMKODLARI!$A$1:$K$363,3,0)," ")</f>
        <v>8</v>
      </c>
      <c r="H24" s="100">
        <f>IFERROR(VLOOKUP(Tablo515[[#This Row],[ÜRÜN KODU]],YMKODLARI!$A$1:$K$363,4,0)," ")</f>
        <v>30</v>
      </c>
      <c r="I24" s="109">
        <v>933</v>
      </c>
      <c r="J24" s="100" t="str">
        <f>IFERROR(VLOOKUP(Tablo515[[#This Row],[ÜRÜN KODU]],YMKODLARI!$A$1:$K$363,9,0)," ")</f>
        <v>Şeffaf</v>
      </c>
      <c r="K24" s="100" t="str">
        <f>IFERROR(VLOOKUP(Tablo515[[#This Row],[BOYA KODU]],Tablo14[#All],4,0)," ")</f>
        <v xml:space="preserve"> </v>
      </c>
      <c r="L24" s="100" t="str">
        <f>IFERROR(VLOOKUP(Tablo515[[#This Row],[BOYA KODU]],Tablo14[#All],6,0)," ")</f>
        <v xml:space="preserve"> </v>
      </c>
      <c r="M24" s="100" t="str">
        <f t="shared" si="0"/>
        <v xml:space="preserve"> </v>
      </c>
      <c r="N24" s="100" t="str">
        <f>IFERROR(VLOOKUP(Tablo515[[#This Row],[ÜRÜN KODU]],YMKODLARI!$A$1:$K$363,8,0)," ")</f>
        <v>HM 004</v>
      </c>
      <c r="O24" s="100" t="str">
        <f>IFERROR(VLOOKUP(Tablo515[[#This Row],[HAMMADDE KODU]],Tablo1[#All],3,0)," ")</f>
        <v>LSR 50</v>
      </c>
      <c r="P24" s="100" t="str">
        <f>IFERROR(VLOOKUP(Tablo515[[#This Row],[HAMMADDE KODU]],Tablo1[#All],4,0)," ")</f>
        <v>TERRA</v>
      </c>
      <c r="Q24" s="100">
        <f>IFERROR(VLOOKUP(Tablo515[[#This Row],[ÜRÜN KODU]],YMKODLARI!$A$1:$K$363,5,0)," ")</f>
        <v>20.399999999999999</v>
      </c>
      <c r="R24" s="100">
        <f>IFERROR(VLOOKUP(Tablo515[[#This Row],[ÜRÜN KODU]],YMKODLARI!$A$1:$K$363,6,0)," ")</f>
        <v>14.2</v>
      </c>
      <c r="S24" s="100">
        <f>IFERROR(Tablo515[[#This Row],[YOLLUK HARİÇ BASKI GRAMI]]/Tablo515[[#This Row],[KALIP GÖZ ADEDİ]]," ")</f>
        <v>1.7749999999999999</v>
      </c>
      <c r="T24" s="100">
        <f t="shared" si="2"/>
        <v>6.1999999999999993</v>
      </c>
      <c r="U24" s="117">
        <v>5.5</v>
      </c>
      <c r="V24" s="100">
        <f t="shared" si="1"/>
        <v>18.748599999999996</v>
      </c>
      <c r="W24" s="101">
        <f t="shared" si="3"/>
        <v>24.416666666666668</v>
      </c>
      <c r="X24" s="102">
        <f t="shared" si="4"/>
        <v>10.000000000000028</v>
      </c>
      <c r="Y24" s="100">
        <f t="shared" si="5"/>
        <v>7.7750000000000004</v>
      </c>
      <c r="Z24" s="100">
        <f t="shared" si="6"/>
        <v>7464</v>
      </c>
    </row>
    <row r="25" spans="1:26">
      <c r="A25" s="100" t="s">
        <v>26</v>
      </c>
      <c r="B25" s="108" t="str">
        <f>IFERROR(VLOOKUP(Tablo515[[#This Row],[ÜRÜN KODU]],YMKODLARI!$A$1:$K$363,2,0)," ")</f>
        <v>DAMAK EMZİK UCU 1 NO</v>
      </c>
      <c r="C25" s="99">
        <v>43867</v>
      </c>
      <c r="D25" s="100" t="s">
        <v>33</v>
      </c>
      <c r="E25" s="101">
        <v>0.33333333333333331</v>
      </c>
      <c r="F25" s="101">
        <v>0.75</v>
      </c>
      <c r="G25" s="100">
        <f>IFERROR(VLOOKUP(Tablo515[[#This Row],[ÜRÜN KODU]],YMKODLARI!$A$1:$K$363,3,0)," ")</f>
        <v>8</v>
      </c>
      <c r="H25" s="100">
        <f>IFERROR(VLOOKUP(Tablo515[[#This Row],[ÜRÜN KODU]],YMKODLARI!$A$1:$K$363,4,0)," ")</f>
        <v>30</v>
      </c>
      <c r="I25" s="109">
        <v>935</v>
      </c>
      <c r="J25" s="100" t="str">
        <f>IFERROR(VLOOKUP(Tablo515[[#This Row],[ÜRÜN KODU]],YMKODLARI!$A$1:$K$363,9,0)," ")</f>
        <v>Şeffaf</v>
      </c>
      <c r="K25" s="100" t="str">
        <f>IFERROR(VLOOKUP(Tablo515[[#This Row],[BOYA KODU]],Tablo14[#All],4,0)," ")</f>
        <v xml:space="preserve"> </v>
      </c>
      <c r="L25" s="100" t="str">
        <f>IFERROR(VLOOKUP(Tablo515[[#This Row],[BOYA KODU]],Tablo14[#All],6,0)," ")</f>
        <v xml:space="preserve"> </v>
      </c>
      <c r="M25" s="100" t="str">
        <f t="shared" si="0"/>
        <v xml:space="preserve"> </v>
      </c>
      <c r="N25" s="100" t="str">
        <f>IFERROR(VLOOKUP(Tablo515[[#This Row],[ÜRÜN KODU]],YMKODLARI!$A$1:$K$363,8,0)," ")</f>
        <v>HM 004</v>
      </c>
      <c r="O25" s="100" t="str">
        <f>IFERROR(VLOOKUP(Tablo515[[#This Row],[HAMMADDE KODU]],Tablo1[#All],3,0)," ")</f>
        <v>LSR 50</v>
      </c>
      <c r="P25" s="100" t="str">
        <f>IFERROR(VLOOKUP(Tablo515[[#This Row],[HAMMADDE KODU]],Tablo1[#All],4,0)," ")</f>
        <v>TERRA</v>
      </c>
      <c r="Q25" s="100">
        <f>IFERROR(VLOOKUP(Tablo515[[#This Row],[ÜRÜN KODU]],YMKODLARI!$A$1:$K$363,5,0)," ")</f>
        <v>20.399999999999999</v>
      </c>
      <c r="R25" s="100">
        <f>IFERROR(VLOOKUP(Tablo515[[#This Row],[ÜRÜN KODU]],YMKODLARI!$A$1:$K$363,6,0)," ")</f>
        <v>14.2</v>
      </c>
      <c r="S25" s="100">
        <f>IFERROR(Tablo515[[#This Row],[YOLLUK HARİÇ BASKI GRAMI]]/Tablo515[[#This Row],[KALIP GÖZ ADEDİ]]," ")</f>
        <v>1.7749999999999999</v>
      </c>
      <c r="T25" s="100">
        <f t="shared" si="2"/>
        <v>6.1999999999999993</v>
      </c>
      <c r="U25" s="117">
        <v>6.5</v>
      </c>
      <c r="V25" s="100">
        <f t="shared" si="1"/>
        <v>19.777000000000001</v>
      </c>
      <c r="W25" s="101">
        <f t="shared" si="3"/>
        <v>24.416666666666668</v>
      </c>
      <c r="X25" s="102">
        <f t="shared" si="4"/>
        <v>10.000000000000028</v>
      </c>
      <c r="Y25" s="100">
        <f t="shared" si="5"/>
        <v>7.791666666666667</v>
      </c>
      <c r="Z25" s="100">
        <f t="shared" si="6"/>
        <v>7480</v>
      </c>
    </row>
    <row r="26" spans="1:26">
      <c r="A26" s="100" t="s">
        <v>26</v>
      </c>
      <c r="B26" s="108" t="str">
        <f>IFERROR(VLOOKUP(Tablo515[[#This Row],[ÜRÜN KODU]],YMKODLARI!$A$1:$K$363,2,0)," ")</f>
        <v>DAMAK EMZİK UCU 1 NO</v>
      </c>
      <c r="C26" s="99">
        <v>43868</v>
      </c>
      <c r="D26" s="100" t="s">
        <v>33</v>
      </c>
      <c r="E26" s="101">
        <v>0.33333333333333331</v>
      </c>
      <c r="F26" s="101">
        <v>0.75</v>
      </c>
      <c r="G26" s="100">
        <f>IFERROR(VLOOKUP(Tablo515[[#This Row],[ÜRÜN KODU]],YMKODLARI!$A$1:$K$363,3,0)," ")</f>
        <v>8</v>
      </c>
      <c r="H26" s="100">
        <f>IFERROR(VLOOKUP(Tablo515[[#This Row],[ÜRÜN KODU]],YMKODLARI!$A$1:$K$363,4,0)," ")</f>
        <v>30</v>
      </c>
      <c r="I26" s="109">
        <v>517</v>
      </c>
      <c r="J26" s="100" t="str">
        <f>IFERROR(VLOOKUP(Tablo515[[#This Row],[ÜRÜN KODU]],YMKODLARI!$A$1:$K$363,9,0)," ")</f>
        <v>Şeffaf</v>
      </c>
      <c r="K26" s="100" t="str">
        <f>IFERROR(VLOOKUP(Tablo515[[#This Row],[BOYA KODU]],Tablo14[#All],4,0)," ")</f>
        <v xml:space="preserve"> </v>
      </c>
      <c r="L26" s="100" t="str">
        <f>IFERROR(VLOOKUP(Tablo515[[#This Row],[BOYA KODU]],Tablo14[#All],6,0)," ")</f>
        <v xml:space="preserve"> </v>
      </c>
      <c r="M26" s="100" t="str">
        <f t="shared" si="0"/>
        <v xml:space="preserve"> </v>
      </c>
      <c r="N26" s="100" t="str">
        <f>IFERROR(VLOOKUP(Tablo515[[#This Row],[ÜRÜN KODU]],YMKODLARI!$A$1:$K$363,8,0)," ")</f>
        <v>HM 004</v>
      </c>
      <c r="O26" s="100" t="str">
        <f>IFERROR(VLOOKUP(Tablo515[[#This Row],[HAMMADDE KODU]],Tablo1[#All],3,0)," ")</f>
        <v>LSR 50</v>
      </c>
      <c r="P26" s="100" t="str">
        <f>IFERROR(VLOOKUP(Tablo515[[#This Row],[HAMMADDE KODU]],Tablo1[#All],4,0)," ")</f>
        <v>TERRA</v>
      </c>
      <c r="Q26" s="100">
        <f>IFERROR(VLOOKUP(Tablo515[[#This Row],[ÜRÜN KODU]],YMKODLARI!$A$1:$K$363,5,0)," ")</f>
        <v>20.399999999999999</v>
      </c>
      <c r="R26" s="100">
        <f>IFERROR(VLOOKUP(Tablo515[[#This Row],[ÜRÜN KODU]],YMKODLARI!$A$1:$K$363,6,0)," ")</f>
        <v>14.2</v>
      </c>
      <c r="S26" s="100">
        <f>IFERROR(Tablo515[[#This Row],[YOLLUK HARİÇ BASKI GRAMI]]/Tablo515[[#This Row],[KALIP GÖZ ADEDİ]]," ")</f>
        <v>1.7749999999999999</v>
      </c>
      <c r="T26" s="100">
        <f t="shared" si="2"/>
        <v>6.1999999999999993</v>
      </c>
      <c r="U26" s="117">
        <v>3</v>
      </c>
      <c r="V26" s="100">
        <f t="shared" si="1"/>
        <v>10.3414</v>
      </c>
      <c r="W26" s="101">
        <f t="shared" si="3"/>
        <v>24.416666666666668</v>
      </c>
      <c r="X26" s="102">
        <f t="shared" si="4"/>
        <v>10.000000000000028</v>
      </c>
      <c r="Y26" s="100">
        <f t="shared" si="5"/>
        <v>4.3083333333333336</v>
      </c>
      <c r="Z26" s="100">
        <f t="shared" si="6"/>
        <v>4136</v>
      </c>
    </row>
    <row r="27" spans="1:26">
      <c r="A27" s="100" t="s">
        <v>26</v>
      </c>
      <c r="B27" s="108" t="str">
        <f>IFERROR(VLOOKUP(Tablo515[[#This Row],[ÜRÜN KODU]],YMKODLARI!$A$1:$K$363,2,0)," ")</f>
        <v>DAMAK EMZİK UCU 1 NO</v>
      </c>
      <c r="C27" s="99">
        <v>43871</v>
      </c>
      <c r="D27" s="100" t="s">
        <v>33</v>
      </c>
      <c r="E27" s="101">
        <v>0.33333333333333331</v>
      </c>
      <c r="F27" s="101">
        <v>0.75</v>
      </c>
      <c r="G27" s="100">
        <f>IFERROR(VLOOKUP(Tablo515[[#This Row],[ÜRÜN KODU]],YMKODLARI!$A$1:$K$363,3,0)," ")</f>
        <v>8</v>
      </c>
      <c r="H27" s="100">
        <f>IFERROR(VLOOKUP(Tablo515[[#This Row],[ÜRÜN KODU]],YMKODLARI!$A$1:$K$363,4,0)," ")</f>
        <v>30</v>
      </c>
      <c r="I27" s="109">
        <v>955</v>
      </c>
      <c r="J27" s="100" t="str">
        <f>IFERROR(VLOOKUP(Tablo515[[#This Row],[ÜRÜN KODU]],YMKODLARI!$A$1:$K$363,9,0)," ")</f>
        <v>Şeffaf</v>
      </c>
      <c r="K27" s="100" t="str">
        <f>IFERROR(VLOOKUP(Tablo515[[#This Row],[BOYA KODU]],Tablo14[#All],4,0)," ")</f>
        <v xml:space="preserve"> </v>
      </c>
      <c r="L27" s="100" t="str">
        <f>IFERROR(VLOOKUP(Tablo515[[#This Row],[BOYA KODU]],Tablo14[#All],6,0)," ")</f>
        <v xml:space="preserve"> </v>
      </c>
      <c r="M27" s="100" t="str">
        <f t="shared" si="0"/>
        <v xml:space="preserve"> </v>
      </c>
      <c r="N27" s="100" t="str">
        <f>IFERROR(VLOOKUP(Tablo515[[#This Row],[ÜRÜN KODU]],YMKODLARI!$A$1:$K$363,8,0)," ")</f>
        <v>HM 004</v>
      </c>
      <c r="O27" s="100" t="str">
        <f>IFERROR(VLOOKUP(Tablo515[[#This Row],[HAMMADDE KODU]],Tablo1[#All],3,0)," ")</f>
        <v>LSR 50</v>
      </c>
      <c r="P27" s="100" t="str">
        <f>IFERROR(VLOOKUP(Tablo515[[#This Row],[HAMMADDE KODU]],Tablo1[#All],4,0)," ")</f>
        <v>TERRA</v>
      </c>
      <c r="Q27" s="100">
        <f>IFERROR(VLOOKUP(Tablo515[[#This Row],[ÜRÜN KODU]],YMKODLARI!$A$1:$K$363,5,0)," ")</f>
        <v>20.399999999999999</v>
      </c>
      <c r="R27" s="100">
        <f>IFERROR(VLOOKUP(Tablo515[[#This Row],[ÜRÜN KODU]],YMKODLARI!$A$1:$K$363,6,0)," ")</f>
        <v>14.2</v>
      </c>
      <c r="S27" s="100">
        <f>IFERROR(Tablo515[[#This Row],[YOLLUK HARİÇ BASKI GRAMI]]/Tablo515[[#This Row],[KALIP GÖZ ADEDİ]]," ")</f>
        <v>1.7749999999999999</v>
      </c>
      <c r="T27" s="100">
        <f t="shared" si="2"/>
        <v>6.1999999999999993</v>
      </c>
      <c r="U27" s="117">
        <v>5.5</v>
      </c>
      <c r="V27" s="100">
        <f t="shared" si="1"/>
        <v>19.061</v>
      </c>
      <c r="W27" s="101">
        <f t="shared" si="3"/>
        <v>24.416666666666668</v>
      </c>
      <c r="X27" s="102">
        <f t="shared" si="4"/>
        <v>10.000000000000028</v>
      </c>
      <c r="Y27" s="100">
        <f t="shared" si="5"/>
        <v>7.958333333333333</v>
      </c>
      <c r="Z27" s="100">
        <f t="shared" si="6"/>
        <v>7640</v>
      </c>
    </row>
    <row r="28" spans="1:26">
      <c r="A28" s="100" t="s">
        <v>26</v>
      </c>
      <c r="B28" s="108" t="str">
        <f>IFERROR(VLOOKUP(Tablo515[[#This Row],[ÜRÜN KODU]],YMKODLARI!$A$1:$K$363,2,0)," ")</f>
        <v>DAMAK EMZİK UCU 1 NO</v>
      </c>
      <c r="C28" s="99">
        <v>43872</v>
      </c>
      <c r="D28" s="100" t="s">
        <v>37</v>
      </c>
      <c r="E28" s="101">
        <v>0.33333333333333331</v>
      </c>
      <c r="F28" s="101">
        <v>0.75</v>
      </c>
      <c r="G28" s="100">
        <f>IFERROR(VLOOKUP(Tablo515[[#This Row],[ÜRÜN KODU]],YMKODLARI!$A$1:$K$363,3,0)," ")</f>
        <v>8</v>
      </c>
      <c r="H28" s="100">
        <f>IFERROR(VLOOKUP(Tablo515[[#This Row],[ÜRÜN KODU]],YMKODLARI!$A$1:$K$363,4,0)," ")</f>
        <v>30</v>
      </c>
      <c r="I28" s="109">
        <v>628</v>
      </c>
      <c r="J28" s="100" t="str">
        <f>IFERROR(VLOOKUP(Tablo515[[#This Row],[ÜRÜN KODU]],YMKODLARI!$A$1:$K$363,9,0)," ")</f>
        <v>Şeffaf</v>
      </c>
      <c r="K28" s="100" t="str">
        <f>IFERROR(VLOOKUP(Tablo515[[#This Row],[BOYA KODU]],Tablo14[#All],4,0)," ")</f>
        <v xml:space="preserve"> </v>
      </c>
      <c r="L28" s="100" t="str">
        <f>IFERROR(VLOOKUP(Tablo515[[#This Row],[BOYA KODU]],Tablo14[#All],6,0)," ")</f>
        <v xml:space="preserve"> </v>
      </c>
      <c r="M28" s="100" t="str">
        <f t="shared" si="0"/>
        <v xml:space="preserve"> </v>
      </c>
      <c r="N28" s="100" t="str">
        <f>IFERROR(VLOOKUP(Tablo515[[#This Row],[ÜRÜN KODU]],YMKODLARI!$A$1:$K$363,8,0)," ")</f>
        <v>HM 004</v>
      </c>
      <c r="O28" s="100" t="str">
        <f>IFERROR(VLOOKUP(Tablo515[[#This Row],[HAMMADDE KODU]],Tablo1[#All],3,0)," ")</f>
        <v>LSR 50</v>
      </c>
      <c r="P28" s="100" t="str">
        <f>IFERROR(VLOOKUP(Tablo515[[#This Row],[HAMMADDE KODU]],Tablo1[#All],4,0)," ")</f>
        <v>TERRA</v>
      </c>
      <c r="Q28" s="100">
        <f>IFERROR(VLOOKUP(Tablo515[[#This Row],[ÜRÜN KODU]],YMKODLARI!$A$1:$K$363,5,0)," ")</f>
        <v>20.399999999999999</v>
      </c>
      <c r="R28" s="100">
        <f>IFERROR(VLOOKUP(Tablo515[[#This Row],[ÜRÜN KODU]],YMKODLARI!$A$1:$K$363,6,0)," ")</f>
        <v>14.2</v>
      </c>
      <c r="S28" s="100">
        <f>IFERROR(Tablo515[[#This Row],[YOLLUK HARİÇ BASKI GRAMI]]/Tablo515[[#This Row],[KALIP GÖZ ADEDİ]]," ")</f>
        <v>1.7749999999999999</v>
      </c>
      <c r="T28" s="100">
        <f t="shared" si="2"/>
        <v>6.1999999999999993</v>
      </c>
      <c r="U28" s="117">
        <v>5</v>
      </c>
      <c r="V28" s="100">
        <f t="shared" si="1"/>
        <v>13.9176</v>
      </c>
      <c r="W28" s="101">
        <f t="shared" si="3"/>
        <v>24.416666666666668</v>
      </c>
      <c r="X28" s="102">
        <f t="shared" si="4"/>
        <v>10.000000000000028</v>
      </c>
      <c r="Y28" s="100">
        <f t="shared" si="5"/>
        <v>5.2333333333333334</v>
      </c>
      <c r="Z28" s="100">
        <f t="shared" si="6"/>
        <v>5024</v>
      </c>
    </row>
    <row r="29" spans="1:26">
      <c r="A29" s="100" t="s">
        <v>26</v>
      </c>
      <c r="B29" s="108" t="str">
        <f>IFERROR(VLOOKUP(Tablo515[[#This Row],[ÜRÜN KODU]],YMKODLARI!$A$1:$K$363,2,0)," ")</f>
        <v>DAMAK EMZİK UCU 1 NO</v>
      </c>
      <c r="C29" s="99">
        <v>43873</v>
      </c>
      <c r="D29" s="100" t="s">
        <v>37</v>
      </c>
      <c r="E29" s="101">
        <v>0.33333333333333331</v>
      </c>
      <c r="F29" s="101">
        <v>0.75</v>
      </c>
      <c r="G29" s="100">
        <f>IFERROR(VLOOKUP(Tablo515[[#This Row],[ÜRÜN KODU]],YMKODLARI!$A$1:$K$363,3,0)," ")</f>
        <v>8</v>
      </c>
      <c r="H29" s="100">
        <f>IFERROR(VLOOKUP(Tablo515[[#This Row],[ÜRÜN KODU]],YMKODLARI!$A$1:$K$363,4,0)," ")</f>
        <v>30</v>
      </c>
      <c r="I29" s="109">
        <v>982</v>
      </c>
      <c r="J29" s="100" t="str">
        <f>IFERROR(VLOOKUP(Tablo515[[#This Row],[ÜRÜN KODU]],YMKODLARI!$A$1:$K$363,9,0)," ")</f>
        <v>Şeffaf</v>
      </c>
      <c r="K29" s="100" t="str">
        <f>IFERROR(VLOOKUP(Tablo515[[#This Row],[BOYA KODU]],Tablo14[#All],4,0)," ")</f>
        <v xml:space="preserve"> </v>
      </c>
      <c r="L29" s="100" t="str">
        <f>IFERROR(VLOOKUP(Tablo515[[#This Row],[BOYA KODU]],Tablo14[#All],6,0)," ")</f>
        <v xml:space="preserve"> </v>
      </c>
      <c r="M29" s="100" t="str">
        <f t="shared" si="0"/>
        <v xml:space="preserve"> </v>
      </c>
      <c r="N29" s="100" t="str">
        <f>IFERROR(VLOOKUP(Tablo515[[#This Row],[ÜRÜN KODU]],YMKODLARI!$A$1:$K$363,8,0)," ")</f>
        <v>HM 004</v>
      </c>
      <c r="O29" s="100" t="str">
        <f>IFERROR(VLOOKUP(Tablo515[[#This Row],[HAMMADDE KODU]],Tablo1[#All],3,0)," ")</f>
        <v>LSR 50</v>
      </c>
      <c r="P29" s="100" t="str">
        <f>IFERROR(VLOOKUP(Tablo515[[#This Row],[HAMMADDE KODU]],Tablo1[#All],4,0)," ")</f>
        <v>TERRA</v>
      </c>
      <c r="Q29" s="100">
        <f>IFERROR(VLOOKUP(Tablo515[[#This Row],[ÜRÜN KODU]],YMKODLARI!$A$1:$K$363,5,0)," ")</f>
        <v>20.399999999999999</v>
      </c>
      <c r="R29" s="100">
        <f>IFERROR(VLOOKUP(Tablo515[[#This Row],[ÜRÜN KODU]],YMKODLARI!$A$1:$K$363,6,0)," ")</f>
        <v>14.2</v>
      </c>
      <c r="S29" s="100">
        <f>IFERROR(Tablo515[[#This Row],[YOLLUK HARİÇ BASKI GRAMI]]/Tablo515[[#This Row],[KALIP GÖZ ADEDİ]]," ")</f>
        <v>1.7749999999999999</v>
      </c>
      <c r="T29" s="100">
        <f t="shared" si="2"/>
        <v>6.1999999999999993</v>
      </c>
      <c r="U29" s="117">
        <v>6.3</v>
      </c>
      <c r="V29" s="100">
        <f t="shared" si="1"/>
        <v>20.244399999999999</v>
      </c>
      <c r="W29" s="101">
        <f t="shared" si="3"/>
        <v>24.416666666666668</v>
      </c>
      <c r="X29" s="102">
        <f t="shared" si="4"/>
        <v>10.000000000000028</v>
      </c>
      <c r="Y29" s="100">
        <f t="shared" si="5"/>
        <v>8.1833333333333336</v>
      </c>
      <c r="Z29" s="100">
        <f t="shared" si="6"/>
        <v>7856</v>
      </c>
    </row>
    <row r="30" spans="1:26">
      <c r="A30" s="100" t="s">
        <v>26</v>
      </c>
      <c r="B30" s="108" t="str">
        <f>IFERROR(VLOOKUP(Tablo515[[#This Row],[ÜRÜN KODU]],YMKODLARI!$A$1:$K$363,2,0)," ")</f>
        <v>DAMAK EMZİK UCU 1 NO</v>
      </c>
      <c r="C30" s="99">
        <v>43874</v>
      </c>
      <c r="D30" s="100" t="s">
        <v>37</v>
      </c>
      <c r="E30" s="101">
        <v>0.33333333333333331</v>
      </c>
      <c r="F30" s="101">
        <v>0.75</v>
      </c>
      <c r="G30" s="100">
        <f>IFERROR(VLOOKUP(Tablo515[[#This Row],[ÜRÜN KODU]],YMKODLARI!$A$1:$K$363,3,0)," ")</f>
        <v>8</v>
      </c>
      <c r="H30" s="100">
        <f>IFERROR(VLOOKUP(Tablo515[[#This Row],[ÜRÜN KODU]],YMKODLARI!$A$1:$K$363,4,0)," ")</f>
        <v>30</v>
      </c>
      <c r="I30" s="109">
        <v>961</v>
      </c>
      <c r="J30" s="100" t="str">
        <f>IFERROR(VLOOKUP(Tablo515[[#This Row],[ÜRÜN KODU]],YMKODLARI!$A$1:$K$363,9,0)," ")</f>
        <v>Şeffaf</v>
      </c>
      <c r="K30" s="100" t="str">
        <f>IFERROR(VLOOKUP(Tablo515[[#This Row],[BOYA KODU]],Tablo14[#All],4,0)," ")</f>
        <v xml:space="preserve"> </v>
      </c>
      <c r="L30" s="100" t="str">
        <f>IFERROR(VLOOKUP(Tablo515[[#This Row],[BOYA KODU]],Tablo14[#All],6,0)," ")</f>
        <v xml:space="preserve"> </v>
      </c>
      <c r="M30" s="100" t="str">
        <f t="shared" si="0"/>
        <v xml:space="preserve"> </v>
      </c>
      <c r="N30" s="100" t="str">
        <f>IFERROR(VLOOKUP(Tablo515[[#This Row],[ÜRÜN KODU]],YMKODLARI!$A$1:$K$363,8,0)," ")</f>
        <v>HM 004</v>
      </c>
      <c r="O30" s="100" t="str">
        <f>IFERROR(VLOOKUP(Tablo515[[#This Row],[HAMMADDE KODU]],Tablo1[#All],3,0)," ")</f>
        <v>LSR 50</v>
      </c>
      <c r="P30" s="100" t="str">
        <f>IFERROR(VLOOKUP(Tablo515[[#This Row],[HAMMADDE KODU]],Tablo1[#All],4,0)," ")</f>
        <v>TERRA</v>
      </c>
      <c r="Q30" s="100">
        <f>IFERROR(VLOOKUP(Tablo515[[#This Row],[ÜRÜN KODU]],YMKODLARI!$A$1:$K$363,5,0)," ")</f>
        <v>20.399999999999999</v>
      </c>
      <c r="R30" s="100">
        <f>IFERROR(VLOOKUP(Tablo515[[#This Row],[ÜRÜN KODU]],YMKODLARI!$A$1:$K$363,6,0)," ")</f>
        <v>14.2</v>
      </c>
      <c r="S30" s="100">
        <f>IFERROR(Tablo515[[#This Row],[YOLLUK HARİÇ BASKI GRAMI]]/Tablo515[[#This Row],[KALIP GÖZ ADEDİ]]," ")</f>
        <v>1.7749999999999999</v>
      </c>
      <c r="T30" s="100">
        <f t="shared" si="2"/>
        <v>6.1999999999999993</v>
      </c>
      <c r="U30" s="117">
        <v>6.7</v>
      </c>
      <c r="V30" s="100">
        <f t="shared" si="1"/>
        <v>20.3462</v>
      </c>
      <c r="W30" s="101">
        <f t="shared" si="3"/>
        <v>24.416666666666668</v>
      </c>
      <c r="X30" s="102">
        <f t="shared" si="4"/>
        <v>10.000000000000028</v>
      </c>
      <c r="Y30" s="100">
        <f t="shared" si="5"/>
        <v>8.0083333333333329</v>
      </c>
      <c r="Z30" s="100">
        <f t="shared" si="6"/>
        <v>7688</v>
      </c>
    </row>
    <row r="31" spans="1:26">
      <c r="A31" s="100" t="s">
        <v>26</v>
      </c>
      <c r="B31" s="108" t="str">
        <f>IFERROR(VLOOKUP(Tablo515[[#This Row],[ÜRÜN KODU]],YMKODLARI!$A$1:$K$363,2,0)," ")</f>
        <v>DAMAK EMZİK UCU 1 NO</v>
      </c>
      <c r="C31" s="99">
        <v>43875</v>
      </c>
      <c r="D31" s="100" t="s">
        <v>37</v>
      </c>
      <c r="E31" s="101">
        <v>0.33333333333333331</v>
      </c>
      <c r="F31" s="101">
        <v>0.72916666666666663</v>
      </c>
      <c r="G31" s="100">
        <f>IFERROR(VLOOKUP(Tablo515[[#This Row],[ÜRÜN KODU]],YMKODLARI!$A$1:$K$363,3,0)," ")</f>
        <v>8</v>
      </c>
      <c r="H31" s="100">
        <f>IFERROR(VLOOKUP(Tablo515[[#This Row],[ÜRÜN KODU]],YMKODLARI!$A$1:$K$363,4,0)," ")</f>
        <v>30</v>
      </c>
      <c r="I31" s="109">
        <v>771</v>
      </c>
      <c r="J31" s="100" t="str">
        <f>IFERROR(VLOOKUP(Tablo515[[#This Row],[ÜRÜN KODU]],YMKODLARI!$A$1:$K$363,9,0)," ")</f>
        <v>Şeffaf</v>
      </c>
      <c r="K31" s="100" t="str">
        <f>IFERROR(VLOOKUP(Tablo515[[#This Row],[BOYA KODU]],Tablo14[#All],4,0)," ")</f>
        <v xml:space="preserve"> </v>
      </c>
      <c r="L31" s="100" t="str">
        <f>IFERROR(VLOOKUP(Tablo515[[#This Row],[BOYA KODU]],Tablo14[#All],6,0)," ")</f>
        <v xml:space="preserve"> </v>
      </c>
      <c r="M31" s="100" t="str">
        <f t="shared" si="0"/>
        <v xml:space="preserve"> </v>
      </c>
      <c r="N31" s="100" t="str">
        <f>IFERROR(VLOOKUP(Tablo515[[#This Row],[ÜRÜN KODU]],YMKODLARI!$A$1:$K$363,8,0)," ")</f>
        <v>HM 004</v>
      </c>
      <c r="O31" s="100" t="str">
        <f>IFERROR(VLOOKUP(Tablo515[[#This Row],[HAMMADDE KODU]],Tablo1[#All],3,0)," ")</f>
        <v>LSR 50</v>
      </c>
      <c r="P31" s="100" t="str">
        <f>IFERROR(VLOOKUP(Tablo515[[#This Row],[HAMMADDE KODU]],Tablo1[#All],4,0)," ")</f>
        <v>TERRA</v>
      </c>
      <c r="Q31" s="100">
        <f>IFERROR(VLOOKUP(Tablo515[[#This Row],[ÜRÜN KODU]],YMKODLARI!$A$1:$K$363,5,0)," ")</f>
        <v>20.399999999999999</v>
      </c>
      <c r="R31" s="100">
        <f>IFERROR(VLOOKUP(Tablo515[[#This Row],[ÜRÜN KODU]],YMKODLARI!$A$1:$K$363,6,0)," ")</f>
        <v>14.2</v>
      </c>
      <c r="S31" s="100">
        <f>IFERROR(Tablo515[[#This Row],[YOLLUK HARİÇ BASKI GRAMI]]/Tablo515[[#This Row],[KALIP GÖZ ADEDİ]]," ")</f>
        <v>1.7749999999999999</v>
      </c>
      <c r="T31" s="100">
        <f t="shared" si="2"/>
        <v>6.1999999999999993</v>
      </c>
      <c r="U31" s="117">
        <v>7</v>
      </c>
      <c r="V31" s="100">
        <f t="shared" si="1"/>
        <v>17.9482</v>
      </c>
      <c r="W31" s="101">
        <f t="shared" si="3"/>
        <v>24.395833333333332</v>
      </c>
      <c r="X31" s="102">
        <f t="shared" si="4"/>
        <v>9.4999999999999716</v>
      </c>
      <c r="Y31" s="100">
        <f t="shared" si="5"/>
        <v>6.4249999999999998</v>
      </c>
      <c r="Z31" s="100">
        <f t="shared" si="6"/>
        <v>6168</v>
      </c>
    </row>
    <row r="32" spans="1:26">
      <c r="A32" s="100" t="s">
        <v>26</v>
      </c>
      <c r="B32" s="108" t="str">
        <f>IFERROR(VLOOKUP(Tablo515[[#This Row],[ÜRÜN KODU]],YMKODLARI!$A$1:$K$363,2,0)," ")</f>
        <v>DAMAK EMZİK UCU 1 NO</v>
      </c>
      <c r="C32" s="99">
        <v>43878</v>
      </c>
      <c r="D32" s="100" t="s">
        <v>33</v>
      </c>
      <c r="E32" s="101">
        <v>0.33333333333333331</v>
      </c>
      <c r="F32" s="101">
        <v>0.75</v>
      </c>
      <c r="G32" s="100">
        <f>IFERROR(VLOOKUP(Tablo515[[#This Row],[ÜRÜN KODU]],YMKODLARI!$A$1:$K$363,3,0)," ")</f>
        <v>8</v>
      </c>
      <c r="H32" s="100">
        <f>IFERROR(VLOOKUP(Tablo515[[#This Row],[ÜRÜN KODU]],YMKODLARI!$A$1:$K$363,4,0)," ")</f>
        <v>30</v>
      </c>
      <c r="I32" s="109">
        <v>1001</v>
      </c>
      <c r="J32" s="100" t="str">
        <f>IFERROR(VLOOKUP(Tablo515[[#This Row],[ÜRÜN KODU]],YMKODLARI!$A$1:$K$363,9,0)," ")</f>
        <v>Şeffaf</v>
      </c>
      <c r="K32" s="100" t="str">
        <f>IFERROR(VLOOKUP(Tablo515[[#This Row],[BOYA KODU]],Tablo14[#All],4,0)," ")</f>
        <v xml:space="preserve"> </v>
      </c>
      <c r="L32" s="100" t="str">
        <f>IFERROR(VLOOKUP(Tablo515[[#This Row],[BOYA KODU]],Tablo14[#All],6,0)," ")</f>
        <v xml:space="preserve"> </v>
      </c>
      <c r="M32" s="100" t="str">
        <f t="shared" si="0"/>
        <v xml:space="preserve"> </v>
      </c>
      <c r="N32" s="100" t="str">
        <f>IFERROR(VLOOKUP(Tablo515[[#This Row],[ÜRÜN KODU]],YMKODLARI!$A$1:$K$363,8,0)," ")</f>
        <v>HM 004</v>
      </c>
      <c r="O32" s="100" t="str">
        <f>IFERROR(VLOOKUP(Tablo515[[#This Row],[HAMMADDE KODU]],Tablo1[#All],3,0)," ")</f>
        <v>LSR 50</v>
      </c>
      <c r="P32" s="100" t="str">
        <f>IFERROR(VLOOKUP(Tablo515[[#This Row],[HAMMADDE KODU]],Tablo1[#All],4,0)," ")</f>
        <v>TERRA</v>
      </c>
      <c r="Q32" s="100">
        <f>IFERROR(VLOOKUP(Tablo515[[#This Row],[ÜRÜN KODU]],YMKODLARI!$A$1:$K$363,5,0)," ")</f>
        <v>20.399999999999999</v>
      </c>
      <c r="R32" s="100">
        <f>IFERROR(VLOOKUP(Tablo515[[#This Row],[ÜRÜN KODU]],YMKODLARI!$A$1:$K$363,6,0)," ")</f>
        <v>14.2</v>
      </c>
      <c r="S32" s="100">
        <f>IFERROR(Tablo515[[#This Row],[YOLLUK HARİÇ BASKI GRAMI]]/Tablo515[[#This Row],[KALIP GÖZ ADEDİ]]," ")</f>
        <v>1.7749999999999999</v>
      </c>
      <c r="T32" s="100">
        <f t="shared" si="2"/>
        <v>6.1999999999999993</v>
      </c>
      <c r="U32" s="117">
        <v>6.9</v>
      </c>
      <c r="V32" s="100">
        <f t="shared" si="1"/>
        <v>21.114199999999997</v>
      </c>
      <c r="W32" s="101">
        <f t="shared" si="3"/>
        <v>24.416666666666668</v>
      </c>
      <c r="X32" s="102">
        <f t="shared" si="4"/>
        <v>10.000000000000028</v>
      </c>
      <c r="Y32" s="100">
        <f t="shared" si="5"/>
        <v>8.3416666666666668</v>
      </c>
      <c r="Z32" s="100">
        <f t="shared" si="6"/>
        <v>8008</v>
      </c>
    </row>
    <row r="33" spans="1:26">
      <c r="A33" s="100" t="s">
        <v>42</v>
      </c>
      <c r="B33" s="108" t="str">
        <f>IFERROR(VLOOKUP(Tablo515[[#This Row],[ÜRÜN KODU]],YMKODLARI!$A$1:$K$363,2,0)," ")</f>
        <v>DAMAK EMZİK UCU 2 NO</v>
      </c>
      <c r="C33" s="99">
        <v>43881</v>
      </c>
      <c r="D33" s="100" t="s">
        <v>33</v>
      </c>
      <c r="E33" s="101">
        <v>0.5</v>
      </c>
      <c r="F33" s="101">
        <v>0.75</v>
      </c>
      <c r="G33" s="100">
        <f>IFERROR(VLOOKUP(Tablo515[[#This Row],[ÜRÜN KODU]],YMKODLARI!$A$1:$K$363,3,0)," ")</f>
        <v>8</v>
      </c>
      <c r="H33" s="100">
        <f>IFERROR(VLOOKUP(Tablo515[[#This Row],[ÜRÜN KODU]],YMKODLARI!$A$1:$K$363,4,0)," ")</f>
        <v>30</v>
      </c>
      <c r="I33" s="109">
        <v>615</v>
      </c>
      <c r="J33" s="100" t="str">
        <f>IFERROR(VLOOKUP(Tablo515[[#This Row],[ÜRÜN KODU]],YMKODLARI!$A$1:$K$363,9,0)," ")</f>
        <v>Şeffaf</v>
      </c>
      <c r="K33" s="100" t="str">
        <f>IFERROR(VLOOKUP(Tablo515[[#This Row],[BOYA KODU]],Tablo14[#All],4,0)," ")</f>
        <v xml:space="preserve"> </v>
      </c>
      <c r="L33" s="100" t="str">
        <f>IFERROR(VLOOKUP(Tablo515[[#This Row],[BOYA KODU]],Tablo14[#All],6,0)," ")</f>
        <v xml:space="preserve"> </v>
      </c>
      <c r="M33" s="100" t="str">
        <f t="shared" si="0"/>
        <v xml:space="preserve"> </v>
      </c>
      <c r="N33" s="100" t="str">
        <f>IFERROR(VLOOKUP(Tablo515[[#This Row],[ÜRÜN KODU]],YMKODLARI!$A$1:$K$363,8,0)," ")</f>
        <v>HM 004</v>
      </c>
      <c r="O33" s="100" t="str">
        <f>IFERROR(VLOOKUP(Tablo515[[#This Row],[HAMMADDE KODU]],Tablo1[#All],3,0)," ")</f>
        <v>LSR 50</v>
      </c>
      <c r="P33" s="100" t="str">
        <f>IFERROR(VLOOKUP(Tablo515[[#This Row],[HAMMADDE KODU]],Tablo1[#All],4,0)," ")</f>
        <v>TERRA</v>
      </c>
      <c r="Q33" s="100">
        <f>IFERROR(VLOOKUP(Tablo515[[#This Row],[ÜRÜN KODU]],YMKODLARI!$A$1:$K$363,5,0)," ")</f>
        <v>21.9</v>
      </c>
      <c r="R33" s="100">
        <f>IFERROR(VLOOKUP(Tablo515[[#This Row],[ÜRÜN KODU]],YMKODLARI!$A$1:$K$363,6,0)," ")</f>
        <v>16.100000000000001</v>
      </c>
      <c r="S33" s="100">
        <f>IFERROR(Tablo515[[#This Row],[YOLLUK HARİÇ BASKI GRAMI]]/Tablo515[[#This Row],[KALIP GÖZ ADEDİ]]," ")</f>
        <v>2.0125000000000002</v>
      </c>
      <c r="T33" s="100">
        <f t="shared" si="2"/>
        <v>5.7999999999999972</v>
      </c>
      <c r="U33" s="117">
        <v>3</v>
      </c>
      <c r="V33" s="100">
        <f t="shared" si="1"/>
        <v>12.9015</v>
      </c>
      <c r="W33" s="101">
        <f t="shared" si="3"/>
        <v>24.25</v>
      </c>
      <c r="X33" s="102">
        <f t="shared" si="4"/>
        <v>6</v>
      </c>
      <c r="Y33" s="100">
        <f t="shared" si="5"/>
        <v>5.125</v>
      </c>
      <c r="Z33" s="100">
        <f t="shared" si="6"/>
        <v>4920</v>
      </c>
    </row>
    <row r="34" spans="1:26">
      <c r="A34" s="100" t="s">
        <v>42</v>
      </c>
      <c r="B34" s="108" t="str">
        <f>IFERROR(VLOOKUP(Tablo515[[#This Row],[ÜRÜN KODU]],YMKODLARI!$A$1:$K$363,2,0)," ")</f>
        <v>DAMAK EMZİK UCU 2 NO</v>
      </c>
      <c r="C34" s="99">
        <v>43882</v>
      </c>
      <c r="D34" s="100" t="s">
        <v>33</v>
      </c>
      <c r="E34" s="101">
        <v>0.33333333333333331</v>
      </c>
      <c r="F34" s="101">
        <v>0.63888888888888895</v>
      </c>
      <c r="G34" s="100">
        <f>IFERROR(VLOOKUP(Tablo515[[#This Row],[ÜRÜN KODU]],YMKODLARI!$A$1:$K$363,3,0)," ")</f>
        <v>8</v>
      </c>
      <c r="H34" s="100">
        <f>IFERROR(VLOOKUP(Tablo515[[#This Row],[ÜRÜN KODU]],YMKODLARI!$A$1:$K$363,4,0)," ")</f>
        <v>30</v>
      </c>
      <c r="I34" s="109">
        <v>845</v>
      </c>
      <c r="J34" s="100" t="str">
        <f>IFERROR(VLOOKUP(Tablo515[[#This Row],[ÜRÜN KODU]],YMKODLARI!$A$1:$K$363,9,0)," ")</f>
        <v>Şeffaf</v>
      </c>
      <c r="K34" s="100" t="str">
        <f>IFERROR(VLOOKUP(Tablo515[[#This Row],[BOYA KODU]],Tablo14[#All],4,0)," ")</f>
        <v xml:space="preserve"> </v>
      </c>
      <c r="L34" s="100" t="str">
        <f>IFERROR(VLOOKUP(Tablo515[[#This Row],[BOYA KODU]],Tablo14[#All],6,0)," ")</f>
        <v xml:space="preserve"> </v>
      </c>
      <c r="M34" s="100" t="str">
        <f t="shared" si="0"/>
        <v xml:space="preserve"> </v>
      </c>
      <c r="N34" s="100" t="str">
        <f>IFERROR(VLOOKUP(Tablo515[[#This Row],[ÜRÜN KODU]],YMKODLARI!$A$1:$K$363,8,0)," ")</f>
        <v>HM 004</v>
      </c>
      <c r="O34" s="100" t="str">
        <f>IFERROR(VLOOKUP(Tablo515[[#This Row],[HAMMADDE KODU]],Tablo1[#All],3,0)," ")</f>
        <v>LSR 50</v>
      </c>
      <c r="P34" s="100" t="str">
        <f>IFERROR(VLOOKUP(Tablo515[[#This Row],[HAMMADDE KODU]],Tablo1[#All],4,0)," ")</f>
        <v>TERRA</v>
      </c>
      <c r="Q34" s="100">
        <f>IFERROR(VLOOKUP(Tablo515[[#This Row],[ÜRÜN KODU]],YMKODLARI!$A$1:$K$363,5,0)," ")</f>
        <v>21.9</v>
      </c>
      <c r="R34" s="100">
        <f>IFERROR(VLOOKUP(Tablo515[[#This Row],[ÜRÜN KODU]],YMKODLARI!$A$1:$K$363,6,0)," ")</f>
        <v>16.100000000000001</v>
      </c>
      <c r="S34" s="100">
        <f>IFERROR(Tablo515[[#This Row],[YOLLUK HARİÇ BASKI GRAMI]]/Tablo515[[#This Row],[KALIP GÖZ ADEDİ]]," ")</f>
        <v>2.0125000000000002</v>
      </c>
      <c r="T34" s="100">
        <f t="shared" si="2"/>
        <v>5.7999999999999972</v>
      </c>
      <c r="U34" s="117">
        <v>4.5</v>
      </c>
      <c r="V34" s="100">
        <f t="shared" si="1"/>
        <v>18.104500000000002</v>
      </c>
      <c r="W34" s="101">
        <f t="shared" si="3"/>
        <v>24.305555555555557</v>
      </c>
      <c r="X34" s="102">
        <f t="shared" si="4"/>
        <v>7.3333333333333712</v>
      </c>
      <c r="Y34" s="100">
        <f t="shared" si="5"/>
        <v>7.041666666666667</v>
      </c>
      <c r="Z34" s="100">
        <f t="shared" si="6"/>
        <v>6760</v>
      </c>
    </row>
    <row r="35" spans="1:26">
      <c r="A35" s="100" t="s">
        <v>42</v>
      </c>
      <c r="B35" s="108" t="str">
        <f>IFERROR(VLOOKUP(Tablo515[[#This Row],[ÜRÜN KODU]],YMKODLARI!$A$1:$K$363,2,0)," ")</f>
        <v>DAMAK EMZİK UCU 2 NO</v>
      </c>
      <c r="C35" s="99">
        <v>43885</v>
      </c>
      <c r="D35" s="100" t="s">
        <v>33</v>
      </c>
      <c r="E35" s="101">
        <v>0.33333333333333331</v>
      </c>
      <c r="F35" s="101">
        <v>0.75</v>
      </c>
      <c r="G35" s="100">
        <f>IFERROR(VLOOKUP(Tablo515[[#This Row],[ÜRÜN KODU]],YMKODLARI!$A$1:$K$363,3,0)," ")</f>
        <v>8</v>
      </c>
      <c r="H35" s="100">
        <f>IFERROR(VLOOKUP(Tablo515[[#This Row],[ÜRÜN KODU]],YMKODLARI!$A$1:$K$363,4,0)," ")</f>
        <v>30</v>
      </c>
      <c r="I35" s="109">
        <v>979</v>
      </c>
      <c r="J35" s="100" t="str">
        <f>IFERROR(VLOOKUP(Tablo515[[#This Row],[ÜRÜN KODU]],YMKODLARI!$A$1:$K$363,9,0)," ")</f>
        <v>Şeffaf</v>
      </c>
      <c r="K35" s="100" t="str">
        <f>IFERROR(VLOOKUP(Tablo515[[#This Row],[BOYA KODU]],Tablo14[#All],4,0)," ")</f>
        <v xml:space="preserve"> </v>
      </c>
      <c r="L35" s="100" t="str">
        <f>IFERROR(VLOOKUP(Tablo515[[#This Row],[BOYA KODU]],Tablo14[#All],6,0)," ")</f>
        <v xml:space="preserve"> </v>
      </c>
      <c r="M35" s="100" t="str">
        <f t="shared" si="0"/>
        <v xml:space="preserve"> </v>
      </c>
      <c r="N35" s="100" t="str">
        <f>IFERROR(VLOOKUP(Tablo515[[#This Row],[ÜRÜN KODU]],YMKODLARI!$A$1:$K$363,8,0)," ")</f>
        <v>HM 004</v>
      </c>
      <c r="O35" s="100" t="str">
        <f>IFERROR(VLOOKUP(Tablo515[[#This Row],[HAMMADDE KODU]],Tablo1[#All],3,0)," ")</f>
        <v>LSR 50</v>
      </c>
      <c r="P35" s="100" t="str">
        <f>IFERROR(VLOOKUP(Tablo515[[#This Row],[HAMMADDE KODU]],Tablo1[#All],4,0)," ")</f>
        <v>TERRA</v>
      </c>
      <c r="Q35" s="100">
        <f>IFERROR(VLOOKUP(Tablo515[[#This Row],[ÜRÜN KODU]],YMKODLARI!$A$1:$K$363,5,0)," ")</f>
        <v>21.9</v>
      </c>
      <c r="R35" s="100">
        <f>IFERROR(VLOOKUP(Tablo515[[#This Row],[ÜRÜN KODU]],YMKODLARI!$A$1:$K$363,6,0)," ")</f>
        <v>16.100000000000001</v>
      </c>
      <c r="S35" s="100">
        <f>IFERROR(Tablo515[[#This Row],[YOLLUK HARİÇ BASKI GRAMI]]/Tablo515[[#This Row],[KALIP GÖZ ADEDİ]]," ")</f>
        <v>2.0125000000000002</v>
      </c>
      <c r="T35" s="100">
        <f t="shared" si="2"/>
        <v>5.7999999999999972</v>
      </c>
      <c r="U35" s="117">
        <v>6</v>
      </c>
      <c r="V35" s="100">
        <f t="shared" si="1"/>
        <v>21.761900000000001</v>
      </c>
      <c r="W35" s="101">
        <f t="shared" si="3"/>
        <v>24.416666666666668</v>
      </c>
      <c r="X35" s="102">
        <f t="shared" si="4"/>
        <v>10.000000000000028</v>
      </c>
      <c r="Y35" s="100">
        <f t="shared" si="5"/>
        <v>8.1583333333333332</v>
      </c>
      <c r="Z35" s="100">
        <f t="shared" si="6"/>
        <v>7832</v>
      </c>
    </row>
    <row r="36" spans="1:26">
      <c r="A36" s="100" t="s">
        <v>42</v>
      </c>
      <c r="B36" s="108" t="str">
        <f>IFERROR(VLOOKUP(Tablo515[[#This Row],[ÜRÜN KODU]],YMKODLARI!$A$1:$K$363,2,0)," ")</f>
        <v>DAMAK EMZİK UCU 2 NO</v>
      </c>
      <c r="C36" s="99">
        <v>43886</v>
      </c>
      <c r="D36" s="100" t="s">
        <v>33</v>
      </c>
      <c r="E36" s="101">
        <v>0.33333333333333331</v>
      </c>
      <c r="F36" s="101">
        <v>0.75</v>
      </c>
      <c r="G36" s="100">
        <f>IFERROR(VLOOKUP(Tablo515[[#This Row],[ÜRÜN KODU]],YMKODLARI!$A$1:$K$363,3,0)," ")</f>
        <v>8</v>
      </c>
      <c r="H36" s="100">
        <f>IFERROR(VLOOKUP(Tablo515[[#This Row],[ÜRÜN KODU]],YMKODLARI!$A$1:$K$363,4,0)," ")</f>
        <v>30</v>
      </c>
      <c r="I36" s="109">
        <v>956</v>
      </c>
      <c r="J36" s="100" t="str">
        <f>IFERROR(VLOOKUP(Tablo515[[#This Row],[ÜRÜN KODU]],YMKODLARI!$A$1:$K$363,9,0)," ")</f>
        <v>Şeffaf</v>
      </c>
      <c r="K36" s="100" t="str">
        <f>IFERROR(VLOOKUP(Tablo515[[#This Row],[BOYA KODU]],Tablo14[#All],4,0)," ")</f>
        <v xml:space="preserve"> </v>
      </c>
      <c r="L36" s="100" t="str">
        <f>IFERROR(VLOOKUP(Tablo515[[#This Row],[BOYA KODU]],Tablo14[#All],6,0)," ")</f>
        <v xml:space="preserve"> </v>
      </c>
      <c r="M36" s="100" t="str">
        <f t="shared" si="0"/>
        <v xml:space="preserve"> </v>
      </c>
      <c r="N36" s="100" t="str">
        <f>IFERROR(VLOOKUP(Tablo515[[#This Row],[ÜRÜN KODU]],YMKODLARI!$A$1:$K$363,8,0)," ")</f>
        <v>HM 004</v>
      </c>
      <c r="O36" s="100" t="str">
        <f>IFERROR(VLOOKUP(Tablo515[[#This Row],[HAMMADDE KODU]],Tablo1[#All],3,0)," ")</f>
        <v>LSR 50</v>
      </c>
      <c r="P36" s="100" t="str">
        <f>IFERROR(VLOOKUP(Tablo515[[#This Row],[HAMMADDE KODU]],Tablo1[#All],4,0)," ")</f>
        <v>TERRA</v>
      </c>
      <c r="Q36" s="100">
        <f>IFERROR(VLOOKUP(Tablo515[[#This Row],[ÜRÜN KODU]],YMKODLARI!$A$1:$K$363,5,0)," ")</f>
        <v>21.9</v>
      </c>
      <c r="R36" s="100">
        <f>IFERROR(VLOOKUP(Tablo515[[#This Row],[ÜRÜN KODU]],YMKODLARI!$A$1:$K$363,6,0)," ")</f>
        <v>16.100000000000001</v>
      </c>
      <c r="S36" s="100">
        <f>IFERROR(Tablo515[[#This Row],[YOLLUK HARİÇ BASKI GRAMI]]/Tablo515[[#This Row],[KALIP GÖZ ADEDİ]]," ")</f>
        <v>2.0125000000000002</v>
      </c>
      <c r="T36" s="100">
        <f t="shared" si="2"/>
        <v>5.7999999999999972</v>
      </c>
      <c r="U36" s="117">
        <v>5.6</v>
      </c>
      <c r="V36" s="100">
        <f t="shared" si="1"/>
        <v>20.991600000000002</v>
      </c>
      <c r="W36" s="101">
        <f t="shared" si="3"/>
        <v>24.416666666666668</v>
      </c>
      <c r="X36" s="102">
        <f t="shared" si="4"/>
        <v>10.000000000000028</v>
      </c>
      <c r="Y36" s="100">
        <f t="shared" si="5"/>
        <v>7.9666666666666668</v>
      </c>
      <c r="Z36" s="100">
        <f t="shared" si="6"/>
        <v>7648</v>
      </c>
    </row>
    <row r="37" spans="1:26">
      <c r="A37" s="100" t="s">
        <v>42</v>
      </c>
      <c r="B37" s="108" t="str">
        <f>IFERROR(VLOOKUP(Tablo515[[#This Row],[ÜRÜN KODU]],YMKODLARI!$A$1:$K$363,2,0)," ")</f>
        <v>DAMAK EMZİK UCU 2 NO</v>
      </c>
      <c r="C37" s="99">
        <v>43887</v>
      </c>
      <c r="D37" s="100" t="s">
        <v>33</v>
      </c>
      <c r="E37" s="101">
        <v>0.33333333333333331</v>
      </c>
      <c r="F37" s="101">
        <v>0.75</v>
      </c>
      <c r="G37" s="100">
        <f>IFERROR(VLOOKUP(Tablo515[[#This Row],[ÜRÜN KODU]],YMKODLARI!$A$1:$K$363,3,0)," ")</f>
        <v>8</v>
      </c>
      <c r="H37" s="100">
        <f>IFERROR(VLOOKUP(Tablo515[[#This Row],[ÜRÜN KODU]],YMKODLARI!$A$1:$K$363,4,0)," ")</f>
        <v>30</v>
      </c>
      <c r="I37" s="109">
        <v>1020</v>
      </c>
      <c r="J37" s="100" t="str">
        <f>IFERROR(VLOOKUP(Tablo515[[#This Row],[ÜRÜN KODU]],YMKODLARI!$A$1:$K$363,9,0)," ")</f>
        <v>Şeffaf</v>
      </c>
      <c r="K37" s="100" t="str">
        <f>IFERROR(VLOOKUP(Tablo515[[#This Row],[BOYA KODU]],Tablo14[#All],4,0)," ")</f>
        <v xml:space="preserve"> </v>
      </c>
      <c r="L37" s="100" t="str">
        <f>IFERROR(VLOOKUP(Tablo515[[#This Row],[BOYA KODU]],Tablo14[#All],6,0)," ")</f>
        <v xml:space="preserve"> </v>
      </c>
      <c r="M37" s="100" t="str">
        <f t="shared" si="0"/>
        <v xml:space="preserve"> </v>
      </c>
      <c r="N37" s="100" t="str">
        <f>IFERROR(VLOOKUP(Tablo515[[#This Row],[ÜRÜN KODU]],YMKODLARI!$A$1:$K$363,8,0)," ")</f>
        <v>HM 004</v>
      </c>
      <c r="O37" s="100" t="str">
        <f>IFERROR(VLOOKUP(Tablo515[[#This Row],[HAMMADDE KODU]],Tablo1[#All],3,0)," ")</f>
        <v>LSR 50</v>
      </c>
      <c r="P37" s="100" t="str">
        <f>IFERROR(VLOOKUP(Tablo515[[#This Row],[HAMMADDE KODU]],Tablo1[#All],4,0)," ")</f>
        <v>TERRA</v>
      </c>
      <c r="Q37" s="100">
        <f>IFERROR(VLOOKUP(Tablo515[[#This Row],[ÜRÜN KODU]],YMKODLARI!$A$1:$K$363,5,0)," ")</f>
        <v>21.9</v>
      </c>
      <c r="R37" s="100">
        <f>IFERROR(VLOOKUP(Tablo515[[#This Row],[ÜRÜN KODU]],YMKODLARI!$A$1:$K$363,6,0)," ")</f>
        <v>16.100000000000001</v>
      </c>
      <c r="S37" s="100">
        <f>IFERROR(Tablo515[[#This Row],[YOLLUK HARİÇ BASKI GRAMI]]/Tablo515[[#This Row],[KALIP GÖZ ADEDİ]]," ")</f>
        <v>2.0125000000000002</v>
      </c>
      <c r="T37" s="100">
        <f t="shared" si="2"/>
        <v>5.7999999999999972</v>
      </c>
      <c r="U37" s="117">
        <v>6</v>
      </c>
      <c r="V37" s="100">
        <f t="shared" si="1"/>
        <v>22.422000000000001</v>
      </c>
      <c r="W37" s="101">
        <f t="shared" si="3"/>
        <v>24.416666666666668</v>
      </c>
      <c r="X37" s="102">
        <f t="shared" si="4"/>
        <v>10.000000000000028</v>
      </c>
      <c r="Y37" s="100">
        <f t="shared" si="5"/>
        <v>8.5</v>
      </c>
      <c r="Z37" s="100">
        <f t="shared" si="6"/>
        <v>8160</v>
      </c>
    </row>
    <row r="38" spans="1:26">
      <c r="A38" s="100" t="s">
        <v>42</v>
      </c>
      <c r="B38" s="108" t="str">
        <f>IFERROR(VLOOKUP(Tablo515[[#This Row],[ÜRÜN KODU]],YMKODLARI!$A$1:$K$363,2,0)," ")</f>
        <v>DAMAK EMZİK UCU 2 NO</v>
      </c>
      <c r="C38" s="99">
        <v>43888</v>
      </c>
      <c r="D38" s="100" t="s">
        <v>33</v>
      </c>
      <c r="E38" s="101">
        <v>0.33333333333333331</v>
      </c>
      <c r="F38" s="101">
        <v>0.75</v>
      </c>
      <c r="G38" s="100">
        <f>IFERROR(VLOOKUP(Tablo515[[#This Row],[ÜRÜN KODU]],YMKODLARI!$A$1:$K$363,3,0)," ")</f>
        <v>8</v>
      </c>
      <c r="H38" s="100">
        <f>IFERROR(VLOOKUP(Tablo515[[#This Row],[ÜRÜN KODU]],YMKODLARI!$A$1:$K$363,4,0)," ")</f>
        <v>30</v>
      </c>
      <c r="I38" s="109">
        <v>966</v>
      </c>
      <c r="J38" s="100" t="str">
        <f>IFERROR(VLOOKUP(Tablo515[[#This Row],[ÜRÜN KODU]],YMKODLARI!$A$1:$K$363,9,0)," ")</f>
        <v>Şeffaf</v>
      </c>
      <c r="K38" s="100" t="str">
        <f>IFERROR(VLOOKUP(Tablo515[[#This Row],[BOYA KODU]],Tablo14[#All],4,0)," ")</f>
        <v xml:space="preserve"> </v>
      </c>
      <c r="L38" s="100" t="str">
        <f>IFERROR(VLOOKUP(Tablo515[[#This Row],[BOYA KODU]],Tablo14[#All],6,0)," ")</f>
        <v xml:space="preserve"> </v>
      </c>
      <c r="M38" s="100" t="str">
        <f t="shared" si="0"/>
        <v xml:space="preserve"> </v>
      </c>
      <c r="N38" s="100" t="str">
        <f>IFERROR(VLOOKUP(Tablo515[[#This Row],[ÜRÜN KODU]],YMKODLARI!$A$1:$K$363,8,0)," ")</f>
        <v>HM 004</v>
      </c>
      <c r="O38" s="100" t="str">
        <f>IFERROR(VLOOKUP(Tablo515[[#This Row],[HAMMADDE KODU]],Tablo1[#All],3,0)," ")</f>
        <v>LSR 50</v>
      </c>
      <c r="P38" s="100" t="str">
        <f>IFERROR(VLOOKUP(Tablo515[[#This Row],[HAMMADDE KODU]],Tablo1[#All],4,0)," ")</f>
        <v>TERRA</v>
      </c>
      <c r="Q38" s="100">
        <f>IFERROR(VLOOKUP(Tablo515[[#This Row],[ÜRÜN KODU]],YMKODLARI!$A$1:$K$363,5,0)," ")</f>
        <v>21.9</v>
      </c>
      <c r="R38" s="100">
        <f>IFERROR(VLOOKUP(Tablo515[[#This Row],[ÜRÜN KODU]],YMKODLARI!$A$1:$K$363,6,0)," ")</f>
        <v>16.100000000000001</v>
      </c>
      <c r="S38" s="100">
        <f>IFERROR(Tablo515[[#This Row],[YOLLUK HARİÇ BASKI GRAMI]]/Tablo515[[#This Row],[KALIP GÖZ ADEDİ]]," ")</f>
        <v>2.0125000000000002</v>
      </c>
      <c r="T38" s="100">
        <f t="shared" si="2"/>
        <v>5.7999999999999972</v>
      </c>
      <c r="U38" s="117">
        <v>5.7</v>
      </c>
      <c r="V38" s="100">
        <f t="shared" si="1"/>
        <v>21.252600000000001</v>
      </c>
      <c r="W38" s="101">
        <f t="shared" si="3"/>
        <v>24.416666666666668</v>
      </c>
      <c r="X38" s="102">
        <f t="shared" si="4"/>
        <v>10.000000000000028</v>
      </c>
      <c r="Y38" s="100">
        <f t="shared" si="5"/>
        <v>8.0500000000000007</v>
      </c>
      <c r="Z38" s="100">
        <f t="shared" si="6"/>
        <v>7728</v>
      </c>
    </row>
    <row r="39" spans="1:26">
      <c r="A39" s="100" t="s">
        <v>42</v>
      </c>
      <c r="B39" s="108" t="str">
        <f>IFERROR(VLOOKUP(Tablo515[[#This Row],[ÜRÜN KODU]],YMKODLARI!$A$1:$K$363,2,0)," ")</f>
        <v>DAMAK EMZİK UCU 2 NO</v>
      </c>
      <c r="C39" s="99">
        <v>43889</v>
      </c>
      <c r="D39" s="100" t="s">
        <v>33</v>
      </c>
      <c r="E39" s="101">
        <v>0.33333333333333331</v>
      </c>
      <c r="F39" s="101">
        <v>0.75</v>
      </c>
      <c r="G39" s="100">
        <f>IFERROR(VLOOKUP(Tablo515[[#This Row],[ÜRÜN KODU]],YMKODLARI!$A$1:$K$363,3,0)," ")</f>
        <v>8</v>
      </c>
      <c r="H39" s="100">
        <f>IFERROR(VLOOKUP(Tablo515[[#This Row],[ÜRÜN KODU]],YMKODLARI!$A$1:$K$363,4,0)," ")</f>
        <v>30</v>
      </c>
      <c r="I39" s="109">
        <v>913</v>
      </c>
      <c r="J39" s="100" t="str">
        <f>IFERROR(VLOOKUP(Tablo515[[#This Row],[ÜRÜN KODU]],YMKODLARI!$A$1:$K$363,9,0)," ")</f>
        <v>Şeffaf</v>
      </c>
      <c r="K39" s="100" t="str">
        <f>IFERROR(VLOOKUP(Tablo515[[#This Row],[BOYA KODU]],Tablo14[#All],4,0)," ")</f>
        <v xml:space="preserve"> </v>
      </c>
      <c r="L39" s="100" t="str">
        <f>IFERROR(VLOOKUP(Tablo515[[#This Row],[BOYA KODU]],Tablo14[#All],6,0)," ")</f>
        <v xml:space="preserve"> </v>
      </c>
      <c r="M39" s="100" t="str">
        <f t="shared" si="0"/>
        <v xml:space="preserve"> </v>
      </c>
      <c r="N39" s="100" t="str">
        <f>IFERROR(VLOOKUP(Tablo515[[#This Row],[ÜRÜN KODU]],YMKODLARI!$A$1:$K$363,8,0)," ")</f>
        <v>HM 004</v>
      </c>
      <c r="O39" s="100" t="str">
        <f>IFERROR(VLOOKUP(Tablo515[[#This Row],[HAMMADDE KODU]],Tablo1[#All],3,0)," ")</f>
        <v>LSR 50</v>
      </c>
      <c r="P39" s="100" t="str">
        <f>IFERROR(VLOOKUP(Tablo515[[#This Row],[HAMMADDE KODU]],Tablo1[#All],4,0)," ")</f>
        <v>TERRA</v>
      </c>
      <c r="Q39" s="100">
        <f>IFERROR(VLOOKUP(Tablo515[[#This Row],[ÜRÜN KODU]],YMKODLARI!$A$1:$K$363,5,0)," ")</f>
        <v>21.9</v>
      </c>
      <c r="R39" s="100">
        <f>IFERROR(VLOOKUP(Tablo515[[#This Row],[ÜRÜN KODU]],YMKODLARI!$A$1:$K$363,6,0)," ")</f>
        <v>16.100000000000001</v>
      </c>
      <c r="S39" s="100">
        <f>IFERROR(Tablo515[[#This Row],[YOLLUK HARİÇ BASKI GRAMI]]/Tablo515[[#This Row],[KALIP GÖZ ADEDİ]]," ")</f>
        <v>2.0125000000000002</v>
      </c>
      <c r="T39" s="100">
        <f t="shared" si="2"/>
        <v>5.7999999999999972</v>
      </c>
      <c r="U39" s="117">
        <v>6.2</v>
      </c>
      <c r="V39" s="100">
        <f t="shared" si="1"/>
        <v>20.8993</v>
      </c>
      <c r="W39" s="101">
        <f t="shared" si="3"/>
        <v>24.416666666666668</v>
      </c>
      <c r="X39" s="102">
        <f t="shared" si="4"/>
        <v>10.000000000000028</v>
      </c>
      <c r="Y39" s="100">
        <f t="shared" si="5"/>
        <v>7.6083333333333334</v>
      </c>
      <c r="Z39" s="100">
        <f t="shared" si="6"/>
        <v>7304</v>
      </c>
    </row>
    <row r="40" spans="1:26">
      <c r="A40" s="100" t="s">
        <v>42</v>
      </c>
      <c r="B40" s="108" t="str">
        <f>IFERROR(VLOOKUP(Tablo515[[#This Row],[ÜRÜN KODU]],YMKODLARI!$A$1:$K$363,2,0)," ")</f>
        <v>DAMAK EMZİK UCU 2 NO</v>
      </c>
      <c r="C40" s="99">
        <v>43892</v>
      </c>
      <c r="D40" s="100" t="s">
        <v>33</v>
      </c>
      <c r="E40" s="101">
        <v>0.33333333333333331</v>
      </c>
      <c r="F40" s="101">
        <v>0.75</v>
      </c>
      <c r="G40" s="100">
        <f>IFERROR(VLOOKUP(Tablo515[[#This Row],[ÜRÜN KODU]],YMKODLARI!$A$1:$K$363,3,0)," ")</f>
        <v>8</v>
      </c>
      <c r="H40" s="100">
        <f>IFERROR(VLOOKUP(Tablo515[[#This Row],[ÜRÜN KODU]],YMKODLARI!$A$1:$K$363,4,0)," ")</f>
        <v>30</v>
      </c>
      <c r="I40" s="100">
        <v>946</v>
      </c>
      <c r="J40" s="100" t="str">
        <f>IFERROR(VLOOKUP(Tablo515[[#This Row],[ÜRÜN KODU]],YMKODLARI!$A$1:$K$363,9,0)," ")</f>
        <v>Şeffaf</v>
      </c>
      <c r="K40" s="100" t="str">
        <f>IFERROR(VLOOKUP(Tablo515[[#This Row],[BOYA KODU]],Tablo14[#All],4,0)," ")</f>
        <v xml:space="preserve"> </v>
      </c>
      <c r="L40" s="100" t="str">
        <f>IFERROR(VLOOKUP(Tablo515[[#This Row],[BOYA KODU]],Tablo14[#All],6,0)," ")</f>
        <v xml:space="preserve"> </v>
      </c>
      <c r="M40" s="100" t="str">
        <f t="shared" si="0"/>
        <v xml:space="preserve"> </v>
      </c>
      <c r="N40" s="100" t="str">
        <f>IFERROR(VLOOKUP(Tablo515[[#This Row],[ÜRÜN KODU]],YMKODLARI!$A$1:$K$363,8,0)," ")</f>
        <v>HM 004</v>
      </c>
      <c r="O40" s="100" t="str">
        <f>IFERROR(VLOOKUP(Tablo515[[#This Row],[HAMMADDE KODU]],Tablo1[#All],3,0)," ")</f>
        <v>LSR 50</v>
      </c>
      <c r="P40" s="100" t="str">
        <f>IFERROR(VLOOKUP(Tablo515[[#This Row],[HAMMADDE KODU]],Tablo1[#All],4,0)," ")</f>
        <v>TERRA</v>
      </c>
      <c r="Q40" s="100">
        <f>IFERROR(VLOOKUP(Tablo515[[#This Row],[ÜRÜN KODU]],YMKODLARI!$A$1:$K$363,5,0)," ")</f>
        <v>21.9</v>
      </c>
      <c r="R40" s="100">
        <f>IFERROR(VLOOKUP(Tablo515[[#This Row],[ÜRÜN KODU]],YMKODLARI!$A$1:$K$363,6,0)," ")</f>
        <v>16.100000000000001</v>
      </c>
      <c r="S40" s="100">
        <f>IFERROR(Tablo515[[#This Row],[YOLLUK HARİÇ BASKI GRAMI]]/Tablo515[[#This Row],[KALIP GÖZ ADEDİ]]," ")</f>
        <v>2.0125000000000002</v>
      </c>
      <c r="T40" s="100">
        <f t="shared" si="2"/>
        <v>5.7999999999999972</v>
      </c>
      <c r="U40" s="100">
        <v>6</v>
      </c>
      <c r="V40" s="100">
        <f t="shared" si="1"/>
        <v>21.230600000000003</v>
      </c>
      <c r="W40" s="101">
        <f t="shared" si="3"/>
        <v>24.416666666666668</v>
      </c>
      <c r="X40" s="102">
        <f t="shared" si="4"/>
        <v>10.000000000000028</v>
      </c>
      <c r="Y40" s="100">
        <f t="shared" si="5"/>
        <v>7.8833333333333337</v>
      </c>
      <c r="Z40" s="100">
        <f t="shared" si="6"/>
        <v>7568</v>
      </c>
    </row>
    <row r="41" spans="1:26">
      <c r="A41" s="100" t="s">
        <v>42</v>
      </c>
      <c r="B41" s="108" t="str">
        <f>IFERROR(VLOOKUP(Tablo515[[#This Row],[ÜRÜN KODU]],YMKODLARI!$A$1:$K$363,2,0)," ")</f>
        <v>DAMAK EMZİK UCU 2 NO</v>
      </c>
      <c r="C41" s="99">
        <v>43893</v>
      </c>
      <c r="D41" s="100" t="s">
        <v>33</v>
      </c>
      <c r="E41" s="101">
        <v>0.33333333333333331</v>
      </c>
      <c r="F41" s="101">
        <v>0.75</v>
      </c>
      <c r="G41" s="100">
        <f>IFERROR(VLOOKUP(Tablo515[[#This Row],[ÜRÜN KODU]],YMKODLARI!$A$1:$K$363,3,0)," ")</f>
        <v>8</v>
      </c>
      <c r="H41" s="100">
        <f>IFERROR(VLOOKUP(Tablo515[[#This Row],[ÜRÜN KODU]],YMKODLARI!$A$1:$K$363,4,0)," ")</f>
        <v>30</v>
      </c>
      <c r="I41" s="100">
        <v>1005</v>
      </c>
      <c r="J41" s="100" t="str">
        <f>IFERROR(VLOOKUP(Tablo515[[#This Row],[ÜRÜN KODU]],YMKODLARI!$A$1:$K$363,9,0)," ")</f>
        <v>Şeffaf</v>
      </c>
      <c r="K41" s="100" t="str">
        <f>IFERROR(VLOOKUP(Tablo515[[#This Row],[BOYA KODU]],Tablo14[#All],4,0)," ")</f>
        <v xml:space="preserve"> </v>
      </c>
      <c r="L41" s="100" t="str">
        <f>IFERROR(VLOOKUP(Tablo515[[#This Row],[BOYA KODU]],Tablo14[#All],6,0)," ")</f>
        <v xml:space="preserve"> </v>
      </c>
      <c r="M41" s="100" t="str">
        <f t="shared" si="0"/>
        <v xml:space="preserve"> </v>
      </c>
      <c r="N41" s="100" t="str">
        <f>IFERROR(VLOOKUP(Tablo515[[#This Row],[ÜRÜN KODU]],YMKODLARI!$A$1:$K$363,8,0)," ")</f>
        <v>HM 004</v>
      </c>
      <c r="O41" s="100" t="str">
        <f>IFERROR(VLOOKUP(Tablo515[[#This Row],[HAMMADDE KODU]],Tablo1[#All],3,0)," ")</f>
        <v>LSR 50</v>
      </c>
      <c r="P41" s="100" t="str">
        <f>IFERROR(VLOOKUP(Tablo515[[#This Row],[HAMMADDE KODU]],Tablo1[#All],4,0)," ")</f>
        <v>TERRA</v>
      </c>
      <c r="Q41" s="100">
        <f>IFERROR(VLOOKUP(Tablo515[[#This Row],[ÜRÜN KODU]],YMKODLARI!$A$1:$K$363,5,0)," ")</f>
        <v>21.9</v>
      </c>
      <c r="R41" s="100">
        <f>IFERROR(VLOOKUP(Tablo515[[#This Row],[ÜRÜN KODU]],YMKODLARI!$A$1:$K$363,6,0)," ")</f>
        <v>16.100000000000001</v>
      </c>
      <c r="S41" s="100">
        <f>IFERROR(Tablo515[[#This Row],[YOLLUK HARİÇ BASKI GRAMI]]/Tablo515[[#This Row],[KALIP GÖZ ADEDİ]]," ")</f>
        <v>2.0125000000000002</v>
      </c>
      <c r="T41" s="100">
        <f t="shared" si="2"/>
        <v>5.7999999999999972</v>
      </c>
      <c r="U41" s="100">
        <v>6</v>
      </c>
      <c r="V41" s="100">
        <f t="shared" si="1"/>
        <v>22.180500000000002</v>
      </c>
      <c r="W41" s="101">
        <f t="shared" si="3"/>
        <v>24.416666666666668</v>
      </c>
      <c r="X41" s="102">
        <f t="shared" si="4"/>
        <v>10.000000000000028</v>
      </c>
      <c r="Y41" s="100">
        <f t="shared" si="5"/>
        <v>8.375</v>
      </c>
      <c r="Z41" s="100">
        <f t="shared" si="6"/>
        <v>8040</v>
      </c>
    </row>
    <row r="42" spans="1:26">
      <c r="A42" s="100" t="s">
        <v>42</v>
      </c>
      <c r="B42" s="108" t="str">
        <f>IFERROR(VLOOKUP(Tablo515[[#This Row],[ÜRÜN KODU]],YMKODLARI!$A$1:$K$363,2,0)," ")</f>
        <v>DAMAK EMZİK UCU 2 NO</v>
      </c>
      <c r="C42" s="99">
        <v>43894</v>
      </c>
      <c r="D42" s="100" t="s">
        <v>33</v>
      </c>
      <c r="E42" s="101">
        <v>0.33333333333333331</v>
      </c>
      <c r="F42" s="101">
        <v>0.75</v>
      </c>
      <c r="G42" s="100">
        <f>IFERROR(VLOOKUP(Tablo515[[#This Row],[ÜRÜN KODU]],YMKODLARI!$A$1:$K$363,3,0)," ")</f>
        <v>8</v>
      </c>
      <c r="H42" s="100">
        <f>IFERROR(VLOOKUP(Tablo515[[#This Row],[ÜRÜN KODU]],YMKODLARI!$A$1:$K$363,4,0)," ")</f>
        <v>30</v>
      </c>
      <c r="I42" s="100">
        <v>1021</v>
      </c>
      <c r="J42" s="100" t="str">
        <f>IFERROR(VLOOKUP(Tablo515[[#This Row],[ÜRÜN KODU]],YMKODLARI!$A$1:$K$363,9,0)," ")</f>
        <v>Şeffaf</v>
      </c>
      <c r="K42" s="100" t="str">
        <f>IFERROR(VLOOKUP(Tablo515[[#This Row],[BOYA KODU]],Tablo14[#All],4,0)," ")</f>
        <v xml:space="preserve"> </v>
      </c>
      <c r="L42" s="100" t="str">
        <f>IFERROR(VLOOKUP(Tablo515[[#This Row],[BOYA KODU]],Tablo14[#All],6,0)," ")</f>
        <v xml:space="preserve"> </v>
      </c>
      <c r="M42" s="100" t="str">
        <f t="shared" si="0"/>
        <v xml:space="preserve"> </v>
      </c>
      <c r="N42" s="100" t="str">
        <f>IFERROR(VLOOKUP(Tablo515[[#This Row],[ÜRÜN KODU]],YMKODLARI!$A$1:$K$363,8,0)," ")</f>
        <v>HM 004</v>
      </c>
      <c r="O42" s="100" t="str">
        <f>IFERROR(VLOOKUP(Tablo515[[#This Row],[HAMMADDE KODU]],Tablo1[#All],3,0)," ")</f>
        <v>LSR 50</v>
      </c>
      <c r="P42" s="100" t="str">
        <f>IFERROR(VLOOKUP(Tablo515[[#This Row],[HAMMADDE KODU]],Tablo1[#All],4,0)," ")</f>
        <v>TERRA</v>
      </c>
      <c r="Q42" s="100">
        <f>IFERROR(VLOOKUP(Tablo515[[#This Row],[ÜRÜN KODU]],YMKODLARI!$A$1:$K$363,5,0)," ")</f>
        <v>21.9</v>
      </c>
      <c r="R42" s="100">
        <f>IFERROR(VLOOKUP(Tablo515[[#This Row],[ÜRÜN KODU]],YMKODLARI!$A$1:$K$363,6,0)," ")</f>
        <v>16.100000000000001</v>
      </c>
      <c r="S42" s="100">
        <f>IFERROR(Tablo515[[#This Row],[YOLLUK HARİÇ BASKI GRAMI]]/Tablo515[[#This Row],[KALIP GÖZ ADEDİ]]," ")</f>
        <v>2.0125000000000002</v>
      </c>
      <c r="T42" s="100">
        <f t="shared" si="2"/>
        <v>5.7999999999999972</v>
      </c>
      <c r="U42" s="100">
        <v>6</v>
      </c>
      <c r="V42" s="100">
        <f t="shared" si="1"/>
        <v>22.438100000000002</v>
      </c>
      <c r="W42" s="101">
        <f t="shared" si="3"/>
        <v>24.416666666666668</v>
      </c>
      <c r="X42" s="102">
        <f t="shared" si="4"/>
        <v>10.000000000000028</v>
      </c>
      <c r="Y42" s="100">
        <f t="shared" si="5"/>
        <v>8.5083333333333329</v>
      </c>
      <c r="Z42" s="100">
        <f t="shared" si="6"/>
        <v>8168</v>
      </c>
    </row>
    <row r="43" spans="1:26">
      <c r="A43" s="100" t="s">
        <v>42</v>
      </c>
      <c r="B43" s="108" t="str">
        <f>IFERROR(VLOOKUP(Tablo515[[#This Row],[ÜRÜN KODU]],YMKODLARI!$A$1:$K$363,2,0)," ")</f>
        <v>DAMAK EMZİK UCU 2 NO</v>
      </c>
      <c r="C43" s="99">
        <v>43895</v>
      </c>
      <c r="D43" s="100" t="s">
        <v>33</v>
      </c>
      <c r="E43" s="101">
        <v>0.33333333333333331</v>
      </c>
      <c r="F43" s="101">
        <v>0.75</v>
      </c>
      <c r="G43" s="100">
        <f>IFERROR(VLOOKUP(Tablo515[[#This Row],[ÜRÜN KODU]],YMKODLARI!$A$1:$K$363,3,0)," ")</f>
        <v>8</v>
      </c>
      <c r="H43" s="100">
        <f>IFERROR(VLOOKUP(Tablo515[[#This Row],[ÜRÜN KODU]],YMKODLARI!$A$1:$K$363,4,0)," ")</f>
        <v>30</v>
      </c>
      <c r="I43" s="100">
        <v>1028</v>
      </c>
      <c r="J43" s="100" t="str">
        <f>IFERROR(VLOOKUP(Tablo515[[#This Row],[ÜRÜN KODU]],YMKODLARI!$A$1:$K$363,9,0)," ")</f>
        <v>Şeffaf</v>
      </c>
      <c r="K43" s="100" t="str">
        <f>IFERROR(VLOOKUP(Tablo515[[#This Row],[BOYA KODU]],Tablo14[#All],4,0)," ")</f>
        <v xml:space="preserve"> </v>
      </c>
      <c r="L43" s="100" t="str">
        <f>IFERROR(VLOOKUP(Tablo515[[#This Row],[BOYA KODU]],Tablo14[#All],6,0)," ")</f>
        <v xml:space="preserve"> </v>
      </c>
      <c r="M43" s="100" t="str">
        <f t="shared" si="0"/>
        <v xml:space="preserve"> </v>
      </c>
      <c r="N43" s="100" t="str">
        <f>IFERROR(VLOOKUP(Tablo515[[#This Row],[ÜRÜN KODU]],YMKODLARI!$A$1:$K$363,8,0)," ")</f>
        <v>HM 004</v>
      </c>
      <c r="O43" s="100" t="str">
        <f>IFERROR(VLOOKUP(Tablo515[[#This Row],[HAMMADDE KODU]],Tablo1[#All],3,0)," ")</f>
        <v>LSR 50</v>
      </c>
      <c r="P43" s="100" t="str">
        <f>IFERROR(VLOOKUP(Tablo515[[#This Row],[HAMMADDE KODU]],Tablo1[#All],4,0)," ")</f>
        <v>TERRA</v>
      </c>
      <c r="Q43" s="100">
        <f>IFERROR(VLOOKUP(Tablo515[[#This Row],[ÜRÜN KODU]],YMKODLARI!$A$1:$K$363,5,0)," ")</f>
        <v>21.9</v>
      </c>
      <c r="R43" s="100">
        <f>IFERROR(VLOOKUP(Tablo515[[#This Row],[ÜRÜN KODU]],YMKODLARI!$A$1:$K$363,6,0)," ")</f>
        <v>16.100000000000001</v>
      </c>
      <c r="S43" s="100">
        <f>IFERROR(Tablo515[[#This Row],[YOLLUK HARİÇ BASKI GRAMI]]/Tablo515[[#This Row],[KALIP GÖZ ADEDİ]]," ")</f>
        <v>2.0125000000000002</v>
      </c>
      <c r="T43" s="100">
        <f t="shared" si="2"/>
        <v>5.7999999999999972</v>
      </c>
      <c r="U43" s="100">
        <v>6</v>
      </c>
      <c r="V43" s="100">
        <f t="shared" si="1"/>
        <v>22.550800000000002</v>
      </c>
      <c r="W43" s="101">
        <f t="shared" si="3"/>
        <v>24.416666666666668</v>
      </c>
      <c r="X43" s="102">
        <f t="shared" si="4"/>
        <v>10.000000000000028</v>
      </c>
      <c r="Y43" s="100">
        <f t="shared" si="5"/>
        <v>8.5666666666666664</v>
      </c>
      <c r="Z43" s="100">
        <f t="shared" si="6"/>
        <v>8224</v>
      </c>
    </row>
    <row r="44" spans="1:26">
      <c r="A44" s="100" t="s">
        <v>42</v>
      </c>
      <c r="B44" s="108" t="str">
        <f>IFERROR(VLOOKUP(Tablo515[[#This Row],[ÜRÜN KODU]],YMKODLARI!$A$1:$K$363,2,0)," ")</f>
        <v>DAMAK EMZİK UCU 2 NO</v>
      </c>
      <c r="C44" s="99">
        <v>43896</v>
      </c>
      <c r="D44" s="100" t="s">
        <v>33</v>
      </c>
      <c r="E44" s="101">
        <v>0.33333333333333331</v>
      </c>
      <c r="F44" s="101">
        <v>0.3611111111111111</v>
      </c>
      <c r="G44" s="100">
        <f>IFERROR(VLOOKUP(Tablo515[[#This Row],[ÜRÜN KODU]],YMKODLARI!$A$1:$K$363,3,0)," ")</f>
        <v>8</v>
      </c>
      <c r="H44" s="100">
        <f>IFERROR(VLOOKUP(Tablo515[[#This Row],[ÜRÜN KODU]],YMKODLARI!$A$1:$K$363,4,0)," ")</f>
        <v>30</v>
      </c>
      <c r="I44" s="100">
        <v>65</v>
      </c>
      <c r="J44" s="100" t="str">
        <f>IFERROR(VLOOKUP(Tablo515[[#This Row],[ÜRÜN KODU]],YMKODLARI!$A$1:$K$363,9,0)," ")</f>
        <v>Şeffaf</v>
      </c>
      <c r="K44" s="100" t="str">
        <f>IFERROR(VLOOKUP(Tablo515[[#This Row],[BOYA KODU]],Tablo14[#All],4,0)," ")</f>
        <v xml:space="preserve"> </v>
      </c>
      <c r="L44" s="100" t="str">
        <f>IFERROR(VLOOKUP(Tablo515[[#This Row],[BOYA KODU]],Tablo14[#All],6,0)," ")</f>
        <v xml:space="preserve"> </v>
      </c>
      <c r="M44" s="100" t="str">
        <f t="shared" si="0"/>
        <v xml:space="preserve"> </v>
      </c>
      <c r="N44" s="100" t="str">
        <f>IFERROR(VLOOKUP(Tablo515[[#This Row],[ÜRÜN KODU]],YMKODLARI!$A$1:$K$363,8,0)," ")</f>
        <v>HM 004</v>
      </c>
      <c r="O44" s="100" t="str">
        <f>IFERROR(VLOOKUP(Tablo515[[#This Row],[HAMMADDE KODU]],Tablo1[#All],3,0)," ")</f>
        <v>LSR 50</v>
      </c>
      <c r="P44" s="100" t="str">
        <f>IFERROR(VLOOKUP(Tablo515[[#This Row],[HAMMADDE KODU]],Tablo1[#All],4,0)," ")</f>
        <v>TERRA</v>
      </c>
      <c r="Q44" s="100">
        <f>IFERROR(VLOOKUP(Tablo515[[#This Row],[ÜRÜN KODU]],YMKODLARI!$A$1:$K$363,5,0)," ")</f>
        <v>21.9</v>
      </c>
      <c r="R44" s="100">
        <f>IFERROR(VLOOKUP(Tablo515[[#This Row],[ÜRÜN KODU]],YMKODLARI!$A$1:$K$363,6,0)," ")</f>
        <v>16.100000000000001</v>
      </c>
      <c r="S44" s="100">
        <f>IFERROR(Tablo515[[#This Row],[YOLLUK HARİÇ BASKI GRAMI]]/Tablo515[[#This Row],[KALIP GÖZ ADEDİ]]," ")</f>
        <v>2.0125000000000002</v>
      </c>
      <c r="T44" s="100">
        <f t="shared" si="2"/>
        <v>5.7999999999999972</v>
      </c>
      <c r="U44" s="100">
        <v>0.5</v>
      </c>
      <c r="V44" s="100">
        <f t="shared" si="1"/>
        <v>1.5465</v>
      </c>
      <c r="W44" s="101">
        <f t="shared" si="3"/>
        <v>24.027777777777779</v>
      </c>
      <c r="X44" s="102">
        <f t="shared" si="4"/>
        <v>0.66666666666668561</v>
      </c>
      <c r="Y44" s="100">
        <f t="shared" si="5"/>
        <v>0.54166666666666663</v>
      </c>
      <c r="Z44" s="100">
        <f t="shared" si="6"/>
        <v>520</v>
      </c>
    </row>
    <row r="45" spans="1:26">
      <c r="A45" s="100" t="s">
        <v>39</v>
      </c>
      <c r="B45" s="108" t="str">
        <f>IFERROR(VLOOKUP(Tablo515[[#This Row],[ÜRÜN KODU]],YMKODLARI!$A$1:$K$363,2,0)," ")</f>
        <v>DAMAK EMZİK UCU 3 NO</v>
      </c>
      <c r="C45" s="99">
        <v>43896</v>
      </c>
      <c r="D45" s="100" t="s">
        <v>33</v>
      </c>
      <c r="E45" s="101">
        <v>0.66666666666666663</v>
      </c>
      <c r="F45" s="101">
        <v>0.72916666666666663</v>
      </c>
      <c r="G45" s="100">
        <f>IFERROR(VLOOKUP(Tablo515[[#This Row],[ÜRÜN KODU]],YMKODLARI!$A$1:$K$363,3,0)," ")</f>
        <v>8</v>
      </c>
      <c r="H45" s="100">
        <f>IFERROR(VLOOKUP(Tablo515[[#This Row],[ÜRÜN KODU]],YMKODLARI!$A$1:$K$363,4,0)," ")</f>
        <v>33</v>
      </c>
      <c r="I45" s="100">
        <v>101</v>
      </c>
      <c r="J45" s="100" t="str">
        <f>IFERROR(VLOOKUP(Tablo515[[#This Row],[ÜRÜN KODU]],YMKODLARI!$A$1:$K$363,9,0)," ")</f>
        <v>Şeffaf</v>
      </c>
      <c r="K45" s="100" t="str">
        <f>IFERROR(VLOOKUP(Tablo515[[#This Row],[BOYA KODU]],Tablo14[#All],4,0)," ")</f>
        <v xml:space="preserve"> </v>
      </c>
      <c r="L45" s="100" t="str">
        <f>IFERROR(VLOOKUP(Tablo515[[#This Row],[BOYA KODU]],Tablo14[#All],6,0)," ")</f>
        <v xml:space="preserve"> </v>
      </c>
      <c r="M45" s="100" t="str">
        <f t="shared" si="0"/>
        <v xml:space="preserve"> </v>
      </c>
      <c r="N45" s="100" t="str">
        <f>IFERROR(VLOOKUP(Tablo515[[#This Row],[ÜRÜN KODU]],YMKODLARI!$A$1:$K$363,8,0)," ")</f>
        <v>HM 004</v>
      </c>
      <c r="O45" s="100" t="str">
        <f>IFERROR(VLOOKUP(Tablo515[[#This Row],[HAMMADDE KODU]],Tablo1[#All],3,0)," ")</f>
        <v>LSR 50</v>
      </c>
      <c r="P45" s="100" t="str">
        <f>IFERROR(VLOOKUP(Tablo515[[#This Row],[HAMMADDE KODU]],Tablo1[#All],4,0)," ")</f>
        <v>TERRA</v>
      </c>
      <c r="Q45" s="100">
        <f>IFERROR(VLOOKUP(Tablo515[[#This Row],[ÜRÜN KODU]],YMKODLARI!$A$1:$K$363,5,0)," ")</f>
        <v>25</v>
      </c>
      <c r="R45" s="100">
        <f>IFERROR(VLOOKUP(Tablo515[[#This Row],[ÜRÜN KODU]],YMKODLARI!$A$1:$K$363,6,0)," ")</f>
        <v>19.5</v>
      </c>
      <c r="S45" s="100">
        <f>IFERROR(Tablo515[[#This Row],[YOLLUK HARİÇ BASKI GRAMI]]/Tablo515[[#This Row],[KALIP GÖZ ADEDİ]]," ")</f>
        <v>2.4375</v>
      </c>
      <c r="T45" s="100">
        <f t="shared" si="2"/>
        <v>5.5</v>
      </c>
      <c r="U45" s="100">
        <v>1.1000000000000001</v>
      </c>
      <c r="V45" s="100">
        <f t="shared" si="1"/>
        <v>3.0695000000000001</v>
      </c>
      <c r="W45" s="101">
        <f t="shared" si="3"/>
        <v>24.0625</v>
      </c>
      <c r="X45" s="102">
        <f t="shared" si="4"/>
        <v>1.5</v>
      </c>
      <c r="Y45" s="100">
        <f t="shared" si="5"/>
        <v>0.92583333333333329</v>
      </c>
      <c r="Z45" s="100">
        <f t="shared" si="6"/>
        <v>808</v>
      </c>
    </row>
    <row r="46" spans="1:26">
      <c r="A46" s="100" t="s">
        <v>39</v>
      </c>
      <c r="B46" s="108" t="str">
        <f>IFERROR(VLOOKUP(Tablo515[[#This Row],[ÜRÜN KODU]],YMKODLARI!$A$1:$K$363,2,0)," ")</f>
        <v>DAMAK EMZİK UCU 3 NO</v>
      </c>
      <c r="C46" s="99">
        <v>43899</v>
      </c>
      <c r="D46" s="100" t="s">
        <v>37</v>
      </c>
      <c r="E46" s="101">
        <v>0.33333333333333331</v>
      </c>
      <c r="F46" s="101">
        <v>0.83333333333333337</v>
      </c>
      <c r="G46" s="100">
        <f>IFERROR(VLOOKUP(Tablo515[[#This Row],[ÜRÜN KODU]],YMKODLARI!$A$1:$K$363,3,0)," ")</f>
        <v>8</v>
      </c>
      <c r="H46" s="100">
        <f>IFERROR(VLOOKUP(Tablo515[[#This Row],[ÜRÜN KODU]],YMKODLARI!$A$1:$K$363,4,0)," ")</f>
        <v>33</v>
      </c>
      <c r="I46" s="100">
        <v>944</v>
      </c>
      <c r="J46" s="100" t="str">
        <f>IFERROR(VLOOKUP(Tablo515[[#This Row],[ÜRÜN KODU]],YMKODLARI!$A$1:$K$363,9,0)," ")</f>
        <v>Şeffaf</v>
      </c>
      <c r="K46" s="100" t="str">
        <f>IFERROR(VLOOKUP(Tablo515[[#This Row],[BOYA KODU]],Tablo14[#All],4,0)," ")</f>
        <v xml:space="preserve"> </v>
      </c>
      <c r="L46" s="100" t="str">
        <f>IFERROR(VLOOKUP(Tablo515[[#This Row],[BOYA KODU]],Tablo14[#All],6,0)," ")</f>
        <v xml:space="preserve"> </v>
      </c>
      <c r="M46" s="100" t="str">
        <f t="shared" si="0"/>
        <v xml:space="preserve"> </v>
      </c>
      <c r="N46" s="100" t="str">
        <f>IFERROR(VLOOKUP(Tablo515[[#This Row],[ÜRÜN KODU]],YMKODLARI!$A$1:$K$363,8,0)," ")</f>
        <v>HM 004</v>
      </c>
      <c r="O46" s="100" t="str">
        <f>IFERROR(VLOOKUP(Tablo515[[#This Row],[HAMMADDE KODU]],Tablo1[#All],3,0)," ")</f>
        <v>LSR 50</v>
      </c>
      <c r="P46" s="100" t="str">
        <f>IFERROR(VLOOKUP(Tablo515[[#This Row],[HAMMADDE KODU]],Tablo1[#All],4,0)," ")</f>
        <v>TERRA</v>
      </c>
      <c r="Q46" s="100">
        <f>IFERROR(VLOOKUP(Tablo515[[#This Row],[ÜRÜN KODU]],YMKODLARI!$A$1:$K$363,5,0)," ")</f>
        <v>25</v>
      </c>
      <c r="R46" s="100">
        <f>IFERROR(VLOOKUP(Tablo515[[#This Row],[ÜRÜN KODU]],YMKODLARI!$A$1:$K$363,6,0)," ")</f>
        <v>19.5</v>
      </c>
      <c r="S46" s="100">
        <f>IFERROR(Tablo515[[#This Row],[YOLLUK HARİÇ BASKI GRAMI]]/Tablo515[[#This Row],[KALIP GÖZ ADEDİ]]," ")</f>
        <v>2.4375</v>
      </c>
      <c r="T46" s="100">
        <f t="shared" si="2"/>
        <v>5.5</v>
      </c>
      <c r="U46" s="100">
        <v>6.1</v>
      </c>
      <c r="V46" s="100">
        <f t="shared" si="1"/>
        <v>24.508000000000003</v>
      </c>
      <c r="W46" s="101">
        <f t="shared" si="3"/>
        <v>24.5</v>
      </c>
      <c r="X46" s="102">
        <f t="shared" si="4"/>
        <v>12</v>
      </c>
      <c r="Y46" s="100">
        <f t="shared" si="5"/>
        <v>8.6533333333333342</v>
      </c>
      <c r="Z46" s="100">
        <f t="shared" si="6"/>
        <v>7552</v>
      </c>
    </row>
    <row r="47" spans="1:26">
      <c r="A47" s="100" t="s">
        <v>39</v>
      </c>
      <c r="B47" s="108" t="str">
        <f>IFERROR(VLOOKUP(Tablo515[[#This Row],[ÜRÜN KODU]],YMKODLARI!$A$1:$K$363,2,0)," ")</f>
        <v>DAMAK EMZİK UCU 3 NO</v>
      </c>
      <c r="C47" s="99">
        <v>43900</v>
      </c>
      <c r="D47" s="100" t="s">
        <v>37</v>
      </c>
      <c r="E47" s="101">
        <v>0.33333333333333331</v>
      </c>
      <c r="F47" s="101">
        <v>0.83333333333333337</v>
      </c>
      <c r="G47" s="100">
        <f>IFERROR(VLOOKUP(Tablo515[[#This Row],[ÜRÜN KODU]],YMKODLARI!$A$1:$K$363,3,0)," ")</f>
        <v>8</v>
      </c>
      <c r="H47" s="100">
        <f>IFERROR(VLOOKUP(Tablo515[[#This Row],[ÜRÜN KODU]],YMKODLARI!$A$1:$K$363,4,0)," ")</f>
        <v>33</v>
      </c>
      <c r="I47" s="100">
        <v>819</v>
      </c>
      <c r="J47" s="100" t="str">
        <f>IFERROR(VLOOKUP(Tablo515[[#This Row],[ÜRÜN KODU]],YMKODLARI!$A$1:$K$363,9,0)," ")</f>
        <v>Şeffaf</v>
      </c>
      <c r="K47" s="100" t="str">
        <f>IFERROR(VLOOKUP(Tablo515[[#This Row],[BOYA KODU]],Tablo14[#All],4,0)," ")</f>
        <v xml:space="preserve"> </v>
      </c>
      <c r="L47" s="100" t="str">
        <f>IFERROR(VLOOKUP(Tablo515[[#This Row],[BOYA KODU]],Tablo14[#All],6,0)," ")</f>
        <v xml:space="preserve"> </v>
      </c>
      <c r="M47" s="100" t="str">
        <f t="shared" si="0"/>
        <v xml:space="preserve"> </v>
      </c>
      <c r="N47" s="100" t="str">
        <f>IFERROR(VLOOKUP(Tablo515[[#This Row],[ÜRÜN KODU]],YMKODLARI!$A$1:$K$363,8,0)," ")</f>
        <v>HM 004</v>
      </c>
      <c r="O47" s="100" t="str">
        <f>IFERROR(VLOOKUP(Tablo515[[#This Row],[HAMMADDE KODU]],Tablo1[#All],3,0)," ")</f>
        <v>LSR 50</v>
      </c>
      <c r="P47" s="100" t="str">
        <f>IFERROR(VLOOKUP(Tablo515[[#This Row],[HAMMADDE KODU]],Tablo1[#All],4,0)," ")</f>
        <v>TERRA</v>
      </c>
      <c r="Q47" s="100">
        <f>IFERROR(VLOOKUP(Tablo515[[#This Row],[ÜRÜN KODU]],YMKODLARI!$A$1:$K$363,5,0)," ")</f>
        <v>25</v>
      </c>
      <c r="R47" s="100">
        <f>IFERROR(VLOOKUP(Tablo515[[#This Row],[ÜRÜN KODU]],YMKODLARI!$A$1:$K$363,6,0)," ")</f>
        <v>19.5</v>
      </c>
      <c r="S47" s="100">
        <f>IFERROR(Tablo515[[#This Row],[YOLLUK HARİÇ BASKI GRAMI]]/Tablo515[[#This Row],[KALIP GÖZ ADEDİ]]," ")</f>
        <v>2.4375</v>
      </c>
      <c r="T47" s="100">
        <f t="shared" si="2"/>
        <v>5.5</v>
      </c>
      <c r="U47" s="100">
        <v>6</v>
      </c>
      <c r="V47" s="100">
        <f t="shared" si="1"/>
        <v>21.970500000000001</v>
      </c>
      <c r="W47" s="101">
        <f t="shared" si="3"/>
        <v>24.5</v>
      </c>
      <c r="X47" s="102">
        <f t="shared" si="4"/>
        <v>12</v>
      </c>
      <c r="Y47" s="100">
        <f t="shared" si="5"/>
        <v>7.5075000000000003</v>
      </c>
      <c r="Z47" s="100">
        <f t="shared" si="6"/>
        <v>6552</v>
      </c>
    </row>
    <row r="48" spans="1:26">
      <c r="A48" s="100" t="s">
        <v>39</v>
      </c>
      <c r="B48" s="108" t="str">
        <f>IFERROR(VLOOKUP(Tablo515[[#This Row],[ÜRÜN KODU]],YMKODLARI!$A$1:$K$363,2,0)," ")</f>
        <v>DAMAK EMZİK UCU 3 NO</v>
      </c>
      <c r="C48" s="99">
        <v>43901</v>
      </c>
      <c r="D48" s="100" t="s">
        <v>37</v>
      </c>
      <c r="E48" s="101">
        <v>0.33333333333333331</v>
      </c>
      <c r="F48" s="101">
        <v>0.83333333333333337</v>
      </c>
      <c r="G48" s="100">
        <f>IFERROR(VLOOKUP(Tablo515[[#This Row],[ÜRÜN KODU]],YMKODLARI!$A$1:$K$363,3,0)," ")</f>
        <v>8</v>
      </c>
      <c r="H48" s="100">
        <f>IFERROR(VLOOKUP(Tablo515[[#This Row],[ÜRÜN KODU]],YMKODLARI!$A$1:$K$363,4,0)," ")</f>
        <v>33</v>
      </c>
      <c r="I48" s="100">
        <v>725</v>
      </c>
      <c r="J48" s="100" t="str">
        <f>IFERROR(VLOOKUP(Tablo515[[#This Row],[ÜRÜN KODU]],YMKODLARI!$A$1:$K$363,9,0)," ")</f>
        <v>Şeffaf</v>
      </c>
      <c r="K48" s="100" t="str">
        <f>IFERROR(VLOOKUP(Tablo515[[#This Row],[BOYA KODU]],Tablo14[#All],4,0)," ")</f>
        <v xml:space="preserve"> </v>
      </c>
      <c r="L48" s="100" t="str">
        <f>IFERROR(VLOOKUP(Tablo515[[#This Row],[BOYA KODU]],Tablo14[#All],6,0)," ")</f>
        <v xml:space="preserve"> </v>
      </c>
      <c r="M48" s="100" t="str">
        <f t="shared" si="0"/>
        <v xml:space="preserve"> </v>
      </c>
      <c r="N48" s="100" t="str">
        <f>IFERROR(VLOOKUP(Tablo515[[#This Row],[ÜRÜN KODU]],YMKODLARI!$A$1:$K$363,8,0)," ")</f>
        <v>HM 004</v>
      </c>
      <c r="O48" s="100" t="str">
        <f>IFERROR(VLOOKUP(Tablo515[[#This Row],[HAMMADDE KODU]],Tablo1[#All],3,0)," ")</f>
        <v>LSR 50</v>
      </c>
      <c r="P48" s="100" t="str">
        <f>IFERROR(VLOOKUP(Tablo515[[#This Row],[HAMMADDE KODU]],Tablo1[#All],4,0)," ")</f>
        <v>TERRA</v>
      </c>
      <c r="Q48" s="100">
        <f>IFERROR(VLOOKUP(Tablo515[[#This Row],[ÜRÜN KODU]],YMKODLARI!$A$1:$K$363,5,0)," ")</f>
        <v>25</v>
      </c>
      <c r="R48" s="100">
        <f>IFERROR(VLOOKUP(Tablo515[[#This Row],[ÜRÜN KODU]],YMKODLARI!$A$1:$K$363,6,0)," ")</f>
        <v>19.5</v>
      </c>
      <c r="S48" s="100">
        <f>IFERROR(Tablo515[[#This Row],[YOLLUK HARİÇ BASKI GRAMI]]/Tablo515[[#This Row],[KALIP GÖZ ADEDİ]]," ")</f>
        <v>2.4375</v>
      </c>
      <c r="T48" s="100">
        <f t="shared" si="2"/>
        <v>5.5</v>
      </c>
      <c r="U48" s="100">
        <v>5</v>
      </c>
      <c r="V48" s="100">
        <f t="shared" si="1"/>
        <v>19.137499999999999</v>
      </c>
      <c r="W48" s="101">
        <f t="shared" si="3"/>
        <v>24.5</v>
      </c>
      <c r="X48" s="102">
        <f t="shared" si="4"/>
        <v>12</v>
      </c>
      <c r="Y48" s="100">
        <f t="shared" si="5"/>
        <v>6.645833333333333</v>
      </c>
      <c r="Z48" s="100">
        <f t="shared" si="6"/>
        <v>5800</v>
      </c>
    </row>
    <row r="49" spans="1:26">
      <c r="A49" s="100" t="s">
        <v>39</v>
      </c>
      <c r="B49" s="108" t="str">
        <f>IFERROR(VLOOKUP(Tablo515[[#This Row],[ÜRÜN KODU]],YMKODLARI!$A$1:$K$363,2,0)," ")</f>
        <v>DAMAK EMZİK UCU 3 NO</v>
      </c>
      <c r="C49" s="99">
        <v>43902</v>
      </c>
      <c r="D49" s="100" t="s">
        <v>37</v>
      </c>
      <c r="E49" s="101">
        <v>0.33333333333333331</v>
      </c>
      <c r="F49" s="101">
        <v>0.83333333333333337</v>
      </c>
      <c r="G49" s="100">
        <f>IFERROR(VLOOKUP(Tablo515[[#This Row],[ÜRÜN KODU]],YMKODLARI!$A$1:$K$363,3,0)," ")</f>
        <v>8</v>
      </c>
      <c r="H49" s="100">
        <f>IFERROR(VLOOKUP(Tablo515[[#This Row],[ÜRÜN KODU]],YMKODLARI!$A$1:$K$363,4,0)," ")</f>
        <v>33</v>
      </c>
      <c r="I49" s="100">
        <v>920</v>
      </c>
      <c r="J49" s="100" t="str">
        <f>IFERROR(VLOOKUP(Tablo515[[#This Row],[ÜRÜN KODU]],YMKODLARI!$A$1:$K$363,9,0)," ")</f>
        <v>Şeffaf</v>
      </c>
      <c r="K49" s="100" t="str">
        <f>IFERROR(VLOOKUP(Tablo515[[#This Row],[BOYA KODU]],Tablo14[#All],4,0)," ")</f>
        <v xml:space="preserve"> </v>
      </c>
      <c r="L49" s="100" t="str">
        <f>IFERROR(VLOOKUP(Tablo515[[#This Row],[BOYA KODU]],Tablo14[#All],6,0)," ")</f>
        <v xml:space="preserve"> </v>
      </c>
      <c r="M49" s="100" t="str">
        <f t="shared" si="0"/>
        <v xml:space="preserve"> </v>
      </c>
      <c r="N49" s="100" t="str">
        <f>IFERROR(VLOOKUP(Tablo515[[#This Row],[ÜRÜN KODU]],YMKODLARI!$A$1:$K$363,8,0)," ")</f>
        <v>HM 004</v>
      </c>
      <c r="O49" s="100" t="str">
        <f>IFERROR(VLOOKUP(Tablo515[[#This Row],[HAMMADDE KODU]],Tablo1[#All],3,0)," ")</f>
        <v>LSR 50</v>
      </c>
      <c r="P49" s="100" t="str">
        <f>IFERROR(VLOOKUP(Tablo515[[#This Row],[HAMMADDE KODU]],Tablo1[#All],4,0)," ")</f>
        <v>TERRA</v>
      </c>
      <c r="Q49" s="100">
        <f>IFERROR(VLOOKUP(Tablo515[[#This Row],[ÜRÜN KODU]],YMKODLARI!$A$1:$K$363,5,0)," ")</f>
        <v>25</v>
      </c>
      <c r="R49" s="100">
        <f>IFERROR(VLOOKUP(Tablo515[[#This Row],[ÜRÜN KODU]],YMKODLARI!$A$1:$K$363,6,0)," ")</f>
        <v>19.5</v>
      </c>
      <c r="S49" s="100">
        <f>IFERROR(Tablo515[[#This Row],[YOLLUK HARİÇ BASKI GRAMI]]/Tablo515[[#This Row],[KALIP GÖZ ADEDİ]]," ")</f>
        <v>2.4375</v>
      </c>
      <c r="T49" s="100">
        <f t="shared" si="2"/>
        <v>5.5</v>
      </c>
      <c r="U49" s="100">
        <v>6.5</v>
      </c>
      <c r="V49" s="100">
        <f t="shared" si="1"/>
        <v>24.44</v>
      </c>
      <c r="W49" s="101">
        <f t="shared" si="3"/>
        <v>24.5</v>
      </c>
      <c r="X49" s="102">
        <f t="shared" si="4"/>
        <v>12</v>
      </c>
      <c r="Y49" s="100">
        <f t="shared" si="5"/>
        <v>8.4333333333333336</v>
      </c>
      <c r="Z49" s="100">
        <f t="shared" si="6"/>
        <v>7360</v>
      </c>
    </row>
    <row r="50" spans="1:26">
      <c r="A50" s="100" t="s">
        <v>39</v>
      </c>
      <c r="B50" s="108" t="str">
        <f>IFERROR(VLOOKUP(Tablo515[[#This Row],[ÜRÜN KODU]],YMKODLARI!$A$1:$K$363,2,0)," ")</f>
        <v>DAMAK EMZİK UCU 3 NO</v>
      </c>
      <c r="C50" s="99">
        <v>43903</v>
      </c>
      <c r="D50" s="100" t="s">
        <v>37</v>
      </c>
      <c r="E50" s="101">
        <v>0.33333333333333331</v>
      </c>
      <c r="F50" s="101">
        <v>0.83333333333333337</v>
      </c>
      <c r="G50" s="100">
        <f>IFERROR(VLOOKUP(Tablo515[[#This Row],[ÜRÜN KODU]],YMKODLARI!$A$1:$K$363,3,0)," ")</f>
        <v>8</v>
      </c>
      <c r="H50" s="100">
        <f>IFERROR(VLOOKUP(Tablo515[[#This Row],[ÜRÜN KODU]],YMKODLARI!$A$1:$K$363,4,0)," ")</f>
        <v>33</v>
      </c>
      <c r="I50" s="100">
        <v>835</v>
      </c>
      <c r="J50" s="100" t="str">
        <f>IFERROR(VLOOKUP(Tablo515[[#This Row],[ÜRÜN KODU]],YMKODLARI!$A$1:$K$363,9,0)," ")</f>
        <v>Şeffaf</v>
      </c>
      <c r="K50" s="100" t="str">
        <f>IFERROR(VLOOKUP(Tablo515[[#This Row],[BOYA KODU]],Tablo14[#All],4,0)," ")</f>
        <v xml:space="preserve"> </v>
      </c>
      <c r="L50" s="100" t="str">
        <f>IFERROR(VLOOKUP(Tablo515[[#This Row],[BOYA KODU]],Tablo14[#All],6,0)," ")</f>
        <v xml:space="preserve"> </v>
      </c>
      <c r="M50" s="100" t="str">
        <f t="shared" si="0"/>
        <v xml:space="preserve"> </v>
      </c>
      <c r="N50" s="100" t="str">
        <f>IFERROR(VLOOKUP(Tablo515[[#This Row],[ÜRÜN KODU]],YMKODLARI!$A$1:$K$363,8,0)," ")</f>
        <v>HM 004</v>
      </c>
      <c r="O50" s="100" t="str">
        <f>IFERROR(VLOOKUP(Tablo515[[#This Row],[HAMMADDE KODU]],Tablo1[#All],3,0)," ")</f>
        <v>LSR 50</v>
      </c>
      <c r="P50" s="100" t="str">
        <f>IFERROR(VLOOKUP(Tablo515[[#This Row],[HAMMADDE KODU]],Tablo1[#All],4,0)," ")</f>
        <v>TERRA</v>
      </c>
      <c r="Q50" s="100">
        <f>IFERROR(VLOOKUP(Tablo515[[#This Row],[ÜRÜN KODU]],YMKODLARI!$A$1:$K$363,5,0)," ")</f>
        <v>25</v>
      </c>
      <c r="R50" s="100">
        <f>IFERROR(VLOOKUP(Tablo515[[#This Row],[ÜRÜN KODU]],YMKODLARI!$A$1:$K$363,6,0)," ")</f>
        <v>19.5</v>
      </c>
      <c r="S50" s="100">
        <f>IFERROR(Tablo515[[#This Row],[YOLLUK HARİÇ BASKI GRAMI]]/Tablo515[[#This Row],[KALIP GÖZ ADEDİ]]," ")</f>
        <v>2.4375</v>
      </c>
      <c r="T50" s="100">
        <f t="shared" si="2"/>
        <v>5.5</v>
      </c>
      <c r="U50" s="100">
        <v>6</v>
      </c>
      <c r="V50" s="100">
        <f t="shared" si="1"/>
        <v>22.282499999999999</v>
      </c>
      <c r="W50" s="101">
        <f t="shared" si="3"/>
        <v>24.5</v>
      </c>
      <c r="X50" s="102">
        <f t="shared" si="4"/>
        <v>12</v>
      </c>
      <c r="Y50" s="100">
        <f t="shared" si="5"/>
        <v>7.6541666666666668</v>
      </c>
      <c r="Z50" s="100">
        <f t="shared" si="6"/>
        <v>6680</v>
      </c>
    </row>
    <row r="51" spans="1:26">
      <c r="A51" s="100" t="s">
        <v>39</v>
      </c>
      <c r="B51" s="108" t="str">
        <f>IFERROR(VLOOKUP(Tablo515[[#This Row],[ÜRÜN KODU]],YMKODLARI!$A$1:$K$363,2,0)," ")</f>
        <v>DAMAK EMZİK UCU 3 NO</v>
      </c>
      <c r="C51" s="99">
        <v>43903</v>
      </c>
      <c r="D51" s="100" t="s">
        <v>35</v>
      </c>
      <c r="E51" s="101">
        <v>0.83333333333333337</v>
      </c>
      <c r="F51" s="101">
        <v>0.33333333333333331</v>
      </c>
      <c r="G51" s="100">
        <f>IFERROR(VLOOKUP(Tablo515[[#This Row],[ÜRÜN KODU]],YMKODLARI!$A$1:$K$363,3,0)," ")</f>
        <v>8</v>
      </c>
      <c r="H51" s="100">
        <f>IFERROR(VLOOKUP(Tablo515[[#This Row],[ÜRÜN KODU]],YMKODLARI!$A$1:$K$363,4,0)," ")</f>
        <v>33</v>
      </c>
      <c r="I51" s="100">
        <v>515</v>
      </c>
      <c r="J51" s="100" t="str">
        <f>IFERROR(VLOOKUP(Tablo515[[#This Row],[ÜRÜN KODU]],YMKODLARI!$A$1:$K$363,9,0)," ")</f>
        <v>Şeffaf</v>
      </c>
      <c r="K51" s="100" t="str">
        <f>IFERROR(VLOOKUP(Tablo515[[#This Row],[BOYA KODU]],Tablo14[#All],4,0)," ")</f>
        <v xml:space="preserve"> </v>
      </c>
      <c r="L51" s="100" t="str">
        <f>IFERROR(VLOOKUP(Tablo515[[#This Row],[BOYA KODU]],Tablo14[#All],6,0)," ")</f>
        <v xml:space="preserve"> </v>
      </c>
      <c r="M51" s="100" t="str">
        <f t="shared" si="0"/>
        <v xml:space="preserve"> </v>
      </c>
      <c r="N51" s="100" t="str">
        <f>IFERROR(VLOOKUP(Tablo515[[#This Row],[ÜRÜN KODU]],YMKODLARI!$A$1:$K$363,8,0)," ")</f>
        <v>HM 004</v>
      </c>
      <c r="O51" s="100" t="str">
        <f>IFERROR(VLOOKUP(Tablo515[[#This Row],[HAMMADDE KODU]],Tablo1[#All],3,0)," ")</f>
        <v>LSR 50</v>
      </c>
      <c r="P51" s="100" t="str">
        <f>IFERROR(VLOOKUP(Tablo515[[#This Row],[HAMMADDE KODU]],Tablo1[#All],4,0)," ")</f>
        <v>TERRA</v>
      </c>
      <c r="Q51" s="100">
        <f>IFERROR(VLOOKUP(Tablo515[[#This Row],[ÜRÜN KODU]],YMKODLARI!$A$1:$K$363,5,0)," ")</f>
        <v>25</v>
      </c>
      <c r="R51" s="100">
        <f>IFERROR(VLOOKUP(Tablo515[[#This Row],[ÜRÜN KODU]],YMKODLARI!$A$1:$K$363,6,0)," ")</f>
        <v>19.5</v>
      </c>
      <c r="S51" s="100">
        <f>IFERROR(Tablo515[[#This Row],[YOLLUK HARİÇ BASKI GRAMI]]/Tablo515[[#This Row],[KALIP GÖZ ADEDİ]]," ")</f>
        <v>2.4375</v>
      </c>
      <c r="T51" s="100">
        <f t="shared" si="2"/>
        <v>5.5</v>
      </c>
      <c r="U51" s="100">
        <v>3.2</v>
      </c>
      <c r="V51" s="100">
        <f t="shared" si="1"/>
        <v>13.2425</v>
      </c>
      <c r="W51" s="101">
        <f t="shared" si="3"/>
        <v>23.5</v>
      </c>
      <c r="X51" s="102">
        <f t="shared" si="4"/>
        <v>12</v>
      </c>
      <c r="Y51" s="100">
        <f t="shared" si="5"/>
        <v>4.7208333333333332</v>
      </c>
      <c r="Z51" s="100">
        <f t="shared" si="6"/>
        <v>4120</v>
      </c>
    </row>
    <row r="52" spans="1:26">
      <c r="A52" s="100" t="s">
        <v>39</v>
      </c>
      <c r="B52" s="108" t="str">
        <f>IFERROR(VLOOKUP(Tablo515[[#This Row],[ÜRÜN KODU]],YMKODLARI!$A$1:$K$363,2,0)," ")</f>
        <v>DAMAK EMZİK UCU 3 NO</v>
      </c>
      <c r="C52" s="99">
        <v>43906</v>
      </c>
      <c r="D52" s="100" t="s">
        <v>37</v>
      </c>
      <c r="E52" s="101">
        <v>0.33333333333333331</v>
      </c>
      <c r="F52" s="101">
        <v>0.83333333333333337</v>
      </c>
      <c r="G52" s="100">
        <f>IFERROR(VLOOKUP(Tablo515[[#This Row],[ÜRÜN KODU]],YMKODLARI!$A$1:$K$363,3,0)," ")</f>
        <v>8</v>
      </c>
      <c r="H52" s="100">
        <f>IFERROR(VLOOKUP(Tablo515[[#This Row],[ÜRÜN KODU]],YMKODLARI!$A$1:$K$363,4,0)," ")</f>
        <v>33</v>
      </c>
      <c r="I52" s="100">
        <v>831</v>
      </c>
      <c r="J52" s="100" t="str">
        <f>IFERROR(VLOOKUP(Tablo515[[#This Row],[ÜRÜN KODU]],YMKODLARI!$A$1:$K$363,9,0)," ")</f>
        <v>Şeffaf</v>
      </c>
      <c r="K52" s="100" t="str">
        <f>IFERROR(VLOOKUP(Tablo515[[#This Row],[BOYA KODU]],Tablo14[#All],4,0)," ")</f>
        <v xml:space="preserve"> </v>
      </c>
      <c r="L52" s="100" t="str">
        <f>IFERROR(VLOOKUP(Tablo515[[#This Row],[BOYA KODU]],Tablo14[#All],6,0)," ")</f>
        <v xml:space="preserve"> </v>
      </c>
      <c r="M52" s="100" t="str">
        <f t="shared" si="0"/>
        <v xml:space="preserve"> </v>
      </c>
      <c r="N52" s="100" t="str">
        <f>IFERROR(VLOOKUP(Tablo515[[#This Row],[ÜRÜN KODU]],YMKODLARI!$A$1:$K$363,8,0)," ")</f>
        <v>HM 004</v>
      </c>
      <c r="O52" s="100" t="str">
        <f>IFERROR(VLOOKUP(Tablo515[[#This Row],[HAMMADDE KODU]],Tablo1[#All],3,0)," ")</f>
        <v>LSR 50</v>
      </c>
      <c r="P52" s="100" t="str">
        <f>IFERROR(VLOOKUP(Tablo515[[#This Row],[HAMMADDE KODU]],Tablo1[#All],4,0)," ")</f>
        <v>TERRA</v>
      </c>
      <c r="Q52" s="100">
        <f>IFERROR(VLOOKUP(Tablo515[[#This Row],[ÜRÜN KODU]],YMKODLARI!$A$1:$K$363,5,0)," ")</f>
        <v>25</v>
      </c>
      <c r="R52" s="100">
        <f>IFERROR(VLOOKUP(Tablo515[[#This Row],[ÜRÜN KODU]],YMKODLARI!$A$1:$K$363,6,0)," ")</f>
        <v>19.5</v>
      </c>
      <c r="S52" s="100">
        <f>IFERROR(Tablo515[[#This Row],[YOLLUK HARİÇ BASKI GRAMI]]/Tablo515[[#This Row],[KALIP GÖZ ADEDİ]]," ")</f>
        <v>2.4375</v>
      </c>
      <c r="T52" s="100">
        <f t="shared" si="2"/>
        <v>5.5</v>
      </c>
      <c r="U52" s="100">
        <v>3</v>
      </c>
      <c r="V52" s="100">
        <f t="shared" si="1"/>
        <v>19.204499999999999</v>
      </c>
      <c r="W52" s="101">
        <f t="shared" si="3"/>
        <v>24.5</v>
      </c>
      <c r="X52" s="102">
        <f t="shared" si="4"/>
        <v>12</v>
      </c>
      <c r="Y52" s="100">
        <f t="shared" si="5"/>
        <v>7.6174999999999997</v>
      </c>
      <c r="Z52" s="100">
        <f t="shared" si="6"/>
        <v>6648</v>
      </c>
    </row>
    <row r="53" spans="1:26">
      <c r="A53" s="100" t="s">
        <v>39</v>
      </c>
      <c r="B53" s="108" t="str">
        <f>IFERROR(VLOOKUP(Tablo515[[#This Row],[ÜRÜN KODU]],YMKODLARI!$A$1:$K$363,2,0)," ")</f>
        <v>DAMAK EMZİK UCU 3 NO</v>
      </c>
      <c r="C53" s="99">
        <v>43906</v>
      </c>
      <c r="D53" s="100" t="s">
        <v>35</v>
      </c>
      <c r="E53" s="101">
        <v>0.83333333333333337</v>
      </c>
      <c r="F53" s="101">
        <v>0.33333333333333331</v>
      </c>
      <c r="G53" s="100">
        <f>IFERROR(VLOOKUP(Tablo515[[#This Row],[ÜRÜN KODU]],YMKODLARI!$A$1:$K$363,3,0)," ")</f>
        <v>8</v>
      </c>
      <c r="H53" s="100">
        <f>IFERROR(VLOOKUP(Tablo515[[#This Row],[ÜRÜN KODU]],YMKODLARI!$A$1:$K$363,4,0)," ")</f>
        <v>33</v>
      </c>
      <c r="I53" s="100">
        <v>715</v>
      </c>
      <c r="J53" s="100" t="str">
        <f>IFERROR(VLOOKUP(Tablo515[[#This Row],[ÜRÜN KODU]],YMKODLARI!$A$1:$K$363,9,0)," ")</f>
        <v>Şeffaf</v>
      </c>
      <c r="K53" s="100" t="str">
        <f>IFERROR(VLOOKUP(Tablo515[[#This Row],[BOYA KODU]],Tablo14[#All],4,0)," ")</f>
        <v xml:space="preserve"> </v>
      </c>
      <c r="L53" s="100" t="str">
        <f>IFERROR(VLOOKUP(Tablo515[[#This Row],[BOYA KODU]],Tablo14[#All],6,0)," ")</f>
        <v xml:space="preserve"> </v>
      </c>
      <c r="M53" s="100" t="str">
        <f t="shared" si="0"/>
        <v xml:space="preserve"> </v>
      </c>
      <c r="N53" s="100" t="str">
        <f>IFERROR(VLOOKUP(Tablo515[[#This Row],[ÜRÜN KODU]],YMKODLARI!$A$1:$K$363,8,0)," ")</f>
        <v>HM 004</v>
      </c>
      <c r="O53" s="100" t="str">
        <f>IFERROR(VLOOKUP(Tablo515[[#This Row],[HAMMADDE KODU]],Tablo1[#All],3,0)," ")</f>
        <v>LSR 50</v>
      </c>
      <c r="P53" s="100" t="str">
        <f>IFERROR(VLOOKUP(Tablo515[[#This Row],[HAMMADDE KODU]],Tablo1[#All],4,0)," ")</f>
        <v>TERRA</v>
      </c>
      <c r="Q53" s="100">
        <f>IFERROR(VLOOKUP(Tablo515[[#This Row],[ÜRÜN KODU]],YMKODLARI!$A$1:$K$363,5,0)," ")</f>
        <v>25</v>
      </c>
      <c r="R53" s="100">
        <f>IFERROR(VLOOKUP(Tablo515[[#This Row],[ÜRÜN KODU]],YMKODLARI!$A$1:$K$363,6,0)," ")</f>
        <v>19.5</v>
      </c>
      <c r="S53" s="100">
        <f>IFERROR(Tablo515[[#This Row],[YOLLUK HARİÇ BASKI GRAMI]]/Tablo515[[#This Row],[KALIP GÖZ ADEDİ]]," ")</f>
        <v>2.4375</v>
      </c>
      <c r="T53" s="100">
        <f t="shared" si="2"/>
        <v>5.5</v>
      </c>
      <c r="U53" s="100">
        <v>4.4000000000000004</v>
      </c>
      <c r="V53" s="100">
        <f t="shared" si="1"/>
        <v>18.342500000000001</v>
      </c>
      <c r="W53" s="101">
        <f t="shared" si="3"/>
        <v>23.5</v>
      </c>
      <c r="X53" s="102">
        <f t="shared" si="4"/>
        <v>12</v>
      </c>
      <c r="Y53" s="100">
        <f t="shared" si="5"/>
        <v>6.5541666666666663</v>
      </c>
      <c r="Z53" s="100">
        <f t="shared" si="6"/>
        <v>5720</v>
      </c>
    </row>
    <row r="54" spans="1:26">
      <c r="A54" s="100" t="s">
        <v>39</v>
      </c>
      <c r="B54" s="108" t="str">
        <f>IFERROR(VLOOKUP(Tablo515[[#This Row],[ÜRÜN KODU]],YMKODLARI!$A$1:$K$363,2,0)," ")</f>
        <v>DAMAK EMZİK UCU 3 NO</v>
      </c>
      <c r="C54" s="99">
        <v>43907</v>
      </c>
      <c r="D54" s="100" t="s">
        <v>37</v>
      </c>
      <c r="E54" s="101">
        <v>0.33333333333333331</v>
      </c>
      <c r="F54" s="101">
        <v>0.8125</v>
      </c>
      <c r="G54" s="100">
        <f>IFERROR(VLOOKUP(Tablo515[[#This Row],[ÜRÜN KODU]],YMKODLARI!$A$1:$K$363,3,0)," ")</f>
        <v>8</v>
      </c>
      <c r="H54" s="100">
        <f>IFERROR(VLOOKUP(Tablo515[[#This Row],[ÜRÜN KODU]],YMKODLARI!$A$1:$K$363,4,0)," ")</f>
        <v>33</v>
      </c>
      <c r="I54" s="100">
        <v>780</v>
      </c>
      <c r="J54" s="100" t="str">
        <f>IFERROR(VLOOKUP(Tablo515[[#This Row],[ÜRÜN KODU]],YMKODLARI!$A$1:$K$363,9,0)," ")</f>
        <v>Şeffaf</v>
      </c>
      <c r="K54" s="100" t="str">
        <f>IFERROR(VLOOKUP(Tablo515[[#This Row],[BOYA KODU]],Tablo14[#All],4,0)," ")</f>
        <v xml:space="preserve"> </v>
      </c>
      <c r="L54" s="100" t="str">
        <f>IFERROR(VLOOKUP(Tablo515[[#This Row],[BOYA KODU]],Tablo14[#All],6,0)," ")</f>
        <v xml:space="preserve"> </v>
      </c>
      <c r="M54" s="100" t="str">
        <f t="shared" si="0"/>
        <v xml:space="preserve"> </v>
      </c>
      <c r="N54" s="100" t="str">
        <f>IFERROR(VLOOKUP(Tablo515[[#This Row],[ÜRÜN KODU]],YMKODLARI!$A$1:$K$363,8,0)," ")</f>
        <v>HM 004</v>
      </c>
      <c r="O54" s="100" t="str">
        <f>IFERROR(VLOOKUP(Tablo515[[#This Row],[HAMMADDE KODU]],Tablo1[#All],3,0)," ")</f>
        <v>LSR 50</v>
      </c>
      <c r="P54" s="100" t="str">
        <f>IFERROR(VLOOKUP(Tablo515[[#This Row],[HAMMADDE KODU]],Tablo1[#All],4,0)," ")</f>
        <v>TERRA</v>
      </c>
      <c r="Q54" s="100">
        <f>IFERROR(VLOOKUP(Tablo515[[#This Row],[ÜRÜN KODU]],YMKODLARI!$A$1:$K$363,5,0)," ")</f>
        <v>25</v>
      </c>
      <c r="R54" s="100">
        <f>IFERROR(VLOOKUP(Tablo515[[#This Row],[ÜRÜN KODU]],YMKODLARI!$A$1:$K$363,6,0)," ")</f>
        <v>19.5</v>
      </c>
      <c r="S54" s="100">
        <f>IFERROR(Tablo515[[#This Row],[YOLLUK HARİÇ BASKI GRAMI]]/Tablo515[[#This Row],[KALIP GÖZ ADEDİ]]," ")</f>
        <v>2.4375</v>
      </c>
      <c r="T54" s="100">
        <f t="shared" si="2"/>
        <v>5.5</v>
      </c>
      <c r="U54" s="100">
        <v>7</v>
      </c>
      <c r="V54" s="100">
        <f t="shared" si="1"/>
        <v>22.21</v>
      </c>
      <c r="W54" s="101">
        <f t="shared" si="3"/>
        <v>24.479166666666668</v>
      </c>
      <c r="X54" s="102">
        <f t="shared" si="4"/>
        <v>11.500000000000028</v>
      </c>
      <c r="Y54" s="100">
        <f t="shared" si="5"/>
        <v>7.15</v>
      </c>
      <c r="Z54" s="100">
        <f t="shared" si="6"/>
        <v>6240</v>
      </c>
    </row>
    <row r="55" spans="1:26">
      <c r="A55" s="100" t="s">
        <v>39</v>
      </c>
      <c r="B55" s="108" t="str">
        <f>IFERROR(VLOOKUP(Tablo515[[#This Row],[ÜRÜN KODU]],YMKODLARI!$A$1:$K$363,2,0)," ")</f>
        <v>DAMAK EMZİK UCU 3 NO</v>
      </c>
      <c r="C55" s="99">
        <v>43908</v>
      </c>
      <c r="D55" s="100" t="s">
        <v>37</v>
      </c>
      <c r="E55" s="101">
        <v>0.33333333333333331</v>
      </c>
      <c r="F55" s="101">
        <v>0.83333333333333337</v>
      </c>
      <c r="G55" s="100">
        <f>IFERROR(VLOOKUP(Tablo515[[#This Row],[ÜRÜN KODU]],YMKODLARI!$A$1:$K$363,3,0)," ")</f>
        <v>8</v>
      </c>
      <c r="H55" s="100">
        <f>IFERROR(VLOOKUP(Tablo515[[#This Row],[ÜRÜN KODU]],YMKODLARI!$A$1:$K$363,4,0)," ")</f>
        <v>33</v>
      </c>
      <c r="I55" s="100">
        <v>900</v>
      </c>
      <c r="J55" s="100" t="str">
        <f>IFERROR(VLOOKUP(Tablo515[[#This Row],[ÜRÜN KODU]],YMKODLARI!$A$1:$K$363,9,0)," ")</f>
        <v>Şeffaf</v>
      </c>
      <c r="K55" s="100" t="str">
        <f>IFERROR(VLOOKUP(Tablo515[[#This Row],[BOYA KODU]],Tablo14[#All],4,0)," ")</f>
        <v xml:space="preserve"> </v>
      </c>
      <c r="L55" s="100" t="str">
        <f>IFERROR(VLOOKUP(Tablo515[[#This Row],[BOYA KODU]],Tablo14[#All],6,0)," ")</f>
        <v xml:space="preserve"> </v>
      </c>
      <c r="M55" s="100" t="str">
        <f t="shared" si="0"/>
        <v xml:space="preserve"> </v>
      </c>
      <c r="N55" s="100" t="str">
        <f>IFERROR(VLOOKUP(Tablo515[[#This Row],[ÜRÜN KODU]],YMKODLARI!$A$1:$K$363,8,0)," ")</f>
        <v>HM 004</v>
      </c>
      <c r="O55" s="100" t="str">
        <f>IFERROR(VLOOKUP(Tablo515[[#This Row],[HAMMADDE KODU]],Tablo1[#All],3,0)," ")</f>
        <v>LSR 50</v>
      </c>
      <c r="P55" s="100" t="str">
        <f>IFERROR(VLOOKUP(Tablo515[[#This Row],[HAMMADDE KODU]],Tablo1[#All],4,0)," ")</f>
        <v>TERRA</v>
      </c>
      <c r="Q55" s="100">
        <f>IFERROR(VLOOKUP(Tablo515[[#This Row],[ÜRÜN KODU]],YMKODLARI!$A$1:$K$363,5,0)," ")</f>
        <v>25</v>
      </c>
      <c r="R55" s="100">
        <f>IFERROR(VLOOKUP(Tablo515[[#This Row],[ÜRÜN KODU]],YMKODLARI!$A$1:$K$363,6,0)," ")</f>
        <v>19.5</v>
      </c>
      <c r="S55" s="100">
        <f>IFERROR(Tablo515[[#This Row],[YOLLUK HARİÇ BASKI GRAMI]]/Tablo515[[#This Row],[KALIP GÖZ ADEDİ]]," ")</f>
        <v>2.4375</v>
      </c>
      <c r="T55" s="100">
        <f t="shared" si="2"/>
        <v>5.5</v>
      </c>
      <c r="U55" s="100">
        <v>8.1999999999999993</v>
      </c>
      <c r="V55" s="100">
        <f t="shared" si="1"/>
        <v>25.75</v>
      </c>
      <c r="W55" s="101">
        <f t="shared" si="3"/>
        <v>24.5</v>
      </c>
      <c r="X55" s="102">
        <f t="shared" si="4"/>
        <v>12</v>
      </c>
      <c r="Y55" s="100">
        <f t="shared" si="5"/>
        <v>8.25</v>
      </c>
      <c r="Z55" s="100">
        <f t="shared" si="6"/>
        <v>7200</v>
      </c>
    </row>
    <row r="56" spans="1:26">
      <c r="A56" s="100" t="s">
        <v>39</v>
      </c>
      <c r="B56" s="108" t="str">
        <f>IFERROR(VLOOKUP(Tablo515[[#This Row],[ÜRÜN KODU]],YMKODLARI!$A$1:$K$363,2,0)," ")</f>
        <v>DAMAK EMZİK UCU 3 NO</v>
      </c>
      <c r="C56" s="99">
        <v>43908</v>
      </c>
      <c r="D56" s="100" t="s">
        <v>33</v>
      </c>
      <c r="E56" s="101">
        <v>0.83333333333333337</v>
      </c>
      <c r="F56" s="101">
        <v>0.33333333333333331</v>
      </c>
      <c r="G56" s="100">
        <f>IFERROR(VLOOKUP(Tablo515[[#This Row],[ÜRÜN KODU]],YMKODLARI!$A$1:$K$363,3,0)," ")</f>
        <v>8</v>
      </c>
      <c r="H56" s="100">
        <f>IFERROR(VLOOKUP(Tablo515[[#This Row],[ÜRÜN KODU]],YMKODLARI!$A$1:$K$363,4,0)," ")</f>
        <v>33</v>
      </c>
      <c r="I56" s="100">
        <v>888</v>
      </c>
      <c r="J56" s="100" t="str">
        <f>IFERROR(VLOOKUP(Tablo515[[#This Row],[ÜRÜN KODU]],YMKODLARI!$A$1:$K$363,9,0)," ")</f>
        <v>Şeffaf</v>
      </c>
      <c r="K56" s="100" t="str">
        <f>IFERROR(VLOOKUP(Tablo515[[#This Row],[BOYA KODU]],Tablo14[#All],4,0)," ")</f>
        <v xml:space="preserve"> </v>
      </c>
      <c r="L56" s="100" t="str">
        <f>IFERROR(VLOOKUP(Tablo515[[#This Row],[BOYA KODU]],Tablo14[#All],6,0)," ")</f>
        <v xml:space="preserve"> </v>
      </c>
      <c r="M56" s="100" t="str">
        <f t="shared" si="0"/>
        <v xml:space="preserve"> </v>
      </c>
      <c r="N56" s="100" t="str">
        <f>IFERROR(VLOOKUP(Tablo515[[#This Row],[ÜRÜN KODU]],YMKODLARI!$A$1:$K$363,8,0)," ")</f>
        <v>HM 004</v>
      </c>
      <c r="O56" s="100" t="str">
        <f>IFERROR(VLOOKUP(Tablo515[[#This Row],[HAMMADDE KODU]],Tablo1[#All],3,0)," ")</f>
        <v>LSR 50</v>
      </c>
      <c r="P56" s="100" t="str">
        <f>IFERROR(VLOOKUP(Tablo515[[#This Row],[HAMMADDE KODU]],Tablo1[#All],4,0)," ")</f>
        <v>TERRA</v>
      </c>
      <c r="Q56" s="100">
        <f>IFERROR(VLOOKUP(Tablo515[[#This Row],[ÜRÜN KODU]],YMKODLARI!$A$1:$K$363,5,0)," ")</f>
        <v>25</v>
      </c>
      <c r="R56" s="100">
        <f>IFERROR(VLOOKUP(Tablo515[[#This Row],[ÜRÜN KODU]],YMKODLARI!$A$1:$K$363,6,0)," ")</f>
        <v>19.5</v>
      </c>
      <c r="S56" s="100">
        <f>IFERROR(Tablo515[[#This Row],[YOLLUK HARİÇ BASKI GRAMI]]/Tablo515[[#This Row],[KALIP GÖZ ADEDİ]]," ")</f>
        <v>2.4375</v>
      </c>
      <c r="T56" s="100">
        <f t="shared" si="2"/>
        <v>5.5</v>
      </c>
      <c r="U56" s="100">
        <v>5.4</v>
      </c>
      <c r="V56" s="100">
        <f t="shared" si="1"/>
        <v>22.716000000000001</v>
      </c>
      <c r="W56" s="101">
        <f t="shared" si="3"/>
        <v>23.5</v>
      </c>
      <c r="X56" s="102">
        <f t="shared" si="4"/>
        <v>12</v>
      </c>
      <c r="Y56" s="100">
        <f t="shared" si="5"/>
        <v>8.14</v>
      </c>
      <c r="Z56" s="100">
        <f t="shared" si="6"/>
        <v>7104</v>
      </c>
    </row>
    <row r="57" spans="1:26">
      <c r="A57" s="100" t="s">
        <v>39</v>
      </c>
      <c r="B57" s="108" t="str">
        <f>IFERROR(VLOOKUP(Tablo515[[#This Row],[ÜRÜN KODU]],YMKODLARI!$A$1:$K$363,2,0)," ")</f>
        <v>DAMAK EMZİK UCU 3 NO</v>
      </c>
      <c r="C57" s="99">
        <v>43909</v>
      </c>
      <c r="D57" s="100" t="s">
        <v>37</v>
      </c>
      <c r="E57" s="101">
        <v>0.33333333333333331</v>
      </c>
      <c r="F57" s="101">
        <v>0.45833333333333331</v>
      </c>
      <c r="G57" s="100">
        <f>IFERROR(VLOOKUP(Tablo515[[#This Row],[ÜRÜN KODU]],YMKODLARI!$A$1:$K$363,3,0)," ")</f>
        <v>8</v>
      </c>
      <c r="H57" s="100">
        <f>IFERROR(VLOOKUP(Tablo515[[#This Row],[ÜRÜN KODU]],YMKODLARI!$A$1:$K$363,4,0)," ")</f>
        <v>33</v>
      </c>
      <c r="I57" s="100">
        <v>214</v>
      </c>
      <c r="J57" s="100" t="str">
        <f>IFERROR(VLOOKUP(Tablo515[[#This Row],[ÜRÜN KODU]],YMKODLARI!$A$1:$K$363,9,0)," ")</f>
        <v>Şeffaf</v>
      </c>
      <c r="K57" s="100" t="str">
        <f>IFERROR(VLOOKUP(Tablo515[[#This Row],[BOYA KODU]],Tablo14[#All],4,0)," ")</f>
        <v xml:space="preserve"> </v>
      </c>
      <c r="L57" s="100" t="str">
        <f>IFERROR(VLOOKUP(Tablo515[[#This Row],[BOYA KODU]],Tablo14[#All],6,0)," ")</f>
        <v xml:space="preserve"> </v>
      </c>
      <c r="M57" s="100" t="str">
        <f t="shared" si="0"/>
        <v xml:space="preserve"> </v>
      </c>
      <c r="N57" s="100" t="str">
        <f>IFERROR(VLOOKUP(Tablo515[[#This Row],[ÜRÜN KODU]],YMKODLARI!$A$1:$K$363,8,0)," ")</f>
        <v>HM 004</v>
      </c>
      <c r="O57" s="100" t="str">
        <f>IFERROR(VLOOKUP(Tablo515[[#This Row],[HAMMADDE KODU]],Tablo1[#All],3,0)," ")</f>
        <v>LSR 50</v>
      </c>
      <c r="P57" s="100" t="str">
        <f>IFERROR(VLOOKUP(Tablo515[[#This Row],[HAMMADDE KODU]],Tablo1[#All],4,0)," ")</f>
        <v>TERRA</v>
      </c>
      <c r="Q57" s="100">
        <f>IFERROR(VLOOKUP(Tablo515[[#This Row],[ÜRÜN KODU]],YMKODLARI!$A$1:$K$363,5,0)," ")</f>
        <v>25</v>
      </c>
      <c r="R57" s="100">
        <f>IFERROR(VLOOKUP(Tablo515[[#This Row],[ÜRÜN KODU]],YMKODLARI!$A$1:$K$363,6,0)," ")</f>
        <v>19.5</v>
      </c>
      <c r="S57" s="100">
        <f>IFERROR(Tablo515[[#This Row],[YOLLUK HARİÇ BASKI GRAMI]]/Tablo515[[#This Row],[KALIP GÖZ ADEDİ]]," ")</f>
        <v>2.4375</v>
      </c>
      <c r="T57" s="100">
        <f t="shared" si="2"/>
        <v>5.5</v>
      </c>
      <c r="U57" s="100">
        <v>1.1000000000000001</v>
      </c>
      <c r="V57" s="100">
        <f t="shared" si="1"/>
        <v>5.2729999999999997</v>
      </c>
      <c r="W57" s="101">
        <f t="shared" si="3"/>
        <v>24.125</v>
      </c>
      <c r="X57" s="102">
        <f t="shared" si="4"/>
        <v>3</v>
      </c>
      <c r="Y57" s="100">
        <f t="shared" si="5"/>
        <v>1.9616666666666667</v>
      </c>
      <c r="Z57" s="100">
        <f t="shared" si="6"/>
        <v>1712</v>
      </c>
    </row>
    <row r="58" spans="1:26">
      <c r="A58" s="100" t="s">
        <v>42</v>
      </c>
      <c r="B58" s="108" t="str">
        <f>IFERROR(VLOOKUP(Tablo515[[#This Row],[ÜRÜN KODU]],YMKODLARI!$A$1:$K$363,2,0)," ")</f>
        <v>DAMAK EMZİK UCU 2 NO</v>
      </c>
      <c r="C58" s="99">
        <v>43909</v>
      </c>
      <c r="D58" s="100" t="s">
        <v>29</v>
      </c>
      <c r="E58" s="101">
        <v>0.59166666666666667</v>
      </c>
      <c r="F58" s="101">
        <v>0.83333333333333337</v>
      </c>
      <c r="G58" s="100">
        <f>IFERROR(VLOOKUP(Tablo515[[#This Row],[ÜRÜN KODU]],YMKODLARI!$A$1:$K$363,3,0)," ")</f>
        <v>8</v>
      </c>
      <c r="H58" s="100">
        <f>IFERROR(VLOOKUP(Tablo515[[#This Row],[ÜRÜN KODU]],YMKODLARI!$A$1:$K$363,4,0)," ")</f>
        <v>30</v>
      </c>
      <c r="I58" s="100">
        <v>823</v>
      </c>
      <c r="J58" s="100" t="str">
        <f>IFERROR(VLOOKUP(Tablo515[[#This Row],[ÜRÜN KODU]],YMKODLARI!$A$1:$K$363,9,0)," ")</f>
        <v>Şeffaf</v>
      </c>
      <c r="K58" s="100" t="str">
        <f>IFERROR(VLOOKUP(Tablo515[[#This Row],[BOYA KODU]],Tablo14[#All],4,0)," ")</f>
        <v xml:space="preserve"> </v>
      </c>
      <c r="L58" s="100" t="str">
        <f>IFERROR(VLOOKUP(Tablo515[[#This Row],[BOYA KODU]],Tablo14[#All],6,0)," ")</f>
        <v xml:space="preserve"> </v>
      </c>
      <c r="M58" s="100" t="str">
        <f t="shared" si="0"/>
        <v xml:space="preserve"> </v>
      </c>
      <c r="N58" s="100" t="str">
        <f>IFERROR(VLOOKUP(Tablo515[[#This Row],[ÜRÜN KODU]],YMKODLARI!$A$1:$K$363,8,0)," ")</f>
        <v>HM 004</v>
      </c>
      <c r="O58" s="100" t="str">
        <f>IFERROR(VLOOKUP(Tablo515[[#This Row],[HAMMADDE KODU]],Tablo1[#All],3,0)," ")</f>
        <v>LSR 50</v>
      </c>
      <c r="P58" s="100" t="str">
        <f>IFERROR(VLOOKUP(Tablo515[[#This Row],[HAMMADDE KODU]],Tablo1[#All],4,0)," ")</f>
        <v>TERRA</v>
      </c>
      <c r="Q58" s="100">
        <f>IFERROR(VLOOKUP(Tablo515[[#This Row],[ÜRÜN KODU]],YMKODLARI!$A$1:$K$363,5,0)," ")</f>
        <v>21.9</v>
      </c>
      <c r="R58" s="100">
        <f>IFERROR(VLOOKUP(Tablo515[[#This Row],[ÜRÜN KODU]],YMKODLARI!$A$1:$K$363,6,0)," ")</f>
        <v>16.100000000000001</v>
      </c>
      <c r="S58" s="100">
        <f>IFERROR(Tablo515[[#This Row],[YOLLUK HARİÇ BASKI GRAMI]]/Tablo515[[#This Row],[KALIP GÖZ ADEDİ]]," ")</f>
        <v>2.0125000000000002</v>
      </c>
      <c r="T58" s="100">
        <f t="shared" si="2"/>
        <v>5.7999999999999972</v>
      </c>
      <c r="U58" s="100">
        <v>2.7</v>
      </c>
      <c r="V58" s="100">
        <f t="shared" si="1"/>
        <v>15.950300000000002</v>
      </c>
      <c r="W58" s="101">
        <f t="shared" si="3"/>
        <v>24.241666666666667</v>
      </c>
      <c r="X58" s="102">
        <f t="shared" si="4"/>
        <v>5.8000000000000114</v>
      </c>
      <c r="Y58" s="100">
        <f t="shared" si="5"/>
        <v>6.8583333333333334</v>
      </c>
      <c r="Z58" s="100">
        <f t="shared" si="6"/>
        <v>6584</v>
      </c>
    </row>
    <row r="59" spans="1:26">
      <c r="A59" s="100" t="s">
        <v>42</v>
      </c>
      <c r="B59" s="108" t="str">
        <f>IFERROR(VLOOKUP(Tablo515[[#This Row],[ÜRÜN KODU]],YMKODLARI!$A$1:$K$363,2,0)," ")</f>
        <v>DAMAK EMZİK UCU 2 NO</v>
      </c>
      <c r="C59" s="99">
        <v>43909</v>
      </c>
      <c r="D59" s="100" t="s">
        <v>33</v>
      </c>
      <c r="E59" s="101">
        <v>0.83333333333333337</v>
      </c>
      <c r="F59" s="101">
        <v>0.28125</v>
      </c>
      <c r="G59" s="100">
        <f>IFERROR(VLOOKUP(Tablo515[[#This Row],[ÜRÜN KODU]],YMKODLARI!$A$1:$K$363,3,0)," ")</f>
        <v>8</v>
      </c>
      <c r="H59" s="100">
        <f>IFERROR(VLOOKUP(Tablo515[[#This Row],[ÜRÜN KODU]],YMKODLARI!$A$1:$K$363,4,0)," ")</f>
        <v>30</v>
      </c>
      <c r="I59" s="100">
        <v>1177</v>
      </c>
      <c r="J59" s="100" t="str">
        <f>IFERROR(VLOOKUP(Tablo515[[#This Row],[ÜRÜN KODU]],YMKODLARI!$A$1:$K$363,9,0)," ")</f>
        <v>Şeffaf</v>
      </c>
      <c r="K59" s="100" t="str">
        <f>IFERROR(VLOOKUP(Tablo515[[#This Row],[BOYA KODU]],Tablo14[#All],4,0)," ")</f>
        <v xml:space="preserve"> </v>
      </c>
      <c r="L59" s="100" t="str">
        <f>IFERROR(VLOOKUP(Tablo515[[#This Row],[BOYA KODU]],Tablo14[#All],6,0)," ")</f>
        <v xml:space="preserve"> </v>
      </c>
      <c r="M59" s="100" t="str">
        <f t="shared" si="0"/>
        <v xml:space="preserve"> </v>
      </c>
      <c r="N59" s="100" t="str">
        <f>IFERROR(VLOOKUP(Tablo515[[#This Row],[ÜRÜN KODU]],YMKODLARI!$A$1:$K$363,8,0)," ")</f>
        <v>HM 004</v>
      </c>
      <c r="O59" s="100" t="str">
        <f>IFERROR(VLOOKUP(Tablo515[[#This Row],[HAMMADDE KODU]],Tablo1[#All],3,0)," ")</f>
        <v>LSR 50</v>
      </c>
      <c r="P59" s="100" t="str">
        <f>IFERROR(VLOOKUP(Tablo515[[#This Row],[HAMMADDE KODU]],Tablo1[#All],4,0)," ")</f>
        <v>TERRA</v>
      </c>
      <c r="Q59" s="100">
        <f>IFERROR(VLOOKUP(Tablo515[[#This Row],[ÜRÜN KODU]],YMKODLARI!$A$1:$K$363,5,0)," ")</f>
        <v>21.9</v>
      </c>
      <c r="R59" s="100">
        <f>IFERROR(VLOOKUP(Tablo515[[#This Row],[ÜRÜN KODU]],YMKODLARI!$A$1:$K$363,6,0)," ")</f>
        <v>16.100000000000001</v>
      </c>
      <c r="S59" s="100">
        <f>IFERROR(Tablo515[[#This Row],[YOLLUK HARİÇ BASKI GRAMI]]/Tablo515[[#This Row],[KALIP GÖZ ADEDİ]]," ")</f>
        <v>2.0125000000000002</v>
      </c>
      <c r="T59" s="100">
        <f t="shared" si="2"/>
        <v>5.7999999999999972</v>
      </c>
      <c r="U59" s="100">
        <v>7</v>
      </c>
      <c r="V59" s="100">
        <f t="shared" si="1"/>
        <v>25.9497</v>
      </c>
      <c r="W59" s="101">
        <f t="shared" si="3"/>
        <v>23.447916666666668</v>
      </c>
      <c r="X59" s="102">
        <f t="shared" si="4"/>
        <v>10.750000000000028</v>
      </c>
      <c r="Y59" s="100">
        <f t="shared" si="5"/>
        <v>9.8083333333333336</v>
      </c>
      <c r="Z59" s="100">
        <f t="shared" si="6"/>
        <v>9416</v>
      </c>
    </row>
    <row r="60" spans="1:26">
      <c r="A60" s="100" t="s">
        <v>42</v>
      </c>
      <c r="B60" s="108" t="str">
        <f>IFERROR(VLOOKUP(Tablo515[[#This Row],[ÜRÜN KODU]],YMKODLARI!$A$1:$K$363,2,0)," ")</f>
        <v>DAMAK EMZİK UCU 2 NO</v>
      </c>
      <c r="C60" s="99">
        <v>43910</v>
      </c>
      <c r="D60" s="100" t="s">
        <v>33</v>
      </c>
      <c r="E60" s="101">
        <v>0.83333333333333337</v>
      </c>
      <c r="F60" s="101">
        <v>0.3125</v>
      </c>
      <c r="G60" s="100">
        <f>IFERROR(VLOOKUP(Tablo515[[#This Row],[ÜRÜN KODU]],YMKODLARI!$A$1:$K$363,3,0)," ")</f>
        <v>8</v>
      </c>
      <c r="H60" s="100">
        <f>IFERROR(VLOOKUP(Tablo515[[#This Row],[ÜRÜN KODU]],YMKODLARI!$A$1:$K$363,4,0)," ")</f>
        <v>30</v>
      </c>
      <c r="I60" s="100">
        <v>1375</v>
      </c>
      <c r="J60" s="100" t="str">
        <f>IFERROR(VLOOKUP(Tablo515[[#This Row],[ÜRÜN KODU]],YMKODLARI!$A$1:$K$363,9,0)," ")</f>
        <v>Şeffaf</v>
      </c>
      <c r="K60" s="100" t="str">
        <f>IFERROR(VLOOKUP(Tablo515[[#This Row],[BOYA KODU]],Tablo14[#All],4,0)," ")</f>
        <v xml:space="preserve"> </v>
      </c>
      <c r="L60" s="100" t="str">
        <f>IFERROR(VLOOKUP(Tablo515[[#This Row],[BOYA KODU]],Tablo14[#All],6,0)," ")</f>
        <v xml:space="preserve"> </v>
      </c>
      <c r="M60" s="100" t="str">
        <f t="shared" si="0"/>
        <v xml:space="preserve"> </v>
      </c>
      <c r="N60" s="100" t="str">
        <f>IFERROR(VLOOKUP(Tablo515[[#This Row],[ÜRÜN KODU]],YMKODLARI!$A$1:$K$363,8,0)," ")</f>
        <v>HM 004</v>
      </c>
      <c r="O60" s="100" t="str">
        <f>IFERROR(VLOOKUP(Tablo515[[#This Row],[HAMMADDE KODU]],Tablo1[#All],3,0)," ")</f>
        <v>LSR 50</v>
      </c>
      <c r="P60" s="100" t="str">
        <f>IFERROR(VLOOKUP(Tablo515[[#This Row],[HAMMADDE KODU]],Tablo1[#All],4,0)," ")</f>
        <v>TERRA</v>
      </c>
      <c r="Q60" s="100">
        <f>IFERROR(VLOOKUP(Tablo515[[#This Row],[ÜRÜN KODU]],YMKODLARI!$A$1:$K$363,5,0)," ")</f>
        <v>21.9</v>
      </c>
      <c r="R60" s="100">
        <f>IFERROR(VLOOKUP(Tablo515[[#This Row],[ÜRÜN KODU]],YMKODLARI!$A$1:$K$363,6,0)," ")</f>
        <v>16.100000000000001</v>
      </c>
      <c r="S60" s="100">
        <f>IFERROR(Tablo515[[#This Row],[YOLLUK HARİÇ BASKI GRAMI]]/Tablo515[[#This Row],[KALIP GÖZ ADEDİ]]," ")</f>
        <v>2.0125000000000002</v>
      </c>
      <c r="T60" s="100">
        <f t="shared" si="2"/>
        <v>5.7999999999999972</v>
      </c>
      <c r="U60" s="100">
        <v>8</v>
      </c>
      <c r="V60" s="100">
        <f t="shared" si="1"/>
        <v>30.137500000000003</v>
      </c>
      <c r="W60" s="101">
        <f t="shared" si="3"/>
        <v>23.479166666666668</v>
      </c>
      <c r="X60" s="102">
        <f t="shared" si="4"/>
        <v>11.500000000000028</v>
      </c>
      <c r="Y60" s="100">
        <f t="shared" si="5"/>
        <v>11.458333333333334</v>
      </c>
      <c r="Z60" s="100">
        <f t="shared" si="6"/>
        <v>11000</v>
      </c>
    </row>
    <row r="61" spans="1:26">
      <c r="A61" s="100" t="s">
        <v>42</v>
      </c>
      <c r="B61" s="108" t="str">
        <f>IFERROR(VLOOKUP(Tablo515[[#This Row],[ÜRÜN KODU]],YMKODLARI!$A$1:$K$363,2,0)," ")</f>
        <v>DAMAK EMZİK UCU 2 NO</v>
      </c>
      <c r="C61" s="99">
        <v>43913</v>
      </c>
      <c r="D61" s="100" t="s">
        <v>40</v>
      </c>
      <c r="E61" s="101">
        <v>0.33333333333333331</v>
      </c>
      <c r="F61" s="101">
        <v>0.8125</v>
      </c>
      <c r="G61" s="100">
        <f>IFERROR(VLOOKUP(Tablo515[[#This Row],[ÜRÜN KODU]],YMKODLARI!$A$1:$K$363,3,0)," ")</f>
        <v>8</v>
      </c>
      <c r="H61" s="100">
        <f>IFERROR(VLOOKUP(Tablo515[[#This Row],[ÜRÜN KODU]],YMKODLARI!$A$1:$K$363,4,0)," ")</f>
        <v>30</v>
      </c>
      <c r="I61" s="100">
        <v>1038</v>
      </c>
      <c r="J61" s="100" t="str">
        <f>IFERROR(VLOOKUP(Tablo515[[#This Row],[ÜRÜN KODU]],YMKODLARI!$A$1:$K$363,9,0)," ")</f>
        <v>Şeffaf</v>
      </c>
      <c r="K61" s="100" t="str">
        <f>IFERROR(VLOOKUP(Tablo515[[#This Row],[BOYA KODU]],Tablo14[#All],4,0)," ")</f>
        <v xml:space="preserve"> </v>
      </c>
      <c r="L61" s="100" t="str">
        <f>IFERROR(VLOOKUP(Tablo515[[#This Row],[BOYA KODU]],Tablo14[#All],6,0)," ")</f>
        <v xml:space="preserve"> </v>
      </c>
      <c r="M61" s="100" t="str">
        <f t="shared" si="0"/>
        <v xml:space="preserve"> </v>
      </c>
      <c r="N61" s="100" t="str">
        <f>IFERROR(VLOOKUP(Tablo515[[#This Row],[ÜRÜN KODU]],YMKODLARI!$A$1:$K$363,8,0)," ")</f>
        <v>HM 004</v>
      </c>
      <c r="O61" s="100" t="str">
        <f>IFERROR(VLOOKUP(Tablo515[[#This Row],[HAMMADDE KODU]],Tablo1[#All],3,0)," ")</f>
        <v>LSR 50</v>
      </c>
      <c r="P61" s="100" t="str">
        <f>IFERROR(VLOOKUP(Tablo515[[#This Row],[HAMMADDE KODU]],Tablo1[#All],4,0)," ")</f>
        <v>TERRA</v>
      </c>
      <c r="Q61" s="100">
        <f>IFERROR(VLOOKUP(Tablo515[[#This Row],[ÜRÜN KODU]],YMKODLARI!$A$1:$K$363,5,0)," ")</f>
        <v>21.9</v>
      </c>
      <c r="R61" s="100">
        <f>IFERROR(VLOOKUP(Tablo515[[#This Row],[ÜRÜN KODU]],YMKODLARI!$A$1:$K$363,6,0)," ")</f>
        <v>16.100000000000001</v>
      </c>
      <c r="S61" s="100">
        <f>IFERROR(Tablo515[[#This Row],[YOLLUK HARİÇ BASKI GRAMI]]/Tablo515[[#This Row],[KALIP GÖZ ADEDİ]]," ")</f>
        <v>2.0125000000000002</v>
      </c>
      <c r="T61" s="100">
        <f t="shared" si="2"/>
        <v>5.7999999999999972</v>
      </c>
      <c r="U61" s="100">
        <v>8</v>
      </c>
      <c r="V61" s="100">
        <f t="shared" si="1"/>
        <v>24.711800000000004</v>
      </c>
      <c r="W61" s="101">
        <f t="shared" si="3"/>
        <v>24.479166666666668</v>
      </c>
      <c r="X61" s="102">
        <f t="shared" si="4"/>
        <v>11.500000000000028</v>
      </c>
      <c r="Y61" s="100">
        <f t="shared" si="5"/>
        <v>8.65</v>
      </c>
      <c r="Z61" s="100">
        <f t="shared" si="6"/>
        <v>8304</v>
      </c>
    </row>
    <row r="62" spans="1:26">
      <c r="A62" s="100" t="s">
        <v>42</v>
      </c>
      <c r="B62" s="108" t="str">
        <f>IFERROR(VLOOKUP(Tablo515[[#This Row],[ÜRÜN KODU]],YMKODLARI!$A$1:$K$363,2,0)," ")</f>
        <v>DAMAK EMZİK UCU 2 NO</v>
      </c>
      <c r="C62" s="99">
        <v>43916</v>
      </c>
      <c r="D62" s="100" t="s">
        <v>44</v>
      </c>
      <c r="E62" s="101">
        <v>0.6875</v>
      </c>
      <c r="F62" s="101">
        <v>0.83333333333333337</v>
      </c>
      <c r="G62" s="100">
        <f>IFERROR(VLOOKUP(Tablo515[[#This Row],[ÜRÜN KODU]],YMKODLARI!$A$1:$K$363,3,0)," ")</f>
        <v>8</v>
      </c>
      <c r="H62" s="100">
        <f>IFERROR(VLOOKUP(Tablo515[[#This Row],[ÜRÜN KODU]],YMKODLARI!$A$1:$K$363,4,0)," ")</f>
        <v>30</v>
      </c>
      <c r="I62" s="100">
        <v>383</v>
      </c>
      <c r="J62" s="100" t="str">
        <f>IFERROR(VLOOKUP(Tablo515[[#This Row],[ÜRÜN KODU]],YMKODLARI!$A$1:$K$363,9,0)," ")</f>
        <v>Şeffaf</v>
      </c>
      <c r="K62" s="100" t="str">
        <f>IFERROR(VLOOKUP(Tablo515[[#This Row],[BOYA KODU]],Tablo14[#All],4,0)," ")</f>
        <v xml:space="preserve"> </v>
      </c>
      <c r="L62" s="100" t="str">
        <f>IFERROR(VLOOKUP(Tablo515[[#This Row],[BOYA KODU]],Tablo14[#All],6,0)," ")</f>
        <v xml:space="preserve"> </v>
      </c>
      <c r="M62" s="100" t="str">
        <f t="shared" si="0"/>
        <v xml:space="preserve"> </v>
      </c>
      <c r="N62" s="100" t="s">
        <v>38</v>
      </c>
      <c r="O62" s="100" t="str">
        <f>IFERROR(VLOOKUP(Tablo515[[#This Row],[HAMMADDE KODU]],Tablo1[#All],3,0)," ")</f>
        <v>LSR 50</v>
      </c>
      <c r="P62" s="100" t="str">
        <f>IFERROR(VLOOKUP(Tablo515[[#This Row],[HAMMADDE KODU]],Tablo1[#All],4,0)," ")</f>
        <v>KCC</v>
      </c>
      <c r="Q62" s="100">
        <f>IFERROR(VLOOKUP(Tablo515[[#This Row],[ÜRÜN KODU]],YMKODLARI!$A$1:$K$363,5,0)," ")</f>
        <v>21.9</v>
      </c>
      <c r="R62" s="100">
        <f>IFERROR(VLOOKUP(Tablo515[[#This Row],[ÜRÜN KODU]],YMKODLARI!$A$1:$K$363,6,0)," ")</f>
        <v>16.100000000000001</v>
      </c>
      <c r="S62" s="100">
        <f>IFERROR(Tablo515[[#This Row],[YOLLUK HARİÇ BASKI GRAMI]]/Tablo515[[#This Row],[KALIP GÖZ ADEDİ]]," ")</f>
        <v>2.0125000000000002</v>
      </c>
      <c r="T62" s="100">
        <f t="shared" si="2"/>
        <v>5.7999999999999972</v>
      </c>
      <c r="U62" s="100">
        <v>3.9</v>
      </c>
      <c r="V62" s="100">
        <f t="shared" si="1"/>
        <v>10.0663</v>
      </c>
      <c r="W62" s="101">
        <f t="shared" si="3"/>
        <v>24.145833333333332</v>
      </c>
      <c r="X62" s="102">
        <f t="shared" si="4"/>
        <v>3.4999999999999716</v>
      </c>
      <c r="Y62" s="100">
        <f t="shared" si="5"/>
        <v>3.1916666666666669</v>
      </c>
      <c r="Z62" s="100">
        <f t="shared" si="6"/>
        <v>3064</v>
      </c>
    </row>
    <row r="63" spans="1:26">
      <c r="A63" s="100" t="s">
        <v>42</v>
      </c>
      <c r="B63" s="108" t="str">
        <f>IFERROR(VLOOKUP(Tablo515[[#This Row],[ÜRÜN KODU]],YMKODLARI!$A$1:$K$363,2,0)," ")</f>
        <v>DAMAK EMZİK UCU 2 NO</v>
      </c>
      <c r="C63" s="99">
        <v>43916</v>
      </c>
      <c r="D63" s="100" t="s">
        <v>37</v>
      </c>
      <c r="E63" s="101">
        <v>0.83333333333333337</v>
      </c>
      <c r="F63" s="101">
        <v>0.33333333333333331</v>
      </c>
      <c r="G63" s="100">
        <f>IFERROR(VLOOKUP(Tablo515[[#This Row],[ÜRÜN KODU]],YMKODLARI!$A$1:$K$363,3,0)," ")</f>
        <v>8</v>
      </c>
      <c r="H63" s="100">
        <f>IFERROR(VLOOKUP(Tablo515[[#This Row],[ÜRÜN KODU]],YMKODLARI!$A$1:$K$363,4,0)," ")</f>
        <v>30</v>
      </c>
      <c r="I63" s="100">
        <v>1282</v>
      </c>
      <c r="J63" s="100" t="str">
        <f>IFERROR(VLOOKUP(Tablo515[[#This Row],[ÜRÜN KODU]],YMKODLARI!$A$1:$K$363,9,0)," ")</f>
        <v>Şeffaf</v>
      </c>
      <c r="K63" s="100" t="str">
        <f>IFERROR(VLOOKUP(Tablo515[[#This Row],[BOYA KODU]],Tablo14[#All],4,0)," ")</f>
        <v xml:space="preserve"> </v>
      </c>
      <c r="L63" s="100" t="str">
        <f>IFERROR(VLOOKUP(Tablo515[[#This Row],[BOYA KODU]],Tablo14[#All],6,0)," ")</f>
        <v xml:space="preserve"> </v>
      </c>
      <c r="M63" s="100" t="str">
        <f t="shared" si="0"/>
        <v xml:space="preserve"> </v>
      </c>
      <c r="N63" s="100" t="s">
        <v>38</v>
      </c>
      <c r="O63" s="100" t="str">
        <f>IFERROR(VLOOKUP(Tablo515[[#This Row],[HAMMADDE KODU]],Tablo1[#All],3,0)," ")</f>
        <v>LSR 50</v>
      </c>
      <c r="P63" s="100" t="str">
        <f>IFERROR(VLOOKUP(Tablo515[[#This Row],[HAMMADDE KODU]],Tablo1[#All],4,0)," ")</f>
        <v>KCC</v>
      </c>
      <c r="Q63" s="100">
        <f>IFERROR(VLOOKUP(Tablo515[[#This Row],[ÜRÜN KODU]],YMKODLARI!$A$1:$K$363,5,0)," ")</f>
        <v>21.9</v>
      </c>
      <c r="R63" s="100">
        <f>IFERROR(VLOOKUP(Tablo515[[#This Row],[ÜRÜN KODU]],YMKODLARI!$A$1:$K$363,6,0)," ")</f>
        <v>16.100000000000001</v>
      </c>
      <c r="S63" s="100">
        <f>IFERROR(Tablo515[[#This Row],[YOLLUK HARİÇ BASKI GRAMI]]/Tablo515[[#This Row],[KALIP GÖZ ADEDİ]]," ")</f>
        <v>2.0125000000000002</v>
      </c>
      <c r="T63" s="100">
        <f t="shared" si="2"/>
        <v>5.7999999999999972</v>
      </c>
      <c r="U63" s="100">
        <v>8</v>
      </c>
      <c r="V63" s="100">
        <f t="shared" si="1"/>
        <v>28.6402</v>
      </c>
      <c r="W63" s="101">
        <f t="shared" si="3"/>
        <v>23.5</v>
      </c>
      <c r="X63" s="102">
        <f t="shared" si="4"/>
        <v>12</v>
      </c>
      <c r="Y63" s="100">
        <f t="shared" si="5"/>
        <v>10.683333333333334</v>
      </c>
      <c r="Z63" s="100">
        <f t="shared" si="6"/>
        <v>10256</v>
      </c>
    </row>
    <row r="64" spans="1:26">
      <c r="A64" s="100" t="s">
        <v>42</v>
      </c>
      <c r="B64" s="108" t="str">
        <f>IFERROR(VLOOKUP(Tablo515[[#This Row],[ÜRÜN KODU]],YMKODLARI!$A$1:$K$363,2,0)," ")</f>
        <v>DAMAK EMZİK UCU 2 NO</v>
      </c>
      <c r="C64" s="99">
        <v>43917</v>
      </c>
      <c r="D64" s="100" t="s">
        <v>45</v>
      </c>
      <c r="E64" s="101">
        <v>0.33333333333333331</v>
      </c>
      <c r="F64" s="101">
        <v>0.83333333333333337</v>
      </c>
      <c r="G64" s="100">
        <f>IFERROR(VLOOKUP(Tablo515[[#This Row],[ÜRÜN KODU]],YMKODLARI!$A$1:$K$363,3,0)," ")</f>
        <v>8</v>
      </c>
      <c r="H64" s="100">
        <f>IFERROR(VLOOKUP(Tablo515[[#This Row],[ÜRÜN KODU]],YMKODLARI!$A$1:$K$363,4,0)," ")</f>
        <v>30</v>
      </c>
      <c r="I64" s="100">
        <v>1163</v>
      </c>
      <c r="J64" s="100" t="str">
        <f>IFERROR(VLOOKUP(Tablo515[[#This Row],[ÜRÜN KODU]],YMKODLARI!$A$1:$K$363,9,0)," ")</f>
        <v>Şeffaf</v>
      </c>
      <c r="K64" s="100" t="str">
        <f>IFERROR(VLOOKUP(Tablo515[[#This Row],[BOYA KODU]],Tablo14[#All],4,0)," ")</f>
        <v xml:space="preserve"> </v>
      </c>
      <c r="L64" s="100" t="str">
        <f>IFERROR(VLOOKUP(Tablo515[[#This Row],[BOYA KODU]],Tablo14[#All],6,0)," ")</f>
        <v xml:space="preserve"> </v>
      </c>
      <c r="M64" s="100" t="str">
        <f t="shared" si="0"/>
        <v xml:space="preserve"> </v>
      </c>
      <c r="N64" s="100" t="s">
        <v>38</v>
      </c>
      <c r="O64" s="100" t="str">
        <f>IFERROR(VLOOKUP(Tablo515[[#This Row],[HAMMADDE KODU]],Tablo1[#All],3,0)," ")</f>
        <v>LSR 50</v>
      </c>
      <c r="P64" s="100" t="str">
        <f>IFERROR(VLOOKUP(Tablo515[[#This Row],[HAMMADDE KODU]],Tablo1[#All],4,0)," ")</f>
        <v>KCC</v>
      </c>
      <c r="Q64" s="100">
        <f>IFERROR(VLOOKUP(Tablo515[[#This Row],[ÜRÜN KODU]],YMKODLARI!$A$1:$K$363,5,0)," ")</f>
        <v>21.9</v>
      </c>
      <c r="R64" s="100">
        <f>IFERROR(VLOOKUP(Tablo515[[#This Row],[ÜRÜN KODU]],YMKODLARI!$A$1:$K$363,6,0)," ")</f>
        <v>16.100000000000001</v>
      </c>
      <c r="S64" s="100">
        <f>IFERROR(Tablo515[[#This Row],[YOLLUK HARİÇ BASKI GRAMI]]/Tablo515[[#This Row],[KALIP GÖZ ADEDİ]]," ")</f>
        <v>2.0125000000000002</v>
      </c>
      <c r="T64" s="100">
        <f t="shared" si="2"/>
        <v>5.7999999999999972</v>
      </c>
      <c r="U64" s="100">
        <v>7.3</v>
      </c>
      <c r="V64" s="100">
        <f t="shared" si="1"/>
        <v>26.024300000000004</v>
      </c>
      <c r="W64" s="101">
        <f t="shared" si="3"/>
        <v>24.5</v>
      </c>
      <c r="X64" s="102">
        <f t="shared" si="4"/>
        <v>12</v>
      </c>
      <c r="Y64" s="100">
        <f t="shared" si="5"/>
        <v>9.6916666666666664</v>
      </c>
      <c r="Z64" s="100">
        <f t="shared" si="6"/>
        <v>9304</v>
      </c>
    </row>
    <row r="65" spans="1:26">
      <c r="A65" s="100" t="s">
        <v>42</v>
      </c>
      <c r="B65" s="108" t="str">
        <f>IFERROR(VLOOKUP(Tablo515[[#This Row],[ÜRÜN KODU]],YMKODLARI!$A$1:$K$363,2,0)," ")</f>
        <v>DAMAK EMZİK UCU 2 NO</v>
      </c>
      <c r="C65" s="99">
        <v>43917</v>
      </c>
      <c r="D65" s="100" t="s">
        <v>37</v>
      </c>
      <c r="E65" s="101">
        <v>0.83333333333333337</v>
      </c>
      <c r="F65" s="101">
        <v>0.25</v>
      </c>
      <c r="G65" s="100">
        <f>IFERROR(VLOOKUP(Tablo515[[#This Row],[ÜRÜN KODU]],YMKODLARI!$A$1:$K$363,3,0)," ")</f>
        <v>8</v>
      </c>
      <c r="H65" s="100">
        <f>IFERROR(VLOOKUP(Tablo515[[#This Row],[ÜRÜN KODU]],YMKODLARI!$A$1:$K$363,4,0)," ")</f>
        <v>30</v>
      </c>
      <c r="I65" s="100">
        <v>859</v>
      </c>
      <c r="J65" s="100" t="str">
        <f>IFERROR(VLOOKUP(Tablo515[[#This Row],[ÜRÜN KODU]],YMKODLARI!$A$1:$K$363,9,0)," ")</f>
        <v>Şeffaf</v>
      </c>
      <c r="K65" s="100" t="str">
        <f>IFERROR(VLOOKUP(Tablo515[[#This Row],[BOYA KODU]],Tablo14[#All],4,0)," ")</f>
        <v xml:space="preserve"> </v>
      </c>
      <c r="L65" s="100" t="str">
        <f>IFERROR(VLOOKUP(Tablo515[[#This Row],[BOYA KODU]],Tablo14[#All],6,0)," ")</f>
        <v xml:space="preserve"> </v>
      </c>
      <c r="M65" s="100" t="str">
        <f t="shared" si="0"/>
        <v xml:space="preserve"> </v>
      </c>
      <c r="N65" s="100" t="s">
        <v>38</v>
      </c>
      <c r="O65" s="100" t="str">
        <f>IFERROR(VLOOKUP(Tablo515[[#This Row],[HAMMADDE KODU]],Tablo1[#All],3,0)," ")</f>
        <v>LSR 50</v>
      </c>
      <c r="P65" s="100" t="str">
        <f>IFERROR(VLOOKUP(Tablo515[[#This Row],[HAMMADDE KODU]],Tablo1[#All],4,0)," ")</f>
        <v>KCC</v>
      </c>
      <c r="Q65" s="100">
        <f>IFERROR(VLOOKUP(Tablo515[[#This Row],[ÜRÜN KODU]],YMKODLARI!$A$1:$K$363,5,0)," ")</f>
        <v>21.9</v>
      </c>
      <c r="R65" s="100">
        <f>IFERROR(VLOOKUP(Tablo515[[#This Row],[ÜRÜN KODU]],YMKODLARI!$A$1:$K$363,6,0)," ")</f>
        <v>16.100000000000001</v>
      </c>
      <c r="S65" s="100">
        <f>IFERROR(Tablo515[[#This Row],[YOLLUK HARİÇ BASKI GRAMI]]/Tablo515[[#This Row],[KALIP GÖZ ADEDİ]]," ")</f>
        <v>2.0125000000000002</v>
      </c>
      <c r="T65" s="100">
        <f t="shared" si="2"/>
        <v>5.7999999999999972</v>
      </c>
      <c r="U65" s="100">
        <v>5.2</v>
      </c>
      <c r="V65" s="100">
        <f t="shared" si="1"/>
        <v>19.029900000000001</v>
      </c>
      <c r="W65" s="101">
        <f t="shared" si="3"/>
        <v>23.416666666666668</v>
      </c>
      <c r="X65" s="102">
        <f t="shared" si="4"/>
        <v>10.000000000000028</v>
      </c>
      <c r="Y65" s="100">
        <f t="shared" si="5"/>
        <v>7.1583333333333332</v>
      </c>
      <c r="Z65" s="100">
        <f t="shared" si="6"/>
        <v>6872</v>
      </c>
    </row>
    <row r="66" spans="1:26">
      <c r="A66" s="100" t="s">
        <v>42</v>
      </c>
      <c r="B66" s="108" t="str">
        <f>IFERROR(VLOOKUP(Tablo515[[#This Row],[ÜRÜN KODU]],YMKODLARI!$A$1:$K$363,2,0)," ")</f>
        <v>DAMAK EMZİK UCU 2 NO</v>
      </c>
      <c r="C66" s="99">
        <v>43920</v>
      </c>
      <c r="D66" s="100" t="s">
        <v>45</v>
      </c>
      <c r="E66" s="101">
        <v>0.33333333333333331</v>
      </c>
      <c r="F66" s="101">
        <v>0.83333333333333337</v>
      </c>
      <c r="G66" s="100">
        <f>IFERROR(VLOOKUP(Tablo515[[#This Row],[ÜRÜN KODU]],YMKODLARI!$A$1:$K$363,3,0)," ")</f>
        <v>8</v>
      </c>
      <c r="H66" s="100">
        <f>IFERROR(VLOOKUP(Tablo515[[#This Row],[ÜRÜN KODU]],YMKODLARI!$A$1:$K$363,4,0)," ")</f>
        <v>30</v>
      </c>
      <c r="I66" s="100">
        <v>1171</v>
      </c>
      <c r="J66" s="100" t="str">
        <f>IFERROR(VLOOKUP(Tablo515[[#This Row],[ÜRÜN KODU]],YMKODLARI!$A$1:$K$363,9,0)," ")</f>
        <v>Şeffaf</v>
      </c>
      <c r="K66" s="100" t="str">
        <f>IFERROR(VLOOKUP(Tablo515[[#This Row],[BOYA KODU]],Tablo14[#All],4,0)," ")</f>
        <v xml:space="preserve"> </v>
      </c>
      <c r="L66" s="100" t="str">
        <f>IFERROR(VLOOKUP(Tablo515[[#This Row],[BOYA KODU]],Tablo14[#All],6,0)," ")</f>
        <v xml:space="preserve"> </v>
      </c>
      <c r="M66" s="100" t="str">
        <f t="shared" ref="M66:M129" si="7">IFERROR((I66*Q66)*L66," ")</f>
        <v xml:space="preserve"> </v>
      </c>
      <c r="N66" s="100" t="s">
        <v>38</v>
      </c>
      <c r="O66" s="100" t="str">
        <f>IFERROR(VLOOKUP(Tablo515[[#This Row],[HAMMADDE KODU]],Tablo1[#All],3,0)," ")</f>
        <v>LSR 50</v>
      </c>
      <c r="P66" s="100" t="str">
        <f>IFERROR(VLOOKUP(Tablo515[[#This Row],[HAMMADDE KODU]],Tablo1[#All],4,0)," ")</f>
        <v>KCC</v>
      </c>
      <c r="Q66" s="100">
        <f>IFERROR(VLOOKUP(Tablo515[[#This Row],[ÜRÜN KODU]],YMKODLARI!$A$1:$K$363,5,0)," ")</f>
        <v>21.9</v>
      </c>
      <c r="R66" s="100">
        <f>IFERROR(VLOOKUP(Tablo515[[#This Row],[ÜRÜN KODU]],YMKODLARI!$A$1:$K$363,6,0)," ")</f>
        <v>16.100000000000001</v>
      </c>
      <c r="S66" s="100">
        <f>IFERROR(Tablo515[[#This Row],[YOLLUK HARİÇ BASKI GRAMI]]/Tablo515[[#This Row],[KALIP GÖZ ADEDİ]]," ")</f>
        <v>2.0125000000000002</v>
      </c>
      <c r="T66" s="100">
        <f t="shared" si="2"/>
        <v>5.7999999999999972</v>
      </c>
      <c r="U66" s="100">
        <v>7.5</v>
      </c>
      <c r="V66" s="100">
        <f t="shared" ref="V66:V129" si="8">IFERROR(U66+(R66*I66) /1000," ")</f>
        <v>26.353100000000001</v>
      </c>
      <c r="W66" s="101">
        <f t="shared" si="3"/>
        <v>24.5</v>
      </c>
      <c r="X66" s="102">
        <f t="shared" si="4"/>
        <v>12</v>
      </c>
      <c r="Y66" s="100">
        <f t="shared" si="5"/>
        <v>9.7583333333333329</v>
      </c>
      <c r="Z66" s="100">
        <f t="shared" si="6"/>
        <v>9368</v>
      </c>
    </row>
    <row r="67" spans="1:26">
      <c r="A67" s="100" t="s">
        <v>42</v>
      </c>
      <c r="B67" s="108" t="str">
        <f>IFERROR(VLOOKUP(Tablo515[[#This Row],[ÜRÜN KODU]],YMKODLARI!$A$1:$K$363,2,0)," ")</f>
        <v>DAMAK EMZİK UCU 2 NO</v>
      </c>
      <c r="C67" s="99">
        <v>43921</v>
      </c>
      <c r="D67" s="100" t="s">
        <v>45</v>
      </c>
      <c r="E67" s="101">
        <v>0.375</v>
      </c>
      <c r="F67" s="101">
        <v>0.79166666666666663</v>
      </c>
      <c r="G67" s="100">
        <f>IFERROR(VLOOKUP(Tablo515[[#This Row],[ÜRÜN KODU]],YMKODLARI!$A$1:$K$363,3,0)," ")</f>
        <v>8</v>
      </c>
      <c r="H67" s="100">
        <f>IFERROR(VLOOKUP(Tablo515[[#This Row],[ÜRÜN KODU]],YMKODLARI!$A$1:$K$363,4,0)," ")</f>
        <v>30</v>
      </c>
      <c r="I67" s="100">
        <v>940</v>
      </c>
      <c r="J67" s="100" t="str">
        <f>IFERROR(VLOOKUP(Tablo515[[#This Row],[ÜRÜN KODU]],YMKODLARI!$A$1:$K$363,9,0)," ")</f>
        <v>Şeffaf</v>
      </c>
      <c r="K67" s="100" t="str">
        <f>IFERROR(VLOOKUP(Tablo515[[#This Row],[BOYA KODU]],Tablo14[#All],4,0)," ")</f>
        <v xml:space="preserve"> </v>
      </c>
      <c r="L67" s="100" t="str">
        <f>IFERROR(VLOOKUP(Tablo515[[#This Row],[BOYA KODU]],Tablo14[#All],6,0)," ")</f>
        <v xml:space="preserve"> </v>
      </c>
      <c r="M67" s="100" t="str">
        <f t="shared" si="7"/>
        <v xml:space="preserve"> </v>
      </c>
      <c r="N67" s="100" t="s">
        <v>38</v>
      </c>
      <c r="O67" s="100" t="str">
        <f>IFERROR(VLOOKUP(Tablo515[[#This Row],[HAMMADDE KODU]],Tablo1[#All],3,0)," ")</f>
        <v>LSR 50</v>
      </c>
      <c r="P67" s="100" t="str">
        <f>IFERROR(VLOOKUP(Tablo515[[#This Row],[HAMMADDE KODU]],Tablo1[#All],4,0)," ")</f>
        <v>KCC</v>
      </c>
      <c r="Q67" s="100">
        <f>IFERROR(VLOOKUP(Tablo515[[#This Row],[ÜRÜN KODU]],YMKODLARI!$A$1:$K$363,5,0)," ")</f>
        <v>21.9</v>
      </c>
      <c r="R67" s="100">
        <f>IFERROR(VLOOKUP(Tablo515[[#This Row],[ÜRÜN KODU]],YMKODLARI!$A$1:$K$363,6,0)," ")</f>
        <v>16.100000000000001</v>
      </c>
      <c r="S67" s="100">
        <f>IFERROR(Tablo515[[#This Row],[YOLLUK HARİÇ BASKI GRAMI]]/Tablo515[[#This Row],[KALIP GÖZ ADEDİ]]," ")</f>
        <v>2.0125000000000002</v>
      </c>
      <c r="T67" s="100">
        <f t="shared" ref="T67:T130" si="9">IFERROR(Q67-R67," ")</f>
        <v>5.7999999999999972</v>
      </c>
      <c r="U67" s="100">
        <v>5.4</v>
      </c>
      <c r="V67" s="100">
        <f t="shared" si="8"/>
        <v>20.534000000000002</v>
      </c>
      <c r="W67" s="101">
        <f t="shared" ref="W67:W130" si="10">IFERROR(24-(E67-F67)," ")</f>
        <v>24.416666666666668</v>
      </c>
      <c r="X67" s="102">
        <f t="shared" ref="X67:X130" si="11">IFERROR((W67-INT(W67))*24," ")</f>
        <v>10.000000000000028</v>
      </c>
      <c r="Y67" s="100">
        <f t="shared" ref="Y67:Y130" si="12">IFERROR(H67*I67/3600," ")</f>
        <v>7.833333333333333</v>
      </c>
      <c r="Z67" s="100">
        <f t="shared" ref="Z67:Z130" si="13">IFERROR(I67*G67," " )</f>
        <v>7520</v>
      </c>
    </row>
    <row r="68" spans="1:26">
      <c r="A68" s="100" t="s">
        <v>42</v>
      </c>
      <c r="B68" s="108" t="str">
        <f>IFERROR(VLOOKUP(Tablo515[[#This Row],[ÜRÜN KODU]],YMKODLARI!$A$1:$K$363,2,0)," ")</f>
        <v>DAMAK EMZİK UCU 2 NO</v>
      </c>
      <c r="C68" s="99">
        <v>43922</v>
      </c>
      <c r="D68" s="100" t="s">
        <v>45</v>
      </c>
      <c r="E68" s="101">
        <v>0.375</v>
      </c>
      <c r="F68" s="101">
        <v>0.79166666666666663</v>
      </c>
      <c r="G68" s="100">
        <f>IFERROR(VLOOKUP(Tablo515[[#This Row],[ÜRÜN KODU]],YMKODLARI!$A$1:$K$363,3,0)," ")</f>
        <v>8</v>
      </c>
      <c r="H68" s="100">
        <f>IFERROR(VLOOKUP(Tablo515[[#This Row],[ÜRÜN KODU]],YMKODLARI!$A$1:$K$363,4,0)," ")</f>
        <v>30</v>
      </c>
      <c r="I68" s="100">
        <v>945</v>
      </c>
      <c r="J68" s="100" t="str">
        <f>IFERROR(VLOOKUP(Tablo515[[#This Row],[ÜRÜN KODU]],YMKODLARI!$A$1:$K$363,9,0)," ")</f>
        <v>Şeffaf</v>
      </c>
      <c r="K68" s="100" t="str">
        <f>IFERROR(VLOOKUP(Tablo515[[#This Row],[BOYA KODU]],Tablo14[#All],4,0)," ")</f>
        <v xml:space="preserve"> </v>
      </c>
      <c r="L68" s="100" t="str">
        <f>IFERROR(VLOOKUP(Tablo515[[#This Row],[BOYA KODU]],Tablo14[#All],6,0)," ")</f>
        <v xml:space="preserve"> </v>
      </c>
      <c r="M68" s="100" t="str">
        <f t="shared" si="7"/>
        <v xml:space="preserve"> </v>
      </c>
      <c r="N68" s="100" t="s">
        <v>38</v>
      </c>
      <c r="O68" s="100" t="str">
        <f>IFERROR(VLOOKUP(Tablo515[[#This Row],[HAMMADDE KODU]],Tablo1[#All],3,0)," ")</f>
        <v>LSR 50</v>
      </c>
      <c r="P68" s="100" t="str">
        <f>IFERROR(VLOOKUP(Tablo515[[#This Row],[HAMMADDE KODU]],Tablo1[#All],4,0)," ")</f>
        <v>KCC</v>
      </c>
      <c r="Q68" s="100">
        <f>IFERROR(VLOOKUP(Tablo515[[#This Row],[ÜRÜN KODU]],YMKODLARI!$A$1:$K$363,5,0)," ")</f>
        <v>21.9</v>
      </c>
      <c r="R68" s="100">
        <f>IFERROR(VLOOKUP(Tablo515[[#This Row],[ÜRÜN KODU]],YMKODLARI!$A$1:$K$363,6,0)," ")</f>
        <v>16.100000000000001</v>
      </c>
      <c r="S68" s="100">
        <f>IFERROR(Tablo515[[#This Row],[YOLLUK HARİÇ BASKI GRAMI]]/Tablo515[[#This Row],[KALIP GÖZ ADEDİ]]," ")</f>
        <v>2.0125000000000002</v>
      </c>
      <c r="T68" s="100">
        <f t="shared" si="9"/>
        <v>5.7999999999999972</v>
      </c>
      <c r="U68" s="100">
        <v>6.4</v>
      </c>
      <c r="V68" s="100">
        <f t="shared" si="8"/>
        <v>21.6145</v>
      </c>
      <c r="W68" s="101">
        <f t="shared" si="10"/>
        <v>24.416666666666668</v>
      </c>
      <c r="X68" s="102">
        <f t="shared" si="11"/>
        <v>10.000000000000028</v>
      </c>
      <c r="Y68" s="100">
        <f t="shared" si="12"/>
        <v>7.875</v>
      </c>
      <c r="Z68" s="100">
        <f t="shared" si="13"/>
        <v>7560</v>
      </c>
    </row>
    <row r="69" spans="1:26">
      <c r="A69" s="100" t="s">
        <v>42</v>
      </c>
      <c r="B69" s="108" t="str">
        <f>IFERROR(VLOOKUP(Tablo515[[#This Row],[ÜRÜN KODU]],YMKODLARI!$A$1:$K$363,2,0)," ")</f>
        <v>DAMAK EMZİK UCU 2 NO</v>
      </c>
      <c r="C69" s="99">
        <v>43923</v>
      </c>
      <c r="D69" s="100" t="s">
        <v>45</v>
      </c>
      <c r="E69" s="101">
        <v>0.375</v>
      </c>
      <c r="F69" s="101">
        <v>0.79166666666666663</v>
      </c>
      <c r="G69" s="100">
        <f>IFERROR(VLOOKUP(Tablo515[[#This Row],[ÜRÜN KODU]],YMKODLARI!$A$1:$K$363,3,0)," ")</f>
        <v>8</v>
      </c>
      <c r="H69" s="100">
        <f>IFERROR(VLOOKUP(Tablo515[[#This Row],[ÜRÜN KODU]],YMKODLARI!$A$1:$K$363,4,0)," ")</f>
        <v>30</v>
      </c>
      <c r="I69" s="100">
        <v>915</v>
      </c>
      <c r="J69" s="100" t="str">
        <f>IFERROR(VLOOKUP(Tablo515[[#This Row],[ÜRÜN KODU]],YMKODLARI!$A$1:$K$363,9,0)," ")</f>
        <v>Şeffaf</v>
      </c>
      <c r="K69" s="100" t="str">
        <f>IFERROR(VLOOKUP(Tablo515[[#This Row],[BOYA KODU]],Tablo14[#All],4,0)," ")</f>
        <v xml:space="preserve"> </v>
      </c>
      <c r="L69" s="100" t="str">
        <f>IFERROR(VLOOKUP(Tablo515[[#This Row],[BOYA KODU]],Tablo14[#All],6,0)," ")</f>
        <v xml:space="preserve"> </v>
      </c>
      <c r="M69" s="100" t="str">
        <f t="shared" si="7"/>
        <v xml:space="preserve"> </v>
      </c>
      <c r="N69" s="100" t="s">
        <v>38</v>
      </c>
      <c r="O69" s="100" t="str">
        <f>IFERROR(VLOOKUP(Tablo515[[#This Row],[HAMMADDE KODU]],Tablo1[#All],3,0)," ")</f>
        <v>LSR 50</v>
      </c>
      <c r="P69" s="100" t="str">
        <f>IFERROR(VLOOKUP(Tablo515[[#This Row],[HAMMADDE KODU]],Tablo1[#All],4,0)," ")</f>
        <v>KCC</v>
      </c>
      <c r="Q69" s="100">
        <f>IFERROR(VLOOKUP(Tablo515[[#This Row],[ÜRÜN KODU]],YMKODLARI!$A$1:$K$363,5,0)," ")</f>
        <v>21.9</v>
      </c>
      <c r="R69" s="100">
        <f>IFERROR(VLOOKUP(Tablo515[[#This Row],[ÜRÜN KODU]],YMKODLARI!$A$1:$K$363,6,0)," ")</f>
        <v>16.100000000000001</v>
      </c>
      <c r="S69" s="100">
        <f>IFERROR(Tablo515[[#This Row],[YOLLUK HARİÇ BASKI GRAMI]]/Tablo515[[#This Row],[KALIP GÖZ ADEDİ]]," ")</f>
        <v>2.0125000000000002</v>
      </c>
      <c r="T69" s="100">
        <f t="shared" si="9"/>
        <v>5.7999999999999972</v>
      </c>
      <c r="U69" s="100">
        <v>6.3</v>
      </c>
      <c r="V69" s="100">
        <f t="shared" si="8"/>
        <v>21.031500000000001</v>
      </c>
      <c r="W69" s="101">
        <f t="shared" si="10"/>
        <v>24.416666666666668</v>
      </c>
      <c r="X69" s="102">
        <f t="shared" si="11"/>
        <v>10.000000000000028</v>
      </c>
      <c r="Y69" s="100">
        <f t="shared" si="12"/>
        <v>7.625</v>
      </c>
      <c r="Z69" s="100">
        <f t="shared" si="13"/>
        <v>7320</v>
      </c>
    </row>
    <row r="70" spans="1:26">
      <c r="A70" s="100" t="s">
        <v>42</v>
      </c>
      <c r="B70" s="108" t="str">
        <f>IFERROR(VLOOKUP(Tablo515[[#This Row],[ÜRÜN KODU]],YMKODLARI!$A$1:$K$363,2,0)," ")</f>
        <v>DAMAK EMZİK UCU 2 NO</v>
      </c>
      <c r="C70" s="99">
        <v>43924</v>
      </c>
      <c r="D70" s="100" t="s">
        <v>45</v>
      </c>
      <c r="E70" s="101">
        <v>0.375</v>
      </c>
      <c r="F70" s="101">
        <v>0.79166666666666663</v>
      </c>
      <c r="G70" s="100">
        <f>IFERROR(VLOOKUP(Tablo515[[#This Row],[ÜRÜN KODU]],YMKODLARI!$A$1:$K$363,3,0)," ")</f>
        <v>8</v>
      </c>
      <c r="H70" s="100">
        <f>IFERROR(VLOOKUP(Tablo515[[#This Row],[ÜRÜN KODU]],YMKODLARI!$A$1:$K$363,4,0)," ")</f>
        <v>30</v>
      </c>
      <c r="I70" s="100">
        <v>919</v>
      </c>
      <c r="J70" s="100" t="str">
        <f>IFERROR(VLOOKUP(Tablo515[[#This Row],[ÜRÜN KODU]],YMKODLARI!$A$1:$K$363,9,0)," ")</f>
        <v>Şeffaf</v>
      </c>
      <c r="K70" s="100" t="str">
        <f>IFERROR(VLOOKUP(Tablo515[[#This Row],[BOYA KODU]],Tablo14[#All],4,0)," ")</f>
        <v xml:space="preserve"> </v>
      </c>
      <c r="L70" s="100" t="str">
        <f>IFERROR(VLOOKUP(Tablo515[[#This Row],[BOYA KODU]],Tablo14[#All],6,0)," ")</f>
        <v xml:space="preserve"> </v>
      </c>
      <c r="M70" s="100" t="str">
        <f t="shared" si="7"/>
        <v xml:space="preserve"> </v>
      </c>
      <c r="N70" s="100" t="s">
        <v>38</v>
      </c>
      <c r="O70" s="100" t="str">
        <f>IFERROR(VLOOKUP(Tablo515[[#This Row],[HAMMADDE KODU]],Tablo1[#All],3,0)," ")</f>
        <v>LSR 50</v>
      </c>
      <c r="P70" s="100" t="str">
        <f>IFERROR(VLOOKUP(Tablo515[[#This Row],[HAMMADDE KODU]],Tablo1[#All],4,0)," ")</f>
        <v>KCC</v>
      </c>
      <c r="Q70" s="100">
        <f>IFERROR(VLOOKUP(Tablo515[[#This Row],[ÜRÜN KODU]],YMKODLARI!$A$1:$K$363,5,0)," ")</f>
        <v>21.9</v>
      </c>
      <c r="R70" s="100">
        <f>IFERROR(VLOOKUP(Tablo515[[#This Row],[ÜRÜN KODU]],YMKODLARI!$A$1:$K$363,6,0)," ")</f>
        <v>16.100000000000001</v>
      </c>
      <c r="S70" s="100">
        <f>IFERROR(Tablo515[[#This Row],[YOLLUK HARİÇ BASKI GRAMI]]/Tablo515[[#This Row],[KALIP GÖZ ADEDİ]]," ")</f>
        <v>2.0125000000000002</v>
      </c>
      <c r="T70" s="100">
        <f t="shared" si="9"/>
        <v>5.7999999999999972</v>
      </c>
      <c r="U70" s="100">
        <v>6</v>
      </c>
      <c r="V70" s="100">
        <f t="shared" si="8"/>
        <v>20.795900000000003</v>
      </c>
      <c r="W70" s="101">
        <f t="shared" si="10"/>
        <v>24.416666666666668</v>
      </c>
      <c r="X70" s="102">
        <f t="shared" si="11"/>
        <v>10.000000000000028</v>
      </c>
      <c r="Y70" s="100">
        <f t="shared" si="12"/>
        <v>7.6583333333333332</v>
      </c>
      <c r="Z70" s="100">
        <f t="shared" si="13"/>
        <v>7352</v>
      </c>
    </row>
    <row r="71" spans="1:26">
      <c r="A71" s="100" t="s">
        <v>42</v>
      </c>
      <c r="B71" s="108" t="str">
        <f>IFERROR(VLOOKUP(Tablo515[[#This Row],[ÜRÜN KODU]],YMKODLARI!$A$1:$K$363,2,0)," ")</f>
        <v>DAMAK EMZİK UCU 2 NO</v>
      </c>
      <c r="C71" s="99">
        <v>43927</v>
      </c>
      <c r="D71" s="100" t="s">
        <v>45</v>
      </c>
      <c r="E71" s="101">
        <v>0.33333333333333331</v>
      </c>
      <c r="F71" s="101">
        <v>0.40277777777777773</v>
      </c>
      <c r="G71" s="100">
        <f>IFERROR(VLOOKUP(Tablo515[[#This Row],[ÜRÜN KODU]],YMKODLARI!$A$1:$K$363,3,0)," ")</f>
        <v>8</v>
      </c>
      <c r="H71" s="100">
        <f>IFERROR(VLOOKUP(Tablo515[[#This Row],[ÜRÜN KODU]],YMKODLARI!$A$1:$K$363,4,0)," ")</f>
        <v>30</v>
      </c>
      <c r="I71" s="100">
        <v>175</v>
      </c>
      <c r="J71" s="100" t="str">
        <f>IFERROR(VLOOKUP(Tablo515[[#This Row],[ÜRÜN KODU]],YMKODLARI!$A$1:$K$363,9,0)," ")</f>
        <v>Şeffaf</v>
      </c>
      <c r="K71" s="100" t="str">
        <f>IFERROR(VLOOKUP(Tablo515[[#This Row],[BOYA KODU]],Tablo14[#All],4,0)," ")</f>
        <v xml:space="preserve"> </v>
      </c>
      <c r="L71" s="100" t="str">
        <f>IFERROR(VLOOKUP(Tablo515[[#This Row],[BOYA KODU]],Tablo14[#All],6,0)," ")</f>
        <v xml:space="preserve"> </v>
      </c>
      <c r="M71" s="100" t="str">
        <f t="shared" si="7"/>
        <v xml:space="preserve"> </v>
      </c>
      <c r="N71" s="100" t="s">
        <v>38</v>
      </c>
      <c r="O71" s="100" t="str">
        <f>IFERROR(VLOOKUP(Tablo515[[#This Row],[HAMMADDE KODU]],Tablo1[#All],3,0)," ")</f>
        <v>LSR 50</v>
      </c>
      <c r="P71" s="100" t="str">
        <f>IFERROR(VLOOKUP(Tablo515[[#This Row],[HAMMADDE KODU]],Tablo1[#All],4,0)," ")</f>
        <v>KCC</v>
      </c>
      <c r="Q71" s="100">
        <f>IFERROR(VLOOKUP(Tablo515[[#This Row],[ÜRÜN KODU]],YMKODLARI!$A$1:$K$363,5,0)," ")</f>
        <v>21.9</v>
      </c>
      <c r="R71" s="100">
        <f>IFERROR(VLOOKUP(Tablo515[[#This Row],[ÜRÜN KODU]],YMKODLARI!$A$1:$K$363,6,0)," ")</f>
        <v>16.100000000000001</v>
      </c>
      <c r="S71" s="100">
        <f>IFERROR(Tablo515[[#This Row],[YOLLUK HARİÇ BASKI GRAMI]]/Tablo515[[#This Row],[KALIP GÖZ ADEDİ]]," ")</f>
        <v>2.0125000000000002</v>
      </c>
      <c r="T71" s="100">
        <f t="shared" si="9"/>
        <v>5.7999999999999972</v>
      </c>
      <c r="U71" s="100">
        <v>1.6</v>
      </c>
      <c r="V71" s="100">
        <f t="shared" si="8"/>
        <v>4.4175000000000004</v>
      </c>
      <c r="W71" s="101">
        <f t="shared" si="10"/>
        <v>24.069444444444443</v>
      </c>
      <c r="X71" s="102">
        <f t="shared" si="11"/>
        <v>1.6666666666666288</v>
      </c>
      <c r="Y71" s="100">
        <f t="shared" si="12"/>
        <v>1.4583333333333333</v>
      </c>
      <c r="Z71" s="100">
        <f t="shared" si="13"/>
        <v>1400</v>
      </c>
    </row>
    <row r="72" spans="1:26">
      <c r="A72" s="100" t="s">
        <v>26</v>
      </c>
      <c r="B72" s="108" t="str">
        <f>IFERROR(VLOOKUP(Tablo515[[#This Row],[ÜRÜN KODU]],YMKODLARI!$A$1:$K$363,2,0)," ")</f>
        <v>DAMAK EMZİK UCU 1 NO</v>
      </c>
      <c r="C72" s="99">
        <v>43927</v>
      </c>
      <c r="D72" s="100" t="s">
        <v>45</v>
      </c>
      <c r="E72" s="101">
        <v>0.60763888888888895</v>
      </c>
      <c r="F72" s="101">
        <v>0.83333333333333337</v>
      </c>
      <c r="G72" s="100">
        <f>IFERROR(VLOOKUP(Tablo515[[#This Row],[ÜRÜN KODU]],YMKODLARI!$A$1:$K$363,3,0)," ")</f>
        <v>8</v>
      </c>
      <c r="H72" s="100">
        <f>IFERROR(VLOOKUP(Tablo515[[#This Row],[ÜRÜN KODU]],YMKODLARI!$A$1:$K$363,4,0)," ")</f>
        <v>30</v>
      </c>
      <c r="I72" s="100">
        <v>600</v>
      </c>
      <c r="J72" s="100" t="str">
        <f>IFERROR(VLOOKUP(Tablo515[[#This Row],[ÜRÜN KODU]],YMKODLARI!$A$1:$K$363,9,0)," ")</f>
        <v>Şeffaf</v>
      </c>
      <c r="K72" s="100" t="str">
        <f>IFERROR(VLOOKUP(Tablo515[[#This Row],[BOYA KODU]],Tablo14[#All],4,0)," ")</f>
        <v xml:space="preserve"> </v>
      </c>
      <c r="L72" s="100" t="str">
        <f>IFERROR(VLOOKUP(Tablo515[[#This Row],[BOYA KODU]],Tablo14[#All],6,0)," ")</f>
        <v xml:space="preserve"> </v>
      </c>
      <c r="M72" s="100" t="str">
        <f t="shared" si="7"/>
        <v xml:space="preserve"> </v>
      </c>
      <c r="N72" s="100" t="s">
        <v>38</v>
      </c>
      <c r="O72" s="100" t="str">
        <f>IFERROR(VLOOKUP(Tablo515[[#This Row],[HAMMADDE KODU]],Tablo1[#All],3,0)," ")</f>
        <v>LSR 50</v>
      </c>
      <c r="P72" s="100" t="str">
        <f>IFERROR(VLOOKUP(Tablo515[[#This Row],[HAMMADDE KODU]],Tablo1[#All],4,0)," ")</f>
        <v>KCC</v>
      </c>
      <c r="Q72" s="100">
        <f>IFERROR(VLOOKUP(Tablo515[[#This Row],[ÜRÜN KODU]],YMKODLARI!$A$1:$K$363,5,0)," ")</f>
        <v>20.399999999999999</v>
      </c>
      <c r="R72" s="100">
        <f>IFERROR(VLOOKUP(Tablo515[[#This Row],[ÜRÜN KODU]],YMKODLARI!$A$1:$K$363,6,0)," ")</f>
        <v>14.2</v>
      </c>
      <c r="S72" s="100">
        <f>IFERROR(Tablo515[[#This Row],[YOLLUK HARİÇ BASKI GRAMI]]/Tablo515[[#This Row],[KALIP GÖZ ADEDİ]]," ")</f>
        <v>1.7749999999999999</v>
      </c>
      <c r="T72" s="100">
        <f t="shared" si="9"/>
        <v>6.1999999999999993</v>
      </c>
      <c r="U72" s="100">
        <v>3.8</v>
      </c>
      <c r="V72" s="100">
        <f t="shared" si="8"/>
        <v>12.32</v>
      </c>
      <c r="W72" s="101">
        <f t="shared" si="10"/>
        <v>24.225694444444443</v>
      </c>
      <c r="X72" s="102">
        <f t="shared" si="11"/>
        <v>5.4166666666666288</v>
      </c>
      <c r="Y72" s="100">
        <f t="shared" si="12"/>
        <v>5</v>
      </c>
      <c r="Z72" s="100">
        <f t="shared" si="13"/>
        <v>4800</v>
      </c>
    </row>
    <row r="73" spans="1:26">
      <c r="A73" s="100" t="s">
        <v>26</v>
      </c>
      <c r="B73" s="108" t="str">
        <f>IFERROR(VLOOKUP(Tablo515[[#This Row],[ÜRÜN KODU]],YMKODLARI!$A$1:$K$363,2,0)," ")</f>
        <v>DAMAK EMZİK UCU 1 NO</v>
      </c>
      <c r="C73" s="99">
        <v>43928</v>
      </c>
      <c r="D73" s="100" t="s">
        <v>45</v>
      </c>
      <c r="E73" s="101">
        <v>0.33333333333333331</v>
      </c>
      <c r="F73" s="101">
        <v>0.83333333333333337</v>
      </c>
      <c r="G73" s="100">
        <f>IFERROR(VLOOKUP(Tablo515[[#This Row],[ÜRÜN KODU]],YMKODLARI!$A$1:$K$363,3,0)," ")</f>
        <v>8</v>
      </c>
      <c r="H73" s="100">
        <f>IFERROR(VLOOKUP(Tablo515[[#This Row],[ÜRÜN KODU]],YMKODLARI!$A$1:$K$363,4,0)," ")</f>
        <v>30</v>
      </c>
      <c r="I73" s="100">
        <v>1156</v>
      </c>
      <c r="J73" s="100" t="str">
        <f>IFERROR(VLOOKUP(Tablo515[[#This Row],[ÜRÜN KODU]],YMKODLARI!$A$1:$K$363,9,0)," ")</f>
        <v>Şeffaf</v>
      </c>
      <c r="K73" s="100" t="str">
        <f>IFERROR(VLOOKUP(Tablo515[[#This Row],[BOYA KODU]],Tablo14[#All],4,0)," ")</f>
        <v xml:space="preserve"> </v>
      </c>
      <c r="L73" s="100" t="str">
        <f>IFERROR(VLOOKUP(Tablo515[[#This Row],[BOYA KODU]],Tablo14[#All],6,0)," ")</f>
        <v xml:space="preserve"> </v>
      </c>
      <c r="M73" s="100" t="str">
        <f t="shared" si="7"/>
        <v xml:space="preserve"> </v>
      </c>
      <c r="N73" s="100" t="s">
        <v>38</v>
      </c>
      <c r="O73" s="100" t="str">
        <f>IFERROR(VLOOKUP(Tablo515[[#This Row],[HAMMADDE KODU]],Tablo1[#All],3,0)," ")</f>
        <v>LSR 50</v>
      </c>
      <c r="P73" s="100" t="str">
        <f>IFERROR(VLOOKUP(Tablo515[[#This Row],[HAMMADDE KODU]],Tablo1[#All],4,0)," ")</f>
        <v>KCC</v>
      </c>
      <c r="Q73" s="100">
        <f>IFERROR(VLOOKUP(Tablo515[[#This Row],[ÜRÜN KODU]],YMKODLARI!$A$1:$K$363,5,0)," ")</f>
        <v>20.399999999999999</v>
      </c>
      <c r="R73" s="100">
        <f>IFERROR(VLOOKUP(Tablo515[[#This Row],[ÜRÜN KODU]],YMKODLARI!$A$1:$K$363,6,0)," ")</f>
        <v>14.2</v>
      </c>
      <c r="S73" s="100">
        <f>IFERROR(Tablo515[[#This Row],[YOLLUK HARİÇ BASKI GRAMI]]/Tablo515[[#This Row],[KALIP GÖZ ADEDİ]]," ")</f>
        <v>1.7749999999999999</v>
      </c>
      <c r="T73" s="100">
        <f t="shared" si="9"/>
        <v>6.1999999999999993</v>
      </c>
      <c r="U73" s="100">
        <v>7</v>
      </c>
      <c r="V73" s="100">
        <f t="shared" si="8"/>
        <v>23.415200000000002</v>
      </c>
      <c r="W73" s="101">
        <f t="shared" si="10"/>
        <v>24.5</v>
      </c>
      <c r="X73" s="102">
        <f t="shared" si="11"/>
        <v>12</v>
      </c>
      <c r="Y73" s="100">
        <f t="shared" si="12"/>
        <v>9.6333333333333329</v>
      </c>
      <c r="Z73" s="100">
        <f t="shared" si="13"/>
        <v>9248</v>
      </c>
    </row>
    <row r="74" spans="1:26">
      <c r="A74" s="100" t="s">
        <v>26</v>
      </c>
      <c r="B74" s="108" t="str">
        <f>IFERROR(VLOOKUP(Tablo515[[#This Row],[ÜRÜN KODU]],YMKODLARI!$A$1:$K$363,2,0)," ")</f>
        <v>DAMAK EMZİK UCU 1 NO</v>
      </c>
      <c r="C74" s="99">
        <v>43929</v>
      </c>
      <c r="D74" s="100" t="s">
        <v>45</v>
      </c>
      <c r="E74" s="101">
        <v>0.5</v>
      </c>
      <c r="F74" s="101">
        <v>0.83333333333333337</v>
      </c>
      <c r="G74" s="100">
        <f>IFERROR(VLOOKUP(Tablo515[[#This Row],[ÜRÜN KODU]],YMKODLARI!$A$1:$K$363,3,0)," ")</f>
        <v>8</v>
      </c>
      <c r="H74" s="100">
        <f>IFERROR(VLOOKUP(Tablo515[[#This Row],[ÜRÜN KODU]],YMKODLARI!$A$1:$K$363,4,0)," ")</f>
        <v>30</v>
      </c>
      <c r="I74" s="100">
        <v>797</v>
      </c>
      <c r="J74" s="100" t="str">
        <f>IFERROR(VLOOKUP(Tablo515[[#This Row],[ÜRÜN KODU]],YMKODLARI!$A$1:$K$363,9,0)," ")</f>
        <v>Şeffaf</v>
      </c>
      <c r="K74" s="100" t="str">
        <f>IFERROR(VLOOKUP(Tablo515[[#This Row],[BOYA KODU]],Tablo14[#All],4,0)," ")</f>
        <v xml:space="preserve"> </v>
      </c>
      <c r="L74" s="100" t="str">
        <f>IFERROR(VLOOKUP(Tablo515[[#This Row],[BOYA KODU]],Tablo14[#All],6,0)," ")</f>
        <v xml:space="preserve"> </v>
      </c>
      <c r="M74" s="100" t="str">
        <f t="shared" si="7"/>
        <v xml:space="preserve"> </v>
      </c>
      <c r="N74" s="100" t="s">
        <v>38</v>
      </c>
      <c r="O74" s="100" t="str">
        <f>IFERROR(VLOOKUP(Tablo515[[#This Row],[HAMMADDE KODU]],Tablo1[#All],3,0)," ")</f>
        <v>LSR 50</v>
      </c>
      <c r="P74" s="100" t="str">
        <f>IFERROR(VLOOKUP(Tablo515[[#This Row],[HAMMADDE KODU]],Tablo1[#All],4,0)," ")</f>
        <v>KCC</v>
      </c>
      <c r="Q74" s="100">
        <f>IFERROR(VLOOKUP(Tablo515[[#This Row],[ÜRÜN KODU]],YMKODLARI!$A$1:$K$363,5,0)," ")</f>
        <v>20.399999999999999</v>
      </c>
      <c r="R74" s="100">
        <f>IFERROR(VLOOKUP(Tablo515[[#This Row],[ÜRÜN KODU]],YMKODLARI!$A$1:$K$363,6,0)," ")</f>
        <v>14.2</v>
      </c>
      <c r="S74" s="100">
        <f>IFERROR(Tablo515[[#This Row],[YOLLUK HARİÇ BASKI GRAMI]]/Tablo515[[#This Row],[KALIP GÖZ ADEDİ]]," ")</f>
        <v>1.7749999999999999</v>
      </c>
      <c r="T74" s="100">
        <f t="shared" si="9"/>
        <v>6.1999999999999993</v>
      </c>
      <c r="U74" s="100">
        <v>6.3</v>
      </c>
      <c r="V74" s="100">
        <f t="shared" si="8"/>
        <v>17.6174</v>
      </c>
      <c r="W74" s="101">
        <f t="shared" si="10"/>
        <v>24.333333333333332</v>
      </c>
      <c r="X74" s="102">
        <f t="shared" si="11"/>
        <v>7.9999999999999716</v>
      </c>
      <c r="Y74" s="100">
        <f t="shared" si="12"/>
        <v>6.6416666666666666</v>
      </c>
      <c r="Z74" s="100">
        <f t="shared" si="13"/>
        <v>6376</v>
      </c>
    </row>
    <row r="75" spans="1:26">
      <c r="A75" s="100" t="s">
        <v>26</v>
      </c>
      <c r="B75" s="108" t="str">
        <f>IFERROR(VLOOKUP(Tablo515[[#This Row],[ÜRÜN KODU]],YMKODLARI!$A$1:$K$363,2,0)," ")</f>
        <v>DAMAK EMZİK UCU 1 NO</v>
      </c>
      <c r="C75" s="99">
        <v>43930</v>
      </c>
      <c r="D75" s="100" t="s">
        <v>45</v>
      </c>
      <c r="E75" s="101">
        <v>0.33333333333333331</v>
      </c>
      <c r="F75" s="101">
        <v>0.83333333333333337</v>
      </c>
      <c r="G75" s="100">
        <f>IFERROR(VLOOKUP(Tablo515[[#This Row],[ÜRÜN KODU]],YMKODLARI!$A$1:$K$363,3,0)," ")</f>
        <v>8</v>
      </c>
      <c r="H75" s="100">
        <f>IFERROR(VLOOKUP(Tablo515[[#This Row],[ÜRÜN KODU]],YMKODLARI!$A$1:$K$363,4,0)," ")</f>
        <v>30</v>
      </c>
      <c r="I75" s="100">
        <v>1088</v>
      </c>
      <c r="J75" s="100" t="str">
        <f>IFERROR(VLOOKUP(Tablo515[[#This Row],[ÜRÜN KODU]],YMKODLARI!$A$1:$K$363,9,0)," ")</f>
        <v>Şeffaf</v>
      </c>
      <c r="K75" s="100" t="str">
        <f>IFERROR(VLOOKUP(Tablo515[[#This Row],[BOYA KODU]],Tablo14[#All],4,0)," ")</f>
        <v xml:space="preserve"> </v>
      </c>
      <c r="L75" s="100" t="str">
        <f>IFERROR(VLOOKUP(Tablo515[[#This Row],[BOYA KODU]],Tablo14[#All],6,0)," ")</f>
        <v xml:space="preserve"> </v>
      </c>
      <c r="M75" s="100" t="str">
        <f t="shared" si="7"/>
        <v xml:space="preserve"> </v>
      </c>
      <c r="N75" s="100" t="s">
        <v>38</v>
      </c>
      <c r="O75" s="100" t="str">
        <f>IFERROR(VLOOKUP(Tablo515[[#This Row],[HAMMADDE KODU]],Tablo1[#All],3,0)," ")</f>
        <v>LSR 50</v>
      </c>
      <c r="P75" s="100" t="str">
        <f>IFERROR(VLOOKUP(Tablo515[[#This Row],[HAMMADDE KODU]],Tablo1[#All],4,0)," ")</f>
        <v>KCC</v>
      </c>
      <c r="Q75" s="100">
        <f>IFERROR(VLOOKUP(Tablo515[[#This Row],[ÜRÜN KODU]],YMKODLARI!$A$1:$K$363,5,0)," ")</f>
        <v>20.399999999999999</v>
      </c>
      <c r="R75" s="100">
        <f>IFERROR(VLOOKUP(Tablo515[[#This Row],[ÜRÜN KODU]],YMKODLARI!$A$1:$K$363,6,0)," ")</f>
        <v>14.2</v>
      </c>
      <c r="S75" s="100">
        <f>IFERROR(Tablo515[[#This Row],[YOLLUK HARİÇ BASKI GRAMI]]/Tablo515[[#This Row],[KALIP GÖZ ADEDİ]]," ")</f>
        <v>1.7749999999999999</v>
      </c>
      <c r="T75" s="100">
        <f t="shared" si="9"/>
        <v>6.1999999999999993</v>
      </c>
      <c r="U75" s="100">
        <v>6.6</v>
      </c>
      <c r="V75" s="100">
        <f t="shared" si="8"/>
        <v>22.049599999999998</v>
      </c>
      <c r="W75" s="101">
        <f t="shared" si="10"/>
        <v>24.5</v>
      </c>
      <c r="X75" s="102">
        <f t="shared" si="11"/>
        <v>12</v>
      </c>
      <c r="Y75" s="100">
        <f t="shared" si="12"/>
        <v>9.0666666666666664</v>
      </c>
      <c r="Z75" s="100">
        <f t="shared" si="13"/>
        <v>8704</v>
      </c>
    </row>
    <row r="76" spans="1:26">
      <c r="A76" s="100" t="s">
        <v>26</v>
      </c>
      <c r="B76" s="108" t="str">
        <f>IFERROR(VLOOKUP(Tablo515[[#This Row],[ÜRÜN KODU]],YMKODLARI!$A$1:$K$363,2,0)," ")</f>
        <v>DAMAK EMZİK UCU 1 NO</v>
      </c>
      <c r="C76" s="99">
        <v>43931</v>
      </c>
      <c r="D76" s="100" t="s">
        <v>45</v>
      </c>
      <c r="E76" s="101">
        <v>0.33333333333333331</v>
      </c>
      <c r="F76" s="101">
        <v>0.83333333333333337</v>
      </c>
      <c r="G76" s="100">
        <f>IFERROR(VLOOKUP(Tablo515[[#This Row],[ÜRÜN KODU]],YMKODLARI!$A$1:$K$363,3,0)," ")</f>
        <v>8</v>
      </c>
      <c r="H76" s="100">
        <f>IFERROR(VLOOKUP(Tablo515[[#This Row],[ÜRÜN KODU]],YMKODLARI!$A$1:$K$363,4,0)," ")</f>
        <v>30</v>
      </c>
      <c r="I76" s="100">
        <v>1258</v>
      </c>
      <c r="J76" s="100" t="str">
        <f>IFERROR(VLOOKUP(Tablo515[[#This Row],[ÜRÜN KODU]],YMKODLARI!$A$1:$K$363,9,0)," ")</f>
        <v>Şeffaf</v>
      </c>
      <c r="K76" s="100" t="str">
        <f>IFERROR(VLOOKUP(Tablo515[[#This Row],[BOYA KODU]],Tablo14[#All],4,0)," ")</f>
        <v xml:space="preserve"> </v>
      </c>
      <c r="L76" s="100" t="str">
        <f>IFERROR(VLOOKUP(Tablo515[[#This Row],[BOYA KODU]],Tablo14[#All],6,0)," ")</f>
        <v xml:space="preserve"> </v>
      </c>
      <c r="M76" s="100" t="str">
        <f t="shared" si="7"/>
        <v xml:space="preserve"> </v>
      </c>
      <c r="N76" s="100" t="s">
        <v>38</v>
      </c>
      <c r="O76" s="100" t="str">
        <f>IFERROR(VLOOKUP(Tablo515[[#This Row],[HAMMADDE KODU]],Tablo1[#All],3,0)," ")</f>
        <v>LSR 50</v>
      </c>
      <c r="P76" s="100" t="str">
        <f>IFERROR(VLOOKUP(Tablo515[[#This Row],[HAMMADDE KODU]],Tablo1[#All],4,0)," ")</f>
        <v>KCC</v>
      </c>
      <c r="Q76" s="100">
        <f>IFERROR(VLOOKUP(Tablo515[[#This Row],[ÜRÜN KODU]],YMKODLARI!$A$1:$K$363,5,0)," ")</f>
        <v>20.399999999999999</v>
      </c>
      <c r="R76" s="100">
        <f>IFERROR(VLOOKUP(Tablo515[[#This Row],[ÜRÜN KODU]],YMKODLARI!$A$1:$K$363,6,0)," ")</f>
        <v>14.2</v>
      </c>
      <c r="S76" s="100">
        <f>IFERROR(Tablo515[[#This Row],[YOLLUK HARİÇ BASKI GRAMI]]/Tablo515[[#This Row],[KALIP GÖZ ADEDİ]]," ")</f>
        <v>1.7749999999999999</v>
      </c>
      <c r="T76" s="100">
        <f t="shared" si="9"/>
        <v>6.1999999999999993</v>
      </c>
      <c r="U76" s="100">
        <v>8.1999999999999993</v>
      </c>
      <c r="V76" s="100">
        <f t="shared" si="8"/>
        <v>26.063599999999997</v>
      </c>
      <c r="W76" s="101">
        <f t="shared" si="10"/>
        <v>24.5</v>
      </c>
      <c r="X76" s="102">
        <f t="shared" si="11"/>
        <v>12</v>
      </c>
      <c r="Y76" s="100">
        <f t="shared" si="12"/>
        <v>10.483333333333333</v>
      </c>
      <c r="Z76" s="100">
        <f t="shared" si="13"/>
        <v>10064</v>
      </c>
    </row>
    <row r="77" spans="1:26">
      <c r="A77" s="100" t="s">
        <v>26</v>
      </c>
      <c r="B77" s="108" t="str">
        <f>IFERROR(VLOOKUP(Tablo515[[#This Row],[ÜRÜN KODU]],YMKODLARI!$A$1:$K$363,2,0)," ")</f>
        <v>DAMAK EMZİK UCU 1 NO</v>
      </c>
      <c r="C77" s="99">
        <v>43934</v>
      </c>
      <c r="D77" s="100" t="s">
        <v>45</v>
      </c>
      <c r="E77" s="101">
        <v>0.33333333333333331</v>
      </c>
      <c r="F77" s="101">
        <v>0.83333333333333337</v>
      </c>
      <c r="G77" s="100">
        <f>IFERROR(VLOOKUP(Tablo515[[#This Row],[ÜRÜN KODU]],YMKODLARI!$A$1:$K$363,3,0)," ")</f>
        <v>8</v>
      </c>
      <c r="H77" s="100">
        <f>IFERROR(VLOOKUP(Tablo515[[#This Row],[ÜRÜN KODU]],YMKODLARI!$A$1:$K$363,4,0)," ")</f>
        <v>30</v>
      </c>
      <c r="I77" s="100">
        <v>1287</v>
      </c>
      <c r="J77" s="100" t="str">
        <f>IFERROR(VLOOKUP(Tablo515[[#This Row],[ÜRÜN KODU]],YMKODLARI!$A$1:$K$363,9,0)," ")</f>
        <v>Şeffaf</v>
      </c>
      <c r="K77" s="100" t="str">
        <f>IFERROR(VLOOKUP(Tablo515[[#This Row],[BOYA KODU]],Tablo14[#All],4,0)," ")</f>
        <v xml:space="preserve"> </v>
      </c>
      <c r="L77" s="100" t="str">
        <f>IFERROR(VLOOKUP(Tablo515[[#This Row],[BOYA KODU]],Tablo14[#All],6,0)," ")</f>
        <v xml:space="preserve"> </v>
      </c>
      <c r="M77" s="100" t="str">
        <f t="shared" si="7"/>
        <v xml:space="preserve"> </v>
      </c>
      <c r="N77" s="100" t="s">
        <v>38</v>
      </c>
      <c r="O77" s="100" t="str">
        <f>IFERROR(VLOOKUP(Tablo515[[#This Row],[HAMMADDE KODU]],Tablo1[#All],3,0)," ")</f>
        <v>LSR 50</v>
      </c>
      <c r="P77" s="100" t="str">
        <f>IFERROR(VLOOKUP(Tablo515[[#This Row],[HAMMADDE KODU]],Tablo1[#All],4,0)," ")</f>
        <v>KCC</v>
      </c>
      <c r="Q77" s="100">
        <f>IFERROR(VLOOKUP(Tablo515[[#This Row],[ÜRÜN KODU]],YMKODLARI!$A$1:$K$363,5,0)," ")</f>
        <v>20.399999999999999</v>
      </c>
      <c r="R77" s="100">
        <f>IFERROR(VLOOKUP(Tablo515[[#This Row],[ÜRÜN KODU]],YMKODLARI!$A$1:$K$363,6,0)," ")</f>
        <v>14.2</v>
      </c>
      <c r="S77" s="100">
        <f>IFERROR(Tablo515[[#This Row],[YOLLUK HARİÇ BASKI GRAMI]]/Tablo515[[#This Row],[KALIP GÖZ ADEDİ]]," ")</f>
        <v>1.7749999999999999</v>
      </c>
      <c r="T77" s="100">
        <f t="shared" si="9"/>
        <v>6.1999999999999993</v>
      </c>
      <c r="U77" s="100">
        <v>8</v>
      </c>
      <c r="V77" s="100">
        <f t="shared" si="8"/>
        <v>26.275399999999998</v>
      </c>
      <c r="W77" s="101">
        <f t="shared" si="10"/>
        <v>24.5</v>
      </c>
      <c r="X77" s="102">
        <f t="shared" si="11"/>
        <v>12</v>
      </c>
      <c r="Y77" s="100">
        <f t="shared" si="12"/>
        <v>10.725</v>
      </c>
      <c r="Z77" s="100">
        <f t="shared" si="13"/>
        <v>10296</v>
      </c>
    </row>
    <row r="78" spans="1:26">
      <c r="A78" s="100" t="s">
        <v>26</v>
      </c>
      <c r="B78" s="108" t="str">
        <f>IFERROR(VLOOKUP(Tablo515[[#This Row],[ÜRÜN KODU]],YMKODLARI!$A$1:$K$363,2,0)," ")</f>
        <v>DAMAK EMZİK UCU 1 NO</v>
      </c>
      <c r="C78" s="99">
        <v>43934</v>
      </c>
      <c r="D78" s="100" t="s">
        <v>36</v>
      </c>
      <c r="E78" s="101">
        <v>0.83333333333333337</v>
      </c>
      <c r="F78" s="101">
        <v>0.33333333333333331</v>
      </c>
      <c r="G78" s="100">
        <f>IFERROR(VLOOKUP(Tablo515[[#This Row],[ÜRÜN KODU]],YMKODLARI!$A$1:$K$363,3,0)," ")</f>
        <v>8</v>
      </c>
      <c r="H78" s="100">
        <f>IFERROR(VLOOKUP(Tablo515[[#This Row],[ÜRÜN KODU]],YMKODLARI!$A$1:$K$363,4,0)," ")</f>
        <v>30</v>
      </c>
      <c r="I78" s="100">
        <v>1390</v>
      </c>
      <c r="J78" s="100" t="str">
        <f>IFERROR(VLOOKUP(Tablo515[[#This Row],[ÜRÜN KODU]],YMKODLARI!$A$1:$K$363,9,0)," ")</f>
        <v>Şeffaf</v>
      </c>
      <c r="K78" s="100" t="str">
        <f>IFERROR(VLOOKUP(Tablo515[[#This Row],[BOYA KODU]],Tablo14[#All],4,0)," ")</f>
        <v xml:space="preserve"> </v>
      </c>
      <c r="L78" s="100" t="str">
        <f>IFERROR(VLOOKUP(Tablo515[[#This Row],[BOYA KODU]],Tablo14[#All],6,0)," ")</f>
        <v xml:space="preserve"> </v>
      </c>
      <c r="M78" s="100" t="str">
        <f t="shared" si="7"/>
        <v xml:space="preserve"> </v>
      </c>
      <c r="N78" s="100" t="s">
        <v>38</v>
      </c>
      <c r="O78" s="100" t="str">
        <f>IFERROR(VLOOKUP(Tablo515[[#This Row],[HAMMADDE KODU]],Tablo1[#All],3,0)," ")</f>
        <v>LSR 50</v>
      </c>
      <c r="P78" s="100" t="str">
        <f>IFERROR(VLOOKUP(Tablo515[[#This Row],[HAMMADDE KODU]],Tablo1[#All],4,0)," ")</f>
        <v>KCC</v>
      </c>
      <c r="Q78" s="100">
        <f>IFERROR(VLOOKUP(Tablo515[[#This Row],[ÜRÜN KODU]],YMKODLARI!$A$1:$K$363,5,0)," ")</f>
        <v>20.399999999999999</v>
      </c>
      <c r="R78" s="100">
        <f>IFERROR(VLOOKUP(Tablo515[[#This Row],[ÜRÜN KODU]],YMKODLARI!$A$1:$K$363,6,0)," ")</f>
        <v>14.2</v>
      </c>
      <c r="S78" s="100">
        <f>IFERROR(Tablo515[[#This Row],[YOLLUK HARİÇ BASKI GRAMI]]/Tablo515[[#This Row],[KALIP GÖZ ADEDİ]]," ")</f>
        <v>1.7749999999999999</v>
      </c>
      <c r="T78" s="100">
        <f t="shared" si="9"/>
        <v>6.1999999999999993</v>
      </c>
      <c r="U78" s="100">
        <v>8.6999999999999993</v>
      </c>
      <c r="V78" s="100">
        <f t="shared" si="8"/>
        <v>28.437999999999999</v>
      </c>
      <c r="W78" s="101">
        <f t="shared" si="10"/>
        <v>23.5</v>
      </c>
      <c r="X78" s="102">
        <f t="shared" si="11"/>
        <v>12</v>
      </c>
      <c r="Y78" s="100">
        <f t="shared" si="12"/>
        <v>11.583333333333334</v>
      </c>
      <c r="Z78" s="100">
        <f t="shared" si="13"/>
        <v>11120</v>
      </c>
    </row>
    <row r="79" spans="1:26">
      <c r="A79" s="100" t="s">
        <v>26</v>
      </c>
      <c r="B79" s="108" t="str">
        <f>IFERROR(VLOOKUP(Tablo515[[#This Row],[ÜRÜN KODU]],YMKODLARI!$A$1:$K$363,2,0)," ")</f>
        <v>DAMAK EMZİK UCU 1 NO</v>
      </c>
      <c r="C79" s="99">
        <v>43935</v>
      </c>
      <c r="D79" s="100" t="s">
        <v>33</v>
      </c>
      <c r="E79" s="101">
        <v>0.33333333333333331</v>
      </c>
      <c r="F79" s="101">
        <v>0.83333333333333337</v>
      </c>
      <c r="G79" s="100">
        <f>IFERROR(VLOOKUP(Tablo515[[#This Row],[ÜRÜN KODU]],YMKODLARI!$A$1:$K$363,3,0)," ")</f>
        <v>8</v>
      </c>
      <c r="H79" s="100">
        <f>IFERROR(VLOOKUP(Tablo515[[#This Row],[ÜRÜN KODU]],YMKODLARI!$A$1:$K$363,4,0)," ")</f>
        <v>30</v>
      </c>
      <c r="I79" s="100">
        <v>1240</v>
      </c>
      <c r="J79" s="100" t="str">
        <f>IFERROR(VLOOKUP(Tablo515[[#This Row],[ÜRÜN KODU]],YMKODLARI!$A$1:$K$363,9,0)," ")</f>
        <v>Şeffaf</v>
      </c>
      <c r="K79" s="100" t="str">
        <f>IFERROR(VLOOKUP(Tablo515[[#This Row],[BOYA KODU]],Tablo14[#All],4,0)," ")</f>
        <v xml:space="preserve"> </v>
      </c>
      <c r="L79" s="100" t="str">
        <f>IFERROR(VLOOKUP(Tablo515[[#This Row],[BOYA KODU]],Tablo14[#All],6,0)," ")</f>
        <v xml:space="preserve"> </v>
      </c>
      <c r="M79" s="100" t="str">
        <f t="shared" si="7"/>
        <v xml:space="preserve"> </v>
      </c>
      <c r="N79" s="100" t="s">
        <v>38</v>
      </c>
      <c r="O79" s="100" t="str">
        <f>IFERROR(VLOOKUP(Tablo515[[#This Row],[HAMMADDE KODU]],Tablo1[#All],3,0)," ")</f>
        <v>LSR 50</v>
      </c>
      <c r="P79" s="100" t="str">
        <f>IFERROR(VLOOKUP(Tablo515[[#This Row],[HAMMADDE KODU]],Tablo1[#All],4,0)," ")</f>
        <v>KCC</v>
      </c>
      <c r="Q79" s="100">
        <f>IFERROR(VLOOKUP(Tablo515[[#This Row],[ÜRÜN KODU]],YMKODLARI!$A$1:$K$363,5,0)," ")</f>
        <v>20.399999999999999</v>
      </c>
      <c r="R79" s="100">
        <f>IFERROR(VLOOKUP(Tablo515[[#This Row],[ÜRÜN KODU]],YMKODLARI!$A$1:$K$363,6,0)," ")</f>
        <v>14.2</v>
      </c>
      <c r="S79" s="100">
        <f>IFERROR(Tablo515[[#This Row],[YOLLUK HARİÇ BASKI GRAMI]]/Tablo515[[#This Row],[KALIP GÖZ ADEDİ]]," ")</f>
        <v>1.7749999999999999</v>
      </c>
      <c r="T79" s="100">
        <f t="shared" si="9"/>
        <v>6.1999999999999993</v>
      </c>
      <c r="U79" s="100">
        <v>8.6</v>
      </c>
      <c r="V79" s="100">
        <f t="shared" si="8"/>
        <v>26.207999999999998</v>
      </c>
      <c r="W79" s="101">
        <f t="shared" si="10"/>
        <v>24.5</v>
      </c>
      <c r="X79" s="102">
        <f t="shared" si="11"/>
        <v>12</v>
      </c>
      <c r="Y79" s="100">
        <f t="shared" si="12"/>
        <v>10.333333333333334</v>
      </c>
      <c r="Z79" s="100">
        <f t="shared" si="13"/>
        <v>9920</v>
      </c>
    </row>
    <row r="80" spans="1:26">
      <c r="A80" s="100" t="s">
        <v>26</v>
      </c>
      <c r="B80" s="108" t="str">
        <f>IFERROR(VLOOKUP(Tablo515[[#This Row],[ÜRÜN KODU]],YMKODLARI!$A$1:$K$363,2,0)," ")</f>
        <v>DAMAK EMZİK UCU 1 NO</v>
      </c>
      <c r="C80" s="99">
        <v>43935</v>
      </c>
      <c r="D80" s="100" t="s">
        <v>37</v>
      </c>
      <c r="E80" s="101">
        <v>0.83333333333333337</v>
      </c>
      <c r="F80" s="101">
        <v>0.33333333333333331</v>
      </c>
      <c r="G80" s="100">
        <f>IFERROR(VLOOKUP(Tablo515[[#This Row],[ÜRÜN KODU]],YMKODLARI!$A$1:$K$363,3,0)," ")</f>
        <v>8</v>
      </c>
      <c r="H80" s="100">
        <f>IFERROR(VLOOKUP(Tablo515[[#This Row],[ÜRÜN KODU]],YMKODLARI!$A$1:$K$363,4,0)," ")</f>
        <v>30</v>
      </c>
      <c r="I80" s="100">
        <v>1400</v>
      </c>
      <c r="J80" s="100" t="str">
        <f>IFERROR(VLOOKUP(Tablo515[[#This Row],[ÜRÜN KODU]],YMKODLARI!$A$1:$K$363,9,0)," ")</f>
        <v>Şeffaf</v>
      </c>
      <c r="K80" s="100" t="str">
        <f>IFERROR(VLOOKUP(Tablo515[[#This Row],[BOYA KODU]],Tablo14[#All],4,0)," ")</f>
        <v xml:space="preserve"> </v>
      </c>
      <c r="L80" s="100" t="str">
        <f>IFERROR(VLOOKUP(Tablo515[[#This Row],[BOYA KODU]],Tablo14[#All],6,0)," ")</f>
        <v xml:space="preserve"> </v>
      </c>
      <c r="M80" s="100" t="str">
        <f t="shared" si="7"/>
        <v xml:space="preserve"> </v>
      </c>
      <c r="N80" s="100" t="s">
        <v>38</v>
      </c>
      <c r="O80" s="100" t="str">
        <f>IFERROR(VLOOKUP(Tablo515[[#This Row],[HAMMADDE KODU]],Tablo1[#All],3,0)," ")</f>
        <v>LSR 50</v>
      </c>
      <c r="P80" s="100" t="str">
        <f>IFERROR(VLOOKUP(Tablo515[[#This Row],[HAMMADDE KODU]],Tablo1[#All],4,0)," ")</f>
        <v>KCC</v>
      </c>
      <c r="Q80" s="100">
        <f>IFERROR(VLOOKUP(Tablo515[[#This Row],[ÜRÜN KODU]],YMKODLARI!$A$1:$K$363,5,0)," ")</f>
        <v>20.399999999999999</v>
      </c>
      <c r="R80" s="100">
        <f>IFERROR(VLOOKUP(Tablo515[[#This Row],[ÜRÜN KODU]],YMKODLARI!$A$1:$K$363,6,0)," ")</f>
        <v>14.2</v>
      </c>
      <c r="S80" s="100">
        <f>IFERROR(Tablo515[[#This Row],[YOLLUK HARİÇ BASKI GRAMI]]/Tablo515[[#This Row],[KALIP GÖZ ADEDİ]]," ")</f>
        <v>1.7749999999999999</v>
      </c>
      <c r="T80" s="100">
        <f t="shared" si="9"/>
        <v>6.1999999999999993</v>
      </c>
      <c r="U80" s="100">
        <v>9.6999999999999993</v>
      </c>
      <c r="V80" s="100">
        <f t="shared" si="8"/>
        <v>29.58</v>
      </c>
      <c r="W80" s="101">
        <f t="shared" si="10"/>
        <v>23.5</v>
      </c>
      <c r="X80" s="102">
        <f t="shared" si="11"/>
        <v>12</v>
      </c>
      <c r="Y80" s="100">
        <f t="shared" si="12"/>
        <v>11.666666666666666</v>
      </c>
      <c r="Z80" s="100">
        <f t="shared" si="13"/>
        <v>11200</v>
      </c>
    </row>
    <row r="81" spans="1:26">
      <c r="A81" s="100" t="s">
        <v>26</v>
      </c>
      <c r="B81" s="108" t="str">
        <f>IFERROR(VLOOKUP(Tablo515[[#This Row],[ÜRÜN KODU]],YMKODLARI!$A$1:$K$363,2,0)," ")</f>
        <v>DAMAK EMZİK UCU 1 NO</v>
      </c>
      <c r="C81" s="99">
        <v>43936</v>
      </c>
      <c r="D81" s="100" t="s">
        <v>33</v>
      </c>
      <c r="E81" s="101">
        <v>0.33333333333333331</v>
      </c>
      <c r="F81" s="101">
        <v>0.83333333333333337</v>
      </c>
      <c r="G81" s="100">
        <f>IFERROR(VLOOKUP(Tablo515[[#This Row],[ÜRÜN KODU]],YMKODLARI!$A$1:$K$363,3,0)," ")</f>
        <v>8</v>
      </c>
      <c r="H81" s="100">
        <f>IFERROR(VLOOKUP(Tablo515[[#This Row],[ÜRÜN KODU]],YMKODLARI!$A$1:$K$363,4,0)," ")</f>
        <v>30</v>
      </c>
      <c r="I81" s="100">
        <v>1063</v>
      </c>
      <c r="J81" s="100" t="str">
        <f>IFERROR(VLOOKUP(Tablo515[[#This Row],[ÜRÜN KODU]],YMKODLARI!$A$1:$K$363,9,0)," ")</f>
        <v>Şeffaf</v>
      </c>
      <c r="K81" s="100" t="str">
        <f>IFERROR(VLOOKUP(Tablo515[[#This Row],[BOYA KODU]],Tablo14[#All],4,0)," ")</f>
        <v xml:space="preserve"> </v>
      </c>
      <c r="L81" s="100" t="str">
        <f>IFERROR(VLOOKUP(Tablo515[[#This Row],[BOYA KODU]],Tablo14[#All],6,0)," ")</f>
        <v xml:space="preserve"> </v>
      </c>
      <c r="M81" s="100" t="str">
        <f t="shared" si="7"/>
        <v xml:space="preserve"> </v>
      </c>
      <c r="N81" s="100" t="s">
        <v>38</v>
      </c>
      <c r="O81" s="100" t="str">
        <f>IFERROR(VLOOKUP(Tablo515[[#This Row],[HAMMADDE KODU]],Tablo1[#All],3,0)," ")</f>
        <v>LSR 50</v>
      </c>
      <c r="P81" s="100" t="str">
        <f>IFERROR(VLOOKUP(Tablo515[[#This Row],[HAMMADDE KODU]],Tablo1[#All],4,0)," ")</f>
        <v>KCC</v>
      </c>
      <c r="Q81" s="100">
        <f>IFERROR(VLOOKUP(Tablo515[[#This Row],[ÜRÜN KODU]],YMKODLARI!$A$1:$K$363,5,0)," ")</f>
        <v>20.399999999999999</v>
      </c>
      <c r="R81" s="100">
        <f>IFERROR(VLOOKUP(Tablo515[[#This Row],[ÜRÜN KODU]],YMKODLARI!$A$1:$K$363,6,0)," ")</f>
        <v>14.2</v>
      </c>
      <c r="S81" s="100">
        <f>IFERROR(Tablo515[[#This Row],[YOLLUK HARİÇ BASKI GRAMI]]/Tablo515[[#This Row],[KALIP GÖZ ADEDİ]]," ")</f>
        <v>1.7749999999999999</v>
      </c>
      <c r="T81" s="100">
        <f t="shared" si="9"/>
        <v>6.1999999999999993</v>
      </c>
      <c r="U81" s="100">
        <v>7.24</v>
      </c>
      <c r="V81" s="100">
        <f t="shared" si="8"/>
        <v>22.334599999999998</v>
      </c>
      <c r="W81" s="101">
        <f t="shared" si="10"/>
        <v>24.5</v>
      </c>
      <c r="X81" s="102">
        <f t="shared" si="11"/>
        <v>12</v>
      </c>
      <c r="Y81" s="100">
        <f t="shared" si="12"/>
        <v>8.8583333333333325</v>
      </c>
      <c r="Z81" s="100">
        <f t="shared" si="13"/>
        <v>8504</v>
      </c>
    </row>
    <row r="82" spans="1:26">
      <c r="A82" s="100" t="s">
        <v>26</v>
      </c>
      <c r="B82" s="108" t="str">
        <f>IFERROR(VLOOKUP(Tablo515[[#This Row],[ÜRÜN KODU]],YMKODLARI!$A$1:$K$363,2,0)," ")</f>
        <v>DAMAK EMZİK UCU 1 NO</v>
      </c>
      <c r="C82" s="99">
        <v>43936</v>
      </c>
      <c r="D82" s="100" t="s">
        <v>37</v>
      </c>
      <c r="E82" s="101">
        <v>0.83333333333333337</v>
      </c>
      <c r="F82" s="101">
        <v>0.33333333333333331</v>
      </c>
      <c r="G82" s="100">
        <f>IFERROR(VLOOKUP(Tablo515[[#This Row],[ÜRÜN KODU]],YMKODLARI!$A$1:$K$363,3,0)," ")</f>
        <v>8</v>
      </c>
      <c r="H82" s="100">
        <f>IFERROR(VLOOKUP(Tablo515[[#This Row],[ÜRÜN KODU]],YMKODLARI!$A$1:$K$363,4,0)," ")</f>
        <v>30</v>
      </c>
      <c r="I82" s="100">
        <v>1425</v>
      </c>
      <c r="J82" s="100" t="str">
        <f>IFERROR(VLOOKUP(Tablo515[[#This Row],[ÜRÜN KODU]],YMKODLARI!$A$1:$K$363,9,0)," ")</f>
        <v>Şeffaf</v>
      </c>
      <c r="K82" s="100" t="str">
        <f>IFERROR(VLOOKUP(Tablo515[[#This Row],[BOYA KODU]],Tablo14[#All],4,0)," ")</f>
        <v xml:space="preserve"> </v>
      </c>
      <c r="L82" s="100" t="str">
        <f>IFERROR(VLOOKUP(Tablo515[[#This Row],[BOYA KODU]],Tablo14[#All],6,0)," ")</f>
        <v xml:space="preserve"> </v>
      </c>
      <c r="M82" s="100" t="str">
        <f t="shared" si="7"/>
        <v xml:space="preserve"> </v>
      </c>
      <c r="N82" s="100" t="s">
        <v>38</v>
      </c>
      <c r="O82" s="100" t="str">
        <f>IFERROR(VLOOKUP(Tablo515[[#This Row],[HAMMADDE KODU]],Tablo1[#All],3,0)," ")</f>
        <v>LSR 50</v>
      </c>
      <c r="P82" s="100" t="str">
        <f>IFERROR(VLOOKUP(Tablo515[[#This Row],[HAMMADDE KODU]],Tablo1[#All],4,0)," ")</f>
        <v>KCC</v>
      </c>
      <c r="Q82" s="100">
        <f>IFERROR(VLOOKUP(Tablo515[[#This Row],[ÜRÜN KODU]],YMKODLARI!$A$1:$K$363,5,0)," ")</f>
        <v>20.399999999999999</v>
      </c>
      <c r="R82" s="100">
        <f>IFERROR(VLOOKUP(Tablo515[[#This Row],[ÜRÜN KODU]],YMKODLARI!$A$1:$K$363,6,0)," ")</f>
        <v>14.2</v>
      </c>
      <c r="S82" s="100">
        <f>IFERROR(Tablo515[[#This Row],[YOLLUK HARİÇ BASKI GRAMI]]/Tablo515[[#This Row],[KALIP GÖZ ADEDİ]]," ")</f>
        <v>1.7749999999999999</v>
      </c>
      <c r="T82" s="100">
        <f t="shared" si="9"/>
        <v>6.1999999999999993</v>
      </c>
      <c r="U82" s="100">
        <v>9</v>
      </c>
      <c r="V82" s="100">
        <f t="shared" si="8"/>
        <v>29.234999999999999</v>
      </c>
      <c r="W82" s="101">
        <f t="shared" si="10"/>
        <v>23.5</v>
      </c>
      <c r="X82" s="102">
        <f t="shared" si="11"/>
        <v>12</v>
      </c>
      <c r="Y82" s="100">
        <f t="shared" si="12"/>
        <v>11.875</v>
      </c>
      <c r="Z82" s="100">
        <f t="shared" si="13"/>
        <v>11400</v>
      </c>
    </row>
    <row r="83" spans="1:26">
      <c r="A83" s="100" t="s">
        <v>26</v>
      </c>
      <c r="B83" s="108" t="str">
        <f>IFERROR(VLOOKUP(Tablo515[[#This Row],[ÜRÜN KODU]],YMKODLARI!$A$1:$K$363,2,0)," ")</f>
        <v>DAMAK EMZİK UCU 1 NO</v>
      </c>
      <c r="C83" s="99">
        <v>43937</v>
      </c>
      <c r="D83" s="100" t="s">
        <v>29</v>
      </c>
      <c r="E83" s="101">
        <v>0.33333333333333331</v>
      </c>
      <c r="F83" s="101">
        <v>0.83333333333333337</v>
      </c>
      <c r="G83" s="100">
        <f>IFERROR(VLOOKUP(Tablo515[[#This Row],[ÜRÜN KODU]],YMKODLARI!$A$1:$K$363,3,0)," ")</f>
        <v>8</v>
      </c>
      <c r="H83" s="100">
        <f>IFERROR(VLOOKUP(Tablo515[[#This Row],[ÜRÜN KODU]],YMKODLARI!$A$1:$K$363,4,0)," ")</f>
        <v>30</v>
      </c>
      <c r="I83" s="100">
        <v>1299</v>
      </c>
      <c r="J83" s="100" t="str">
        <f>IFERROR(VLOOKUP(Tablo515[[#This Row],[ÜRÜN KODU]],YMKODLARI!$A$1:$K$363,9,0)," ")</f>
        <v>Şeffaf</v>
      </c>
      <c r="K83" s="100" t="str">
        <f>IFERROR(VLOOKUP(Tablo515[[#This Row],[BOYA KODU]],Tablo14[#All],4,0)," ")</f>
        <v xml:space="preserve"> </v>
      </c>
      <c r="L83" s="100" t="str">
        <f>IFERROR(VLOOKUP(Tablo515[[#This Row],[BOYA KODU]],Tablo14[#All],6,0)," ")</f>
        <v xml:space="preserve"> </v>
      </c>
      <c r="M83" s="100" t="str">
        <f t="shared" si="7"/>
        <v xml:space="preserve"> </v>
      </c>
      <c r="N83" s="100" t="s">
        <v>38</v>
      </c>
      <c r="O83" s="100" t="str">
        <f>IFERROR(VLOOKUP(Tablo515[[#This Row],[HAMMADDE KODU]],Tablo1[#All],3,0)," ")</f>
        <v>LSR 50</v>
      </c>
      <c r="P83" s="100" t="str">
        <f>IFERROR(VLOOKUP(Tablo515[[#This Row],[HAMMADDE KODU]],Tablo1[#All],4,0)," ")</f>
        <v>KCC</v>
      </c>
      <c r="Q83" s="100">
        <f>IFERROR(VLOOKUP(Tablo515[[#This Row],[ÜRÜN KODU]],YMKODLARI!$A$1:$K$363,5,0)," ")</f>
        <v>20.399999999999999</v>
      </c>
      <c r="R83" s="100">
        <f>IFERROR(VLOOKUP(Tablo515[[#This Row],[ÜRÜN KODU]],YMKODLARI!$A$1:$K$363,6,0)," ")</f>
        <v>14.2</v>
      </c>
      <c r="S83" s="100">
        <f>IFERROR(Tablo515[[#This Row],[YOLLUK HARİÇ BASKI GRAMI]]/Tablo515[[#This Row],[KALIP GÖZ ADEDİ]]," ")</f>
        <v>1.7749999999999999</v>
      </c>
      <c r="T83" s="100">
        <f t="shared" si="9"/>
        <v>6.1999999999999993</v>
      </c>
      <c r="U83" s="100">
        <v>7.8</v>
      </c>
      <c r="V83" s="100">
        <f t="shared" si="8"/>
        <v>26.245799999999999</v>
      </c>
      <c r="W83" s="101">
        <f t="shared" si="10"/>
        <v>24.5</v>
      </c>
      <c r="X83" s="102">
        <f t="shared" si="11"/>
        <v>12</v>
      </c>
      <c r="Y83" s="100">
        <f t="shared" si="12"/>
        <v>10.824999999999999</v>
      </c>
      <c r="Z83" s="100">
        <f t="shared" si="13"/>
        <v>10392</v>
      </c>
    </row>
    <row r="84" spans="1:26">
      <c r="A84" s="100" t="s">
        <v>26</v>
      </c>
      <c r="B84" s="108" t="str">
        <f>IFERROR(VLOOKUP(Tablo515[[#This Row],[ÜRÜN KODU]],YMKODLARI!$A$1:$K$363,2,0)," ")</f>
        <v>DAMAK EMZİK UCU 1 NO</v>
      </c>
      <c r="C84" s="99">
        <v>43937</v>
      </c>
      <c r="D84" s="100" t="s">
        <v>36</v>
      </c>
      <c r="E84" s="101">
        <v>0.83333333333333337</v>
      </c>
      <c r="F84" s="101">
        <v>0.33333333333333331</v>
      </c>
      <c r="G84" s="100">
        <f>IFERROR(VLOOKUP(Tablo515[[#This Row],[ÜRÜN KODU]],YMKODLARI!$A$1:$K$363,3,0)," ")</f>
        <v>8</v>
      </c>
      <c r="H84" s="100">
        <f>IFERROR(VLOOKUP(Tablo515[[#This Row],[ÜRÜN KODU]],YMKODLARI!$A$1:$K$363,4,0)," ")</f>
        <v>30</v>
      </c>
      <c r="I84" s="100">
        <v>1428</v>
      </c>
      <c r="J84" s="100" t="str">
        <f>IFERROR(VLOOKUP(Tablo515[[#This Row],[ÜRÜN KODU]],YMKODLARI!$A$1:$K$363,9,0)," ")</f>
        <v>Şeffaf</v>
      </c>
      <c r="K84" s="100" t="str">
        <f>IFERROR(VLOOKUP(Tablo515[[#This Row],[BOYA KODU]],Tablo14[#All],4,0)," ")</f>
        <v xml:space="preserve"> </v>
      </c>
      <c r="L84" s="100" t="str">
        <f>IFERROR(VLOOKUP(Tablo515[[#This Row],[BOYA KODU]],Tablo14[#All],6,0)," ")</f>
        <v xml:space="preserve"> </v>
      </c>
      <c r="M84" s="100" t="str">
        <f t="shared" si="7"/>
        <v xml:space="preserve"> </v>
      </c>
      <c r="N84" s="100" t="s">
        <v>38</v>
      </c>
      <c r="O84" s="100" t="str">
        <f>IFERROR(VLOOKUP(Tablo515[[#This Row],[HAMMADDE KODU]],Tablo1[#All],3,0)," ")</f>
        <v>LSR 50</v>
      </c>
      <c r="P84" s="100" t="str">
        <f>IFERROR(VLOOKUP(Tablo515[[#This Row],[HAMMADDE KODU]],Tablo1[#All],4,0)," ")</f>
        <v>KCC</v>
      </c>
      <c r="Q84" s="100">
        <f>IFERROR(VLOOKUP(Tablo515[[#This Row],[ÜRÜN KODU]],YMKODLARI!$A$1:$K$363,5,0)," ")</f>
        <v>20.399999999999999</v>
      </c>
      <c r="R84" s="100">
        <f>IFERROR(VLOOKUP(Tablo515[[#This Row],[ÜRÜN KODU]],YMKODLARI!$A$1:$K$363,6,0)," ")</f>
        <v>14.2</v>
      </c>
      <c r="S84" s="100">
        <f>IFERROR(Tablo515[[#This Row],[YOLLUK HARİÇ BASKI GRAMI]]/Tablo515[[#This Row],[KALIP GÖZ ADEDİ]]," ")</f>
        <v>1.7749999999999999</v>
      </c>
      <c r="T84" s="100">
        <f t="shared" si="9"/>
        <v>6.1999999999999993</v>
      </c>
      <c r="U84" s="100">
        <v>9.6999999999999993</v>
      </c>
      <c r="V84" s="100">
        <f t="shared" si="8"/>
        <v>29.977599999999999</v>
      </c>
      <c r="W84" s="101">
        <f t="shared" si="10"/>
        <v>23.5</v>
      </c>
      <c r="X84" s="102">
        <f t="shared" si="11"/>
        <v>12</v>
      </c>
      <c r="Y84" s="100">
        <f t="shared" si="12"/>
        <v>11.9</v>
      </c>
      <c r="Z84" s="100">
        <f t="shared" si="13"/>
        <v>11424</v>
      </c>
    </row>
    <row r="85" spans="1:26">
      <c r="A85" s="100" t="s">
        <v>26</v>
      </c>
      <c r="B85" s="108" t="str">
        <f>IFERROR(VLOOKUP(Tablo515[[#This Row],[ÜRÜN KODU]],YMKODLARI!$A$1:$K$363,2,0)," ")</f>
        <v>DAMAK EMZİK UCU 1 NO</v>
      </c>
      <c r="C85" s="99">
        <v>43938</v>
      </c>
      <c r="D85" s="100" t="s">
        <v>29</v>
      </c>
      <c r="E85" s="101">
        <v>0.33333333333333331</v>
      </c>
      <c r="F85" s="101">
        <v>0.72916666666666663</v>
      </c>
      <c r="G85" s="100">
        <f>IFERROR(VLOOKUP(Tablo515[[#This Row],[ÜRÜN KODU]],YMKODLARI!$A$1:$K$363,3,0)," ")</f>
        <v>8</v>
      </c>
      <c r="H85" s="100">
        <f>IFERROR(VLOOKUP(Tablo515[[#This Row],[ÜRÜN KODU]],YMKODLARI!$A$1:$K$363,4,0)," ")</f>
        <v>30</v>
      </c>
      <c r="I85" s="100">
        <v>938</v>
      </c>
      <c r="J85" s="100" t="str">
        <f>IFERROR(VLOOKUP(Tablo515[[#This Row],[ÜRÜN KODU]],YMKODLARI!$A$1:$K$363,9,0)," ")</f>
        <v>Şeffaf</v>
      </c>
      <c r="K85" s="100" t="str">
        <f>IFERROR(VLOOKUP(Tablo515[[#This Row],[BOYA KODU]],Tablo14[#All],4,0)," ")</f>
        <v xml:space="preserve"> </v>
      </c>
      <c r="L85" s="100" t="str">
        <f>IFERROR(VLOOKUP(Tablo515[[#This Row],[BOYA KODU]],Tablo14[#All],6,0)," ")</f>
        <v xml:space="preserve"> </v>
      </c>
      <c r="M85" s="100" t="str">
        <f t="shared" si="7"/>
        <v xml:space="preserve"> </v>
      </c>
      <c r="N85" s="100" t="s">
        <v>38</v>
      </c>
      <c r="O85" s="100" t="str">
        <f>IFERROR(VLOOKUP(Tablo515[[#This Row],[HAMMADDE KODU]],Tablo1[#All],3,0)," ")</f>
        <v>LSR 50</v>
      </c>
      <c r="P85" s="100" t="str">
        <f>IFERROR(VLOOKUP(Tablo515[[#This Row],[HAMMADDE KODU]],Tablo1[#All],4,0)," ")</f>
        <v>KCC</v>
      </c>
      <c r="Q85" s="100">
        <f>IFERROR(VLOOKUP(Tablo515[[#This Row],[ÜRÜN KODU]],YMKODLARI!$A$1:$K$363,5,0)," ")</f>
        <v>20.399999999999999</v>
      </c>
      <c r="R85" s="100">
        <f>IFERROR(VLOOKUP(Tablo515[[#This Row],[ÜRÜN KODU]],YMKODLARI!$A$1:$K$363,6,0)," ")</f>
        <v>14.2</v>
      </c>
      <c r="S85" s="100">
        <f>IFERROR(Tablo515[[#This Row],[YOLLUK HARİÇ BASKI GRAMI]]/Tablo515[[#This Row],[KALIP GÖZ ADEDİ]]," ")</f>
        <v>1.7749999999999999</v>
      </c>
      <c r="T85" s="100">
        <f t="shared" si="9"/>
        <v>6.1999999999999993</v>
      </c>
      <c r="U85" s="100">
        <v>5.9</v>
      </c>
      <c r="V85" s="100">
        <f t="shared" si="8"/>
        <v>19.2196</v>
      </c>
      <c r="W85" s="101">
        <f t="shared" si="10"/>
        <v>24.395833333333332</v>
      </c>
      <c r="X85" s="102">
        <f t="shared" si="11"/>
        <v>9.4999999999999716</v>
      </c>
      <c r="Y85" s="100">
        <f t="shared" si="12"/>
        <v>7.8166666666666664</v>
      </c>
      <c r="Z85" s="100">
        <f t="shared" si="13"/>
        <v>7504</v>
      </c>
    </row>
    <row r="86" spans="1:26">
      <c r="A86" s="100" t="s">
        <v>26</v>
      </c>
      <c r="B86" s="108" t="str">
        <f>IFERROR(VLOOKUP(Tablo515[[#This Row],[ÜRÜN KODU]],YMKODLARI!$A$1:$K$363,2,0)," ")</f>
        <v>DAMAK EMZİK UCU 1 NO</v>
      </c>
      <c r="C86" s="99">
        <v>43941</v>
      </c>
      <c r="D86" s="100" t="s">
        <v>29</v>
      </c>
      <c r="E86" s="101">
        <v>0.33333333333333331</v>
      </c>
      <c r="F86" s="101">
        <v>0.83333333333333337</v>
      </c>
      <c r="G86" s="100">
        <f>IFERROR(VLOOKUP(Tablo515[[#This Row],[ÜRÜN KODU]],YMKODLARI!$A$1:$K$363,3,0)," ")</f>
        <v>8</v>
      </c>
      <c r="H86" s="100">
        <f>IFERROR(VLOOKUP(Tablo515[[#This Row],[ÜRÜN KODU]],YMKODLARI!$A$1:$K$363,4,0)," ")</f>
        <v>30</v>
      </c>
      <c r="I86" s="100">
        <v>1277</v>
      </c>
      <c r="J86" s="100" t="str">
        <f>IFERROR(VLOOKUP(Tablo515[[#This Row],[ÜRÜN KODU]],YMKODLARI!$A$1:$K$363,9,0)," ")</f>
        <v>Şeffaf</v>
      </c>
      <c r="K86" s="100" t="str">
        <f>IFERROR(VLOOKUP(Tablo515[[#This Row],[BOYA KODU]],Tablo14[#All],4,0)," ")</f>
        <v xml:space="preserve"> </v>
      </c>
      <c r="L86" s="100" t="str">
        <f>IFERROR(VLOOKUP(Tablo515[[#This Row],[BOYA KODU]],Tablo14[#All],6,0)," ")</f>
        <v xml:space="preserve"> </v>
      </c>
      <c r="M86" s="100" t="str">
        <f t="shared" si="7"/>
        <v xml:space="preserve"> </v>
      </c>
      <c r="N86" s="100" t="s">
        <v>38</v>
      </c>
      <c r="O86" s="100" t="str">
        <f>IFERROR(VLOOKUP(Tablo515[[#This Row],[HAMMADDE KODU]],Tablo1[#All],3,0)," ")</f>
        <v>LSR 50</v>
      </c>
      <c r="P86" s="100" t="str">
        <f>IFERROR(VLOOKUP(Tablo515[[#This Row],[HAMMADDE KODU]],Tablo1[#All],4,0)," ")</f>
        <v>KCC</v>
      </c>
      <c r="Q86" s="100">
        <f>IFERROR(VLOOKUP(Tablo515[[#This Row],[ÜRÜN KODU]],YMKODLARI!$A$1:$K$363,5,0)," ")</f>
        <v>20.399999999999999</v>
      </c>
      <c r="R86" s="100">
        <f>IFERROR(VLOOKUP(Tablo515[[#This Row],[ÜRÜN KODU]],YMKODLARI!$A$1:$K$363,6,0)," ")</f>
        <v>14.2</v>
      </c>
      <c r="S86" s="100">
        <f>IFERROR(Tablo515[[#This Row],[YOLLUK HARİÇ BASKI GRAMI]]/Tablo515[[#This Row],[KALIP GÖZ ADEDİ]]," ")</f>
        <v>1.7749999999999999</v>
      </c>
      <c r="T86" s="100">
        <f t="shared" si="9"/>
        <v>6.1999999999999993</v>
      </c>
      <c r="U86" s="100">
        <v>9.1999999999999993</v>
      </c>
      <c r="V86" s="100">
        <f t="shared" si="8"/>
        <v>27.333399999999997</v>
      </c>
      <c r="W86" s="101">
        <f t="shared" si="10"/>
        <v>24.5</v>
      </c>
      <c r="X86" s="102">
        <f t="shared" si="11"/>
        <v>12</v>
      </c>
      <c r="Y86" s="100">
        <f t="shared" si="12"/>
        <v>10.641666666666667</v>
      </c>
      <c r="Z86" s="100">
        <f t="shared" si="13"/>
        <v>10216</v>
      </c>
    </row>
    <row r="87" spans="1:26">
      <c r="A87" s="100" t="s">
        <v>26</v>
      </c>
      <c r="B87" s="108" t="str">
        <f>IFERROR(VLOOKUP(Tablo515[[#This Row],[ÜRÜN KODU]],YMKODLARI!$A$1:$K$363,2,0)," ")</f>
        <v>DAMAK EMZİK UCU 1 NO</v>
      </c>
      <c r="C87" s="99">
        <v>43942</v>
      </c>
      <c r="D87" s="100" t="s">
        <v>29</v>
      </c>
      <c r="E87" s="101">
        <v>0.33333333333333331</v>
      </c>
      <c r="F87" s="101">
        <v>0.75</v>
      </c>
      <c r="G87" s="100">
        <f>IFERROR(VLOOKUP(Tablo515[[#This Row],[ÜRÜN KODU]],YMKODLARI!$A$1:$K$363,3,0)," ")</f>
        <v>8</v>
      </c>
      <c r="H87" s="100">
        <f>IFERROR(VLOOKUP(Tablo515[[#This Row],[ÜRÜN KODU]],YMKODLARI!$A$1:$K$363,4,0)," ")</f>
        <v>30</v>
      </c>
      <c r="I87" s="100">
        <v>1041</v>
      </c>
      <c r="J87" s="100" t="str">
        <f>IFERROR(VLOOKUP(Tablo515[[#This Row],[ÜRÜN KODU]],YMKODLARI!$A$1:$K$363,9,0)," ")</f>
        <v>Şeffaf</v>
      </c>
      <c r="K87" s="100" t="str">
        <f>IFERROR(VLOOKUP(Tablo515[[#This Row],[BOYA KODU]],Tablo14[#All],4,0)," ")</f>
        <v xml:space="preserve"> </v>
      </c>
      <c r="L87" s="100" t="str">
        <f>IFERROR(VLOOKUP(Tablo515[[#This Row],[BOYA KODU]],Tablo14[#All],6,0)," ")</f>
        <v xml:space="preserve"> </v>
      </c>
      <c r="M87" s="100" t="str">
        <f t="shared" si="7"/>
        <v xml:space="preserve"> </v>
      </c>
      <c r="N87" s="100" t="s">
        <v>38</v>
      </c>
      <c r="O87" s="100" t="str">
        <f>IFERROR(VLOOKUP(Tablo515[[#This Row],[HAMMADDE KODU]],Tablo1[#All],3,0)," ")</f>
        <v>LSR 50</v>
      </c>
      <c r="P87" s="100" t="str">
        <f>IFERROR(VLOOKUP(Tablo515[[#This Row],[HAMMADDE KODU]],Tablo1[#All],4,0)," ")</f>
        <v>KCC</v>
      </c>
      <c r="Q87" s="100">
        <f>IFERROR(VLOOKUP(Tablo515[[#This Row],[ÜRÜN KODU]],YMKODLARI!$A$1:$K$363,5,0)," ")</f>
        <v>20.399999999999999</v>
      </c>
      <c r="R87" s="100">
        <f>IFERROR(VLOOKUP(Tablo515[[#This Row],[ÜRÜN KODU]],YMKODLARI!$A$1:$K$363,6,0)," ")</f>
        <v>14.2</v>
      </c>
      <c r="S87" s="100">
        <f>IFERROR(Tablo515[[#This Row],[YOLLUK HARİÇ BASKI GRAMI]]/Tablo515[[#This Row],[KALIP GÖZ ADEDİ]]," ")</f>
        <v>1.7749999999999999</v>
      </c>
      <c r="T87" s="100">
        <f t="shared" si="9"/>
        <v>6.1999999999999993</v>
      </c>
      <c r="U87" s="100">
        <v>8.86</v>
      </c>
      <c r="V87" s="100">
        <f t="shared" si="8"/>
        <v>23.642199999999999</v>
      </c>
      <c r="W87" s="101">
        <f t="shared" si="10"/>
        <v>24.416666666666668</v>
      </c>
      <c r="X87" s="102">
        <f t="shared" si="11"/>
        <v>10.000000000000028</v>
      </c>
      <c r="Y87" s="100">
        <f t="shared" si="12"/>
        <v>8.6750000000000007</v>
      </c>
      <c r="Z87" s="100">
        <f t="shared" si="13"/>
        <v>8328</v>
      </c>
    </row>
    <row r="88" spans="1:26">
      <c r="A88" s="100" t="s">
        <v>26</v>
      </c>
      <c r="B88" s="108" t="str">
        <f>IFERROR(VLOOKUP(Tablo515[[#This Row],[ÜRÜN KODU]],YMKODLARI!$A$1:$K$363,2,0)," ")</f>
        <v>DAMAK EMZİK UCU 1 NO</v>
      </c>
      <c r="C88" s="99">
        <v>43943</v>
      </c>
      <c r="D88" s="100" t="s">
        <v>29</v>
      </c>
      <c r="E88" s="101">
        <v>0.33333333333333331</v>
      </c>
      <c r="F88" s="101">
        <v>0.75</v>
      </c>
      <c r="G88" s="100">
        <f>IFERROR(VLOOKUP(Tablo515[[#This Row],[ÜRÜN KODU]],YMKODLARI!$A$1:$K$363,3,0)," ")</f>
        <v>8</v>
      </c>
      <c r="H88" s="100">
        <f>IFERROR(VLOOKUP(Tablo515[[#This Row],[ÜRÜN KODU]],YMKODLARI!$A$1:$K$363,4,0)," ")</f>
        <v>30</v>
      </c>
      <c r="I88" s="100">
        <v>973</v>
      </c>
      <c r="J88" s="100" t="str">
        <f>IFERROR(VLOOKUP(Tablo515[[#This Row],[ÜRÜN KODU]],YMKODLARI!$A$1:$K$363,9,0)," ")</f>
        <v>Şeffaf</v>
      </c>
      <c r="K88" s="100" t="str">
        <f>IFERROR(VLOOKUP(Tablo515[[#This Row],[BOYA KODU]],Tablo14[#All],4,0)," ")</f>
        <v xml:space="preserve"> </v>
      </c>
      <c r="L88" s="100" t="str">
        <f>IFERROR(VLOOKUP(Tablo515[[#This Row],[BOYA KODU]],Tablo14[#All],6,0)," ")</f>
        <v xml:space="preserve"> </v>
      </c>
      <c r="M88" s="100" t="str">
        <f t="shared" si="7"/>
        <v xml:space="preserve"> </v>
      </c>
      <c r="N88" s="100" t="s">
        <v>38</v>
      </c>
      <c r="O88" s="100" t="str">
        <f>IFERROR(VLOOKUP(Tablo515[[#This Row],[HAMMADDE KODU]],Tablo1[#All],3,0)," ")</f>
        <v>LSR 50</v>
      </c>
      <c r="P88" s="100" t="str">
        <f>IFERROR(VLOOKUP(Tablo515[[#This Row],[HAMMADDE KODU]],Tablo1[#All],4,0)," ")</f>
        <v>KCC</v>
      </c>
      <c r="Q88" s="100">
        <f>IFERROR(VLOOKUP(Tablo515[[#This Row],[ÜRÜN KODU]],YMKODLARI!$A$1:$K$363,5,0)," ")</f>
        <v>20.399999999999999</v>
      </c>
      <c r="R88" s="100">
        <f>IFERROR(VLOOKUP(Tablo515[[#This Row],[ÜRÜN KODU]],YMKODLARI!$A$1:$K$363,6,0)," ")</f>
        <v>14.2</v>
      </c>
      <c r="S88" s="100">
        <f>IFERROR(Tablo515[[#This Row],[YOLLUK HARİÇ BASKI GRAMI]]/Tablo515[[#This Row],[KALIP GÖZ ADEDİ]]," ")</f>
        <v>1.7749999999999999</v>
      </c>
      <c r="T88" s="100">
        <f t="shared" si="9"/>
        <v>6.1999999999999993</v>
      </c>
      <c r="U88" s="100">
        <v>6.8</v>
      </c>
      <c r="V88" s="100">
        <f t="shared" si="8"/>
        <v>20.616599999999998</v>
      </c>
      <c r="W88" s="101">
        <f t="shared" si="10"/>
        <v>24.416666666666668</v>
      </c>
      <c r="X88" s="102">
        <f t="shared" si="11"/>
        <v>10.000000000000028</v>
      </c>
      <c r="Y88" s="100">
        <f t="shared" si="12"/>
        <v>8.1083333333333325</v>
      </c>
      <c r="Z88" s="100">
        <f t="shared" si="13"/>
        <v>7784</v>
      </c>
    </row>
    <row r="89" spans="1:26">
      <c r="A89" s="100" t="s">
        <v>26</v>
      </c>
      <c r="B89" s="108" t="str">
        <f>IFERROR(VLOOKUP(Tablo515[[#This Row],[ÜRÜN KODU]],YMKODLARI!$A$1:$K$363,2,0)," ")</f>
        <v>DAMAK EMZİK UCU 1 NO</v>
      </c>
      <c r="C89" s="99">
        <v>43948</v>
      </c>
      <c r="D89" s="100" t="s">
        <v>29</v>
      </c>
      <c r="E89" s="101">
        <v>0.33333333333333331</v>
      </c>
      <c r="F89" s="101">
        <v>0.75</v>
      </c>
      <c r="G89" s="100">
        <f>IFERROR(VLOOKUP(Tablo515[[#This Row],[ÜRÜN KODU]],YMKODLARI!$A$1:$K$363,3,0)," ")</f>
        <v>8</v>
      </c>
      <c r="H89" s="100">
        <f>IFERROR(VLOOKUP(Tablo515[[#This Row],[ÜRÜN KODU]],YMKODLARI!$A$1:$K$363,4,0)," ")</f>
        <v>30</v>
      </c>
      <c r="I89" s="100">
        <v>1050</v>
      </c>
      <c r="J89" s="100" t="str">
        <f>IFERROR(VLOOKUP(Tablo515[[#This Row],[ÜRÜN KODU]],YMKODLARI!$A$1:$K$363,9,0)," ")</f>
        <v>Şeffaf</v>
      </c>
      <c r="K89" s="100" t="str">
        <f>IFERROR(VLOOKUP(Tablo515[[#This Row],[BOYA KODU]],Tablo14[#All],4,0)," ")</f>
        <v xml:space="preserve"> </v>
      </c>
      <c r="L89" s="100" t="str">
        <f>IFERROR(VLOOKUP(Tablo515[[#This Row],[BOYA KODU]],Tablo14[#All],6,0)," ")</f>
        <v xml:space="preserve"> </v>
      </c>
      <c r="M89" s="100" t="str">
        <f t="shared" si="7"/>
        <v xml:space="preserve"> </v>
      </c>
      <c r="N89" s="100" t="s">
        <v>38</v>
      </c>
      <c r="O89" s="100" t="str">
        <f>IFERROR(VLOOKUP(Tablo515[[#This Row],[HAMMADDE KODU]],Tablo1[#All],3,0)," ")</f>
        <v>LSR 50</v>
      </c>
      <c r="P89" s="100" t="str">
        <f>IFERROR(VLOOKUP(Tablo515[[#This Row],[HAMMADDE KODU]],Tablo1[#All],4,0)," ")</f>
        <v>KCC</v>
      </c>
      <c r="Q89" s="100">
        <f>IFERROR(VLOOKUP(Tablo515[[#This Row],[ÜRÜN KODU]],YMKODLARI!$A$1:$K$363,5,0)," ")</f>
        <v>20.399999999999999</v>
      </c>
      <c r="R89" s="100">
        <f>IFERROR(VLOOKUP(Tablo515[[#This Row],[ÜRÜN KODU]],YMKODLARI!$A$1:$K$363,6,0)," ")</f>
        <v>14.2</v>
      </c>
      <c r="S89" s="100">
        <f>IFERROR(Tablo515[[#This Row],[YOLLUK HARİÇ BASKI GRAMI]]/Tablo515[[#This Row],[KALIP GÖZ ADEDİ]]," ")</f>
        <v>1.7749999999999999</v>
      </c>
      <c r="T89" s="100">
        <f t="shared" si="9"/>
        <v>6.1999999999999993</v>
      </c>
      <c r="U89" s="100">
        <v>6.3</v>
      </c>
      <c r="V89" s="100">
        <f t="shared" si="8"/>
        <v>21.21</v>
      </c>
      <c r="W89" s="101">
        <f t="shared" si="10"/>
        <v>24.416666666666668</v>
      </c>
      <c r="X89" s="102">
        <f t="shared" si="11"/>
        <v>10.000000000000028</v>
      </c>
      <c r="Y89" s="100">
        <f t="shared" si="12"/>
        <v>8.75</v>
      </c>
      <c r="Z89" s="100">
        <f t="shared" si="13"/>
        <v>8400</v>
      </c>
    </row>
    <row r="90" spans="1:26">
      <c r="A90" s="100" t="s">
        <v>26</v>
      </c>
      <c r="B90" s="108" t="str">
        <f>IFERROR(VLOOKUP(Tablo515[[#This Row],[ÜRÜN KODU]],YMKODLARI!$A$1:$K$363,2,0)," ")</f>
        <v>DAMAK EMZİK UCU 1 NO</v>
      </c>
      <c r="C90" s="99">
        <v>43949</v>
      </c>
      <c r="D90" s="100" t="s">
        <v>29</v>
      </c>
      <c r="E90" s="101">
        <v>0.33333333333333331</v>
      </c>
      <c r="F90" s="101">
        <v>0.75</v>
      </c>
      <c r="G90" s="100">
        <f>IFERROR(VLOOKUP(Tablo515[[#This Row],[ÜRÜN KODU]],YMKODLARI!$A$1:$K$363,3,0)," ")</f>
        <v>8</v>
      </c>
      <c r="H90" s="100">
        <f>IFERROR(VLOOKUP(Tablo515[[#This Row],[ÜRÜN KODU]],YMKODLARI!$A$1:$K$363,4,0)," ")</f>
        <v>30</v>
      </c>
      <c r="I90" s="100">
        <v>1036</v>
      </c>
      <c r="J90" s="100" t="str">
        <f>IFERROR(VLOOKUP(Tablo515[[#This Row],[ÜRÜN KODU]],YMKODLARI!$A$1:$K$363,9,0)," ")</f>
        <v>Şeffaf</v>
      </c>
      <c r="K90" s="100" t="str">
        <f>IFERROR(VLOOKUP(Tablo515[[#This Row],[BOYA KODU]],Tablo14[#All],4,0)," ")</f>
        <v xml:space="preserve"> </v>
      </c>
      <c r="L90" s="100" t="str">
        <f>IFERROR(VLOOKUP(Tablo515[[#This Row],[BOYA KODU]],Tablo14[#All],6,0)," ")</f>
        <v xml:space="preserve"> </v>
      </c>
      <c r="M90" s="100" t="str">
        <f t="shared" si="7"/>
        <v xml:space="preserve"> </v>
      </c>
      <c r="N90" s="100" t="s">
        <v>38</v>
      </c>
      <c r="O90" s="100" t="str">
        <f>IFERROR(VLOOKUP(Tablo515[[#This Row],[HAMMADDE KODU]],Tablo1[#All],3,0)," ")</f>
        <v>LSR 50</v>
      </c>
      <c r="P90" s="100" t="str">
        <f>IFERROR(VLOOKUP(Tablo515[[#This Row],[HAMMADDE KODU]],Tablo1[#All],4,0)," ")</f>
        <v>KCC</v>
      </c>
      <c r="Q90" s="100">
        <f>IFERROR(VLOOKUP(Tablo515[[#This Row],[ÜRÜN KODU]],YMKODLARI!$A$1:$K$363,5,0)," ")</f>
        <v>20.399999999999999</v>
      </c>
      <c r="R90" s="100">
        <f>IFERROR(VLOOKUP(Tablo515[[#This Row],[ÜRÜN KODU]],YMKODLARI!$A$1:$K$363,6,0)," ")</f>
        <v>14.2</v>
      </c>
      <c r="S90" s="100">
        <f>IFERROR(Tablo515[[#This Row],[YOLLUK HARİÇ BASKI GRAMI]]/Tablo515[[#This Row],[KALIP GÖZ ADEDİ]]," ")</f>
        <v>1.7749999999999999</v>
      </c>
      <c r="T90" s="100">
        <f t="shared" si="9"/>
        <v>6.1999999999999993</v>
      </c>
      <c r="U90" s="100">
        <v>6.6</v>
      </c>
      <c r="V90" s="100">
        <f t="shared" si="8"/>
        <v>21.311199999999999</v>
      </c>
      <c r="W90" s="101">
        <f t="shared" si="10"/>
        <v>24.416666666666668</v>
      </c>
      <c r="X90" s="102">
        <f t="shared" si="11"/>
        <v>10.000000000000028</v>
      </c>
      <c r="Y90" s="100">
        <f t="shared" si="12"/>
        <v>8.6333333333333329</v>
      </c>
      <c r="Z90" s="100">
        <f t="shared" si="13"/>
        <v>8288</v>
      </c>
    </row>
    <row r="91" spans="1:26">
      <c r="A91" s="100" t="s">
        <v>26</v>
      </c>
      <c r="B91" s="108" t="str">
        <f>IFERROR(VLOOKUP(Tablo515[[#This Row],[ÜRÜN KODU]],YMKODLARI!$A$1:$K$363,2,0)," ")</f>
        <v>DAMAK EMZİK UCU 1 NO</v>
      </c>
      <c r="C91" s="99">
        <v>43950</v>
      </c>
      <c r="D91" s="100" t="s">
        <v>29</v>
      </c>
      <c r="E91" s="101">
        <v>0.33333333333333331</v>
      </c>
      <c r="F91" s="101">
        <v>0.75</v>
      </c>
      <c r="G91" s="100">
        <f>IFERROR(VLOOKUP(Tablo515[[#This Row],[ÜRÜN KODU]],YMKODLARI!$A$1:$K$363,3,0)," ")</f>
        <v>8</v>
      </c>
      <c r="H91" s="100">
        <f>IFERROR(VLOOKUP(Tablo515[[#This Row],[ÜRÜN KODU]],YMKODLARI!$A$1:$K$363,4,0)," ")</f>
        <v>30</v>
      </c>
      <c r="I91" s="100">
        <v>1046</v>
      </c>
      <c r="J91" s="100" t="str">
        <f>IFERROR(VLOOKUP(Tablo515[[#This Row],[ÜRÜN KODU]],YMKODLARI!$A$1:$K$363,9,0)," ")</f>
        <v>Şeffaf</v>
      </c>
      <c r="K91" s="100" t="str">
        <f>IFERROR(VLOOKUP(Tablo515[[#This Row],[BOYA KODU]],Tablo14[#All],4,0)," ")</f>
        <v xml:space="preserve"> </v>
      </c>
      <c r="L91" s="100" t="str">
        <f>IFERROR(VLOOKUP(Tablo515[[#This Row],[BOYA KODU]],Tablo14[#All],6,0)," ")</f>
        <v xml:space="preserve"> </v>
      </c>
      <c r="M91" s="100" t="str">
        <f t="shared" si="7"/>
        <v xml:space="preserve"> </v>
      </c>
      <c r="N91" s="100" t="s">
        <v>38</v>
      </c>
      <c r="O91" s="100" t="str">
        <f>IFERROR(VLOOKUP(Tablo515[[#This Row],[HAMMADDE KODU]],Tablo1[#All],3,0)," ")</f>
        <v>LSR 50</v>
      </c>
      <c r="P91" s="100" t="str">
        <f>IFERROR(VLOOKUP(Tablo515[[#This Row],[HAMMADDE KODU]],Tablo1[#All],4,0)," ")</f>
        <v>KCC</v>
      </c>
      <c r="Q91" s="100">
        <f>IFERROR(VLOOKUP(Tablo515[[#This Row],[ÜRÜN KODU]],YMKODLARI!$A$1:$K$363,5,0)," ")</f>
        <v>20.399999999999999</v>
      </c>
      <c r="R91" s="100">
        <f>IFERROR(VLOOKUP(Tablo515[[#This Row],[ÜRÜN KODU]],YMKODLARI!$A$1:$K$363,6,0)," ")</f>
        <v>14.2</v>
      </c>
      <c r="S91" s="100">
        <f>IFERROR(Tablo515[[#This Row],[YOLLUK HARİÇ BASKI GRAMI]]/Tablo515[[#This Row],[KALIP GÖZ ADEDİ]]," ")</f>
        <v>1.7749999999999999</v>
      </c>
      <c r="T91" s="100">
        <f t="shared" si="9"/>
        <v>6.1999999999999993</v>
      </c>
      <c r="U91" s="100">
        <v>6.2</v>
      </c>
      <c r="V91" s="100">
        <f t="shared" si="8"/>
        <v>21.0532</v>
      </c>
      <c r="W91" s="101">
        <f t="shared" si="10"/>
        <v>24.416666666666668</v>
      </c>
      <c r="X91" s="102">
        <f t="shared" si="11"/>
        <v>10.000000000000028</v>
      </c>
      <c r="Y91" s="100">
        <f t="shared" si="12"/>
        <v>8.7166666666666668</v>
      </c>
      <c r="Z91" s="100">
        <f t="shared" si="13"/>
        <v>8368</v>
      </c>
    </row>
    <row r="92" spans="1:26">
      <c r="A92" s="100" t="s">
        <v>26</v>
      </c>
      <c r="B92" s="108" t="str">
        <f>IFERROR(VLOOKUP(Tablo515[[#This Row],[ÜRÜN KODU]],YMKODLARI!$A$1:$K$363,2,0)," ")</f>
        <v>DAMAK EMZİK UCU 1 NO</v>
      </c>
      <c r="C92" s="99">
        <v>43951</v>
      </c>
      <c r="D92" s="100" t="s">
        <v>29</v>
      </c>
      <c r="E92" s="101">
        <v>0.33333333333333331</v>
      </c>
      <c r="F92" s="101">
        <v>0.72916666666666663</v>
      </c>
      <c r="G92" s="100">
        <f>IFERROR(VLOOKUP(Tablo515[[#This Row],[ÜRÜN KODU]],YMKODLARI!$A$1:$K$363,3,0)," ")</f>
        <v>8</v>
      </c>
      <c r="H92" s="100">
        <f>IFERROR(VLOOKUP(Tablo515[[#This Row],[ÜRÜN KODU]],YMKODLARI!$A$1:$K$363,4,0)," ")</f>
        <v>30</v>
      </c>
      <c r="I92" s="100">
        <v>1010</v>
      </c>
      <c r="J92" s="100" t="str">
        <f>IFERROR(VLOOKUP(Tablo515[[#This Row],[ÜRÜN KODU]],YMKODLARI!$A$1:$K$363,9,0)," ")</f>
        <v>Şeffaf</v>
      </c>
      <c r="K92" s="100" t="str">
        <f>IFERROR(VLOOKUP(Tablo515[[#This Row],[BOYA KODU]],Tablo14[#All],4,0)," ")</f>
        <v xml:space="preserve"> </v>
      </c>
      <c r="L92" s="100" t="str">
        <f>IFERROR(VLOOKUP(Tablo515[[#This Row],[BOYA KODU]],Tablo14[#All],6,0)," ")</f>
        <v xml:space="preserve"> </v>
      </c>
      <c r="M92" s="100" t="str">
        <f t="shared" si="7"/>
        <v xml:space="preserve"> </v>
      </c>
      <c r="N92" s="100" t="s">
        <v>38</v>
      </c>
      <c r="O92" s="100" t="str">
        <f>IFERROR(VLOOKUP(Tablo515[[#This Row],[HAMMADDE KODU]],Tablo1[#All],3,0)," ")</f>
        <v>LSR 50</v>
      </c>
      <c r="P92" s="100" t="str">
        <f>IFERROR(VLOOKUP(Tablo515[[#This Row],[HAMMADDE KODU]],Tablo1[#All],4,0)," ")</f>
        <v>KCC</v>
      </c>
      <c r="Q92" s="100">
        <f>IFERROR(VLOOKUP(Tablo515[[#This Row],[ÜRÜN KODU]],YMKODLARI!$A$1:$K$363,5,0)," ")</f>
        <v>20.399999999999999</v>
      </c>
      <c r="R92" s="100">
        <f>IFERROR(VLOOKUP(Tablo515[[#This Row],[ÜRÜN KODU]],YMKODLARI!$A$1:$K$363,6,0)," ")</f>
        <v>14.2</v>
      </c>
      <c r="S92" s="100">
        <f>IFERROR(Tablo515[[#This Row],[YOLLUK HARİÇ BASKI GRAMI]]/Tablo515[[#This Row],[KALIP GÖZ ADEDİ]]," ")</f>
        <v>1.7749999999999999</v>
      </c>
      <c r="T92" s="100">
        <f t="shared" si="9"/>
        <v>6.1999999999999993</v>
      </c>
      <c r="U92" s="100">
        <v>6.8</v>
      </c>
      <c r="V92" s="100">
        <f t="shared" si="8"/>
        <v>21.141999999999999</v>
      </c>
      <c r="W92" s="101">
        <f t="shared" si="10"/>
        <v>24.395833333333332</v>
      </c>
      <c r="X92" s="102">
        <f t="shared" si="11"/>
        <v>9.4999999999999716</v>
      </c>
      <c r="Y92" s="100">
        <f t="shared" si="12"/>
        <v>8.4166666666666661</v>
      </c>
      <c r="Z92" s="100">
        <f t="shared" si="13"/>
        <v>8080</v>
      </c>
    </row>
    <row r="93" spans="1:26">
      <c r="A93" s="100" t="s">
        <v>26</v>
      </c>
      <c r="B93" s="108" t="str">
        <f>IFERROR(VLOOKUP(Tablo515[[#This Row],[ÜRÜN KODU]],YMKODLARI!$A$1:$K$363,2,0)," ")</f>
        <v>DAMAK EMZİK UCU 1 NO</v>
      </c>
      <c r="C93" s="99">
        <v>43955</v>
      </c>
      <c r="D93" s="100" t="s">
        <v>29</v>
      </c>
      <c r="E93" s="101">
        <v>0.33333333333333331</v>
      </c>
      <c r="F93" s="101">
        <v>0.75</v>
      </c>
      <c r="G93" s="100">
        <f>IFERROR(VLOOKUP(Tablo515[[#This Row],[ÜRÜN KODU]],YMKODLARI!$A$1:$K$363,3,0)," ")</f>
        <v>8</v>
      </c>
      <c r="H93" s="100">
        <f>IFERROR(VLOOKUP(Tablo515[[#This Row],[ÜRÜN KODU]],YMKODLARI!$A$1:$K$363,4,0)," ")</f>
        <v>30</v>
      </c>
      <c r="I93" s="100">
        <v>137</v>
      </c>
      <c r="J93" s="100" t="str">
        <f>IFERROR(VLOOKUP(Tablo515[[#This Row],[ÜRÜN KODU]],YMKODLARI!$A$1:$K$363,9,0)," ")</f>
        <v>Şeffaf</v>
      </c>
      <c r="K93" s="100" t="str">
        <f>IFERROR(VLOOKUP(Tablo515[[#This Row],[BOYA KODU]],Tablo14[#All],4,0)," ")</f>
        <v xml:space="preserve"> </v>
      </c>
      <c r="L93" s="100" t="str">
        <f>IFERROR(VLOOKUP(Tablo515[[#This Row],[BOYA KODU]],Tablo14[#All],6,0)," ")</f>
        <v xml:space="preserve"> </v>
      </c>
      <c r="M93" s="100" t="str">
        <f t="shared" si="7"/>
        <v xml:space="preserve"> </v>
      </c>
      <c r="N93" s="100" t="s">
        <v>38</v>
      </c>
      <c r="O93" s="100" t="str">
        <f>IFERROR(VLOOKUP(Tablo515[[#This Row],[HAMMADDE KODU]],Tablo1[#All],3,0)," ")</f>
        <v>LSR 50</v>
      </c>
      <c r="P93" s="100" t="str">
        <f>IFERROR(VLOOKUP(Tablo515[[#This Row],[HAMMADDE KODU]],Tablo1[#All],4,0)," ")</f>
        <v>KCC</v>
      </c>
      <c r="Q93" s="100">
        <f>IFERROR(VLOOKUP(Tablo515[[#This Row],[ÜRÜN KODU]],YMKODLARI!$A$1:$K$363,5,0)," ")</f>
        <v>20.399999999999999</v>
      </c>
      <c r="R93" s="100">
        <f>IFERROR(VLOOKUP(Tablo515[[#This Row],[ÜRÜN KODU]],YMKODLARI!$A$1:$K$363,6,0)," ")</f>
        <v>14.2</v>
      </c>
      <c r="S93" s="100">
        <f>IFERROR(Tablo515[[#This Row],[YOLLUK HARİÇ BASKI GRAMI]]/Tablo515[[#This Row],[KALIP GÖZ ADEDİ]]," ")</f>
        <v>1.7749999999999999</v>
      </c>
      <c r="T93" s="100">
        <f t="shared" si="9"/>
        <v>6.1999999999999993</v>
      </c>
      <c r="U93" s="100">
        <v>7</v>
      </c>
      <c r="V93" s="100">
        <f t="shared" si="8"/>
        <v>8.9453999999999994</v>
      </c>
      <c r="W93" s="101">
        <f t="shared" si="10"/>
        <v>24.416666666666668</v>
      </c>
      <c r="X93" s="102">
        <f t="shared" si="11"/>
        <v>10.000000000000028</v>
      </c>
      <c r="Y93" s="100">
        <f t="shared" si="12"/>
        <v>1.1416666666666666</v>
      </c>
      <c r="Z93" s="100">
        <f t="shared" si="13"/>
        <v>1096</v>
      </c>
    </row>
    <row r="94" spans="1:26">
      <c r="A94" s="100" t="s">
        <v>26</v>
      </c>
      <c r="B94" s="108" t="str">
        <f>IFERROR(VLOOKUP(Tablo515[[#This Row],[ÜRÜN KODU]],YMKODLARI!$A$1:$K$363,2,0)," ")</f>
        <v>DAMAK EMZİK UCU 1 NO</v>
      </c>
      <c r="C94" s="99">
        <v>43955</v>
      </c>
      <c r="D94" s="100" t="s">
        <v>36</v>
      </c>
      <c r="E94" s="101">
        <v>0.75</v>
      </c>
      <c r="F94" s="101">
        <v>0.33333333333333331</v>
      </c>
      <c r="G94" s="100">
        <f>IFERROR(VLOOKUP(Tablo515[[#This Row],[ÜRÜN KODU]],YMKODLARI!$A$1:$K$363,3,0)," ")</f>
        <v>8</v>
      </c>
      <c r="H94" s="100">
        <f>IFERROR(VLOOKUP(Tablo515[[#This Row],[ÜRÜN KODU]],YMKODLARI!$A$1:$K$363,4,0)," ")</f>
        <v>30</v>
      </c>
      <c r="I94" s="100">
        <v>1598</v>
      </c>
      <c r="J94" s="100" t="str">
        <f>IFERROR(VLOOKUP(Tablo515[[#This Row],[ÜRÜN KODU]],YMKODLARI!$A$1:$K$363,9,0)," ")</f>
        <v>Şeffaf</v>
      </c>
      <c r="K94" s="100" t="str">
        <f>IFERROR(VLOOKUP(Tablo515[[#This Row],[BOYA KODU]],Tablo14[#All],4,0)," ")</f>
        <v xml:space="preserve"> </v>
      </c>
      <c r="L94" s="100" t="str">
        <f>IFERROR(VLOOKUP(Tablo515[[#This Row],[BOYA KODU]],Tablo14[#All],6,0)," ")</f>
        <v xml:space="preserve"> </v>
      </c>
      <c r="M94" s="100" t="str">
        <f t="shared" si="7"/>
        <v xml:space="preserve"> </v>
      </c>
      <c r="N94" s="100" t="s">
        <v>38</v>
      </c>
      <c r="O94" s="100" t="str">
        <f>IFERROR(VLOOKUP(Tablo515[[#This Row],[HAMMADDE KODU]],Tablo1[#All],3,0)," ")</f>
        <v>LSR 50</v>
      </c>
      <c r="P94" s="100" t="str">
        <f>IFERROR(VLOOKUP(Tablo515[[#This Row],[HAMMADDE KODU]],Tablo1[#All],4,0)," ")</f>
        <v>KCC</v>
      </c>
      <c r="Q94" s="100">
        <f>IFERROR(VLOOKUP(Tablo515[[#This Row],[ÜRÜN KODU]],YMKODLARI!$A$1:$K$363,5,0)," ")</f>
        <v>20.399999999999999</v>
      </c>
      <c r="R94" s="100">
        <f>IFERROR(VLOOKUP(Tablo515[[#This Row],[ÜRÜN KODU]],YMKODLARI!$A$1:$K$363,6,0)," ")</f>
        <v>14.2</v>
      </c>
      <c r="S94" s="100">
        <f>IFERROR(Tablo515[[#This Row],[YOLLUK HARİÇ BASKI GRAMI]]/Tablo515[[#This Row],[KALIP GÖZ ADEDİ]]," ")</f>
        <v>1.7749999999999999</v>
      </c>
      <c r="T94" s="100">
        <f t="shared" si="9"/>
        <v>6.1999999999999993</v>
      </c>
      <c r="U94" s="100">
        <v>10</v>
      </c>
      <c r="V94" s="100">
        <f t="shared" si="8"/>
        <v>32.691599999999994</v>
      </c>
      <c r="W94" s="101">
        <f t="shared" si="10"/>
        <v>23.583333333333332</v>
      </c>
      <c r="X94" s="102">
        <f t="shared" si="11"/>
        <v>13.999999999999972</v>
      </c>
      <c r="Y94" s="100">
        <f t="shared" si="12"/>
        <v>13.316666666666666</v>
      </c>
      <c r="Z94" s="100">
        <f t="shared" si="13"/>
        <v>12784</v>
      </c>
    </row>
    <row r="95" spans="1:26">
      <c r="A95" s="100" t="s">
        <v>26</v>
      </c>
      <c r="B95" s="108" t="str">
        <f>IFERROR(VLOOKUP(Tablo515[[#This Row],[ÜRÜN KODU]],YMKODLARI!$A$1:$K$363,2,0)," ")</f>
        <v>DAMAK EMZİK UCU 1 NO</v>
      </c>
      <c r="C95" s="99">
        <v>43956</v>
      </c>
      <c r="D95" s="100" t="s">
        <v>29</v>
      </c>
      <c r="E95" s="101">
        <v>0.33333333333333331</v>
      </c>
      <c r="F95" s="101">
        <v>0.75</v>
      </c>
      <c r="G95" s="100">
        <f>IFERROR(VLOOKUP(Tablo515[[#This Row],[ÜRÜN KODU]],YMKODLARI!$A$1:$K$363,3,0)," ")</f>
        <v>8</v>
      </c>
      <c r="H95" s="100">
        <f>IFERROR(VLOOKUP(Tablo515[[#This Row],[ÜRÜN KODU]],YMKODLARI!$A$1:$K$363,4,0)," ")</f>
        <v>30</v>
      </c>
      <c r="I95" s="100">
        <v>1058</v>
      </c>
      <c r="J95" s="100" t="str">
        <f>IFERROR(VLOOKUP(Tablo515[[#This Row],[ÜRÜN KODU]],YMKODLARI!$A$1:$K$363,9,0)," ")</f>
        <v>Şeffaf</v>
      </c>
      <c r="K95" s="100" t="str">
        <f>IFERROR(VLOOKUP(Tablo515[[#This Row],[BOYA KODU]],Tablo14[#All],4,0)," ")</f>
        <v xml:space="preserve"> </v>
      </c>
      <c r="L95" s="100" t="str">
        <f>IFERROR(VLOOKUP(Tablo515[[#This Row],[BOYA KODU]],Tablo14[#All],6,0)," ")</f>
        <v xml:space="preserve"> </v>
      </c>
      <c r="M95" s="100" t="str">
        <f t="shared" si="7"/>
        <v xml:space="preserve"> </v>
      </c>
      <c r="N95" s="100" t="s">
        <v>38</v>
      </c>
      <c r="O95" s="100" t="str">
        <f>IFERROR(VLOOKUP(Tablo515[[#This Row],[HAMMADDE KODU]],Tablo1[#All],3,0)," ")</f>
        <v>LSR 50</v>
      </c>
      <c r="P95" s="100" t="str">
        <f>IFERROR(VLOOKUP(Tablo515[[#This Row],[HAMMADDE KODU]],Tablo1[#All],4,0)," ")</f>
        <v>KCC</v>
      </c>
      <c r="Q95" s="100">
        <f>IFERROR(VLOOKUP(Tablo515[[#This Row],[ÜRÜN KODU]],YMKODLARI!$A$1:$K$363,5,0)," ")</f>
        <v>20.399999999999999</v>
      </c>
      <c r="R95" s="100">
        <f>IFERROR(VLOOKUP(Tablo515[[#This Row],[ÜRÜN KODU]],YMKODLARI!$A$1:$K$363,6,0)," ")</f>
        <v>14.2</v>
      </c>
      <c r="S95" s="100">
        <f>IFERROR(Tablo515[[#This Row],[YOLLUK HARİÇ BASKI GRAMI]]/Tablo515[[#This Row],[KALIP GÖZ ADEDİ]]," ")</f>
        <v>1.7749999999999999</v>
      </c>
      <c r="T95" s="100">
        <f t="shared" si="9"/>
        <v>6.1999999999999993</v>
      </c>
      <c r="U95" s="100">
        <v>10</v>
      </c>
      <c r="V95" s="100">
        <f t="shared" si="8"/>
        <v>25.023599999999998</v>
      </c>
      <c r="W95" s="101">
        <f t="shared" si="10"/>
        <v>24.416666666666668</v>
      </c>
      <c r="X95" s="102">
        <f t="shared" si="11"/>
        <v>10.000000000000028</v>
      </c>
      <c r="Y95" s="100">
        <f t="shared" si="12"/>
        <v>8.8166666666666664</v>
      </c>
      <c r="Z95" s="100">
        <f t="shared" si="13"/>
        <v>8464</v>
      </c>
    </row>
    <row r="96" spans="1:26">
      <c r="A96" s="100" t="s">
        <v>26</v>
      </c>
      <c r="B96" s="108" t="str">
        <f>IFERROR(VLOOKUP(Tablo515[[#This Row],[ÜRÜN KODU]],YMKODLARI!$A$1:$K$363,2,0)," ")</f>
        <v>DAMAK EMZİK UCU 1 NO</v>
      </c>
      <c r="C96" s="99">
        <v>43956</v>
      </c>
      <c r="D96" s="100" t="s">
        <v>36</v>
      </c>
      <c r="E96" s="101">
        <v>0.75</v>
      </c>
      <c r="F96" s="101">
        <v>0.33333333333333331</v>
      </c>
      <c r="G96" s="100">
        <f>IFERROR(VLOOKUP(Tablo515[[#This Row],[ÜRÜN KODU]],YMKODLARI!$A$1:$K$363,3,0)," ")</f>
        <v>8</v>
      </c>
      <c r="H96" s="100">
        <f>IFERROR(VLOOKUP(Tablo515[[#This Row],[ÜRÜN KODU]],YMKODLARI!$A$1:$K$363,4,0)," ")</f>
        <v>30</v>
      </c>
      <c r="I96" s="100">
        <v>1456</v>
      </c>
      <c r="J96" s="100" t="str">
        <f>IFERROR(VLOOKUP(Tablo515[[#This Row],[ÜRÜN KODU]],YMKODLARI!$A$1:$K$363,9,0)," ")</f>
        <v>Şeffaf</v>
      </c>
      <c r="K96" s="100" t="str">
        <f>IFERROR(VLOOKUP(Tablo515[[#This Row],[BOYA KODU]],Tablo14[#All],4,0)," ")</f>
        <v xml:space="preserve"> </v>
      </c>
      <c r="L96" s="100" t="str">
        <f>IFERROR(VLOOKUP(Tablo515[[#This Row],[BOYA KODU]],Tablo14[#All],6,0)," ")</f>
        <v xml:space="preserve"> </v>
      </c>
      <c r="M96" s="100" t="str">
        <f t="shared" si="7"/>
        <v xml:space="preserve"> </v>
      </c>
      <c r="N96" s="100" t="s">
        <v>38</v>
      </c>
      <c r="O96" s="100" t="str">
        <f>IFERROR(VLOOKUP(Tablo515[[#This Row],[HAMMADDE KODU]],Tablo1[#All],3,0)," ")</f>
        <v>LSR 50</v>
      </c>
      <c r="P96" s="100" t="str">
        <f>IFERROR(VLOOKUP(Tablo515[[#This Row],[HAMMADDE KODU]],Tablo1[#All],4,0)," ")</f>
        <v>KCC</v>
      </c>
      <c r="Q96" s="100">
        <f>IFERROR(VLOOKUP(Tablo515[[#This Row],[ÜRÜN KODU]],YMKODLARI!$A$1:$K$363,5,0)," ")</f>
        <v>20.399999999999999</v>
      </c>
      <c r="R96" s="100">
        <f>IFERROR(VLOOKUP(Tablo515[[#This Row],[ÜRÜN KODU]],YMKODLARI!$A$1:$K$363,6,0)," ")</f>
        <v>14.2</v>
      </c>
      <c r="S96" s="100">
        <f>IFERROR(Tablo515[[#This Row],[YOLLUK HARİÇ BASKI GRAMI]]/Tablo515[[#This Row],[KALIP GÖZ ADEDİ]]," ")</f>
        <v>1.7749999999999999</v>
      </c>
      <c r="T96" s="100">
        <f t="shared" si="9"/>
        <v>6.1999999999999993</v>
      </c>
      <c r="U96" s="100">
        <v>10.4</v>
      </c>
      <c r="V96" s="100">
        <f t="shared" si="8"/>
        <v>31.075200000000002</v>
      </c>
      <c r="W96" s="101">
        <f t="shared" si="10"/>
        <v>23.583333333333332</v>
      </c>
      <c r="X96" s="102">
        <f t="shared" si="11"/>
        <v>13.999999999999972</v>
      </c>
      <c r="Y96" s="100">
        <f t="shared" si="12"/>
        <v>12.133333333333333</v>
      </c>
      <c r="Z96" s="100">
        <f t="shared" si="13"/>
        <v>11648</v>
      </c>
    </row>
    <row r="97" spans="1:26">
      <c r="A97" s="100" t="s">
        <v>26</v>
      </c>
      <c r="B97" s="108" t="str">
        <f>IFERROR(VLOOKUP(Tablo515[[#This Row],[ÜRÜN KODU]],YMKODLARI!$A$1:$K$363,2,0)," ")</f>
        <v>DAMAK EMZİK UCU 1 NO</v>
      </c>
      <c r="C97" s="99">
        <v>43957</v>
      </c>
      <c r="D97" s="100" t="s">
        <v>29</v>
      </c>
      <c r="E97" s="101">
        <v>0.33333333333333331</v>
      </c>
      <c r="F97" s="101">
        <v>0.75</v>
      </c>
      <c r="G97" s="100">
        <f>IFERROR(VLOOKUP(Tablo515[[#This Row],[ÜRÜN KODU]],YMKODLARI!$A$1:$K$363,3,0)," ")</f>
        <v>8</v>
      </c>
      <c r="H97" s="100">
        <f>IFERROR(VLOOKUP(Tablo515[[#This Row],[ÜRÜN KODU]],YMKODLARI!$A$1:$K$363,4,0)," ")</f>
        <v>30</v>
      </c>
      <c r="I97" s="100">
        <v>938</v>
      </c>
      <c r="J97" s="100" t="str">
        <f>IFERROR(VLOOKUP(Tablo515[[#This Row],[ÜRÜN KODU]],YMKODLARI!$A$1:$K$363,9,0)," ")</f>
        <v>Şeffaf</v>
      </c>
      <c r="K97" s="100" t="str">
        <f>IFERROR(VLOOKUP(Tablo515[[#This Row],[BOYA KODU]],Tablo14[#All],4,0)," ")</f>
        <v xml:space="preserve"> </v>
      </c>
      <c r="L97" s="100" t="str">
        <f>IFERROR(VLOOKUP(Tablo515[[#This Row],[BOYA KODU]],Tablo14[#All],6,0)," ")</f>
        <v xml:space="preserve"> </v>
      </c>
      <c r="M97" s="100" t="str">
        <f t="shared" si="7"/>
        <v xml:space="preserve"> </v>
      </c>
      <c r="N97" s="100" t="s">
        <v>38</v>
      </c>
      <c r="O97" s="100" t="str">
        <f>IFERROR(VLOOKUP(Tablo515[[#This Row],[HAMMADDE KODU]],Tablo1[#All],3,0)," ")</f>
        <v>LSR 50</v>
      </c>
      <c r="P97" s="100" t="str">
        <f>IFERROR(VLOOKUP(Tablo515[[#This Row],[HAMMADDE KODU]],Tablo1[#All],4,0)," ")</f>
        <v>KCC</v>
      </c>
      <c r="Q97" s="100">
        <f>IFERROR(VLOOKUP(Tablo515[[#This Row],[ÜRÜN KODU]],YMKODLARI!$A$1:$K$363,5,0)," ")</f>
        <v>20.399999999999999</v>
      </c>
      <c r="R97" s="100">
        <f>IFERROR(VLOOKUP(Tablo515[[#This Row],[ÜRÜN KODU]],YMKODLARI!$A$1:$K$363,6,0)," ")</f>
        <v>14.2</v>
      </c>
      <c r="S97" s="100">
        <f>IFERROR(Tablo515[[#This Row],[YOLLUK HARİÇ BASKI GRAMI]]/Tablo515[[#This Row],[KALIP GÖZ ADEDİ]]," ")</f>
        <v>1.7749999999999999</v>
      </c>
      <c r="T97" s="100">
        <f t="shared" si="9"/>
        <v>6.1999999999999993</v>
      </c>
      <c r="U97" s="100">
        <v>6.4</v>
      </c>
      <c r="V97" s="100">
        <f t="shared" si="8"/>
        <v>19.7196</v>
      </c>
      <c r="W97" s="101">
        <f t="shared" si="10"/>
        <v>24.416666666666668</v>
      </c>
      <c r="X97" s="102">
        <f t="shared" si="11"/>
        <v>10.000000000000028</v>
      </c>
      <c r="Y97" s="100">
        <f t="shared" si="12"/>
        <v>7.8166666666666664</v>
      </c>
      <c r="Z97" s="100">
        <f t="shared" si="13"/>
        <v>7504</v>
      </c>
    </row>
    <row r="98" spans="1:26">
      <c r="A98" s="100" t="s">
        <v>26</v>
      </c>
      <c r="B98" s="108" t="str">
        <f>IFERROR(VLOOKUP(Tablo515[[#This Row],[ÜRÜN KODU]],YMKODLARI!$A$1:$K$363,2,0)," ")</f>
        <v>DAMAK EMZİK UCU 1 NO</v>
      </c>
      <c r="C98" s="99">
        <v>43957</v>
      </c>
      <c r="D98" s="100" t="s">
        <v>36</v>
      </c>
      <c r="E98" s="101">
        <v>0.75</v>
      </c>
      <c r="F98" s="101">
        <v>0.33333333333333331</v>
      </c>
      <c r="G98" s="100">
        <f>IFERROR(VLOOKUP(Tablo515[[#This Row],[ÜRÜN KODU]],YMKODLARI!$A$1:$K$363,3,0)," ")</f>
        <v>8</v>
      </c>
      <c r="H98" s="100">
        <f>IFERROR(VLOOKUP(Tablo515[[#This Row],[ÜRÜN KODU]],YMKODLARI!$A$1:$K$363,4,0)," ")</f>
        <v>30</v>
      </c>
      <c r="I98" s="100">
        <v>1497</v>
      </c>
      <c r="J98" s="100" t="str">
        <f>IFERROR(VLOOKUP(Tablo515[[#This Row],[ÜRÜN KODU]],YMKODLARI!$A$1:$K$363,9,0)," ")</f>
        <v>Şeffaf</v>
      </c>
      <c r="K98" s="100" t="str">
        <f>IFERROR(VLOOKUP(Tablo515[[#This Row],[BOYA KODU]],Tablo14[#All],4,0)," ")</f>
        <v xml:space="preserve"> </v>
      </c>
      <c r="L98" s="100" t="str">
        <f>IFERROR(VLOOKUP(Tablo515[[#This Row],[BOYA KODU]],Tablo14[#All],6,0)," ")</f>
        <v xml:space="preserve"> </v>
      </c>
      <c r="M98" s="100" t="str">
        <f t="shared" si="7"/>
        <v xml:space="preserve"> </v>
      </c>
      <c r="N98" s="100" t="s">
        <v>38</v>
      </c>
      <c r="O98" s="100" t="str">
        <f>IFERROR(VLOOKUP(Tablo515[[#This Row],[HAMMADDE KODU]],Tablo1[#All],3,0)," ")</f>
        <v>LSR 50</v>
      </c>
      <c r="P98" s="100" t="str">
        <f>IFERROR(VLOOKUP(Tablo515[[#This Row],[HAMMADDE KODU]],Tablo1[#All],4,0)," ")</f>
        <v>KCC</v>
      </c>
      <c r="Q98" s="100">
        <f>IFERROR(VLOOKUP(Tablo515[[#This Row],[ÜRÜN KODU]],YMKODLARI!$A$1:$K$363,5,0)," ")</f>
        <v>20.399999999999999</v>
      </c>
      <c r="R98" s="100">
        <f>IFERROR(VLOOKUP(Tablo515[[#This Row],[ÜRÜN KODU]],YMKODLARI!$A$1:$K$363,6,0)," ")</f>
        <v>14.2</v>
      </c>
      <c r="S98" s="100">
        <f>IFERROR(Tablo515[[#This Row],[YOLLUK HARİÇ BASKI GRAMI]]/Tablo515[[#This Row],[KALIP GÖZ ADEDİ]]," ")</f>
        <v>1.7749999999999999</v>
      </c>
      <c r="T98" s="100">
        <f t="shared" si="9"/>
        <v>6.1999999999999993</v>
      </c>
      <c r="U98" s="100">
        <v>9.9</v>
      </c>
      <c r="V98" s="100">
        <f t="shared" si="8"/>
        <v>31.157399999999996</v>
      </c>
      <c r="W98" s="101">
        <f t="shared" si="10"/>
        <v>23.583333333333332</v>
      </c>
      <c r="X98" s="102">
        <f t="shared" si="11"/>
        <v>13.999999999999972</v>
      </c>
      <c r="Y98" s="100">
        <f t="shared" si="12"/>
        <v>12.475</v>
      </c>
      <c r="Z98" s="100">
        <f t="shared" si="13"/>
        <v>11976</v>
      </c>
    </row>
    <row r="99" spans="1:26">
      <c r="A99" s="100" t="s">
        <v>26</v>
      </c>
      <c r="B99" s="108" t="str">
        <f>IFERROR(VLOOKUP(Tablo515[[#This Row],[ÜRÜN KODU]],YMKODLARI!$A$1:$K$363,2,0)," ")</f>
        <v>DAMAK EMZİK UCU 1 NO</v>
      </c>
      <c r="C99" s="99">
        <v>43958</v>
      </c>
      <c r="D99" s="100" t="s">
        <v>29</v>
      </c>
      <c r="E99" s="101">
        <v>0.33333333333333331</v>
      </c>
      <c r="F99" s="101">
        <v>0.75</v>
      </c>
      <c r="G99" s="100">
        <f>IFERROR(VLOOKUP(Tablo515[[#This Row],[ÜRÜN KODU]],YMKODLARI!$A$1:$K$363,3,0)," ")</f>
        <v>8</v>
      </c>
      <c r="H99" s="100">
        <f>IFERROR(VLOOKUP(Tablo515[[#This Row],[ÜRÜN KODU]],YMKODLARI!$A$1:$K$363,4,0)," ")</f>
        <v>30</v>
      </c>
      <c r="I99" s="100">
        <v>1064</v>
      </c>
      <c r="J99" s="100" t="str">
        <f>IFERROR(VLOOKUP(Tablo515[[#This Row],[ÜRÜN KODU]],YMKODLARI!$A$1:$K$363,9,0)," ")</f>
        <v>Şeffaf</v>
      </c>
      <c r="K99" s="100" t="str">
        <f>IFERROR(VLOOKUP(Tablo515[[#This Row],[BOYA KODU]],Tablo14[#All],4,0)," ")</f>
        <v xml:space="preserve"> </v>
      </c>
      <c r="L99" s="100" t="str">
        <f>IFERROR(VLOOKUP(Tablo515[[#This Row],[BOYA KODU]],Tablo14[#All],6,0)," ")</f>
        <v xml:space="preserve"> </v>
      </c>
      <c r="M99" s="100" t="str">
        <f t="shared" si="7"/>
        <v xml:space="preserve"> </v>
      </c>
      <c r="N99" s="100" t="s">
        <v>38</v>
      </c>
      <c r="O99" s="100" t="str">
        <f>IFERROR(VLOOKUP(Tablo515[[#This Row],[HAMMADDE KODU]],Tablo1[#All],3,0)," ")</f>
        <v>LSR 50</v>
      </c>
      <c r="P99" s="100" t="str">
        <f>IFERROR(VLOOKUP(Tablo515[[#This Row],[HAMMADDE KODU]],Tablo1[#All],4,0)," ")</f>
        <v>KCC</v>
      </c>
      <c r="Q99" s="100">
        <f>IFERROR(VLOOKUP(Tablo515[[#This Row],[ÜRÜN KODU]],YMKODLARI!$A$1:$K$363,5,0)," ")</f>
        <v>20.399999999999999</v>
      </c>
      <c r="R99" s="100">
        <f>IFERROR(VLOOKUP(Tablo515[[#This Row],[ÜRÜN KODU]],YMKODLARI!$A$1:$K$363,6,0)," ")</f>
        <v>14.2</v>
      </c>
      <c r="S99" s="100">
        <f>IFERROR(Tablo515[[#This Row],[YOLLUK HARİÇ BASKI GRAMI]]/Tablo515[[#This Row],[KALIP GÖZ ADEDİ]]," ")</f>
        <v>1.7749999999999999</v>
      </c>
      <c r="T99" s="100">
        <f t="shared" si="9"/>
        <v>6.1999999999999993</v>
      </c>
      <c r="U99" s="100">
        <v>8</v>
      </c>
      <c r="V99" s="100">
        <f t="shared" si="8"/>
        <v>23.108799999999999</v>
      </c>
      <c r="W99" s="101">
        <f t="shared" si="10"/>
        <v>24.416666666666668</v>
      </c>
      <c r="X99" s="102">
        <f t="shared" si="11"/>
        <v>10.000000000000028</v>
      </c>
      <c r="Y99" s="100">
        <f t="shared" si="12"/>
        <v>8.8666666666666671</v>
      </c>
      <c r="Z99" s="100">
        <f t="shared" si="13"/>
        <v>8512</v>
      </c>
    </row>
    <row r="100" spans="1:26">
      <c r="A100" s="100" t="s">
        <v>26</v>
      </c>
      <c r="B100" s="108" t="str">
        <f>IFERROR(VLOOKUP(Tablo515[[#This Row],[ÜRÜN KODU]],YMKODLARI!$A$1:$K$363,2,0)," ")</f>
        <v>DAMAK EMZİK UCU 1 NO</v>
      </c>
      <c r="C100" s="99">
        <v>43958</v>
      </c>
      <c r="D100" s="100" t="s">
        <v>36</v>
      </c>
      <c r="E100" s="101">
        <v>0.75</v>
      </c>
      <c r="F100" s="101">
        <v>0.33333333333333331</v>
      </c>
      <c r="G100" s="100">
        <f>IFERROR(VLOOKUP(Tablo515[[#This Row],[ÜRÜN KODU]],YMKODLARI!$A$1:$K$363,3,0)," ")</f>
        <v>8</v>
      </c>
      <c r="H100" s="100">
        <f>IFERROR(VLOOKUP(Tablo515[[#This Row],[ÜRÜN KODU]],YMKODLARI!$A$1:$K$363,4,0)," ")</f>
        <v>30</v>
      </c>
      <c r="I100" s="100">
        <v>1651</v>
      </c>
      <c r="J100" s="100" t="str">
        <f>IFERROR(VLOOKUP(Tablo515[[#This Row],[ÜRÜN KODU]],YMKODLARI!$A$1:$K$363,9,0)," ")</f>
        <v>Şeffaf</v>
      </c>
      <c r="K100" s="100" t="str">
        <f>IFERROR(VLOOKUP(Tablo515[[#This Row],[BOYA KODU]],Tablo14[#All],4,0)," ")</f>
        <v xml:space="preserve"> </v>
      </c>
      <c r="L100" s="100" t="str">
        <f>IFERROR(VLOOKUP(Tablo515[[#This Row],[BOYA KODU]],Tablo14[#All],6,0)," ")</f>
        <v xml:space="preserve"> </v>
      </c>
      <c r="M100" s="100" t="str">
        <f t="shared" si="7"/>
        <v xml:space="preserve"> </v>
      </c>
      <c r="N100" s="100" t="s">
        <v>38</v>
      </c>
      <c r="O100" s="100" t="str">
        <f>IFERROR(VLOOKUP(Tablo515[[#This Row],[HAMMADDE KODU]],Tablo1[#All],3,0)," ")</f>
        <v>LSR 50</v>
      </c>
      <c r="P100" s="100" t="str">
        <f>IFERROR(VLOOKUP(Tablo515[[#This Row],[HAMMADDE KODU]],Tablo1[#All],4,0)," ")</f>
        <v>KCC</v>
      </c>
      <c r="Q100" s="100">
        <f>IFERROR(VLOOKUP(Tablo515[[#This Row],[ÜRÜN KODU]],YMKODLARI!$A$1:$K$363,5,0)," ")</f>
        <v>20.399999999999999</v>
      </c>
      <c r="R100" s="100">
        <f>IFERROR(VLOOKUP(Tablo515[[#This Row],[ÜRÜN KODU]],YMKODLARI!$A$1:$K$363,6,0)," ")</f>
        <v>14.2</v>
      </c>
      <c r="S100" s="100">
        <f>IFERROR(Tablo515[[#This Row],[YOLLUK HARİÇ BASKI GRAMI]]/Tablo515[[#This Row],[KALIP GÖZ ADEDİ]]," ")</f>
        <v>1.7749999999999999</v>
      </c>
      <c r="T100" s="100">
        <f t="shared" si="9"/>
        <v>6.1999999999999993</v>
      </c>
      <c r="U100" s="100">
        <v>11</v>
      </c>
      <c r="V100" s="100">
        <f t="shared" si="8"/>
        <v>34.444199999999995</v>
      </c>
      <c r="W100" s="101">
        <f t="shared" si="10"/>
        <v>23.583333333333332</v>
      </c>
      <c r="X100" s="102">
        <f t="shared" si="11"/>
        <v>13.999999999999972</v>
      </c>
      <c r="Y100" s="100">
        <f t="shared" si="12"/>
        <v>13.758333333333333</v>
      </c>
      <c r="Z100" s="100">
        <f t="shared" si="13"/>
        <v>13208</v>
      </c>
    </row>
    <row r="101" spans="1:26">
      <c r="A101" s="100" t="s">
        <v>26</v>
      </c>
      <c r="B101" s="108" t="str">
        <f>IFERROR(VLOOKUP(Tablo515[[#This Row],[ÜRÜN KODU]],YMKODLARI!$A$1:$K$363,2,0)," ")</f>
        <v>DAMAK EMZİK UCU 1 NO</v>
      </c>
      <c r="C101" s="99">
        <v>43959</v>
      </c>
      <c r="D101" s="100" t="s">
        <v>29</v>
      </c>
      <c r="E101" s="101">
        <v>0.33333333333333331</v>
      </c>
      <c r="F101" s="101">
        <v>0.72916666666666663</v>
      </c>
      <c r="G101" s="100">
        <f>IFERROR(VLOOKUP(Tablo515[[#This Row],[ÜRÜN KODU]],YMKODLARI!$A$1:$K$363,3,0)," ")</f>
        <v>8</v>
      </c>
      <c r="H101" s="100">
        <f>IFERROR(VLOOKUP(Tablo515[[#This Row],[ÜRÜN KODU]],YMKODLARI!$A$1:$K$363,4,0)," ")</f>
        <v>30</v>
      </c>
      <c r="I101" s="100">
        <v>1015</v>
      </c>
      <c r="J101" s="100" t="str">
        <f>IFERROR(VLOOKUP(Tablo515[[#This Row],[ÜRÜN KODU]],YMKODLARI!$A$1:$K$363,9,0)," ")</f>
        <v>Şeffaf</v>
      </c>
      <c r="K101" s="100" t="str">
        <f>IFERROR(VLOOKUP(Tablo515[[#This Row],[BOYA KODU]],Tablo14[#All],4,0)," ")</f>
        <v xml:space="preserve"> </v>
      </c>
      <c r="L101" s="100" t="str">
        <f>IFERROR(VLOOKUP(Tablo515[[#This Row],[BOYA KODU]],Tablo14[#All],6,0)," ")</f>
        <v xml:space="preserve"> </v>
      </c>
      <c r="M101" s="100" t="str">
        <f t="shared" si="7"/>
        <v xml:space="preserve"> </v>
      </c>
      <c r="N101" s="100" t="s">
        <v>38</v>
      </c>
      <c r="O101" s="100" t="str">
        <f>IFERROR(VLOOKUP(Tablo515[[#This Row],[HAMMADDE KODU]],Tablo1[#All],3,0)," ")</f>
        <v>LSR 50</v>
      </c>
      <c r="P101" s="100" t="str">
        <f>IFERROR(VLOOKUP(Tablo515[[#This Row],[HAMMADDE KODU]],Tablo1[#All],4,0)," ")</f>
        <v>KCC</v>
      </c>
      <c r="Q101" s="100">
        <f>IFERROR(VLOOKUP(Tablo515[[#This Row],[ÜRÜN KODU]],YMKODLARI!$A$1:$K$363,5,0)," ")</f>
        <v>20.399999999999999</v>
      </c>
      <c r="R101" s="100">
        <f>IFERROR(VLOOKUP(Tablo515[[#This Row],[ÜRÜN KODU]],YMKODLARI!$A$1:$K$363,6,0)," ")</f>
        <v>14.2</v>
      </c>
      <c r="S101" s="100">
        <f>IFERROR(Tablo515[[#This Row],[YOLLUK HARİÇ BASKI GRAMI]]/Tablo515[[#This Row],[KALIP GÖZ ADEDİ]]," ")</f>
        <v>1.7749999999999999</v>
      </c>
      <c r="T101" s="100">
        <f t="shared" si="9"/>
        <v>6.1999999999999993</v>
      </c>
      <c r="U101" s="100">
        <v>6.5</v>
      </c>
      <c r="V101" s="100">
        <f t="shared" si="8"/>
        <v>20.913</v>
      </c>
      <c r="W101" s="101">
        <f t="shared" si="10"/>
        <v>24.395833333333332</v>
      </c>
      <c r="X101" s="102">
        <f t="shared" si="11"/>
        <v>9.4999999999999716</v>
      </c>
      <c r="Y101" s="100">
        <f t="shared" si="12"/>
        <v>8.4583333333333339</v>
      </c>
      <c r="Z101" s="100">
        <f t="shared" si="13"/>
        <v>8120</v>
      </c>
    </row>
    <row r="102" spans="1:26">
      <c r="A102" s="100" t="s">
        <v>42</v>
      </c>
      <c r="B102" s="108" t="str">
        <f>IFERROR(VLOOKUP(Tablo515[[#This Row],[ÜRÜN KODU]],YMKODLARI!$A$1:$K$363,2,0)," ")</f>
        <v>DAMAK EMZİK UCU 2 NO</v>
      </c>
      <c r="C102" s="99">
        <v>43962</v>
      </c>
      <c r="D102" s="100" t="s">
        <v>29</v>
      </c>
      <c r="E102" s="101">
        <v>0.60416666666666663</v>
      </c>
      <c r="F102" s="101">
        <v>0.75</v>
      </c>
      <c r="G102" s="100">
        <f>IFERROR(VLOOKUP(Tablo515[[#This Row],[ÜRÜN KODU]],YMKODLARI!$A$1:$K$363,3,0)," ")</f>
        <v>8</v>
      </c>
      <c r="H102" s="100">
        <f>IFERROR(VLOOKUP(Tablo515[[#This Row],[ÜRÜN KODU]],YMKODLARI!$A$1:$K$363,4,0)," ")</f>
        <v>30</v>
      </c>
      <c r="I102" s="100">
        <v>457</v>
      </c>
      <c r="J102" s="100" t="str">
        <f>IFERROR(VLOOKUP(Tablo515[[#This Row],[ÜRÜN KODU]],YMKODLARI!$A$1:$K$363,9,0)," ")</f>
        <v>Şeffaf</v>
      </c>
      <c r="K102" s="100" t="str">
        <f>IFERROR(VLOOKUP(Tablo515[[#This Row],[BOYA KODU]],Tablo14[#All],4,0)," ")</f>
        <v xml:space="preserve"> </v>
      </c>
      <c r="L102" s="100" t="str">
        <f>IFERROR(VLOOKUP(Tablo515[[#This Row],[BOYA KODU]],Tablo14[#All],6,0)," ")</f>
        <v xml:space="preserve"> </v>
      </c>
      <c r="M102" s="100" t="str">
        <f t="shared" si="7"/>
        <v xml:space="preserve"> </v>
      </c>
      <c r="N102" s="100" t="s">
        <v>38</v>
      </c>
      <c r="O102" s="100" t="str">
        <f>IFERROR(VLOOKUP(Tablo515[[#This Row],[HAMMADDE KODU]],Tablo1[#All],3,0)," ")</f>
        <v>LSR 50</v>
      </c>
      <c r="P102" s="100" t="str">
        <f>IFERROR(VLOOKUP(Tablo515[[#This Row],[HAMMADDE KODU]],Tablo1[#All],4,0)," ")</f>
        <v>KCC</v>
      </c>
      <c r="Q102" s="100">
        <f>IFERROR(VLOOKUP(Tablo515[[#This Row],[ÜRÜN KODU]],YMKODLARI!$A$1:$K$363,5,0)," ")</f>
        <v>21.9</v>
      </c>
      <c r="R102" s="100">
        <f>IFERROR(VLOOKUP(Tablo515[[#This Row],[ÜRÜN KODU]],YMKODLARI!$A$1:$K$363,6,0)," ")</f>
        <v>16.100000000000001</v>
      </c>
      <c r="S102" s="100">
        <f>IFERROR(Tablo515[[#This Row],[YOLLUK HARİÇ BASKI GRAMI]]/Tablo515[[#This Row],[KALIP GÖZ ADEDİ]]," ")</f>
        <v>2.0125000000000002</v>
      </c>
      <c r="T102" s="100">
        <f t="shared" si="9"/>
        <v>5.7999999999999972</v>
      </c>
      <c r="U102" s="100">
        <v>2.5</v>
      </c>
      <c r="V102" s="100">
        <f t="shared" si="8"/>
        <v>9.8577000000000012</v>
      </c>
      <c r="W102" s="101">
        <f t="shared" si="10"/>
        <v>24.145833333333332</v>
      </c>
      <c r="X102" s="102">
        <f t="shared" si="11"/>
        <v>3.4999999999999716</v>
      </c>
      <c r="Y102" s="100">
        <f t="shared" si="12"/>
        <v>3.8083333333333331</v>
      </c>
      <c r="Z102" s="100">
        <f t="shared" si="13"/>
        <v>3656</v>
      </c>
    </row>
    <row r="103" spans="1:26">
      <c r="A103" s="100" t="s">
        <v>42</v>
      </c>
      <c r="B103" s="108" t="str">
        <f>IFERROR(VLOOKUP(Tablo515[[#This Row],[ÜRÜN KODU]],YMKODLARI!$A$1:$K$363,2,0)," ")</f>
        <v>DAMAK EMZİK UCU 2 NO</v>
      </c>
      <c r="C103" s="99">
        <v>43962</v>
      </c>
      <c r="D103" s="100" t="s">
        <v>37</v>
      </c>
      <c r="E103" s="101">
        <v>0.75</v>
      </c>
      <c r="F103" s="101">
        <v>0.33333333333333331</v>
      </c>
      <c r="G103" s="100">
        <f>IFERROR(VLOOKUP(Tablo515[[#This Row],[ÜRÜN KODU]],YMKODLARI!$A$1:$K$363,3,0)," ")</f>
        <v>8</v>
      </c>
      <c r="H103" s="100">
        <f>IFERROR(VLOOKUP(Tablo515[[#This Row],[ÜRÜN KODU]],YMKODLARI!$A$1:$K$363,4,0)," ")</f>
        <v>30</v>
      </c>
      <c r="I103" s="100">
        <v>1630</v>
      </c>
      <c r="J103" s="100" t="str">
        <f>IFERROR(VLOOKUP(Tablo515[[#This Row],[ÜRÜN KODU]],YMKODLARI!$A$1:$K$363,9,0)," ")</f>
        <v>Şeffaf</v>
      </c>
      <c r="K103" s="100" t="str">
        <f>IFERROR(VLOOKUP(Tablo515[[#This Row],[BOYA KODU]],Tablo14[#All],4,0)," ")</f>
        <v xml:space="preserve"> </v>
      </c>
      <c r="L103" s="100" t="str">
        <f>IFERROR(VLOOKUP(Tablo515[[#This Row],[BOYA KODU]],Tablo14[#All],6,0)," ")</f>
        <v xml:space="preserve"> </v>
      </c>
      <c r="M103" s="100" t="str">
        <f t="shared" si="7"/>
        <v xml:space="preserve"> </v>
      </c>
      <c r="N103" s="100" t="s">
        <v>38</v>
      </c>
      <c r="O103" s="100" t="str">
        <f>IFERROR(VLOOKUP(Tablo515[[#This Row],[HAMMADDE KODU]],Tablo1[#All],3,0)," ")</f>
        <v>LSR 50</v>
      </c>
      <c r="P103" s="100" t="str">
        <f>IFERROR(VLOOKUP(Tablo515[[#This Row],[HAMMADDE KODU]],Tablo1[#All],4,0)," ")</f>
        <v>KCC</v>
      </c>
      <c r="Q103" s="100">
        <f>IFERROR(VLOOKUP(Tablo515[[#This Row],[ÜRÜN KODU]],YMKODLARI!$A$1:$K$363,5,0)," ")</f>
        <v>21.9</v>
      </c>
      <c r="R103" s="100">
        <f>IFERROR(VLOOKUP(Tablo515[[#This Row],[ÜRÜN KODU]],YMKODLARI!$A$1:$K$363,6,0)," ")</f>
        <v>16.100000000000001</v>
      </c>
      <c r="S103" s="100">
        <f>IFERROR(Tablo515[[#This Row],[YOLLUK HARİÇ BASKI GRAMI]]/Tablo515[[#This Row],[KALIP GÖZ ADEDİ]]," ")</f>
        <v>2.0125000000000002</v>
      </c>
      <c r="T103" s="100">
        <f t="shared" si="9"/>
        <v>5.7999999999999972</v>
      </c>
      <c r="U103" s="100">
        <v>10</v>
      </c>
      <c r="V103" s="100">
        <f t="shared" si="8"/>
        <v>36.243000000000002</v>
      </c>
      <c r="W103" s="101">
        <f t="shared" si="10"/>
        <v>23.583333333333332</v>
      </c>
      <c r="X103" s="102">
        <f t="shared" si="11"/>
        <v>13.999999999999972</v>
      </c>
      <c r="Y103" s="100">
        <f t="shared" si="12"/>
        <v>13.583333333333334</v>
      </c>
      <c r="Z103" s="100">
        <f t="shared" si="13"/>
        <v>13040</v>
      </c>
    </row>
    <row r="104" spans="1:26">
      <c r="A104" s="100" t="s">
        <v>42</v>
      </c>
      <c r="B104" s="108" t="str">
        <f>IFERROR(VLOOKUP(Tablo515[[#This Row],[ÜRÜN KODU]],YMKODLARI!$A$1:$K$363,2,0)," ")</f>
        <v>DAMAK EMZİK UCU 2 NO</v>
      </c>
      <c r="C104" s="99">
        <v>43963</v>
      </c>
      <c r="D104" s="100" t="s">
        <v>29</v>
      </c>
      <c r="E104" s="101">
        <v>0.33333333333333331</v>
      </c>
      <c r="F104" s="101">
        <v>0.75</v>
      </c>
      <c r="G104" s="100">
        <f>IFERROR(VLOOKUP(Tablo515[[#This Row],[ÜRÜN KODU]],YMKODLARI!$A$1:$K$363,3,0)," ")</f>
        <v>8</v>
      </c>
      <c r="H104" s="100">
        <f>IFERROR(VLOOKUP(Tablo515[[#This Row],[ÜRÜN KODU]],YMKODLARI!$A$1:$K$363,4,0)," ")</f>
        <v>30</v>
      </c>
      <c r="I104" s="100">
        <v>1146</v>
      </c>
      <c r="J104" s="100" t="str">
        <f>IFERROR(VLOOKUP(Tablo515[[#This Row],[ÜRÜN KODU]],YMKODLARI!$A$1:$K$363,9,0)," ")</f>
        <v>Şeffaf</v>
      </c>
      <c r="K104" s="100" t="str">
        <f>IFERROR(VLOOKUP(Tablo515[[#This Row],[BOYA KODU]],Tablo14[#All],4,0)," ")</f>
        <v xml:space="preserve"> </v>
      </c>
      <c r="L104" s="100" t="str">
        <f>IFERROR(VLOOKUP(Tablo515[[#This Row],[BOYA KODU]],Tablo14[#All],6,0)," ")</f>
        <v xml:space="preserve"> </v>
      </c>
      <c r="M104" s="100" t="str">
        <f t="shared" si="7"/>
        <v xml:space="preserve"> </v>
      </c>
      <c r="N104" s="100" t="s">
        <v>38</v>
      </c>
      <c r="O104" s="100" t="str">
        <f>IFERROR(VLOOKUP(Tablo515[[#This Row],[HAMMADDE KODU]],Tablo1[#All],3,0)," ")</f>
        <v>LSR 50</v>
      </c>
      <c r="P104" s="100" t="str">
        <f>IFERROR(VLOOKUP(Tablo515[[#This Row],[HAMMADDE KODU]],Tablo1[#All],4,0)," ")</f>
        <v>KCC</v>
      </c>
      <c r="Q104" s="100">
        <f>IFERROR(VLOOKUP(Tablo515[[#This Row],[ÜRÜN KODU]],YMKODLARI!$A$1:$K$363,5,0)," ")</f>
        <v>21.9</v>
      </c>
      <c r="R104" s="100">
        <f>IFERROR(VLOOKUP(Tablo515[[#This Row],[ÜRÜN KODU]],YMKODLARI!$A$1:$K$363,6,0)," ")</f>
        <v>16.100000000000001</v>
      </c>
      <c r="S104" s="100">
        <f>IFERROR(Tablo515[[#This Row],[YOLLUK HARİÇ BASKI GRAMI]]/Tablo515[[#This Row],[KALIP GÖZ ADEDİ]]," ")</f>
        <v>2.0125000000000002</v>
      </c>
      <c r="T104" s="100">
        <f t="shared" si="9"/>
        <v>5.7999999999999972</v>
      </c>
      <c r="U104" s="100">
        <v>6</v>
      </c>
      <c r="V104" s="100">
        <f t="shared" si="8"/>
        <v>24.450600000000001</v>
      </c>
      <c r="W104" s="101">
        <f t="shared" si="10"/>
        <v>24.416666666666668</v>
      </c>
      <c r="X104" s="102">
        <f t="shared" si="11"/>
        <v>10.000000000000028</v>
      </c>
      <c r="Y104" s="100">
        <f t="shared" si="12"/>
        <v>9.5500000000000007</v>
      </c>
      <c r="Z104" s="100">
        <f t="shared" si="13"/>
        <v>9168</v>
      </c>
    </row>
    <row r="105" spans="1:26">
      <c r="A105" s="100" t="s">
        <v>42</v>
      </c>
      <c r="B105" s="108" t="str">
        <f>IFERROR(VLOOKUP(Tablo515[[#This Row],[ÜRÜN KODU]],YMKODLARI!$A$1:$K$363,2,0)," ")</f>
        <v>DAMAK EMZİK UCU 2 NO</v>
      </c>
      <c r="C105" s="99">
        <v>43963</v>
      </c>
      <c r="D105" s="100" t="s">
        <v>37</v>
      </c>
      <c r="E105" s="101">
        <v>0.75</v>
      </c>
      <c r="F105" s="101">
        <v>0.33333333333333331</v>
      </c>
      <c r="G105" s="100">
        <f>IFERROR(VLOOKUP(Tablo515[[#This Row],[ÜRÜN KODU]],YMKODLARI!$A$1:$K$363,3,0)," ")</f>
        <v>8</v>
      </c>
      <c r="H105" s="100">
        <f>IFERROR(VLOOKUP(Tablo515[[#This Row],[ÜRÜN KODU]],YMKODLARI!$A$1:$K$363,4,0)," ")</f>
        <v>30</v>
      </c>
      <c r="I105" s="100">
        <v>1625</v>
      </c>
      <c r="J105" s="100" t="str">
        <f>IFERROR(VLOOKUP(Tablo515[[#This Row],[ÜRÜN KODU]],YMKODLARI!$A$1:$K$363,9,0)," ")</f>
        <v>Şeffaf</v>
      </c>
      <c r="K105" s="100" t="str">
        <f>IFERROR(VLOOKUP(Tablo515[[#This Row],[BOYA KODU]],Tablo14[#All],4,0)," ")</f>
        <v xml:space="preserve"> </v>
      </c>
      <c r="L105" s="100" t="str">
        <f>IFERROR(VLOOKUP(Tablo515[[#This Row],[BOYA KODU]],Tablo14[#All],6,0)," ")</f>
        <v xml:space="preserve"> </v>
      </c>
      <c r="M105" s="100" t="str">
        <f t="shared" si="7"/>
        <v xml:space="preserve"> </v>
      </c>
      <c r="N105" s="100" t="s">
        <v>38</v>
      </c>
      <c r="O105" s="100" t="str">
        <f>IFERROR(VLOOKUP(Tablo515[[#This Row],[HAMMADDE KODU]],Tablo1[#All],3,0)," ")</f>
        <v>LSR 50</v>
      </c>
      <c r="P105" s="100" t="str">
        <f>IFERROR(VLOOKUP(Tablo515[[#This Row],[HAMMADDE KODU]],Tablo1[#All],4,0)," ")</f>
        <v>KCC</v>
      </c>
      <c r="Q105" s="100">
        <f>IFERROR(VLOOKUP(Tablo515[[#This Row],[ÜRÜN KODU]],YMKODLARI!$A$1:$K$363,5,0)," ")</f>
        <v>21.9</v>
      </c>
      <c r="R105" s="100">
        <f>IFERROR(VLOOKUP(Tablo515[[#This Row],[ÜRÜN KODU]],YMKODLARI!$A$1:$K$363,6,0)," ")</f>
        <v>16.100000000000001</v>
      </c>
      <c r="S105" s="100">
        <f>IFERROR(Tablo515[[#This Row],[YOLLUK HARİÇ BASKI GRAMI]]/Tablo515[[#This Row],[KALIP GÖZ ADEDİ]]," ")</f>
        <v>2.0125000000000002</v>
      </c>
      <c r="T105" s="100">
        <f t="shared" si="9"/>
        <v>5.7999999999999972</v>
      </c>
      <c r="U105" s="100">
        <v>9.5</v>
      </c>
      <c r="V105" s="100">
        <f t="shared" si="8"/>
        <v>35.662500000000009</v>
      </c>
      <c r="W105" s="101">
        <f t="shared" si="10"/>
        <v>23.583333333333332</v>
      </c>
      <c r="X105" s="102">
        <f t="shared" si="11"/>
        <v>13.999999999999972</v>
      </c>
      <c r="Y105" s="100">
        <f t="shared" si="12"/>
        <v>13.541666666666666</v>
      </c>
      <c r="Z105" s="100">
        <f t="shared" si="13"/>
        <v>13000</v>
      </c>
    </row>
    <row r="106" spans="1:26">
      <c r="A106" s="100" t="s">
        <v>42</v>
      </c>
      <c r="B106" s="108" t="str">
        <f>IFERROR(VLOOKUP(Tablo515[[#This Row],[ÜRÜN KODU]],YMKODLARI!$A$1:$K$363,2,0)," ")</f>
        <v>DAMAK EMZİK UCU 2 NO</v>
      </c>
      <c r="C106" s="99">
        <v>43964</v>
      </c>
      <c r="D106" s="100" t="s">
        <v>29</v>
      </c>
      <c r="E106" s="101">
        <v>0.33333333333333331</v>
      </c>
      <c r="F106" s="101">
        <v>0.75</v>
      </c>
      <c r="G106" s="100">
        <f>IFERROR(VLOOKUP(Tablo515[[#This Row],[ÜRÜN KODU]],YMKODLARI!$A$1:$K$363,3,0)," ")</f>
        <v>8</v>
      </c>
      <c r="H106" s="100">
        <f>IFERROR(VLOOKUP(Tablo515[[#This Row],[ÜRÜN KODU]],YMKODLARI!$A$1:$K$363,4,0)," ")</f>
        <v>30</v>
      </c>
      <c r="I106" s="100">
        <v>1154</v>
      </c>
      <c r="J106" s="100" t="str">
        <f>IFERROR(VLOOKUP(Tablo515[[#This Row],[ÜRÜN KODU]],YMKODLARI!$A$1:$K$363,9,0)," ")</f>
        <v>Şeffaf</v>
      </c>
      <c r="K106" s="100" t="str">
        <f>IFERROR(VLOOKUP(Tablo515[[#This Row],[BOYA KODU]],Tablo14[#All],4,0)," ")</f>
        <v xml:space="preserve"> </v>
      </c>
      <c r="L106" s="100" t="str">
        <f>IFERROR(VLOOKUP(Tablo515[[#This Row],[BOYA KODU]],Tablo14[#All],6,0)," ")</f>
        <v xml:space="preserve"> </v>
      </c>
      <c r="M106" s="100" t="str">
        <f t="shared" si="7"/>
        <v xml:space="preserve"> </v>
      </c>
      <c r="N106" s="100" t="s">
        <v>38</v>
      </c>
      <c r="O106" s="100" t="str">
        <f>IFERROR(VLOOKUP(Tablo515[[#This Row],[HAMMADDE KODU]],Tablo1[#All],3,0)," ")</f>
        <v>LSR 50</v>
      </c>
      <c r="P106" s="100" t="str">
        <f>IFERROR(VLOOKUP(Tablo515[[#This Row],[HAMMADDE KODU]],Tablo1[#All],4,0)," ")</f>
        <v>KCC</v>
      </c>
      <c r="Q106" s="100">
        <f>IFERROR(VLOOKUP(Tablo515[[#This Row],[ÜRÜN KODU]],YMKODLARI!$A$1:$K$363,5,0)," ")</f>
        <v>21.9</v>
      </c>
      <c r="R106" s="100">
        <f>IFERROR(VLOOKUP(Tablo515[[#This Row],[ÜRÜN KODU]],YMKODLARI!$A$1:$K$363,6,0)," ")</f>
        <v>16.100000000000001</v>
      </c>
      <c r="S106" s="100">
        <f>IFERROR(Tablo515[[#This Row],[YOLLUK HARİÇ BASKI GRAMI]]/Tablo515[[#This Row],[KALIP GÖZ ADEDİ]]," ")</f>
        <v>2.0125000000000002</v>
      </c>
      <c r="T106" s="100">
        <f t="shared" si="9"/>
        <v>5.7999999999999972</v>
      </c>
      <c r="U106" s="100">
        <v>6.5</v>
      </c>
      <c r="V106" s="100">
        <f t="shared" si="8"/>
        <v>25.0794</v>
      </c>
      <c r="W106" s="101">
        <f t="shared" si="10"/>
        <v>24.416666666666668</v>
      </c>
      <c r="X106" s="102">
        <f t="shared" si="11"/>
        <v>10.000000000000028</v>
      </c>
      <c r="Y106" s="100">
        <f t="shared" si="12"/>
        <v>9.6166666666666671</v>
      </c>
      <c r="Z106" s="100">
        <f t="shared" si="13"/>
        <v>9232</v>
      </c>
    </row>
    <row r="107" spans="1:26">
      <c r="A107" s="100" t="s">
        <v>42</v>
      </c>
      <c r="B107" s="108" t="str">
        <f>IFERROR(VLOOKUP(Tablo515[[#This Row],[ÜRÜN KODU]],YMKODLARI!$A$1:$K$363,2,0)," ")</f>
        <v>DAMAK EMZİK UCU 2 NO</v>
      </c>
      <c r="C107" s="99">
        <v>43964</v>
      </c>
      <c r="D107" s="100" t="s">
        <v>37</v>
      </c>
      <c r="E107" s="101">
        <v>0.75</v>
      </c>
      <c r="F107" s="101">
        <v>0.33333333333333331</v>
      </c>
      <c r="G107" s="100">
        <f>IFERROR(VLOOKUP(Tablo515[[#This Row],[ÜRÜN KODU]],YMKODLARI!$A$1:$K$363,3,0)," ")</f>
        <v>8</v>
      </c>
      <c r="H107" s="100">
        <f>IFERROR(VLOOKUP(Tablo515[[#This Row],[ÜRÜN KODU]],YMKODLARI!$A$1:$K$363,4,0)," ")</f>
        <v>30</v>
      </c>
      <c r="I107" s="100">
        <v>1737</v>
      </c>
      <c r="J107" s="100" t="str">
        <f>IFERROR(VLOOKUP(Tablo515[[#This Row],[ÜRÜN KODU]],YMKODLARI!$A$1:$K$363,9,0)," ")</f>
        <v>Şeffaf</v>
      </c>
      <c r="K107" s="100" t="str">
        <f>IFERROR(VLOOKUP(Tablo515[[#This Row],[BOYA KODU]],Tablo14[#All],4,0)," ")</f>
        <v xml:space="preserve"> </v>
      </c>
      <c r="L107" s="100" t="str">
        <f>IFERROR(VLOOKUP(Tablo515[[#This Row],[BOYA KODU]],Tablo14[#All],6,0)," ")</f>
        <v xml:space="preserve"> </v>
      </c>
      <c r="M107" s="100" t="str">
        <f t="shared" si="7"/>
        <v xml:space="preserve"> </v>
      </c>
      <c r="N107" s="100" t="s">
        <v>38</v>
      </c>
      <c r="O107" s="100" t="str">
        <f>IFERROR(VLOOKUP(Tablo515[[#This Row],[HAMMADDE KODU]],Tablo1[#All],3,0)," ")</f>
        <v>LSR 50</v>
      </c>
      <c r="P107" s="100" t="str">
        <f>IFERROR(VLOOKUP(Tablo515[[#This Row],[HAMMADDE KODU]],Tablo1[#All],4,0)," ")</f>
        <v>KCC</v>
      </c>
      <c r="Q107" s="100">
        <f>IFERROR(VLOOKUP(Tablo515[[#This Row],[ÜRÜN KODU]],YMKODLARI!$A$1:$K$363,5,0)," ")</f>
        <v>21.9</v>
      </c>
      <c r="R107" s="100">
        <f>IFERROR(VLOOKUP(Tablo515[[#This Row],[ÜRÜN KODU]],YMKODLARI!$A$1:$K$363,6,0)," ")</f>
        <v>16.100000000000001</v>
      </c>
      <c r="S107" s="100">
        <f>IFERROR(Tablo515[[#This Row],[YOLLUK HARİÇ BASKI GRAMI]]/Tablo515[[#This Row],[KALIP GÖZ ADEDİ]]," ")</f>
        <v>2.0125000000000002</v>
      </c>
      <c r="T107" s="100">
        <f t="shared" si="9"/>
        <v>5.7999999999999972</v>
      </c>
      <c r="U107" s="100">
        <v>10</v>
      </c>
      <c r="V107" s="100">
        <f t="shared" si="8"/>
        <v>37.965699999999998</v>
      </c>
      <c r="W107" s="101">
        <f t="shared" si="10"/>
        <v>23.583333333333332</v>
      </c>
      <c r="X107" s="102">
        <f t="shared" si="11"/>
        <v>13.999999999999972</v>
      </c>
      <c r="Y107" s="100">
        <f t="shared" si="12"/>
        <v>14.475</v>
      </c>
      <c r="Z107" s="100">
        <f t="shared" si="13"/>
        <v>13896</v>
      </c>
    </row>
    <row r="108" spans="1:26">
      <c r="A108" s="100" t="s">
        <v>42</v>
      </c>
      <c r="B108" s="108" t="str">
        <f>IFERROR(VLOOKUP(Tablo515[[#This Row],[ÜRÜN KODU]],YMKODLARI!$A$1:$K$363,2,0)," ")</f>
        <v>DAMAK EMZİK UCU 2 NO</v>
      </c>
      <c r="C108" s="99">
        <v>43965</v>
      </c>
      <c r="D108" s="100" t="s">
        <v>29</v>
      </c>
      <c r="E108" s="101">
        <v>0.33333333333333331</v>
      </c>
      <c r="F108" s="101">
        <v>0.75</v>
      </c>
      <c r="G108" s="100">
        <f>IFERROR(VLOOKUP(Tablo515[[#This Row],[ÜRÜN KODU]],YMKODLARI!$A$1:$K$363,3,0)," ")</f>
        <v>8</v>
      </c>
      <c r="H108" s="100">
        <f>IFERROR(VLOOKUP(Tablo515[[#This Row],[ÜRÜN KODU]],YMKODLARI!$A$1:$K$363,4,0)," ")</f>
        <v>30</v>
      </c>
      <c r="I108" s="100">
        <v>1085</v>
      </c>
      <c r="J108" s="100" t="str">
        <f>IFERROR(VLOOKUP(Tablo515[[#This Row],[ÜRÜN KODU]],YMKODLARI!$A$1:$K$363,9,0)," ")</f>
        <v>Şeffaf</v>
      </c>
      <c r="K108" s="100" t="str">
        <f>IFERROR(VLOOKUP(Tablo515[[#This Row],[BOYA KODU]],Tablo14[#All],4,0)," ")</f>
        <v xml:space="preserve"> </v>
      </c>
      <c r="L108" s="100" t="str">
        <f>IFERROR(VLOOKUP(Tablo515[[#This Row],[BOYA KODU]],Tablo14[#All],6,0)," ")</f>
        <v xml:space="preserve"> </v>
      </c>
      <c r="M108" s="100" t="str">
        <f t="shared" si="7"/>
        <v xml:space="preserve"> </v>
      </c>
      <c r="N108" s="100" t="s">
        <v>38</v>
      </c>
      <c r="O108" s="100" t="str">
        <f>IFERROR(VLOOKUP(Tablo515[[#This Row],[HAMMADDE KODU]],Tablo1[#All],3,0)," ")</f>
        <v>LSR 50</v>
      </c>
      <c r="P108" s="100" t="str">
        <f>IFERROR(VLOOKUP(Tablo515[[#This Row],[HAMMADDE KODU]],Tablo1[#All],4,0)," ")</f>
        <v>KCC</v>
      </c>
      <c r="Q108" s="100">
        <f>IFERROR(VLOOKUP(Tablo515[[#This Row],[ÜRÜN KODU]],YMKODLARI!$A$1:$K$363,5,0)," ")</f>
        <v>21.9</v>
      </c>
      <c r="R108" s="100">
        <f>IFERROR(VLOOKUP(Tablo515[[#This Row],[ÜRÜN KODU]],YMKODLARI!$A$1:$K$363,6,0)," ")</f>
        <v>16.100000000000001</v>
      </c>
      <c r="S108" s="100">
        <f>IFERROR(Tablo515[[#This Row],[YOLLUK HARİÇ BASKI GRAMI]]/Tablo515[[#This Row],[KALIP GÖZ ADEDİ]]," ")</f>
        <v>2.0125000000000002</v>
      </c>
      <c r="T108" s="100">
        <f t="shared" si="9"/>
        <v>5.7999999999999972</v>
      </c>
      <c r="U108" s="100">
        <v>8</v>
      </c>
      <c r="V108" s="100">
        <f t="shared" si="8"/>
        <v>25.468499999999999</v>
      </c>
      <c r="W108" s="101">
        <f t="shared" si="10"/>
        <v>24.416666666666668</v>
      </c>
      <c r="X108" s="102">
        <f t="shared" si="11"/>
        <v>10.000000000000028</v>
      </c>
      <c r="Y108" s="100">
        <f t="shared" si="12"/>
        <v>9.0416666666666661</v>
      </c>
      <c r="Z108" s="100">
        <f t="shared" si="13"/>
        <v>8680</v>
      </c>
    </row>
    <row r="109" spans="1:26">
      <c r="A109" s="100" t="s">
        <v>42</v>
      </c>
      <c r="B109" s="108" t="str">
        <f>IFERROR(VLOOKUP(Tablo515[[#This Row],[ÜRÜN KODU]],YMKODLARI!$A$1:$K$363,2,0)," ")</f>
        <v>DAMAK EMZİK UCU 2 NO</v>
      </c>
      <c r="C109" s="99">
        <v>43965</v>
      </c>
      <c r="D109" s="100" t="s">
        <v>37</v>
      </c>
      <c r="E109" s="101">
        <v>0.75</v>
      </c>
      <c r="F109" s="101">
        <v>0.33333333333333331</v>
      </c>
      <c r="G109" s="100">
        <f>IFERROR(VLOOKUP(Tablo515[[#This Row],[ÜRÜN KODU]],YMKODLARI!$A$1:$K$363,3,0)," ")</f>
        <v>8</v>
      </c>
      <c r="H109" s="100">
        <f>IFERROR(VLOOKUP(Tablo515[[#This Row],[ÜRÜN KODU]],YMKODLARI!$A$1:$K$363,4,0)," ")</f>
        <v>30</v>
      </c>
      <c r="I109" s="100">
        <v>1286</v>
      </c>
      <c r="J109" s="100" t="str">
        <f>IFERROR(VLOOKUP(Tablo515[[#This Row],[ÜRÜN KODU]],YMKODLARI!$A$1:$K$363,9,0)," ")</f>
        <v>Şeffaf</v>
      </c>
      <c r="K109" s="100" t="str">
        <f>IFERROR(VLOOKUP(Tablo515[[#This Row],[BOYA KODU]],Tablo14[#All],4,0)," ")</f>
        <v xml:space="preserve"> </v>
      </c>
      <c r="L109" s="100" t="str">
        <f>IFERROR(VLOOKUP(Tablo515[[#This Row],[BOYA KODU]],Tablo14[#All],6,0)," ")</f>
        <v xml:space="preserve"> </v>
      </c>
      <c r="M109" s="100" t="str">
        <f t="shared" si="7"/>
        <v xml:space="preserve"> </v>
      </c>
      <c r="N109" s="100" t="s">
        <v>38</v>
      </c>
      <c r="O109" s="100" t="str">
        <f>IFERROR(VLOOKUP(Tablo515[[#This Row],[HAMMADDE KODU]],Tablo1[#All],3,0)," ")</f>
        <v>LSR 50</v>
      </c>
      <c r="P109" s="100" t="str">
        <f>IFERROR(VLOOKUP(Tablo515[[#This Row],[HAMMADDE KODU]],Tablo1[#All],4,0)," ")</f>
        <v>KCC</v>
      </c>
      <c r="Q109" s="100">
        <f>IFERROR(VLOOKUP(Tablo515[[#This Row],[ÜRÜN KODU]],YMKODLARI!$A$1:$K$363,5,0)," ")</f>
        <v>21.9</v>
      </c>
      <c r="R109" s="100">
        <f>IFERROR(VLOOKUP(Tablo515[[#This Row],[ÜRÜN KODU]],YMKODLARI!$A$1:$K$363,6,0)," ")</f>
        <v>16.100000000000001</v>
      </c>
      <c r="S109" s="100">
        <f>IFERROR(Tablo515[[#This Row],[YOLLUK HARİÇ BASKI GRAMI]]/Tablo515[[#This Row],[KALIP GÖZ ADEDİ]]," ")</f>
        <v>2.0125000000000002</v>
      </c>
      <c r="T109" s="100">
        <f t="shared" si="9"/>
        <v>5.7999999999999972</v>
      </c>
      <c r="U109" s="100">
        <v>8.5</v>
      </c>
      <c r="V109" s="100">
        <f t="shared" si="8"/>
        <v>29.204600000000003</v>
      </c>
      <c r="W109" s="101">
        <f t="shared" si="10"/>
        <v>23.583333333333332</v>
      </c>
      <c r="X109" s="102">
        <f t="shared" si="11"/>
        <v>13.999999999999972</v>
      </c>
      <c r="Y109" s="100">
        <f t="shared" si="12"/>
        <v>10.716666666666667</v>
      </c>
      <c r="Z109" s="100">
        <f t="shared" si="13"/>
        <v>10288</v>
      </c>
    </row>
    <row r="110" spans="1:26">
      <c r="A110" s="100" t="s">
        <v>42</v>
      </c>
      <c r="B110" s="108" t="str">
        <f>IFERROR(VLOOKUP(Tablo515[[#This Row],[ÜRÜN KODU]],YMKODLARI!$A$1:$K$363,2,0)," ")</f>
        <v>DAMAK EMZİK UCU 2 NO</v>
      </c>
      <c r="C110" s="99">
        <v>43966</v>
      </c>
      <c r="D110" s="100" t="s">
        <v>29</v>
      </c>
      <c r="E110" s="101">
        <v>0.33333333333333331</v>
      </c>
      <c r="F110" s="101">
        <v>0.72916666666666663</v>
      </c>
      <c r="G110" s="100">
        <f>IFERROR(VLOOKUP(Tablo515[[#This Row],[ÜRÜN KODU]],YMKODLARI!$A$1:$K$363,3,0)," ")</f>
        <v>8</v>
      </c>
      <c r="H110" s="100">
        <f>IFERROR(VLOOKUP(Tablo515[[#This Row],[ÜRÜN KODU]],YMKODLARI!$A$1:$K$363,4,0)," ")</f>
        <v>30</v>
      </c>
      <c r="I110" s="100">
        <v>939</v>
      </c>
      <c r="J110" s="100" t="str">
        <f>IFERROR(VLOOKUP(Tablo515[[#This Row],[ÜRÜN KODU]],YMKODLARI!$A$1:$K$363,9,0)," ")</f>
        <v>Şeffaf</v>
      </c>
      <c r="K110" s="100" t="str">
        <f>IFERROR(VLOOKUP(Tablo515[[#This Row],[BOYA KODU]],Tablo14[#All],4,0)," ")</f>
        <v xml:space="preserve"> </v>
      </c>
      <c r="L110" s="100" t="str">
        <f>IFERROR(VLOOKUP(Tablo515[[#This Row],[BOYA KODU]],Tablo14[#All],6,0)," ")</f>
        <v xml:space="preserve"> </v>
      </c>
      <c r="M110" s="100" t="str">
        <f t="shared" si="7"/>
        <v xml:space="preserve"> </v>
      </c>
      <c r="N110" s="100" t="s">
        <v>38</v>
      </c>
      <c r="O110" s="100" t="str">
        <f>IFERROR(VLOOKUP(Tablo515[[#This Row],[HAMMADDE KODU]],Tablo1[#All],3,0)," ")</f>
        <v>LSR 50</v>
      </c>
      <c r="P110" s="100" t="str">
        <f>IFERROR(VLOOKUP(Tablo515[[#This Row],[HAMMADDE KODU]],Tablo1[#All],4,0)," ")</f>
        <v>KCC</v>
      </c>
      <c r="Q110" s="100">
        <f>IFERROR(VLOOKUP(Tablo515[[#This Row],[ÜRÜN KODU]],YMKODLARI!$A$1:$K$363,5,0)," ")</f>
        <v>21.9</v>
      </c>
      <c r="R110" s="100">
        <f>IFERROR(VLOOKUP(Tablo515[[#This Row],[ÜRÜN KODU]],YMKODLARI!$A$1:$K$363,6,0)," ")</f>
        <v>16.100000000000001</v>
      </c>
      <c r="S110" s="100">
        <f>IFERROR(Tablo515[[#This Row],[YOLLUK HARİÇ BASKI GRAMI]]/Tablo515[[#This Row],[KALIP GÖZ ADEDİ]]," ")</f>
        <v>2.0125000000000002</v>
      </c>
      <c r="T110" s="100">
        <f t="shared" si="9"/>
        <v>5.7999999999999972</v>
      </c>
      <c r="U110" s="100">
        <v>8.8000000000000007</v>
      </c>
      <c r="V110" s="100">
        <f t="shared" si="8"/>
        <v>23.917900000000003</v>
      </c>
      <c r="W110" s="101">
        <f t="shared" si="10"/>
        <v>24.395833333333332</v>
      </c>
      <c r="X110" s="102">
        <f t="shared" si="11"/>
        <v>9.4999999999999716</v>
      </c>
      <c r="Y110" s="100">
        <f t="shared" si="12"/>
        <v>7.8250000000000002</v>
      </c>
      <c r="Z110" s="100">
        <f t="shared" si="13"/>
        <v>7512</v>
      </c>
    </row>
    <row r="111" spans="1:26">
      <c r="A111" s="100" t="s">
        <v>42</v>
      </c>
      <c r="B111" s="108" t="str">
        <f>IFERROR(VLOOKUP(Tablo515[[#This Row],[ÜRÜN KODU]],YMKODLARI!$A$1:$K$363,2,0)," ")</f>
        <v>DAMAK EMZİK UCU 2 NO</v>
      </c>
      <c r="C111" s="99">
        <v>43971</v>
      </c>
      <c r="D111" s="100" t="s">
        <v>36</v>
      </c>
      <c r="E111" s="101">
        <v>0.58333333333333337</v>
      </c>
      <c r="F111" s="101">
        <v>0.75</v>
      </c>
      <c r="G111" s="100">
        <f>IFERROR(VLOOKUP(Tablo515[[#This Row],[ÜRÜN KODU]],YMKODLARI!$A$1:$K$363,3,0)," ")</f>
        <v>8</v>
      </c>
      <c r="H111" s="100">
        <f>IFERROR(VLOOKUP(Tablo515[[#This Row],[ÜRÜN KODU]],YMKODLARI!$A$1:$K$363,4,0)," ")</f>
        <v>30</v>
      </c>
      <c r="I111" s="100">
        <v>500</v>
      </c>
      <c r="J111" s="100" t="str">
        <f>IFERROR(VLOOKUP(Tablo515[[#This Row],[ÜRÜN KODU]],YMKODLARI!$A$1:$K$363,9,0)," ")</f>
        <v>Şeffaf</v>
      </c>
      <c r="K111" s="100" t="str">
        <f>IFERROR(VLOOKUP(Tablo515[[#This Row],[BOYA KODU]],Tablo14[#All],4,0)," ")</f>
        <v xml:space="preserve"> </v>
      </c>
      <c r="L111" s="100" t="str">
        <f>IFERROR(VLOOKUP(Tablo515[[#This Row],[BOYA KODU]],Tablo14[#All],6,0)," ")</f>
        <v xml:space="preserve"> </v>
      </c>
      <c r="M111" s="100" t="str">
        <f t="shared" si="7"/>
        <v xml:space="preserve"> </v>
      </c>
      <c r="N111" s="100" t="s">
        <v>38</v>
      </c>
      <c r="O111" s="100" t="str">
        <f>IFERROR(VLOOKUP(Tablo515[[#This Row],[HAMMADDE KODU]],Tablo1[#All],3,0)," ")</f>
        <v>LSR 50</v>
      </c>
      <c r="P111" s="100" t="str">
        <f>IFERROR(VLOOKUP(Tablo515[[#This Row],[HAMMADDE KODU]],Tablo1[#All],4,0)," ")</f>
        <v>KCC</v>
      </c>
      <c r="Q111" s="100">
        <f>IFERROR(VLOOKUP(Tablo515[[#This Row],[ÜRÜN KODU]],YMKODLARI!$A$1:$K$363,5,0)," ")</f>
        <v>21.9</v>
      </c>
      <c r="R111" s="100">
        <f>IFERROR(VLOOKUP(Tablo515[[#This Row],[ÜRÜN KODU]],YMKODLARI!$A$1:$K$363,6,0)," ")</f>
        <v>16.100000000000001</v>
      </c>
      <c r="S111" s="100">
        <f>IFERROR(Tablo515[[#This Row],[YOLLUK HARİÇ BASKI GRAMI]]/Tablo515[[#This Row],[KALIP GÖZ ADEDİ]]," ")</f>
        <v>2.0125000000000002</v>
      </c>
      <c r="T111" s="100">
        <f t="shared" si="9"/>
        <v>5.7999999999999972</v>
      </c>
      <c r="U111" s="100">
        <v>3.2</v>
      </c>
      <c r="V111" s="100">
        <f t="shared" si="8"/>
        <v>11.25</v>
      </c>
      <c r="W111" s="101">
        <f t="shared" si="10"/>
        <v>24.166666666666668</v>
      </c>
      <c r="X111" s="102">
        <f t="shared" si="11"/>
        <v>4.0000000000000284</v>
      </c>
      <c r="Y111" s="100">
        <f t="shared" si="12"/>
        <v>4.166666666666667</v>
      </c>
      <c r="Z111" s="100">
        <f t="shared" si="13"/>
        <v>4000</v>
      </c>
    </row>
    <row r="112" spans="1:26">
      <c r="A112" s="100" t="s">
        <v>42</v>
      </c>
      <c r="B112" s="108" t="str">
        <f>IFERROR(VLOOKUP(Tablo515[[#This Row],[ÜRÜN KODU]],YMKODLARI!$A$1:$K$363,2,0)," ")</f>
        <v>DAMAK EMZİK UCU 2 NO</v>
      </c>
      <c r="C112" s="99">
        <v>43972</v>
      </c>
      <c r="D112" s="100" t="s">
        <v>36</v>
      </c>
      <c r="E112" s="101">
        <v>0.33333333333333331</v>
      </c>
      <c r="F112" s="101">
        <v>0.75</v>
      </c>
      <c r="G112" s="100">
        <f>IFERROR(VLOOKUP(Tablo515[[#This Row],[ÜRÜN KODU]],YMKODLARI!$A$1:$K$363,3,0)," ")</f>
        <v>8</v>
      </c>
      <c r="H112" s="100">
        <f>IFERROR(VLOOKUP(Tablo515[[#This Row],[ÜRÜN KODU]],YMKODLARI!$A$1:$K$363,4,0)," ")</f>
        <v>30</v>
      </c>
      <c r="I112" s="100">
        <v>1055</v>
      </c>
      <c r="J112" s="100" t="str">
        <f>IFERROR(VLOOKUP(Tablo515[[#This Row],[ÜRÜN KODU]],YMKODLARI!$A$1:$K$363,9,0)," ")</f>
        <v>Şeffaf</v>
      </c>
      <c r="K112" s="100" t="str">
        <f>IFERROR(VLOOKUP(Tablo515[[#This Row],[BOYA KODU]],Tablo14[#All],4,0)," ")</f>
        <v xml:space="preserve"> </v>
      </c>
      <c r="L112" s="100" t="str">
        <f>IFERROR(VLOOKUP(Tablo515[[#This Row],[BOYA KODU]],Tablo14[#All],6,0)," ")</f>
        <v xml:space="preserve"> </v>
      </c>
      <c r="M112" s="100" t="str">
        <f t="shared" si="7"/>
        <v xml:space="preserve"> </v>
      </c>
      <c r="N112" s="100" t="s">
        <v>38</v>
      </c>
      <c r="O112" s="100" t="str">
        <f>IFERROR(VLOOKUP(Tablo515[[#This Row],[HAMMADDE KODU]],Tablo1[#All],3,0)," ")</f>
        <v>LSR 50</v>
      </c>
      <c r="P112" s="100" t="str">
        <f>IFERROR(VLOOKUP(Tablo515[[#This Row],[HAMMADDE KODU]],Tablo1[#All],4,0)," ")</f>
        <v>KCC</v>
      </c>
      <c r="Q112" s="100">
        <f>IFERROR(VLOOKUP(Tablo515[[#This Row],[ÜRÜN KODU]],YMKODLARI!$A$1:$K$363,5,0)," ")</f>
        <v>21.9</v>
      </c>
      <c r="R112" s="100">
        <f>IFERROR(VLOOKUP(Tablo515[[#This Row],[ÜRÜN KODU]],YMKODLARI!$A$1:$K$363,6,0)," ")</f>
        <v>16.100000000000001</v>
      </c>
      <c r="S112" s="100">
        <f>IFERROR(Tablo515[[#This Row],[YOLLUK HARİÇ BASKI GRAMI]]/Tablo515[[#This Row],[KALIP GÖZ ADEDİ]]," ")</f>
        <v>2.0125000000000002</v>
      </c>
      <c r="T112" s="100">
        <f t="shared" si="9"/>
        <v>5.7999999999999972</v>
      </c>
      <c r="U112" s="100">
        <v>6.3</v>
      </c>
      <c r="V112" s="100">
        <f t="shared" si="8"/>
        <v>23.285499999999999</v>
      </c>
      <c r="W112" s="101">
        <f t="shared" si="10"/>
        <v>24.416666666666668</v>
      </c>
      <c r="X112" s="102">
        <f t="shared" si="11"/>
        <v>10.000000000000028</v>
      </c>
      <c r="Y112" s="100">
        <f t="shared" si="12"/>
        <v>8.7916666666666661</v>
      </c>
      <c r="Z112" s="100">
        <f t="shared" si="13"/>
        <v>8440</v>
      </c>
    </row>
    <row r="113" spans="1:26">
      <c r="A113" s="100" t="s">
        <v>42</v>
      </c>
      <c r="B113" s="108" t="str">
        <f>IFERROR(VLOOKUP(Tablo515[[#This Row],[ÜRÜN KODU]],YMKODLARI!$A$1:$K$363,2,0)," ")</f>
        <v>DAMAK EMZİK UCU 2 NO</v>
      </c>
      <c r="C113" s="99">
        <v>43973</v>
      </c>
      <c r="D113" s="100" t="s">
        <v>33</v>
      </c>
      <c r="E113" s="101">
        <v>0.33333333333333331</v>
      </c>
      <c r="F113" s="101">
        <v>0.64583333333333337</v>
      </c>
      <c r="G113" s="100">
        <f>IFERROR(VLOOKUP(Tablo515[[#This Row],[ÜRÜN KODU]],YMKODLARI!$A$1:$K$363,3,0)," ")</f>
        <v>8</v>
      </c>
      <c r="H113" s="100">
        <f>IFERROR(VLOOKUP(Tablo515[[#This Row],[ÜRÜN KODU]],YMKODLARI!$A$1:$K$363,4,0)," ")</f>
        <v>30</v>
      </c>
      <c r="I113" s="100">
        <v>716</v>
      </c>
      <c r="J113" s="100" t="str">
        <f>IFERROR(VLOOKUP(Tablo515[[#This Row],[ÜRÜN KODU]],YMKODLARI!$A$1:$K$363,9,0)," ")</f>
        <v>Şeffaf</v>
      </c>
      <c r="K113" s="100" t="str">
        <f>IFERROR(VLOOKUP(Tablo515[[#This Row],[BOYA KODU]],Tablo14[#All],4,0)," ")</f>
        <v xml:space="preserve"> </v>
      </c>
      <c r="L113" s="100" t="str">
        <f>IFERROR(VLOOKUP(Tablo515[[#This Row],[BOYA KODU]],Tablo14[#All],6,0)," ")</f>
        <v xml:space="preserve"> </v>
      </c>
      <c r="M113" s="100" t="str">
        <f t="shared" si="7"/>
        <v xml:space="preserve"> </v>
      </c>
      <c r="N113" s="100" t="s">
        <v>38</v>
      </c>
      <c r="O113" s="100" t="str">
        <f>IFERROR(VLOOKUP(Tablo515[[#This Row],[HAMMADDE KODU]],Tablo1[#All],3,0)," ")</f>
        <v>LSR 50</v>
      </c>
      <c r="P113" s="100" t="str">
        <f>IFERROR(VLOOKUP(Tablo515[[#This Row],[HAMMADDE KODU]],Tablo1[#All],4,0)," ")</f>
        <v>KCC</v>
      </c>
      <c r="Q113" s="100">
        <f>IFERROR(VLOOKUP(Tablo515[[#This Row],[ÜRÜN KODU]],YMKODLARI!$A$1:$K$363,5,0)," ")</f>
        <v>21.9</v>
      </c>
      <c r="R113" s="100">
        <f>IFERROR(VLOOKUP(Tablo515[[#This Row],[ÜRÜN KODU]],YMKODLARI!$A$1:$K$363,6,0)," ")</f>
        <v>16.100000000000001</v>
      </c>
      <c r="S113" s="100">
        <f>IFERROR(Tablo515[[#This Row],[YOLLUK HARİÇ BASKI GRAMI]]/Tablo515[[#This Row],[KALIP GÖZ ADEDİ]]," ")</f>
        <v>2.0125000000000002</v>
      </c>
      <c r="T113" s="100">
        <f t="shared" si="9"/>
        <v>5.7999999999999972</v>
      </c>
      <c r="U113" s="100">
        <v>5</v>
      </c>
      <c r="V113" s="100">
        <f t="shared" si="8"/>
        <v>16.5276</v>
      </c>
      <c r="W113" s="101">
        <f t="shared" si="10"/>
        <v>24.3125</v>
      </c>
      <c r="X113" s="102">
        <f t="shared" si="11"/>
        <v>7.5</v>
      </c>
      <c r="Y113" s="100">
        <f t="shared" si="12"/>
        <v>5.9666666666666668</v>
      </c>
      <c r="Z113" s="100">
        <f t="shared" si="13"/>
        <v>5728</v>
      </c>
    </row>
    <row r="114" spans="1:26">
      <c r="A114" s="100" t="s">
        <v>32</v>
      </c>
      <c r="B114" s="108" t="str">
        <f>IFERROR(VLOOKUP(Tablo515[[#This Row],[ÜRÜN KODU]],YMKODLARI!$A$1:$K$363,2,0)," ")</f>
        <v>GENİŞ AĞIZ BİBERON UCU</v>
      </c>
      <c r="C114" s="99">
        <v>43978</v>
      </c>
      <c r="D114" s="100" t="s">
        <v>29</v>
      </c>
      <c r="E114" s="101">
        <v>0.47916666666666669</v>
      </c>
      <c r="F114" s="101">
        <v>0.75</v>
      </c>
      <c r="G114" s="100">
        <f>IFERROR(VLOOKUP(Tablo515[[#This Row],[ÜRÜN KODU]],YMKODLARI!$A$1:$K$363,3,0)," ")</f>
        <v>6</v>
      </c>
      <c r="H114" s="100">
        <f>IFERROR(VLOOKUP(Tablo515[[#This Row],[ÜRÜN KODU]],YMKODLARI!$A$1:$K$363,4,0)," ")</f>
        <v>45</v>
      </c>
      <c r="I114" s="100">
        <v>354</v>
      </c>
      <c r="J114" s="100" t="str">
        <f>IFERROR(VLOOKUP(Tablo515[[#This Row],[ÜRÜN KODU]],YMKODLARI!$A$1:$K$363,9,0)," ")</f>
        <v>Şeffaf</v>
      </c>
      <c r="K114" s="100" t="str">
        <f>IFERROR(VLOOKUP(Tablo515[[#This Row],[BOYA KODU]],Tablo14[#All],4,0)," ")</f>
        <v xml:space="preserve"> </v>
      </c>
      <c r="L114" s="100" t="str">
        <f>IFERROR(VLOOKUP(Tablo515[[#This Row],[BOYA KODU]],Tablo14[#All],6,0)," ")</f>
        <v xml:space="preserve"> </v>
      </c>
      <c r="M114" s="100" t="str">
        <f t="shared" si="7"/>
        <v xml:space="preserve"> </v>
      </c>
      <c r="N114" s="100" t="str">
        <f>IFERROR(VLOOKUP(Tablo515[[#This Row],[ÜRÜN KODU]],YMKODLARI!$A$1:$K$363,8,0)," ")</f>
        <v>HM 003</v>
      </c>
      <c r="O114" s="100" t="str">
        <f>IFERROR(VLOOKUP(Tablo515[[#This Row],[HAMMADDE KODU]],Tablo1[#All],3,0)," ")</f>
        <v>LSR 45</v>
      </c>
      <c r="P114" s="100" t="str">
        <f>IFERROR(VLOOKUP(Tablo515[[#This Row],[HAMMADDE KODU]],Tablo1[#All],4,0)," ")</f>
        <v>SETA</v>
      </c>
      <c r="Q114" s="100">
        <f>IFERROR(VLOOKUP(Tablo515[[#This Row],[ÜRÜN KODU]],YMKODLARI!$A$1:$K$363,5,0)," ")</f>
        <v>59.7</v>
      </c>
      <c r="R114" s="100">
        <f>IFERROR(VLOOKUP(Tablo515[[#This Row],[ÜRÜN KODU]],YMKODLARI!$A$1:$K$363,6,0)," ")</f>
        <v>53.6</v>
      </c>
      <c r="S114" s="100">
        <f>IFERROR(Tablo515[[#This Row],[YOLLUK HARİÇ BASKI GRAMI]]/Tablo515[[#This Row],[KALIP GÖZ ADEDİ]]," ")</f>
        <v>8.9333333333333336</v>
      </c>
      <c r="T114" s="100">
        <f t="shared" si="9"/>
        <v>6.1000000000000014</v>
      </c>
      <c r="U114" s="100">
        <v>3.5</v>
      </c>
      <c r="V114" s="100">
        <f t="shared" si="8"/>
        <v>22.474400000000003</v>
      </c>
      <c r="W114" s="101">
        <f t="shared" si="10"/>
        <v>24.270833333333332</v>
      </c>
      <c r="X114" s="102">
        <f t="shared" si="11"/>
        <v>6.4999999999999716</v>
      </c>
      <c r="Y114" s="100">
        <f t="shared" si="12"/>
        <v>4.4249999999999998</v>
      </c>
      <c r="Z114" s="100">
        <f t="shared" si="13"/>
        <v>2124</v>
      </c>
    </row>
    <row r="115" spans="1:26">
      <c r="A115" s="100" t="s">
        <v>32</v>
      </c>
      <c r="B115" s="108" t="str">
        <f>IFERROR(VLOOKUP(Tablo515[[#This Row],[ÜRÜN KODU]],YMKODLARI!$A$1:$K$363,2,0)," ")</f>
        <v>GENİŞ AĞIZ BİBERON UCU</v>
      </c>
      <c r="C115" s="99">
        <v>43979</v>
      </c>
      <c r="D115" s="100" t="s">
        <v>29</v>
      </c>
      <c r="E115" s="101">
        <v>0.33333333333333331</v>
      </c>
      <c r="F115" s="101">
        <v>0.75</v>
      </c>
      <c r="G115" s="100">
        <f>IFERROR(VLOOKUP(Tablo515[[#This Row],[ÜRÜN KODU]],YMKODLARI!$A$1:$K$363,3,0)," ")</f>
        <v>6</v>
      </c>
      <c r="H115" s="100">
        <f>IFERROR(VLOOKUP(Tablo515[[#This Row],[ÜRÜN KODU]],YMKODLARI!$A$1:$K$363,4,0)," ")</f>
        <v>45</v>
      </c>
      <c r="I115" s="100">
        <v>581</v>
      </c>
      <c r="J115" s="100" t="str">
        <f>IFERROR(VLOOKUP(Tablo515[[#This Row],[ÜRÜN KODU]],YMKODLARI!$A$1:$K$363,9,0)," ")</f>
        <v>Şeffaf</v>
      </c>
      <c r="K115" s="100" t="str">
        <f>IFERROR(VLOOKUP(Tablo515[[#This Row],[BOYA KODU]],Tablo14[#All],4,0)," ")</f>
        <v xml:space="preserve"> </v>
      </c>
      <c r="L115" s="100" t="str">
        <f>IFERROR(VLOOKUP(Tablo515[[#This Row],[BOYA KODU]],Tablo14[#All],6,0)," ")</f>
        <v xml:space="preserve"> </v>
      </c>
      <c r="M115" s="100" t="str">
        <f t="shared" si="7"/>
        <v xml:space="preserve"> </v>
      </c>
      <c r="N115" s="100" t="str">
        <f>IFERROR(VLOOKUP(Tablo515[[#This Row],[ÜRÜN KODU]],YMKODLARI!$A$1:$K$363,8,0)," ")</f>
        <v>HM 003</v>
      </c>
      <c r="O115" s="100" t="str">
        <f>IFERROR(VLOOKUP(Tablo515[[#This Row],[HAMMADDE KODU]],Tablo1[#All],3,0)," ")</f>
        <v>LSR 45</v>
      </c>
      <c r="P115" s="100" t="str">
        <f>IFERROR(VLOOKUP(Tablo515[[#This Row],[HAMMADDE KODU]],Tablo1[#All],4,0)," ")</f>
        <v>SETA</v>
      </c>
      <c r="Q115" s="100">
        <f>IFERROR(VLOOKUP(Tablo515[[#This Row],[ÜRÜN KODU]],YMKODLARI!$A$1:$K$363,5,0)," ")</f>
        <v>59.7</v>
      </c>
      <c r="R115" s="100">
        <f>IFERROR(VLOOKUP(Tablo515[[#This Row],[ÜRÜN KODU]],YMKODLARI!$A$1:$K$363,6,0)," ")</f>
        <v>53.6</v>
      </c>
      <c r="S115" s="100">
        <f>IFERROR(Tablo515[[#This Row],[YOLLUK HARİÇ BASKI GRAMI]]/Tablo515[[#This Row],[KALIP GÖZ ADEDİ]]," ")</f>
        <v>8.9333333333333336</v>
      </c>
      <c r="T115" s="100">
        <f t="shared" si="9"/>
        <v>6.1000000000000014</v>
      </c>
      <c r="U115" s="100">
        <v>3.8</v>
      </c>
      <c r="V115" s="100">
        <f t="shared" si="8"/>
        <v>34.941600000000001</v>
      </c>
      <c r="W115" s="101">
        <f t="shared" si="10"/>
        <v>24.416666666666668</v>
      </c>
      <c r="X115" s="102">
        <f t="shared" si="11"/>
        <v>10.000000000000028</v>
      </c>
      <c r="Y115" s="100">
        <f t="shared" si="12"/>
        <v>7.2625000000000002</v>
      </c>
      <c r="Z115" s="100">
        <f t="shared" si="13"/>
        <v>3486</v>
      </c>
    </row>
    <row r="116" spans="1:26">
      <c r="A116" s="100" t="s">
        <v>32</v>
      </c>
      <c r="B116" s="108" t="str">
        <f>IFERROR(VLOOKUP(Tablo515[[#This Row],[ÜRÜN KODU]],YMKODLARI!$A$1:$K$363,2,0)," ")</f>
        <v>GENİŞ AĞIZ BİBERON UCU</v>
      </c>
      <c r="C116" s="99">
        <v>43980</v>
      </c>
      <c r="D116" s="100" t="s">
        <v>29</v>
      </c>
      <c r="E116" s="101">
        <v>0.33333333333333331</v>
      </c>
      <c r="F116" s="101">
        <v>0.72916666666666663</v>
      </c>
      <c r="G116" s="100">
        <f>IFERROR(VLOOKUP(Tablo515[[#This Row],[ÜRÜN KODU]],YMKODLARI!$A$1:$K$363,3,0)," ")</f>
        <v>6</v>
      </c>
      <c r="H116" s="100">
        <f>IFERROR(VLOOKUP(Tablo515[[#This Row],[ÜRÜN KODU]],YMKODLARI!$A$1:$K$363,4,0)," ")</f>
        <v>45</v>
      </c>
      <c r="I116" s="100">
        <v>610</v>
      </c>
      <c r="J116" s="100" t="str">
        <f>IFERROR(VLOOKUP(Tablo515[[#This Row],[ÜRÜN KODU]],YMKODLARI!$A$1:$K$363,9,0)," ")</f>
        <v>Şeffaf</v>
      </c>
      <c r="K116" s="100" t="str">
        <f>IFERROR(VLOOKUP(Tablo515[[#This Row],[BOYA KODU]],Tablo14[#All],4,0)," ")</f>
        <v xml:space="preserve"> </v>
      </c>
      <c r="L116" s="100" t="str">
        <f>IFERROR(VLOOKUP(Tablo515[[#This Row],[BOYA KODU]],Tablo14[#All],6,0)," ")</f>
        <v xml:space="preserve"> </v>
      </c>
      <c r="M116" s="100" t="str">
        <f t="shared" si="7"/>
        <v xml:space="preserve"> </v>
      </c>
      <c r="N116" s="100" t="str">
        <f>IFERROR(VLOOKUP(Tablo515[[#This Row],[ÜRÜN KODU]],YMKODLARI!$A$1:$K$363,8,0)," ")</f>
        <v>HM 003</v>
      </c>
      <c r="O116" s="100" t="str">
        <f>IFERROR(VLOOKUP(Tablo515[[#This Row],[HAMMADDE KODU]],Tablo1[#All],3,0)," ")</f>
        <v>LSR 45</v>
      </c>
      <c r="P116" s="100" t="str">
        <f>IFERROR(VLOOKUP(Tablo515[[#This Row],[HAMMADDE KODU]],Tablo1[#All],4,0)," ")</f>
        <v>SETA</v>
      </c>
      <c r="Q116" s="100">
        <f>IFERROR(VLOOKUP(Tablo515[[#This Row],[ÜRÜN KODU]],YMKODLARI!$A$1:$K$363,5,0)," ")</f>
        <v>59.7</v>
      </c>
      <c r="R116" s="100">
        <f>IFERROR(VLOOKUP(Tablo515[[#This Row],[ÜRÜN KODU]],YMKODLARI!$A$1:$K$363,6,0)," ")</f>
        <v>53.6</v>
      </c>
      <c r="S116" s="100">
        <f>IFERROR(Tablo515[[#This Row],[YOLLUK HARİÇ BASKI GRAMI]]/Tablo515[[#This Row],[KALIP GÖZ ADEDİ]]," ")</f>
        <v>8.9333333333333336</v>
      </c>
      <c r="T116" s="100">
        <f t="shared" si="9"/>
        <v>6.1000000000000014</v>
      </c>
      <c r="U116" s="100">
        <v>3.3</v>
      </c>
      <c r="V116" s="100">
        <f t="shared" si="8"/>
        <v>35.995999999999995</v>
      </c>
      <c r="W116" s="101">
        <f t="shared" si="10"/>
        <v>24.395833333333332</v>
      </c>
      <c r="X116" s="102">
        <f t="shared" si="11"/>
        <v>9.4999999999999716</v>
      </c>
      <c r="Y116" s="100">
        <f t="shared" si="12"/>
        <v>7.625</v>
      </c>
      <c r="Z116" s="100">
        <f t="shared" si="13"/>
        <v>3660</v>
      </c>
    </row>
    <row r="117" spans="1:26">
      <c r="A117" s="100" t="s">
        <v>32</v>
      </c>
      <c r="B117" s="108" t="str">
        <f>IFERROR(VLOOKUP(Tablo515[[#This Row],[ÜRÜN KODU]],YMKODLARI!$A$1:$K$363,2,0)," ")</f>
        <v>GENİŞ AĞIZ BİBERON UCU</v>
      </c>
      <c r="C117" s="99">
        <v>43983</v>
      </c>
      <c r="D117" s="100" t="s">
        <v>29</v>
      </c>
      <c r="E117" s="101">
        <v>0.33333333333333331</v>
      </c>
      <c r="F117" s="101">
        <v>0.75</v>
      </c>
      <c r="G117" s="100">
        <f>IFERROR(VLOOKUP(Tablo515[[#This Row],[ÜRÜN KODU]],YMKODLARI!$A$1:$K$363,3,0)," ")</f>
        <v>6</v>
      </c>
      <c r="H117" s="100">
        <f>IFERROR(VLOOKUP(Tablo515[[#This Row],[ÜRÜN KODU]],YMKODLARI!$A$1:$K$363,4,0)," ")</f>
        <v>45</v>
      </c>
      <c r="I117" s="100">
        <v>671</v>
      </c>
      <c r="J117" s="100" t="str">
        <f>IFERROR(VLOOKUP(Tablo515[[#This Row],[ÜRÜN KODU]],YMKODLARI!$A$1:$K$363,9,0)," ")</f>
        <v>Şeffaf</v>
      </c>
      <c r="K117" s="100" t="str">
        <f>IFERROR(VLOOKUP(Tablo515[[#This Row],[BOYA KODU]],Tablo14[#All],4,0)," ")</f>
        <v xml:space="preserve"> </v>
      </c>
      <c r="L117" s="100" t="str">
        <f>IFERROR(VLOOKUP(Tablo515[[#This Row],[BOYA KODU]],Tablo14[#All],6,0)," ")</f>
        <v xml:space="preserve"> </v>
      </c>
      <c r="M117" s="100" t="str">
        <f t="shared" si="7"/>
        <v xml:space="preserve"> </v>
      </c>
      <c r="N117" s="100" t="str">
        <f>IFERROR(VLOOKUP(Tablo515[[#This Row],[ÜRÜN KODU]],YMKODLARI!$A$1:$K$363,8,0)," ")</f>
        <v>HM 003</v>
      </c>
      <c r="O117" s="100" t="str">
        <f>IFERROR(VLOOKUP(Tablo515[[#This Row],[HAMMADDE KODU]],Tablo1[#All],3,0)," ")</f>
        <v>LSR 45</v>
      </c>
      <c r="P117" s="100" t="str">
        <f>IFERROR(VLOOKUP(Tablo515[[#This Row],[HAMMADDE KODU]],Tablo1[#All],4,0)," ")</f>
        <v>SETA</v>
      </c>
      <c r="Q117" s="100">
        <f>IFERROR(VLOOKUP(Tablo515[[#This Row],[ÜRÜN KODU]],YMKODLARI!$A$1:$K$363,5,0)," ")</f>
        <v>59.7</v>
      </c>
      <c r="R117" s="100">
        <f>IFERROR(VLOOKUP(Tablo515[[#This Row],[ÜRÜN KODU]],YMKODLARI!$A$1:$K$363,6,0)," ")</f>
        <v>53.6</v>
      </c>
      <c r="S117" s="100">
        <f>IFERROR(Tablo515[[#This Row],[YOLLUK HARİÇ BASKI GRAMI]]/Tablo515[[#This Row],[KALIP GÖZ ADEDİ]]," ")</f>
        <v>8.9333333333333336</v>
      </c>
      <c r="T117" s="100">
        <f t="shared" si="9"/>
        <v>6.1000000000000014</v>
      </c>
      <c r="U117" s="100">
        <v>4.7</v>
      </c>
      <c r="V117" s="100">
        <f t="shared" si="8"/>
        <v>40.665600000000005</v>
      </c>
      <c r="W117" s="101">
        <f t="shared" si="10"/>
        <v>24.416666666666668</v>
      </c>
      <c r="X117" s="102">
        <f t="shared" si="11"/>
        <v>10.000000000000028</v>
      </c>
      <c r="Y117" s="100">
        <f t="shared" si="12"/>
        <v>8.3874999999999993</v>
      </c>
      <c r="Z117" s="100">
        <f t="shared" si="13"/>
        <v>4026</v>
      </c>
    </row>
    <row r="118" spans="1:26">
      <c r="A118" s="100" t="s">
        <v>32</v>
      </c>
      <c r="B118" s="108" t="str">
        <f>IFERROR(VLOOKUP(Tablo515[[#This Row],[ÜRÜN KODU]],YMKODLARI!$A$1:$K$363,2,0)," ")</f>
        <v>GENİŞ AĞIZ BİBERON UCU</v>
      </c>
      <c r="C118" s="99">
        <v>43984</v>
      </c>
      <c r="D118" s="100" t="s">
        <v>29</v>
      </c>
      <c r="E118" s="101">
        <v>0.33333333333333331</v>
      </c>
      <c r="F118" s="101">
        <v>0.75</v>
      </c>
      <c r="G118" s="100">
        <f>IFERROR(VLOOKUP(Tablo515[[#This Row],[ÜRÜN KODU]],YMKODLARI!$A$1:$K$363,3,0)," ")</f>
        <v>6</v>
      </c>
      <c r="H118" s="100">
        <f>IFERROR(VLOOKUP(Tablo515[[#This Row],[ÜRÜN KODU]],YMKODLARI!$A$1:$K$363,4,0)," ")</f>
        <v>45</v>
      </c>
      <c r="I118" s="100">
        <v>718</v>
      </c>
      <c r="J118" s="100" t="str">
        <f>IFERROR(VLOOKUP(Tablo515[[#This Row],[ÜRÜN KODU]],YMKODLARI!$A$1:$K$363,9,0)," ")</f>
        <v>Şeffaf</v>
      </c>
      <c r="K118" s="100" t="str">
        <f>IFERROR(VLOOKUP(Tablo515[[#This Row],[BOYA KODU]],Tablo14[#All],4,0)," ")</f>
        <v xml:space="preserve"> </v>
      </c>
      <c r="L118" s="100" t="str">
        <f>IFERROR(VLOOKUP(Tablo515[[#This Row],[BOYA KODU]],Tablo14[#All],6,0)," ")</f>
        <v xml:space="preserve"> </v>
      </c>
      <c r="M118" s="100" t="str">
        <f t="shared" si="7"/>
        <v xml:space="preserve"> </v>
      </c>
      <c r="N118" s="100" t="str">
        <f>IFERROR(VLOOKUP(Tablo515[[#This Row],[ÜRÜN KODU]],YMKODLARI!$A$1:$K$363,8,0)," ")</f>
        <v>HM 003</v>
      </c>
      <c r="O118" s="100" t="str">
        <f>IFERROR(VLOOKUP(Tablo515[[#This Row],[HAMMADDE KODU]],Tablo1[#All],3,0)," ")</f>
        <v>LSR 45</v>
      </c>
      <c r="P118" s="100" t="str">
        <f>IFERROR(VLOOKUP(Tablo515[[#This Row],[HAMMADDE KODU]],Tablo1[#All],4,0)," ")</f>
        <v>SETA</v>
      </c>
      <c r="Q118" s="100">
        <f>IFERROR(VLOOKUP(Tablo515[[#This Row],[ÜRÜN KODU]],YMKODLARI!$A$1:$K$363,5,0)," ")</f>
        <v>59.7</v>
      </c>
      <c r="R118" s="100">
        <f>IFERROR(VLOOKUP(Tablo515[[#This Row],[ÜRÜN KODU]],YMKODLARI!$A$1:$K$363,6,0)," ")</f>
        <v>53.6</v>
      </c>
      <c r="S118" s="100">
        <f>IFERROR(Tablo515[[#This Row],[YOLLUK HARİÇ BASKI GRAMI]]/Tablo515[[#This Row],[KALIP GÖZ ADEDİ]]," ")</f>
        <v>8.9333333333333336</v>
      </c>
      <c r="T118" s="100">
        <f t="shared" si="9"/>
        <v>6.1000000000000014</v>
      </c>
      <c r="U118" s="100">
        <v>4.3</v>
      </c>
      <c r="V118" s="100">
        <f t="shared" si="8"/>
        <v>42.784799999999997</v>
      </c>
      <c r="W118" s="101">
        <f t="shared" si="10"/>
        <v>24.416666666666668</v>
      </c>
      <c r="X118" s="102">
        <f t="shared" si="11"/>
        <v>10.000000000000028</v>
      </c>
      <c r="Y118" s="100">
        <f t="shared" si="12"/>
        <v>8.9749999999999996</v>
      </c>
      <c r="Z118" s="100">
        <f t="shared" si="13"/>
        <v>4308</v>
      </c>
    </row>
    <row r="119" spans="1:26">
      <c r="A119" s="100" t="s">
        <v>32</v>
      </c>
      <c r="B119" s="108" t="str">
        <f>IFERROR(VLOOKUP(Tablo515[[#This Row],[ÜRÜN KODU]],YMKODLARI!$A$1:$K$363,2,0)," ")</f>
        <v>GENİŞ AĞIZ BİBERON UCU</v>
      </c>
      <c r="C119" s="99">
        <v>43985</v>
      </c>
      <c r="D119" s="100" t="s">
        <v>29</v>
      </c>
      <c r="E119" s="101">
        <v>0.33333333333333331</v>
      </c>
      <c r="F119" s="101">
        <v>0.75</v>
      </c>
      <c r="G119" s="100">
        <f>IFERROR(VLOOKUP(Tablo515[[#This Row],[ÜRÜN KODU]],YMKODLARI!$A$1:$K$363,3,0)," ")</f>
        <v>6</v>
      </c>
      <c r="H119" s="100">
        <f>IFERROR(VLOOKUP(Tablo515[[#This Row],[ÜRÜN KODU]],YMKODLARI!$A$1:$K$363,4,0)," ")</f>
        <v>45</v>
      </c>
      <c r="I119" s="100">
        <v>709</v>
      </c>
      <c r="J119" s="100" t="str">
        <f>IFERROR(VLOOKUP(Tablo515[[#This Row],[ÜRÜN KODU]],YMKODLARI!$A$1:$K$363,9,0)," ")</f>
        <v>Şeffaf</v>
      </c>
      <c r="K119" s="100" t="str">
        <f>IFERROR(VLOOKUP(Tablo515[[#This Row],[BOYA KODU]],Tablo14[#All],4,0)," ")</f>
        <v xml:space="preserve"> </v>
      </c>
      <c r="L119" s="100" t="str">
        <f>IFERROR(VLOOKUP(Tablo515[[#This Row],[BOYA KODU]],Tablo14[#All],6,0)," ")</f>
        <v xml:space="preserve"> </v>
      </c>
      <c r="M119" s="100" t="str">
        <f t="shared" si="7"/>
        <v xml:space="preserve"> </v>
      </c>
      <c r="N119" s="100" t="str">
        <f>IFERROR(VLOOKUP(Tablo515[[#This Row],[ÜRÜN KODU]],YMKODLARI!$A$1:$K$363,8,0)," ")</f>
        <v>HM 003</v>
      </c>
      <c r="O119" s="100" t="str">
        <f>IFERROR(VLOOKUP(Tablo515[[#This Row],[HAMMADDE KODU]],Tablo1[#All],3,0)," ")</f>
        <v>LSR 45</v>
      </c>
      <c r="P119" s="100" t="str">
        <f>IFERROR(VLOOKUP(Tablo515[[#This Row],[HAMMADDE KODU]],Tablo1[#All],4,0)," ")</f>
        <v>SETA</v>
      </c>
      <c r="Q119" s="100">
        <f>IFERROR(VLOOKUP(Tablo515[[#This Row],[ÜRÜN KODU]],YMKODLARI!$A$1:$K$363,5,0)," ")</f>
        <v>59.7</v>
      </c>
      <c r="R119" s="100">
        <f>IFERROR(VLOOKUP(Tablo515[[#This Row],[ÜRÜN KODU]],YMKODLARI!$A$1:$K$363,6,0)," ")</f>
        <v>53.6</v>
      </c>
      <c r="S119" s="100">
        <f>IFERROR(Tablo515[[#This Row],[YOLLUK HARİÇ BASKI GRAMI]]/Tablo515[[#This Row],[KALIP GÖZ ADEDİ]]," ")</f>
        <v>8.9333333333333336</v>
      </c>
      <c r="T119" s="100">
        <f t="shared" si="9"/>
        <v>6.1000000000000014</v>
      </c>
      <c r="U119" s="100">
        <v>4.5999999999999996</v>
      </c>
      <c r="V119" s="100">
        <f t="shared" si="8"/>
        <v>42.602400000000003</v>
      </c>
      <c r="W119" s="101">
        <f t="shared" si="10"/>
        <v>24.416666666666668</v>
      </c>
      <c r="X119" s="102">
        <f t="shared" si="11"/>
        <v>10.000000000000028</v>
      </c>
      <c r="Y119" s="100">
        <f t="shared" si="12"/>
        <v>8.8625000000000007</v>
      </c>
      <c r="Z119" s="100">
        <f t="shared" si="13"/>
        <v>4254</v>
      </c>
    </row>
    <row r="120" spans="1:26">
      <c r="A120" s="100" t="s">
        <v>46</v>
      </c>
      <c r="B120" s="108" t="str">
        <f>IFERROR(VLOOKUP(Tablo515[[#This Row],[ÜRÜN KODU]],YMKODLARI!$A$1:$K$363,2,0)," ")</f>
        <v>BİBERON KLASİK  UC 3 NO</v>
      </c>
      <c r="C120" s="99">
        <v>43986</v>
      </c>
      <c r="D120" s="100" t="s">
        <v>33</v>
      </c>
      <c r="E120" s="101">
        <v>0.6875</v>
      </c>
      <c r="F120" s="101">
        <v>0.75</v>
      </c>
      <c r="G120" s="100">
        <f>IFERROR(VLOOKUP(Tablo515[[#This Row],[ÜRÜN KODU]],YMKODLARI!$A$1:$K$363,3,0)," ")</f>
        <v>8</v>
      </c>
      <c r="H120" s="100">
        <f>IFERROR(VLOOKUP(Tablo515[[#This Row],[ÜRÜN KODU]],YMKODLARI!$A$1:$K$363,4,0)," ")</f>
        <v>36</v>
      </c>
      <c r="I120" s="100">
        <v>132</v>
      </c>
      <c r="J120" s="100" t="str">
        <f>IFERROR(VLOOKUP(Tablo515[[#This Row],[ÜRÜN KODU]],YMKODLARI!$A$1:$K$363,9,0)," ")</f>
        <v>Şeffaf</v>
      </c>
      <c r="K120" s="100" t="str">
        <f>IFERROR(VLOOKUP(Tablo515[[#This Row],[BOYA KODU]],Tablo14[#All],4,0)," ")</f>
        <v xml:space="preserve"> </v>
      </c>
      <c r="L120" s="100" t="str">
        <f>IFERROR(VLOOKUP(Tablo515[[#This Row],[BOYA KODU]],Tablo14[#All],6,0)," ")</f>
        <v xml:space="preserve"> </v>
      </c>
      <c r="M120" s="100" t="str">
        <f t="shared" si="7"/>
        <v xml:space="preserve"> </v>
      </c>
      <c r="N120" s="100" t="str">
        <f>IFERROR(VLOOKUP(Tablo515[[#This Row],[ÜRÜN KODU]],YMKODLARI!$A$1:$K$363,8,0)," ")</f>
        <v>HM 003</v>
      </c>
      <c r="O120" s="100" t="str">
        <f>IFERROR(VLOOKUP(Tablo515[[#This Row],[HAMMADDE KODU]],Tablo1[#All],3,0)," ")</f>
        <v>LSR 45</v>
      </c>
      <c r="P120" s="100" t="str">
        <f>IFERROR(VLOOKUP(Tablo515[[#This Row],[HAMMADDE KODU]],Tablo1[#All],4,0)," ")</f>
        <v>SETA</v>
      </c>
      <c r="Q120" s="100">
        <f>IFERROR(VLOOKUP(Tablo515[[#This Row],[ÜRÜN KODU]],YMKODLARI!$A$1:$K$363,5,0)," ")</f>
        <v>55.6</v>
      </c>
      <c r="R120" s="100">
        <f>IFERROR(VLOOKUP(Tablo515[[#This Row],[ÜRÜN KODU]],YMKODLARI!$A$1:$K$363,6,0)," ")</f>
        <v>48.6</v>
      </c>
      <c r="S120" s="100">
        <f>IFERROR(Tablo515[[#This Row],[YOLLUK HARİÇ BASKI GRAMI]]/Tablo515[[#This Row],[KALIP GÖZ ADEDİ]]," ")</f>
        <v>6.0750000000000002</v>
      </c>
      <c r="T120" s="100">
        <f t="shared" si="9"/>
        <v>7</v>
      </c>
      <c r="U120" s="100">
        <v>0.9</v>
      </c>
      <c r="V120" s="100">
        <f t="shared" si="8"/>
        <v>7.3151999999999999</v>
      </c>
      <c r="W120" s="101">
        <f t="shared" si="10"/>
        <v>24.0625</v>
      </c>
      <c r="X120" s="102">
        <f t="shared" si="11"/>
        <v>1.5</v>
      </c>
      <c r="Y120" s="100">
        <f t="shared" si="12"/>
        <v>1.32</v>
      </c>
      <c r="Z120" s="100">
        <f t="shared" si="13"/>
        <v>1056</v>
      </c>
    </row>
    <row r="121" spans="1:26">
      <c r="A121" s="100" t="s">
        <v>46</v>
      </c>
      <c r="B121" s="108" t="str">
        <f>IFERROR(VLOOKUP(Tablo515[[#This Row],[ÜRÜN KODU]],YMKODLARI!$A$1:$K$363,2,0)," ")</f>
        <v>BİBERON KLASİK  UC 3 NO</v>
      </c>
      <c r="C121" s="99">
        <v>43987</v>
      </c>
      <c r="D121" s="100" t="s">
        <v>33</v>
      </c>
      <c r="E121" s="101">
        <v>0.33333333333333331</v>
      </c>
      <c r="F121" s="101">
        <v>0.75</v>
      </c>
      <c r="G121" s="100">
        <f>IFERROR(VLOOKUP(Tablo515[[#This Row],[ÜRÜN KODU]],YMKODLARI!$A$1:$K$363,3,0)," ")</f>
        <v>8</v>
      </c>
      <c r="H121" s="100">
        <f>IFERROR(VLOOKUP(Tablo515[[#This Row],[ÜRÜN KODU]],YMKODLARI!$A$1:$K$363,4,0)," ")</f>
        <v>36</v>
      </c>
      <c r="I121" s="100">
        <v>747</v>
      </c>
      <c r="J121" s="100" t="str">
        <f>IFERROR(VLOOKUP(Tablo515[[#This Row],[ÜRÜN KODU]],YMKODLARI!$A$1:$K$363,9,0)," ")</f>
        <v>Şeffaf</v>
      </c>
      <c r="K121" s="100" t="str">
        <f>IFERROR(VLOOKUP(Tablo515[[#This Row],[BOYA KODU]],Tablo14[#All],4,0)," ")</f>
        <v xml:space="preserve"> </v>
      </c>
      <c r="L121" s="100" t="str">
        <f>IFERROR(VLOOKUP(Tablo515[[#This Row],[BOYA KODU]],Tablo14[#All],6,0)," ")</f>
        <v xml:space="preserve"> </v>
      </c>
      <c r="M121" s="100" t="str">
        <f t="shared" si="7"/>
        <v xml:space="preserve"> </v>
      </c>
      <c r="N121" s="100" t="str">
        <f>IFERROR(VLOOKUP(Tablo515[[#This Row],[ÜRÜN KODU]],YMKODLARI!$A$1:$K$363,8,0)," ")</f>
        <v>HM 003</v>
      </c>
      <c r="O121" s="100" t="str">
        <f>IFERROR(VLOOKUP(Tablo515[[#This Row],[HAMMADDE KODU]],Tablo1[#All],3,0)," ")</f>
        <v>LSR 45</v>
      </c>
      <c r="P121" s="100" t="str">
        <f>IFERROR(VLOOKUP(Tablo515[[#This Row],[HAMMADDE KODU]],Tablo1[#All],4,0)," ")</f>
        <v>SETA</v>
      </c>
      <c r="Q121" s="100">
        <f>IFERROR(VLOOKUP(Tablo515[[#This Row],[ÜRÜN KODU]],YMKODLARI!$A$1:$K$363,5,0)," ")</f>
        <v>55.6</v>
      </c>
      <c r="R121" s="100">
        <f>IFERROR(VLOOKUP(Tablo515[[#This Row],[ÜRÜN KODU]],YMKODLARI!$A$1:$K$363,6,0)," ")</f>
        <v>48.6</v>
      </c>
      <c r="S121" s="100">
        <f>IFERROR(Tablo515[[#This Row],[YOLLUK HARİÇ BASKI GRAMI]]/Tablo515[[#This Row],[KALIP GÖZ ADEDİ]]," ")</f>
        <v>6.0750000000000002</v>
      </c>
      <c r="T121" s="100">
        <f t="shared" si="9"/>
        <v>7</v>
      </c>
      <c r="U121" s="100">
        <v>5.0999999999999996</v>
      </c>
      <c r="V121" s="100">
        <f t="shared" si="8"/>
        <v>41.404200000000003</v>
      </c>
      <c r="W121" s="101">
        <f t="shared" si="10"/>
        <v>24.416666666666668</v>
      </c>
      <c r="X121" s="102">
        <f t="shared" si="11"/>
        <v>10.000000000000028</v>
      </c>
      <c r="Y121" s="100">
        <f t="shared" si="12"/>
        <v>7.47</v>
      </c>
      <c r="Z121" s="100">
        <f t="shared" si="13"/>
        <v>5976</v>
      </c>
    </row>
    <row r="122" spans="1:26">
      <c r="A122" s="100" t="s">
        <v>46</v>
      </c>
      <c r="B122" s="108" t="str">
        <f>IFERROR(VLOOKUP(Tablo515[[#This Row],[ÜRÜN KODU]],YMKODLARI!$A$1:$K$363,2,0)," ")</f>
        <v>BİBERON KLASİK  UC 3 NO</v>
      </c>
      <c r="C122" s="99">
        <v>43990</v>
      </c>
      <c r="D122" s="100" t="s">
        <v>33</v>
      </c>
      <c r="E122" s="101">
        <v>0.33333333333333331</v>
      </c>
      <c r="F122" s="101">
        <v>0.75</v>
      </c>
      <c r="G122" s="100">
        <f>IFERROR(VLOOKUP(Tablo515[[#This Row],[ÜRÜN KODU]],YMKODLARI!$A$1:$K$363,3,0)," ")</f>
        <v>8</v>
      </c>
      <c r="H122" s="100">
        <f>IFERROR(VLOOKUP(Tablo515[[#This Row],[ÜRÜN KODU]],YMKODLARI!$A$1:$K$363,4,0)," ")</f>
        <v>36</v>
      </c>
      <c r="I122" s="100">
        <v>737</v>
      </c>
      <c r="J122" s="100" t="str">
        <f>IFERROR(VLOOKUP(Tablo515[[#This Row],[ÜRÜN KODU]],YMKODLARI!$A$1:$K$363,9,0)," ")</f>
        <v>Şeffaf</v>
      </c>
      <c r="K122" s="100" t="str">
        <f>IFERROR(VLOOKUP(Tablo515[[#This Row],[BOYA KODU]],Tablo14[#All],4,0)," ")</f>
        <v xml:space="preserve"> </v>
      </c>
      <c r="L122" s="100" t="str">
        <f>IFERROR(VLOOKUP(Tablo515[[#This Row],[BOYA KODU]],Tablo14[#All],6,0)," ")</f>
        <v xml:space="preserve"> </v>
      </c>
      <c r="M122" s="100" t="str">
        <f t="shared" si="7"/>
        <v xml:space="preserve"> </v>
      </c>
      <c r="N122" s="100" t="str">
        <f>IFERROR(VLOOKUP(Tablo515[[#This Row],[ÜRÜN KODU]],YMKODLARI!$A$1:$K$363,8,0)," ")</f>
        <v>HM 003</v>
      </c>
      <c r="O122" s="100" t="str">
        <f>IFERROR(VLOOKUP(Tablo515[[#This Row],[HAMMADDE KODU]],Tablo1[#All],3,0)," ")</f>
        <v>LSR 45</v>
      </c>
      <c r="P122" s="100" t="str">
        <f>IFERROR(VLOOKUP(Tablo515[[#This Row],[HAMMADDE KODU]],Tablo1[#All],4,0)," ")</f>
        <v>SETA</v>
      </c>
      <c r="Q122" s="100">
        <f>IFERROR(VLOOKUP(Tablo515[[#This Row],[ÜRÜN KODU]],YMKODLARI!$A$1:$K$363,5,0)," ")</f>
        <v>55.6</v>
      </c>
      <c r="R122" s="100">
        <f>IFERROR(VLOOKUP(Tablo515[[#This Row],[ÜRÜN KODU]],YMKODLARI!$A$1:$K$363,6,0)," ")</f>
        <v>48.6</v>
      </c>
      <c r="S122" s="100">
        <f>IFERROR(Tablo515[[#This Row],[YOLLUK HARİÇ BASKI GRAMI]]/Tablo515[[#This Row],[KALIP GÖZ ADEDİ]]," ")</f>
        <v>6.0750000000000002</v>
      </c>
      <c r="T122" s="100">
        <f t="shared" si="9"/>
        <v>7</v>
      </c>
      <c r="U122" s="100">
        <v>6</v>
      </c>
      <c r="V122" s="100">
        <f t="shared" si="8"/>
        <v>41.818200000000004</v>
      </c>
      <c r="W122" s="101">
        <f t="shared" si="10"/>
        <v>24.416666666666668</v>
      </c>
      <c r="X122" s="102">
        <f t="shared" si="11"/>
        <v>10.000000000000028</v>
      </c>
      <c r="Y122" s="100">
        <f t="shared" si="12"/>
        <v>7.37</v>
      </c>
      <c r="Z122" s="100">
        <f t="shared" si="13"/>
        <v>5896</v>
      </c>
    </row>
    <row r="123" spans="1:26">
      <c r="A123" s="100" t="s">
        <v>46</v>
      </c>
      <c r="B123" s="108" t="str">
        <f>IFERROR(VLOOKUP(Tablo515[[#This Row],[ÜRÜN KODU]],YMKODLARI!$A$1:$K$363,2,0)," ")</f>
        <v>BİBERON KLASİK  UC 3 NO</v>
      </c>
      <c r="C123" s="99">
        <v>44025</v>
      </c>
      <c r="D123" s="100" t="s">
        <v>33</v>
      </c>
      <c r="E123" s="101">
        <v>0.33333333333333331</v>
      </c>
      <c r="F123" s="101">
        <v>0.75</v>
      </c>
      <c r="G123" s="100">
        <f>IFERROR(VLOOKUP(Tablo515[[#This Row],[ÜRÜN KODU]],YMKODLARI!$A$1:$K$363,3,0)," ")</f>
        <v>8</v>
      </c>
      <c r="H123" s="100">
        <f>IFERROR(VLOOKUP(Tablo515[[#This Row],[ÜRÜN KODU]],YMKODLARI!$A$1:$K$363,4,0)," ")</f>
        <v>36</v>
      </c>
      <c r="I123" s="100">
        <v>696</v>
      </c>
      <c r="J123" s="100" t="str">
        <f>IFERROR(VLOOKUP(Tablo515[[#This Row],[ÜRÜN KODU]],YMKODLARI!$A$1:$K$363,9,0)," ")</f>
        <v>Şeffaf</v>
      </c>
      <c r="K123" s="100" t="str">
        <f>IFERROR(VLOOKUP(Tablo515[[#This Row],[BOYA KODU]],Tablo14[#All],4,0)," ")</f>
        <v xml:space="preserve"> </v>
      </c>
      <c r="L123" s="100" t="str">
        <f>IFERROR(VLOOKUP(Tablo515[[#This Row],[BOYA KODU]],Tablo14[#All],6,0)," ")</f>
        <v xml:space="preserve"> </v>
      </c>
      <c r="M123" s="100" t="str">
        <f t="shared" si="7"/>
        <v xml:space="preserve"> </v>
      </c>
      <c r="N123" s="100" t="str">
        <f>IFERROR(VLOOKUP(Tablo515[[#This Row],[ÜRÜN KODU]],YMKODLARI!$A$1:$K$363,8,0)," ")</f>
        <v>HM 003</v>
      </c>
      <c r="O123" s="100" t="str">
        <f>IFERROR(VLOOKUP(Tablo515[[#This Row],[HAMMADDE KODU]],Tablo1[#All],3,0)," ")</f>
        <v>LSR 45</v>
      </c>
      <c r="P123" s="100" t="str">
        <f>IFERROR(VLOOKUP(Tablo515[[#This Row],[HAMMADDE KODU]],Tablo1[#All],4,0)," ")</f>
        <v>SETA</v>
      </c>
      <c r="Q123" s="100">
        <f>IFERROR(VLOOKUP(Tablo515[[#This Row],[ÜRÜN KODU]],YMKODLARI!$A$1:$K$363,5,0)," ")</f>
        <v>55.6</v>
      </c>
      <c r="R123" s="100">
        <f>IFERROR(VLOOKUP(Tablo515[[#This Row],[ÜRÜN KODU]],YMKODLARI!$A$1:$K$363,6,0)," ")</f>
        <v>48.6</v>
      </c>
      <c r="S123" s="100">
        <f>IFERROR(Tablo515[[#This Row],[YOLLUK HARİÇ BASKI GRAMI]]/Tablo515[[#This Row],[KALIP GÖZ ADEDİ]]," ")</f>
        <v>6.0750000000000002</v>
      </c>
      <c r="T123" s="100">
        <f t="shared" si="9"/>
        <v>7</v>
      </c>
      <c r="U123" s="100">
        <v>5</v>
      </c>
      <c r="V123" s="100">
        <f t="shared" si="8"/>
        <v>38.825600000000001</v>
      </c>
      <c r="W123" s="101">
        <f t="shared" si="10"/>
        <v>24.416666666666668</v>
      </c>
      <c r="X123" s="102">
        <f t="shared" si="11"/>
        <v>10.000000000000028</v>
      </c>
      <c r="Y123" s="100">
        <f t="shared" si="12"/>
        <v>6.96</v>
      </c>
      <c r="Z123" s="100">
        <f t="shared" si="13"/>
        <v>5568</v>
      </c>
    </row>
    <row r="124" spans="1:26">
      <c r="A124" s="100" t="s">
        <v>46</v>
      </c>
      <c r="B124" s="108" t="str">
        <f>IFERROR(VLOOKUP(Tablo515[[#This Row],[ÜRÜN KODU]],YMKODLARI!$A$1:$K$363,2,0)," ")</f>
        <v>BİBERON KLASİK  UC 3 NO</v>
      </c>
      <c r="C124" s="99">
        <v>44026</v>
      </c>
      <c r="D124" s="100" t="s">
        <v>33</v>
      </c>
      <c r="E124" s="101">
        <v>0.33333333333333331</v>
      </c>
      <c r="F124" s="101">
        <v>0.75</v>
      </c>
      <c r="G124" s="100">
        <f>IFERROR(VLOOKUP(Tablo515[[#This Row],[ÜRÜN KODU]],YMKODLARI!$A$1:$K$363,3,0)," ")</f>
        <v>8</v>
      </c>
      <c r="H124" s="100">
        <f>IFERROR(VLOOKUP(Tablo515[[#This Row],[ÜRÜN KODU]],YMKODLARI!$A$1:$K$363,4,0)," ")</f>
        <v>36</v>
      </c>
      <c r="I124" s="100">
        <v>242</v>
      </c>
      <c r="J124" s="100" t="str">
        <f>IFERROR(VLOOKUP(Tablo515[[#This Row],[ÜRÜN KODU]],YMKODLARI!$A$1:$K$363,9,0)," ")</f>
        <v>Şeffaf</v>
      </c>
      <c r="K124" s="100" t="str">
        <f>IFERROR(VLOOKUP(Tablo515[[#This Row],[BOYA KODU]],Tablo14[#All],4,0)," ")</f>
        <v xml:space="preserve"> </v>
      </c>
      <c r="L124" s="100" t="str">
        <f>IFERROR(VLOOKUP(Tablo515[[#This Row],[BOYA KODU]],Tablo14[#All],6,0)," ")</f>
        <v xml:space="preserve"> </v>
      </c>
      <c r="M124" s="100" t="str">
        <f t="shared" si="7"/>
        <v xml:space="preserve"> </v>
      </c>
      <c r="N124" s="100" t="str">
        <f>IFERROR(VLOOKUP(Tablo515[[#This Row],[ÜRÜN KODU]],YMKODLARI!$A$1:$K$363,8,0)," ")</f>
        <v>HM 003</v>
      </c>
      <c r="O124" s="100" t="str">
        <f>IFERROR(VLOOKUP(Tablo515[[#This Row],[HAMMADDE KODU]],Tablo1[#All],3,0)," ")</f>
        <v>LSR 45</v>
      </c>
      <c r="P124" s="100" t="str">
        <f>IFERROR(VLOOKUP(Tablo515[[#This Row],[HAMMADDE KODU]],Tablo1[#All],4,0)," ")</f>
        <v>SETA</v>
      </c>
      <c r="Q124" s="100">
        <f>IFERROR(VLOOKUP(Tablo515[[#This Row],[ÜRÜN KODU]],YMKODLARI!$A$1:$K$363,5,0)," ")</f>
        <v>55.6</v>
      </c>
      <c r="R124" s="100">
        <f>IFERROR(VLOOKUP(Tablo515[[#This Row],[ÜRÜN KODU]],YMKODLARI!$A$1:$K$363,6,0)," ")</f>
        <v>48.6</v>
      </c>
      <c r="S124" s="100">
        <f>IFERROR(Tablo515[[#This Row],[YOLLUK HARİÇ BASKI GRAMI]]/Tablo515[[#This Row],[KALIP GÖZ ADEDİ]]," ")</f>
        <v>6.0750000000000002</v>
      </c>
      <c r="T124" s="100">
        <f t="shared" si="9"/>
        <v>7</v>
      </c>
      <c r="U124" s="100">
        <v>2</v>
      </c>
      <c r="V124" s="100">
        <f t="shared" si="8"/>
        <v>13.761200000000001</v>
      </c>
      <c r="W124" s="101">
        <f t="shared" si="10"/>
        <v>24.416666666666668</v>
      </c>
      <c r="X124" s="102">
        <f t="shared" si="11"/>
        <v>10.000000000000028</v>
      </c>
      <c r="Y124" s="100">
        <f t="shared" si="12"/>
        <v>2.42</v>
      </c>
      <c r="Z124" s="100">
        <f t="shared" si="13"/>
        <v>1936</v>
      </c>
    </row>
    <row r="125" spans="1:26">
      <c r="A125" s="100" t="s">
        <v>34</v>
      </c>
      <c r="B125" s="108" t="str">
        <f>IFERROR(VLOOKUP(Tablo515[[#This Row],[ÜRÜN KODU]],YMKODLARI!$A$1:$K$363,2,0)," ")</f>
        <v>BİBERON KLASİK  UC 1 NO</v>
      </c>
      <c r="C125" s="99">
        <v>44028</v>
      </c>
      <c r="D125" s="100" t="s">
        <v>33</v>
      </c>
      <c r="E125" s="101">
        <v>0.33333333333333331</v>
      </c>
      <c r="F125" s="101">
        <v>0.75</v>
      </c>
      <c r="G125" s="100">
        <f>IFERROR(VLOOKUP(Tablo515[[#This Row],[ÜRÜN KODU]],YMKODLARI!$A$1:$K$363,3,0)," ")</f>
        <v>8</v>
      </c>
      <c r="H125" s="100">
        <f>IFERROR(VLOOKUP(Tablo515[[#This Row],[ÜRÜN KODU]],YMKODLARI!$A$1:$K$363,4,0)," ")</f>
        <v>36</v>
      </c>
      <c r="I125" s="100">
        <v>551</v>
      </c>
      <c r="J125" s="100" t="str">
        <f>IFERROR(VLOOKUP(Tablo515[[#This Row],[ÜRÜN KODU]],YMKODLARI!$A$1:$K$363,9,0)," ")</f>
        <v>Şeffaf</v>
      </c>
      <c r="K125" s="100" t="str">
        <f>IFERROR(VLOOKUP(Tablo515[[#This Row],[BOYA KODU]],Tablo14[#All],4,0)," ")</f>
        <v xml:space="preserve"> </v>
      </c>
      <c r="L125" s="100" t="str">
        <f>IFERROR(VLOOKUP(Tablo515[[#This Row],[BOYA KODU]],Tablo14[#All],6,0)," ")</f>
        <v xml:space="preserve"> </v>
      </c>
      <c r="M125" s="100" t="str">
        <f t="shared" si="7"/>
        <v xml:space="preserve"> </v>
      </c>
      <c r="N125" s="100" t="str">
        <f>IFERROR(VLOOKUP(Tablo515[[#This Row],[ÜRÜN KODU]],YMKODLARI!$A$1:$K$363,8,0)," ")</f>
        <v>HM 003</v>
      </c>
      <c r="O125" s="100" t="str">
        <f>IFERROR(VLOOKUP(Tablo515[[#This Row],[HAMMADDE KODU]],Tablo1[#All],3,0)," ")</f>
        <v>LSR 45</v>
      </c>
      <c r="P125" s="100" t="str">
        <f>IFERROR(VLOOKUP(Tablo515[[#This Row],[HAMMADDE KODU]],Tablo1[#All],4,0)," ")</f>
        <v>SETA</v>
      </c>
      <c r="Q125" s="100">
        <f>IFERROR(VLOOKUP(Tablo515[[#This Row],[ÜRÜN KODU]],YMKODLARI!$A$1:$K$363,5,0)," ")</f>
        <v>51.7</v>
      </c>
      <c r="R125" s="100">
        <f>IFERROR(VLOOKUP(Tablo515[[#This Row],[ÜRÜN KODU]],YMKODLARI!$A$1:$K$363,6,0)," ")</f>
        <v>44.5</v>
      </c>
      <c r="S125" s="100">
        <f>IFERROR(Tablo515[[#This Row],[YOLLUK HARİÇ BASKI GRAMI]]/Tablo515[[#This Row],[KALIP GÖZ ADEDİ]]," ")</f>
        <v>5.5625</v>
      </c>
      <c r="T125" s="100">
        <f t="shared" si="9"/>
        <v>7.2000000000000028</v>
      </c>
      <c r="U125" s="100">
        <v>6.5</v>
      </c>
      <c r="V125" s="100">
        <f t="shared" si="8"/>
        <v>31.019500000000001</v>
      </c>
      <c r="W125" s="101">
        <f t="shared" si="10"/>
        <v>24.416666666666668</v>
      </c>
      <c r="X125" s="102">
        <f t="shared" si="11"/>
        <v>10.000000000000028</v>
      </c>
      <c r="Y125" s="100">
        <f t="shared" si="12"/>
        <v>5.51</v>
      </c>
      <c r="Z125" s="100">
        <f t="shared" si="13"/>
        <v>4408</v>
      </c>
    </row>
    <row r="126" spans="1:26">
      <c r="A126" s="100" t="s">
        <v>34</v>
      </c>
      <c r="B126" s="108" t="str">
        <f>IFERROR(VLOOKUP(Tablo515[[#This Row],[ÜRÜN KODU]],YMKODLARI!$A$1:$K$363,2,0)," ")</f>
        <v>BİBERON KLASİK  UC 1 NO</v>
      </c>
      <c r="C126" s="99">
        <v>44029</v>
      </c>
      <c r="D126" s="100" t="s">
        <v>27</v>
      </c>
      <c r="E126" s="101">
        <v>0.33333333333333331</v>
      </c>
      <c r="F126" s="101">
        <v>0.75</v>
      </c>
      <c r="G126" s="100">
        <f>IFERROR(VLOOKUP(Tablo515[[#This Row],[ÜRÜN KODU]],YMKODLARI!$A$1:$K$363,3,0)," ")</f>
        <v>8</v>
      </c>
      <c r="H126" s="100">
        <f>IFERROR(VLOOKUP(Tablo515[[#This Row],[ÜRÜN KODU]],YMKODLARI!$A$1:$K$363,4,0)," ")</f>
        <v>36</v>
      </c>
      <c r="I126" s="100">
        <v>630</v>
      </c>
      <c r="J126" s="100" t="str">
        <f>IFERROR(VLOOKUP(Tablo515[[#This Row],[ÜRÜN KODU]],YMKODLARI!$A$1:$K$363,9,0)," ")</f>
        <v>Şeffaf</v>
      </c>
      <c r="K126" s="100" t="str">
        <f>IFERROR(VLOOKUP(Tablo515[[#This Row],[BOYA KODU]],Tablo14[#All],4,0)," ")</f>
        <v xml:space="preserve"> </v>
      </c>
      <c r="L126" s="100" t="str">
        <f>IFERROR(VLOOKUP(Tablo515[[#This Row],[BOYA KODU]],Tablo14[#All],6,0)," ")</f>
        <v xml:space="preserve"> </v>
      </c>
      <c r="M126" s="100" t="str">
        <f t="shared" si="7"/>
        <v xml:space="preserve"> </v>
      </c>
      <c r="N126" s="100" t="str">
        <f>IFERROR(VLOOKUP(Tablo515[[#This Row],[ÜRÜN KODU]],YMKODLARI!$A$1:$K$363,8,0)," ")</f>
        <v>HM 003</v>
      </c>
      <c r="O126" s="100" t="str">
        <f>IFERROR(VLOOKUP(Tablo515[[#This Row],[HAMMADDE KODU]],Tablo1[#All],3,0)," ")</f>
        <v>LSR 45</v>
      </c>
      <c r="P126" s="100" t="str">
        <f>IFERROR(VLOOKUP(Tablo515[[#This Row],[HAMMADDE KODU]],Tablo1[#All],4,0)," ")</f>
        <v>SETA</v>
      </c>
      <c r="Q126" s="100">
        <f>IFERROR(VLOOKUP(Tablo515[[#This Row],[ÜRÜN KODU]],YMKODLARI!$A$1:$K$363,5,0)," ")</f>
        <v>51.7</v>
      </c>
      <c r="R126" s="100">
        <f>IFERROR(VLOOKUP(Tablo515[[#This Row],[ÜRÜN KODU]],YMKODLARI!$A$1:$K$363,6,0)," ")</f>
        <v>44.5</v>
      </c>
      <c r="S126" s="100">
        <f>IFERROR(Tablo515[[#This Row],[YOLLUK HARİÇ BASKI GRAMI]]/Tablo515[[#This Row],[KALIP GÖZ ADEDİ]]," ")</f>
        <v>5.5625</v>
      </c>
      <c r="T126" s="100">
        <f t="shared" si="9"/>
        <v>7.2000000000000028</v>
      </c>
      <c r="U126" s="100">
        <v>5</v>
      </c>
      <c r="V126" s="100">
        <f t="shared" si="8"/>
        <v>33.034999999999997</v>
      </c>
      <c r="W126" s="101">
        <f t="shared" si="10"/>
        <v>24.416666666666668</v>
      </c>
      <c r="X126" s="102">
        <f t="shared" si="11"/>
        <v>10.000000000000028</v>
      </c>
      <c r="Y126" s="100">
        <f t="shared" si="12"/>
        <v>6.3</v>
      </c>
      <c r="Z126" s="100">
        <f t="shared" si="13"/>
        <v>5040</v>
      </c>
    </row>
    <row r="127" spans="1:26">
      <c r="A127" s="100" t="s">
        <v>34</v>
      </c>
      <c r="B127" s="108" t="str">
        <f>IFERROR(VLOOKUP(Tablo515[[#This Row],[ÜRÜN KODU]],YMKODLARI!$A$1:$K$363,2,0)," ")</f>
        <v>BİBERON KLASİK  UC 1 NO</v>
      </c>
      <c r="C127" s="99">
        <v>44032</v>
      </c>
      <c r="D127" s="100" t="s">
        <v>36</v>
      </c>
      <c r="E127" s="101">
        <v>0.33333333333333331</v>
      </c>
      <c r="F127" s="101">
        <v>0.75</v>
      </c>
      <c r="G127" s="100">
        <f>IFERROR(VLOOKUP(Tablo515[[#This Row],[ÜRÜN KODU]],YMKODLARI!$A$1:$K$363,3,0)," ")</f>
        <v>8</v>
      </c>
      <c r="H127" s="100">
        <f>IFERROR(VLOOKUP(Tablo515[[#This Row],[ÜRÜN KODU]],YMKODLARI!$A$1:$K$363,4,0)," ")</f>
        <v>36</v>
      </c>
      <c r="I127" s="100">
        <v>727</v>
      </c>
      <c r="J127" s="100" t="str">
        <f>IFERROR(VLOOKUP(Tablo515[[#This Row],[ÜRÜN KODU]],YMKODLARI!$A$1:$K$363,9,0)," ")</f>
        <v>Şeffaf</v>
      </c>
      <c r="K127" s="100" t="str">
        <f>IFERROR(VLOOKUP(Tablo515[[#This Row],[BOYA KODU]],Tablo14[#All],4,0)," ")</f>
        <v xml:space="preserve"> </v>
      </c>
      <c r="L127" s="100" t="str">
        <f>IFERROR(VLOOKUP(Tablo515[[#This Row],[BOYA KODU]],Tablo14[#All],6,0)," ")</f>
        <v xml:space="preserve"> </v>
      </c>
      <c r="M127" s="100" t="str">
        <f t="shared" si="7"/>
        <v xml:space="preserve"> </v>
      </c>
      <c r="N127" s="100" t="str">
        <f>IFERROR(VLOOKUP(Tablo515[[#This Row],[ÜRÜN KODU]],YMKODLARI!$A$1:$K$363,8,0)," ")</f>
        <v>HM 003</v>
      </c>
      <c r="O127" s="100" t="str">
        <f>IFERROR(VLOOKUP(Tablo515[[#This Row],[HAMMADDE KODU]],Tablo1[#All],3,0)," ")</f>
        <v>LSR 45</v>
      </c>
      <c r="P127" s="100" t="str">
        <f>IFERROR(VLOOKUP(Tablo515[[#This Row],[HAMMADDE KODU]],Tablo1[#All],4,0)," ")</f>
        <v>SETA</v>
      </c>
      <c r="Q127" s="100">
        <f>IFERROR(VLOOKUP(Tablo515[[#This Row],[ÜRÜN KODU]],YMKODLARI!$A$1:$K$363,5,0)," ")</f>
        <v>51.7</v>
      </c>
      <c r="R127" s="100">
        <f>IFERROR(VLOOKUP(Tablo515[[#This Row],[ÜRÜN KODU]],YMKODLARI!$A$1:$K$363,6,0)," ")</f>
        <v>44.5</v>
      </c>
      <c r="S127" s="100">
        <f>IFERROR(Tablo515[[#This Row],[YOLLUK HARİÇ BASKI GRAMI]]/Tablo515[[#This Row],[KALIP GÖZ ADEDİ]]," ")</f>
        <v>5.5625</v>
      </c>
      <c r="T127" s="100">
        <f t="shared" si="9"/>
        <v>7.2000000000000028</v>
      </c>
      <c r="U127" s="100">
        <v>7</v>
      </c>
      <c r="V127" s="100">
        <f t="shared" si="8"/>
        <v>39.351500000000001</v>
      </c>
      <c r="W127" s="101">
        <f t="shared" si="10"/>
        <v>24.416666666666668</v>
      </c>
      <c r="X127" s="102">
        <f t="shared" si="11"/>
        <v>10.000000000000028</v>
      </c>
      <c r="Y127" s="100">
        <f t="shared" si="12"/>
        <v>7.27</v>
      </c>
      <c r="Z127" s="100">
        <f t="shared" si="13"/>
        <v>5816</v>
      </c>
    </row>
    <row r="128" spans="1:26">
      <c r="A128" s="100" t="s">
        <v>34</v>
      </c>
      <c r="B128" s="108" t="str">
        <f>IFERROR(VLOOKUP(Tablo515[[#This Row],[ÜRÜN KODU]],YMKODLARI!$A$1:$K$363,2,0)," ")</f>
        <v>BİBERON KLASİK  UC 1 NO</v>
      </c>
      <c r="C128" s="99">
        <v>44033</v>
      </c>
      <c r="D128" s="100" t="s">
        <v>40</v>
      </c>
      <c r="E128" s="101">
        <v>0.33333333333333331</v>
      </c>
      <c r="F128" s="101">
        <v>0.75</v>
      </c>
      <c r="G128" s="100">
        <f>IFERROR(VLOOKUP(Tablo515[[#This Row],[ÜRÜN KODU]],YMKODLARI!$A$1:$K$363,3,0)," ")</f>
        <v>8</v>
      </c>
      <c r="H128" s="100">
        <f>IFERROR(VLOOKUP(Tablo515[[#This Row],[ÜRÜN KODU]],YMKODLARI!$A$1:$K$363,4,0)," ")</f>
        <v>36</v>
      </c>
      <c r="I128" s="100">
        <v>276</v>
      </c>
      <c r="J128" s="100" t="str">
        <f>IFERROR(VLOOKUP(Tablo515[[#This Row],[ÜRÜN KODU]],YMKODLARI!$A$1:$K$363,9,0)," ")</f>
        <v>Şeffaf</v>
      </c>
      <c r="K128" s="100" t="str">
        <f>IFERROR(VLOOKUP(Tablo515[[#This Row],[BOYA KODU]],Tablo14[#All],4,0)," ")</f>
        <v xml:space="preserve"> </v>
      </c>
      <c r="L128" s="100" t="str">
        <f>IFERROR(VLOOKUP(Tablo515[[#This Row],[BOYA KODU]],Tablo14[#All],6,0)," ")</f>
        <v xml:space="preserve"> </v>
      </c>
      <c r="M128" s="100" t="str">
        <f t="shared" si="7"/>
        <v xml:space="preserve"> </v>
      </c>
      <c r="N128" s="100" t="str">
        <f>IFERROR(VLOOKUP(Tablo515[[#This Row],[ÜRÜN KODU]],YMKODLARI!$A$1:$K$363,8,0)," ")</f>
        <v>HM 003</v>
      </c>
      <c r="O128" s="100" t="str">
        <f>IFERROR(VLOOKUP(Tablo515[[#This Row],[HAMMADDE KODU]],Tablo1[#All],3,0)," ")</f>
        <v>LSR 45</v>
      </c>
      <c r="P128" s="100" t="str">
        <f>IFERROR(VLOOKUP(Tablo515[[#This Row],[HAMMADDE KODU]],Tablo1[#All],4,0)," ")</f>
        <v>SETA</v>
      </c>
      <c r="Q128" s="100">
        <f>IFERROR(VLOOKUP(Tablo515[[#This Row],[ÜRÜN KODU]],YMKODLARI!$A$1:$K$363,5,0)," ")</f>
        <v>51.7</v>
      </c>
      <c r="R128" s="100">
        <f>IFERROR(VLOOKUP(Tablo515[[#This Row],[ÜRÜN KODU]],YMKODLARI!$A$1:$K$363,6,0)," ")</f>
        <v>44.5</v>
      </c>
      <c r="S128" s="100">
        <f>IFERROR(Tablo515[[#This Row],[YOLLUK HARİÇ BASKI GRAMI]]/Tablo515[[#This Row],[KALIP GÖZ ADEDİ]]," ")</f>
        <v>5.5625</v>
      </c>
      <c r="T128" s="100">
        <f t="shared" si="9"/>
        <v>7.2000000000000028</v>
      </c>
      <c r="U128" s="100">
        <v>2</v>
      </c>
      <c r="V128" s="100">
        <f t="shared" si="8"/>
        <v>14.282</v>
      </c>
      <c r="W128" s="101">
        <f t="shared" si="10"/>
        <v>24.416666666666668</v>
      </c>
      <c r="X128" s="102">
        <f t="shared" si="11"/>
        <v>10.000000000000028</v>
      </c>
      <c r="Y128" s="100">
        <f t="shared" si="12"/>
        <v>2.76</v>
      </c>
      <c r="Z128" s="100">
        <f t="shared" si="13"/>
        <v>2208</v>
      </c>
    </row>
    <row r="129" spans="1:26">
      <c r="A129" s="100" t="s">
        <v>34</v>
      </c>
      <c r="B129" s="108" t="str">
        <f>IFERROR(VLOOKUP(Tablo515[[#This Row],[ÜRÜN KODU]],YMKODLARI!$A$1:$K$363,2,0)," ")</f>
        <v>BİBERON KLASİK  UC 1 NO</v>
      </c>
      <c r="C129" s="99">
        <v>44034</v>
      </c>
      <c r="D129" s="100" t="s">
        <v>40</v>
      </c>
      <c r="E129" s="101">
        <v>0.33333333333333331</v>
      </c>
      <c r="F129" s="101">
        <v>0.75</v>
      </c>
      <c r="G129" s="100">
        <f>IFERROR(VLOOKUP(Tablo515[[#This Row],[ÜRÜN KODU]],YMKODLARI!$A$1:$K$363,3,0)," ")</f>
        <v>8</v>
      </c>
      <c r="H129" s="100">
        <f>IFERROR(VLOOKUP(Tablo515[[#This Row],[ÜRÜN KODU]],YMKODLARI!$A$1:$K$363,4,0)," ")</f>
        <v>36</v>
      </c>
      <c r="I129" s="100">
        <v>731</v>
      </c>
      <c r="J129" s="100" t="str">
        <f>IFERROR(VLOOKUP(Tablo515[[#This Row],[ÜRÜN KODU]],YMKODLARI!$A$1:$K$363,9,0)," ")</f>
        <v>Şeffaf</v>
      </c>
      <c r="K129" s="100" t="str">
        <f>IFERROR(VLOOKUP(Tablo515[[#This Row],[BOYA KODU]],Tablo14[#All],4,0)," ")</f>
        <v xml:space="preserve"> </v>
      </c>
      <c r="L129" s="100" t="str">
        <f>IFERROR(VLOOKUP(Tablo515[[#This Row],[BOYA KODU]],Tablo14[#All],6,0)," ")</f>
        <v xml:space="preserve"> </v>
      </c>
      <c r="M129" s="100" t="str">
        <f t="shared" si="7"/>
        <v xml:space="preserve"> </v>
      </c>
      <c r="N129" s="100" t="str">
        <f>IFERROR(VLOOKUP(Tablo515[[#This Row],[ÜRÜN KODU]],YMKODLARI!$A$1:$K$363,8,0)," ")</f>
        <v>HM 003</v>
      </c>
      <c r="O129" s="100" t="str">
        <f>IFERROR(VLOOKUP(Tablo515[[#This Row],[HAMMADDE KODU]],Tablo1[#All],3,0)," ")</f>
        <v>LSR 45</v>
      </c>
      <c r="P129" s="100" t="str">
        <f>IFERROR(VLOOKUP(Tablo515[[#This Row],[HAMMADDE KODU]],Tablo1[#All],4,0)," ")</f>
        <v>SETA</v>
      </c>
      <c r="Q129" s="100">
        <f>IFERROR(VLOOKUP(Tablo515[[#This Row],[ÜRÜN KODU]],YMKODLARI!$A$1:$K$363,5,0)," ")</f>
        <v>51.7</v>
      </c>
      <c r="R129" s="100">
        <f>IFERROR(VLOOKUP(Tablo515[[#This Row],[ÜRÜN KODU]],YMKODLARI!$A$1:$K$363,6,0)," ")</f>
        <v>44.5</v>
      </c>
      <c r="S129" s="100">
        <f>IFERROR(Tablo515[[#This Row],[YOLLUK HARİÇ BASKI GRAMI]]/Tablo515[[#This Row],[KALIP GÖZ ADEDİ]]," ")</f>
        <v>5.5625</v>
      </c>
      <c r="T129" s="100">
        <f t="shared" si="9"/>
        <v>7.2000000000000028</v>
      </c>
      <c r="U129" s="100">
        <v>5</v>
      </c>
      <c r="V129" s="100">
        <f t="shared" si="8"/>
        <v>37.529499999999999</v>
      </c>
      <c r="W129" s="101">
        <f t="shared" si="10"/>
        <v>24.416666666666668</v>
      </c>
      <c r="X129" s="102">
        <f t="shared" si="11"/>
        <v>10.000000000000028</v>
      </c>
      <c r="Y129" s="100">
        <f t="shared" si="12"/>
        <v>7.31</v>
      </c>
      <c r="Z129" s="100">
        <f t="shared" si="13"/>
        <v>5848</v>
      </c>
    </row>
    <row r="130" spans="1:26">
      <c r="A130" s="100" t="s">
        <v>34</v>
      </c>
      <c r="B130" s="108" t="str">
        <f>IFERROR(VLOOKUP(Tablo515[[#This Row],[ÜRÜN KODU]],YMKODLARI!$A$1:$K$363,2,0)," ")</f>
        <v>BİBERON KLASİK  UC 1 NO</v>
      </c>
      <c r="C130" s="99">
        <v>44035</v>
      </c>
      <c r="D130" s="100" t="s">
        <v>40</v>
      </c>
      <c r="E130" s="101">
        <v>0.33333333333333331</v>
      </c>
      <c r="F130" s="101">
        <v>0.75</v>
      </c>
      <c r="G130" s="100">
        <f>IFERROR(VLOOKUP(Tablo515[[#This Row],[ÜRÜN KODU]],YMKODLARI!$A$1:$K$363,3,0)," ")</f>
        <v>8</v>
      </c>
      <c r="H130" s="100">
        <f>IFERROR(VLOOKUP(Tablo515[[#This Row],[ÜRÜN KODU]],YMKODLARI!$A$1:$K$363,4,0)," ")</f>
        <v>36</v>
      </c>
      <c r="I130" s="100">
        <v>888</v>
      </c>
      <c r="J130" s="100" t="str">
        <f>IFERROR(VLOOKUP(Tablo515[[#This Row],[ÜRÜN KODU]],YMKODLARI!$A$1:$K$363,9,0)," ")</f>
        <v>Şeffaf</v>
      </c>
      <c r="K130" s="100" t="str">
        <f>IFERROR(VLOOKUP(Tablo515[[#This Row],[BOYA KODU]],Tablo14[#All],4,0)," ")</f>
        <v xml:space="preserve"> </v>
      </c>
      <c r="L130" s="100" t="str">
        <f>IFERROR(VLOOKUP(Tablo515[[#This Row],[BOYA KODU]],Tablo14[#All],6,0)," ")</f>
        <v xml:space="preserve"> </v>
      </c>
      <c r="M130" s="100" t="str">
        <f t="shared" ref="M130:M189" si="14">IFERROR((I130*Q130)*L130," ")</f>
        <v xml:space="preserve"> </v>
      </c>
      <c r="N130" s="100" t="str">
        <f>IFERROR(VLOOKUP(Tablo515[[#This Row],[ÜRÜN KODU]],YMKODLARI!$A$1:$K$363,8,0)," ")</f>
        <v>HM 003</v>
      </c>
      <c r="O130" s="100" t="str">
        <f>IFERROR(VLOOKUP(Tablo515[[#This Row],[HAMMADDE KODU]],Tablo1[#All],3,0)," ")</f>
        <v>LSR 45</v>
      </c>
      <c r="P130" s="100" t="str">
        <f>IFERROR(VLOOKUP(Tablo515[[#This Row],[HAMMADDE KODU]],Tablo1[#All],4,0)," ")</f>
        <v>SETA</v>
      </c>
      <c r="Q130" s="100">
        <f>IFERROR(VLOOKUP(Tablo515[[#This Row],[ÜRÜN KODU]],YMKODLARI!$A$1:$K$363,5,0)," ")</f>
        <v>51.7</v>
      </c>
      <c r="R130" s="100">
        <f>IFERROR(VLOOKUP(Tablo515[[#This Row],[ÜRÜN KODU]],YMKODLARI!$A$1:$K$363,6,0)," ")</f>
        <v>44.5</v>
      </c>
      <c r="S130" s="100">
        <f>IFERROR(Tablo515[[#This Row],[YOLLUK HARİÇ BASKI GRAMI]]/Tablo515[[#This Row],[KALIP GÖZ ADEDİ]]," ")</f>
        <v>5.5625</v>
      </c>
      <c r="T130" s="100">
        <f t="shared" si="9"/>
        <v>7.2000000000000028</v>
      </c>
      <c r="U130" s="100">
        <v>6.5</v>
      </c>
      <c r="V130" s="100">
        <f t="shared" ref="V130:V189" si="15">IFERROR(U130+(R130*I130) /1000," ")</f>
        <v>46.015999999999998</v>
      </c>
      <c r="W130" s="101">
        <f t="shared" si="10"/>
        <v>24.416666666666668</v>
      </c>
      <c r="X130" s="102">
        <f t="shared" si="11"/>
        <v>10.000000000000028</v>
      </c>
      <c r="Y130" s="100">
        <f t="shared" si="12"/>
        <v>8.8800000000000008</v>
      </c>
      <c r="Z130" s="100">
        <f t="shared" si="13"/>
        <v>7104</v>
      </c>
    </row>
    <row r="131" spans="1:26">
      <c r="A131" s="100" t="s">
        <v>34</v>
      </c>
      <c r="B131" s="108" t="str">
        <f>IFERROR(VLOOKUP(Tablo515[[#This Row],[ÜRÜN KODU]],YMKODLARI!$A$1:$K$363,2,0)," ")</f>
        <v>BİBERON KLASİK  UC 1 NO</v>
      </c>
      <c r="C131" s="99">
        <v>44036</v>
      </c>
      <c r="D131" s="100" t="s">
        <v>40</v>
      </c>
      <c r="E131" s="101">
        <v>0.375</v>
      </c>
      <c r="F131" s="101">
        <v>0.75</v>
      </c>
      <c r="G131" s="100">
        <f>IFERROR(VLOOKUP(Tablo515[[#This Row],[ÜRÜN KODU]],YMKODLARI!$A$1:$K$363,3,0)," ")</f>
        <v>8</v>
      </c>
      <c r="H131" s="100">
        <f>IFERROR(VLOOKUP(Tablo515[[#This Row],[ÜRÜN KODU]],YMKODLARI!$A$1:$K$363,4,0)," ")</f>
        <v>36</v>
      </c>
      <c r="I131" s="100">
        <v>677</v>
      </c>
      <c r="J131" s="100" t="str">
        <f>IFERROR(VLOOKUP(Tablo515[[#This Row],[ÜRÜN KODU]],YMKODLARI!$A$1:$K$363,9,0)," ")</f>
        <v>Şeffaf</v>
      </c>
      <c r="K131" s="100" t="str">
        <f>IFERROR(VLOOKUP(Tablo515[[#This Row],[BOYA KODU]],Tablo14[#All],4,0)," ")</f>
        <v xml:space="preserve"> </v>
      </c>
      <c r="L131" s="100" t="str">
        <f>IFERROR(VLOOKUP(Tablo515[[#This Row],[BOYA KODU]],Tablo14[#All],6,0)," ")</f>
        <v xml:space="preserve"> </v>
      </c>
      <c r="M131" s="100" t="str">
        <f t="shared" si="14"/>
        <v xml:space="preserve"> </v>
      </c>
      <c r="N131" s="100" t="str">
        <f>IFERROR(VLOOKUP(Tablo515[[#This Row],[ÜRÜN KODU]],YMKODLARI!$A$1:$K$363,8,0)," ")</f>
        <v>HM 003</v>
      </c>
      <c r="O131" s="100" t="str">
        <f>IFERROR(VLOOKUP(Tablo515[[#This Row],[HAMMADDE KODU]],Tablo1[#All],3,0)," ")</f>
        <v>LSR 45</v>
      </c>
      <c r="P131" s="100" t="str">
        <f>IFERROR(VLOOKUP(Tablo515[[#This Row],[HAMMADDE KODU]],Tablo1[#All],4,0)," ")</f>
        <v>SETA</v>
      </c>
      <c r="Q131" s="100">
        <f>IFERROR(VLOOKUP(Tablo515[[#This Row],[ÜRÜN KODU]],YMKODLARI!$A$1:$K$363,5,0)," ")</f>
        <v>51.7</v>
      </c>
      <c r="R131" s="100">
        <f>IFERROR(VLOOKUP(Tablo515[[#This Row],[ÜRÜN KODU]],YMKODLARI!$A$1:$K$363,6,0)," ")</f>
        <v>44.5</v>
      </c>
      <c r="S131" s="100">
        <f>IFERROR(Tablo515[[#This Row],[YOLLUK HARİÇ BASKI GRAMI]]/Tablo515[[#This Row],[KALIP GÖZ ADEDİ]]," ")</f>
        <v>5.5625</v>
      </c>
      <c r="T131" s="100">
        <f t="shared" ref="T131:T195" si="16">IFERROR(Q131-R131," ")</f>
        <v>7.2000000000000028</v>
      </c>
      <c r="U131" s="100">
        <v>5</v>
      </c>
      <c r="V131" s="100">
        <f t="shared" si="15"/>
        <v>35.1265</v>
      </c>
      <c r="W131" s="101">
        <f t="shared" ref="W131:W192" si="17">IFERROR(24-(E131-F131)," ")</f>
        <v>24.375</v>
      </c>
      <c r="X131" s="102">
        <f t="shared" ref="X131:X195" si="18">IFERROR((W131-INT(W131))*24," ")</f>
        <v>9</v>
      </c>
      <c r="Y131" s="100">
        <f t="shared" ref="Y131:Y189" si="19">IFERROR(H131*I131/3600," ")</f>
        <v>6.77</v>
      </c>
      <c r="Z131" s="100">
        <f t="shared" ref="Z131:Z189" si="20">IFERROR(I131*G131," " )</f>
        <v>5416</v>
      </c>
    </row>
    <row r="132" spans="1:26">
      <c r="A132" s="100" t="s">
        <v>34</v>
      </c>
      <c r="B132" s="108" t="str">
        <f>IFERROR(VLOOKUP(Tablo515[[#This Row],[ÜRÜN KODU]],YMKODLARI!$A$1:$K$363,2,0)," ")</f>
        <v>BİBERON KLASİK  UC 1 NO</v>
      </c>
      <c r="C132" s="99">
        <v>44039</v>
      </c>
      <c r="D132" s="100" t="s">
        <v>40</v>
      </c>
      <c r="E132" s="101">
        <v>0.34375</v>
      </c>
      <c r="F132" s="101">
        <v>0.75</v>
      </c>
      <c r="G132" s="100">
        <f>IFERROR(VLOOKUP(Tablo515[[#This Row],[ÜRÜN KODU]],YMKODLARI!$A$1:$K$363,3,0)," ")</f>
        <v>8</v>
      </c>
      <c r="H132" s="100">
        <f>IFERROR(VLOOKUP(Tablo515[[#This Row],[ÜRÜN KODU]],YMKODLARI!$A$1:$K$363,4,0)," ")</f>
        <v>36</v>
      </c>
      <c r="I132" s="100">
        <v>757</v>
      </c>
      <c r="J132" s="100" t="str">
        <f>IFERROR(VLOOKUP(Tablo515[[#This Row],[ÜRÜN KODU]],YMKODLARI!$A$1:$K$363,9,0)," ")</f>
        <v>Şeffaf</v>
      </c>
      <c r="K132" s="100" t="str">
        <f>IFERROR(VLOOKUP(Tablo515[[#This Row],[BOYA KODU]],Tablo14[#All],4,0)," ")</f>
        <v xml:space="preserve"> </v>
      </c>
      <c r="L132" s="100" t="str">
        <f>IFERROR(VLOOKUP(Tablo515[[#This Row],[BOYA KODU]],Tablo14[#All],6,0)," ")</f>
        <v xml:space="preserve"> </v>
      </c>
      <c r="M132" s="100" t="str">
        <f t="shared" si="14"/>
        <v xml:space="preserve"> </v>
      </c>
      <c r="N132" s="100" t="str">
        <f>IFERROR(VLOOKUP(Tablo515[[#This Row],[ÜRÜN KODU]],YMKODLARI!$A$1:$K$363,8,0)," ")</f>
        <v>HM 003</v>
      </c>
      <c r="O132" s="100" t="str">
        <f>IFERROR(VLOOKUP(Tablo515[[#This Row],[HAMMADDE KODU]],Tablo1[#All],3,0)," ")</f>
        <v>LSR 45</v>
      </c>
      <c r="P132" s="100" t="str">
        <f>IFERROR(VLOOKUP(Tablo515[[#This Row],[HAMMADDE KODU]],Tablo1[#All],4,0)," ")</f>
        <v>SETA</v>
      </c>
      <c r="Q132" s="100">
        <f>IFERROR(VLOOKUP(Tablo515[[#This Row],[ÜRÜN KODU]],YMKODLARI!$A$1:$K$363,5,0)," ")</f>
        <v>51.7</v>
      </c>
      <c r="R132" s="100">
        <f>IFERROR(VLOOKUP(Tablo515[[#This Row],[ÜRÜN KODU]],YMKODLARI!$A$1:$K$363,6,0)," ")</f>
        <v>44.5</v>
      </c>
      <c r="S132" s="100">
        <f>IFERROR(Tablo515[[#This Row],[YOLLUK HARİÇ BASKI GRAMI]]/Tablo515[[#This Row],[KALIP GÖZ ADEDİ]]," ")</f>
        <v>5.5625</v>
      </c>
      <c r="T132" s="100">
        <f t="shared" si="16"/>
        <v>7.2000000000000028</v>
      </c>
      <c r="U132" s="100">
        <v>5</v>
      </c>
      <c r="V132" s="100">
        <f t="shared" si="15"/>
        <v>38.686500000000002</v>
      </c>
      <c r="W132" s="101">
        <f t="shared" si="17"/>
        <v>24.40625</v>
      </c>
      <c r="X132" s="102">
        <f t="shared" si="18"/>
        <v>9.75</v>
      </c>
      <c r="Y132" s="100">
        <f t="shared" si="19"/>
        <v>7.57</v>
      </c>
      <c r="Z132" s="100">
        <f t="shared" si="20"/>
        <v>6056</v>
      </c>
    </row>
    <row r="133" spans="1:26">
      <c r="A133" s="100" t="s">
        <v>34</v>
      </c>
      <c r="B133" s="108" t="str">
        <f>IFERROR(VLOOKUP(Tablo515[[#This Row],[ÜRÜN KODU]],YMKODLARI!$A$1:$K$363,2,0)," ")</f>
        <v>BİBERON KLASİK  UC 1 NO</v>
      </c>
      <c r="C133" s="99">
        <v>44040</v>
      </c>
      <c r="D133" s="100" t="s">
        <v>40</v>
      </c>
      <c r="E133" s="101">
        <v>0.33333333333333331</v>
      </c>
      <c r="F133" s="101">
        <v>0.75</v>
      </c>
      <c r="G133" s="100">
        <f>IFERROR(VLOOKUP(Tablo515[[#This Row],[ÜRÜN KODU]],YMKODLARI!$A$1:$K$363,3,0)," ")</f>
        <v>8</v>
      </c>
      <c r="H133" s="100">
        <f>IFERROR(VLOOKUP(Tablo515[[#This Row],[ÜRÜN KODU]],YMKODLARI!$A$1:$K$363,4,0)," ")</f>
        <v>36</v>
      </c>
      <c r="I133" s="100">
        <v>844</v>
      </c>
      <c r="J133" s="100" t="str">
        <f>IFERROR(VLOOKUP(Tablo515[[#This Row],[ÜRÜN KODU]],YMKODLARI!$A$1:$K$363,9,0)," ")</f>
        <v>Şeffaf</v>
      </c>
      <c r="K133" s="100" t="str">
        <f>IFERROR(VLOOKUP(Tablo515[[#This Row],[BOYA KODU]],Tablo14[#All],4,0)," ")</f>
        <v xml:space="preserve"> </v>
      </c>
      <c r="L133" s="100" t="str">
        <f>IFERROR(VLOOKUP(Tablo515[[#This Row],[BOYA KODU]],Tablo14[#All],6,0)," ")</f>
        <v xml:space="preserve"> </v>
      </c>
      <c r="M133" s="100" t="str">
        <f t="shared" si="14"/>
        <v xml:space="preserve"> </v>
      </c>
      <c r="N133" s="100" t="str">
        <f>IFERROR(VLOOKUP(Tablo515[[#This Row],[ÜRÜN KODU]],YMKODLARI!$A$1:$K$363,8,0)," ")</f>
        <v>HM 003</v>
      </c>
      <c r="O133" s="100" t="str">
        <f>IFERROR(VLOOKUP(Tablo515[[#This Row],[HAMMADDE KODU]],Tablo1[#All],3,0)," ")</f>
        <v>LSR 45</v>
      </c>
      <c r="P133" s="100" t="str">
        <f>IFERROR(VLOOKUP(Tablo515[[#This Row],[HAMMADDE KODU]],Tablo1[#All],4,0)," ")</f>
        <v>SETA</v>
      </c>
      <c r="Q133" s="100">
        <f>IFERROR(VLOOKUP(Tablo515[[#This Row],[ÜRÜN KODU]],YMKODLARI!$A$1:$K$363,5,0)," ")</f>
        <v>51.7</v>
      </c>
      <c r="R133" s="100">
        <f>IFERROR(VLOOKUP(Tablo515[[#This Row],[ÜRÜN KODU]],YMKODLARI!$A$1:$K$363,6,0)," ")</f>
        <v>44.5</v>
      </c>
      <c r="S133" s="100">
        <f>IFERROR(Tablo515[[#This Row],[YOLLUK HARİÇ BASKI GRAMI]]/Tablo515[[#This Row],[KALIP GÖZ ADEDİ]]," ")</f>
        <v>5.5625</v>
      </c>
      <c r="T133" s="100">
        <f t="shared" si="16"/>
        <v>7.2000000000000028</v>
      </c>
      <c r="U133" s="100">
        <v>5</v>
      </c>
      <c r="V133" s="100">
        <f t="shared" si="15"/>
        <v>42.558</v>
      </c>
      <c r="W133" s="101">
        <f t="shared" si="17"/>
        <v>24.416666666666668</v>
      </c>
      <c r="X133" s="102">
        <f t="shared" si="18"/>
        <v>10.000000000000028</v>
      </c>
      <c r="Y133" s="100">
        <f t="shared" si="19"/>
        <v>8.44</v>
      </c>
      <c r="Z133" s="100">
        <f t="shared" si="20"/>
        <v>6752</v>
      </c>
    </row>
    <row r="134" spans="1:26">
      <c r="A134" s="100" t="s">
        <v>34</v>
      </c>
      <c r="B134" s="108" t="str">
        <f>IFERROR(VLOOKUP(Tablo515[[#This Row],[ÜRÜN KODU]],YMKODLARI!$A$1:$K$363,2,0)," ")</f>
        <v>BİBERON KLASİK  UC 1 NO</v>
      </c>
      <c r="C134" s="99">
        <v>44041</v>
      </c>
      <c r="D134" s="100" t="s">
        <v>40</v>
      </c>
      <c r="E134" s="101">
        <v>0.33333333333333331</v>
      </c>
      <c r="F134" s="101">
        <v>0.72222222222222221</v>
      </c>
      <c r="G134" s="100">
        <f>IFERROR(VLOOKUP(Tablo515[[#This Row],[ÜRÜN KODU]],YMKODLARI!$A$1:$K$363,3,0)," ")</f>
        <v>8</v>
      </c>
      <c r="H134" s="100">
        <f>IFERROR(VLOOKUP(Tablo515[[#This Row],[ÜRÜN KODU]],YMKODLARI!$A$1:$K$363,4,0)," ")</f>
        <v>36</v>
      </c>
      <c r="I134" s="100">
        <v>706</v>
      </c>
      <c r="J134" s="100" t="str">
        <f>IFERROR(VLOOKUP(Tablo515[[#This Row],[ÜRÜN KODU]],YMKODLARI!$A$1:$K$363,9,0)," ")</f>
        <v>Şeffaf</v>
      </c>
      <c r="K134" s="100" t="str">
        <f>IFERROR(VLOOKUP(Tablo515[[#This Row],[BOYA KODU]],Tablo14[#All],4,0)," ")</f>
        <v xml:space="preserve"> </v>
      </c>
      <c r="L134" s="100" t="str">
        <f>IFERROR(VLOOKUP(Tablo515[[#This Row],[BOYA KODU]],Tablo14[#All],6,0)," ")</f>
        <v xml:space="preserve"> </v>
      </c>
      <c r="M134" s="100" t="str">
        <f t="shared" si="14"/>
        <v xml:space="preserve"> </v>
      </c>
      <c r="N134" s="100" t="str">
        <f>IFERROR(VLOOKUP(Tablo515[[#This Row],[ÜRÜN KODU]],YMKODLARI!$A$1:$K$363,8,0)," ")</f>
        <v>HM 003</v>
      </c>
      <c r="O134" s="100" t="str">
        <f>IFERROR(VLOOKUP(Tablo515[[#This Row],[HAMMADDE KODU]],Tablo1[#All],3,0)," ")</f>
        <v>LSR 45</v>
      </c>
      <c r="P134" s="100" t="str">
        <f>IFERROR(VLOOKUP(Tablo515[[#This Row],[HAMMADDE KODU]],Tablo1[#All],4,0)," ")</f>
        <v>SETA</v>
      </c>
      <c r="Q134" s="100">
        <f>IFERROR(VLOOKUP(Tablo515[[#This Row],[ÜRÜN KODU]],YMKODLARI!$A$1:$K$363,5,0)," ")</f>
        <v>51.7</v>
      </c>
      <c r="R134" s="100">
        <f>IFERROR(VLOOKUP(Tablo515[[#This Row],[ÜRÜN KODU]],YMKODLARI!$A$1:$K$363,6,0)," ")</f>
        <v>44.5</v>
      </c>
      <c r="S134" s="100">
        <f>IFERROR(Tablo515[[#This Row],[YOLLUK HARİÇ BASKI GRAMI]]/Tablo515[[#This Row],[KALIP GÖZ ADEDİ]]," ")</f>
        <v>5.5625</v>
      </c>
      <c r="T134" s="100">
        <f t="shared" si="16"/>
        <v>7.2000000000000028</v>
      </c>
      <c r="U134" s="100">
        <v>5</v>
      </c>
      <c r="V134" s="100">
        <f t="shared" si="15"/>
        <v>36.417000000000002</v>
      </c>
      <c r="W134" s="101">
        <f t="shared" si="17"/>
        <v>24.388888888888889</v>
      </c>
      <c r="X134" s="102">
        <f t="shared" si="18"/>
        <v>9.3333333333333428</v>
      </c>
      <c r="Y134" s="100">
        <f t="shared" si="19"/>
        <v>7.06</v>
      </c>
      <c r="Z134" s="100">
        <f t="shared" si="20"/>
        <v>5648</v>
      </c>
    </row>
    <row r="135" spans="1:26">
      <c r="A135" s="100" t="s">
        <v>34</v>
      </c>
      <c r="B135" s="108" t="str">
        <f>IFERROR(VLOOKUP(Tablo515[[#This Row],[ÜRÜN KODU]],YMKODLARI!$A$1:$K$363,2,0)," ")</f>
        <v>BİBERON KLASİK  UC 1 NO</v>
      </c>
      <c r="C135" s="99">
        <v>44047</v>
      </c>
      <c r="D135" s="100" t="s">
        <v>29</v>
      </c>
      <c r="E135" s="101">
        <v>0.33333333333333331</v>
      </c>
      <c r="F135" s="101">
        <v>0.75</v>
      </c>
      <c r="G135" s="100">
        <f>IFERROR(VLOOKUP(Tablo515[[#This Row],[ÜRÜN KODU]],YMKODLARI!$A$1:$K$363,3,0)," ")</f>
        <v>8</v>
      </c>
      <c r="H135" s="100">
        <f>IFERROR(VLOOKUP(Tablo515[[#This Row],[ÜRÜN KODU]],YMKODLARI!$A$1:$K$363,4,0)," ")</f>
        <v>36</v>
      </c>
      <c r="I135" s="100">
        <v>393</v>
      </c>
      <c r="J135" s="100" t="str">
        <f>IFERROR(VLOOKUP(Tablo515[[#This Row],[ÜRÜN KODU]],YMKODLARI!$A$1:$K$363,9,0)," ")</f>
        <v>Şeffaf</v>
      </c>
      <c r="K135" s="100" t="str">
        <f>IFERROR(VLOOKUP(Tablo515[[#This Row],[BOYA KODU]],Tablo14[#All],4,0)," ")</f>
        <v xml:space="preserve"> </v>
      </c>
      <c r="L135" s="100" t="str">
        <f>IFERROR(VLOOKUP(Tablo515[[#This Row],[BOYA KODU]],Tablo14[#All],6,0)," ")</f>
        <v xml:space="preserve"> </v>
      </c>
      <c r="M135" s="100" t="str">
        <f t="shared" si="14"/>
        <v xml:space="preserve"> </v>
      </c>
      <c r="N135" s="100" t="str">
        <f>IFERROR(VLOOKUP(Tablo515[[#This Row],[ÜRÜN KODU]],YMKODLARI!$A$1:$K$363,8,0)," ")</f>
        <v>HM 003</v>
      </c>
      <c r="O135" s="100" t="str">
        <f>IFERROR(VLOOKUP(Tablo515[[#This Row],[HAMMADDE KODU]],Tablo1[#All],3,0)," ")</f>
        <v>LSR 45</v>
      </c>
      <c r="P135" s="100" t="str">
        <f>IFERROR(VLOOKUP(Tablo515[[#This Row],[HAMMADDE KODU]],Tablo1[#All],4,0)," ")</f>
        <v>SETA</v>
      </c>
      <c r="Q135" s="100">
        <f>IFERROR(VLOOKUP(Tablo515[[#This Row],[ÜRÜN KODU]],YMKODLARI!$A$1:$K$363,5,0)," ")</f>
        <v>51.7</v>
      </c>
      <c r="R135" s="100">
        <f>IFERROR(VLOOKUP(Tablo515[[#This Row],[ÜRÜN KODU]],YMKODLARI!$A$1:$K$363,6,0)," ")</f>
        <v>44.5</v>
      </c>
      <c r="S135" s="100">
        <f>IFERROR(Tablo515[[#This Row],[YOLLUK HARİÇ BASKI GRAMI]]/Tablo515[[#This Row],[KALIP GÖZ ADEDİ]]," ")</f>
        <v>5.5625</v>
      </c>
      <c r="T135" s="100">
        <f t="shared" si="16"/>
        <v>7.2000000000000028</v>
      </c>
      <c r="U135" s="100">
        <v>4.8</v>
      </c>
      <c r="V135" s="100">
        <f t="shared" si="15"/>
        <v>22.288499999999999</v>
      </c>
      <c r="W135" s="101">
        <f t="shared" si="17"/>
        <v>24.416666666666668</v>
      </c>
      <c r="X135" s="102">
        <f t="shared" si="18"/>
        <v>10.000000000000028</v>
      </c>
      <c r="Y135" s="100">
        <f t="shared" si="19"/>
        <v>3.93</v>
      </c>
      <c r="Z135" s="100">
        <f t="shared" si="20"/>
        <v>3144</v>
      </c>
    </row>
    <row r="136" spans="1:26">
      <c r="A136" s="100" t="s">
        <v>34</v>
      </c>
      <c r="B136" s="108" t="str">
        <f>IFERROR(VLOOKUP(Tablo515[[#This Row],[ÜRÜN KODU]],YMKODLARI!$A$1:$K$363,2,0)," ")</f>
        <v>BİBERON KLASİK  UC 1 NO</v>
      </c>
      <c r="C136" s="99">
        <v>44048</v>
      </c>
      <c r="D136" s="100" t="s">
        <v>29</v>
      </c>
      <c r="E136" s="101">
        <v>0.33333333333333331</v>
      </c>
      <c r="F136" s="101">
        <v>0.75</v>
      </c>
      <c r="G136" s="100">
        <f>IFERROR(VLOOKUP(Tablo515[[#This Row],[ÜRÜN KODU]],YMKODLARI!$A$1:$K$363,3,0)," ")</f>
        <v>8</v>
      </c>
      <c r="H136" s="100">
        <f>IFERROR(VLOOKUP(Tablo515[[#This Row],[ÜRÜN KODU]],YMKODLARI!$A$1:$K$363,4,0)," ")</f>
        <v>36</v>
      </c>
      <c r="I136" s="100">
        <v>789</v>
      </c>
      <c r="J136" s="100" t="str">
        <f>IFERROR(VLOOKUP(Tablo515[[#This Row],[ÜRÜN KODU]],YMKODLARI!$A$1:$K$363,9,0)," ")</f>
        <v>Şeffaf</v>
      </c>
      <c r="K136" s="100" t="str">
        <f>IFERROR(VLOOKUP(Tablo515[[#This Row],[BOYA KODU]],Tablo14[#All],4,0)," ")</f>
        <v xml:space="preserve"> </v>
      </c>
      <c r="L136" s="100" t="str">
        <f>IFERROR(VLOOKUP(Tablo515[[#This Row],[BOYA KODU]],Tablo14[#All],6,0)," ")</f>
        <v xml:space="preserve"> </v>
      </c>
      <c r="M136" s="100" t="str">
        <f t="shared" si="14"/>
        <v xml:space="preserve"> </v>
      </c>
      <c r="N136" s="100" t="str">
        <f>IFERROR(VLOOKUP(Tablo515[[#This Row],[ÜRÜN KODU]],YMKODLARI!$A$1:$K$363,8,0)," ")</f>
        <v>HM 003</v>
      </c>
      <c r="O136" s="100" t="str">
        <f>IFERROR(VLOOKUP(Tablo515[[#This Row],[HAMMADDE KODU]],Tablo1[#All],3,0)," ")</f>
        <v>LSR 45</v>
      </c>
      <c r="P136" s="100" t="str">
        <f>IFERROR(VLOOKUP(Tablo515[[#This Row],[HAMMADDE KODU]],Tablo1[#All],4,0)," ")</f>
        <v>SETA</v>
      </c>
      <c r="Q136" s="100">
        <f>IFERROR(VLOOKUP(Tablo515[[#This Row],[ÜRÜN KODU]],YMKODLARI!$A$1:$K$363,5,0)," ")</f>
        <v>51.7</v>
      </c>
      <c r="R136" s="100">
        <f>IFERROR(VLOOKUP(Tablo515[[#This Row],[ÜRÜN KODU]],YMKODLARI!$A$1:$K$363,6,0)," ")</f>
        <v>44.5</v>
      </c>
      <c r="S136" s="100">
        <f>IFERROR(Tablo515[[#This Row],[YOLLUK HARİÇ BASKI GRAMI]]/Tablo515[[#This Row],[KALIP GÖZ ADEDİ]]," ")</f>
        <v>5.5625</v>
      </c>
      <c r="T136" s="100">
        <f t="shared" si="16"/>
        <v>7.2000000000000028</v>
      </c>
      <c r="U136" s="100">
        <v>6.2</v>
      </c>
      <c r="V136" s="100">
        <f t="shared" si="15"/>
        <v>41.310500000000005</v>
      </c>
      <c r="W136" s="101">
        <f t="shared" si="17"/>
        <v>24.416666666666668</v>
      </c>
      <c r="X136" s="102">
        <f t="shared" si="18"/>
        <v>10.000000000000028</v>
      </c>
      <c r="Y136" s="100">
        <f t="shared" si="19"/>
        <v>7.89</v>
      </c>
      <c r="Z136" s="100">
        <f t="shared" si="20"/>
        <v>6312</v>
      </c>
    </row>
    <row r="137" spans="1:26">
      <c r="A137" s="100" t="s">
        <v>34</v>
      </c>
      <c r="B137" s="108" t="str">
        <f>IFERROR(VLOOKUP(Tablo515[[#This Row],[ÜRÜN KODU]],YMKODLARI!$A$1:$K$363,2,0)," ")</f>
        <v>BİBERON KLASİK  UC 1 NO</v>
      </c>
      <c r="C137" s="99">
        <v>44049</v>
      </c>
      <c r="D137" s="100" t="s">
        <v>29</v>
      </c>
      <c r="E137" s="101">
        <v>0.33333333333333331</v>
      </c>
      <c r="F137" s="101">
        <v>0.75</v>
      </c>
      <c r="G137" s="100">
        <f>IFERROR(VLOOKUP(Tablo515[[#This Row],[ÜRÜN KODU]],YMKODLARI!$A$1:$K$363,3,0)," ")</f>
        <v>8</v>
      </c>
      <c r="H137" s="100">
        <f>IFERROR(VLOOKUP(Tablo515[[#This Row],[ÜRÜN KODU]],YMKODLARI!$A$1:$K$363,4,0)," ")</f>
        <v>36</v>
      </c>
      <c r="I137" s="100">
        <v>773</v>
      </c>
      <c r="J137" s="100" t="str">
        <f>IFERROR(VLOOKUP(Tablo515[[#This Row],[ÜRÜN KODU]],YMKODLARI!$A$1:$K$363,9,0)," ")</f>
        <v>Şeffaf</v>
      </c>
      <c r="K137" s="100" t="str">
        <f>IFERROR(VLOOKUP(Tablo515[[#This Row],[BOYA KODU]],Tablo14[#All],4,0)," ")</f>
        <v xml:space="preserve"> </v>
      </c>
      <c r="L137" s="100" t="str">
        <f>IFERROR(VLOOKUP(Tablo515[[#This Row],[BOYA KODU]],Tablo14[#All],6,0)," ")</f>
        <v xml:space="preserve"> </v>
      </c>
      <c r="M137" s="100" t="str">
        <f t="shared" si="14"/>
        <v xml:space="preserve"> </v>
      </c>
      <c r="N137" s="100" t="str">
        <f>IFERROR(VLOOKUP(Tablo515[[#This Row],[ÜRÜN KODU]],YMKODLARI!$A$1:$K$363,8,0)," ")</f>
        <v>HM 003</v>
      </c>
      <c r="O137" s="100" t="str">
        <f>IFERROR(VLOOKUP(Tablo515[[#This Row],[HAMMADDE KODU]],Tablo1[#All],3,0)," ")</f>
        <v>LSR 45</v>
      </c>
      <c r="P137" s="100" t="str">
        <f>IFERROR(VLOOKUP(Tablo515[[#This Row],[HAMMADDE KODU]],Tablo1[#All],4,0)," ")</f>
        <v>SETA</v>
      </c>
      <c r="Q137" s="100">
        <f>IFERROR(VLOOKUP(Tablo515[[#This Row],[ÜRÜN KODU]],YMKODLARI!$A$1:$K$363,5,0)," ")</f>
        <v>51.7</v>
      </c>
      <c r="R137" s="100">
        <f>IFERROR(VLOOKUP(Tablo515[[#This Row],[ÜRÜN KODU]],YMKODLARI!$A$1:$K$363,6,0)," ")</f>
        <v>44.5</v>
      </c>
      <c r="S137" s="100">
        <f>IFERROR(Tablo515[[#This Row],[YOLLUK HARİÇ BASKI GRAMI]]/Tablo515[[#This Row],[KALIP GÖZ ADEDİ]]," ")</f>
        <v>5.5625</v>
      </c>
      <c r="T137" s="100">
        <f t="shared" si="16"/>
        <v>7.2000000000000028</v>
      </c>
      <c r="U137" s="100">
        <v>6.7</v>
      </c>
      <c r="V137" s="100">
        <f t="shared" si="15"/>
        <v>41.098500000000001</v>
      </c>
      <c r="W137" s="101">
        <f t="shared" si="17"/>
        <v>24.416666666666668</v>
      </c>
      <c r="X137" s="102">
        <f t="shared" si="18"/>
        <v>10.000000000000028</v>
      </c>
      <c r="Y137" s="100">
        <f t="shared" si="19"/>
        <v>7.73</v>
      </c>
      <c r="Z137" s="100">
        <f t="shared" si="20"/>
        <v>6184</v>
      </c>
    </row>
    <row r="138" spans="1:26">
      <c r="A138" s="100" t="s">
        <v>34</v>
      </c>
      <c r="B138" s="108" t="str">
        <f>IFERROR(VLOOKUP(Tablo515[[#This Row],[ÜRÜN KODU]],YMKODLARI!$A$1:$K$363,2,0)," ")</f>
        <v>BİBERON KLASİK  UC 1 NO</v>
      </c>
      <c r="C138" s="99">
        <v>44050</v>
      </c>
      <c r="D138" s="100" t="s">
        <v>29</v>
      </c>
      <c r="E138" s="101">
        <v>0.33333333333333331</v>
      </c>
      <c r="F138" s="101">
        <v>0.5</v>
      </c>
      <c r="G138" s="100">
        <f>IFERROR(VLOOKUP(Tablo515[[#This Row],[ÜRÜN KODU]],YMKODLARI!$A$1:$K$363,3,0)," ")</f>
        <v>8</v>
      </c>
      <c r="H138" s="100">
        <f>IFERROR(VLOOKUP(Tablo515[[#This Row],[ÜRÜN KODU]],YMKODLARI!$A$1:$K$363,4,0)," ")</f>
        <v>36</v>
      </c>
      <c r="I138" s="100">
        <v>239</v>
      </c>
      <c r="J138" s="100" t="str">
        <f>IFERROR(VLOOKUP(Tablo515[[#This Row],[ÜRÜN KODU]],YMKODLARI!$A$1:$K$363,9,0)," ")</f>
        <v>Şeffaf</v>
      </c>
      <c r="K138" s="100" t="str">
        <f>IFERROR(VLOOKUP(Tablo515[[#This Row],[BOYA KODU]],Tablo14[#All],4,0)," ")</f>
        <v xml:space="preserve"> </v>
      </c>
      <c r="L138" s="100" t="str">
        <f>IFERROR(VLOOKUP(Tablo515[[#This Row],[BOYA KODU]],Tablo14[#All],6,0)," ")</f>
        <v xml:space="preserve"> </v>
      </c>
      <c r="M138" s="100" t="str">
        <f t="shared" si="14"/>
        <v xml:space="preserve"> </v>
      </c>
      <c r="N138" s="100" t="str">
        <f>IFERROR(VLOOKUP(Tablo515[[#This Row],[ÜRÜN KODU]],YMKODLARI!$A$1:$K$363,8,0)," ")</f>
        <v>HM 003</v>
      </c>
      <c r="O138" s="100" t="str">
        <f>IFERROR(VLOOKUP(Tablo515[[#This Row],[HAMMADDE KODU]],Tablo1[#All],3,0)," ")</f>
        <v>LSR 45</v>
      </c>
      <c r="P138" s="100" t="str">
        <f>IFERROR(VLOOKUP(Tablo515[[#This Row],[HAMMADDE KODU]],Tablo1[#All],4,0)," ")</f>
        <v>SETA</v>
      </c>
      <c r="Q138" s="100">
        <f>IFERROR(VLOOKUP(Tablo515[[#This Row],[ÜRÜN KODU]],YMKODLARI!$A$1:$K$363,5,0)," ")</f>
        <v>51.7</v>
      </c>
      <c r="R138" s="100">
        <f>IFERROR(VLOOKUP(Tablo515[[#This Row],[ÜRÜN KODU]],YMKODLARI!$A$1:$K$363,6,0)," ")</f>
        <v>44.5</v>
      </c>
      <c r="S138" s="100">
        <f>IFERROR(Tablo515[[#This Row],[YOLLUK HARİÇ BASKI GRAMI]]/Tablo515[[#This Row],[KALIP GÖZ ADEDİ]]," ")</f>
        <v>5.5625</v>
      </c>
      <c r="T138" s="100">
        <f t="shared" si="16"/>
        <v>7.2000000000000028</v>
      </c>
      <c r="U138" s="100">
        <v>2.4</v>
      </c>
      <c r="V138" s="100">
        <f t="shared" si="15"/>
        <v>13.035500000000001</v>
      </c>
      <c r="W138" s="101">
        <f t="shared" si="17"/>
        <v>24.166666666666668</v>
      </c>
      <c r="X138" s="102">
        <f t="shared" si="18"/>
        <v>4.0000000000000284</v>
      </c>
      <c r="Y138" s="100">
        <f t="shared" si="19"/>
        <v>2.39</v>
      </c>
      <c r="Z138" s="100">
        <f t="shared" si="20"/>
        <v>1912</v>
      </c>
    </row>
    <row r="139" spans="1:26">
      <c r="A139" s="100" t="s">
        <v>28</v>
      </c>
      <c r="B139" s="108" t="str">
        <f>IFERROR(VLOOKUP(Tablo515[[#This Row],[ÜRÜN KODU]],YMKODLARI!$A$1:$K$363,2,0)," ")</f>
        <v>BİBERON KLASİK  UC 2 NO</v>
      </c>
      <c r="C139" s="99">
        <v>44053</v>
      </c>
      <c r="D139" s="100" t="s">
        <v>33</v>
      </c>
      <c r="E139" s="101">
        <v>0.56944444444444442</v>
      </c>
      <c r="F139" s="101">
        <v>0.75</v>
      </c>
      <c r="G139" s="100">
        <f>IFERROR(VLOOKUP(Tablo515[[#This Row],[ÜRÜN KODU]],YMKODLARI!$A$1:$K$363,3,0)," ")</f>
        <v>8</v>
      </c>
      <c r="H139" s="100">
        <f>IFERROR(VLOOKUP(Tablo515[[#This Row],[ÜRÜN KODU]],YMKODLARI!$A$1:$K$363,4,0)," ")</f>
        <v>41</v>
      </c>
      <c r="I139" s="100">
        <v>177</v>
      </c>
      <c r="J139" s="100" t="str">
        <f>IFERROR(VLOOKUP(Tablo515[[#This Row],[ÜRÜN KODU]],YMKODLARI!$A$1:$K$363,9,0)," ")</f>
        <v>Şeffaf</v>
      </c>
      <c r="K139" s="100" t="str">
        <f>IFERROR(VLOOKUP(Tablo515[[#This Row],[BOYA KODU]],Tablo14[#All],4,0)," ")</f>
        <v xml:space="preserve"> </v>
      </c>
      <c r="L139" s="100" t="str">
        <f>IFERROR(VLOOKUP(Tablo515[[#This Row],[BOYA KODU]],Tablo14[#All],6,0)," ")</f>
        <v xml:space="preserve"> </v>
      </c>
      <c r="M139" s="100" t="str">
        <f t="shared" si="14"/>
        <v xml:space="preserve"> </v>
      </c>
      <c r="N139" s="100" t="str">
        <f>IFERROR(VLOOKUP(Tablo515[[#This Row],[ÜRÜN KODU]],YMKODLARI!$A$1:$K$363,8,0)," ")</f>
        <v>HM 003</v>
      </c>
      <c r="O139" s="100" t="str">
        <f>IFERROR(VLOOKUP(Tablo515[[#This Row],[HAMMADDE KODU]],Tablo1[#All],3,0)," ")</f>
        <v>LSR 45</v>
      </c>
      <c r="P139" s="100" t="str">
        <f>IFERROR(VLOOKUP(Tablo515[[#This Row],[HAMMADDE KODU]],Tablo1[#All],4,0)," ")</f>
        <v>SETA</v>
      </c>
      <c r="Q139" s="100">
        <f>IFERROR(VLOOKUP(Tablo515[[#This Row],[ÜRÜN KODU]],YMKODLARI!$A$1:$K$363,5,0)," ")</f>
        <v>54.8</v>
      </c>
      <c r="R139" s="100">
        <f>IFERROR(VLOOKUP(Tablo515[[#This Row],[ÜRÜN KODU]],YMKODLARI!$A$1:$K$363,6,0)," ")</f>
        <v>48.1</v>
      </c>
      <c r="S139" s="100">
        <f>IFERROR(Tablo515[[#This Row],[YOLLUK HARİÇ BASKI GRAMI]]/Tablo515[[#This Row],[KALIP GÖZ ADEDİ]]," ")</f>
        <v>6.0125000000000002</v>
      </c>
      <c r="T139" s="100">
        <f t="shared" si="16"/>
        <v>6.6999999999999957</v>
      </c>
      <c r="U139" s="100">
        <v>2.6</v>
      </c>
      <c r="V139" s="100">
        <f t="shared" si="15"/>
        <v>11.1137</v>
      </c>
      <c r="W139" s="101">
        <f t="shared" si="17"/>
        <v>24.180555555555557</v>
      </c>
      <c r="X139" s="102">
        <f t="shared" si="18"/>
        <v>4.3333333333333712</v>
      </c>
      <c r="Y139" s="100">
        <f t="shared" si="19"/>
        <v>2.0158333333333331</v>
      </c>
      <c r="Z139" s="100">
        <f t="shared" si="20"/>
        <v>1416</v>
      </c>
    </row>
    <row r="140" spans="1:26">
      <c r="A140" s="100" t="s">
        <v>28</v>
      </c>
      <c r="B140" s="108" t="str">
        <f>IFERROR(VLOOKUP(Tablo515[[#This Row],[ÜRÜN KODU]],YMKODLARI!$A$1:$K$363,2,0)," ")</f>
        <v>BİBERON KLASİK  UC 2 NO</v>
      </c>
      <c r="C140" s="99">
        <v>44055</v>
      </c>
      <c r="D140" s="100" t="s">
        <v>33</v>
      </c>
      <c r="E140" s="101">
        <v>0.56944444444444442</v>
      </c>
      <c r="F140" s="101">
        <v>0.75</v>
      </c>
      <c r="G140" s="100">
        <f>IFERROR(VLOOKUP(Tablo515[[#This Row],[ÜRÜN KODU]],YMKODLARI!$A$1:$K$363,3,0)," ")</f>
        <v>8</v>
      </c>
      <c r="H140" s="100">
        <f>IFERROR(VLOOKUP(Tablo515[[#This Row],[ÜRÜN KODU]],YMKODLARI!$A$1:$K$363,4,0)," ")</f>
        <v>41</v>
      </c>
      <c r="I140" s="100">
        <v>425</v>
      </c>
      <c r="J140" s="100" t="str">
        <f>IFERROR(VLOOKUP(Tablo515[[#This Row],[ÜRÜN KODU]],YMKODLARI!$A$1:$K$363,9,0)," ")</f>
        <v>Şeffaf</v>
      </c>
      <c r="K140" s="100" t="str">
        <f>IFERROR(VLOOKUP(Tablo515[[#This Row],[BOYA KODU]],Tablo14[#All],4,0)," ")</f>
        <v xml:space="preserve"> </v>
      </c>
      <c r="L140" s="100" t="str">
        <f>IFERROR(VLOOKUP(Tablo515[[#This Row],[BOYA KODU]],Tablo14[#All],6,0)," ")</f>
        <v xml:space="preserve"> </v>
      </c>
      <c r="M140" s="100" t="str">
        <f t="shared" si="14"/>
        <v xml:space="preserve"> </v>
      </c>
      <c r="N140" s="100" t="str">
        <f>IFERROR(VLOOKUP(Tablo515[[#This Row],[ÜRÜN KODU]],YMKODLARI!$A$1:$K$363,8,0)," ")</f>
        <v>HM 003</v>
      </c>
      <c r="O140" s="100" t="str">
        <f>IFERROR(VLOOKUP(Tablo515[[#This Row],[HAMMADDE KODU]],Tablo1[#All],3,0)," ")</f>
        <v>LSR 45</v>
      </c>
      <c r="P140" s="100" t="str">
        <f>IFERROR(VLOOKUP(Tablo515[[#This Row],[HAMMADDE KODU]],Tablo1[#All],4,0)," ")</f>
        <v>SETA</v>
      </c>
      <c r="Q140" s="100">
        <f>IFERROR(VLOOKUP(Tablo515[[#This Row],[ÜRÜN KODU]],YMKODLARI!$A$1:$K$363,5,0)," ")</f>
        <v>54.8</v>
      </c>
      <c r="R140" s="100">
        <f>IFERROR(VLOOKUP(Tablo515[[#This Row],[ÜRÜN KODU]],YMKODLARI!$A$1:$K$363,6,0)," ")</f>
        <v>48.1</v>
      </c>
      <c r="S140" s="100">
        <f>IFERROR(Tablo515[[#This Row],[YOLLUK HARİÇ BASKI GRAMI]]/Tablo515[[#This Row],[KALIP GÖZ ADEDİ]]," ")</f>
        <v>6.0125000000000002</v>
      </c>
      <c r="T140" s="100">
        <f t="shared" si="16"/>
        <v>6.6999999999999957</v>
      </c>
      <c r="U140" s="100">
        <v>2.7</v>
      </c>
      <c r="V140" s="100">
        <f t="shared" si="15"/>
        <v>23.142499999999998</v>
      </c>
      <c r="W140" s="101">
        <f t="shared" si="17"/>
        <v>24.180555555555557</v>
      </c>
      <c r="X140" s="102">
        <f t="shared" si="18"/>
        <v>4.3333333333333712</v>
      </c>
      <c r="Y140" s="100">
        <f t="shared" si="19"/>
        <v>4.8402777777777777</v>
      </c>
      <c r="Z140" s="100">
        <f t="shared" si="20"/>
        <v>3400</v>
      </c>
    </row>
    <row r="141" spans="1:26">
      <c r="A141" s="100" t="s">
        <v>28</v>
      </c>
      <c r="B141" s="108" t="str">
        <f>IFERROR(VLOOKUP(Tablo515[[#This Row],[ÜRÜN KODU]],YMKODLARI!$A$1:$K$363,2,0)," ")</f>
        <v>BİBERON KLASİK  UC 2 NO</v>
      </c>
      <c r="C141" s="99">
        <v>44056</v>
      </c>
      <c r="D141" s="100" t="s">
        <v>33</v>
      </c>
      <c r="E141" s="101">
        <v>0.33333333333333331</v>
      </c>
      <c r="F141" s="101">
        <v>0.75</v>
      </c>
      <c r="G141" s="100">
        <f>IFERROR(VLOOKUP(Tablo515[[#This Row],[ÜRÜN KODU]],YMKODLARI!$A$1:$K$363,3,0)," ")</f>
        <v>8</v>
      </c>
      <c r="H141" s="100">
        <f>IFERROR(VLOOKUP(Tablo515[[#This Row],[ÜRÜN KODU]],YMKODLARI!$A$1:$K$363,4,0)," ")</f>
        <v>41</v>
      </c>
      <c r="I141" s="100">
        <v>735</v>
      </c>
      <c r="J141" s="100" t="str">
        <f>IFERROR(VLOOKUP(Tablo515[[#This Row],[ÜRÜN KODU]],YMKODLARI!$A$1:$K$363,9,0)," ")</f>
        <v>Şeffaf</v>
      </c>
      <c r="K141" s="100" t="str">
        <f>IFERROR(VLOOKUP(Tablo515[[#This Row],[BOYA KODU]],Tablo14[#All],4,0)," ")</f>
        <v xml:space="preserve"> </v>
      </c>
      <c r="L141" s="100" t="str">
        <f>IFERROR(VLOOKUP(Tablo515[[#This Row],[BOYA KODU]],Tablo14[#All],6,0)," ")</f>
        <v xml:space="preserve"> </v>
      </c>
      <c r="M141" s="100" t="str">
        <f t="shared" si="14"/>
        <v xml:space="preserve"> </v>
      </c>
      <c r="N141" s="100" t="str">
        <f>IFERROR(VLOOKUP(Tablo515[[#This Row],[ÜRÜN KODU]],YMKODLARI!$A$1:$K$363,8,0)," ")</f>
        <v>HM 003</v>
      </c>
      <c r="O141" s="100" t="str">
        <f>IFERROR(VLOOKUP(Tablo515[[#This Row],[HAMMADDE KODU]],Tablo1[#All],3,0)," ")</f>
        <v>LSR 45</v>
      </c>
      <c r="P141" s="100" t="str">
        <f>IFERROR(VLOOKUP(Tablo515[[#This Row],[HAMMADDE KODU]],Tablo1[#All],4,0)," ")</f>
        <v>SETA</v>
      </c>
      <c r="Q141" s="100">
        <f>IFERROR(VLOOKUP(Tablo515[[#This Row],[ÜRÜN KODU]],YMKODLARI!$A$1:$K$363,5,0)," ")</f>
        <v>54.8</v>
      </c>
      <c r="R141" s="100">
        <f>IFERROR(VLOOKUP(Tablo515[[#This Row],[ÜRÜN KODU]],YMKODLARI!$A$1:$K$363,6,0)," ")</f>
        <v>48.1</v>
      </c>
      <c r="S141" s="100">
        <f>IFERROR(Tablo515[[#This Row],[YOLLUK HARİÇ BASKI GRAMI]]/Tablo515[[#This Row],[KALIP GÖZ ADEDİ]]," ")</f>
        <v>6.0125000000000002</v>
      </c>
      <c r="T141" s="100">
        <f t="shared" si="16"/>
        <v>6.6999999999999957</v>
      </c>
      <c r="U141" s="100">
        <v>5.3</v>
      </c>
      <c r="V141" s="100">
        <f t="shared" si="15"/>
        <v>40.653499999999994</v>
      </c>
      <c r="W141" s="101">
        <f t="shared" si="17"/>
        <v>24.416666666666668</v>
      </c>
      <c r="X141" s="102">
        <f t="shared" si="18"/>
        <v>10.000000000000028</v>
      </c>
      <c r="Y141" s="100">
        <f t="shared" si="19"/>
        <v>8.3708333333333336</v>
      </c>
      <c r="Z141" s="100">
        <f t="shared" si="20"/>
        <v>5880</v>
      </c>
    </row>
    <row r="142" spans="1:26">
      <c r="A142" s="100" t="s">
        <v>28</v>
      </c>
      <c r="B142" s="108" t="str">
        <f>IFERROR(VLOOKUP(Tablo515[[#This Row],[ÜRÜN KODU]],YMKODLARI!$A$1:$K$363,2,0)," ")</f>
        <v>BİBERON KLASİK  UC 2 NO</v>
      </c>
      <c r="C142" s="99">
        <v>44057</v>
      </c>
      <c r="D142" s="100" t="s">
        <v>29</v>
      </c>
      <c r="E142" s="101">
        <v>0.33333333333333331</v>
      </c>
      <c r="F142" s="101">
        <v>0.72916666666666663</v>
      </c>
      <c r="G142" s="100">
        <f>IFERROR(VLOOKUP(Tablo515[[#This Row],[ÜRÜN KODU]],YMKODLARI!$A$1:$K$363,3,0)," ")</f>
        <v>8</v>
      </c>
      <c r="H142" s="100">
        <f>IFERROR(VLOOKUP(Tablo515[[#This Row],[ÜRÜN KODU]],YMKODLARI!$A$1:$K$363,4,0)," ")</f>
        <v>41</v>
      </c>
      <c r="I142" s="100">
        <v>598</v>
      </c>
      <c r="J142" s="100" t="str">
        <f>IFERROR(VLOOKUP(Tablo515[[#This Row],[ÜRÜN KODU]],YMKODLARI!$A$1:$K$363,9,0)," ")</f>
        <v>Şeffaf</v>
      </c>
      <c r="K142" s="100" t="str">
        <f>IFERROR(VLOOKUP(Tablo515[[#This Row],[BOYA KODU]],Tablo14[#All],4,0)," ")</f>
        <v xml:space="preserve"> </v>
      </c>
      <c r="L142" s="100" t="str">
        <f>IFERROR(VLOOKUP(Tablo515[[#This Row],[BOYA KODU]],Tablo14[#All],6,0)," ")</f>
        <v xml:space="preserve"> </v>
      </c>
      <c r="M142" s="100" t="str">
        <f t="shared" si="14"/>
        <v xml:space="preserve"> </v>
      </c>
      <c r="N142" s="100" t="str">
        <f>IFERROR(VLOOKUP(Tablo515[[#This Row],[ÜRÜN KODU]],YMKODLARI!$A$1:$K$363,8,0)," ")</f>
        <v>HM 003</v>
      </c>
      <c r="O142" s="100" t="str">
        <f>IFERROR(VLOOKUP(Tablo515[[#This Row],[HAMMADDE KODU]],Tablo1[#All],3,0)," ")</f>
        <v>LSR 45</v>
      </c>
      <c r="P142" s="100" t="str">
        <f>IFERROR(VLOOKUP(Tablo515[[#This Row],[HAMMADDE KODU]],Tablo1[#All],4,0)," ")</f>
        <v>SETA</v>
      </c>
      <c r="Q142" s="100">
        <f>IFERROR(VLOOKUP(Tablo515[[#This Row],[ÜRÜN KODU]],YMKODLARI!$A$1:$K$363,5,0)," ")</f>
        <v>54.8</v>
      </c>
      <c r="R142" s="100">
        <f>IFERROR(VLOOKUP(Tablo515[[#This Row],[ÜRÜN KODU]],YMKODLARI!$A$1:$K$363,6,0)," ")</f>
        <v>48.1</v>
      </c>
      <c r="S142" s="100">
        <f>IFERROR(Tablo515[[#This Row],[YOLLUK HARİÇ BASKI GRAMI]]/Tablo515[[#This Row],[KALIP GÖZ ADEDİ]]," ")</f>
        <v>6.0125000000000002</v>
      </c>
      <c r="T142" s="100">
        <f t="shared" si="16"/>
        <v>6.6999999999999957</v>
      </c>
      <c r="U142" s="100">
        <v>5.4</v>
      </c>
      <c r="V142" s="100">
        <f t="shared" si="15"/>
        <v>34.163800000000002</v>
      </c>
      <c r="W142" s="101">
        <f t="shared" si="17"/>
        <v>24.395833333333332</v>
      </c>
      <c r="X142" s="102">
        <f t="shared" si="18"/>
        <v>9.4999999999999716</v>
      </c>
      <c r="Y142" s="100">
        <f t="shared" si="19"/>
        <v>6.8105555555555553</v>
      </c>
      <c r="Z142" s="100">
        <f t="shared" si="20"/>
        <v>4784</v>
      </c>
    </row>
    <row r="143" spans="1:26">
      <c r="A143" s="100" t="s">
        <v>28</v>
      </c>
      <c r="B143" s="108" t="str">
        <f>IFERROR(VLOOKUP(Tablo515[[#This Row],[ÜRÜN KODU]],YMKODLARI!$A$1:$K$363,2,0)," ")</f>
        <v>BİBERON KLASİK  UC 2 NO</v>
      </c>
      <c r="C143" s="99">
        <v>44060</v>
      </c>
      <c r="D143" s="100" t="s">
        <v>29</v>
      </c>
      <c r="E143" s="101">
        <v>0.33333333333333331</v>
      </c>
      <c r="F143" s="101">
        <v>0.75</v>
      </c>
      <c r="G143" s="100">
        <f>IFERROR(VLOOKUP(Tablo515[[#This Row],[ÜRÜN KODU]],YMKODLARI!$A$1:$K$363,3,0)," ")</f>
        <v>8</v>
      </c>
      <c r="H143" s="100">
        <f>IFERROR(VLOOKUP(Tablo515[[#This Row],[ÜRÜN KODU]],YMKODLARI!$A$1:$K$363,4,0)," ")</f>
        <v>41</v>
      </c>
      <c r="I143" s="100">
        <v>717</v>
      </c>
      <c r="J143" s="100" t="str">
        <f>IFERROR(VLOOKUP(Tablo515[[#This Row],[ÜRÜN KODU]],YMKODLARI!$A$1:$K$363,9,0)," ")</f>
        <v>Şeffaf</v>
      </c>
      <c r="K143" s="100" t="str">
        <f>IFERROR(VLOOKUP(Tablo515[[#This Row],[BOYA KODU]],Tablo14[#All],4,0)," ")</f>
        <v xml:space="preserve"> </v>
      </c>
      <c r="L143" s="100" t="str">
        <f>IFERROR(VLOOKUP(Tablo515[[#This Row],[BOYA KODU]],Tablo14[#All],6,0)," ")</f>
        <v xml:space="preserve"> </v>
      </c>
      <c r="M143" s="100" t="str">
        <f t="shared" si="14"/>
        <v xml:space="preserve"> </v>
      </c>
      <c r="N143" s="100" t="str">
        <f>IFERROR(VLOOKUP(Tablo515[[#This Row],[ÜRÜN KODU]],YMKODLARI!$A$1:$K$363,8,0)," ")</f>
        <v>HM 003</v>
      </c>
      <c r="O143" s="100" t="str">
        <f>IFERROR(VLOOKUP(Tablo515[[#This Row],[HAMMADDE KODU]],Tablo1[#All],3,0)," ")</f>
        <v>LSR 45</v>
      </c>
      <c r="P143" s="100" t="str">
        <f>IFERROR(VLOOKUP(Tablo515[[#This Row],[HAMMADDE KODU]],Tablo1[#All],4,0)," ")</f>
        <v>SETA</v>
      </c>
      <c r="Q143" s="100">
        <f>IFERROR(VLOOKUP(Tablo515[[#This Row],[ÜRÜN KODU]],YMKODLARI!$A$1:$K$363,5,0)," ")</f>
        <v>54.8</v>
      </c>
      <c r="R143" s="100">
        <f>IFERROR(VLOOKUP(Tablo515[[#This Row],[ÜRÜN KODU]],YMKODLARI!$A$1:$K$363,6,0)," ")</f>
        <v>48.1</v>
      </c>
      <c r="S143" s="100">
        <f>IFERROR(Tablo515[[#This Row],[YOLLUK HARİÇ BASKI GRAMI]]/Tablo515[[#This Row],[KALIP GÖZ ADEDİ]]," ")</f>
        <v>6.0125000000000002</v>
      </c>
      <c r="T143" s="100">
        <f t="shared" si="16"/>
        <v>6.6999999999999957</v>
      </c>
      <c r="U143" s="100">
        <v>5.5</v>
      </c>
      <c r="V143" s="100">
        <f t="shared" si="15"/>
        <v>39.987700000000004</v>
      </c>
      <c r="W143" s="101">
        <f t="shared" si="17"/>
        <v>24.416666666666668</v>
      </c>
      <c r="X143" s="102">
        <f t="shared" si="18"/>
        <v>10.000000000000028</v>
      </c>
      <c r="Y143" s="100">
        <f t="shared" si="19"/>
        <v>8.1658333333333335</v>
      </c>
      <c r="Z143" s="100">
        <f t="shared" si="20"/>
        <v>5736</v>
      </c>
    </row>
    <row r="144" spans="1:26">
      <c r="A144" s="100" t="s">
        <v>28</v>
      </c>
      <c r="B144" s="108" t="str">
        <f>IFERROR(VLOOKUP(Tablo515[[#This Row],[ÜRÜN KODU]],YMKODLARI!$A$1:$K$363,2,0)," ")</f>
        <v>BİBERON KLASİK  UC 2 NO</v>
      </c>
      <c r="C144" s="99">
        <v>44061</v>
      </c>
      <c r="D144" s="100" t="s">
        <v>29</v>
      </c>
      <c r="E144" s="101">
        <v>0.33333333333333331</v>
      </c>
      <c r="F144" s="101">
        <v>0.75</v>
      </c>
      <c r="G144" s="100">
        <f>IFERROR(VLOOKUP(Tablo515[[#This Row],[ÜRÜN KODU]],YMKODLARI!$A$1:$K$363,3,0)," ")</f>
        <v>8</v>
      </c>
      <c r="H144" s="100">
        <f>IFERROR(VLOOKUP(Tablo515[[#This Row],[ÜRÜN KODU]],YMKODLARI!$A$1:$K$363,4,0)," ")</f>
        <v>41</v>
      </c>
      <c r="I144" s="100">
        <v>656</v>
      </c>
      <c r="J144" s="100" t="str">
        <f>IFERROR(VLOOKUP(Tablo515[[#This Row],[ÜRÜN KODU]],YMKODLARI!$A$1:$K$363,9,0)," ")</f>
        <v>Şeffaf</v>
      </c>
      <c r="K144" s="100" t="str">
        <f>IFERROR(VLOOKUP(Tablo515[[#This Row],[BOYA KODU]],Tablo14[#All],4,0)," ")</f>
        <v xml:space="preserve"> </v>
      </c>
      <c r="L144" s="100" t="str">
        <f>IFERROR(VLOOKUP(Tablo515[[#This Row],[BOYA KODU]],Tablo14[#All],6,0)," ")</f>
        <v xml:space="preserve"> </v>
      </c>
      <c r="M144" s="100" t="str">
        <f t="shared" si="14"/>
        <v xml:space="preserve"> </v>
      </c>
      <c r="N144" s="100" t="str">
        <f>IFERROR(VLOOKUP(Tablo515[[#This Row],[ÜRÜN KODU]],YMKODLARI!$A$1:$K$363,8,0)," ")</f>
        <v>HM 003</v>
      </c>
      <c r="O144" s="100" t="str">
        <f>IFERROR(VLOOKUP(Tablo515[[#This Row],[HAMMADDE KODU]],Tablo1[#All],3,0)," ")</f>
        <v>LSR 45</v>
      </c>
      <c r="P144" s="100" t="str">
        <f>IFERROR(VLOOKUP(Tablo515[[#This Row],[HAMMADDE KODU]],Tablo1[#All],4,0)," ")</f>
        <v>SETA</v>
      </c>
      <c r="Q144" s="100">
        <f>IFERROR(VLOOKUP(Tablo515[[#This Row],[ÜRÜN KODU]],YMKODLARI!$A$1:$K$363,5,0)," ")</f>
        <v>54.8</v>
      </c>
      <c r="R144" s="100">
        <f>IFERROR(VLOOKUP(Tablo515[[#This Row],[ÜRÜN KODU]],YMKODLARI!$A$1:$K$363,6,0)," ")</f>
        <v>48.1</v>
      </c>
      <c r="S144" s="100">
        <f>IFERROR(Tablo515[[#This Row],[YOLLUK HARİÇ BASKI GRAMI]]/Tablo515[[#This Row],[KALIP GÖZ ADEDİ]]," ")</f>
        <v>6.0125000000000002</v>
      </c>
      <c r="T144" s="100">
        <f t="shared" si="16"/>
        <v>6.6999999999999957</v>
      </c>
      <c r="U144" s="100">
        <v>5</v>
      </c>
      <c r="V144" s="100">
        <f t="shared" si="15"/>
        <v>36.553600000000003</v>
      </c>
      <c r="W144" s="101">
        <f t="shared" si="17"/>
        <v>24.416666666666668</v>
      </c>
      <c r="X144" s="102">
        <f t="shared" si="18"/>
        <v>10.000000000000028</v>
      </c>
      <c r="Y144" s="100">
        <f t="shared" si="19"/>
        <v>7.471111111111111</v>
      </c>
      <c r="Z144" s="100">
        <f t="shared" si="20"/>
        <v>5248</v>
      </c>
    </row>
    <row r="145" spans="1:26">
      <c r="A145" s="100" t="s">
        <v>28</v>
      </c>
      <c r="B145" s="108" t="str">
        <f>IFERROR(VLOOKUP(Tablo515[[#This Row],[ÜRÜN KODU]],YMKODLARI!$A$1:$K$363,2,0)," ")</f>
        <v>BİBERON KLASİK  UC 2 NO</v>
      </c>
      <c r="C145" s="99">
        <v>44062</v>
      </c>
      <c r="D145" s="100" t="s">
        <v>29</v>
      </c>
      <c r="E145" s="101">
        <v>0.33333333333333331</v>
      </c>
      <c r="F145" s="101">
        <v>0.75</v>
      </c>
      <c r="G145" s="100">
        <f>IFERROR(VLOOKUP(Tablo515[[#This Row],[ÜRÜN KODU]],YMKODLARI!$A$1:$K$363,3,0)," ")</f>
        <v>8</v>
      </c>
      <c r="H145" s="100">
        <f>IFERROR(VLOOKUP(Tablo515[[#This Row],[ÜRÜN KODU]],YMKODLARI!$A$1:$K$363,4,0)," ")</f>
        <v>41</v>
      </c>
      <c r="I145" s="100">
        <v>746</v>
      </c>
      <c r="J145" s="100" t="str">
        <f>IFERROR(VLOOKUP(Tablo515[[#This Row],[ÜRÜN KODU]],YMKODLARI!$A$1:$K$363,9,0)," ")</f>
        <v>Şeffaf</v>
      </c>
      <c r="K145" s="100" t="str">
        <f>IFERROR(VLOOKUP(Tablo515[[#This Row],[BOYA KODU]],Tablo14[#All],4,0)," ")</f>
        <v xml:space="preserve"> </v>
      </c>
      <c r="L145" s="100" t="str">
        <f>IFERROR(VLOOKUP(Tablo515[[#This Row],[BOYA KODU]],Tablo14[#All],6,0)," ")</f>
        <v xml:space="preserve"> </v>
      </c>
      <c r="M145" s="100" t="str">
        <f t="shared" si="14"/>
        <v xml:space="preserve"> </v>
      </c>
      <c r="N145" s="100" t="str">
        <f>IFERROR(VLOOKUP(Tablo515[[#This Row],[ÜRÜN KODU]],YMKODLARI!$A$1:$K$363,8,0)," ")</f>
        <v>HM 003</v>
      </c>
      <c r="O145" s="100" t="str">
        <f>IFERROR(VLOOKUP(Tablo515[[#This Row],[HAMMADDE KODU]],Tablo1[#All],3,0)," ")</f>
        <v>LSR 45</v>
      </c>
      <c r="P145" s="100" t="str">
        <f>IFERROR(VLOOKUP(Tablo515[[#This Row],[HAMMADDE KODU]],Tablo1[#All],4,0)," ")</f>
        <v>SETA</v>
      </c>
      <c r="Q145" s="100">
        <f>IFERROR(VLOOKUP(Tablo515[[#This Row],[ÜRÜN KODU]],YMKODLARI!$A$1:$K$363,5,0)," ")</f>
        <v>54.8</v>
      </c>
      <c r="R145" s="100">
        <f>IFERROR(VLOOKUP(Tablo515[[#This Row],[ÜRÜN KODU]],YMKODLARI!$A$1:$K$363,6,0)," ")</f>
        <v>48.1</v>
      </c>
      <c r="S145" s="100">
        <f>IFERROR(Tablo515[[#This Row],[YOLLUK HARİÇ BASKI GRAMI]]/Tablo515[[#This Row],[KALIP GÖZ ADEDİ]]," ")</f>
        <v>6.0125000000000002</v>
      </c>
      <c r="T145" s="100">
        <f t="shared" si="16"/>
        <v>6.6999999999999957</v>
      </c>
      <c r="U145" s="100">
        <v>5.8</v>
      </c>
      <c r="V145" s="100">
        <f t="shared" si="15"/>
        <v>41.682599999999994</v>
      </c>
      <c r="W145" s="101">
        <f t="shared" si="17"/>
        <v>24.416666666666668</v>
      </c>
      <c r="X145" s="102">
        <f t="shared" si="18"/>
        <v>10.000000000000028</v>
      </c>
      <c r="Y145" s="100">
        <f t="shared" si="19"/>
        <v>8.4961111111111105</v>
      </c>
      <c r="Z145" s="100">
        <f t="shared" si="20"/>
        <v>5968</v>
      </c>
    </row>
    <row r="146" spans="1:26">
      <c r="A146" s="100" t="s">
        <v>34</v>
      </c>
      <c r="B146" s="108" t="str">
        <f>IFERROR(VLOOKUP(Tablo515[[#This Row],[ÜRÜN KODU]],YMKODLARI!$A$1:$K$363,2,0)," ")</f>
        <v>BİBERON KLASİK  UC 1 NO</v>
      </c>
      <c r="C146" s="99">
        <v>44063</v>
      </c>
      <c r="D146" s="100" t="s">
        <v>29</v>
      </c>
      <c r="E146" s="101">
        <v>0.72222222222222221</v>
      </c>
      <c r="F146" s="101">
        <v>0.75</v>
      </c>
      <c r="G146" s="100">
        <f>IFERROR(VLOOKUP(Tablo515[[#This Row],[ÜRÜN KODU]],YMKODLARI!$A$1:$K$363,3,0)," ")</f>
        <v>8</v>
      </c>
      <c r="H146" s="100">
        <f>IFERROR(VLOOKUP(Tablo515[[#This Row],[ÜRÜN KODU]],YMKODLARI!$A$1:$K$363,4,0)," ")</f>
        <v>36</v>
      </c>
      <c r="I146" s="100">
        <v>55</v>
      </c>
      <c r="J146" s="100" t="str">
        <f>IFERROR(VLOOKUP(Tablo515[[#This Row],[ÜRÜN KODU]],YMKODLARI!$A$1:$K$363,9,0)," ")</f>
        <v>Şeffaf</v>
      </c>
      <c r="K146" s="100" t="str">
        <f>IFERROR(VLOOKUP(Tablo515[[#This Row],[BOYA KODU]],Tablo14[#All],4,0)," ")</f>
        <v xml:space="preserve"> </v>
      </c>
      <c r="L146" s="100" t="str">
        <f>IFERROR(VLOOKUP(Tablo515[[#This Row],[BOYA KODU]],Tablo14[#All],6,0)," ")</f>
        <v xml:space="preserve"> </v>
      </c>
      <c r="M146" s="100" t="str">
        <f t="shared" si="14"/>
        <v xml:space="preserve"> </v>
      </c>
      <c r="N146" s="100" t="str">
        <f>IFERROR(VLOOKUP(Tablo515[[#This Row],[ÜRÜN KODU]],YMKODLARI!$A$1:$K$363,8,0)," ")</f>
        <v>HM 003</v>
      </c>
      <c r="O146" s="100" t="str">
        <f>IFERROR(VLOOKUP(Tablo515[[#This Row],[HAMMADDE KODU]],Tablo1[#All],3,0)," ")</f>
        <v>LSR 45</v>
      </c>
      <c r="P146" s="100" t="str">
        <f>IFERROR(VLOOKUP(Tablo515[[#This Row],[HAMMADDE KODU]],Tablo1[#All],4,0)," ")</f>
        <v>SETA</v>
      </c>
      <c r="Q146" s="100">
        <f>IFERROR(VLOOKUP(Tablo515[[#This Row],[ÜRÜN KODU]],YMKODLARI!$A$1:$K$363,5,0)," ")</f>
        <v>51.7</v>
      </c>
      <c r="R146" s="100">
        <f>IFERROR(VLOOKUP(Tablo515[[#This Row],[ÜRÜN KODU]],YMKODLARI!$A$1:$K$363,6,0)," ")</f>
        <v>44.5</v>
      </c>
      <c r="S146" s="100">
        <f>IFERROR(Tablo515[[#This Row],[YOLLUK HARİÇ BASKI GRAMI]]/Tablo515[[#This Row],[KALIP GÖZ ADEDİ]]," ")</f>
        <v>5.5625</v>
      </c>
      <c r="T146" s="100">
        <f t="shared" si="16"/>
        <v>7.2000000000000028</v>
      </c>
      <c r="U146" s="100"/>
      <c r="V146" s="100">
        <f t="shared" si="15"/>
        <v>2.4474999999999998</v>
      </c>
      <c r="W146" s="101">
        <f t="shared" si="17"/>
        <v>24.027777777777779</v>
      </c>
      <c r="X146" s="102">
        <f t="shared" si="18"/>
        <v>0.66666666666668561</v>
      </c>
      <c r="Y146" s="100">
        <f t="shared" si="19"/>
        <v>0.55000000000000004</v>
      </c>
      <c r="Z146" s="100">
        <f t="shared" si="20"/>
        <v>440</v>
      </c>
    </row>
    <row r="147" spans="1:26">
      <c r="A147" s="100" t="s">
        <v>34</v>
      </c>
      <c r="B147" s="108" t="str">
        <f>IFERROR(VLOOKUP(Tablo515[[#This Row],[ÜRÜN KODU]],YMKODLARI!$A$1:$K$363,2,0)," ")</f>
        <v>BİBERON KLASİK  UC 1 NO</v>
      </c>
      <c r="C147" s="99">
        <v>44064</v>
      </c>
      <c r="D147" s="100" t="s">
        <v>29</v>
      </c>
      <c r="E147" s="101">
        <v>0.33333333333333331</v>
      </c>
      <c r="F147" s="101">
        <v>0.75</v>
      </c>
      <c r="G147" s="100">
        <f>IFERROR(VLOOKUP(Tablo515[[#This Row],[ÜRÜN KODU]],YMKODLARI!$A$1:$K$363,3,0)," ")</f>
        <v>8</v>
      </c>
      <c r="H147" s="100">
        <f>IFERROR(VLOOKUP(Tablo515[[#This Row],[ÜRÜN KODU]],YMKODLARI!$A$1:$K$363,4,0)," ")</f>
        <v>36</v>
      </c>
      <c r="I147" s="100">
        <v>657</v>
      </c>
      <c r="J147" s="100" t="str">
        <f>IFERROR(VLOOKUP(Tablo515[[#This Row],[ÜRÜN KODU]],YMKODLARI!$A$1:$K$363,9,0)," ")</f>
        <v>Şeffaf</v>
      </c>
      <c r="K147" s="100" t="str">
        <f>IFERROR(VLOOKUP(Tablo515[[#This Row],[BOYA KODU]],Tablo14[#All],4,0)," ")</f>
        <v xml:space="preserve"> </v>
      </c>
      <c r="L147" s="100" t="str">
        <f>IFERROR(VLOOKUP(Tablo515[[#This Row],[BOYA KODU]],Tablo14[#All],6,0)," ")</f>
        <v xml:space="preserve"> </v>
      </c>
      <c r="M147" s="100" t="str">
        <f t="shared" si="14"/>
        <v xml:space="preserve"> </v>
      </c>
      <c r="N147" s="100" t="str">
        <f>IFERROR(VLOOKUP(Tablo515[[#This Row],[ÜRÜN KODU]],YMKODLARI!$A$1:$K$363,8,0)," ")</f>
        <v>HM 003</v>
      </c>
      <c r="O147" s="100" t="str">
        <f>IFERROR(VLOOKUP(Tablo515[[#This Row],[HAMMADDE KODU]],Tablo1[#All],3,0)," ")</f>
        <v>LSR 45</v>
      </c>
      <c r="P147" s="100" t="str">
        <f>IFERROR(VLOOKUP(Tablo515[[#This Row],[HAMMADDE KODU]],Tablo1[#All],4,0)," ")</f>
        <v>SETA</v>
      </c>
      <c r="Q147" s="100">
        <f>IFERROR(VLOOKUP(Tablo515[[#This Row],[ÜRÜN KODU]],YMKODLARI!$A$1:$K$363,5,0)," ")</f>
        <v>51.7</v>
      </c>
      <c r="R147" s="100">
        <f>IFERROR(VLOOKUP(Tablo515[[#This Row],[ÜRÜN KODU]],YMKODLARI!$A$1:$K$363,6,0)," ")</f>
        <v>44.5</v>
      </c>
      <c r="S147" s="100">
        <f>IFERROR(Tablo515[[#This Row],[YOLLUK HARİÇ BASKI GRAMI]]/Tablo515[[#This Row],[KALIP GÖZ ADEDİ]]," ")</f>
        <v>5.5625</v>
      </c>
      <c r="T147" s="100">
        <f t="shared" si="16"/>
        <v>7.2000000000000028</v>
      </c>
      <c r="U147" s="100">
        <v>6</v>
      </c>
      <c r="V147" s="100">
        <f t="shared" si="15"/>
        <v>35.236499999999999</v>
      </c>
      <c r="W147" s="101">
        <f t="shared" si="17"/>
        <v>24.416666666666668</v>
      </c>
      <c r="X147" s="102">
        <f t="shared" si="18"/>
        <v>10.000000000000028</v>
      </c>
      <c r="Y147" s="100">
        <f t="shared" si="19"/>
        <v>6.57</v>
      </c>
      <c r="Z147" s="100">
        <f t="shared" si="20"/>
        <v>5256</v>
      </c>
    </row>
    <row r="148" spans="1:26">
      <c r="A148" s="100" t="s">
        <v>34</v>
      </c>
      <c r="B148" s="108" t="str">
        <f>IFERROR(VLOOKUP(Tablo515[[#This Row],[ÜRÜN KODU]],YMKODLARI!$A$1:$K$363,2,0)," ")</f>
        <v>BİBERON KLASİK  UC 1 NO</v>
      </c>
      <c r="C148" s="99">
        <v>44067</v>
      </c>
      <c r="D148" s="100" t="s">
        <v>37</v>
      </c>
      <c r="E148" s="101">
        <v>0.33333333333333331</v>
      </c>
      <c r="F148" s="101">
        <v>0.75</v>
      </c>
      <c r="G148" s="100">
        <f>IFERROR(VLOOKUP(Tablo515[[#This Row],[ÜRÜN KODU]],YMKODLARI!$A$1:$K$363,3,0)," ")</f>
        <v>8</v>
      </c>
      <c r="H148" s="100">
        <f>IFERROR(VLOOKUP(Tablo515[[#This Row],[ÜRÜN KODU]],YMKODLARI!$A$1:$K$363,4,0)," ")</f>
        <v>36</v>
      </c>
      <c r="I148" s="100">
        <v>768</v>
      </c>
      <c r="J148" s="100" t="str">
        <f>IFERROR(VLOOKUP(Tablo515[[#This Row],[ÜRÜN KODU]],YMKODLARI!$A$1:$K$363,9,0)," ")</f>
        <v>Şeffaf</v>
      </c>
      <c r="K148" s="100" t="str">
        <f>IFERROR(VLOOKUP(Tablo515[[#This Row],[BOYA KODU]],Tablo14[#All],4,0)," ")</f>
        <v xml:space="preserve"> </v>
      </c>
      <c r="L148" s="100" t="str">
        <f>IFERROR(VLOOKUP(Tablo515[[#This Row],[BOYA KODU]],Tablo14[#All],6,0)," ")</f>
        <v xml:space="preserve"> </v>
      </c>
      <c r="M148" s="100" t="str">
        <f t="shared" si="14"/>
        <v xml:space="preserve"> </v>
      </c>
      <c r="N148" s="100" t="str">
        <f>IFERROR(VLOOKUP(Tablo515[[#This Row],[ÜRÜN KODU]],YMKODLARI!$A$1:$K$363,8,0)," ")</f>
        <v>HM 003</v>
      </c>
      <c r="O148" s="100" t="str">
        <f>IFERROR(VLOOKUP(Tablo515[[#This Row],[HAMMADDE KODU]],Tablo1[#All],3,0)," ")</f>
        <v>LSR 45</v>
      </c>
      <c r="P148" s="100" t="str">
        <f>IFERROR(VLOOKUP(Tablo515[[#This Row],[HAMMADDE KODU]],Tablo1[#All],4,0)," ")</f>
        <v>SETA</v>
      </c>
      <c r="Q148" s="100">
        <f>IFERROR(VLOOKUP(Tablo515[[#This Row],[ÜRÜN KODU]],YMKODLARI!$A$1:$K$363,5,0)," ")</f>
        <v>51.7</v>
      </c>
      <c r="R148" s="100">
        <f>IFERROR(VLOOKUP(Tablo515[[#This Row],[ÜRÜN KODU]],YMKODLARI!$A$1:$K$363,6,0)," ")</f>
        <v>44.5</v>
      </c>
      <c r="S148" s="100">
        <f>IFERROR(Tablo515[[#This Row],[YOLLUK HARİÇ BASKI GRAMI]]/Tablo515[[#This Row],[KALIP GÖZ ADEDİ]]," ")</f>
        <v>5.5625</v>
      </c>
      <c r="T148" s="100">
        <f t="shared" si="16"/>
        <v>7.2000000000000028</v>
      </c>
      <c r="U148" s="100">
        <v>7.7</v>
      </c>
      <c r="V148" s="100">
        <f t="shared" si="15"/>
        <v>41.876000000000005</v>
      </c>
      <c r="W148" s="101">
        <f t="shared" si="17"/>
        <v>24.416666666666668</v>
      </c>
      <c r="X148" s="102">
        <f t="shared" si="18"/>
        <v>10.000000000000028</v>
      </c>
      <c r="Y148" s="100">
        <f t="shared" si="19"/>
        <v>7.68</v>
      </c>
      <c r="Z148" s="100">
        <f t="shared" si="20"/>
        <v>6144</v>
      </c>
    </row>
    <row r="149" spans="1:26">
      <c r="A149" s="100" t="s">
        <v>34</v>
      </c>
      <c r="B149" s="108" t="str">
        <f>IFERROR(VLOOKUP(Tablo515[[#This Row],[ÜRÜN KODU]],YMKODLARI!$A$1:$K$363,2,0)," ")</f>
        <v>BİBERON KLASİK  UC 1 NO</v>
      </c>
      <c r="C149" s="99">
        <v>44068</v>
      </c>
      <c r="D149" s="100" t="s">
        <v>37</v>
      </c>
      <c r="E149" s="101">
        <v>0.33333333333333331</v>
      </c>
      <c r="F149" s="101">
        <v>0.75</v>
      </c>
      <c r="G149" s="100">
        <f>IFERROR(VLOOKUP(Tablo515[[#This Row],[ÜRÜN KODU]],YMKODLARI!$A$1:$K$363,3,0)," ")</f>
        <v>8</v>
      </c>
      <c r="H149" s="100">
        <f>IFERROR(VLOOKUP(Tablo515[[#This Row],[ÜRÜN KODU]],YMKODLARI!$A$1:$K$363,4,0)," ")</f>
        <v>36</v>
      </c>
      <c r="I149" s="100">
        <v>753</v>
      </c>
      <c r="J149" s="100" t="str">
        <f>IFERROR(VLOOKUP(Tablo515[[#This Row],[ÜRÜN KODU]],YMKODLARI!$A$1:$K$363,9,0)," ")</f>
        <v>Şeffaf</v>
      </c>
      <c r="K149" s="100" t="str">
        <f>IFERROR(VLOOKUP(Tablo515[[#This Row],[BOYA KODU]],Tablo14[#All],4,0)," ")</f>
        <v xml:space="preserve"> </v>
      </c>
      <c r="L149" s="100" t="str">
        <f>IFERROR(VLOOKUP(Tablo515[[#This Row],[BOYA KODU]],Tablo14[#All],6,0)," ")</f>
        <v xml:space="preserve"> </v>
      </c>
      <c r="M149" s="100" t="str">
        <f t="shared" si="14"/>
        <v xml:space="preserve"> </v>
      </c>
      <c r="N149" s="100" t="str">
        <f>IFERROR(VLOOKUP(Tablo515[[#This Row],[ÜRÜN KODU]],YMKODLARI!$A$1:$K$363,8,0)," ")</f>
        <v>HM 003</v>
      </c>
      <c r="O149" s="100" t="str">
        <f>IFERROR(VLOOKUP(Tablo515[[#This Row],[HAMMADDE KODU]],Tablo1[#All],3,0)," ")</f>
        <v>LSR 45</v>
      </c>
      <c r="P149" s="100" t="str">
        <f>IFERROR(VLOOKUP(Tablo515[[#This Row],[HAMMADDE KODU]],Tablo1[#All],4,0)," ")</f>
        <v>SETA</v>
      </c>
      <c r="Q149" s="100">
        <f>IFERROR(VLOOKUP(Tablo515[[#This Row],[ÜRÜN KODU]],YMKODLARI!$A$1:$K$363,5,0)," ")</f>
        <v>51.7</v>
      </c>
      <c r="R149" s="100">
        <f>IFERROR(VLOOKUP(Tablo515[[#This Row],[ÜRÜN KODU]],YMKODLARI!$A$1:$K$363,6,0)," ")</f>
        <v>44.5</v>
      </c>
      <c r="S149" s="100">
        <f>IFERROR(Tablo515[[#This Row],[YOLLUK HARİÇ BASKI GRAMI]]/Tablo515[[#This Row],[KALIP GÖZ ADEDİ]]," ")</f>
        <v>5.5625</v>
      </c>
      <c r="T149" s="100">
        <f t="shared" si="16"/>
        <v>7.2000000000000028</v>
      </c>
      <c r="U149" s="100">
        <v>6.4</v>
      </c>
      <c r="V149" s="100">
        <f t="shared" si="15"/>
        <v>39.908499999999997</v>
      </c>
      <c r="W149" s="101">
        <f t="shared" si="17"/>
        <v>24.416666666666668</v>
      </c>
      <c r="X149" s="102">
        <f t="shared" si="18"/>
        <v>10.000000000000028</v>
      </c>
      <c r="Y149" s="100">
        <f t="shared" si="19"/>
        <v>7.53</v>
      </c>
      <c r="Z149" s="100">
        <f t="shared" si="20"/>
        <v>6024</v>
      </c>
    </row>
    <row r="150" spans="1:26">
      <c r="A150" s="100" t="s">
        <v>34</v>
      </c>
      <c r="B150" s="108" t="str">
        <f>IFERROR(VLOOKUP(Tablo515[[#This Row],[ÜRÜN KODU]],YMKODLARI!$A$1:$K$363,2,0)," ")</f>
        <v>BİBERON KLASİK  UC 1 NO</v>
      </c>
      <c r="C150" s="99">
        <v>44069</v>
      </c>
      <c r="D150" s="100" t="s">
        <v>37</v>
      </c>
      <c r="E150" s="101">
        <v>0.33333333333333331</v>
      </c>
      <c r="F150" s="101">
        <v>0.75</v>
      </c>
      <c r="G150" s="100">
        <f>IFERROR(VLOOKUP(Tablo515[[#This Row],[ÜRÜN KODU]],YMKODLARI!$A$1:$K$363,3,0)," ")</f>
        <v>8</v>
      </c>
      <c r="H150" s="100">
        <f>IFERROR(VLOOKUP(Tablo515[[#This Row],[ÜRÜN KODU]],YMKODLARI!$A$1:$K$363,4,0)," ")</f>
        <v>36</v>
      </c>
      <c r="I150" s="100">
        <v>790</v>
      </c>
      <c r="J150" s="100" t="str">
        <f>IFERROR(VLOOKUP(Tablo515[[#This Row],[ÜRÜN KODU]],YMKODLARI!$A$1:$K$363,9,0)," ")</f>
        <v>Şeffaf</v>
      </c>
      <c r="K150" s="100" t="str">
        <f>IFERROR(VLOOKUP(Tablo515[[#This Row],[BOYA KODU]],Tablo14[#All],4,0)," ")</f>
        <v xml:space="preserve"> </v>
      </c>
      <c r="L150" s="100" t="str">
        <f>IFERROR(VLOOKUP(Tablo515[[#This Row],[BOYA KODU]],Tablo14[#All],6,0)," ")</f>
        <v xml:space="preserve"> </v>
      </c>
      <c r="M150" s="100" t="str">
        <f t="shared" si="14"/>
        <v xml:space="preserve"> </v>
      </c>
      <c r="N150" s="100" t="str">
        <f>IFERROR(VLOOKUP(Tablo515[[#This Row],[ÜRÜN KODU]],YMKODLARI!$A$1:$K$363,8,0)," ")</f>
        <v>HM 003</v>
      </c>
      <c r="O150" s="100" t="str">
        <f>IFERROR(VLOOKUP(Tablo515[[#This Row],[HAMMADDE KODU]],Tablo1[#All],3,0)," ")</f>
        <v>LSR 45</v>
      </c>
      <c r="P150" s="100" t="str">
        <f>IFERROR(VLOOKUP(Tablo515[[#This Row],[HAMMADDE KODU]],Tablo1[#All],4,0)," ")</f>
        <v>SETA</v>
      </c>
      <c r="Q150" s="100">
        <f>IFERROR(VLOOKUP(Tablo515[[#This Row],[ÜRÜN KODU]],YMKODLARI!$A$1:$K$363,5,0)," ")</f>
        <v>51.7</v>
      </c>
      <c r="R150" s="100">
        <f>IFERROR(VLOOKUP(Tablo515[[#This Row],[ÜRÜN KODU]],YMKODLARI!$A$1:$K$363,6,0)," ")</f>
        <v>44.5</v>
      </c>
      <c r="S150" s="100">
        <f>IFERROR(Tablo515[[#This Row],[YOLLUK HARİÇ BASKI GRAMI]]/Tablo515[[#This Row],[KALIP GÖZ ADEDİ]]," ")</f>
        <v>5.5625</v>
      </c>
      <c r="T150" s="100">
        <f t="shared" si="16"/>
        <v>7.2000000000000028</v>
      </c>
      <c r="U150" s="100">
        <v>6.4</v>
      </c>
      <c r="V150" s="100">
        <f t="shared" si="15"/>
        <v>41.555</v>
      </c>
      <c r="W150" s="101">
        <f t="shared" si="17"/>
        <v>24.416666666666668</v>
      </c>
      <c r="X150" s="102">
        <f t="shared" si="18"/>
        <v>10.000000000000028</v>
      </c>
      <c r="Y150" s="100">
        <f t="shared" si="19"/>
        <v>7.9</v>
      </c>
      <c r="Z150" s="100">
        <f t="shared" si="20"/>
        <v>6320</v>
      </c>
    </row>
    <row r="151" spans="1:26">
      <c r="A151" s="100" t="s">
        <v>34</v>
      </c>
      <c r="B151" s="108" t="str">
        <f>IFERROR(VLOOKUP(Tablo515[[#This Row],[ÜRÜN KODU]],YMKODLARI!$A$1:$K$363,2,0)," ")</f>
        <v>BİBERON KLASİK  UC 1 NO</v>
      </c>
      <c r="C151" s="99">
        <v>44070</v>
      </c>
      <c r="D151" s="100" t="s">
        <v>37</v>
      </c>
      <c r="E151" s="101">
        <v>0.33333333333333331</v>
      </c>
      <c r="F151" s="101">
        <v>0.75</v>
      </c>
      <c r="G151" s="100">
        <f>IFERROR(VLOOKUP(Tablo515[[#This Row],[ÜRÜN KODU]],YMKODLARI!$A$1:$K$363,3,0)," ")</f>
        <v>8</v>
      </c>
      <c r="H151" s="100">
        <f>IFERROR(VLOOKUP(Tablo515[[#This Row],[ÜRÜN KODU]],YMKODLARI!$A$1:$K$363,4,0)," ")</f>
        <v>36</v>
      </c>
      <c r="I151" s="100">
        <v>780</v>
      </c>
      <c r="J151" s="100" t="str">
        <f>IFERROR(VLOOKUP(Tablo515[[#This Row],[ÜRÜN KODU]],YMKODLARI!$A$1:$K$363,9,0)," ")</f>
        <v>Şeffaf</v>
      </c>
      <c r="K151" s="100" t="str">
        <f>IFERROR(VLOOKUP(Tablo515[[#This Row],[BOYA KODU]],Tablo14[#All],4,0)," ")</f>
        <v xml:space="preserve"> </v>
      </c>
      <c r="L151" s="100" t="str">
        <f>IFERROR(VLOOKUP(Tablo515[[#This Row],[BOYA KODU]],Tablo14[#All],6,0)," ")</f>
        <v xml:space="preserve"> </v>
      </c>
      <c r="M151" s="100" t="str">
        <f t="shared" si="14"/>
        <v xml:space="preserve"> </v>
      </c>
      <c r="N151" s="100" t="str">
        <f>IFERROR(VLOOKUP(Tablo515[[#This Row],[ÜRÜN KODU]],YMKODLARI!$A$1:$K$363,8,0)," ")</f>
        <v>HM 003</v>
      </c>
      <c r="O151" s="100" t="str">
        <f>IFERROR(VLOOKUP(Tablo515[[#This Row],[HAMMADDE KODU]],Tablo1[#All],3,0)," ")</f>
        <v>LSR 45</v>
      </c>
      <c r="P151" s="100" t="str">
        <f>IFERROR(VLOOKUP(Tablo515[[#This Row],[HAMMADDE KODU]],Tablo1[#All],4,0)," ")</f>
        <v>SETA</v>
      </c>
      <c r="Q151" s="100">
        <f>IFERROR(VLOOKUP(Tablo515[[#This Row],[ÜRÜN KODU]],YMKODLARI!$A$1:$K$363,5,0)," ")</f>
        <v>51.7</v>
      </c>
      <c r="R151" s="100">
        <f>IFERROR(VLOOKUP(Tablo515[[#This Row],[ÜRÜN KODU]],YMKODLARI!$A$1:$K$363,6,0)," ")</f>
        <v>44.5</v>
      </c>
      <c r="S151" s="100">
        <f>IFERROR(Tablo515[[#This Row],[YOLLUK HARİÇ BASKI GRAMI]]/Tablo515[[#This Row],[KALIP GÖZ ADEDİ]]," ")</f>
        <v>5.5625</v>
      </c>
      <c r="T151" s="100">
        <f t="shared" si="16"/>
        <v>7.2000000000000028</v>
      </c>
      <c r="U151" s="100">
        <v>6.4</v>
      </c>
      <c r="V151" s="100">
        <f t="shared" si="15"/>
        <v>41.11</v>
      </c>
      <c r="W151" s="101">
        <f t="shared" si="17"/>
        <v>24.416666666666668</v>
      </c>
      <c r="X151" s="102">
        <f t="shared" si="18"/>
        <v>10.000000000000028</v>
      </c>
      <c r="Y151" s="100">
        <f t="shared" si="19"/>
        <v>7.8</v>
      </c>
      <c r="Z151" s="100">
        <f t="shared" si="20"/>
        <v>6240</v>
      </c>
    </row>
    <row r="152" spans="1:26">
      <c r="A152" s="100" t="s">
        <v>34</v>
      </c>
      <c r="B152" s="108" t="str">
        <f>IFERROR(VLOOKUP(Tablo515[[#This Row],[ÜRÜN KODU]],YMKODLARI!$A$1:$K$363,2,0)," ")</f>
        <v>BİBERON KLASİK  UC 1 NO</v>
      </c>
      <c r="C152" s="99">
        <v>44071</v>
      </c>
      <c r="D152" s="100" t="s">
        <v>37</v>
      </c>
      <c r="E152" s="101">
        <v>0.33333333333333331</v>
      </c>
      <c r="F152" s="101">
        <v>0.75</v>
      </c>
      <c r="G152" s="100">
        <f>IFERROR(VLOOKUP(Tablo515[[#This Row],[ÜRÜN KODU]],YMKODLARI!$A$1:$K$363,3,0)," ")</f>
        <v>8</v>
      </c>
      <c r="H152" s="100">
        <f>IFERROR(VLOOKUP(Tablo515[[#This Row],[ÜRÜN KODU]],YMKODLARI!$A$1:$K$363,4,0)," ")</f>
        <v>36</v>
      </c>
      <c r="I152" s="100">
        <v>731</v>
      </c>
      <c r="J152" s="100" t="str">
        <f>IFERROR(VLOOKUP(Tablo515[[#This Row],[ÜRÜN KODU]],YMKODLARI!$A$1:$K$363,9,0)," ")</f>
        <v>Şeffaf</v>
      </c>
      <c r="K152" s="100" t="str">
        <f>IFERROR(VLOOKUP(Tablo515[[#This Row],[BOYA KODU]],Tablo14[#All],4,0)," ")</f>
        <v xml:space="preserve"> </v>
      </c>
      <c r="L152" s="100" t="str">
        <f>IFERROR(VLOOKUP(Tablo515[[#This Row],[BOYA KODU]],Tablo14[#All],6,0)," ")</f>
        <v xml:space="preserve"> </v>
      </c>
      <c r="M152" s="100" t="str">
        <f t="shared" si="14"/>
        <v xml:space="preserve"> </v>
      </c>
      <c r="N152" s="100" t="str">
        <f>IFERROR(VLOOKUP(Tablo515[[#This Row],[ÜRÜN KODU]],YMKODLARI!$A$1:$K$363,8,0)," ")</f>
        <v>HM 003</v>
      </c>
      <c r="O152" s="100" t="str">
        <f>IFERROR(VLOOKUP(Tablo515[[#This Row],[HAMMADDE KODU]],Tablo1[#All],3,0)," ")</f>
        <v>LSR 45</v>
      </c>
      <c r="P152" s="100" t="str">
        <f>IFERROR(VLOOKUP(Tablo515[[#This Row],[HAMMADDE KODU]],Tablo1[#All],4,0)," ")</f>
        <v>SETA</v>
      </c>
      <c r="Q152" s="100">
        <f>IFERROR(VLOOKUP(Tablo515[[#This Row],[ÜRÜN KODU]],YMKODLARI!$A$1:$K$363,5,0)," ")</f>
        <v>51.7</v>
      </c>
      <c r="R152" s="100">
        <f>IFERROR(VLOOKUP(Tablo515[[#This Row],[ÜRÜN KODU]],YMKODLARI!$A$1:$K$363,6,0)," ")</f>
        <v>44.5</v>
      </c>
      <c r="S152" s="100">
        <f>IFERROR(Tablo515[[#This Row],[YOLLUK HARİÇ BASKI GRAMI]]/Tablo515[[#This Row],[KALIP GÖZ ADEDİ]]," ")</f>
        <v>5.5625</v>
      </c>
      <c r="T152" s="100">
        <f t="shared" si="16"/>
        <v>7.2000000000000028</v>
      </c>
      <c r="U152" s="100">
        <v>6.5</v>
      </c>
      <c r="V152" s="100">
        <f t="shared" si="15"/>
        <v>39.029499999999999</v>
      </c>
      <c r="W152" s="101">
        <f t="shared" si="17"/>
        <v>24.416666666666668</v>
      </c>
      <c r="X152" s="102">
        <f t="shared" si="18"/>
        <v>10.000000000000028</v>
      </c>
      <c r="Y152" s="100">
        <f t="shared" si="19"/>
        <v>7.31</v>
      </c>
      <c r="Z152" s="100">
        <f t="shared" si="20"/>
        <v>5848</v>
      </c>
    </row>
    <row r="153" spans="1:26">
      <c r="A153" s="100" t="s">
        <v>34</v>
      </c>
      <c r="B153" s="108" t="str">
        <f>IFERROR(VLOOKUP(Tablo515[[#This Row],[ÜRÜN KODU]],YMKODLARI!$A$1:$K$363,2,0)," ")</f>
        <v>BİBERON KLASİK  UC 1 NO</v>
      </c>
      <c r="C153" s="99">
        <v>44074</v>
      </c>
      <c r="D153" s="100" t="s">
        <v>37</v>
      </c>
      <c r="E153" s="101">
        <v>0.33333333333333331</v>
      </c>
      <c r="F153" s="101">
        <v>0.75</v>
      </c>
      <c r="G153" s="100">
        <f>IFERROR(VLOOKUP(Tablo515[[#This Row],[ÜRÜN KODU]],YMKODLARI!$A$1:$K$363,3,0)," ")</f>
        <v>8</v>
      </c>
      <c r="H153" s="100">
        <f>IFERROR(VLOOKUP(Tablo515[[#This Row],[ÜRÜN KODU]],YMKODLARI!$A$1:$K$363,4,0)," ")</f>
        <v>36</v>
      </c>
      <c r="I153" s="100">
        <v>785</v>
      </c>
      <c r="J153" s="100" t="str">
        <f>IFERROR(VLOOKUP(Tablo515[[#This Row],[ÜRÜN KODU]],YMKODLARI!$A$1:$K$363,9,0)," ")</f>
        <v>Şeffaf</v>
      </c>
      <c r="K153" s="100" t="str">
        <f>IFERROR(VLOOKUP(Tablo515[[#This Row],[BOYA KODU]],Tablo14[#All],4,0)," ")</f>
        <v xml:space="preserve"> </v>
      </c>
      <c r="L153" s="100" t="str">
        <f>IFERROR(VLOOKUP(Tablo515[[#This Row],[BOYA KODU]],Tablo14[#All],6,0)," ")</f>
        <v xml:space="preserve"> </v>
      </c>
      <c r="M153" s="100" t="str">
        <f t="shared" si="14"/>
        <v xml:space="preserve"> </v>
      </c>
      <c r="N153" s="100" t="str">
        <f>IFERROR(VLOOKUP(Tablo515[[#This Row],[ÜRÜN KODU]],YMKODLARI!$A$1:$K$363,8,0)," ")</f>
        <v>HM 003</v>
      </c>
      <c r="O153" s="100" t="str">
        <f>IFERROR(VLOOKUP(Tablo515[[#This Row],[HAMMADDE KODU]],Tablo1[#All],3,0)," ")</f>
        <v>LSR 45</v>
      </c>
      <c r="P153" s="100" t="str">
        <f>IFERROR(VLOOKUP(Tablo515[[#This Row],[HAMMADDE KODU]],Tablo1[#All],4,0)," ")</f>
        <v>SETA</v>
      </c>
      <c r="Q153" s="100">
        <f>IFERROR(VLOOKUP(Tablo515[[#This Row],[ÜRÜN KODU]],YMKODLARI!$A$1:$K$363,5,0)," ")</f>
        <v>51.7</v>
      </c>
      <c r="R153" s="100">
        <f>IFERROR(VLOOKUP(Tablo515[[#This Row],[ÜRÜN KODU]],YMKODLARI!$A$1:$K$363,6,0)," ")</f>
        <v>44.5</v>
      </c>
      <c r="S153" s="100">
        <f>IFERROR(Tablo515[[#This Row],[YOLLUK HARİÇ BASKI GRAMI]]/Tablo515[[#This Row],[KALIP GÖZ ADEDİ]]," ")</f>
        <v>5.5625</v>
      </c>
      <c r="T153" s="100">
        <f t="shared" si="16"/>
        <v>7.2000000000000028</v>
      </c>
      <c r="U153" s="100">
        <v>6</v>
      </c>
      <c r="V153" s="100">
        <f t="shared" si="15"/>
        <v>40.932499999999997</v>
      </c>
      <c r="W153" s="101">
        <f t="shared" si="17"/>
        <v>24.416666666666668</v>
      </c>
      <c r="X153" s="102">
        <f t="shared" si="18"/>
        <v>10.000000000000028</v>
      </c>
      <c r="Y153" s="100">
        <f t="shared" si="19"/>
        <v>7.85</v>
      </c>
      <c r="Z153" s="100">
        <f t="shared" si="20"/>
        <v>6280</v>
      </c>
    </row>
    <row r="154" spans="1:26">
      <c r="A154" s="100" t="s">
        <v>34</v>
      </c>
      <c r="B154" s="108" t="str">
        <f>IFERROR(VLOOKUP(Tablo515[[#This Row],[ÜRÜN KODU]],YMKODLARI!$A$1:$K$363,2,0)," ")</f>
        <v>BİBERON KLASİK  UC 1 NO</v>
      </c>
      <c r="C154" s="99">
        <v>44075</v>
      </c>
      <c r="D154" s="100" t="s">
        <v>37</v>
      </c>
      <c r="E154" s="101">
        <v>0.33333333333333331</v>
      </c>
      <c r="F154" s="101">
        <v>0.75</v>
      </c>
      <c r="G154" s="100">
        <f>IFERROR(VLOOKUP(Tablo515[[#This Row],[ÜRÜN KODU]],YMKODLARI!$A$1:$K$363,3,0)," ")</f>
        <v>8</v>
      </c>
      <c r="H154" s="100">
        <f>IFERROR(VLOOKUP(Tablo515[[#This Row],[ÜRÜN KODU]],YMKODLARI!$A$1:$K$363,4,0)," ")</f>
        <v>36</v>
      </c>
      <c r="I154" s="100">
        <v>734</v>
      </c>
      <c r="J154" s="100" t="str">
        <f>IFERROR(VLOOKUP(Tablo515[[#This Row],[ÜRÜN KODU]],YMKODLARI!$A$1:$K$363,9,0)," ")</f>
        <v>Şeffaf</v>
      </c>
      <c r="K154" s="100" t="str">
        <f>IFERROR(VLOOKUP(Tablo515[[#This Row],[BOYA KODU]],Tablo14[#All],4,0)," ")</f>
        <v xml:space="preserve"> </v>
      </c>
      <c r="L154" s="100" t="str">
        <f>IFERROR(VLOOKUP(Tablo515[[#This Row],[BOYA KODU]],Tablo14[#All],6,0)," ")</f>
        <v xml:space="preserve"> </v>
      </c>
      <c r="M154" s="100" t="str">
        <f t="shared" si="14"/>
        <v xml:space="preserve"> </v>
      </c>
      <c r="N154" s="100" t="str">
        <f>IFERROR(VLOOKUP(Tablo515[[#This Row],[ÜRÜN KODU]],YMKODLARI!$A$1:$K$363,8,0)," ")</f>
        <v>HM 003</v>
      </c>
      <c r="O154" s="100" t="str">
        <f>IFERROR(VLOOKUP(Tablo515[[#This Row],[HAMMADDE KODU]],Tablo1[#All],3,0)," ")</f>
        <v>LSR 45</v>
      </c>
      <c r="P154" s="100" t="str">
        <f>IFERROR(VLOOKUP(Tablo515[[#This Row],[HAMMADDE KODU]],Tablo1[#All],4,0)," ")</f>
        <v>SETA</v>
      </c>
      <c r="Q154" s="100">
        <f>IFERROR(VLOOKUP(Tablo515[[#This Row],[ÜRÜN KODU]],YMKODLARI!$A$1:$K$363,5,0)," ")</f>
        <v>51.7</v>
      </c>
      <c r="R154" s="100">
        <f>IFERROR(VLOOKUP(Tablo515[[#This Row],[ÜRÜN KODU]],YMKODLARI!$A$1:$K$363,6,0)," ")</f>
        <v>44.5</v>
      </c>
      <c r="S154" s="100">
        <f>IFERROR(Tablo515[[#This Row],[YOLLUK HARİÇ BASKI GRAMI]]/Tablo515[[#This Row],[KALIP GÖZ ADEDİ]]," ")</f>
        <v>5.5625</v>
      </c>
      <c r="T154" s="100">
        <f t="shared" si="16"/>
        <v>7.2000000000000028</v>
      </c>
      <c r="U154" s="100"/>
      <c r="V154" s="100">
        <f t="shared" si="15"/>
        <v>32.662999999999997</v>
      </c>
      <c r="W154" s="101">
        <f t="shared" si="17"/>
        <v>24.416666666666668</v>
      </c>
      <c r="X154" s="102">
        <f t="shared" si="18"/>
        <v>10.000000000000028</v>
      </c>
      <c r="Y154" s="100">
        <f t="shared" si="19"/>
        <v>7.34</v>
      </c>
      <c r="Z154" s="100">
        <f t="shared" si="20"/>
        <v>5872</v>
      </c>
    </row>
    <row r="155" spans="1:26">
      <c r="A155" s="100" t="s">
        <v>34</v>
      </c>
      <c r="B155" s="108" t="str">
        <f>IFERROR(VLOOKUP(Tablo515[[#This Row],[ÜRÜN KODU]],YMKODLARI!$A$1:$K$363,2,0)," ")</f>
        <v>BİBERON KLASİK  UC 1 NO</v>
      </c>
      <c r="C155" s="99">
        <v>44076</v>
      </c>
      <c r="D155" s="100" t="s">
        <v>37</v>
      </c>
      <c r="E155" s="101">
        <v>0.33333333333333331</v>
      </c>
      <c r="F155" s="101">
        <v>0.75</v>
      </c>
      <c r="G155" s="100">
        <f>IFERROR(VLOOKUP(Tablo515[[#This Row],[ÜRÜN KODU]],YMKODLARI!$A$1:$K$363,3,0)," ")</f>
        <v>8</v>
      </c>
      <c r="H155" s="100">
        <f>IFERROR(VLOOKUP(Tablo515[[#This Row],[ÜRÜN KODU]],YMKODLARI!$A$1:$K$363,4,0)," ")</f>
        <v>36</v>
      </c>
      <c r="I155" s="100">
        <v>795</v>
      </c>
      <c r="J155" s="100" t="str">
        <f>IFERROR(VLOOKUP(Tablo515[[#This Row],[ÜRÜN KODU]],YMKODLARI!$A$1:$K$363,9,0)," ")</f>
        <v>Şeffaf</v>
      </c>
      <c r="K155" s="100" t="str">
        <f>IFERROR(VLOOKUP(Tablo515[[#This Row],[BOYA KODU]],Tablo14[#All],4,0)," ")</f>
        <v xml:space="preserve"> </v>
      </c>
      <c r="L155" s="100" t="str">
        <f>IFERROR(VLOOKUP(Tablo515[[#This Row],[BOYA KODU]],Tablo14[#All],6,0)," ")</f>
        <v xml:space="preserve"> </v>
      </c>
      <c r="M155" s="100" t="str">
        <f t="shared" si="14"/>
        <v xml:space="preserve"> </v>
      </c>
      <c r="N155" s="100" t="str">
        <f>IFERROR(VLOOKUP(Tablo515[[#This Row],[ÜRÜN KODU]],YMKODLARI!$A$1:$K$363,8,0)," ")</f>
        <v>HM 003</v>
      </c>
      <c r="O155" s="100" t="str">
        <f>IFERROR(VLOOKUP(Tablo515[[#This Row],[HAMMADDE KODU]],Tablo1[#All],3,0)," ")</f>
        <v>LSR 45</v>
      </c>
      <c r="P155" s="100" t="str">
        <f>IFERROR(VLOOKUP(Tablo515[[#This Row],[HAMMADDE KODU]],Tablo1[#All],4,0)," ")</f>
        <v>SETA</v>
      </c>
      <c r="Q155" s="100">
        <f>IFERROR(VLOOKUP(Tablo515[[#This Row],[ÜRÜN KODU]],YMKODLARI!$A$1:$K$363,5,0)," ")</f>
        <v>51.7</v>
      </c>
      <c r="R155" s="100">
        <f>IFERROR(VLOOKUP(Tablo515[[#This Row],[ÜRÜN KODU]],YMKODLARI!$A$1:$K$363,6,0)," ")</f>
        <v>44.5</v>
      </c>
      <c r="S155" s="100">
        <f>IFERROR(Tablo515[[#This Row],[YOLLUK HARİÇ BASKI GRAMI]]/Tablo515[[#This Row],[KALIP GÖZ ADEDİ]]," ")</f>
        <v>5.5625</v>
      </c>
      <c r="T155" s="100">
        <f t="shared" si="16"/>
        <v>7.2000000000000028</v>
      </c>
      <c r="U155" s="100">
        <v>6</v>
      </c>
      <c r="V155" s="100">
        <f t="shared" si="15"/>
        <v>41.377499999999998</v>
      </c>
      <c r="W155" s="101">
        <f t="shared" si="17"/>
        <v>24.416666666666668</v>
      </c>
      <c r="X155" s="102">
        <f t="shared" si="18"/>
        <v>10.000000000000028</v>
      </c>
      <c r="Y155" s="100">
        <f t="shared" si="19"/>
        <v>7.95</v>
      </c>
      <c r="Z155" s="100">
        <f t="shared" si="20"/>
        <v>6360</v>
      </c>
    </row>
    <row r="156" spans="1:26">
      <c r="A156" s="100" t="s">
        <v>34</v>
      </c>
      <c r="B156" s="108" t="str">
        <f>IFERROR(VLOOKUP(Tablo515[[#This Row],[ÜRÜN KODU]],YMKODLARI!$A$1:$K$363,2,0)," ")</f>
        <v>BİBERON KLASİK  UC 1 NO</v>
      </c>
      <c r="C156" s="99">
        <v>44077</v>
      </c>
      <c r="D156" s="100" t="s">
        <v>37</v>
      </c>
      <c r="E156" s="101">
        <v>0.33333333333333331</v>
      </c>
      <c r="F156" s="101">
        <v>0.75</v>
      </c>
      <c r="G156" s="100">
        <f>IFERROR(VLOOKUP(Tablo515[[#This Row],[ÜRÜN KODU]],YMKODLARI!$A$1:$K$363,3,0)," ")</f>
        <v>8</v>
      </c>
      <c r="H156" s="100">
        <f>IFERROR(VLOOKUP(Tablo515[[#This Row],[ÜRÜN KODU]],YMKODLARI!$A$1:$K$363,4,0)," ")</f>
        <v>36</v>
      </c>
      <c r="I156" s="100">
        <v>750</v>
      </c>
      <c r="J156" s="100" t="str">
        <f>IFERROR(VLOOKUP(Tablo515[[#This Row],[ÜRÜN KODU]],YMKODLARI!$A$1:$K$363,9,0)," ")</f>
        <v>Şeffaf</v>
      </c>
      <c r="K156" s="100" t="str">
        <f>IFERROR(VLOOKUP(Tablo515[[#This Row],[BOYA KODU]],Tablo14[#All],4,0)," ")</f>
        <v xml:space="preserve"> </v>
      </c>
      <c r="L156" s="100" t="str">
        <f>IFERROR(VLOOKUP(Tablo515[[#This Row],[BOYA KODU]],Tablo14[#All],6,0)," ")</f>
        <v xml:space="preserve"> </v>
      </c>
      <c r="M156" s="100" t="str">
        <f t="shared" si="14"/>
        <v xml:space="preserve"> </v>
      </c>
      <c r="N156" s="100" t="str">
        <f>IFERROR(VLOOKUP(Tablo515[[#This Row],[ÜRÜN KODU]],YMKODLARI!$A$1:$K$363,8,0)," ")</f>
        <v>HM 003</v>
      </c>
      <c r="O156" s="100" t="str">
        <f>IFERROR(VLOOKUP(Tablo515[[#This Row],[HAMMADDE KODU]],Tablo1[#All],3,0)," ")</f>
        <v>LSR 45</v>
      </c>
      <c r="P156" s="100" t="str">
        <f>IFERROR(VLOOKUP(Tablo515[[#This Row],[HAMMADDE KODU]],Tablo1[#All],4,0)," ")</f>
        <v>SETA</v>
      </c>
      <c r="Q156" s="100">
        <f>IFERROR(VLOOKUP(Tablo515[[#This Row],[ÜRÜN KODU]],YMKODLARI!$A$1:$K$363,5,0)," ")</f>
        <v>51.7</v>
      </c>
      <c r="R156" s="100">
        <f>IFERROR(VLOOKUP(Tablo515[[#This Row],[ÜRÜN KODU]],YMKODLARI!$A$1:$K$363,6,0)," ")</f>
        <v>44.5</v>
      </c>
      <c r="S156" s="100">
        <f>IFERROR(Tablo515[[#This Row],[YOLLUK HARİÇ BASKI GRAMI]]/Tablo515[[#This Row],[KALIP GÖZ ADEDİ]]," ")</f>
        <v>5.5625</v>
      </c>
      <c r="T156" s="100">
        <f t="shared" si="16"/>
        <v>7.2000000000000028</v>
      </c>
      <c r="U156" s="100">
        <v>6.4</v>
      </c>
      <c r="V156" s="100">
        <f t="shared" si="15"/>
        <v>39.774999999999999</v>
      </c>
      <c r="W156" s="101">
        <f t="shared" si="17"/>
        <v>24.416666666666668</v>
      </c>
      <c r="X156" s="102">
        <f t="shared" si="18"/>
        <v>10.000000000000028</v>
      </c>
      <c r="Y156" s="100">
        <f t="shared" si="19"/>
        <v>7.5</v>
      </c>
      <c r="Z156" s="100">
        <f t="shared" si="20"/>
        <v>6000</v>
      </c>
    </row>
    <row r="157" spans="1:26">
      <c r="A157" s="100" t="s">
        <v>34</v>
      </c>
      <c r="B157" s="108" t="str">
        <f>IFERROR(VLOOKUP(Tablo515[[#This Row],[ÜRÜN KODU]],YMKODLARI!$A$1:$K$363,2,0)," ")</f>
        <v>BİBERON KLASİK  UC 1 NO</v>
      </c>
      <c r="C157" s="99">
        <v>44078</v>
      </c>
      <c r="D157" s="100" t="s">
        <v>37</v>
      </c>
      <c r="E157" s="101">
        <v>0.33333333333333331</v>
      </c>
      <c r="F157" s="101">
        <v>0.75</v>
      </c>
      <c r="G157" s="100">
        <f>IFERROR(VLOOKUP(Tablo515[[#This Row],[ÜRÜN KODU]],YMKODLARI!$A$1:$K$363,3,0)," ")</f>
        <v>8</v>
      </c>
      <c r="H157" s="100">
        <f>IFERROR(VLOOKUP(Tablo515[[#This Row],[ÜRÜN KODU]],YMKODLARI!$A$1:$K$363,4,0)," ")</f>
        <v>36</v>
      </c>
      <c r="I157" s="100">
        <v>719</v>
      </c>
      <c r="J157" s="100" t="str">
        <f>IFERROR(VLOOKUP(Tablo515[[#This Row],[ÜRÜN KODU]],YMKODLARI!$A$1:$K$363,9,0)," ")</f>
        <v>Şeffaf</v>
      </c>
      <c r="K157" s="100" t="str">
        <f>IFERROR(VLOOKUP(Tablo515[[#This Row],[BOYA KODU]],Tablo14[#All],4,0)," ")</f>
        <v xml:space="preserve"> </v>
      </c>
      <c r="L157" s="100" t="str">
        <f>IFERROR(VLOOKUP(Tablo515[[#This Row],[BOYA KODU]],Tablo14[#All],6,0)," ")</f>
        <v xml:space="preserve"> </v>
      </c>
      <c r="M157" s="100" t="str">
        <f t="shared" si="14"/>
        <v xml:space="preserve"> </v>
      </c>
      <c r="N157" s="100" t="str">
        <f>IFERROR(VLOOKUP(Tablo515[[#This Row],[ÜRÜN KODU]],YMKODLARI!$A$1:$K$363,8,0)," ")</f>
        <v>HM 003</v>
      </c>
      <c r="O157" s="100" t="str">
        <f>IFERROR(VLOOKUP(Tablo515[[#This Row],[HAMMADDE KODU]],Tablo1[#All],3,0)," ")</f>
        <v>LSR 45</v>
      </c>
      <c r="P157" s="100" t="str">
        <f>IFERROR(VLOOKUP(Tablo515[[#This Row],[HAMMADDE KODU]],Tablo1[#All],4,0)," ")</f>
        <v>SETA</v>
      </c>
      <c r="Q157" s="100">
        <f>IFERROR(VLOOKUP(Tablo515[[#This Row],[ÜRÜN KODU]],YMKODLARI!$A$1:$K$363,5,0)," ")</f>
        <v>51.7</v>
      </c>
      <c r="R157" s="100">
        <f>IFERROR(VLOOKUP(Tablo515[[#This Row],[ÜRÜN KODU]],YMKODLARI!$A$1:$K$363,6,0)," ")</f>
        <v>44.5</v>
      </c>
      <c r="S157" s="100">
        <f>IFERROR(Tablo515[[#This Row],[YOLLUK HARİÇ BASKI GRAMI]]/Tablo515[[#This Row],[KALIP GÖZ ADEDİ]]," ")</f>
        <v>5.5625</v>
      </c>
      <c r="T157" s="100">
        <f t="shared" si="16"/>
        <v>7.2000000000000028</v>
      </c>
      <c r="U157" s="100">
        <v>6</v>
      </c>
      <c r="V157" s="100">
        <f t="shared" si="15"/>
        <v>37.9955</v>
      </c>
      <c r="W157" s="101">
        <f t="shared" si="17"/>
        <v>24.416666666666668</v>
      </c>
      <c r="X157" s="102">
        <f t="shared" si="18"/>
        <v>10.000000000000028</v>
      </c>
      <c r="Y157" s="100">
        <f t="shared" si="19"/>
        <v>7.19</v>
      </c>
      <c r="Z157" s="100">
        <f t="shared" si="20"/>
        <v>5752</v>
      </c>
    </row>
    <row r="158" spans="1:26">
      <c r="A158" s="100" t="s">
        <v>34</v>
      </c>
      <c r="B158" s="108" t="str">
        <f>IFERROR(VLOOKUP(Tablo515[[#This Row],[ÜRÜN KODU]],YMKODLARI!$A$1:$K$363,2,0)," ")</f>
        <v>BİBERON KLASİK  UC 1 NO</v>
      </c>
      <c r="C158" s="99">
        <v>44081</v>
      </c>
      <c r="D158" s="100" t="s">
        <v>29</v>
      </c>
      <c r="E158" s="101">
        <v>0.33333333333333331</v>
      </c>
      <c r="F158" s="101">
        <v>0.75</v>
      </c>
      <c r="G158" s="100">
        <f>IFERROR(VLOOKUP(Tablo515[[#This Row],[ÜRÜN KODU]],YMKODLARI!$A$1:$K$363,3,0)," ")</f>
        <v>8</v>
      </c>
      <c r="H158" s="100">
        <f>IFERROR(VLOOKUP(Tablo515[[#This Row],[ÜRÜN KODU]],YMKODLARI!$A$1:$K$363,4,0)," ")</f>
        <v>36</v>
      </c>
      <c r="I158" s="100">
        <v>771</v>
      </c>
      <c r="J158" s="100" t="str">
        <f>IFERROR(VLOOKUP(Tablo515[[#This Row],[ÜRÜN KODU]],YMKODLARI!$A$1:$K$363,9,0)," ")</f>
        <v>Şeffaf</v>
      </c>
      <c r="K158" s="100" t="str">
        <f>IFERROR(VLOOKUP(Tablo515[[#This Row],[BOYA KODU]],Tablo14[#All],4,0)," ")</f>
        <v xml:space="preserve"> </v>
      </c>
      <c r="L158" s="100" t="str">
        <f>IFERROR(VLOOKUP(Tablo515[[#This Row],[BOYA KODU]],Tablo14[#All],6,0)," ")</f>
        <v xml:space="preserve"> </v>
      </c>
      <c r="M158" s="100" t="str">
        <f t="shared" si="14"/>
        <v xml:space="preserve"> </v>
      </c>
      <c r="N158" s="100" t="str">
        <f>IFERROR(VLOOKUP(Tablo515[[#This Row],[ÜRÜN KODU]],YMKODLARI!$A$1:$K$363,8,0)," ")</f>
        <v>HM 003</v>
      </c>
      <c r="O158" s="100" t="str">
        <f>IFERROR(VLOOKUP(Tablo515[[#This Row],[HAMMADDE KODU]],Tablo1[#All],3,0)," ")</f>
        <v>LSR 45</v>
      </c>
      <c r="P158" s="100" t="str">
        <f>IFERROR(VLOOKUP(Tablo515[[#This Row],[HAMMADDE KODU]],Tablo1[#All],4,0)," ")</f>
        <v>SETA</v>
      </c>
      <c r="Q158" s="100">
        <f>IFERROR(VLOOKUP(Tablo515[[#This Row],[ÜRÜN KODU]],YMKODLARI!$A$1:$K$363,5,0)," ")</f>
        <v>51.7</v>
      </c>
      <c r="R158" s="100">
        <f>IFERROR(VLOOKUP(Tablo515[[#This Row],[ÜRÜN KODU]],YMKODLARI!$A$1:$K$363,6,0)," ")</f>
        <v>44.5</v>
      </c>
      <c r="S158" s="100">
        <f>IFERROR(Tablo515[[#This Row],[YOLLUK HARİÇ BASKI GRAMI]]/Tablo515[[#This Row],[KALIP GÖZ ADEDİ]]," ")</f>
        <v>5.5625</v>
      </c>
      <c r="T158" s="100">
        <f t="shared" si="16"/>
        <v>7.2000000000000028</v>
      </c>
      <c r="U158" s="100">
        <v>5.8</v>
      </c>
      <c r="V158" s="100">
        <f t="shared" si="15"/>
        <v>40.109499999999997</v>
      </c>
      <c r="W158" s="101">
        <f t="shared" si="17"/>
        <v>24.416666666666668</v>
      </c>
      <c r="X158" s="102">
        <f t="shared" si="18"/>
        <v>10.000000000000028</v>
      </c>
      <c r="Y158" s="100">
        <f t="shared" si="19"/>
        <v>7.71</v>
      </c>
      <c r="Z158" s="100">
        <f t="shared" si="20"/>
        <v>6168</v>
      </c>
    </row>
    <row r="159" spans="1:26">
      <c r="A159" s="100" t="s">
        <v>34</v>
      </c>
      <c r="B159" s="108" t="str">
        <f>IFERROR(VLOOKUP(Tablo515[[#This Row],[ÜRÜN KODU]],YMKODLARI!$A$1:$K$363,2,0)," ")</f>
        <v>BİBERON KLASİK  UC 1 NO</v>
      </c>
      <c r="C159" s="99">
        <v>44082</v>
      </c>
      <c r="D159" s="100" t="s">
        <v>29</v>
      </c>
      <c r="E159" s="101">
        <v>0.33333333333333331</v>
      </c>
      <c r="F159" s="101">
        <v>0.75</v>
      </c>
      <c r="G159" s="100">
        <f>IFERROR(VLOOKUP(Tablo515[[#This Row],[ÜRÜN KODU]],YMKODLARI!$A$1:$K$363,3,0)," ")</f>
        <v>8</v>
      </c>
      <c r="H159" s="100">
        <f>IFERROR(VLOOKUP(Tablo515[[#This Row],[ÜRÜN KODU]],YMKODLARI!$A$1:$K$363,4,0)," ")</f>
        <v>36</v>
      </c>
      <c r="I159" s="100">
        <v>735</v>
      </c>
      <c r="J159" s="100" t="str">
        <f>IFERROR(VLOOKUP(Tablo515[[#This Row],[ÜRÜN KODU]],YMKODLARI!$A$1:$K$363,9,0)," ")</f>
        <v>Şeffaf</v>
      </c>
      <c r="K159" s="100" t="str">
        <f>IFERROR(VLOOKUP(Tablo515[[#This Row],[BOYA KODU]],Tablo14[#All],4,0)," ")</f>
        <v xml:space="preserve"> </v>
      </c>
      <c r="L159" s="100" t="str">
        <f>IFERROR(VLOOKUP(Tablo515[[#This Row],[BOYA KODU]],Tablo14[#All],6,0)," ")</f>
        <v xml:space="preserve"> </v>
      </c>
      <c r="M159" s="100" t="str">
        <f t="shared" si="14"/>
        <v xml:space="preserve"> </v>
      </c>
      <c r="N159" s="100" t="str">
        <f>IFERROR(VLOOKUP(Tablo515[[#This Row],[ÜRÜN KODU]],YMKODLARI!$A$1:$K$363,8,0)," ")</f>
        <v>HM 003</v>
      </c>
      <c r="O159" s="100" t="str">
        <f>IFERROR(VLOOKUP(Tablo515[[#This Row],[HAMMADDE KODU]],Tablo1[#All],3,0)," ")</f>
        <v>LSR 45</v>
      </c>
      <c r="P159" s="100" t="str">
        <f>IFERROR(VLOOKUP(Tablo515[[#This Row],[HAMMADDE KODU]],Tablo1[#All],4,0)," ")</f>
        <v>SETA</v>
      </c>
      <c r="Q159" s="100">
        <f>IFERROR(VLOOKUP(Tablo515[[#This Row],[ÜRÜN KODU]],YMKODLARI!$A$1:$K$363,5,0)," ")</f>
        <v>51.7</v>
      </c>
      <c r="R159" s="100">
        <f>IFERROR(VLOOKUP(Tablo515[[#This Row],[ÜRÜN KODU]],YMKODLARI!$A$1:$K$363,6,0)," ")</f>
        <v>44.5</v>
      </c>
      <c r="S159" s="100">
        <f>IFERROR(Tablo515[[#This Row],[YOLLUK HARİÇ BASKI GRAMI]]/Tablo515[[#This Row],[KALIP GÖZ ADEDİ]]," ")</f>
        <v>5.5625</v>
      </c>
      <c r="T159" s="100">
        <f t="shared" si="16"/>
        <v>7.2000000000000028</v>
      </c>
      <c r="U159" s="100">
        <v>6.3</v>
      </c>
      <c r="V159" s="100">
        <f t="shared" si="15"/>
        <v>39.0075</v>
      </c>
      <c r="W159" s="101">
        <f t="shared" si="17"/>
        <v>24.416666666666668</v>
      </c>
      <c r="X159" s="102">
        <f t="shared" si="18"/>
        <v>10.000000000000028</v>
      </c>
      <c r="Y159" s="100">
        <f t="shared" si="19"/>
        <v>7.35</v>
      </c>
      <c r="Z159" s="100">
        <f t="shared" si="20"/>
        <v>5880</v>
      </c>
    </row>
    <row r="160" spans="1:26">
      <c r="A160" s="100" t="s">
        <v>34</v>
      </c>
      <c r="B160" s="108" t="str">
        <f>IFERROR(VLOOKUP(Tablo515[[#This Row],[ÜRÜN KODU]],YMKODLARI!$A$1:$K$363,2,0)," ")</f>
        <v>BİBERON KLASİK  UC 1 NO</v>
      </c>
      <c r="C160" s="99">
        <v>44083</v>
      </c>
      <c r="D160" s="100" t="s">
        <v>29</v>
      </c>
      <c r="E160" s="101">
        <v>0.33333333333333331</v>
      </c>
      <c r="F160" s="101">
        <v>0.6333333333333333</v>
      </c>
      <c r="G160" s="100">
        <f>IFERROR(VLOOKUP(Tablo515[[#This Row],[ÜRÜN KODU]],YMKODLARI!$A$1:$K$363,3,0)," ")</f>
        <v>8</v>
      </c>
      <c r="H160" s="100">
        <f>IFERROR(VLOOKUP(Tablo515[[#This Row],[ÜRÜN KODU]],YMKODLARI!$A$1:$K$363,4,0)," ")</f>
        <v>36</v>
      </c>
      <c r="I160" s="100">
        <v>445</v>
      </c>
      <c r="J160" s="100" t="str">
        <f>IFERROR(VLOOKUP(Tablo515[[#This Row],[ÜRÜN KODU]],YMKODLARI!$A$1:$K$363,9,0)," ")</f>
        <v>Şeffaf</v>
      </c>
      <c r="K160" s="100" t="str">
        <f>IFERROR(VLOOKUP(Tablo515[[#This Row],[BOYA KODU]],Tablo14[#All],4,0)," ")</f>
        <v xml:space="preserve"> </v>
      </c>
      <c r="L160" s="100" t="str">
        <f>IFERROR(VLOOKUP(Tablo515[[#This Row],[BOYA KODU]],Tablo14[#All],6,0)," ")</f>
        <v xml:space="preserve"> </v>
      </c>
      <c r="M160" s="100" t="str">
        <f t="shared" si="14"/>
        <v xml:space="preserve"> </v>
      </c>
      <c r="N160" s="100" t="str">
        <f>IFERROR(VLOOKUP(Tablo515[[#This Row],[ÜRÜN KODU]],YMKODLARI!$A$1:$K$363,8,0)," ")</f>
        <v>HM 003</v>
      </c>
      <c r="O160" s="100" t="str">
        <f>IFERROR(VLOOKUP(Tablo515[[#This Row],[HAMMADDE KODU]],Tablo1[#All],3,0)," ")</f>
        <v>LSR 45</v>
      </c>
      <c r="P160" s="100" t="str">
        <f>IFERROR(VLOOKUP(Tablo515[[#This Row],[HAMMADDE KODU]],Tablo1[#All],4,0)," ")</f>
        <v>SETA</v>
      </c>
      <c r="Q160" s="100">
        <f>IFERROR(VLOOKUP(Tablo515[[#This Row],[ÜRÜN KODU]],YMKODLARI!$A$1:$K$363,5,0)," ")</f>
        <v>51.7</v>
      </c>
      <c r="R160" s="100">
        <f>IFERROR(VLOOKUP(Tablo515[[#This Row],[ÜRÜN KODU]],YMKODLARI!$A$1:$K$363,6,0)," ")</f>
        <v>44.5</v>
      </c>
      <c r="S160" s="100">
        <f>IFERROR(Tablo515[[#This Row],[YOLLUK HARİÇ BASKI GRAMI]]/Tablo515[[#This Row],[KALIP GÖZ ADEDİ]]," ")</f>
        <v>5.5625</v>
      </c>
      <c r="T160" s="100">
        <f t="shared" si="16"/>
        <v>7.2000000000000028</v>
      </c>
      <c r="U160" s="100">
        <v>4.8</v>
      </c>
      <c r="V160" s="100">
        <f t="shared" si="15"/>
        <v>24.602499999999999</v>
      </c>
      <c r="W160" s="101">
        <f t="shared" si="17"/>
        <v>24.3</v>
      </c>
      <c r="X160" s="102">
        <f t="shared" si="18"/>
        <v>7.2000000000000171</v>
      </c>
      <c r="Y160" s="100">
        <f t="shared" si="19"/>
        <v>4.45</v>
      </c>
      <c r="Z160" s="100">
        <f t="shared" si="20"/>
        <v>3560</v>
      </c>
    </row>
    <row r="161" spans="1:26">
      <c r="A161" s="100" t="s">
        <v>34</v>
      </c>
      <c r="B161" s="108" t="str">
        <f>IFERROR(VLOOKUP(Tablo515[[#This Row],[ÜRÜN KODU]],YMKODLARI!$A$1:$K$363,2,0)," ")</f>
        <v>BİBERON KLASİK  UC 1 NO</v>
      </c>
      <c r="C161" s="99">
        <v>44084</v>
      </c>
      <c r="D161" s="100" t="s">
        <v>29</v>
      </c>
      <c r="E161" s="101">
        <v>0.33333333333333331</v>
      </c>
      <c r="F161" s="101">
        <v>0.75</v>
      </c>
      <c r="G161" s="100">
        <f>IFERROR(VLOOKUP(Tablo515[[#This Row],[ÜRÜN KODU]],YMKODLARI!$A$1:$K$363,3,0)," ")</f>
        <v>8</v>
      </c>
      <c r="H161" s="100">
        <f>IFERROR(VLOOKUP(Tablo515[[#This Row],[ÜRÜN KODU]],YMKODLARI!$A$1:$K$363,4,0)," ")</f>
        <v>36</v>
      </c>
      <c r="I161" s="100">
        <v>649</v>
      </c>
      <c r="J161" s="100" t="str">
        <f>IFERROR(VLOOKUP(Tablo515[[#This Row],[ÜRÜN KODU]],YMKODLARI!$A$1:$K$363,9,0)," ")</f>
        <v>Şeffaf</v>
      </c>
      <c r="K161" s="100" t="str">
        <f>IFERROR(VLOOKUP(Tablo515[[#This Row],[BOYA KODU]],Tablo14[#All],4,0)," ")</f>
        <v xml:space="preserve"> </v>
      </c>
      <c r="L161" s="100" t="str">
        <f>IFERROR(VLOOKUP(Tablo515[[#This Row],[BOYA KODU]],Tablo14[#All],6,0)," ")</f>
        <v xml:space="preserve"> </v>
      </c>
      <c r="M161" s="100" t="str">
        <f t="shared" si="14"/>
        <v xml:space="preserve"> </v>
      </c>
      <c r="N161" s="100" t="str">
        <f>IFERROR(VLOOKUP(Tablo515[[#This Row],[ÜRÜN KODU]],YMKODLARI!$A$1:$K$363,8,0)," ")</f>
        <v>HM 003</v>
      </c>
      <c r="O161" s="100" t="str">
        <f>IFERROR(VLOOKUP(Tablo515[[#This Row],[HAMMADDE KODU]],Tablo1[#All],3,0)," ")</f>
        <v>LSR 45</v>
      </c>
      <c r="P161" s="100" t="str">
        <f>IFERROR(VLOOKUP(Tablo515[[#This Row],[HAMMADDE KODU]],Tablo1[#All],4,0)," ")</f>
        <v>SETA</v>
      </c>
      <c r="Q161" s="100">
        <f>IFERROR(VLOOKUP(Tablo515[[#This Row],[ÜRÜN KODU]],YMKODLARI!$A$1:$K$363,5,0)," ")</f>
        <v>51.7</v>
      </c>
      <c r="R161" s="100">
        <f>IFERROR(VLOOKUP(Tablo515[[#This Row],[ÜRÜN KODU]],YMKODLARI!$A$1:$K$363,6,0)," ")</f>
        <v>44.5</v>
      </c>
      <c r="S161" s="100">
        <f>IFERROR(Tablo515[[#This Row],[YOLLUK HARİÇ BASKI GRAMI]]/Tablo515[[#This Row],[KALIP GÖZ ADEDİ]]," ")</f>
        <v>5.5625</v>
      </c>
      <c r="T161" s="100">
        <f t="shared" si="16"/>
        <v>7.2000000000000028</v>
      </c>
      <c r="U161" s="100">
        <v>6</v>
      </c>
      <c r="V161" s="100">
        <f t="shared" si="15"/>
        <v>34.880499999999998</v>
      </c>
      <c r="W161" s="101">
        <f t="shared" si="17"/>
        <v>24.416666666666668</v>
      </c>
      <c r="X161" s="102">
        <f t="shared" si="18"/>
        <v>10.000000000000028</v>
      </c>
      <c r="Y161" s="100">
        <f t="shared" si="19"/>
        <v>6.49</v>
      </c>
      <c r="Z161" s="100">
        <f t="shared" si="20"/>
        <v>5192</v>
      </c>
    </row>
    <row r="162" spans="1:26">
      <c r="A162" s="100" t="s">
        <v>34</v>
      </c>
      <c r="B162" s="108" t="str">
        <f>IFERROR(VLOOKUP(Tablo515[[#This Row],[ÜRÜN KODU]],YMKODLARI!$A$1:$K$363,2,0)," ")</f>
        <v>BİBERON KLASİK  UC 1 NO</v>
      </c>
      <c r="C162" s="99">
        <v>44085</v>
      </c>
      <c r="D162" s="100" t="s">
        <v>29</v>
      </c>
      <c r="E162" s="101">
        <v>0.33333333333333331</v>
      </c>
      <c r="F162" s="101">
        <v>0.75</v>
      </c>
      <c r="G162" s="100">
        <f>IFERROR(VLOOKUP(Tablo515[[#This Row],[ÜRÜN KODU]],YMKODLARI!$A$1:$K$363,3,0)," ")</f>
        <v>8</v>
      </c>
      <c r="H162" s="100">
        <f>IFERROR(VLOOKUP(Tablo515[[#This Row],[ÜRÜN KODU]],YMKODLARI!$A$1:$K$363,4,0)," ")</f>
        <v>36</v>
      </c>
      <c r="I162" s="100">
        <v>642</v>
      </c>
      <c r="J162" s="100" t="str">
        <f>IFERROR(VLOOKUP(Tablo515[[#This Row],[ÜRÜN KODU]],YMKODLARI!$A$1:$K$363,9,0)," ")</f>
        <v>Şeffaf</v>
      </c>
      <c r="K162" s="100" t="str">
        <f>IFERROR(VLOOKUP(Tablo515[[#This Row],[BOYA KODU]],Tablo14[#All],4,0)," ")</f>
        <v xml:space="preserve"> </v>
      </c>
      <c r="L162" s="100" t="str">
        <f>IFERROR(VLOOKUP(Tablo515[[#This Row],[BOYA KODU]],Tablo14[#All],6,0)," ")</f>
        <v xml:space="preserve"> </v>
      </c>
      <c r="M162" s="100" t="str">
        <f t="shared" si="14"/>
        <v xml:space="preserve"> </v>
      </c>
      <c r="N162" s="100" t="str">
        <f>IFERROR(VLOOKUP(Tablo515[[#This Row],[ÜRÜN KODU]],YMKODLARI!$A$1:$K$363,8,0)," ")</f>
        <v>HM 003</v>
      </c>
      <c r="O162" s="100" t="str">
        <f>IFERROR(VLOOKUP(Tablo515[[#This Row],[HAMMADDE KODU]],Tablo1[#All],3,0)," ")</f>
        <v>LSR 45</v>
      </c>
      <c r="P162" s="100" t="str">
        <f>IFERROR(VLOOKUP(Tablo515[[#This Row],[HAMMADDE KODU]],Tablo1[#All],4,0)," ")</f>
        <v>SETA</v>
      </c>
      <c r="Q162" s="100">
        <f>IFERROR(VLOOKUP(Tablo515[[#This Row],[ÜRÜN KODU]],YMKODLARI!$A$1:$K$363,5,0)," ")</f>
        <v>51.7</v>
      </c>
      <c r="R162" s="100">
        <f>IFERROR(VLOOKUP(Tablo515[[#This Row],[ÜRÜN KODU]],YMKODLARI!$A$1:$K$363,6,0)," ")</f>
        <v>44.5</v>
      </c>
      <c r="S162" s="100">
        <f>IFERROR(Tablo515[[#This Row],[YOLLUK HARİÇ BASKI GRAMI]]/Tablo515[[#This Row],[KALIP GÖZ ADEDİ]]," ")</f>
        <v>5.5625</v>
      </c>
      <c r="T162" s="100">
        <f t="shared" si="16"/>
        <v>7.2000000000000028</v>
      </c>
      <c r="U162" s="100">
        <v>5.8</v>
      </c>
      <c r="V162" s="100">
        <f t="shared" si="15"/>
        <v>34.369</v>
      </c>
      <c r="W162" s="101">
        <f t="shared" si="17"/>
        <v>24.416666666666668</v>
      </c>
      <c r="X162" s="102">
        <f t="shared" si="18"/>
        <v>10.000000000000028</v>
      </c>
      <c r="Y162" s="100">
        <f t="shared" si="19"/>
        <v>6.42</v>
      </c>
      <c r="Z162" s="100">
        <f t="shared" si="20"/>
        <v>5136</v>
      </c>
    </row>
    <row r="163" spans="1:26">
      <c r="A163" s="100" t="s">
        <v>34</v>
      </c>
      <c r="B163" s="108" t="str">
        <f>IFERROR(VLOOKUP(Tablo515[[#This Row],[ÜRÜN KODU]],YMKODLARI!$A$1:$K$363,2,0)," ")</f>
        <v>BİBERON KLASİK  UC 1 NO</v>
      </c>
      <c r="C163" s="99">
        <v>44088</v>
      </c>
      <c r="D163" s="100" t="s">
        <v>29</v>
      </c>
      <c r="E163" s="101">
        <v>0.33333333333333331</v>
      </c>
      <c r="F163" s="101">
        <v>0.75</v>
      </c>
      <c r="G163" s="100">
        <f>IFERROR(VLOOKUP(Tablo515[[#This Row],[ÜRÜN KODU]],YMKODLARI!$A$1:$K$363,3,0)," ")</f>
        <v>8</v>
      </c>
      <c r="H163" s="100">
        <f>IFERROR(VLOOKUP(Tablo515[[#This Row],[ÜRÜN KODU]],YMKODLARI!$A$1:$K$363,4,0)," ")</f>
        <v>36</v>
      </c>
      <c r="I163" s="100">
        <v>581</v>
      </c>
      <c r="J163" s="100" t="str">
        <f>IFERROR(VLOOKUP(Tablo515[[#This Row],[ÜRÜN KODU]],YMKODLARI!$A$1:$K$363,9,0)," ")</f>
        <v>Şeffaf</v>
      </c>
      <c r="K163" s="100" t="str">
        <f>IFERROR(VLOOKUP(Tablo515[[#This Row],[BOYA KODU]],Tablo14[#All],4,0)," ")</f>
        <v xml:space="preserve"> </v>
      </c>
      <c r="L163" s="100" t="str">
        <f>IFERROR(VLOOKUP(Tablo515[[#This Row],[BOYA KODU]],Tablo14[#All],6,0)," ")</f>
        <v xml:space="preserve"> </v>
      </c>
      <c r="M163" s="100" t="str">
        <f t="shared" si="14"/>
        <v xml:space="preserve"> </v>
      </c>
      <c r="N163" s="100" t="str">
        <f>IFERROR(VLOOKUP(Tablo515[[#This Row],[ÜRÜN KODU]],YMKODLARI!$A$1:$K$363,8,0)," ")</f>
        <v>HM 003</v>
      </c>
      <c r="O163" s="100" t="str">
        <f>IFERROR(VLOOKUP(Tablo515[[#This Row],[HAMMADDE KODU]],Tablo1[#All],3,0)," ")</f>
        <v>LSR 45</v>
      </c>
      <c r="P163" s="100" t="str">
        <f>IFERROR(VLOOKUP(Tablo515[[#This Row],[HAMMADDE KODU]],Tablo1[#All],4,0)," ")</f>
        <v>SETA</v>
      </c>
      <c r="Q163" s="100">
        <f>IFERROR(VLOOKUP(Tablo515[[#This Row],[ÜRÜN KODU]],YMKODLARI!$A$1:$K$363,5,0)," ")</f>
        <v>51.7</v>
      </c>
      <c r="R163" s="100">
        <f>IFERROR(VLOOKUP(Tablo515[[#This Row],[ÜRÜN KODU]],YMKODLARI!$A$1:$K$363,6,0)," ")</f>
        <v>44.5</v>
      </c>
      <c r="S163" s="100">
        <f>IFERROR(Tablo515[[#This Row],[YOLLUK HARİÇ BASKI GRAMI]]/Tablo515[[#This Row],[KALIP GÖZ ADEDİ]]," ")</f>
        <v>5.5625</v>
      </c>
      <c r="T163" s="100">
        <f t="shared" si="16"/>
        <v>7.2000000000000028</v>
      </c>
      <c r="U163" s="100">
        <v>5.7</v>
      </c>
      <c r="V163" s="100">
        <f t="shared" si="15"/>
        <v>31.554500000000001</v>
      </c>
      <c r="W163" s="101">
        <f t="shared" si="17"/>
        <v>24.416666666666668</v>
      </c>
      <c r="X163" s="102">
        <f t="shared" si="18"/>
        <v>10.000000000000028</v>
      </c>
      <c r="Y163" s="100">
        <f t="shared" si="19"/>
        <v>5.81</v>
      </c>
      <c r="Z163" s="100">
        <f t="shared" si="20"/>
        <v>4648</v>
      </c>
    </row>
    <row r="164" spans="1:26">
      <c r="A164" s="100" t="s">
        <v>34</v>
      </c>
      <c r="B164" s="108" t="str">
        <f>IFERROR(VLOOKUP(Tablo515[[#This Row],[ÜRÜN KODU]],YMKODLARI!$A$1:$K$363,2,0)," ")</f>
        <v>BİBERON KLASİK  UC 1 NO</v>
      </c>
      <c r="C164" s="99">
        <v>44089</v>
      </c>
      <c r="D164" s="100" t="s">
        <v>29</v>
      </c>
      <c r="E164" s="101">
        <v>0.33333333333333331</v>
      </c>
      <c r="F164" s="101">
        <v>0.75</v>
      </c>
      <c r="G164" s="100">
        <f>IFERROR(VLOOKUP(Tablo515[[#This Row],[ÜRÜN KODU]],YMKODLARI!$A$1:$K$363,3,0)," ")</f>
        <v>8</v>
      </c>
      <c r="H164" s="100">
        <f>IFERROR(VLOOKUP(Tablo515[[#This Row],[ÜRÜN KODU]],YMKODLARI!$A$1:$K$363,4,0)," ")</f>
        <v>36</v>
      </c>
      <c r="I164" s="100">
        <v>723</v>
      </c>
      <c r="J164" s="100" t="str">
        <f>IFERROR(VLOOKUP(Tablo515[[#This Row],[ÜRÜN KODU]],YMKODLARI!$A$1:$K$363,9,0)," ")</f>
        <v>Şeffaf</v>
      </c>
      <c r="K164" s="100" t="str">
        <f>IFERROR(VLOOKUP(Tablo515[[#This Row],[BOYA KODU]],Tablo14[#All],4,0)," ")</f>
        <v xml:space="preserve"> </v>
      </c>
      <c r="L164" s="100" t="str">
        <f>IFERROR(VLOOKUP(Tablo515[[#This Row],[BOYA KODU]],Tablo14[#All],6,0)," ")</f>
        <v xml:space="preserve"> </v>
      </c>
      <c r="M164" s="100" t="str">
        <f t="shared" si="14"/>
        <v xml:space="preserve"> </v>
      </c>
      <c r="N164" s="100" t="str">
        <f>IFERROR(VLOOKUP(Tablo515[[#This Row],[ÜRÜN KODU]],YMKODLARI!$A$1:$K$363,8,0)," ")</f>
        <v>HM 003</v>
      </c>
      <c r="O164" s="100" t="str">
        <f>IFERROR(VLOOKUP(Tablo515[[#This Row],[HAMMADDE KODU]],Tablo1[#All],3,0)," ")</f>
        <v>LSR 45</v>
      </c>
      <c r="P164" s="100" t="str">
        <f>IFERROR(VLOOKUP(Tablo515[[#This Row],[HAMMADDE KODU]],Tablo1[#All],4,0)," ")</f>
        <v>SETA</v>
      </c>
      <c r="Q164" s="100">
        <f>IFERROR(VLOOKUP(Tablo515[[#This Row],[ÜRÜN KODU]],YMKODLARI!$A$1:$K$363,5,0)," ")</f>
        <v>51.7</v>
      </c>
      <c r="R164" s="100">
        <f>IFERROR(VLOOKUP(Tablo515[[#This Row],[ÜRÜN KODU]],YMKODLARI!$A$1:$K$363,6,0)," ")</f>
        <v>44.5</v>
      </c>
      <c r="S164" s="100">
        <f>IFERROR(Tablo515[[#This Row],[YOLLUK HARİÇ BASKI GRAMI]]/Tablo515[[#This Row],[KALIP GÖZ ADEDİ]]," ")</f>
        <v>5.5625</v>
      </c>
      <c r="T164" s="100">
        <f t="shared" si="16"/>
        <v>7.2000000000000028</v>
      </c>
      <c r="U164" s="100">
        <v>6.1</v>
      </c>
      <c r="V164" s="100">
        <f t="shared" si="15"/>
        <v>38.273499999999999</v>
      </c>
      <c r="W164" s="101">
        <f t="shared" si="17"/>
        <v>24.416666666666668</v>
      </c>
      <c r="X164" s="102">
        <f t="shared" si="18"/>
        <v>10.000000000000028</v>
      </c>
      <c r="Y164" s="100">
        <f t="shared" si="19"/>
        <v>7.23</v>
      </c>
      <c r="Z164" s="100">
        <f t="shared" si="20"/>
        <v>5784</v>
      </c>
    </row>
    <row r="165" spans="1:26">
      <c r="A165" s="100" t="s">
        <v>34</v>
      </c>
      <c r="B165" s="108" t="str">
        <f>IFERROR(VLOOKUP(Tablo515[[#This Row],[ÜRÜN KODU]],YMKODLARI!$A$1:$K$363,2,0)," ")</f>
        <v>BİBERON KLASİK  UC 1 NO</v>
      </c>
      <c r="C165" s="99">
        <v>44090</v>
      </c>
      <c r="D165" s="100" t="s">
        <v>29</v>
      </c>
      <c r="E165" s="101">
        <v>0.33333333333333331</v>
      </c>
      <c r="F165" s="101">
        <v>0.75</v>
      </c>
      <c r="G165" s="100">
        <f>IFERROR(VLOOKUP(Tablo515[[#This Row],[ÜRÜN KODU]],YMKODLARI!$A$1:$K$363,3,0)," ")</f>
        <v>8</v>
      </c>
      <c r="H165" s="100">
        <f>IFERROR(VLOOKUP(Tablo515[[#This Row],[ÜRÜN KODU]],YMKODLARI!$A$1:$K$363,4,0)," ")</f>
        <v>36</v>
      </c>
      <c r="I165" s="100">
        <v>705</v>
      </c>
      <c r="J165" s="100" t="str">
        <f>IFERROR(VLOOKUP(Tablo515[[#This Row],[ÜRÜN KODU]],YMKODLARI!$A$1:$K$363,9,0)," ")</f>
        <v>Şeffaf</v>
      </c>
      <c r="K165" s="100" t="str">
        <f>IFERROR(VLOOKUP(Tablo515[[#This Row],[BOYA KODU]],Tablo14[#All],4,0)," ")</f>
        <v xml:space="preserve"> </v>
      </c>
      <c r="L165" s="100" t="str">
        <f>IFERROR(VLOOKUP(Tablo515[[#This Row],[BOYA KODU]],Tablo14[#All],6,0)," ")</f>
        <v xml:space="preserve"> </v>
      </c>
      <c r="M165" s="100" t="str">
        <f t="shared" si="14"/>
        <v xml:space="preserve"> </v>
      </c>
      <c r="N165" s="100" t="str">
        <f>IFERROR(VLOOKUP(Tablo515[[#This Row],[ÜRÜN KODU]],YMKODLARI!$A$1:$K$363,8,0)," ")</f>
        <v>HM 003</v>
      </c>
      <c r="O165" s="100" t="str">
        <f>IFERROR(VLOOKUP(Tablo515[[#This Row],[HAMMADDE KODU]],Tablo1[#All],3,0)," ")</f>
        <v>LSR 45</v>
      </c>
      <c r="P165" s="100" t="str">
        <f>IFERROR(VLOOKUP(Tablo515[[#This Row],[HAMMADDE KODU]],Tablo1[#All],4,0)," ")</f>
        <v>SETA</v>
      </c>
      <c r="Q165" s="100">
        <f>IFERROR(VLOOKUP(Tablo515[[#This Row],[ÜRÜN KODU]],YMKODLARI!$A$1:$K$363,5,0)," ")</f>
        <v>51.7</v>
      </c>
      <c r="R165" s="100">
        <f>IFERROR(VLOOKUP(Tablo515[[#This Row],[ÜRÜN KODU]],YMKODLARI!$A$1:$K$363,6,0)," ")</f>
        <v>44.5</v>
      </c>
      <c r="S165" s="100">
        <f>IFERROR(Tablo515[[#This Row],[YOLLUK HARİÇ BASKI GRAMI]]/Tablo515[[#This Row],[KALIP GÖZ ADEDİ]]," ")</f>
        <v>5.5625</v>
      </c>
      <c r="T165" s="100">
        <f t="shared" si="16"/>
        <v>7.2000000000000028</v>
      </c>
      <c r="U165" s="100">
        <v>5.8</v>
      </c>
      <c r="V165" s="100">
        <f t="shared" si="15"/>
        <v>37.172499999999999</v>
      </c>
      <c r="W165" s="101">
        <f t="shared" si="17"/>
        <v>24.416666666666668</v>
      </c>
      <c r="X165" s="102">
        <f t="shared" si="18"/>
        <v>10.000000000000028</v>
      </c>
      <c r="Y165" s="100">
        <f t="shared" si="19"/>
        <v>7.05</v>
      </c>
      <c r="Z165" s="100">
        <f t="shared" si="20"/>
        <v>5640</v>
      </c>
    </row>
    <row r="166" spans="1:26">
      <c r="A166" s="100" t="s">
        <v>34</v>
      </c>
      <c r="B166" s="108" t="str">
        <f>IFERROR(VLOOKUP(Tablo515[[#This Row],[ÜRÜN KODU]],YMKODLARI!$A$1:$K$363,2,0)," ")</f>
        <v>BİBERON KLASİK  UC 1 NO</v>
      </c>
      <c r="C166" s="99">
        <v>44091</v>
      </c>
      <c r="D166" s="100" t="s">
        <v>29</v>
      </c>
      <c r="E166" s="101">
        <v>0.33333333333333331</v>
      </c>
      <c r="F166" s="101">
        <v>0.75</v>
      </c>
      <c r="G166" s="100">
        <f>IFERROR(VLOOKUP(Tablo515[[#This Row],[ÜRÜN KODU]],YMKODLARI!$A$1:$K$363,3,0)," ")</f>
        <v>8</v>
      </c>
      <c r="H166" s="100">
        <f>IFERROR(VLOOKUP(Tablo515[[#This Row],[ÜRÜN KODU]],YMKODLARI!$A$1:$K$363,4,0)," ")</f>
        <v>36</v>
      </c>
      <c r="I166" s="100">
        <v>628</v>
      </c>
      <c r="J166" s="100" t="str">
        <f>IFERROR(VLOOKUP(Tablo515[[#This Row],[ÜRÜN KODU]],YMKODLARI!$A$1:$K$363,9,0)," ")</f>
        <v>Şeffaf</v>
      </c>
      <c r="K166" s="100" t="str">
        <f>IFERROR(VLOOKUP(Tablo515[[#This Row],[BOYA KODU]],Tablo14[#All],4,0)," ")</f>
        <v xml:space="preserve"> </v>
      </c>
      <c r="L166" s="100" t="str">
        <f>IFERROR(VLOOKUP(Tablo515[[#This Row],[BOYA KODU]],Tablo14[#All],6,0)," ")</f>
        <v xml:space="preserve"> </v>
      </c>
      <c r="M166" s="100" t="str">
        <f t="shared" si="14"/>
        <v xml:space="preserve"> </v>
      </c>
      <c r="N166" s="100" t="str">
        <f>IFERROR(VLOOKUP(Tablo515[[#This Row],[ÜRÜN KODU]],YMKODLARI!$A$1:$K$363,8,0)," ")</f>
        <v>HM 003</v>
      </c>
      <c r="O166" s="100" t="str">
        <f>IFERROR(VLOOKUP(Tablo515[[#This Row],[HAMMADDE KODU]],Tablo1[#All],3,0)," ")</f>
        <v>LSR 45</v>
      </c>
      <c r="P166" s="100" t="str">
        <f>IFERROR(VLOOKUP(Tablo515[[#This Row],[HAMMADDE KODU]],Tablo1[#All],4,0)," ")</f>
        <v>SETA</v>
      </c>
      <c r="Q166" s="100">
        <f>IFERROR(VLOOKUP(Tablo515[[#This Row],[ÜRÜN KODU]],YMKODLARI!$A$1:$K$363,5,0)," ")</f>
        <v>51.7</v>
      </c>
      <c r="R166" s="100">
        <f>IFERROR(VLOOKUP(Tablo515[[#This Row],[ÜRÜN KODU]],YMKODLARI!$A$1:$K$363,6,0)," ")</f>
        <v>44.5</v>
      </c>
      <c r="S166" s="100">
        <f>IFERROR(Tablo515[[#This Row],[YOLLUK HARİÇ BASKI GRAMI]]/Tablo515[[#This Row],[KALIP GÖZ ADEDİ]]," ")</f>
        <v>5.5625</v>
      </c>
      <c r="T166" s="100">
        <f t="shared" si="16"/>
        <v>7.2000000000000028</v>
      </c>
      <c r="U166" s="100">
        <v>6.2</v>
      </c>
      <c r="V166" s="100">
        <f t="shared" si="15"/>
        <v>34.146000000000001</v>
      </c>
      <c r="W166" s="101">
        <f t="shared" si="17"/>
        <v>24.416666666666668</v>
      </c>
      <c r="X166" s="102">
        <f t="shared" si="18"/>
        <v>10.000000000000028</v>
      </c>
      <c r="Y166" s="100">
        <f t="shared" si="19"/>
        <v>6.28</v>
      </c>
      <c r="Z166" s="100">
        <f t="shared" si="20"/>
        <v>5024</v>
      </c>
    </row>
    <row r="167" spans="1:26">
      <c r="A167" s="100" t="s">
        <v>34</v>
      </c>
      <c r="B167" s="108" t="str">
        <f>IFERROR(VLOOKUP(Tablo515[[#This Row],[ÜRÜN KODU]],YMKODLARI!$A$1:$K$363,2,0)," ")</f>
        <v>BİBERON KLASİK  UC 1 NO</v>
      </c>
      <c r="C167" s="99">
        <v>44092</v>
      </c>
      <c r="D167" s="100" t="s">
        <v>29</v>
      </c>
      <c r="E167" s="101">
        <v>0.33333333333333331</v>
      </c>
      <c r="F167" s="101">
        <v>0.75</v>
      </c>
      <c r="G167" s="100">
        <f>IFERROR(VLOOKUP(Tablo515[[#This Row],[ÜRÜN KODU]],YMKODLARI!$A$1:$K$363,3,0)," ")</f>
        <v>8</v>
      </c>
      <c r="H167" s="100">
        <f>IFERROR(VLOOKUP(Tablo515[[#This Row],[ÜRÜN KODU]],YMKODLARI!$A$1:$K$363,4,0)," ")</f>
        <v>36</v>
      </c>
      <c r="I167" s="100">
        <v>607</v>
      </c>
      <c r="J167" s="100" t="str">
        <f>IFERROR(VLOOKUP(Tablo515[[#This Row],[ÜRÜN KODU]],YMKODLARI!$A$1:$K$363,9,0)," ")</f>
        <v>Şeffaf</v>
      </c>
      <c r="K167" s="100" t="str">
        <f>IFERROR(VLOOKUP(Tablo515[[#This Row],[BOYA KODU]],Tablo14[#All],4,0)," ")</f>
        <v xml:space="preserve"> </v>
      </c>
      <c r="L167" s="100" t="str">
        <f>IFERROR(VLOOKUP(Tablo515[[#This Row],[BOYA KODU]],Tablo14[#All],6,0)," ")</f>
        <v xml:space="preserve"> </v>
      </c>
      <c r="M167" s="100" t="str">
        <f t="shared" si="14"/>
        <v xml:space="preserve"> </v>
      </c>
      <c r="N167" s="100" t="str">
        <f>IFERROR(VLOOKUP(Tablo515[[#This Row],[ÜRÜN KODU]],YMKODLARI!$A$1:$K$363,8,0)," ")</f>
        <v>HM 003</v>
      </c>
      <c r="O167" s="100" t="str">
        <f>IFERROR(VLOOKUP(Tablo515[[#This Row],[HAMMADDE KODU]],Tablo1[#All],3,0)," ")</f>
        <v>LSR 45</v>
      </c>
      <c r="P167" s="100" t="str">
        <f>IFERROR(VLOOKUP(Tablo515[[#This Row],[HAMMADDE KODU]],Tablo1[#All],4,0)," ")</f>
        <v>SETA</v>
      </c>
      <c r="Q167" s="100">
        <f>IFERROR(VLOOKUP(Tablo515[[#This Row],[ÜRÜN KODU]],YMKODLARI!$A$1:$K$363,5,0)," ")</f>
        <v>51.7</v>
      </c>
      <c r="R167" s="100">
        <f>IFERROR(VLOOKUP(Tablo515[[#This Row],[ÜRÜN KODU]],YMKODLARI!$A$1:$K$363,6,0)," ")</f>
        <v>44.5</v>
      </c>
      <c r="S167" s="100">
        <f>IFERROR(Tablo515[[#This Row],[YOLLUK HARİÇ BASKI GRAMI]]/Tablo515[[#This Row],[KALIP GÖZ ADEDİ]]," ")</f>
        <v>5.5625</v>
      </c>
      <c r="T167" s="100">
        <f t="shared" si="16"/>
        <v>7.2000000000000028</v>
      </c>
      <c r="U167" s="100">
        <v>5.0999999999999996</v>
      </c>
      <c r="V167" s="100">
        <f t="shared" si="15"/>
        <v>32.111499999999999</v>
      </c>
      <c r="W167" s="101">
        <f t="shared" si="17"/>
        <v>24.416666666666668</v>
      </c>
      <c r="X167" s="102">
        <f t="shared" si="18"/>
        <v>10.000000000000028</v>
      </c>
      <c r="Y167" s="100">
        <f t="shared" si="19"/>
        <v>6.07</v>
      </c>
      <c r="Z167" s="100">
        <f t="shared" si="20"/>
        <v>4856</v>
      </c>
    </row>
    <row r="168" spans="1:26">
      <c r="A168" s="100" t="s">
        <v>34</v>
      </c>
      <c r="B168" s="108" t="str">
        <f>IFERROR(VLOOKUP(Tablo515[[#This Row],[ÜRÜN KODU]],YMKODLARI!$A$1:$K$363,2,0)," ")</f>
        <v>BİBERON KLASİK  UC 1 NO</v>
      </c>
      <c r="C168" s="99">
        <v>44095</v>
      </c>
      <c r="D168" s="100" t="s">
        <v>29</v>
      </c>
      <c r="E168" s="101">
        <v>0.33333333333333331</v>
      </c>
      <c r="F168" s="101">
        <v>0.75</v>
      </c>
      <c r="G168" s="100">
        <f>IFERROR(VLOOKUP(Tablo515[[#This Row],[ÜRÜN KODU]],YMKODLARI!$A$1:$K$363,3,0)," ")</f>
        <v>8</v>
      </c>
      <c r="H168" s="100">
        <f>IFERROR(VLOOKUP(Tablo515[[#This Row],[ÜRÜN KODU]],YMKODLARI!$A$1:$K$363,4,0)," ")</f>
        <v>36</v>
      </c>
      <c r="I168" s="100">
        <v>698</v>
      </c>
      <c r="J168" s="100" t="str">
        <f>IFERROR(VLOOKUP(Tablo515[[#This Row],[ÜRÜN KODU]],YMKODLARI!$A$1:$K$363,9,0)," ")</f>
        <v>Şeffaf</v>
      </c>
      <c r="K168" s="100" t="str">
        <f>IFERROR(VLOOKUP(Tablo515[[#This Row],[BOYA KODU]],Tablo14[#All],4,0)," ")</f>
        <v xml:space="preserve"> </v>
      </c>
      <c r="L168" s="100" t="str">
        <f>IFERROR(VLOOKUP(Tablo515[[#This Row],[BOYA KODU]],Tablo14[#All],6,0)," ")</f>
        <v xml:space="preserve"> </v>
      </c>
      <c r="M168" s="100" t="str">
        <f t="shared" si="14"/>
        <v xml:space="preserve"> </v>
      </c>
      <c r="N168" s="100" t="str">
        <f>IFERROR(VLOOKUP(Tablo515[[#This Row],[ÜRÜN KODU]],YMKODLARI!$A$1:$K$363,8,0)," ")</f>
        <v>HM 003</v>
      </c>
      <c r="O168" s="100" t="str">
        <f>IFERROR(VLOOKUP(Tablo515[[#This Row],[HAMMADDE KODU]],Tablo1[#All],3,0)," ")</f>
        <v>LSR 45</v>
      </c>
      <c r="P168" s="100" t="str">
        <f>IFERROR(VLOOKUP(Tablo515[[#This Row],[HAMMADDE KODU]],Tablo1[#All],4,0)," ")</f>
        <v>SETA</v>
      </c>
      <c r="Q168" s="100">
        <f>IFERROR(VLOOKUP(Tablo515[[#This Row],[ÜRÜN KODU]],YMKODLARI!$A$1:$K$363,5,0)," ")</f>
        <v>51.7</v>
      </c>
      <c r="R168" s="100">
        <f>IFERROR(VLOOKUP(Tablo515[[#This Row],[ÜRÜN KODU]],YMKODLARI!$A$1:$K$363,6,0)," ")</f>
        <v>44.5</v>
      </c>
      <c r="S168" s="100">
        <f>IFERROR(Tablo515[[#This Row],[YOLLUK HARİÇ BASKI GRAMI]]/Tablo515[[#This Row],[KALIP GÖZ ADEDİ]]," ")</f>
        <v>5.5625</v>
      </c>
      <c r="T168" s="100">
        <f t="shared" si="16"/>
        <v>7.2000000000000028</v>
      </c>
      <c r="U168" s="100">
        <v>6.7</v>
      </c>
      <c r="V168" s="100">
        <f t="shared" si="15"/>
        <v>37.761000000000003</v>
      </c>
      <c r="W168" s="101">
        <f t="shared" si="17"/>
        <v>24.416666666666668</v>
      </c>
      <c r="X168" s="102">
        <f t="shared" si="18"/>
        <v>10.000000000000028</v>
      </c>
      <c r="Y168" s="100">
        <f t="shared" si="19"/>
        <v>6.98</v>
      </c>
      <c r="Z168" s="100">
        <f t="shared" si="20"/>
        <v>5584</v>
      </c>
    </row>
    <row r="169" spans="1:26">
      <c r="A169" s="100" t="s">
        <v>34</v>
      </c>
      <c r="B169" s="108" t="str">
        <f>IFERROR(VLOOKUP(Tablo515[[#This Row],[ÜRÜN KODU]],YMKODLARI!$A$1:$K$363,2,0)," ")</f>
        <v>BİBERON KLASİK  UC 1 NO</v>
      </c>
      <c r="C169" s="99">
        <v>44096</v>
      </c>
      <c r="D169" s="100" t="s">
        <v>29</v>
      </c>
      <c r="E169" s="101">
        <v>0.33333333333333331</v>
      </c>
      <c r="F169" s="101">
        <v>0.75</v>
      </c>
      <c r="G169" s="100">
        <f>IFERROR(VLOOKUP(Tablo515[[#This Row],[ÜRÜN KODU]],YMKODLARI!$A$1:$K$363,3,0)," ")</f>
        <v>8</v>
      </c>
      <c r="H169" s="100">
        <f>IFERROR(VLOOKUP(Tablo515[[#This Row],[ÜRÜN KODU]],YMKODLARI!$A$1:$K$363,4,0)," ")</f>
        <v>36</v>
      </c>
      <c r="I169" s="100">
        <v>695</v>
      </c>
      <c r="J169" s="100" t="str">
        <f>IFERROR(VLOOKUP(Tablo515[[#This Row],[ÜRÜN KODU]],YMKODLARI!$A$1:$K$363,9,0)," ")</f>
        <v>Şeffaf</v>
      </c>
      <c r="K169" s="100" t="str">
        <f>IFERROR(VLOOKUP(Tablo515[[#This Row],[BOYA KODU]],Tablo14[#All],4,0)," ")</f>
        <v xml:space="preserve"> </v>
      </c>
      <c r="L169" s="100" t="str">
        <f>IFERROR(VLOOKUP(Tablo515[[#This Row],[BOYA KODU]],Tablo14[#All],6,0)," ")</f>
        <v xml:space="preserve"> </v>
      </c>
      <c r="M169" s="100" t="str">
        <f t="shared" si="14"/>
        <v xml:space="preserve"> </v>
      </c>
      <c r="N169" s="100" t="str">
        <f>IFERROR(VLOOKUP(Tablo515[[#This Row],[ÜRÜN KODU]],YMKODLARI!$A$1:$K$363,8,0)," ")</f>
        <v>HM 003</v>
      </c>
      <c r="O169" s="100" t="str">
        <f>IFERROR(VLOOKUP(Tablo515[[#This Row],[HAMMADDE KODU]],Tablo1[#All],3,0)," ")</f>
        <v>LSR 45</v>
      </c>
      <c r="P169" s="100" t="str">
        <f>IFERROR(VLOOKUP(Tablo515[[#This Row],[HAMMADDE KODU]],Tablo1[#All],4,0)," ")</f>
        <v>SETA</v>
      </c>
      <c r="Q169" s="100">
        <f>IFERROR(VLOOKUP(Tablo515[[#This Row],[ÜRÜN KODU]],YMKODLARI!$A$1:$K$363,5,0)," ")</f>
        <v>51.7</v>
      </c>
      <c r="R169" s="100">
        <f>IFERROR(VLOOKUP(Tablo515[[#This Row],[ÜRÜN KODU]],YMKODLARI!$A$1:$K$363,6,0)," ")</f>
        <v>44.5</v>
      </c>
      <c r="S169" s="100">
        <f>IFERROR(Tablo515[[#This Row],[YOLLUK HARİÇ BASKI GRAMI]]/Tablo515[[#This Row],[KALIP GÖZ ADEDİ]]," ")</f>
        <v>5.5625</v>
      </c>
      <c r="T169" s="100">
        <f t="shared" si="16"/>
        <v>7.2000000000000028</v>
      </c>
      <c r="U169" s="100">
        <v>6.2</v>
      </c>
      <c r="V169" s="100">
        <f t="shared" si="15"/>
        <v>37.127499999999998</v>
      </c>
      <c r="W169" s="101">
        <f t="shared" si="17"/>
        <v>24.416666666666668</v>
      </c>
      <c r="X169" s="102">
        <f t="shared" si="18"/>
        <v>10.000000000000028</v>
      </c>
      <c r="Y169" s="100">
        <f t="shared" si="19"/>
        <v>6.95</v>
      </c>
      <c r="Z169" s="100">
        <f t="shared" si="20"/>
        <v>5560</v>
      </c>
    </row>
    <row r="170" spans="1:26">
      <c r="A170" s="100" t="s">
        <v>34</v>
      </c>
      <c r="B170" s="108" t="str">
        <f>IFERROR(VLOOKUP(Tablo515[[#This Row],[ÜRÜN KODU]],YMKODLARI!$A$1:$K$363,2,0)," ")</f>
        <v>BİBERON KLASİK  UC 1 NO</v>
      </c>
      <c r="C170" s="99">
        <v>44097</v>
      </c>
      <c r="D170" s="100" t="s">
        <v>29</v>
      </c>
      <c r="E170" s="101">
        <v>0.33333333333333331</v>
      </c>
      <c r="F170" s="101">
        <v>0.75</v>
      </c>
      <c r="G170" s="100">
        <f>IFERROR(VLOOKUP(Tablo515[[#This Row],[ÜRÜN KODU]],YMKODLARI!$A$1:$K$363,3,0)," ")</f>
        <v>8</v>
      </c>
      <c r="H170" s="100">
        <f>IFERROR(VLOOKUP(Tablo515[[#This Row],[ÜRÜN KODU]],YMKODLARI!$A$1:$K$363,4,0)," ")</f>
        <v>36</v>
      </c>
      <c r="I170" s="100">
        <v>619</v>
      </c>
      <c r="J170" s="100" t="str">
        <f>IFERROR(VLOOKUP(Tablo515[[#This Row],[ÜRÜN KODU]],YMKODLARI!$A$1:$K$363,9,0)," ")</f>
        <v>Şeffaf</v>
      </c>
      <c r="K170" s="100" t="str">
        <f>IFERROR(VLOOKUP(Tablo515[[#This Row],[BOYA KODU]],Tablo14[#All],4,0)," ")</f>
        <v xml:space="preserve"> </v>
      </c>
      <c r="L170" s="100" t="str">
        <f>IFERROR(VLOOKUP(Tablo515[[#This Row],[BOYA KODU]],Tablo14[#All],6,0)," ")</f>
        <v xml:space="preserve"> </v>
      </c>
      <c r="M170" s="100" t="str">
        <f t="shared" si="14"/>
        <v xml:space="preserve"> </v>
      </c>
      <c r="N170" s="100" t="str">
        <f>IFERROR(VLOOKUP(Tablo515[[#This Row],[ÜRÜN KODU]],YMKODLARI!$A$1:$K$363,8,0)," ")</f>
        <v>HM 003</v>
      </c>
      <c r="O170" s="100" t="str">
        <f>IFERROR(VLOOKUP(Tablo515[[#This Row],[HAMMADDE KODU]],Tablo1[#All],3,0)," ")</f>
        <v>LSR 45</v>
      </c>
      <c r="P170" s="100" t="str">
        <f>IFERROR(VLOOKUP(Tablo515[[#This Row],[HAMMADDE KODU]],Tablo1[#All],4,0)," ")</f>
        <v>SETA</v>
      </c>
      <c r="Q170" s="100">
        <f>IFERROR(VLOOKUP(Tablo515[[#This Row],[ÜRÜN KODU]],YMKODLARI!$A$1:$K$363,5,0)," ")</f>
        <v>51.7</v>
      </c>
      <c r="R170" s="100">
        <f>IFERROR(VLOOKUP(Tablo515[[#This Row],[ÜRÜN KODU]],YMKODLARI!$A$1:$K$363,6,0)," ")</f>
        <v>44.5</v>
      </c>
      <c r="S170" s="100">
        <f>IFERROR(Tablo515[[#This Row],[YOLLUK HARİÇ BASKI GRAMI]]/Tablo515[[#This Row],[KALIP GÖZ ADEDİ]]," ")</f>
        <v>5.5625</v>
      </c>
      <c r="T170" s="100">
        <f t="shared" si="16"/>
        <v>7.2000000000000028</v>
      </c>
      <c r="U170" s="100">
        <v>5.8</v>
      </c>
      <c r="V170" s="100">
        <f t="shared" si="15"/>
        <v>33.345500000000001</v>
      </c>
      <c r="W170" s="101">
        <f t="shared" si="17"/>
        <v>24.416666666666668</v>
      </c>
      <c r="X170" s="102">
        <f t="shared" si="18"/>
        <v>10.000000000000028</v>
      </c>
      <c r="Y170" s="100">
        <f t="shared" si="19"/>
        <v>6.19</v>
      </c>
      <c r="Z170" s="100">
        <f t="shared" si="20"/>
        <v>4952</v>
      </c>
    </row>
    <row r="171" spans="1:26">
      <c r="A171" s="100" t="s">
        <v>34</v>
      </c>
      <c r="B171" s="108" t="str">
        <f>IFERROR(VLOOKUP(Tablo515[[#This Row],[ÜRÜN KODU]],YMKODLARI!$A$1:$K$363,2,0)," ")</f>
        <v>BİBERON KLASİK  UC 1 NO</v>
      </c>
      <c r="C171" s="99">
        <v>44098</v>
      </c>
      <c r="D171" s="100" t="s">
        <v>29</v>
      </c>
      <c r="E171" s="101">
        <v>0.35416666666666669</v>
      </c>
      <c r="F171" s="101">
        <v>0.75</v>
      </c>
      <c r="G171" s="100">
        <f>IFERROR(VLOOKUP(Tablo515[[#This Row],[ÜRÜN KODU]],YMKODLARI!$A$1:$K$363,3,0)," ")</f>
        <v>8</v>
      </c>
      <c r="H171" s="100">
        <f>IFERROR(VLOOKUP(Tablo515[[#This Row],[ÜRÜN KODU]],YMKODLARI!$A$1:$K$363,4,0)," ")</f>
        <v>36</v>
      </c>
      <c r="I171" s="100">
        <v>586</v>
      </c>
      <c r="J171" s="100" t="str">
        <f>IFERROR(VLOOKUP(Tablo515[[#This Row],[ÜRÜN KODU]],YMKODLARI!$A$1:$K$363,9,0)," ")</f>
        <v>Şeffaf</v>
      </c>
      <c r="K171" s="100" t="str">
        <f>IFERROR(VLOOKUP(Tablo515[[#This Row],[BOYA KODU]],Tablo14[#All],4,0)," ")</f>
        <v xml:space="preserve"> </v>
      </c>
      <c r="L171" s="100" t="str">
        <f>IFERROR(VLOOKUP(Tablo515[[#This Row],[BOYA KODU]],Tablo14[#All],6,0)," ")</f>
        <v xml:space="preserve"> </v>
      </c>
      <c r="M171" s="100" t="str">
        <f t="shared" si="14"/>
        <v xml:space="preserve"> </v>
      </c>
      <c r="N171" s="100" t="str">
        <f>IFERROR(VLOOKUP(Tablo515[[#This Row],[ÜRÜN KODU]],YMKODLARI!$A$1:$K$363,8,0)," ")</f>
        <v>HM 003</v>
      </c>
      <c r="O171" s="100" t="str">
        <f>IFERROR(VLOOKUP(Tablo515[[#This Row],[HAMMADDE KODU]],Tablo1[#All],3,0)," ")</f>
        <v>LSR 45</v>
      </c>
      <c r="P171" s="100" t="str">
        <f>IFERROR(VLOOKUP(Tablo515[[#This Row],[HAMMADDE KODU]],Tablo1[#All],4,0)," ")</f>
        <v>SETA</v>
      </c>
      <c r="Q171" s="100">
        <f>IFERROR(VLOOKUP(Tablo515[[#This Row],[ÜRÜN KODU]],YMKODLARI!$A$1:$K$363,5,0)," ")</f>
        <v>51.7</v>
      </c>
      <c r="R171" s="100">
        <f>IFERROR(VLOOKUP(Tablo515[[#This Row],[ÜRÜN KODU]],YMKODLARI!$A$1:$K$363,6,0)," ")</f>
        <v>44.5</v>
      </c>
      <c r="S171" s="100">
        <f>IFERROR(Tablo515[[#This Row],[YOLLUK HARİÇ BASKI GRAMI]]/Tablo515[[#This Row],[KALIP GÖZ ADEDİ]]," ")</f>
        <v>5.5625</v>
      </c>
      <c r="T171" s="100">
        <f t="shared" si="16"/>
        <v>7.2000000000000028</v>
      </c>
      <c r="U171" s="100">
        <v>6.9</v>
      </c>
      <c r="V171" s="100">
        <f t="shared" si="15"/>
        <v>32.977000000000004</v>
      </c>
      <c r="W171" s="101">
        <f t="shared" si="17"/>
        <v>24.395833333333332</v>
      </c>
      <c r="X171" s="102">
        <f t="shared" si="18"/>
        <v>9.4999999999999716</v>
      </c>
      <c r="Y171" s="100">
        <f t="shared" si="19"/>
        <v>5.86</v>
      </c>
      <c r="Z171" s="100">
        <f t="shared" si="20"/>
        <v>4688</v>
      </c>
    </row>
    <row r="172" spans="1:26">
      <c r="A172" s="100" t="s">
        <v>34</v>
      </c>
      <c r="B172" s="108" t="str">
        <f>IFERROR(VLOOKUP(Tablo515[[#This Row],[ÜRÜN KODU]],YMKODLARI!$A$1:$K$363,2,0)," ")</f>
        <v>BİBERON KLASİK  UC 1 NO</v>
      </c>
      <c r="C172" s="99">
        <v>44099</v>
      </c>
      <c r="D172" s="100" t="s">
        <v>29</v>
      </c>
      <c r="E172" s="101">
        <v>0.33333333333333331</v>
      </c>
      <c r="F172" s="101">
        <v>0.75</v>
      </c>
      <c r="G172" s="100">
        <f>IFERROR(VLOOKUP(Tablo515[[#This Row],[ÜRÜN KODU]],YMKODLARI!$A$1:$K$363,3,0)," ")</f>
        <v>8</v>
      </c>
      <c r="H172" s="100">
        <f>IFERROR(VLOOKUP(Tablo515[[#This Row],[ÜRÜN KODU]],YMKODLARI!$A$1:$K$363,4,0)," ")</f>
        <v>36</v>
      </c>
      <c r="I172" s="100">
        <v>624</v>
      </c>
      <c r="J172" s="100" t="str">
        <f>IFERROR(VLOOKUP(Tablo515[[#This Row],[ÜRÜN KODU]],YMKODLARI!$A$1:$K$363,9,0)," ")</f>
        <v>Şeffaf</v>
      </c>
      <c r="K172" s="100" t="str">
        <f>IFERROR(VLOOKUP(Tablo515[[#This Row],[BOYA KODU]],Tablo14[#All],4,0)," ")</f>
        <v xml:space="preserve"> </v>
      </c>
      <c r="L172" s="100" t="str">
        <f>IFERROR(VLOOKUP(Tablo515[[#This Row],[BOYA KODU]],Tablo14[#All],6,0)," ")</f>
        <v xml:space="preserve"> </v>
      </c>
      <c r="M172" s="100" t="str">
        <f t="shared" si="14"/>
        <v xml:space="preserve"> </v>
      </c>
      <c r="N172" s="100" t="str">
        <f>IFERROR(VLOOKUP(Tablo515[[#This Row],[ÜRÜN KODU]],YMKODLARI!$A$1:$K$363,8,0)," ")</f>
        <v>HM 003</v>
      </c>
      <c r="O172" s="100" t="str">
        <f>IFERROR(VLOOKUP(Tablo515[[#This Row],[HAMMADDE KODU]],Tablo1[#All],3,0)," ")</f>
        <v>LSR 45</v>
      </c>
      <c r="P172" s="100" t="str">
        <f>IFERROR(VLOOKUP(Tablo515[[#This Row],[HAMMADDE KODU]],Tablo1[#All],4,0)," ")</f>
        <v>SETA</v>
      </c>
      <c r="Q172" s="100">
        <f>IFERROR(VLOOKUP(Tablo515[[#This Row],[ÜRÜN KODU]],YMKODLARI!$A$1:$K$363,5,0)," ")</f>
        <v>51.7</v>
      </c>
      <c r="R172" s="100">
        <f>IFERROR(VLOOKUP(Tablo515[[#This Row],[ÜRÜN KODU]],YMKODLARI!$A$1:$K$363,6,0)," ")</f>
        <v>44.5</v>
      </c>
      <c r="S172" s="100">
        <f>IFERROR(Tablo515[[#This Row],[YOLLUK HARİÇ BASKI GRAMI]]/Tablo515[[#This Row],[KALIP GÖZ ADEDİ]]," ")</f>
        <v>5.5625</v>
      </c>
      <c r="T172" s="100">
        <f t="shared" si="16"/>
        <v>7.2000000000000028</v>
      </c>
      <c r="U172" s="100">
        <v>5</v>
      </c>
      <c r="V172" s="100">
        <f t="shared" si="15"/>
        <v>32.768000000000001</v>
      </c>
      <c r="W172" s="101">
        <f t="shared" si="17"/>
        <v>24.416666666666668</v>
      </c>
      <c r="X172" s="102">
        <f t="shared" si="18"/>
        <v>10.000000000000028</v>
      </c>
      <c r="Y172" s="100">
        <f t="shared" si="19"/>
        <v>6.24</v>
      </c>
      <c r="Z172" s="100">
        <f t="shared" si="20"/>
        <v>4992</v>
      </c>
    </row>
    <row r="173" spans="1:26">
      <c r="A173" s="100" t="s">
        <v>34</v>
      </c>
      <c r="B173" s="108" t="str">
        <f>IFERROR(VLOOKUP(Tablo515[[#This Row],[ÜRÜN KODU]],YMKODLARI!$A$1:$K$363,2,0)," ")</f>
        <v>BİBERON KLASİK  UC 1 NO</v>
      </c>
      <c r="C173" s="99">
        <v>44102</v>
      </c>
      <c r="D173" s="100" t="s">
        <v>29</v>
      </c>
      <c r="E173" s="101">
        <v>0.34722222222222227</v>
      </c>
      <c r="F173" s="101">
        <v>0.75</v>
      </c>
      <c r="G173" s="100">
        <f>IFERROR(VLOOKUP(Tablo515[[#This Row],[ÜRÜN KODU]],YMKODLARI!$A$1:$K$363,3,0)," ")</f>
        <v>8</v>
      </c>
      <c r="H173" s="100">
        <f>IFERROR(VLOOKUP(Tablo515[[#This Row],[ÜRÜN KODU]],YMKODLARI!$A$1:$K$363,4,0)," ")</f>
        <v>36</v>
      </c>
      <c r="I173" s="100">
        <v>692</v>
      </c>
      <c r="J173" s="100" t="str">
        <f>IFERROR(VLOOKUP(Tablo515[[#This Row],[ÜRÜN KODU]],YMKODLARI!$A$1:$K$363,9,0)," ")</f>
        <v>Şeffaf</v>
      </c>
      <c r="K173" s="100" t="str">
        <f>IFERROR(VLOOKUP(Tablo515[[#This Row],[BOYA KODU]],Tablo14[#All],4,0)," ")</f>
        <v xml:space="preserve"> </v>
      </c>
      <c r="L173" s="100" t="str">
        <f>IFERROR(VLOOKUP(Tablo515[[#This Row],[BOYA KODU]],Tablo14[#All],6,0)," ")</f>
        <v xml:space="preserve"> </v>
      </c>
      <c r="M173" s="100" t="str">
        <f t="shared" si="14"/>
        <v xml:space="preserve"> </v>
      </c>
      <c r="N173" s="100" t="str">
        <f>IFERROR(VLOOKUP(Tablo515[[#This Row],[ÜRÜN KODU]],YMKODLARI!$A$1:$K$363,8,0)," ")</f>
        <v>HM 003</v>
      </c>
      <c r="O173" s="100" t="str">
        <f>IFERROR(VLOOKUP(Tablo515[[#This Row],[HAMMADDE KODU]],Tablo1[#All],3,0)," ")</f>
        <v>LSR 45</v>
      </c>
      <c r="P173" s="100" t="str">
        <f>IFERROR(VLOOKUP(Tablo515[[#This Row],[HAMMADDE KODU]],Tablo1[#All],4,0)," ")</f>
        <v>SETA</v>
      </c>
      <c r="Q173" s="100">
        <f>IFERROR(VLOOKUP(Tablo515[[#This Row],[ÜRÜN KODU]],YMKODLARI!$A$1:$K$363,5,0)," ")</f>
        <v>51.7</v>
      </c>
      <c r="R173" s="100">
        <f>IFERROR(VLOOKUP(Tablo515[[#This Row],[ÜRÜN KODU]],YMKODLARI!$A$1:$K$363,6,0)," ")</f>
        <v>44.5</v>
      </c>
      <c r="S173" s="100">
        <f>IFERROR(Tablo515[[#This Row],[YOLLUK HARİÇ BASKI GRAMI]]/Tablo515[[#This Row],[KALIP GÖZ ADEDİ]]," ")</f>
        <v>5.5625</v>
      </c>
      <c r="T173" s="100">
        <f t="shared" si="16"/>
        <v>7.2000000000000028</v>
      </c>
      <c r="U173" s="100">
        <v>5.6</v>
      </c>
      <c r="V173" s="100">
        <f t="shared" si="15"/>
        <v>36.393999999999998</v>
      </c>
      <c r="W173" s="101">
        <f t="shared" si="17"/>
        <v>24.402777777777779</v>
      </c>
      <c r="X173" s="102">
        <f t="shared" si="18"/>
        <v>9.6666666666666856</v>
      </c>
      <c r="Y173" s="100">
        <f t="shared" si="19"/>
        <v>6.92</v>
      </c>
      <c r="Z173" s="100">
        <f t="shared" si="20"/>
        <v>5536</v>
      </c>
    </row>
    <row r="174" spans="1:26">
      <c r="A174" s="100" t="s">
        <v>34</v>
      </c>
      <c r="B174" s="108" t="str">
        <f>IFERROR(VLOOKUP(Tablo515[[#This Row],[ÜRÜN KODU]],YMKODLARI!$A$1:$K$363,2,0)," ")</f>
        <v>BİBERON KLASİK  UC 1 NO</v>
      </c>
      <c r="C174" s="99">
        <v>44103</v>
      </c>
      <c r="D174" s="100" t="s">
        <v>29</v>
      </c>
      <c r="E174" s="101">
        <v>0.33333333333333331</v>
      </c>
      <c r="F174" s="101">
        <v>0.75</v>
      </c>
      <c r="G174" s="100">
        <f>IFERROR(VLOOKUP(Tablo515[[#This Row],[ÜRÜN KODU]],YMKODLARI!$A$1:$K$363,3,0)," ")</f>
        <v>8</v>
      </c>
      <c r="H174" s="100">
        <f>IFERROR(VLOOKUP(Tablo515[[#This Row],[ÜRÜN KODU]],YMKODLARI!$A$1:$K$363,4,0)," ")</f>
        <v>36</v>
      </c>
      <c r="I174" s="100">
        <v>691</v>
      </c>
      <c r="J174" s="100" t="str">
        <f>IFERROR(VLOOKUP(Tablo515[[#This Row],[ÜRÜN KODU]],YMKODLARI!$A$1:$K$363,9,0)," ")</f>
        <v>Şeffaf</v>
      </c>
      <c r="K174" s="100" t="str">
        <f>IFERROR(VLOOKUP(Tablo515[[#This Row],[BOYA KODU]],Tablo14[#All],4,0)," ")</f>
        <v xml:space="preserve"> </v>
      </c>
      <c r="L174" s="100" t="str">
        <f>IFERROR(VLOOKUP(Tablo515[[#This Row],[BOYA KODU]],Tablo14[#All],6,0)," ")</f>
        <v xml:space="preserve"> </v>
      </c>
      <c r="M174" s="100" t="str">
        <f t="shared" si="14"/>
        <v xml:space="preserve"> </v>
      </c>
      <c r="N174" s="100" t="str">
        <f>IFERROR(VLOOKUP(Tablo515[[#This Row],[ÜRÜN KODU]],YMKODLARI!$A$1:$K$363,8,0)," ")</f>
        <v>HM 003</v>
      </c>
      <c r="O174" s="100" t="str">
        <f>IFERROR(VLOOKUP(Tablo515[[#This Row],[HAMMADDE KODU]],Tablo1[#All],3,0)," ")</f>
        <v>LSR 45</v>
      </c>
      <c r="P174" s="100" t="str">
        <f>IFERROR(VLOOKUP(Tablo515[[#This Row],[HAMMADDE KODU]],Tablo1[#All],4,0)," ")</f>
        <v>SETA</v>
      </c>
      <c r="Q174" s="100">
        <f>IFERROR(VLOOKUP(Tablo515[[#This Row],[ÜRÜN KODU]],YMKODLARI!$A$1:$K$363,5,0)," ")</f>
        <v>51.7</v>
      </c>
      <c r="R174" s="100">
        <f>IFERROR(VLOOKUP(Tablo515[[#This Row],[ÜRÜN KODU]],YMKODLARI!$A$1:$K$363,6,0)," ")</f>
        <v>44.5</v>
      </c>
      <c r="S174" s="100">
        <f>IFERROR(Tablo515[[#This Row],[YOLLUK HARİÇ BASKI GRAMI]]/Tablo515[[#This Row],[KALIP GÖZ ADEDİ]]," ")</f>
        <v>5.5625</v>
      </c>
      <c r="T174" s="100">
        <f t="shared" si="16"/>
        <v>7.2000000000000028</v>
      </c>
      <c r="U174" s="100">
        <v>5.6</v>
      </c>
      <c r="V174" s="100">
        <f t="shared" si="15"/>
        <v>36.349499999999999</v>
      </c>
      <c r="W174" s="101">
        <f t="shared" si="17"/>
        <v>24.416666666666668</v>
      </c>
      <c r="X174" s="102">
        <f t="shared" si="18"/>
        <v>10.000000000000028</v>
      </c>
      <c r="Y174" s="100">
        <f t="shared" si="19"/>
        <v>6.91</v>
      </c>
      <c r="Z174" s="100">
        <f t="shared" si="20"/>
        <v>5528</v>
      </c>
    </row>
    <row r="175" spans="1:26">
      <c r="A175" s="100" t="s">
        <v>34</v>
      </c>
      <c r="B175" s="108" t="str">
        <f>IFERROR(VLOOKUP(Tablo515[[#This Row],[ÜRÜN KODU]],YMKODLARI!$A$1:$K$363,2,0)," ")</f>
        <v>BİBERON KLASİK  UC 1 NO</v>
      </c>
      <c r="C175" s="99">
        <v>44104</v>
      </c>
      <c r="D175" s="100" t="s">
        <v>29</v>
      </c>
      <c r="E175" s="101">
        <v>0.33333333333333331</v>
      </c>
      <c r="F175" s="101">
        <v>0.75</v>
      </c>
      <c r="G175" s="100">
        <f>IFERROR(VLOOKUP(Tablo515[[#This Row],[ÜRÜN KODU]],YMKODLARI!$A$1:$K$363,3,0)," ")</f>
        <v>8</v>
      </c>
      <c r="H175" s="100">
        <f>IFERROR(VLOOKUP(Tablo515[[#This Row],[ÜRÜN KODU]],YMKODLARI!$A$1:$K$363,4,0)," ")</f>
        <v>36</v>
      </c>
      <c r="I175" s="100">
        <v>735</v>
      </c>
      <c r="J175" s="100" t="str">
        <f>IFERROR(VLOOKUP(Tablo515[[#This Row],[ÜRÜN KODU]],YMKODLARI!$A$1:$K$363,9,0)," ")</f>
        <v>Şeffaf</v>
      </c>
      <c r="K175" s="100" t="str">
        <f>IFERROR(VLOOKUP(Tablo515[[#This Row],[BOYA KODU]],Tablo14[#All],4,0)," ")</f>
        <v xml:space="preserve"> </v>
      </c>
      <c r="L175" s="100" t="str">
        <f>IFERROR(VLOOKUP(Tablo515[[#This Row],[BOYA KODU]],Tablo14[#All],6,0)," ")</f>
        <v xml:space="preserve"> </v>
      </c>
      <c r="M175" s="100" t="str">
        <f t="shared" si="14"/>
        <v xml:space="preserve"> </v>
      </c>
      <c r="N175" s="100" t="str">
        <f>IFERROR(VLOOKUP(Tablo515[[#This Row],[ÜRÜN KODU]],YMKODLARI!$A$1:$K$363,8,0)," ")</f>
        <v>HM 003</v>
      </c>
      <c r="O175" s="100" t="str">
        <f>IFERROR(VLOOKUP(Tablo515[[#This Row],[HAMMADDE KODU]],Tablo1[#All],3,0)," ")</f>
        <v>LSR 45</v>
      </c>
      <c r="P175" s="100" t="str">
        <f>IFERROR(VLOOKUP(Tablo515[[#This Row],[HAMMADDE KODU]],Tablo1[#All],4,0)," ")</f>
        <v>SETA</v>
      </c>
      <c r="Q175" s="100">
        <f>IFERROR(VLOOKUP(Tablo515[[#This Row],[ÜRÜN KODU]],YMKODLARI!$A$1:$K$363,5,0)," ")</f>
        <v>51.7</v>
      </c>
      <c r="R175" s="100">
        <f>IFERROR(VLOOKUP(Tablo515[[#This Row],[ÜRÜN KODU]],YMKODLARI!$A$1:$K$363,6,0)," ")</f>
        <v>44.5</v>
      </c>
      <c r="S175" s="100">
        <f>IFERROR(Tablo515[[#This Row],[YOLLUK HARİÇ BASKI GRAMI]]/Tablo515[[#This Row],[KALIP GÖZ ADEDİ]]," ")</f>
        <v>5.5625</v>
      </c>
      <c r="T175" s="100">
        <f t="shared" si="16"/>
        <v>7.2000000000000028</v>
      </c>
      <c r="U175" s="100">
        <v>5.8</v>
      </c>
      <c r="V175" s="100">
        <f t="shared" si="15"/>
        <v>38.5075</v>
      </c>
      <c r="W175" s="101">
        <f t="shared" si="17"/>
        <v>24.416666666666668</v>
      </c>
      <c r="X175" s="102">
        <f t="shared" si="18"/>
        <v>10.000000000000028</v>
      </c>
      <c r="Y175" s="100">
        <f t="shared" si="19"/>
        <v>7.35</v>
      </c>
      <c r="Z175" s="100">
        <f t="shared" si="20"/>
        <v>5880</v>
      </c>
    </row>
    <row r="176" spans="1:26">
      <c r="A176" s="100" t="s">
        <v>34</v>
      </c>
      <c r="B176" s="108" t="str">
        <f>IFERROR(VLOOKUP(Tablo515[[#This Row],[ÜRÜN KODU]],YMKODLARI!$A$1:$K$363,2,0)," ")</f>
        <v>BİBERON KLASİK  UC 1 NO</v>
      </c>
      <c r="C176" s="99">
        <v>44105</v>
      </c>
      <c r="D176" s="100" t="s">
        <v>29</v>
      </c>
      <c r="E176" s="101">
        <v>0.33333333333333331</v>
      </c>
      <c r="F176" s="101">
        <v>0.75</v>
      </c>
      <c r="G176" s="100">
        <f>IFERROR(VLOOKUP(Tablo515[[#This Row],[ÜRÜN KODU]],YMKODLARI!$A$1:$K$363,3,0)," ")</f>
        <v>8</v>
      </c>
      <c r="H176" s="100">
        <f>IFERROR(VLOOKUP(Tablo515[[#This Row],[ÜRÜN KODU]],YMKODLARI!$A$1:$K$363,4,0)," ")</f>
        <v>36</v>
      </c>
      <c r="I176" s="100">
        <v>703</v>
      </c>
      <c r="J176" s="100" t="str">
        <f>IFERROR(VLOOKUP(Tablo515[[#This Row],[ÜRÜN KODU]],YMKODLARI!$A$1:$K$363,9,0)," ")</f>
        <v>Şeffaf</v>
      </c>
      <c r="K176" s="100" t="str">
        <f>IFERROR(VLOOKUP(Tablo515[[#This Row],[BOYA KODU]],Tablo14[#All],4,0)," ")</f>
        <v xml:space="preserve"> </v>
      </c>
      <c r="L176" s="100" t="str">
        <f>IFERROR(VLOOKUP(Tablo515[[#This Row],[BOYA KODU]],Tablo14[#All],6,0)," ")</f>
        <v xml:space="preserve"> </v>
      </c>
      <c r="M176" s="100" t="str">
        <f t="shared" si="14"/>
        <v xml:space="preserve"> </v>
      </c>
      <c r="N176" s="100" t="str">
        <f>IFERROR(VLOOKUP(Tablo515[[#This Row],[ÜRÜN KODU]],YMKODLARI!$A$1:$K$363,8,0)," ")</f>
        <v>HM 003</v>
      </c>
      <c r="O176" s="100" t="str">
        <f>IFERROR(VLOOKUP(Tablo515[[#This Row],[HAMMADDE KODU]],Tablo1[#All],3,0)," ")</f>
        <v>LSR 45</v>
      </c>
      <c r="P176" s="100" t="str">
        <f>IFERROR(VLOOKUP(Tablo515[[#This Row],[HAMMADDE KODU]],Tablo1[#All],4,0)," ")</f>
        <v>SETA</v>
      </c>
      <c r="Q176" s="100">
        <f>IFERROR(VLOOKUP(Tablo515[[#This Row],[ÜRÜN KODU]],YMKODLARI!$A$1:$K$363,5,0)," ")</f>
        <v>51.7</v>
      </c>
      <c r="R176" s="100">
        <f>IFERROR(VLOOKUP(Tablo515[[#This Row],[ÜRÜN KODU]],YMKODLARI!$A$1:$K$363,6,0)," ")</f>
        <v>44.5</v>
      </c>
      <c r="S176" s="100">
        <f>IFERROR(Tablo515[[#This Row],[YOLLUK HARİÇ BASKI GRAMI]]/Tablo515[[#This Row],[KALIP GÖZ ADEDİ]]," ")</f>
        <v>5.5625</v>
      </c>
      <c r="T176" s="100">
        <f t="shared" si="16"/>
        <v>7.2000000000000028</v>
      </c>
      <c r="U176" s="100">
        <v>5.4</v>
      </c>
      <c r="V176" s="100">
        <f t="shared" si="15"/>
        <v>36.683500000000002</v>
      </c>
      <c r="W176" s="101">
        <f t="shared" si="17"/>
        <v>24.416666666666668</v>
      </c>
      <c r="X176" s="102">
        <f t="shared" si="18"/>
        <v>10.000000000000028</v>
      </c>
      <c r="Y176" s="100">
        <f t="shared" si="19"/>
        <v>7.03</v>
      </c>
      <c r="Z176" s="100">
        <f t="shared" si="20"/>
        <v>5624</v>
      </c>
    </row>
    <row r="177" spans="1:26">
      <c r="A177" s="100" t="s">
        <v>34</v>
      </c>
      <c r="B177" s="108" t="str">
        <f>IFERROR(VLOOKUP(Tablo515[[#This Row],[ÜRÜN KODU]],YMKODLARI!$A$1:$K$363,2,0)," ")</f>
        <v>BİBERON KLASİK  UC 1 NO</v>
      </c>
      <c r="C177" s="99">
        <v>44106</v>
      </c>
      <c r="D177" s="100" t="s">
        <v>29</v>
      </c>
      <c r="E177" s="101">
        <v>0.33333333333333331</v>
      </c>
      <c r="F177" s="101">
        <v>0.75</v>
      </c>
      <c r="G177" s="100">
        <f>IFERROR(VLOOKUP(Tablo515[[#This Row],[ÜRÜN KODU]],YMKODLARI!$A$1:$K$363,3,0)," ")</f>
        <v>8</v>
      </c>
      <c r="H177" s="100">
        <f>IFERROR(VLOOKUP(Tablo515[[#This Row],[ÜRÜN KODU]],YMKODLARI!$A$1:$K$363,4,0)," ")</f>
        <v>36</v>
      </c>
      <c r="I177" s="100">
        <v>651</v>
      </c>
      <c r="J177" s="100" t="str">
        <f>IFERROR(VLOOKUP(Tablo515[[#This Row],[ÜRÜN KODU]],YMKODLARI!$A$1:$K$363,9,0)," ")</f>
        <v>Şeffaf</v>
      </c>
      <c r="K177" s="100" t="str">
        <f>IFERROR(VLOOKUP(Tablo515[[#This Row],[BOYA KODU]],Tablo14[#All],4,0)," ")</f>
        <v xml:space="preserve"> </v>
      </c>
      <c r="L177" s="100" t="str">
        <f>IFERROR(VLOOKUP(Tablo515[[#This Row],[BOYA KODU]],Tablo14[#All],6,0)," ")</f>
        <v xml:space="preserve"> </v>
      </c>
      <c r="M177" s="100" t="str">
        <f t="shared" si="14"/>
        <v xml:space="preserve"> </v>
      </c>
      <c r="N177" s="100" t="str">
        <f>IFERROR(VLOOKUP(Tablo515[[#This Row],[ÜRÜN KODU]],YMKODLARI!$A$1:$K$363,8,0)," ")</f>
        <v>HM 003</v>
      </c>
      <c r="O177" s="100" t="str">
        <f>IFERROR(VLOOKUP(Tablo515[[#This Row],[HAMMADDE KODU]],Tablo1[#All],3,0)," ")</f>
        <v>LSR 45</v>
      </c>
      <c r="P177" s="100" t="str">
        <f>IFERROR(VLOOKUP(Tablo515[[#This Row],[HAMMADDE KODU]],Tablo1[#All],4,0)," ")</f>
        <v>SETA</v>
      </c>
      <c r="Q177" s="100">
        <f>IFERROR(VLOOKUP(Tablo515[[#This Row],[ÜRÜN KODU]],YMKODLARI!$A$1:$K$363,5,0)," ")</f>
        <v>51.7</v>
      </c>
      <c r="R177" s="100">
        <f>IFERROR(VLOOKUP(Tablo515[[#This Row],[ÜRÜN KODU]],YMKODLARI!$A$1:$K$363,6,0)," ")</f>
        <v>44.5</v>
      </c>
      <c r="S177" s="100">
        <f>IFERROR(Tablo515[[#This Row],[YOLLUK HARİÇ BASKI GRAMI]]/Tablo515[[#This Row],[KALIP GÖZ ADEDİ]]," ")</f>
        <v>5.5625</v>
      </c>
      <c r="T177" s="100">
        <f t="shared" si="16"/>
        <v>7.2000000000000028</v>
      </c>
      <c r="U177" s="100">
        <v>5.5</v>
      </c>
      <c r="V177" s="100">
        <f t="shared" si="15"/>
        <v>34.469499999999996</v>
      </c>
      <c r="W177" s="101">
        <f t="shared" si="17"/>
        <v>24.416666666666668</v>
      </c>
      <c r="X177" s="102">
        <f t="shared" si="18"/>
        <v>10.000000000000028</v>
      </c>
      <c r="Y177" s="100">
        <f t="shared" si="19"/>
        <v>6.51</v>
      </c>
      <c r="Z177" s="100">
        <f t="shared" si="20"/>
        <v>5208</v>
      </c>
    </row>
    <row r="178" spans="1:26">
      <c r="A178" s="100" t="s">
        <v>34</v>
      </c>
      <c r="B178" s="108" t="str">
        <f>IFERROR(VLOOKUP(Tablo515[[#This Row],[ÜRÜN KODU]],YMKODLARI!$A$1:$K$363,2,0)," ")</f>
        <v>BİBERON KLASİK  UC 1 NO</v>
      </c>
      <c r="C178" s="99">
        <v>44109</v>
      </c>
      <c r="D178" s="100" t="s">
        <v>47</v>
      </c>
      <c r="E178" s="101">
        <v>0.33333333333333331</v>
      </c>
      <c r="F178" s="101">
        <v>0.75</v>
      </c>
      <c r="G178" s="100">
        <f>IFERROR(VLOOKUP(Tablo515[[#This Row],[ÜRÜN KODU]],YMKODLARI!$A$1:$K$363,3,0)," ")</f>
        <v>8</v>
      </c>
      <c r="H178" s="100">
        <f>IFERROR(VLOOKUP(Tablo515[[#This Row],[ÜRÜN KODU]],YMKODLARI!$A$1:$K$363,4,0)," ")</f>
        <v>36</v>
      </c>
      <c r="I178" s="100">
        <v>698</v>
      </c>
      <c r="J178" s="100" t="str">
        <f>IFERROR(VLOOKUP(Tablo515[[#This Row],[ÜRÜN KODU]],YMKODLARI!$A$1:$K$363,9,0)," ")</f>
        <v>Şeffaf</v>
      </c>
      <c r="K178" s="100" t="str">
        <f>IFERROR(VLOOKUP(Tablo515[[#This Row],[BOYA KODU]],Tablo14[#All],4,0)," ")</f>
        <v xml:space="preserve"> </v>
      </c>
      <c r="L178" s="100" t="str">
        <f>IFERROR(VLOOKUP(Tablo515[[#This Row],[BOYA KODU]],Tablo14[#All],6,0)," ")</f>
        <v xml:space="preserve"> </v>
      </c>
      <c r="M178" s="100" t="str">
        <f t="shared" si="14"/>
        <v xml:space="preserve"> </v>
      </c>
      <c r="N178" s="100" t="str">
        <f>IFERROR(VLOOKUP(Tablo515[[#This Row],[ÜRÜN KODU]],YMKODLARI!$A$1:$K$363,8,0)," ")</f>
        <v>HM 003</v>
      </c>
      <c r="O178" s="100" t="str">
        <f>IFERROR(VLOOKUP(Tablo515[[#This Row],[HAMMADDE KODU]],Tablo1[#All],3,0)," ")</f>
        <v>LSR 45</v>
      </c>
      <c r="P178" s="100" t="str">
        <f>IFERROR(VLOOKUP(Tablo515[[#This Row],[HAMMADDE KODU]],Tablo1[#All],4,0)," ")</f>
        <v>SETA</v>
      </c>
      <c r="Q178" s="100">
        <f>IFERROR(VLOOKUP(Tablo515[[#This Row],[ÜRÜN KODU]],YMKODLARI!$A$1:$K$363,5,0)," ")</f>
        <v>51.7</v>
      </c>
      <c r="R178" s="100">
        <f>IFERROR(VLOOKUP(Tablo515[[#This Row],[ÜRÜN KODU]],YMKODLARI!$A$1:$K$363,6,0)," ")</f>
        <v>44.5</v>
      </c>
      <c r="S178" s="100">
        <f>IFERROR(Tablo515[[#This Row],[YOLLUK HARİÇ BASKI GRAMI]]/Tablo515[[#This Row],[KALIP GÖZ ADEDİ]]," ")</f>
        <v>5.5625</v>
      </c>
      <c r="T178" s="100">
        <f t="shared" si="16"/>
        <v>7.2000000000000028</v>
      </c>
      <c r="U178" s="100">
        <v>5.8</v>
      </c>
      <c r="V178" s="100">
        <f t="shared" si="15"/>
        <v>36.860999999999997</v>
      </c>
      <c r="W178" s="101">
        <f t="shared" si="17"/>
        <v>24.416666666666668</v>
      </c>
      <c r="X178" s="102">
        <f t="shared" si="18"/>
        <v>10.000000000000028</v>
      </c>
      <c r="Y178" s="100">
        <f t="shared" si="19"/>
        <v>6.98</v>
      </c>
      <c r="Z178" s="100">
        <f t="shared" si="20"/>
        <v>5584</v>
      </c>
    </row>
    <row r="179" spans="1:26">
      <c r="A179" s="100" t="s">
        <v>34</v>
      </c>
      <c r="B179" s="108" t="str">
        <f>IFERROR(VLOOKUP(Tablo515[[#This Row],[ÜRÜN KODU]],YMKODLARI!$A$1:$K$363,2,0)," ")</f>
        <v>BİBERON KLASİK  UC 1 NO</v>
      </c>
      <c r="C179" s="99">
        <v>44110</v>
      </c>
      <c r="D179" s="100" t="s">
        <v>47</v>
      </c>
      <c r="E179" s="101">
        <v>0.33333333333333331</v>
      </c>
      <c r="F179" s="101">
        <v>0.75</v>
      </c>
      <c r="G179" s="100">
        <f>IFERROR(VLOOKUP(Tablo515[[#This Row],[ÜRÜN KODU]],YMKODLARI!$A$1:$K$363,3,0)," ")</f>
        <v>8</v>
      </c>
      <c r="H179" s="100">
        <f>IFERROR(VLOOKUP(Tablo515[[#This Row],[ÜRÜN KODU]],YMKODLARI!$A$1:$K$363,4,0)," ")</f>
        <v>36</v>
      </c>
      <c r="I179" s="100">
        <v>727</v>
      </c>
      <c r="J179" s="100" t="str">
        <f>IFERROR(VLOOKUP(Tablo515[[#This Row],[ÜRÜN KODU]],YMKODLARI!$A$1:$K$363,9,0)," ")</f>
        <v>Şeffaf</v>
      </c>
      <c r="K179" s="100" t="str">
        <f>IFERROR(VLOOKUP(Tablo515[[#This Row],[BOYA KODU]],Tablo14[#All],4,0)," ")</f>
        <v xml:space="preserve"> </v>
      </c>
      <c r="L179" s="100" t="str">
        <f>IFERROR(VLOOKUP(Tablo515[[#This Row],[BOYA KODU]],Tablo14[#All],6,0)," ")</f>
        <v xml:space="preserve"> </v>
      </c>
      <c r="M179" s="100" t="str">
        <f t="shared" si="14"/>
        <v xml:space="preserve"> </v>
      </c>
      <c r="N179" s="100" t="str">
        <f>IFERROR(VLOOKUP(Tablo515[[#This Row],[ÜRÜN KODU]],YMKODLARI!$A$1:$K$363,8,0)," ")</f>
        <v>HM 003</v>
      </c>
      <c r="O179" s="100" t="str">
        <f>IFERROR(VLOOKUP(Tablo515[[#This Row],[HAMMADDE KODU]],Tablo1[#All],3,0)," ")</f>
        <v>LSR 45</v>
      </c>
      <c r="P179" s="100" t="str">
        <f>IFERROR(VLOOKUP(Tablo515[[#This Row],[HAMMADDE KODU]],Tablo1[#All],4,0)," ")</f>
        <v>SETA</v>
      </c>
      <c r="Q179" s="100">
        <f>IFERROR(VLOOKUP(Tablo515[[#This Row],[ÜRÜN KODU]],YMKODLARI!$A$1:$K$363,5,0)," ")</f>
        <v>51.7</v>
      </c>
      <c r="R179" s="100">
        <f>IFERROR(VLOOKUP(Tablo515[[#This Row],[ÜRÜN KODU]],YMKODLARI!$A$1:$K$363,6,0)," ")</f>
        <v>44.5</v>
      </c>
      <c r="S179" s="100">
        <f>IFERROR(Tablo515[[#This Row],[YOLLUK HARİÇ BASKI GRAMI]]/Tablo515[[#This Row],[KALIP GÖZ ADEDİ]]," ")</f>
        <v>5.5625</v>
      </c>
      <c r="T179" s="100">
        <f t="shared" si="16"/>
        <v>7.2000000000000028</v>
      </c>
      <c r="U179" s="100">
        <v>3.8</v>
      </c>
      <c r="V179" s="100">
        <f t="shared" si="15"/>
        <v>36.151499999999999</v>
      </c>
      <c r="W179" s="101">
        <f t="shared" si="17"/>
        <v>24.416666666666668</v>
      </c>
      <c r="X179" s="102">
        <f t="shared" si="18"/>
        <v>10.000000000000028</v>
      </c>
      <c r="Y179" s="100">
        <f t="shared" si="19"/>
        <v>7.27</v>
      </c>
      <c r="Z179" s="100">
        <f t="shared" si="20"/>
        <v>5816</v>
      </c>
    </row>
    <row r="180" spans="1:26">
      <c r="A180" s="100" t="s">
        <v>34</v>
      </c>
      <c r="B180" s="108" t="str">
        <f>IFERROR(VLOOKUP(Tablo515[[#This Row],[ÜRÜN KODU]],YMKODLARI!$A$1:$K$363,2,0)," ")</f>
        <v>BİBERON KLASİK  UC 1 NO</v>
      </c>
      <c r="C180" s="99">
        <v>44111</v>
      </c>
      <c r="D180" s="100" t="s">
        <v>47</v>
      </c>
      <c r="E180" s="101">
        <v>0.33333333333333331</v>
      </c>
      <c r="F180" s="101">
        <v>0.75</v>
      </c>
      <c r="G180" s="100">
        <f>IFERROR(VLOOKUP(Tablo515[[#This Row],[ÜRÜN KODU]],YMKODLARI!$A$1:$K$363,3,0)," ")</f>
        <v>8</v>
      </c>
      <c r="H180" s="100">
        <f>IFERROR(VLOOKUP(Tablo515[[#This Row],[ÜRÜN KODU]],YMKODLARI!$A$1:$K$363,4,0)," ")</f>
        <v>36</v>
      </c>
      <c r="I180" s="100">
        <v>337</v>
      </c>
      <c r="J180" s="100" t="str">
        <f>IFERROR(VLOOKUP(Tablo515[[#This Row],[ÜRÜN KODU]],YMKODLARI!$A$1:$K$363,9,0)," ")</f>
        <v>Şeffaf</v>
      </c>
      <c r="K180" s="100" t="str">
        <f>IFERROR(VLOOKUP(Tablo515[[#This Row],[BOYA KODU]],Tablo14[#All],4,0)," ")</f>
        <v xml:space="preserve"> </v>
      </c>
      <c r="L180" s="100" t="str">
        <f>IFERROR(VLOOKUP(Tablo515[[#This Row],[BOYA KODU]],Tablo14[#All],6,0)," ")</f>
        <v xml:space="preserve"> </v>
      </c>
      <c r="M180" s="100" t="str">
        <f t="shared" si="14"/>
        <v xml:space="preserve"> </v>
      </c>
      <c r="N180" s="100" t="str">
        <f>IFERROR(VLOOKUP(Tablo515[[#This Row],[ÜRÜN KODU]],YMKODLARI!$A$1:$K$363,8,0)," ")</f>
        <v>HM 003</v>
      </c>
      <c r="O180" s="100" t="str">
        <f>IFERROR(VLOOKUP(Tablo515[[#This Row],[HAMMADDE KODU]],Tablo1[#All],3,0)," ")</f>
        <v>LSR 45</v>
      </c>
      <c r="P180" s="100" t="str">
        <f>IFERROR(VLOOKUP(Tablo515[[#This Row],[HAMMADDE KODU]],Tablo1[#All],4,0)," ")</f>
        <v>SETA</v>
      </c>
      <c r="Q180" s="100">
        <f>IFERROR(VLOOKUP(Tablo515[[#This Row],[ÜRÜN KODU]],YMKODLARI!$A$1:$K$363,5,0)," ")</f>
        <v>51.7</v>
      </c>
      <c r="R180" s="100">
        <f>IFERROR(VLOOKUP(Tablo515[[#This Row],[ÜRÜN KODU]],YMKODLARI!$A$1:$K$363,6,0)," ")</f>
        <v>44.5</v>
      </c>
      <c r="S180" s="100">
        <f>IFERROR(Tablo515[[#This Row],[YOLLUK HARİÇ BASKI GRAMI]]/Tablo515[[#This Row],[KALIP GÖZ ADEDİ]]," ")</f>
        <v>5.5625</v>
      </c>
      <c r="T180" s="100">
        <f t="shared" si="16"/>
        <v>7.2000000000000028</v>
      </c>
      <c r="U180" s="100">
        <v>4.5</v>
      </c>
      <c r="V180" s="100">
        <f t="shared" si="15"/>
        <v>19.496499999999997</v>
      </c>
      <c r="W180" s="101">
        <f t="shared" si="17"/>
        <v>24.416666666666668</v>
      </c>
      <c r="X180" s="102">
        <f t="shared" si="18"/>
        <v>10.000000000000028</v>
      </c>
      <c r="Y180" s="100">
        <f t="shared" si="19"/>
        <v>3.37</v>
      </c>
      <c r="Z180" s="100">
        <f t="shared" si="20"/>
        <v>2696</v>
      </c>
    </row>
    <row r="181" spans="1:26">
      <c r="A181" s="100" t="s">
        <v>34</v>
      </c>
      <c r="B181" s="108" t="str">
        <f>IFERROR(VLOOKUP(Tablo515[[#This Row],[ÜRÜN KODU]],YMKODLARI!$A$1:$K$363,2,0)," ")</f>
        <v>BİBERON KLASİK  UC 1 NO</v>
      </c>
      <c r="C181" s="99">
        <v>44112</v>
      </c>
      <c r="D181" s="100" t="s">
        <v>47</v>
      </c>
      <c r="E181" s="101">
        <v>0.33333333333333331</v>
      </c>
      <c r="F181" s="101">
        <v>0.75</v>
      </c>
      <c r="G181" s="100">
        <f>IFERROR(VLOOKUP(Tablo515[[#This Row],[ÜRÜN KODU]],YMKODLARI!$A$1:$K$363,3,0)," ")</f>
        <v>8</v>
      </c>
      <c r="H181" s="100">
        <f>IFERROR(VLOOKUP(Tablo515[[#This Row],[ÜRÜN KODU]],YMKODLARI!$A$1:$K$363,4,0)," ")</f>
        <v>36</v>
      </c>
      <c r="I181" s="100">
        <v>671</v>
      </c>
      <c r="J181" s="100" t="str">
        <f>IFERROR(VLOOKUP(Tablo515[[#This Row],[ÜRÜN KODU]],YMKODLARI!$A$1:$K$363,9,0)," ")</f>
        <v>Şeffaf</v>
      </c>
      <c r="K181" s="100" t="str">
        <f>IFERROR(VLOOKUP(Tablo515[[#This Row],[BOYA KODU]],Tablo14[#All],4,0)," ")</f>
        <v xml:space="preserve"> </v>
      </c>
      <c r="L181" s="100" t="str">
        <f>IFERROR(VLOOKUP(Tablo515[[#This Row],[BOYA KODU]],Tablo14[#All],6,0)," ")</f>
        <v xml:space="preserve"> </v>
      </c>
      <c r="M181" s="100" t="str">
        <f t="shared" si="14"/>
        <v xml:space="preserve"> </v>
      </c>
      <c r="N181" s="100" t="str">
        <f>IFERROR(VLOOKUP(Tablo515[[#This Row],[ÜRÜN KODU]],YMKODLARI!$A$1:$K$363,8,0)," ")</f>
        <v>HM 003</v>
      </c>
      <c r="O181" s="100" t="str">
        <f>IFERROR(VLOOKUP(Tablo515[[#This Row],[HAMMADDE KODU]],Tablo1[#All],3,0)," ")</f>
        <v>LSR 45</v>
      </c>
      <c r="P181" s="100" t="str">
        <f>IFERROR(VLOOKUP(Tablo515[[#This Row],[HAMMADDE KODU]],Tablo1[#All],4,0)," ")</f>
        <v>SETA</v>
      </c>
      <c r="Q181" s="100">
        <f>IFERROR(VLOOKUP(Tablo515[[#This Row],[ÜRÜN KODU]],YMKODLARI!$A$1:$K$363,5,0)," ")</f>
        <v>51.7</v>
      </c>
      <c r="R181" s="100">
        <f>IFERROR(VLOOKUP(Tablo515[[#This Row],[ÜRÜN KODU]],YMKODLARI!$A$1:$K$363,6,0)," ")</f>
        <v>44.5</v>
      </c>
      <c r="S181" s="100">
        <f>IFERROR(Tablo515[[#This Row],[YOLLUK HARİÇ BASKI GRAMI]]/Tablo515[[#This Row],[KALIP GÖZ ADEDİ]]," ")</f>
        <v>5.5625</v>
      </c>
      <c r="T181" s="100">
        <f t="shared" si="16"/>
        <v>7.2000000000000028</v>
      </c>
      <c r="U181" s="100">
        <v>3.5</v>
      </c>
      <c r="V181" s="100">
        <f t="shared" si="15"/>
        <v>33.359499999999997</v>
      </c>
      <c r="W181" s="101">
        <f t="shared" si="17"/>
        <v>24.416666666666668</v>
      </c>
      <c r="X181" s="102">
        <f t="shared" si="18"/>
        <v>10.000000000000028</v>
      </c>
      <c r="Y181" s="100">
        <f t="shared" si="19"/>
        <v>6.71</v>
      </c>
      <c r="Z181" s="100">
        <f t="shared" si="20"/>
        <v>5368</v>
      </c>
    </row>
    <row r="182" spans="1:26">
      <c r="A182" s="100" t="s">
        <v>34</v>
      </c>
      <c r="B182" s="108" t="str">
        <f>IFERROR(VLOOKUP(Tablo515[[#This Row],[ÜRÜN KODU]],YMKODLARI!$A$1:$K$363,2,0)," ")</f>
        <v>BİBERON KLASİK  UC 1 NO</v>
      </c>
      <c r="C182" s="99">
        <v>44113</v>
      </c>
      <c r="D182" s="100" t="s">
        <v>47</v>
      </c>
      <c r="E182" s="101">
        <v>0.33333333333333331</v>
      </c>
      <c r="F182" s="101">
        <v>0.75</v>
      </c>
      <c r="G182" s="100">
        <f>IFERROR(VLOOKUP(Tablo515[[#This Row],[ÜRÜN KODU]],YMKODLARI!$A$1:$K$363,3,0)," ")</f>
        <v>8</v>
      </c>
      <c r="H182" s="100">
        <f>IFERROR(VLOOKUP(Tablo515[[#This Row],[ÜRÜN KODU]],YMKODLARI!$A$1:$K$363,4,0)," ")</f>
        <v>36</v>
      </c>
      <c r="I182" s="100">
        <v>447</v>
      </c>
      <c r="J182" s="100" t="str">
        <f>IFERROR(VLOOKUP(Tablo515[[#This Row],[ÜRÜN KODU]],YMKODLARI!$A$1:$K$363,9,0)," ")</f>
        <v>Şeffaf</v>
      </c>
      <c r="K182" s="100" t="str">
        <f>IFERROR(VLOOKUP(Tablo515[[#This Row],[BOYA KODU]],Tablo14[#All],4,0)," ")</f>
        <v xml:space="preserve"> </v>
      </c>
      <c r="L182" s="100" t="str">
        <f>IFERROR(VLOOKUP(Tablo515[[#This Row],[BOYA KODU]],Tablo14[#All],6,0)," ")</f>
        <v xml:space="preserve"> </v>
      </c>
      <c r="M182" s="100" t="str">
        <f t="shared" si="14"/>
        <v xml:space="preserve"> </v>
      </c>
      <c r="N182" s="100" t="str">
        <f>IFERROR(VLOOKUP(Tablo515[[#This Row],[ÜRÜN KODU]],YMKODLARI!$A$1:$K$363,8,0)," ")</f>
        <v>HM 003</v>
      </c>
      <c r="O182" s="100" t="str">
        <f>IFERROR(VLOOKUP(Tablo515[[#This Row],[HAMMADDE KODU]],Tablo1[#All],3,0)," ")</f>
        <v>LSR 45</v>
      </c>
      <c r="P182" s="100" t="str">
        <f>IFERROR(VLOOKUP(Tablo515[[#This Row],[HAMMADDE KODU]],Tablo1[#All],4,0)," ")</f>
        <v>SETA</v>
      </c>
      <c r="Q182" s="100">
        <f>IFERROR(VLOOKUP(Tablo515[[#This Row],[ÜRÜN KODU]],YMKODLARI!$A$1:$K$363,5,0)," ")</f>
        <v>51.7</v>
      </c>
      <c r="R182" s="100">
        <f>IFERROR(VLOOKUP(Tablo515[[#This Row],[ÜRÜN KODU]],YMKODLARI!$A$1:$K$363,6,0)," ")</f>
        <v>44.5</v>
      </c>
      <c r="S182" s="100">
        <f>IFERROR(Tablo515[[#This Row],[YOLLUK HARİÇ BASKI GRAMI]]/Tablo515[[#This Row],[KALIP GÖZ ADEDİ]]," ")</f>
        <v>5.5625</v>
      </c>
      <c r="T182" s="100">
        <f t="shared" si="16"/>
        <v>7.2000000000000028</v>
      </c>
      <c r="U182" s="100">
        <v>4.7</v>
      </c>
      <c r="V182" s="100">
        <f t="shared" si="15"/>
        <v>24.5915</v>
      </c>
      <c r="W182" s="101">
        <f t="shared" si="17"/>
        <v>24.416666666666668</v>
      </c>
      <c r="X182" s="102">
        <f t="shared" si="18"/>
        <v>10.000000000000028</v>
      </c>
      <c r="Y182" s="100">
        <f t="shared" si="19"/>
        <v>4.47</v>
      </c>
      <c r="Z182" s="100">
        <f t="shared" si="20"/>
        <v>3576</v>
      </c>
    </row>
    <row r="183" spans="1:26">
      <c r="A183" s="100" t="s">
        <v>34</v>
      </c>
      <c r="B183" s="108" t="str">
        <f>IFERROR(VLOOKUP(Tablo515[[#This Row],[ÜRÜN KODU]],YMKODLARI!$A$1:$K$363,2,0)," ")</f>
        <v>BİBERON KLASİK  UC 1 NO</v>
      </c>
      <c r="C183" s="99">
        <v>44116</v>
      </c>
      <c r="D183" s="100" t="s">
        <v>47</v>
      </c>
      <c r="E183" s="101">
        <v>0.36805555555555558</v>
      </c>
      <c r="F183" s="101">
        <v>0.75</v>
      </c>
      <c r="G183" s="100">
        <f>IFERROR(VLOOKUP(Tablo515[[#This Row],[ÜRÜN KODU]],YMKODLARI!$A$1:$K$363,3,0)," ")</f>
        <v>8</v>
      </c>
      <c r="H183" s="100">
        <f>IFERROR(VLOOKUP(Tablo515[[#This Row],[ÜRÜN KODU]],YMKODLARI!$A$1:$K$363,4,0)," ")</f>
        <v>36</v>
      </c>
      <c r="I183" s="100">
        <v>654</v>
      </c>
      <c r="J183" s="100" t="str">
        <f>IFERROR(VLOOKUP(Tablo515[[#This Row],[ÜRÜN KODU]],YMKODLARI!$A$1:$K$363,9,0)," ")</f>
        <v>Şeffaf</v>
      </c>
      <c r="K183" s="100" t="str">
        <f>IFERROR(VLOOKUP(Tablo515[[#This Row],[BOYA KODU]],Tablo14[#All],4,0)," ")</f>
        <v xml:space="preserve"> </v>
      </c>
      <c r="L183" s="100" t="str">
        <f>IFERROR(VLOOKUP(Tablo515[[#This Row],[BOYA KODU]],Tablo14[#All],6,0)," ")</f>
        <v xml:space="preserve"> </v>
      </c>
      <c r="M183" s="100" t="str">
        <f t="shared" si="14"/>
        <v xml:space="preserve"> </v>
      </c>
      <c r="N183" s="100" t="str">
        <f>IFERROR(VLOOKUP(Tablo515[[#This Row],[ÜRÜN KODU]],YMKODLARI!$A$1:$K$363,8,0)," ")</f>
        <v>HM 003</v>
      </c>
      <c r="O183" s="100" t="str">
        <f>IFERROR(VLOOKUP(Tablo515[[#This Row],[HAMMADDE KODU]],Tablo1[#All],3,0)," ")</f>
        <v>LSR 45</v>
      </c>
      <c r="P183" s="100" t="str">
        <f>IFERROR(VLOOKUP(Tablo515[[#This Row],[HAMMADDE KODU]],Tablo1[#All],4,0)," ")</f>
        <v>SETA</v>
      </c>
      <c r="Q183" s="100">
        <f>IFERROR(VLOOKUP(Tablo515[[#This Row],[ÜRÜN KODU]],YMKODLARI!$A$1:$K$363,5,0)," ")</f>
        <v>51.7</v>
      </c>
      <c r="R183" s="100">
        <f>IFERROR(VLOOKUP(Tablo515[[#This Row],[ÜRÜN KODU]],YMKODLARI!$A$1:$K$363,6,0)," ")</f>
        <v>44.5</v>
      </c>
      <c r="S183" s="100">
        <f>IFERROR(Tablo515[[#This Row],[YOLLUK HARİÇ BASKI GRAMI]]/Tablo515[[#This Row],[KALIP GÖZ ADEDİ]]," ")</f>
        <v>5.5625</v>
      </c>
      <c r="T183" s="100">
        <f t="shared" si="16"/>
        <v>7.2000000000000028</v>
      </c>
      <c r="U183" s="100">
        <v>5.4</v>
      </c>
      <c r="V183" s="100">
        <f t="shared" si="15"/>
        <v>34.503</v>
      </c>
      <c r="W183" s="101">
        <f t="shared" si="17"/>
        <v>24.381944444444443</v>
      </c>
      <c r="X183" s="102">
        <f t="shared" si="18"/>
        <v>9.1666666666666288</v>
      </c>
      <c r="Y183" s="100">
        <f t="shared" si="19"/>
        <v>6.54</v>
      </c>
      <c r="Z183" s="100">
        <f t="shared" si="20"/>
        <v>5232</v>
      </c>
    </row>
    <row r="184" spans="1:26">
      <c r="A184" s="100" t="s">
        <v>34</v>
      </c>
      <c r="B184" s="108" t="str">
        <f>IFERROR(VLOOKUP(Tablo515[[#This Row],[ÜRÜN KODU]],YMKODLARI!$A$1:$K$363,2,0)," ")</f>
        <v>BİBERON KLASİK  UC 1 NO</v>
      </c>
      <c r="C184" s="99">
        <v>44117</v>
      </c>
      <c r="D184" s="100" t="s">
        <v>47</v>
      </c>
      <c r="E184" s="101">
        <v>0.33333333333333331</v>
      </c>
      <c r="F184" s="101">
        <v>0.75</v>
      </c>
      <c r="G184" s="100">
        <f>IFERROR(VLOOKUP(Tablo515[[#This Row],[ÜRÜN KODU]],YMKODLARI!$A$1:$K$363,3,0)," ")</f>
        <v>8</v>
      </c>
      <c r="H184" s="100">
        <f>IFERROR(VLOOKUP(Tablo515[[#This Row],[ÜRÜN KODU]],YMKODLARI!$A$1:$K$363,4,0)," ")</f>
        <v>36</v>
      </c>
      <c r="I184" s="100">
        <v>417</v>
      </c>
      <c r="J184" s="100" t="str">
        <f>IFERROR(VLOOKUP(Tablo515[[#This Row],[ÜRÜN KODU]],YMKODLARI!$A$1:$K$363,9,0)," ")</f>
        <v>Şeffaf</v>
      </c>
      <c r="K184" s="100" t="str">
        <f>IFERROR(VLOOKUP(Tablo515[[#This Row],[BOYA KODU]],Tablo14[#All],4,0)," ")</f>
        <v xml:space="preserve"> </v>
      </c>
      <c r="L184" s="100" t="str">
        <f>IFERROR(VLOOKUP(Tablo515[[#This Row],[BOYA KODU]],Tablo14[#All],6,0)," ")</f>
        <v xml:space="preserve"> </v>
      </c>
      <c r="M184" s="100" t="str">
        <f t="shared" si="14"/>
        <v xml:space="preserve"> </v>
      </c>
      <c r="N184" s="100" t="str">
        <f>IFERROR(VLOOKUP(Tablo515[[#This Row],[ÜRÜN KODU]],YMKODLARI!$A$1:$K$363,8,0)," ")</f>
        <v>HM 003</v>
      </c>
      <c r="O184" s="100" t="str">
        <f>IFERROR(VLOOKUP(Tablo515[[#This Row],[HAMMADDE KODU]],Tablo1[#All],3,0)," ")</f>
        <v>LSR 45</v>
      </c>
      <c r="P184" s="100" t="str">
        <f>IFERROR(VLOOKUP(Tablo515[[#This Row],[HAMMADDE KODU]],Tablo1[#All],4,0)," ")</f>
        <v>SETA</v>
      </c>
      <c r="Q184" s="100">
        <f>IFERROR(VLOOKUP(Tablo515[[#This Row],[ÜRÜN KODU]],YMKODLARI!$A$1:$K$363,5,0)," ")</f>
        <v>51.7</v>
      </c>
      <c r="R184" s="100">
        <f>IFERROR(VLOOKUP(Tablo515[[#This Row],[ÜRÜN KODU]],YMKODLARI!$A$1:$K$363,6,0)," ")</f>
        <v>44.5</v>
      </c>
      <c r="S184" s="100">
        <f>IFERROR(Tablo515[[#This Row],[YOLLUK HARİÇ BASKI GRAMI]]/Tablo515[[#This Row],[KALIP GÖZ ADEDİ]]," ")</f>
        <v>5.5625</v>
      </c>
      <c r="T184" s="100">
        <f t="shared" si="16"/>
        <v>7.2000000000000028</v>
      </c>
      <c r="U184" s="100">
        <v>6.6</v>
      </c>
      <c r="V184" s="100">
        <f t="shared" si="15"/>
        <v>25.156500000000001</v>
      </c>
      <c r="W184" s="101">
        <f t="shared" si="17"/>
        <v>24.416666666666668</v>
      </c>
      <c r="X184" s="102">
        <f t="shared" si="18"/>
        <v>10.000000000000028</v>
      </c>
      <c r="Y184" s="100">
        <f t="shared" si="19"/>
        <v>4.17</v>
      </c>
      <c r="Z184" s="100">
        <f t="shared" si="20"/>
        <v>3336</v>
      </c>
    </row>
    <row r="185" spans="1:26">
      <c r="A185" s="100" t="s">
        <v>34</v>
      </c>
      <c r="B185" s="108" t="str">
        <f>IFERROR(VLOOKUP(Tablo515[[#This Row],[ÜRÜN KODU]],YMKODLARI!$A$1:$K$363,2,0)," ")</f>
        <v>BİBERON KLASİK  UC 1 NO</v>
      </c>
      <c r="C185" s="99">
        <v>44118</v>
      </c>
      <c r="D185" s="100" t="s">
        <v>29</v>
      </c>
      <c r="E185" s="101">
        <v>0.33333333333333331</v>
      </c>
      <c r="F185" s="101">
        <v>0.75</v>
      </c>
      <c r="G185" s="100">
        <f>IFERROR(VLOOKUP(Tablo515[[#This Row],[ÜRÜN KODU]],YMKODLARI!$A$1:$K$363,3,0)," ")</f>
        <v>8</v>
      </c>
      <c r="H185" s="100">
        <f>IFERROR(VLOOKUP(Tablo515[[#This Row],[ÜRÜN KODU]],YMKODLARI!$A$1:$K$363,4,0)," ")</f>
        <v>36</v>
      </c>
      <c r="I185" s="100">
        <v>771</v>
      </c>
      <c r="J185" s="100" t="str">
        <f>IFERROR(VLOOKUP(Tablo515[[#This Row],[ÜRÜN KODU]],YMKODLARI!$A$1:$K$363,9,0)," ")</f>
        <v>Şeffaf</v>
      </c>
      <c r="K185" s="100" t="str">
        <f>IFERROR(VLOOKUP(Tablo515[[#This Row],[BOYA KODU]],Tablo14[#All],4,0)," ")</f>
        <v xml:space="preserve"> </v>
      </c>
      <c r="L185" s="100" t="str">
        <f>IFERROR(VLOOKUP(Tablo515[[#This Row],[BOYA KODU]],Tablo14[#All],6,0)," ")</f>
        <v xml:space="preserve"> </v>
      </c>
      <c r="M185" s="100" t="str">
        <f t="shared" si="14"/>
        <v xml:space="preserve"> </v>
      </c>
      <c r="N185" s="100" t="str">
        <f>IFERROR(VLOOKUP(Tablo515[[#This Row],[ÜRÜN KODU]],YMKODLARI!$A$1:$K$363,8,0)," ")</f>
        <v>HM 003</v>
      </c>
      <c r="O185" s="100" t="str">
        <f>IFERROR(VLOOKUP(Tablo515[[#This Row],[HAMMADDE KODU]],Tablo1[#All],3,0)," ")</f>
        <v>LSR 45</v>
      </c>
      <c r="P185" s="100" t="str">
        <f>IFERROR(VLOOKUP(Tablo515[[#This Row],[HAMMADDE KODU]],Tablo1[#All],4,0)," ")</f>
        <v>SETA</v>
      </c>
      <c r="Q185" s="100">
        <f>IFERROR(VLOOKUP(Tablo515[[#This Row],[ÜRÜN KODU]],YMKODLARI!$A$1:$K$363,5,0)," ")</f>
        <v>51.7</v>
      </c>
      <c r="R185" s="100">
        <f>IFERROR(VLOOKUP(Tablo515[[#This Row],[ÜRÜN KODU]],YMKODLARI!$A$1:$K$363,6,0)," ")</f>
        <v>44.5</v>
      </c>
      <c r="S185" s="100">
        <f>IFERROR(Tablo515[[#This Row],[YOLLUK HARİÇ BASKI GRAMI]]/Tablo515[[#This Row],[KALIP GÖZ ADEDİ]]," ")</f>
        <v>5.5625</v>
      </c>
      <c r="T185" s="100">
        <f t="shared" si="16"/>
        <v>7.2000000000000028</v>
      </c>
      <c r="U185" s="100">
        <v>5.6</v>
      </c>
      <c r="V185" s="100">
        <f t="shared" si="15"/>
        <v>39.909500000000001</v>
      </c>
      <c r="W185" s="101">
        <f t="shared" si="17"/>
        <v>24.416666666666668</v>
      </c>
      <c r="X185" s="102">
        <f t="shared" si="18"/>
        <v>10.000000000000028</v>
      </c>
      <c r="Y185" s="100">
        <f t="shared" si="19"/>
        <v>7.71</v>
      </c>
      <c r="Z185" s="100">
        <f t="shared" si="20"/>
        <v>6168</v>
      </c>
    </row>
    <row r="186" spans="1:26">
      <c r="A186" s="100" t="s">
        <v>34</v>
      </c>
      <c r="B186" s="108" t="str">
        <f>IFERROR(VLOOKUP(Tablo515[[#This Row],[ÜRÜN KODU]],YMKODLARI!$A$1:$K$363,2,0)," ")</f>
        <v>BİBERON KLASİK  UC 1 NO</v>
      </c>
      <c r="C186" s="99">
        <v>44119</v>
      </c>
      <c r="D186" s="100" t="s">
        <v>29</v>
      </c>
      <c r="E186" s="101">
        <v>0.33333333333333331</v>
      </c>
      <c r="F186" s="101">
        <v>0.75</v>
      </c>
      <c r="G186" s="100">
        <f>IFERROR(VLOOKUP(Tablo515[[#This Row],[ÜRÜN KODU]],YMKODLARI!$A$1:$K$363,3,0)," ")</f>
        <v>8</v>
      </c>
      <c r="H186" s="100">
        <f>IFERROR(VLOOKUP(Tablo515[[#This Row],[ÜRÜN KODU]],YMKODLARI!$A$1:$K$363,4,0)," ")</f>
        <v>36</v>
      </c>
      <c r="I186" s="100">
        <v>762</v>
      </c>
      <c r="J186" s="100" t="str">
        <f>IFERROR(VLOOKUP(Tablo515[[#This Row],[ÜRÜN KODU]],YMKODLARI!$A$1:$K$363,9,0)," ")</f>
        <v>Şeffaf</v>
      </c>
      <c r="K186" s="100" t="str">
        <f>IFERROR(VLOOKUP(Tablo515[[#This Row],[BOYA KODU]],Tablo14[#All],4,0)," ")</f>
        <v xml:space="preserve"> </v>
      </c>
      <c r="L186" s="100" t="str">
        <f>IFERROR(VLOOKUP(Tablo515[[#This Row],[BOYA KODU]],Tablo14[#All],6,0)," ")</f>
        <v xml:space="preserve"> </v>
      </c>
      <c r="M186" s="100" t="str">
        <f t="shared" si="14"/>
        <v xml:space="preserve"> </v>
      </c>
      <c r="N186" s="100" t="str">
        <f>IFERROR(VLOOKUP(Tablo515[[#This Row],[ÜRÜN KODU]],YMKODLARI!$A$1:$K$363,8,0)," ")</f>
        <v>HM 003</v>
      </c>
      <c r="O186" s="100" t="str">
        <f>IFERROR(VLOOKUP(Tablo515[[#This Row],[HAMMADDE KODU]],Tablo1[#All],3,0)," ")</f>
        <v>LSR 45</v>
      </c>
      <c r="P186" s="100" t="str">
        <f>IFERROR(VLOOKUP(Tablo515[[#This Row],[HAMMADDE KODU]],Tablo1[#All],4,0)," ")</f>
        <v>SETA</v>
      </c>
      <c r="Q186" s="100">
        <f>IFERROR(VLOOKUP(Tablo515[[#This Row],[ÜRÜN KODU]],YMKODLARI!$A$1:$K$363,5,0)," ")</f>
        <v>51.7</v>
      </c>
      <c r="R186" s="100">
        <f>IFERROR(VLOOKUP(Tablo515[[#This Row],[ÜRÜN KODU]],YMKODLARI!$A$1:$K$363,6,0)," ")</f>
        <v>44.5</v>
      </c>
      <c r="S186" s="100">
        <f>IFERROR(Tablo515[[#This Row],[YOLLUK HARİÇ BASKI GRAMI]]/Tablo515[[#This Row],[KALIP GÖZ ADEDİ]]," ")</f>
        <v>5.5625</v>
      </c>
      <c r="T186" s="100">
        <f t="shared" si="16"/>
        <v>7.2000000000000028</v>
      </c>
      <c r="U186" s="100">
        <v>5.6</v>
      </c>
      <c r="V186" s="100">
        <f t="shared" si="15"/>
        <v>39.509</v>
      </c>
      <c r="W186" s="101">
        <f t="shared" si="17"/>
        <v>24.416666666666668</v>
      </c>
      <c r="X186" s="102">
        <f t="shared" si="18"/>
        <v>10.000000000000028</v>
      </c>
      <c r="Y186" s="100">
        <f t="shared" si="19"/>
        <v>7.62</v>
      </c>
      <c r="Z186" s="100">
        <f t="shared" si="20"/>
        <v>6096</v>
      </c>
    </row>
    <row r="187" spans="1:26">
      <c r="A187" s="100" t="s">
        <v>34</v>
      </c>
      <c r="B187" s="108" t="str">
        <f>IFERROR(VLOOKUP(Tablo515[[#This Row],[ÜRÜN KODU]],YMKODLARI!$A$1:$K$363,2,0)," ")</f>
        <v>BİBERON KLASİK  UC 1 NO</v>
      </c>
      <c r="C187" s="99">
        <v>44120</v>
      </c>
      <c r="D187" s="100" t="s">
        <v>29</v>
      </c>
      <c r="E187" s="101">
        <v>0.33333333333333331</v>
      </c>
      <c r="F187" s="101">
        <v>0.75</v>
      </c>
      <c r="G187" s="100">
        <f>IFERROR(VLOOKUP(Tablo515[[#This Row],[ÜRÜN KODU]],YMKODLARI!$A$1:$K$363,3,0)," ")</f>
        <v>8</v>
      </c>
      <c r="H187" s="100">
        <f>IFERROR(VLOOKUP(Tablo515[[#This Row],[ÜRÜN KODU]],YMKODLARI!$A$1:$K$363,4,0)," ")</f>
        <v>36</v>
      </c>
      <c r="I187" s="100">
        <v>704</v>
      </c>
      <c r="J187" s="100" t="str">
        <f>IFERROR(VLOOKUP(Tablo515[[#This Row],[ÜRÜN KODU]],YMKODLARI!$A$1:$K$363,9,0)," ")</f>
        <v>Şeffaf</v>
      </c>
      <c r="K187" s="100" t="str">
        <f>IFERROR(VLOOKUP(Tablo515[[#This Row],[BOYA KODU]],Tablo14[#All],4,0)," ")</f>
        <v xml:space="preserve"> </v>
      </c>
      <c r="L187" s="100" t="str">
        <f>IFERROR(VLOOKUP(Tablo515[[#This Row],[BOYA KODU]],Tablo14[#All],6,0)," ")</f>
        <v xml:space="preserve"> </v>
      </c>
      <c r="M187" s="100" t="str">
        <f t="shared" si="14"/>
        <v xml:space="preserve"> </v>
      </c>
      <c r="N187" s="100" t="str">
        <f>IFERROR(VLOOKUP(Tablo515[[#This Row],[ÜRÜN KODU]],YMKODLARI!$A$1:$K$363,8,0)," ")</f>
        <v>HM 003</v>
      </c>
      <c r="O187" s="100" t="str">
        <f>IFERROR(VLOOKUP(Tablo515[[#This Row],[HAMMADDE KODU]],Tablo1[#All],3,0)," ")</f>
        <v>LSR 45</v>
      </c>
      <c r="P187" s="100" t="str">
        <f>IFERROR(VLOOKUP(Tablo515[[#This Row],[HAMMADDE KODU]],Tablo1[#All],4,0)," ")</f>
        <v>SETA</v>
      </c>
      <c r="Q187" s="100">
        <f>IFERROR(VLOOKUP(Tablo515[[#This Row],[ÜRÜN KODU]],YMKODLARI!$A$1:$K$363,5,0)," ")</f>
        <v>51.7</v>
      </c>
      <c r="R187" s="100">
        <f>IFERROR(VLOOKUP(Tablo515[[#This Row],[ÜRÜN KODU]],YMKODLARI!$A$1:$K$363,6,0)," ")</f>
        <v>44.5</v>
      </c>
      <c r="S187" s="100">
        <f>IFERROR(Tablo515[[#This Row],[YOLLUK HARİÇ BASKI GRAMI]]/Tablo515[[#This Row],[KALIP GÖZ ADEDİ]]," ")</f>
        <v>5.5625</v>
      </c>
      <c r="T187" s="100">
        <f t="shared" si="16"/>
        <v>7.2000000000000028</v>
      </c>
      <c r="U187" s="100">
        <v>8</v>
      </c>
      <c r="V187" s="100">
        <f t="shared" si="15"/>
        <v>39.328000000000003</v>
      </c>
      <c r="W187" s="101">
        <f t="shared" si="17"/>
        <v>24.416666666666668</v>
      </c>
      <c r="X187" s="102">
        <f t="shared" si="18"/>
        <v>10.000000000000028</v>
      </c>
      <c r="Y187" s="100">
        <f t="shared" si="19"/>
        <v>7.04</v>
      </c>
      <c r="Z187" s="100">
        <f t="shared" si="20"/>
        <v>5632</v>
      </c>
    </row>
    <row r="188" spans="1:26">
      <c r="A188" s="100" t="s">
        <v>34</v>
      </c>
      <c r="B188" s="108" t="str">
        <f>IFERROR(VLOOKUP(Tablo515[[#This Row],[ÜRÜN KODU]],YMKODLARI!$A$1:$K$363,2,0)," ")</f>
        <v>BİBERON KLASİK  UC 1 NO</v>
      </c>
      <c r="C188" s="99">
        <v>44123</v>
      </c>
      <c r="D188" s="100" t="s">
        <v>29</v>
      </c>
      <c r="E188" s="101">
        <v>0.33333333333333331</v>
      </c>
      <c r="F188" s="101">
        <v>0.83333333333333337</v>
      </c>
      <c r="G188" s="100">
        <f>IFERROR(VLOOKUP(Tablo515[[#This Row],[ÜRÜN KODU]],YMKODLARI!$A$1:$K$363,3,0)," ")</f>
        <v>8</v>
      </c>
      <c r="H188" s="100">
        <f>IFERROR(VLOOKUP(Tablo515[[#This Row],[ÜRÜN KODU]],YMKODLARI!$A$1:$K$363,4,0)," ")</f>
        <v>36</v>
      </c>
      <c r="I188" s="100">
        <v>791</v>
      </c>
      <c r="J188" s="100" t="str">
        <f>IFERROR(VLOOKUP(Tablo515[[#This Row],[ÜRÜN KODU]],YMKODLARI!$A$1:$K$363,9,0)," ")</f>
        <v>Şeffaf</v>
      </c>
      <c r="K188" s="100" t="str">
        <f>IFERROR(VLOOKUP(Tablo515[[#This Row],[BOYA KODU]],Tablo14[#All],4,0)," ")</f>
        <v xml:space="preserve"> </v>
      </c>
      <c r="L188" s="100" t="str">
        <f>IFERROR(VLOOKUP(Tablo515[[#This Row],[BOYA KODU]],Tablo14[#All],6,0)," ")</f>
        <v xml:space="preserve"> </v>
      </c>
      <c r="M188" s="100" t="str">
        <f t="shared" si="14"/>
        <v xml:space="preserve"> </v>
      </c>
      <c r="N188" s="100" t="str">
        <f>IFERROR(VLOOKUP(Tablo515[[#This Row],[ÜRÜN KODU]],YMKODLARI!$A$1:$K$363,8,0)," ")</f>
        <v>HM 003</v>
      </c>
      <c r="O188" s="100" t="str">
        <f>IFERROR(VLOOKUP(Tablo515[[#This Row],[HAMMADDE KODU]],Tablo1[#All],3,0)," ")</f>
        <v>LSR 45</v>
      </c>
      <c r="P188" s="100" t="str">
        <f>IFERROR(VLOOKUP(Tablo515[[#This Row],[HAMMADDE KODU]],Tablo1[#All],4,0)," ")</f>
        <v>SETA</v>
      </c>
      <c r="Q188" s="100">
        <f>IFERROR(VLOOKUP(Tablo515[[#This Row],[ÜRÜN KODU]],YMKODLARI!$A$1:$K$363,5,0)," ")</f>
        <v>51.7</v>
      </c>
      <c r="R188" s="100">
        <f>IFERROR(VLOOKUP(Tablo515[[#This Row],[ÜRÜN KODU]],YMKODLARI!$A$1:$K$363,6,0)," ")</f>
        <v>44.5</v>
      </c>
      <c r="S188" s="100">
        <f>IFERROR(Tablo515[[#This Row],[YOLLUK HARİÇ BASKI GRAMI]]/Tablo515[[#This Row],[KALIP GÖZ ADEDİ]]," ")</f>
        <v>5.5625</v>
      </c>
      <c r="T188" s="100">
        <f t="shared" si="16"/>
        <v>7.2000000000000028</v>
      </c>
      <c r="U188" s="100">
        <v>2.4</v>
      </c>
      <c r="V188" s="100">
        <f t="shared" si="15"/>
        <v>37.599499999999999</v>
      </c>
      <c r="W188" s="101">
        <f t="shared" si="17"/>
        <v>24.5</v>
      </c>
      <c r="X188" s="102">
        <f t="shared" si="18"/>
        <v>12</v>
      </c>
      <c r="Y188" s="100">
        <f t="shared" si="19"/>
        <v>7.91</v>
      </c>
      <c r="Z188" s="100">
        <f t="shared" si="20"/>
        <v>6328</v>
      </c>
    </row>
    <row r="189" spans="1:26">
      <c r="A189" s="100" t="s">
        <v>34</v>
      </c>
      <c r="B189" s="108" t="str">
        <f>IFERROR(VLOOKUP(Tablo515[[#This Row],[ÜRÜN KODU]],YMKODLARI!$A$1:$K$363,2,0)," ")</f>
        <v>BİBERON KLASİK  UC 1 NO</v>
      </c>
      <c r="C189" s="99">
        <v>44124</v>
      </c>
      <c r="D189" s="100" t="s">
        <v>29</v>
      </c>
      <c r="E189" s="101">
        <v>0.33333333333333331</v>
      </c>
      <c r="F189" s="101">
        <v>0.47916666666666669</v>
      </c>
      <c r="G189" s="100">
        <f>IFERROR(VLOOKUP(Tablo515[[#This Row],[ÜRÜN KODU]],YMKODLARI!$A$1:$K$363,3,0)," ")</f>
        <v>8</v>
      </c>
      <c r="H189" s="100">
        <f>IFERROR(VLOOKUP(Tablo515[[#This Row],[ÜRÜN KODU]],YMKODLARI!$A$1:$K$363,4,0)," ")</f>
        <v>36</v>
      </c>
      <c r="I189" s="100">
        <v>271</v>
      </c>
      <c r="J189" s="100" t="str">
        <f>IFERROR(VLOOKUP(Tablo515[[#This Row],[ÜRÜN KODU]],YMKODLARI!$A$1:$K$363,9,0)," ")</f>
        <v>Şeffaf</v>
      </c>
      <c r="K189" s="100" t="str">
        <f>IFERROR(VLOOKUP(Tablo515[[#This Row],[BOYA KODU]],Tablo14[#All],4,0)," ")</f>
        <v xml:space="preserve"> </v>
      </c>
      <c r="L189" s="100" t="str">
        <f>IFERROR(VLOOKUP(Tablo515[[#This Row],[BOYA KODU]],Tablo14[#All],6,0)," ")</f>
        <v xml:space="preserve"> </v>
      </c>
      <c r="M189" s="100" t="str">
        <f t="shared" si="14"/>
        <v xml:space="preserve"> </v>
      </c>
      <c r="N189" s="100" t="str">
        <f>IFERROR(VLOOKUP(Tablo515[[#This Row],[ÜRÜN KODU]],YMKODLARI!$A$1:$K$363,8,0)," ")</f>
        <v>HM 003</v>
      </c>
      <c r="O189" s="100" t="str">
        <f>IFERROR(VLOOKUP(Tablo515[[#This Row],[HAMMADDE KODU]],Tablo1[#All],3,0)," ")</f>
        <v>LSR 45</v>
      </c>
      <c r="P189" s="100" t="str">
        <f>IFERROR(VLOOKUP(Tablo515[[#This Row],[HAMMADDE KODU]],Tablo1[#All],4,0)," ")</f>
        <v>SETA</v>
      </c>
      <c r="Q189" s="100">
        <f>IFERROR(VLOOKUP(Tablo515[[#This Row],[ÜRÜN KODU]],YMKODLARI!$A$1:$K$363,5,0)," ")</f>
        <v>51.7</v>
      </c>
      <c r="R189" s="100">
        <f>IFERROR(VLOOKUP(Tablo515[[#This Row],[ÜRÜN KODU]],YMKODLARI!$A$1:$K$363,6,0)," ")</f>
        <v>44.5</v>
      </c>
      <c r="S189" s="100">
        <f>IFERROR(Tablo515[[#This Row],[YOLLUK HARİÇ BASKI GRAMI]]/Tablo515[[#This Row],[KALIP GÖZ ADEDİ]]," ")</f>
        <v>5.5625</v>
      </c>
      <c r="T189" s="100">
        <f t="shared" si="16"/>
        <v>7.2000000000000028</v>
      </c>
      <c r="U189" s="100">
        <v>4</v>
      </c>
      <c r="V189" s="100">
        <f t="shared" si="15"/>
        <v>16.0595</v>
      </c>
      <c r="W189" s="101">
        <f t="shared" si="17"/>
        <v>24.145833333333332</v>
      </c>
      <c r="X189" s="102">
        <f t="shared" si="18"/>
        <v>3.4999999999999716</v>
      </c>
      <c r="Y189" s="100">
        <f t="shared" si="19"/>
        <v>2.71</v>
      </c>
      <c r="Z189" s="100">
        <f t="shared" si="20"/>
        <v>2168</v>
      </c>
    </row>
    <row r="190" spans="1:26">
      <c r="A190" s="100" t="s">
        <v>34</v>
      </c>
      <c r="B190" s="112" t="str">
        <f>IFERROR(VLOOKUP(Tablo515[[#This Row],[ÜRÜN KODU]],YMKODLARI!$A$1:$K$363,2,0)," ")</f>
        <v>BİBERON KLASİK  UC 1 NO</v>
      </c>
      <c r="C190" s="99">
        <v>44124</v>
      </c>
      <c r="D190" s="111" t="s">
        <v>47</v>
      </c>
      <c r="E190" s="114">
        <v>0.5625</v>
      </c>
      <c r="F190" s="114">
        <v>0.83333333333333337</v>
      </c>
      <c r="G190" s="111">
        <f>IFERROR(VLOOKUP(Tablo515[[#This Row],[ÜRÜN KODU]],YMKODLARI!$A$1:$K$363,3,0)," ")</f>
        <v>8</v>
      </c>
      <c r="H190" s="111">
        <f>IFERROR(VLOOKUP(Tablo515[[#This Row],[ÜRÜN KODU]],YMKODLARI!$A$1:$K$363,4,0)," ")</f>
        <v>36</v>
      </c>
      <c r="I190" s="100">
        <v>475</v>
      </c>
      <c r="J190" s="111" t="str">
        <f>IFERROR(VLOOKUP(Tablo515[[#This Row],[ÜRÜN KODU]],YMKODLARI!$A$1:$K$363,9,0)," ")</f>
        <v>Şeffaf</v>
      </c>
      <c r="K190" s="111" t="str">
        <f>IFERROR(VLOOKUP(Tablo515[[#This Row],[BOYA KODU]],Tablo14[#All],4,0)," ")</f>
        <v xml:space="preserve"> </v>
      </c>
      <c r="L190" s="111" t="str">
        <f>IFERROR(VLOOKUP(Tablo515[[#This Row],[BOYA KODU]],Tablo14[#All],6,0)," ")</f>
        <v xml:space="preserve"> </v>
      </c>
      <c r="M190" s="111" t="str">
        <f>IFERROR((#REF!*Q190)*L190," ")</f>
        <v xml:space="preserve"> </v>
      </c>
      <c r="N190" s="111" t="str">
        <f>IFERROR(VLOOKUP(Tablo515[[#This Row],[ÜRÜN KODU]],YMKODLARI!$A$1:$K$363,8,0)," ")</f>
        <v>HM 003</v>
      </c>
      <c r="O190" s="111" t="str">
        <f>IFERROR(VLOOKUP(Tablo515[[#This Row],[HAMMADDE KODU]],Tablo1[#All],3,0)," ")</f>
        <v>LSR 45</v>
      </c>
      <c r="P190" s="111" t="str">
        <f>IFERROR(VLOOKUP(Tablo515[[#This Row],[HAMMADDE KODU]],Tablo1[#All],4,0)," ")</f>
        <v>SETA</v>
      </c>
      <c r="Q190" s="111">
        <f>IFERROR(VLOOKUP(Tablo515[[#This Row],[ÜRÜN KODU]],YMKODLARI!$A$1:$K$363,5,0)," ")</f>
        <v>51.7</v>
      </c>
      <c r="R190" s="111">
        <f>IFERROR(VLOOKUP(Tablo515[[#This Row],[ÜRÜN KODU]],YMKODLARI!$A$1:$K$363,6,0)," ")</f>
        <v>44.5</v>
      </c>
      <c r="S190" s="111">
        <f>IFERROR(Tablo515[[#This Row],[YOLLUK HARİÇ BASKI GRAMI]]/Tablo515[[#This Row],[KALIP GÖZ ADEDİ]]," ")</f>
        <v>5.5625</v>
      </c>
      <c r="T190" s="111">
        <f>IFERROR(Q190-R190," ")</f>
        <v>7.2000000000000028</v>
      </c>
      <c r="U190" s="111"/>
      <c r="V190" s="111" t="str">
        <f>IFERROR(U190+(R190*#REF!) /1000," ")</f>
        <v xml:space="preserve"> </v>
      </c>
      <c r="W190" s="114">
        <f>IFERROR(24-(E190-F190)," ")</f>
        <v>24.270833333333332</v>
      </c>
      <c r="X190" s="115">
        <f>IFERROR((W190-INT(W190))*24," ")</f>
        <v>6.4999999999999716</v>
      </c>
      <c r="Y190" s="111" t="str">
        <f>IFERROR(H190*#REF!/3600," ")</f>
        <v xml:space="preserve"> </v>
      </c>
      <c r="Z190" s="111" t="str">
        <f>IFERROR(#REF!*G190," " )</f>
        <v xml:space="preserve"> </v>
      </c>
    </row>
    <row r="191" spans="1:26">
      <c r="A191" s="100" t="s">
        <v>34</v>
      </c>
      <c r="B191" s="108" t="str">
        <f>IFERROR(VLOOKUP(Tablo515[[#This Row],[ÜRÜN KODU]],YMKODLARI!$A$1:$K$363,2,0)," ")</f>
        <v>BİBERON KLASİK  UC 1 NO</v>
      </c>
      <c r="C191" s="99">
        <v>44125</v>
      </c>
      <c r="D191" s="100" t="s">
        <v>29</v>
      </c>
      <c r="E191" s="101">
        <v>0.33333333333333331</v>
      </c>
      <c r="F191" s="101">
        <v>0.58680555555555558</v>
      </c>
      <c r="G191" s="100">
        <f>IFERROR(VLOOKUP(Tablo515[[#This Row],[ÜRÜN KODU]],YMKODLARI!$A$1:$K$363,3,0)," ")</f>
        <v>8</v>
      </c>
      <c r="H191" s="100">
        <f>IFERROR(VLOOKUP(Tablo515[[#This Row],[ÜRÜN KODU]],YMKODLARI!$A$1:$K$363,4,0)," ")</f>
        <v>36</v>
      </c>
      <c r="I191" s="111">
        <v>444</v>
      </c>
      <c r="J191" s="100" t="str">
        <f>IFERROR(VLOOKUP(Tablo515[[#This Row],[ÜRÜN KODU]],YMKODLARI!$A$1:$K$363,9,0)," ")</f>
        <v>Şeffaf</v>
      </c>
      <c r="K191" s="100" t="str">
        <f>IFERROR(VLOOKUP(Tablo515[[#This Row],[BOYA KODU]],Tablo14[#All],4,0)," ")</f>
        <v xml:space="preserve"> </v>
      </c>
      <c r="L191" s="100" t="str">
        <f>IFERROR(VLOOKUP(Tablo515[[#This Row],[BOYA KODU]],Tablo14[#All],6,0)," ")</f>
        <v xml:space="preserve"> </v>
      </c>
      <c r="M191" s="100" t="str">
        <f t="shared" ref="M191:M198" si="21">IFERROR((I190*Q191)*L191," ")</f>
        <v xml:space="preserve"> </v>
      </c>
      <c r="N191" s="100" t="str">
        <f>IFERROR(VLOOKUP(Tablo515[[#This Row],[ÜRÜN KODU]],YMKODLARI!$A$1:$K$363,8,0)," ")</f>
        <v>HM 003</v>
      </c>
      <c r="O191" s="100" t="str">
        <f>IFERROR(VLOOKUP(Tablo515[[#This Row],[HAMMADDE KODU]],Tablo1[#All],3,0)," ")</f>
        <v>LSR 45</v>
      </c>
      <c r="P191" s="100" t="str">
        <f>IFERROR(VLOOKUP(Tablo515[[#This Row],[HAMMADDE KODU]],Tablo1[#All],4,0)," ")</f>
        <v>SETA</v>
      </c>
      <c r="Q191" s="100">
        <f>IFERROR(VLOOKUP(Tablo515[[#This Row],[ÜRÜN KODU]],YMKODLARI!$A$1:$K$363,5,0)," ")</f>
        <v>51.7</v>
      </c>
      <c r="R191" s="100">
        <f>IFERROR(VLOOKUP(Tablo515[[#This Row],[ÜRÜN KODU]],YMKODLARI!$A$1:$K$363,6,0)," ")</f>
        <v>44.5</v>
      </c>
      <c r="S191" s="100">
        <f>IFERROR(Tablo515[[#This Row],[YOLLUK HARİÇ BASKI GRAMI]]/Tablo515[[#This Row],[KALIP GÖZ ADEDİ]]," ")</f>
        <v>5.5625</v>
      </c>
      <c r="T191" s="100">
        <f t="shared" si="16"/>
        <v>7.2000000000000028</v>
      </c>
      <c r="U191" s="100">
        <v>3.5</v>
      </c>
      <c r="V191" s="100">
        <f t="shared" ref="V191:V198" si="22">IFERROR(U191+(R191*I190) /1000," ")</f>
        <v>24.637499999999999</v>
      </c>
      <c r="W191" s="101">
        <f t="shared" si="17"/>
        <v>24.253472222222221</v>
      </c>
      <c r="X191" s="102">
        <f t="shared" si="18"/>
        <v>6.0833333333333144</v>
      </c>
      <c r="Y191" s="100">
        <f t="shared" ref="Y191:Y198" si="23">IFERROR(H191*I190/3600," ")</f>
        <v>4.75</v>
      </c>
      <c r="Z191" s="100">
        <f t="shared" ref="Z191:Z198" si="24">IFERROR(I190*G191," " )</f>
        <v>3800</v>
      </c>
    </row>
    <row r="192" spans="1:26">
      <c r="A192" s="100" t="s">
        <v>31</v>
      </c>
      <c r="B192" s="108" t="str">
        <f>IFERROR(VLOOKUP(Tablo515[[#This Row],[ÜRÜN KODU]],YMKODLARI!$A$1:$K$363,2,0)," ")</f>
        <v>KLASİK EMZİK UÇ NO 2</v>
      </c>
      <c r="C192" s="99">
        <v>44126</v>
      </c>
      <c r="D192" s="100" t="s">
        <v>29</v>
      </c>
      <c r="E192" s="101">
        <v>0.47916666666666669</v>
      </c>
      <c r="F192" s="101">
        <v>0.66666666666666663</v>
      </c>
      <c r="G192" s="100">
        <f>IFERROR(VLOOKUP(Tablo515[[#This Row],[ÜRÜN KODU]],YMKODLARI!$A$1:$K$363,3,0)," ")</f>
        <v>8</v>
      </c>
      <c r="H192" s="100">
        <f>IFERROR(VLOOKUP(Tablo515[[#This Row],[ÜRÜN KODU]],YMKODLARI!$A$1:$K$363,4,0)," ")</f>
        <v>38.5</v>
      </c>
      <c r="I192" s="111">
        <v>318</v>
      </c>
      <c r="J192" s="100" t="str">
        <f>IFERROR(VLOOKUP(Tablo515[[#This Row],[ÜRÜN KODU]],YMKODLARI!$A$1:$K$363,9,0)," ")</f>
        <v>Şeffaf</v>
      </c>
      <c r="K192" s="100" t="str">
        <f>IFERROR(VLOOKUP(Tablo515[[#This Row],[BOYA KODU]],Tablo14[#All],4,0)," ")</f>
        <v xml:space="preserve"> </v>
      </c>
      <c r="L192" s="100" t="str">
        <f>IFERROR(VLOOKUP(Tablo515[[#This Row],[BOYA KODU]],Tablo14[#All],6,0)," ")</f>
        <v xml:space="preserve"> </v>
      </c>
      <c r="M192" s="100" t="str">
        <f t="shared" si="21"/>
        <v xml:space="preserve"> </v>
      </c>
      <c r="N192" s="100" t="str">
        <f>IFERROR(VLOOKUP(Tablo515[[#This Row],[ÜRÜN KODU]],YMKODLARI!$A$1:$K$363,8,0)," ")</f>
        <v>HM 003</v>
      </c>
      <c r="O192" s="100" t="str">
        <f>IFERROR(VLOOKUP(Tablo515[[#This Row],[HAMMADDE KODU]],Tablo1[#All],3,0)," ")</f>
        <v>LSR 45</v>
      </c>
      <c r="P192" s="100" t="str">
        <f>IFERROR(VLOOKUP(Tablo515[[#This Row],[HAMMADDE KODU]],Tablo1[#All],4,0)," ")</f>
        <v>SETA</v>
      </c>
      <c r="Q192" s="100">
        <f>IFERROR(VLOOKUP(Tablo515[[#This Row],[ÜRÜN KODU]],YMKODLARI!$A$1:$K$363,5,0)," ")</f>
        <v>26.9</v>
      </c>
      <c r="R192" s="100">
        <f>IFERROR(VLOOKUP(Tablo515[[#This Row],[ÜRÜN KODU]],YMKODLARI!$A$1:$K$363,6,0)," ")</f>
        <v>20.9</v>
      </c>
      <c r="S192" s="100">
        <f>IFERROR(Tablo515[[#This Row],[YOLLUK HARİÇ BASKI GRAMI]]/Tablo515[[#This Row],[KALIP GÖZ ADEDİ]]," ")</f>
        <v>2.6124999999999998</v>
      </c>
      <c r="T192" s="100">
        <f t="shared" si="16"/>
        <v>6</v>
      </c>
      <c r="U192" s="100"/>
      <c r="V192" s="100">
        <f t="shared" si="22"/>
        <v>9.2795999999999985</v>
      </c>
      <c r="W192" s="101">
        <f t="shared" si="17"/>
        <v>24.1875</v>
      </c>
      <c r="X192" s="102">
        <f t="shared" si="18"/>
        <v>4.5</v>
      </c>
      <c r="Y192" s="100">
        <f t="shared" si="23"/>
        <v>4.7483333333333331</v>
      </c>
      <c r="Z192" s="100">
        <f t="shared" si="24"/>
        <v>3552</v>
      </c>
    </row>
    <row r="193" spans="1:26">
      <c r="A193" s="100" t="s">
        <v>31</v>
      </c>
      <c r="B193" s="108" t="str">
        <f>IFERROR(VLOOKUP(Tablo515[[#This Row],[ÜRÜN KODU]],YMKODLARI!$A$1:$K$363,2,0)," ")</f>
        <v>KLASİK EMZİK UÇ NO 2</v>
      </c>
      <c r="C193" s="99">
        <v>44127</v>
      </c>
      <c r="D193" s="100" t="s">
        <v>29</v>
      </c>
      <c r="E193" s="101">
        <v>0.56597222222222221</v>
      </c>
      <c r="F193" s="101">
        <v>0.75</v>
      </c>
      <c r="G193" s="100">
        <f>IFERROR(VLOOKUP(Tablo515[[#This Row],[ÜRÜN KODU]],YMKODLARI!$A$1:$K$363,3,0)," ")</f>
        <v>8</v>
      </c>
      <c r="H193" s="100">
        <f>IFERROR(VLOOKUP(Tablo515[[#This Row],[ÜRÜN KODU]],YMKODLARI!$A$1:$K$363,4,0)," ")</f>
        <v>38.5</v>
      </c>
      <c r="I193" s="111">
        <v>359</v>
      </c>
      <c r="J193" s="100" t="str">
        <f>IFERROR(VLOOKUP(Tablo515[[#This Row],[ÜRÜN KODU]],YMKODLARI!$A$1:$K$363,9,0)," ")</f>
        <v>Şeffaf</v>
      </c>
      <c r="K193" s="100" t="str">
        <f>IFERROR(VLOOKUP(Tablo515[[#This Row],[BOYA KODU]],Tablo14[#All],4,0)," ")</f>
        <v xml:space="preserve"> </v>
      </c>
      <c r="L193" s="100" t="str">
        <f>IFERROR(VLOOKUP(Tablo515[[#This Row],[BOYA KODU]],Tablo14[#All],6,0)," ")</f>
        <v xml:space="preserve"> </v>
      </c>
      <c r="M193" s="100" t="str">
        <f t="shared" si="21"/>
        <v xml:space="preserve"> </v>
      </c>
      <c r="N193" s="100" t="str">
        <f>IFERROR(VLOOKUP(Tablo515[[#This Row],[ÜRÜN KODU]],YMKODLARI!$A$1:$K$363,8,0)," ")</f>
        <v>HM 003</v>
      </c>
      <c r="O193" s="100" t="str">
        <f>IFERROR(VLOOKUP(Tablo515[[#This Row],[HAMMADDE KODU]],Tablo1[#All],3,0)," ")</f>
        <v>LSR 45</v>
      </c>
      <c r="P193" s="100" t="str">
        <f>IFERROR(VLOOKUP(Tablo515[[#This Row],[HAMMADDE KODU]],Tablo1[#All],4,0)," ")</f>
        <v>SETA</v>
      </c>
      <c r="Q193" s="100">
        <f>IFERROR(VLOOKUP(Tablo515[[#This Row],[ÜRÜN KODU]],YMKODLARI!$A$1:$K$363,5,0)," ")</f>
        <v>26.9</v>
      </c>
      <c r="R193" s="100">
        <f>IFERROR(VLOOKUP(Tablo515[[#This Row],[ÜRÜN KODU]],YMKODLARI!$A$1:$K$363,6,0)," ")</f>
        <v>20.9</v>
      </c>
      <c r="S193" s="100">
        <f>IFERROR(Tablo515[[#This Row],[YOLLUK HARİÇ BASKI GRAMI]]/Tablo515[[#This Row],[KALIP GÖZ ADEDİ]]," ")</f>
        <v>2.6124999999999998</v>
      </c>
      <c r="T193" s="100">
        <f t="shared" si="16"/>
        <v>6</v>
      </c>
      <c r="U193" s="100">
        <v>2.2999999999999998</v>
      </c>
      <c r="V193" s="100">
        <f t="shared" si="22"/>
        <v>8.9461999999999993</v>
      </c>
      <c r="W193" s="101" t="str">
        <f>IFERROR(24-(#REF!-#REF!)," ")</f>
        <v xml:space="preserve"> </v>
      </c>
      <c r="X193" s="102" t="str">
        <f t="shared" si="18"/>
        <v xml:space="preserve"> </v>
      </c>
      <c r="Y193" s="100">
        <f t="shared" si="23"/>
        <v>3.4008333333333334</v>
      </c>
      <c r="Z193" s="100">
        <f t="shared" si="24"/>
        <v>2544</v>
      </c>
    </row>
    <row r="194" spans="1:26">
      <c r="A194" s="100" t="s">
        <v>31</v>
      </c>
      <c r="B194" s="108" t="str">
        <f>IFERROR(VLOOKUP(Tablo515[[#This Row],[ÜRÜN KODU]],YMKODLARI!$A$1:$K$363,2,0)," ")</f>
        <v>KLASİK EMZİK UÇ NO 2</v>
      </c>
      <c r="C194" s="99">
        <v>44130</v>
      </c>
      <c r="D194" s="100" t="s">
        <v>29</v>
      </c>
      <c r="E194" s="114">
        <v>0.33333333333333331</v>
      </c>
      <c r="F194" s="114">
        <v>0.75</v>
      </c>
      <c r="G194" s="100">
        <f>IFERROR(VLOOKUP(Tablo515[[#This Row],[ÜRÜN KODU]],YMKODLARI!$A$1:$K$363,3,0)," ")</f>
        <v>8</v>
      </c>
      <c r="H194" s="100">
        <f>IFERROR(VLOOKUP(Tablo515[[#This Row],[ÜRÜN KODU]],YMKODLARI!$A$1:$K$363,4,0)," ")</f>
        <v>38.5</v>
      </c>
      <c r="I194" s="111">
        <v>953</v>
      </c>
      <c r="J194" s="100" t="str">
        <f>IFERROR(VLOOKUP(Tablo515[[#This Row],[ÜRÜN KODU]],YMKODLARI!$A$1:$K$363,9,0)," ")</f>
        <v>Şeffaf</v>
      </c>
      <c r="K194" s="100" t="str">
        <f>IFERROR(VLOOKUP(Tablo515[[#This Row],[BOYA KODU]],Tablo14[#All],4,0)," ")</f>
        <v xml:space="preserve"> </v>
      </c>
      <c r="L194" s="100" t="str">
        <f>IFERROR(VLOOKUP(Tablo515[[#This Row],[BOYA KODU]],Tablo14[#All],6,0)," ")</f>
        <v xml:space="preserve"> </v>
      </c>
      <c r="M194" s="100" t="str">
        <f t="shared" si="21"/>
        <v xml:space="preserve"> </v>
      </c>
      <c r="N194" s="100" t="str">
        <f>IFERROR(VLOOKUP(Tablo515[[#This Row],[ÜRÜN KODU]],YMKODLARI!$A$1:$K$363,8,0)," ")</f>
        <v>HM 003</v>
      </c>
      <c r="O194" s="100" t="str">
        <f>IFERROR(VLOOKUP(Tablo515[[#This Row],[HAMMADDE KODU]],Tablo1[#All],3,0)," ")</f>
        <v>LSR 45</v>
      </c>
      <c r="P194" s="100" t="str">
        <f>IFERROR(VLOOKUP(Tablo515[[#This Row],[HAMMADDE KODU]],Tablo1[#All],4,0)," ")</f>
        <v>SETA</v>
      </c>
      <c r="Q194" s="100">
        <f>IFERROR(VLOOKUP(Tablo515[[#This Row],[ÜRÜN KODU]],YMKODLARI!$A$1:$K$363,5,0)," ")</f>
        <v>26.9</v>
      </c>
      <c r="R194" s="100">
        <f>IFERROR(VLOOKUP(Tablo515[[#This Row],[ÜRÜN KODU]],YMKODLARI!$A$1:$K$363,6,0)," ")</f>
        <v>20.9</v>
      </c>
      <c r="S194" s="100">
        <f>IFERROR(Tablo515[[#This Row],[YOLLUK HARİÇ BASKI GRAMI]]/Tablo515[[#This Row],[KALIP GÖZ ADEDİ]]," ")</f>
        <v>2.6124999999999998</v>
      </c>
      <c r="T194" s="100">
        <f t="shared" si="16"/>
        <v>6</v>
      </c>
      <c r="U194" s="100">
        <v>6.8</v>
      </c>
      <c r="V194" s="100">
        <f t="shared" si="22"/>
        <v>14.303100000000001</v>
      </c>
      <c r="W194" s="101">
        <f>IFERROR(24-(E193-F193)," ")</f>
        <v>24.184027777777779</v>
      </c>
      <c r="X194" s="102">
        <f t="shared" si="18"/>
        <v>4.4166666666666856</v>
      </c>
      <c r="Y194" s="100">
        <f t="shared" si="23"/>
        <v>3.8393055555555557</v>
      </c>
      <c r="Z194" s="100">
        <f t="shared" si="24"/>
        <v>2872</v>
      </c>
    </row>
    <row r="195" spans="1:26">
      <c r="A195" s="100" t="s">
        <v>31</v>
      </c>
      <c r="B195" s="108" t="str">
        <f>IFERROR(VLOOKUP(Tablo515[[#This Row],[ÜRÜN KODU]],YMKODLARI!$A$1:$K$363,2,0)," ")</f>
        <v>KLASİK EMZİK UÇ NO 2</v>
      </c>
      <c r="C195" s="99">
        <v>44131</v>
      </c>
      <c r="D195" s="100" t="s">
        <v>29</v>
      </c>
      <c r="E195" s="114">
        <v>0.33333333333333331</v>
      </c>
      <c r="F195" s="114">
        <v>0.75</v>
      </c>
      <c r="G195" s="100">
        <f>IFERROR(VLOOKUP(Tablo515[[#This Row],[ÜRÜN KODU]],YMKODLARI!$A$1:$K$363,3,0)," ")</f>
        <v>8</v>
      </c>
      <c r="H195" s="100">
        <f>IFERROR(VLOOKUP(Tablo515[[#This Row],[ÜRÜN KODU]],YMKODLARI!$A$1:$K$363,4,0)," ")</f>
        <v>38.5</v>
      </c>
      <c r="I195" s="111">
        <v>885</v>
      </c>
      <c r="J195" s="100" t="str">
        <f>IFERROR(VLOOKUP(Tablo515[[#This Row],[ÜRÜN KODU]],YMKODLARI!$A$1:$K$363,9,0)," ")</f>
        <v>Şeffaf</v>
      </c>
      <c r="K195" s="100" t="str">
        <f>IFERROR(VLOOKUP(Tablo515[[#This Row],[BOYA KODU]],Tablo14[#All],4,0)," ")</f>
        <v xml:space="preserve"> </v>
      </c>
      <c r="L195" s="100" t="str">
        <f>IFERROR(VLOOKUP(Tablo515[[#This Row],[BOYA KODU]],Tablo14[#All],6,0)," ")</f>
        <v xml:space="preserve"> </v>
      </c>
      <c r="M195" s="100" t="str">
        <f t="shared" si="21"/>
        <v xml:space="preserve"> </v>
      </c>
      <c r="N195" s="100" t="str">
        <f>IFERROR(VLOOKUP(Tablo515[[#This Row],[ÜRÜN KODU]],YMKODLARI!$A$1:$K$363,8,0)," ")</f>
        <v>HM 003</v>
      </c>
      <c r="O195" s="100" t="str">
        <f>IFERROR(VLOOKUP(Tablo515[[#This Row],[HAMMADDE KODU]],Tablo1[#All],3,0)," ")</f>
        <v>LSR 45</v>
      </c>
      <c r="P195" s="100" t="str">
        <f>IFERROR(VLOOKUP(Tablo515[[#This Row],[HAMMADDE KODU]],Tablo1[#All],4,0)," ")</f>
        <v>SETA</v>
      </c>
      <c r="Q195" s="100">
        <f>IFERROR(VLOOKUP(Tablo515[[#This Row],[ÜRÜN KODU]],YMKODLARI!$A$1:$K$363,5,0)," ")</f>
        <v>26.9</v>
      </c>
      <c r="R195" s="100">
        <f>IFERROR(VLOOKUP(Tablo515[[#This Row],[ÜRÜN KODU]],YMKODLARI!$A$1:$K$363,6,0)," ")</f>
        <v>20.9</v>
      </c>
      <c r="S195" s="100">
        <f>IFERROR(Tablo515[[#This Row],[YOLLUK HARİÇ BASKI GRAMI]]/Tablo515[[#This Row],[KALIP GÖZ ADEDİ]]," ")</f>
        <v>2.6124999999999998</v>
      </c>
      <c r="T195" s="100">
        <f t="shared" si="16"/>
        <v>6</v>
      </c>
      <c r="U195" s="100">
        <v>6.3</v>
      </c>
      <c r="V195" s="100">
        <f t="shared" si="22"/>
        <v>26.217699999999997</v>
      </c>
      <c r="W195" s="101">
        <f>IFERROR(24-(E194-F194)," ")</f>
        <v>24.416666666666668</v>
      </c>
      <c r="X195" s="102">
        <f t="shared" si="18"/>
        <v>10.000000000000028</v>
      </c>
      <c r="Y195" s="100">
        <f t="shared" si="23"/>
        <v>10.191805555555556</v>
      </c>
      <c r="Z195" s="100">
        <f t="shared" si="24"/>
        <v>7624</v>
      </c>
    </row>
    <row r="196" spans="1:26">
      <c r="A196" s="100" t="s">
        <v>31</v>
      </c>
      <c r="B196" s="108" t="str">
        <f>IFERROR(VLOOKUP(Tablo515[[#This Row],[ÜRÜN KODU]],YMKODLARI!$A$1:$K$363,2,0)," ")</f>
        <v>KLASİK EMZİK UÇ NO 2</v>
      </c>
      <c r="C196" s="99">
        <v>44132</v>
      </c>
      <c r="D196" s="100" t="s">
        <v>29</v>
      </c>
      <c r="E196" s="114">
        <v>0.33333333333333331</v>
      </c>
      <c r="F196" s="114">
        <v>0.47222222222222227</v>
      </c>
      <c r="G196" s="100">
        <f>IFERROR(VLOOKUP(Tablo515[[#This Row],[ÜRÜN KODU]],YMKODLARI!$A$1:$K$363,3,0)," ")</f>
        <v>8</v>
      </c>
      <c r="H196" s="100">
        <f>IFERROR(VLOOKUP(Tablo515[[#This Row],[ÜRÜN KODU]],YMKODLARI!$A$1:$K$363,4,0)," ")</f>
        <v>38.5</v>
      </c>
      <c r="I196" s="111">
        <v>119</v>
      </c>
      <c r="J196" s="100" t="str">
        <f>IFERROR(VLOOKUP(Tablo515[[#This Row],[ÜRÜN KODU]],YMKODLARI!$A$1:$K$363,9,0)," ")</f>
        <v>Şeffaf</v>
      </c>
      <c r="K196" s="100" t="str">
        <f>IFERROR(VLOOKUP(Tablo515[[#This Row],[BOYA KODU]],Tablo14[#All],4,0)," ")</f>
        <v xml:space="preserve"> </v>
      </c>
      <c r="L196" s="100" t="str">
        <f>IFERROR(VLOOKUP(Tablo515[[#This Row],[BOYA KODU]],Tablo14[#All],6,0)," ")</f>
        <v xml:space="preserve"> </v>
      </c>
      <c r="M196" s="100" t="str">
        <f t="shared" si="21"/>
        <v xml:space="preserve"> </v>
      </c>
      <c r="N196" s="100" t="str">
        <f>IFERROR(VLOOKUP(Tablo515[[#This Row],[ÜRÜN KODU]],YMKODLARI!$A$1:$K$363,8,0)," ")</f>
        <v>HM 003</v>
      </c>
      <c r="O196" s="100" t="str">
        <f>IFERROR(VLOOKUP(Tablo515[[#This Row],[HAMMADDE KODU]],Tablo1[#All],3,0)," ")</f>
        <v>LSR 45</v>
      </c>
      <c r="P196" s="100" t="str">
        <f>IFERROR(VLOOKUP(Tablo515[[#This Row],[HAMMADDE KODU]],Tablo1[#All],4,0)," ")</f>
        <v>SETA</v>
      </c>
      <c r="Q196" s="100">
        <f>IFERROR(VLOOKUP(Tablo515[[#This Row],[ÜRÜN KODU]],YMKODLARI!$A$1:$K$363,5,0)," ")</f>
        <v>26.9</v>
      </c>
      <c r="R196" s="100">
        <f>IFERROR(VLOOKUP(Tablo515[[#This Row],[ÜRÜN KODU]],YMKODLARI!$A$1:$K$363,6,0)," ")</f>
        <v>20.9</v>
      </c>
      <c r="S196" s="100">
        <f>IFERROR(Tablo515[[#This Row],[YOLLUK HARİÇ BASKI GRAMI]]/Tablo515[[#This Row],[KALIP GÖZ ADEDİ]]," ")</f>
        <v>2.6124999999999998</v>
      </c>
      <c r="T196" s="100">
        <f t="shared" ref="T196:T259" si="25">IFERROR(Q196-R196," ")</f>
        <v>6</v>
      </c>
      <c r="U196" s="100">
        <v>1</v>
      </c>
      <c r="V196" s="100">
        <f t="shared" si="22"/>
        <v>19.496500000000001</v>
      </c>
      <c r="W196" s="101">
        <f>IFERROR(24-(E195-F195)," ")</f>
        <v>24.416666666666668</v>
      </c>
      <c r="X196" s="102">
        <f t="shared" ref="X196:X259" si="26">IFERROR((W196-INT(W196))*24," ")</f>
        <v>10.000000000000028</v>
      </c>
      <c r="Y196" s="100">
        <f t="shared" si="23"/>
        <v>9.4645833333333336</v>
      </c>
      <c r="Z196" s="100">
        <f t="shared" si="24"/>
        <v>7080</v>
      </c>
    </row>
    <row r="197" spans="1:26">
      <c r="A197" s="100" t="s">
        <v>31</v>
      </c>
      <c r="B197" s="108" t="str">
        <f>IFERROR(VLOOKUP(Tablo515[[#This Row],[ÜRÜN KODU]],YMKODLARI!$A$1:$K$363,2,0)," ")</f>
        <v>KLASİK EMZİK UÇ NO 2</v>
      </c>
      <c r="C197" s="99">
        <v>44132</v>
      </c>
      <c r="D197" s="100" t="s">
        <v>29</v>
      </c>
      <c r="E197" s="114">
        <v>0.60069444444444442</v>
      </c>
      <c r="F197" s="114">
        <v>0.75</v>
      </c>
      <c r="G197" s="100">
        <f>IFERROR(VLOOKUP(Tablo515[[#This Row],[ÜRÜN KODU]],YMKODLARI!$A$1:$K$363,3,0)," ")</f>
        <v>8</v>
      </c>
      <c r="H197" s="100">
        <f>IFERROR(VLOOKUP(Tablo515[[#This Row],[ÜRÜN KODU]],YMKODLARI!$A$1:$K$363,4,0)," ")</f>
        <v>38.5</v>
      </c>
      <c r="I197" s="111">
        <v>352</v>
      </c>
      <c r="J197" s="100" t="str">
        <f>IFERROR(VLOOKUP(Tablo515[[#This Row],[ÜRÜN KODU]],YMKODLARI!$A$1:$K$363,9,0)," ")</f>
        <v>Şeffaf</v>
      </c>
      <c r="K197" s="100" t="str">
        <f>IFERROR(VLOOKUP(Tablo515[[#This Row],[BOYA KODU]],Tablo14[#All],4,0)," ")</f>
        <v xml:space="preserve"> </v>
      </c>
      <c r="L197" s="100" t="str">
        <f>IFERROR(VLOOKUP(Tablo515[[#This Row],[BOYA KODU]],Tablo14[#All],6,0)," ")</f>
        <v xml:space="preserve"> </v>
      </c>
      <c r="M197" s="100" t="str">
        <f t="shared" si="21"/>
        <v xml:space="preserve"> </v>
      </c>
      <c r="N197" s="100" t="str">
        <f>IFERROR(VLOOKUP(Tablo515[[#This Row],[ÜRÜN KODU]],YMKODLARI!$A$1:$K$363,8,0)," ")</f>
        <v>HM 003</v>
      </c>
      <c r="O197" s="100" t="str">
        <f>IFERROR(VLOOKUP(Tablo515[[#This Row],[HAMMADDE KODU]],Tablo1[#All],3,0)," ")</f>
        <v>LSR 45</v>
      </c>
      <c r="P197" s="100" t="str">
        <f>IFERROR(VLOOKUP(Tablo515[[#This Row],[HAMMADDE KODU]],Tablo1[#All],4,0)," ")</f>
        <v>SETA</v>
      </c>
      <c r="Q197" s="100">
        <f>IFERROR(VLOOKUP(Tablo515[[#This Row],[ÜRÜN KODU]],YMKODLARI!$A$1:$K$363,5,0)," ")</f>
        <v>26.9</v>
      </c>
      <c r="R197" s="100">
        <f>IFERROR(VLOOKUP(Tablo515[[#This Row],[ÜRÜN KODU]],YMKODLARI!$A$1:$K$363,6,0)," ")</f>
        <v>20.9</v>
      </c>
      <c r="S197" s="100">
        <f>IFERROR(Tablo515[[#This Row],[YOLLUK HARİÇ BASKI GRAMI]]/Tablo515[[#This Row],[KALIP GÖZ ADEDİ]]," ")</f>
        <v>2.6124999999999998</v>
      </c>
      <c r="T197" s="100">
        <f t="shared" si="25"/>
        <v>6</v>
      </c>
      <c r="U197" s="100">
        <v>2.5</v>
      </c>
      <c r="V197" s="100">
        <f t="shared" si="22"/>
        <v>4.9870999999999999</v>
      </c>
      <c r="W197" s="101">
        <f>IFERROR(24-(E196-F196)," ")</f>
        <v>24.138888888888889</v>
      </c>
      <c r="X197" s="102">
        <f t="shared" si="26"/>
        <v>3.3333333333333428</v>
      </c>
      <c r="Y197" s="100">
        <f t="shared" si="23"/>
        <v>1.2726388888888889</v>
      </c>
      <c r="Z197" s="100">
        <f t="shared" si="24"/>
        <v>952</v>
      </c>
    </row>
    <row r="198" spans="1:26">
      <c r="A198" s="100" t="s">
        <v>31</v>
      </c>
      <c r="B198" s="108" t="str">
        <f>IFERROR(VLOOKUP(Tablo515[[#This Row],[ÜRÜN KODU]],YMKODLARI!$A$1:$K$363,2,0)," ")</f>
        <v>KLASİK EMZİK UÇ NO 2</v>
      </c>
      <c r="C198" s="99">
        <v>44133</v>
      </c>
      <c r="D198" s="100" t="s">
        <v>29</v>
      </c>
      <c r="E198" s="101">
        <v>0.33333333333333331</v>
      </c>
      <c r="F198" s="101">
        <v>0.75</v>
      </c>
      <c r="G198" s="100">
        <f>IFERROR(VLOOKUP(Tablo515[[#This Row],[ÜRÜN KODU]],YMKODLARI!$A$1:$K$363,3,0)," ")</f>
        <v>8</v>
      </c>
      <c r="H198" s="100">
        <f>IFERROR(VLOOKUP(Tablo515[[#This Row],[ÜRÜN KODU]],YMKODLARI!$A$1:$K$363,4,0)," ")</f>
        <v>38.5</v>
      </c>
      <c r="I198" s="111">
        <v>822</v>
      </c>
      <c r="J198" s="100" t="str">
        <f>IFERROR(VLOOKUP(Tablo515[[#This Row],[ÜRÜN KODU]],YMKODLARI!$A$1:$K$363,9,0)," ")</f>
        <v>Şeffaf</v>
      </c>
      <c r="K198" s="100" t="str">
        <f>IFERROR(VLOOKUP(Tablo515[[#This Row],[BOYA KODU]],Tablo14[#All],4,0)," ")</f>
        <v xml:space="preserve"> </v>
      </c>
      <c r="L198" s="100" t="str">
        <f>IFERROR(VLOOKUP(Tablo515[[#This Row],[BOYA KODU]],Tablo14[#All],6,0)," ")</f>
        <v xml:space="preserve"> </v>
      </c>
      <c r="M198" s="100" t="str">
        <f t="shared" si="21"/>
        <v xml:space="preserve"> </v>
      </c>
      <c r="N198" s="100" t="str">
        <f>IFERROR(VLOOKUP(Tablo515[[#This Row],[ÜRÜN KODU]],YMKODLARI!$A$1:$K$363,8,0)," ")</f>
        <v>HM 003</v>
      </c>
      <c r="O198" s="100" t="str">
        <f>IFERROR(VLOOKUP(Tablo515[[#This Row],[HAMMADDE KODU]],Tablo1[#All],3,0)," ")</f>
        <v>LSR 45</v>
      </c>
      <c r="P198" s="100" t="str">
        <f>IFERROR(VLOOKUP(Tablo515[[#This Row],[HAMMADDE KODU]],Tablo1[#All],4,0)," ")</f>
        <v>SETA</v>
      </c>
      <c r="Q198" s="100">
        <f>IFERROR(VLOOKUP(Tablo515[[#This Row],[ÜRÜN KODU]],YMKODLARI!$A$1:$K$363,5,0)," ")</f>
        <v>26.9</v>
      </c>
      <c r="R198" s="100">
        <f>IFERROR(VLOOKUP(Tablo515[[#This Row],[ÜRÜN KODU]],YMKODLARI!$A$1:$K$363,6,0)," ")</f>
        <v>20.9</v>
      </c>
      <c r="S198" s="100">
        <f>IFERROR(Tablo515[[#This Row],[YOLLUK HARİÇ BASKI GRAMI]]/Tablo515[[#This Row],[KALIP GÖZ ADEDİ]]," ")</f>
        <v>2.6124999999999998</v>
      </c>
      <c r="T198" s="100">
        <f t="shared" si="25"/>
        <v>6</v>
      </c>
      <c r="U198" s="100">
        <v>5.5</v>
      </c>
      <c r="V198" s="100">
        <f t="shared" si="22"/>
        <v>12.8568</v>
      </c>
      <c r="W198" s="101">
        <f t="shared" ref="W198:W259" si="27">IFERROR(24-(E198-F198)," ")</f>
        <v>24.416666666666668</v>
      </c>
      <c r="X198" s="102">
        <f t="shared" si="26"/>
        <v>10.000000000000028</v>
      </c>
      <c r="Y198" s="100">
        <f t="shared" si="23"/>
        <v>3.7644444444444445</v>
      </c>
      <c r="Z198" s="100">
        <f t="shared" si="24"/>
        <v>2816</v>
      </c>
    </row>
    <row r="199" spans="1:26">
      <c r="A199" s="100" t="s">
        <v>273</v>
      </c>
      <c r="B199" s="108" t="str">
        <f>IFERROR(VLOOKUP(Tablo515[[#This Row],[ÜRÜN KODU]],YMKODLARI!$A$1:$K$363,2,0)," ")</f>
        <v>KLASİK EMZİK UÇ NO 3</v>
      </c>
      <c r="C199" s="99">
        <v>44134</v>
      </c>
      <c r="D199" s="100" t="s">
        <v>33</v>
      </c>
      <c r="E199" s="101">
        <v>0.67708333333333337</v>
      </c>
      <c r="F199" s="101">
        <v>0.73611111111111116</v>
      </c>
      <c r="G199" s="100">
        <f>IFERROR(VLOOKUP(Tablo515[[#This Row],[ÜRÜN KODU]],YMKODLARI!$A$1:$K$363,3,0)," ")</f>
        <v>8</v>
      </c>
      <c r="H199" s="100">
        <f>IFERROR(VLOOKUP(Tablo515[[#This Row],[ÜRÜN KODU]],YMKODLARI!$A$1:$K$363,4,0)," ")</f>
        <v>38</v>
      </c>
      <c r="I199" s="100">
        <v>144</v>
      </c>
      <c r="J199" s="100" t="str">
        <f>IFERROR(VLOOKUP(Tablo515[[#This Row],[ÜRÜN KODU]],YMKODLARI!$A$1:$K$363,9,0)," ")</f>
        <v>Şeffaf</v>
      </c>
      <c r="K199" s="100" t="str">
        <f>IFERROR(VLOOKUP(Tablo515[[#This Row],[BOYA KODU]],Tablo14[#All],4,0)," ")</f>
        <v xml:space="preserve"> </v>
      </c>
      <c r="L199" s="100" t="str">
        <f>IFERROR(VLOOKUP(Tablo515[[#This Row],[BOYA KODU]],Tablo14[#All],6,0)," ")</f>
        <v xml:space="preserve"> </v>
      </c>
      <c r="M199" s="100" t="str">
        <f t="shared" ref="M199:M258" si="28">IFERROR((I199*Q199)*L199," ")</f>
        <v xml:space="preserve"> </v>
      </c>
      <c r="N199" s="100" t="str">
        <f>IFERROR(VLOOKUP(Tablo515[[#This Row],[ÜRÜN KODU]],YMKODLARI!$A$1:$K$363,8,0)," ")</f>
        <v>HM 003</v>
      </c>
      <c r="O199" s="100" t="str">
        <f>IFERROR(VLOOKUP(Tablo515[[#This Row],[HAMMADDE KODU]],Tablo1[#All],3,0)," ")</f>
        <v>LSR 45</v>
      </c>
      <c r="P199" s="100" t="str">
        <f>IFERROR(VLOOKUP(Tablo515[[#This Row],[HAMMADDE KODU]],Tablo1[#All],4,0)," ")</f>
        <v>SETA</v>
      </c>
      <c r="Q199" s="100">
        <f>IFERROR(VLOOKUP(Tablo515[[#This Row],[ÜRÜN KODU]],YMKODLARI!$A$1:$K$363,5,0)," ")</f>
        <v>33.799999999999997</v>
      </c>
      <c r="R199" s="100">
        <f>IFERROR(VLOOKUP(Tablo515[[#This Row],[ÜRÜN KODU]],YMKODLARI!$A$1:$K$363,6,0)," ")</f>
        <v>27.9</v>
      </c>
      <c r="S199" s="100">
        <f>IFERROR(Tablo515[[#This Row],[YOLLUK HARİÇ BASKI GRAMI]]/Tablo515[[#This Row],[KALIP GÖZ ADEDİ]]," ")</f>
        <v>3.4874999999999998</v>
      </c>
      <c r="T199" s="100">
        <f t="shared" si="25"/>
        <v>5.8999999999999986</v>
      </c>
      <c r="U199" s="100">
        <v>2.7</v>
      </c>
      <c r="V199" s="100">
        <f t="shared" ref="V199:V258" si="29">IFERROR(U199+(R199*I199) /1000," ")</f>
        <v>6.7176</v>
      </c>
      <c r="W199" s="101">
        <f t="shared" si="27"/>
        <v>24.059027777777779</v>
      </c>
      <c r="X199" s="102">
        <f t="shared" si="26"/>
        <v>1.4166666666666856</v>
      </c>
      <c r="Y199" s="100">
        <f t="shared" ref="Y199:Y259" si="30">IFERROR(H199*I199/3600," ")</f>
        <v>1.52</v>
      </c>
      <c r="Z199" s="100">
        <f t="shared" ref="Z199:Z259" si="31">IFERROR(I199*G199," " )</f>
        <v>1152</v>
      </c>
    </row>
    <row r="200" spans="1:26">
      <c r="A200" s="100" t="s">
        <v>273</v>
      </c>
      <c r="B200" s="108" t="str">
        <f>IFERROR(VLOOKUP(Tablo515[[#This Row],[ÜRÜN KODU]],YMKODLARI!$A$1:$K$363,2,0)," ")</f>
        <v>KLASİK EMZİK UÇ NO 3</v>
      </c>
      <c r="C200" s="99">
        <v>44106</v>
      </c>
      <c r="D200" s="100" t="s">
        <v>29</v>
      </c>
      <c r="E200" s="101">
        <v>0.33333333333333331</v>
      </c>
      <c r="F200" s="101">
        <v>0.48819444444444443</v>
      </c>
      <c r="G200" s="100">
        <f>IFERROR(VLOOKUP(Tablo515[[#This Row],[ÜRÜN KODU]],YMKODLARI!$A$1:$K$363,3,0)," ")</f>
        <v>8</v>
      </c>
      <c r="H200" s="100">
        <f>IFERROR(VLOOKUP(Tablo515[[#This Row],[ÜRÜN KODU]],YMKODLARI!$A$1:$K$363,4,0)," ")</f>
        <v>38</v>
      </c>
      <c r="I200" s="100">
        <v>300</v>
      </c>
      <c r="J200" s="100" t="str">
        <f>IFERROR(VLOOKUP(Tablo515[[#This Row],[ÜRÜN KODU]],YMKODLARI!$A$1:$K$363,9,0)," ")</f>
        <v>Şeffaf</v>
      </c>
      <c r="K200" s="100" t="str">
        <f>IFERROR(VLOOKUP(Tablo515[[#This Row],[BOYA KODU]],Tablo14[#All],4,0)," ")</f>
        <v xml:space="preserve"> </v>
      </c>
      <c r="L200" s="100" t="str">
        <f>IFERROR(VLOOKUP(Tablo515[[#This Row],[BOYA KODU]],Tablo14[#All],6,0)," ")</f>
        <v xml:space="preserve"> </v>
      </c>
      <c r="M200" s="100" t="str">
        <f t="shared" si="28"/>
        <v xml:space="preserve"> </v>
      </c>
      <c r="N200" s="100" t="str">
        <f>IFERROR(VLOOKUP(Tablo515[[#This Row],[ÜRÜN KODU]],YMKODLARI!$A$1:$K$363,8,0)," ")</f>
        <v>HM 003</v>
      </c>
      <c r="O200" s="100" t="str">
        <f>IFERROR(VLOOKUP(Tablo515[[#This Row],[HAMMADDE KODU]],Tablo1[#All],3,0)," ")</f>
        <v>LSR 45</v>
      </c>
      <c r="P200" s="100" t="str">
        <f>IFERROR(VLOOKUP(Tablo515[[#This Row],[HAMMADDE KODU]],Tablo1[#All],4,0)," ")</f>
        <v>SETA</v>
      </c>
      <c r="Q200" s="100">
        <f>IFERROR(VLOOKUP(Tablo515[[#This Row],[ÜRÜN KODU]],YMKODLARI!$A$1:$K$363,5,0)," ")</f>
        <v>33.799999999999997</v>
      </c>
      <c r="R200" s="100">
        <f>IFERROR(VLOOKUP(Tablo515[[#This Row],[ÜRÜN KODU]],YMKODLARI!$A$1:$K$363,6,0)," ")</f>
        <v>27.9</v>
      </c>
      <c r="S200" s="100">
        <f>IFERROR(Tablo515[[#This Row],[YOLLUK HARİÇ BASKI GRAMI]]/Tablo515[[#This Row],[KALIP GÖZ ADEDİ]]," ")</f>
        <v>3.4874999999999998</v>
      </c>
      <c r="T200" s="100">
        <f t="shared" si="25"/>
        <v>5.8999999999999986</v>
      </c>
      <c r="U200" s="100"/>
      <c r="V200" s="100">
        <f t="shared" si="29"/>
        <v>8.3699999999999992</v>
      </c>
      <c r="W200" s="101">
        <f t="shared" si="27"/>
        <v>24.15486111111111</v>
      </c>
      <c r="X200" s="102">
        <f t="shared" si="26"/>
        <v>3.7166666666666401</v>
      </c>
      <c r="Y200" s="100">
        <f t="shared" si="30"/>
        <v>3.1666666666666665</v>
      </c>
      <c r="Z200" s="100">
        <f t="shared" si="31"/>
        <v>2400</v>
      </c>
    </row>
    <row r="201" spans="1:26">
      <c r="A201" s="100" t="s">
        <v>273</v>
      </c>
      <c r="B201" s="108" t="str">
        <f>IFERROR(VLOOKUP(Tablo515[[#This Row],[ÜRÜN KODU]],YMKODLARI!$A$1:$K$363,2,0)," ")</f>
        <v>KLASİK EMZİK UÇ NO 3</v>
      </c>
      <c r="C201" s="99">
        <v>44144</v>
      </c>
      <c r="D201" s="100" t="s">
        <v>29</v>
      </c>
      <c r="E201" s="101">
        <v>0.38541666666666669</v>
      </c>
      <c r="F201" s="101">
        <v>0.75</v>
      </c>
      <c r="G201" s="100">
        <f>IFERROR(VLOOKUP(Tablo515[[#This Row],[ÜRÜN KODU]],YMKODLARI!$A$1:$K$363,3,0)," ")</f>
        <v>8</v>
      </c>
      <c r="H201" s="100">
        <f>IFERROR(VLOOKUP(Tablo515[[#This Row],[ÜRÜN KODU]],YMKODLARI!$A$1:$K$363,4,0)," ")</f>
        <v>38</v>
      </c>
      <c r="I201" s="100">
        <v>454</v>
      </c>
      <c r="J201" s="100" t="str">
        <f>IFERROR(VLOOKUP(Tablo515[[#This Row],[ÜRÜN KODU]],YMKODLARI!$A$1:$K$363,9,0)," ")</f>
        <v>Şeffaf</v>
      </c>
      <c r="K201" s="100" t="str">
        <f>IFERROR(VLOOKUP(Tablo515[[#This Row],[BOYA KODU]],Tablo14[#All],4,0)," ")</f>
        <v xml:space="preserve"> </v>
      </c>
      <c r="L201" s="100" t="str">
        <f>IFERROR(VLOOKUP(Tablo515[[#This Row],[BOYA KODU]],Tablo14[#All],6,0)," ")</f>
        <v xml:space="preserve"> </v>
      </c>
      <c r="M201" s="100" t="str">
        <f t="shared" si="28"/>
        <v xml:space="preserve"> </v>
      </c>
      <c r="N201" s="100" t="str">
        <f>IFERROR(VLOOKUP(Tablo515[[#This Row],[ÜRÜN KODU]],YMKODLARI!$A$1:$K$363,8,0)," ")</f>
        <v>HM 003</v>
      </c>
      <c r="O201" s="100" t="str">
        <f>IFERROR(VLOOKUP(Tablo515[[#This Row],[HAMMADDE KODU]],Tablo1[#All],3,0)," ")</f>
        <v>LSR 45</v>
      </c>
      <c r="P201" s="100" t="str">
        <f>IFERROR(VLOOKUP(Tablo515[[#This Row],[HAMMADDE KODU]],Tablo1[#All],4,0)," ")</f>
        <v>SETA</v>
      </c>
      <c r="Q201" s="100">
        <f>IFERROR(VLOOKUP(Tablo515[[#This Row],[ÜRÜN KODU]],YMKODLARI!$A$1:$K$363,5,0)," ")</f>
        <v>33.799999999999997</v>
      </c>
      <c r="R201" s="100">
        <f>IFERROR(VLOOKUP(Tablo515[[#This Row],[ÜRÜN KODU]],YMKODLARI!$A$1:$K$363,6,0)," ")</f>
        <v>27.9</v>
      </c>
      <c r="S201" s="100">
        <f>IFERROR(Tablo515[[#This Row],[YOLLUK HARİÇ BASKI GRAMI]]/Tablo515[[#This Row],[KALIP GÖZ ADEDİ]]," ")</f>
        <v>3.4874999999999998</v>
      </c>
      <c r="T201" s="100">
        <f t="shared" si="25"/>
        <v>5.8999999999999986</v>
      </c>
      <c r="U201" s="100">
        <v>3.7</v>
      </c>
      <c r="V201" s="100">
        <f t="shared" si="29"/>
        <v>16.366599999999998</v>
      </c>
      <c r="W201" s="101">
        <f t="shared" si="27"/>
        <v>24.364583333333332</v>
      </c>
      <c r="X201" s="102">
        <f t="shared" si="26"/>
        <v>8.7499999999999716</v>
      </c>
      <c r="Y201" s="100">
        <f t="shared" si="30"/>
        <v>4.7922222222222226</v>
      </c>
      <c r="Z201" s="100">
        <f t="shared" si="31"/>
        <v>3632</v>
      </c>
    </row>
    <row r="202" spans="1:26">
      <c r="A202" s="100" t="s">
        <v>273</v>
      </c>
      <c r="B202" s="108" t="str">
        <f>IFERROR(VLOOKUP(Tablo515[[#This Row],[ÜRÜN KODU]],YMKODLARI!$A$1:$K$363,2,0)," ")</f>
        <v>KLASİK EMZİK UÇ NO 3</v>
      </c>
      <c r="C202" s="99">
        <v>44145</v>
      </c>
      <c r="D202" s="100" t="s">
        <v>29</v>
      </c>
      <c r="E202" s="101">
        <v>0.33333333333333331</v>
      </c>
      <c r="F202" s="101">
        <v>0.75</v>
      </c>
      <c r="G202" s="100">
        <f>IFERROR(VLOOKUP(Tablo515[[#This Row],[ÜRÜN KODU]],YMKODLARI!$A$1:$K$363,3,0)," ")</f>
        <v>8</v>
      </c>
      <c r="H202" s="100">
        <f>IFERROR(VLOOKUP(Tablo515[[#This Row],[ÜRÜN KODU]],YMKODLARI!$A$1:$K$363,4,0)," ")</f>
        <v>38</v>
      </c>
      <c r="I202" s="100">
        <v>740</v>
      </c>
      <c r="J202" s="100" t="str">
        <f>IFERROR(VLOOKUP(Tablo515[[#This Row],[ÜRÜN KODU]],YMKODLARI!$A$1:$K$363,9,0)," ")</f>
        <v>Şeffaf</v>
      </c>
      <c r="K202" s="100" t="str">
        <f>IFERROR(VLOOKUP(Tablo515[[#This Row],[BOYA KODU]],Tablo14[#All],4,0)," ")</f>
        <v xml:space="preserve"> </v>
      </c>
      <c r="L202" s="100" t="str">
        <f>IFERROR(VLOOKUP(Tablo515[[#This Row],[BOYA KODU]],Tablo14[#All],6,0)," ")</f>
        <v xml:space="preserve"> </v>
      </c>
      <c r="M202" s="100" t="str">
        <f t="shared" si="28"/>
        <v xml:space="preserve"> </v>
      </c>
      <c r="N202" s="100" t="str">
        <f>IFERROR(VLOOKUP(Tablo515[[#This Row],[ÜRÜN KODU]],YMKODLARI!$A$1:$K$363,8,0)," ")</f>
        <v>HM 003</v>
      </c>
      <c r="O202" s="100" t="str">
        <f>IFERROR(VLOOKUP(Tablo515[[#This Row],[HAMMADDE KODU]],Tablo1[#All],3,0)," ")</f>
        <v>LSR 45</v>
      </c>
      <c r="P202" s="100" t="str">
        <f>IFERROR(VLOOKUP(Tablo515[[#This Row],[HAMMADDE KODU]],Tablo1[#All],4,0)," ")</f>
        <v>SETA</v>
      </c>
      <c r="Q202" s="100">
        <f>IFERROR(VLOOKUP(Tablo515[[#This Row],[ÜRÜN KODU]],YMKODLARI!$A$1:$K$363,5,0)," ")</f>
        <v>33.799999999999997</v>
      </c>
      <c r="R202" s="100">
        <f>IFERROR(VLOOKUP(Tablo515[[#This Row],[ÜRÜN KODU]],YMKODLARI!$A$1:$K$363,6,0)," ")</f>
        <v>27.9</v>
      </c>
      <c r="S202" s="100">
        <f>IFERROR(Tablo515[[#This Row],[YOLLUK HARİÇ BASKI GRAMI]]/Tablo515[[#This Row],[KALIP GÖZ ADEDİ]]," ")</f>
        <v>3.4874999999999998</v>
      </c>
      <c r="T202" s="100">
        <f t="shared" si="25"/>
        <v>5.8999999999999986</v>
      </c>
      <c r="U202" s="100">
        <v>3.5</v>
      </c>
      <c r="V202" s="100">
        <f t="shared" si="29"/>
        <v>24.146000000000001</v>
      </c>
      <c r="W202" s="101">
        <f t="shared" si="27"/>
        <v>24.416666666666668</v>
      </c>
      <c r="X202" s="102">
        <f t="shared" si="26"/>
        <v>10.000000000000028</v>
      </c>
      <c r="Y202" s="100">
        <f t="shared" si="30"/>
        <v>7.8111111111111109</v>
      </c>
      <c r="Z202" s="100">
        <f t="shared" si="31"/>
        <v>5920</v>
      </c>
    </row>
    <row r="203" spans="1:26">
      <c r="A203" s="100" t="s">
        <v>273</v>
      </c>
      <c r="B203" s="108" t="str">
        <f>IFERROR(VLOOKUP(Tablo515[[#This Row],[ÜRÜN KODU]],YMKODLARI!$A$1:$K$363,2,0)," ")</f>
        <v>KLASİK EMZİK UÇ NO 3</v>
      </c>
      <c r="C203" s="99">
        <v>44146</v>
      </c>
      <c r="D203" s="100" t="s">
        <v>29</v>
      </c>
      <c r="E203" s="101">
        <v>0.33333333333333331</v>
      </c>
      <c r="F203" s="101">
        <v>0.75</v>
      </c>
      <c r="G203" s="100">
        <f>IFERROR(VLOOKUP(Tablo515[[#This Row],[ÜRÜN KODU]],YMKODLARI!$A$1:$K$363,3,0)," ")</f>
        <v>8</v>
      </c>
      <c r="H203" s="100">
        <f>IFERROR(VLOOKUP(Tablo515[[#This Row],[ÜRÜN KODU]],YMKODLARI!$A$1:$K$363,4,0)," ")</f>
        <v>38</v>
      </c>
      <c r="I203" s="100">
        <v>781</v>
      </c>
      <c r="J203" s="100" t="str">
        <f>IFERROR(VLOOKUP(Tablo515[[#This Row],[ÜRÜN KODU]],YMKODLARI!$A$1:$K$363,9,0)," ")</f>
        <v>Şeffaf</v>
      </c>
      <c r="K203" s="100" t="str">
        <f>IFERROR(VLOOKUP(Tablo515[[#This Row],[BOYA KODU]],Tablo14[#All],4,0)," ")</f>
        <v xml:space="preserve"> </v>
      </c>
      <c r="L203" s="100" t="str">
        <f>IFERROR(VLOOKUP(Tablo515[[#This Row],[BOYA KODU]],Tablo14[#All],6,0)," ")</f>
        <v xml:space="preserve"> </v>
      </c>
      <c r="M203" s="100" t="str">
        <f t="shared" si="28"/>
        <v xml:space="preserve"> </v>
      </c>
      <c r="N203" s="100" t="str">
        <f>IFERROR(VLOOKUP(Tablo515[[#This Row],[ÜRÜN KODU]],YMKODLARI!$A$1:$K$363,8,0)," ")</f>
        <v>HM 003</v>
      </c>
      <c r="O203" s="100" t="str">
        <f>IFERROR(VLOOKUP(Tablo515[[#This Row],[HAMMADDE KODU]],Tablo1[#All],3,0)," ")</f>
        <v>LSR 45</v>
      </c>
      <c r="P203" s="100" t="str">
        <f>IFERROR(VLOOKUP(Tablo515[[#This Row],[HAMMADDE KODU]],Tablo1[#All],4,0)," ")</f>
        <v>SETA</v>
      </c>
      <c r="Q203" s="100">
        <f>IFERROR(VLOOKUP(Tablo515[[#This Row],[ÜRÜN KODU]],YMKODLARI!$A$1:$K$363,5,0)," ")</f>
        <v>33.799999999999997</v>
      </c>
      <c r="R203" s="100">
        <f>IFERROR(VLOOKUP(Tablo515[[#This Row],[ÜRÜN KODU]],YMKODLARI!$A$1:$K$363,6,0)," ")</f>
        <v>27.9</v>
      </c>
      <c r="S203" s="100">
        <f>IFERROR(Tablo515[[#This Row],[YOLLUK HARİÇ BASKI GRAMI]]/Tablo515[[#This Row],[KALIP GÖZ ADEDİ]]," ")</f>
        <v>3.4874999999999998</v>
      </c>
      <c r="T203" s="100">
        <f t="shared" si="25"/>
        <v>5.8999999999999986</v>
      </c>
      <c r="U203" s="100">
        <v>5.6</v>
      </c>
      <c r="V203" s="100">
        <f t="shared" si="29"/>
        <v>27.389899999999997</v>
      </c>
      <c r="W203" s="101">
        <f t="shared" si="27"/>
        <v>24.416666666666668</v>
      </c>
      <c r="X203" s="102">
        <f t="shared" si="26"/>
        <v>10.000000000000028</v>
      </c>
      <c r="Y203" s="100">
        <f t="shared" si="30"/>
        <v>8.2438888888888897</v>
      </c>
      <c r="Z203" s="100">
        <f t="shared" si="31"/>
        <v>6248</v>
      </c>
    </row>
    <row r="204" spans="1:26">
      <c r="A204" s="100" t="s">
        <v>273</v>
      </c>
      <c r="B204" s="108" t="str">
        <f>IFERROR(VLOOKUP(Tablo515[[#This Row],[ÜRÜN KODU]],YMKODLARI!$A$1:$K$363,2,0)," ")</f>
        <v>KLASİK EMZİK UÇ NO 3</v>
      </c>
      <c r="C204" s="99">
        <v>44147</v>
      </c>
      <c r="D204" s="100" t="s">
        <v>29</v>
      </c>
      <c r="E204" s="101">
        <v>0.33333333333333331</v>
      </c>
      <c r="F204" s="101">
        <v>0.75</v>
      </c>
      <c r="G204" s="100">
        <f>IFERROR(VLOOKUP(Tablo515[[#This Row],[ÜRÜN KODU]],YMKODLARI!$A$1:$K$363,3,0)," ")</f>
        <v>8</v>
      </c>
      <c r="H204" s="100">
        <f>IFERROR(VLOOKUP(Tablo515[[#This Row],[ÜRÜN KODU]],YMKODLARI!$A$1:$K$363,4,0)," ")</f>
        <v>38</v>
      </c>
      <c r="I204" s="100">
        <v>771</v>
      </c>
      <c r="J204" s="100" t="str">
        <f>IFERROR(VLOOKUP(Tablo515[[#This Row],[ÜRÜN KODU]],YMKODLARI!$A$1:$K$363,9,0)," ")</f>
        <v>Şeffaf</v>
      </c>
      <c r="K204" s="100" t="str">
        <f>IFERROR(VLOOKUP(Tablo515[[#This Row],[BOYA KODU]],Tablo14[#All],4,0)," ")</f>
        <v xml:space="preserve"> </v>
      </c>
      <c r="L204" s="100" t="str">
        <f>IFERROR(VLOOKUP(Tablo515[[#This Row],[BOYA KODU]],Tablo14[#All],6,0)," ")</f>
        <v xml:space="preserve"> </v>
      </c>
      <c r="M204" s="100" t="str">
        <f t="shared" si="28"/>
        <v xml:space="preserve"> </v>
      </c>
      <c r="N204" s="100" t="str">
        <f>IFERROR(VLOOKUP(Tablo515[[#This Row],[ÜRÜN KODU]],YMKODLARI!$A$1:$K$363,8,0)," ")</f>
        <v>HM 003</v>
      </c>
      <c r="O204" s="100" t="str">
        <f>IFERROR(VLOOKUP(Tablo515[[#This Row],[HAMMADDE KODU]],Tablo1[#All],3,0)," ")</f>
        <v>LSR 45</v>
      </c>
      <c r="P204" s="100" t="str">
        <f>IFERROR(VLOOKUP(Tablo515[[#This Row],[HAMMADDE KODU]],Tablo1[#All],4,0)," ")</f>
        <v>SETA</v>
      </c>
      <c r="Q204" s="100">
        <f>IFERROR(VLOOKUP(Tablo515[[#This Row],[ÜRÜN KODU]],YMKODLARI!$A$1:$K$363,5,0)," ")</f>
        <v>33.799999999999997</v>
      </c>
      <c r="R204" s="100">
        <f>IFERROR(VLOOKUP(Tablo515[[#This Row],[ÜRÜN KODU]],YMKODLARI!$A$1:$K$363,6,0)," ")</f>
        <v>27.9</v>
      </c>
      <c r="S204" s="100">
        <f>IFERROR(Tablo515[[#This Row],[YOLLUK HARİÇ BASKI GRAMI]]/Tablo515[[#This Row],[KALIP GÖZ ADEDİ]]," ")</f>
        <v>3.4874999999999998</v>
      </c>
      <c r="T204" s="100">
        <f t="shared" si="25"/>
        <v>5.8999999999999986</v>
      </c>
      <c r="U204" s="100">
        <v>5.8</v>
      </c>
      <c r="V204" s="100">
        <f t="shared" si="29"/>
        <v>27.3109</v>
      </c>
      <c r="W204" s="101">
        <f t="shared" si="27"/>
        <v>24.416666666666668</v>
      </c>
      <c r="X204" s="102">
        <f t="shared" si="26"/>
        <v>10.000000000000028</v>
      </c>
      <c r="Y204" s="100">
        <f t="shared" si="30"/>
        <v>8.1383333333333336</v>
      </c>
      <c r="Z204" s="100">
        <f t="shared" si="31"/>
        <v>6168</v>
      </c>
    </row>
    <row r="205" spans="1:26">
      <c r="A205" s="100" t="s">
        <v>46</v>
      </c>
      <c r="B205" s="108" t="str">
        <f>IFERROR(VLOOKUP(Tablo515[[#This Row],[ÜRÜN KODU]],YMKODLARI!$A$1:$K$363,2,0)," ")</f>
        <v>BİBERON KLASİK  UC 3 NO</v>
      </c>
      <c r="C205" s="99">
        <v>44155</v>
      </c>
      <c r="D205" s="100" t="s">
        <v>47</v>
      </c>
      <c r="E205" s="101">
        <v>0.63541666666666663</v>
      </c>
      <c r="F205" s="101">
        <v>0.75</v>
      </c>
      <c r="G205" s="100">
        <f>IFERROR(VLOOKUP(Tablo515[[#This Row],[ÜRÜN KODU]],YMKODLARI!$A$1:$K$363,3,0)," ")</f>
        <v>8</v>
      </c>
      <c r="H205" s="100">
        <f>IFERROR(VLOOKUP(Tablo515[[#This Row],[ÜRÜN KODU]],YMKODLARI!$A$1:$K$363,4,0)," ")</f>
        <v>36</v>
      </c>
      <c r="I205" s="100">
        <v>228</v>
      </c>
      <c r="J205" s="100" t="str">
        <f>IFERROR(VLOOKUP(Tablo515[[#This Row],[ÜRÜN KODU]],YMKODLARI!$A$1:$K$363,9,0)," ")</f>
        <v>Şeffaf</v>
      </c>
      <c r="K205" s="100" t="str">
        <f>IFERROR(VLOOKUP(Tablo515[[#This Row],[BOYA KODU]],Tablo14[#All],4,0)," ")</f>
        <v xml:space="preserve"> </v>
      </c>
      <c r="L205" s="100" t="str">
        <f>IFERROR(VLOOKUP(Tablo515[[#This Row],[BOYA KODU]],Tablo14[#All],6,0)," ")</f>
        <v xml:space="preserve"> </v>
      </c>
      <c r="M205" s="100" t="str">
        <f t="shared" si="28"/>
        <v xml:space="preserve"> </v>
      </c>
      <c r="N205" s="100" t="str">
        <f>IFERROR(VLOOKUP(Tablo515[[#This Row],[ÜRÜN KODU]],YMKODLARI!$A$1:$K$363,8,0)," ")</f>
        <v>HM 003</v>
      </c>
      <c r="O205" s="100" t="str">
        <f>IFERROR(VLOOKUP(Tablo515[[#This Row],[HAMMADDE KODU]],Tablo1[#All],3,0)," ")</f>
        <v>LSR 45</v>
      </c>
      <c r="P205" s="100" t="str">
        <f>IFERROR(VLOOKUP(Tablo515[[#This Row],[HAMMADDE KODU]],Tablo1[#All],4,0)," ")</f>
        <v>SETA</v>
      </c>
      <c r="Q205" s="100">
        <f>IFERROR(VLOOKUP(Tablo515[[#This Row],[ÜRÜN KODU]],YMKODLARI!$A$1:$K$363,5,0)," ")</f>
        <v>55.6</v>
      </c>
      <c r="R205" s="100">
        <f>IFERROR(VLOOKUP(Tablo515[[#This Row],[ÜRÜN KODU]],YMKODLARI!$A$1:$K$363,6,0)," ")</f>
        <v>48.6</v>
      </c>
      <c r="S205" s="100">
        <f>IFERROR(Tablo515[[#This Row],[YOLLUK HARİÇ BASKI GRAMI]]/Tablo515[[#This Row],[KALIP GÖZ ADEDİ]]," ")</f>
        <v>6.0750000000000002</v>
      </c>
      <c r="T205" s="100">
        <f t="shared" si="25"/>
        <v>7</v>
      </c>
      <c r="U205" s="100">
        <v>2</v>
      </c>
      <c r="V205" s="100">
        <f t="shared" si="29"/>
        <v>13.080800000000002</v>
      </c>
      <c r="W205" s="101">
        <f t="shared" si="27"/>
        <v>24.114583333333332</v>
      </c>
      <c r="X205" s="102">
        <f t="shared" si="26"/>
        <v>2.7499999999999716</v>
      </c>
      <c r="Y205" s="100">
        <f t="shared" si="30"/>
        <v>2.2799999999999998</v>
      </c>
      <c r="Z205" s="100">
        <f t="shared" si="31"/>
        <v>1824</v>
      </c>
    </row>
    <row r="206" spans="1:26">
      <c r="A206" s="100" t="s">
        <v>46</v>
      </c>
      <c r="B206" s="108" t="str">
        <f>IFERROR(VLOOKUP(Tablo515[[#This Row],[ÜRÜN KODU]],YMKODLARI!$A$1:$K$363,2,0)," ")</f>
        <v>BİBERON KLASİK  UC 3 NO</v>
      </c>
      <c r="C206" s="99">
        <v>44158</v>
      </c>
      <c r="D206" s="100" t="s">
        <v>29</v>
      </c>
      <c r="E206" s="101">
        <v>0.52847222222222223</v>
      </c>
      <c r="F206" s="101"/>
      <c r="G206" s="100">
        <f>IFERROR(VLOOKUP(Tablo515[[#This Row],[ÜRÜN KODU]],YMKODLARI!$A$1:$K$363,3,0)," ")</f>
        <v>8</v>
      </c>
      <c r="H206" s="100">
        <f>IFERROR(VLOOKUP(Tablo515[[#This Row],[ÜRÜN KODU]],YMKODLARI!$A$1:$K$363,4,0)," ")</f>
        <v>36</v>
      </c>
      <c r="I206" s="100"/>
      <c r="J206" s="100" t="str">
        <f>IFERROR(VLOOKUP(Tablo515[[#This Row],[ÜRÜN KODU]],YMKODLARI!$A$1:$K$363,9,0)," ")</f>
        <v>Şeffaf</v>
      </c>
      <c r="K206" s="100" t="str">
        <f>IFERROR(VLOOKUP(Tablo515[[#This Row],[BOYA KODU]],Tablo14[#All],4,0)," ")</f>
        <v xml:space="preserve"> </v>
      </c>
      <c r="L206" s="100" t="str">
        <f>IFERROR(VLOOKUP(Tablo515[[#This Row],[BOYA KODU]],Tablo14[#All],6,0)," ")</f>
        <v xml:space="preserve"> </v>
      </c>
      <c r="M206" s="100" t="str">
        <f t="shared" si="28"/>
        <v xml:space="preserve"> </v>
      </c>
      <c r="N206" s="100" t="str">
        <f>IFERROR(VLOOKUP(Tablo515[[#This Row],[ÜRÜN KODU]],YMKODLARI!$A$1:$K$363,8,0)," ")</f>
        <v>HM 003</v>
      </c>
      <c r="O206" s="100" t="str">
        <f>IFERROR(VLOOKUP(Tablo515[[#This Row],[HAMMADDE KODU]],Tablo1[#All],3,0)," ")</f>
        <v>LSR 45</v>
      </c>
      <c r="P206" s="100" t="str">
        <f>IFERROR(VLOOKUP(Tablo515[[#This Row],[HAMMADDE KODU]],Tablo1[#All],4,0)," ")</f>
        <v>SETA</v>
      </c>
      <c r="Q206" s="100">
        <f>IFERROR(VLOOKUP(Tablo515[[#This Row],[ÜRÜN KODU]],YMKODLARI!$A$1:$K$363,5,0)," ")</f>
        <v>55.6</v>
      </c>
      <c r="R206" s="100">
        <f>IFERROR(VLOOKUP(Tablo515[[#This Row],[ÜRÜN KODU]],YMKODLARI!$A$1:$K$363,6,0)," ")</f>
        <v>48.6</v>
      </c>
      <c r="S206" s="100">
        <f>IFERROR(Tablo515[[#This Row],[YOLLUK HARİÇ BASKI GRAMI]]/Tablo515[[#This Row],[KALIP GÖZ ADEDİ]]," ")</f>
        <v>6.0750000000000002</v>
      </c>
      <c r="T206" s="100">
        <f t="shared" si="25"/>
        <v>7</v>
      </c>
      <c r="U206" s="100"/>
      <c r="V206" s="100">
        <f t="shared" si="29"/>
        <v>0</v>
      </c>
      <c r="W206" s="101">
        <f t="shared" si="27"/>
        <v>23.471527777777776</v>
      </c>
      <c r="X206" s="102">
        <f t="shared" si="26"/>
        <v>11.316666666666634</v>
      </c>
      <c r="Y206" s="100">
        <f t="shared" si="30"/>
        <v>0</v>
      </c>
      <c r="Z206" s="100">
        <f t="shared" si="31"/>
        <v>0</v>
      </c>
    </row>
    <row r="207" spans="1:26">
      <c r="A207" s="100"/>
      <c r="B207" s="108" t="str">
        <f>IFERROR(VLOOKUP(Tablo515[[#This Row],[ÜRÜN KODU]],YMKODLARI!$A$1:$K$363,2,0)," ")</f>
        <v xml:space="preserve"> </v>
      </c>
      <c r="C207" s="99"/>
      <c r="D207" s="100"/>
      <c r="E207" s="101"/>
      <c r="F207" s="101"/>
      <c r="G207" s="100" t="str">
        <f>IFERROR(VLOOKUP(Tablo515[[#This Row],[ÜRÜN KODU]],YMKODLARI!$A$1:$K$363,3,0)," ")</f>
        <v xml:space="preserve"> </v>
      </c>
      <c r="H207" s="100" t="str">
        <f>IFERROR(VLOOKUP(Tablo515[[#This Row],[ÜRÜN KODU]],YMKODLARI!$A$1:$K$363,4,0)," ")</f>
        <v xml:space="preserve"> </v>
      </c>
      <c r="I207" s="100"/>
      <c r="J207" s="100" t="str">
        <f>IFERROR(VLOOKUP(Tablo515[[#This Row],[ÜRÜN KODU]],YMKODLARI!$A$1:$K$363,9,0)," ")</f>
        <v xml:space="preserve"> </v>
      </c>
      <c r="K207" s="100" t="str">
        <f>IFERROR(VLOOKUP(Tablo515[[#This Row],[BOYA KODU]],Tablo14[#All],4,0)," ")</f>
        <v xml:space="preserve"> </v>
      </c>
      <c r="L207" s="100" t="str">
        <f>IFERROR(VLOOKUP(Tablo515[[#This Row],[BOYA KODU]],Tablo14[#All],6,0)," ")</f>
        <v xml:space="preserve"> </v>
      </c>
      <c r="M207" s="100" t="str">
        <f t="shared" si="28"/>
        <v xml:space="preserve"> </v>
      </c>
      <c r="N207" s="100" t="str">
        <f>IFERROR(VLOOKUP(Tablo515[[#This Row],[ÜRÜN KODU]],YMKODLARI!$A$1:$K$363,8,0)," ")</f>
        <v xml:space="preserve"> </v>
      </c>
      <c r="O207" s="100" t="str">
        <f>IFERROR(VLOOKUP(Tablo515[[#This Row],[HAMMADDE KODU]],Tablo1[#All],3,0)," ")</f>
        <v xml:space="preserve"> </v>
      </c>
      <c r="P207" s="100" t="str">
        <f>IFERROR(VLOOKUP(Tablo515[[#This Row],[HAMMADDE KODU]],Tablo1[#All],4,0)," ")</f>
        <v xml:space="preserve"> </v>
      </c>
      <c r="Q207" s="100" t="str">
        <f>IFERROR(VLOOKUP(Tablo515[[#This Row],[ÜRÜN KODU]],YMKODLARI!$A$1:$K$363,5,0)," ")</f>
        <v xml:space="preserve"> </v>
      </c>
      <c r="R207" s="100" t="str">
        <f>IFERROR(VLOOKUP(Tablo515[[#This Row],[ÜRÜN KODU]],YMKODLARI!$A$1:$K$363,6,0)," ")</f>
        <v xml:space="preserve"> </v>
      </c>
      <c r="S207" s="100" t="str">
        <f>IFERROR(Tablo515[[#This Row],[YOLLUK HARİÇ BASKI GRAMI]]/Tablo515[[#This Row],[KALIP GÖZ ADEDİ]]," ")</f>
        <v xml:space="preserve"> </v>
      </c>
      <c r="T207" s="100" t="str">
        <f t="shared" si="25"/>
        <v xml:space="preserve"> </v>
      </c>
      <c r="U207" s="100"/>
      <c r="V207" s="100" t="str">
        <f t="shared" si="29"/>
        <v xml:space="preserve"> </v>
      </c>
      <c r="W207" s="101">
        <f t="shared" si="27"/>
        <v>24</v>
      </c>
      <c r="X207" s="102">
        <f t="shared" si="26"/>
        <v>0</v>
      </c>
      <c r="Y207" s="100" t="str">
        <f t="shared" si="30"/>
        <v xml:space="preserve"> </v>
      </c>
      <c r="Z207" s="100" t="str">
        <f t="shared" si="31"/>
        <v xml:space="preserve"> </v>
      </c>
    </row>
    <row r="208" spans="1:26">
      <c r="A208" s="100"/>
      <c r="B208" s="108" t="str">
        <f>IFERROR(VLOOKUP(Tablo515[[#This Row],[ÜRÜN KODU]],YMKODLARI!$A$1:$K$363,2,0)," ")</f>
        <v xml:space="preserve"> </v>
      </c>
      <c r="C208" s="99"/>
      <c r="D208" s="100"/>
      <c r="E208" s="101"/>
      <c r="F208" s="101"/>
      <c r="G208" s="100" t="str">
        <f>IFERROR(VLOOKUP(Tablo515[[#This Row],[ÜRÜN KODU]],YMKODLARI!$A$1:$K$363,3,0)," ")</f>
        <v xml:space="preserve"> </v>
      </c>
      <c r="H208" s="100" t="str">
        <f>IFERROR(VLOOKUP(Tablo515[[#This Row],[ÜRÜN KODU]],YMKODLARI!$A$1:$K$363,4,0)," ")</f>
        <v xml:space="preserve"> </v>
      </c>
      <c r="I208" s="100"/>
      <c r="J208" s="100" t="str">
        <f>IFERROR(VLOOKUP(Tablo515[[#This Row],[ÜRÜN KODU]],YMKODLARI!$A$1:$K$363,9,0)," ")</f>
        <v xml:space="preserve"> </v>
      </c>
      <c r="K208" s="100" t="str">
        <f>IFERROR(VLOOKUP(Tablo515[[#This Row],[BOYA KODU]],Tablo14[#All],4,0)," ")</f>
        <v xml:space="preserve"> </v>
      </c>
      <c r="L208" s="100" t="str">
        <f>IFERROR(VLOOKUP(Tablo515[[#This Row],[BOYA KODU]],Tablo14[#All],6,0)," ")</f>
        <v xml:space="preserve"> </v>
      </c>
      <c r="M208" s="100" t="str">
        <f t="shared" si="28"/>
        <v xml:space="preserve"> </v>
      </c>
      <c r="N208" s="100" t="str">
        <f>IFERROR(VLOOKUP(Tablo515[[#This Row],[ÜRÜN KODU]],YMKODLARI!$A$1:$K$363,8,0)," ")</f>
        <v xml:space="preserve"> </v>
      </c>
      <c r="O208" s="100" t="str">
        <f>IFERROR(VLOOKUP(Tablo515[[#This Row],[HAMMADDE KODU]],Tablo1[#All],3,0)," ")</f>
        <v xml:space="preserve"> </v>
      </c>
      <c r="P208" s="100" t="str">
        <f>IFERROR(VLOOKUP(Tablo515[[#This Row],[HAMMADDE KODU]],Tablo1[#All],4,0)," ")</f>
        <v xml:space="preserve"> </v>
      </c>
      <c r="Q208" s="100" t="str">
        <f>IFERROR(VLOOKUP(Tablo515[[#This Row],[ÜRÜN KODU]],YMKODLARI!$A$1:$K$363,5,0)," ")</f>
        <v xml:space="preserve"> </v>
      </c>
      <c r="R208" s="100" t="str">
        <f>IFERROR(VLOOKUP(Tablo515[[#This Row],[ÜRÜN KODU]],YMKODLARI!$A$1:$K$363,6,0)," ")</f>
        <v xml:space="preserve"> </v>
      </c>
      <c r="S208" s="100" t="str">
        <f>IFERROR(Tablo515[[#This Row],[YOLLUK HARİÇ BASKI GRAMI]]/Tablo515[[#This Row],[KALIP GÖZ ADEDİ]]," ")</f>
        <v xml:space="preserve"> </v>
      </c>
      <c r="T208" s="100" t="str">
        <f t="shared" si="25"/>
        <v xml:space="preserve"> </v>
      </c>
      <c r="U208" s="100"/>
      <c r="V208" s="100" t="str">
        <f t="shared" si="29"/>
        <v xml:space="preserve"> </v>
      </c>
      <c r="W208" s="101">
        <f t="shared" si="27"/>
        <v>24</v>
      </c>
      <c r="X208" s="102">
        <f t="shared" si="26"/>
        <v>0</v>
      </c>
      <c r="Y208" s="100" t="str">
        <f t="shared" si="30"/>
        <v xml:space="preserve"> </v>
      </c>
      <c r="Z208" s="100" t="str">
        <f t="shared" si="31"/>
        <v xml:space="preserve"> </v>
      </c>
    </row>
    <row r="209" spans="1:26">
      <c r="A209" s="100"/>
      <c r="B209" s="108" t="str">
        <f>IFERROR(VLOOKUP(Tablo515[[#This Row],[ÜRÜN KODU]],YMKODLARI!$A$1:$K$363,2,0)," ")</f>
        <v xml:space="preserve"> </v>
      </c>
      <c r="C209" s="99"/>
      <c r="D209" s="100"/>
      <c r="E209" s="101"/>
      <c r="F209" s="101"/>
      <c r="G209" s="100" t="str">
        <f>IFERROR(VLOOKUP(Tablo515[[#This Row],[ÜRÜN KODU]],YMKODLARI!$A$1:$K$363,3,0)," ")</f>
        <v xml:space="preserve"> </v>
      </c>
      <c r="H209" s="100" t="str">
        <f>IFERROR(VLOOKUP(Tablo515[[#This Row],[ÜRÜN KODU]],YMKODLARI!$A$1:$K$363,4,0)," ")</f>
        <v xml:space="preserve"> </v>
      </c>
      <c r="I209" s="100"/>
      <c r="J209" s="100" t="str">
        <f>IFERROR(VLOOKUP(Tablo515[[#This Row],[ÜRÜN KODU]],YMKODLARI!$A$1:$K$363,9,0)," ")</f>
        <v xml:space="preserve"> </v>
      </c>
      <c r="K209" s="100" t="str">
        <f>IFERROR(VLOOKUP(Tablo515[[#This Row],[BOYA KODU]],Tablo14[#All],4,0)," ")</f>
        <v xml:space="preserve"> </v>
      </c>
      <c r="L209" s="100" t="str">
        <f>IFERROR(VLOOKUP(Tablo515[[#This Row],[BOYA KODU]],Tablo14[#All],6,0)," ")</f>
        <v xml:space="preserve"> </v>
      </c>
      <c r="M209" s="100" t="str">
        <f t="shared" si="28"/>
        <v xml:space="preserve"> </v>
      </c>
      <c r="N209" s="100" t="str">
        <f>IFERROR(VLOOKUP(Tablo515[[#This Row],[ÜRÜN KODU]],YMKODLARI!$A$1:$K$363,8,0)," ")</f>
        <v xml:space="preserve"> </v>
      </c>
      <c r="O209" s="100" t="str">
        <f>IFERROR(VLOOKUP(Tablo515[[#This Row],[HAMMADDE KODU]],Tablo1[#All],3,0)," ")</f>
        <v xml:space="preserve"> </v>
      </c>
      <c r="P209" s="100" t="str">
        <f>IFERROR(VLOOKUP(Tablo515[[#This Row],[HAMMADDE KODU]],Tablo1[#All],4,0)," ")</f>
        <v xml:space="preserve"> </v>
      </c>
      <c r="Q209" s="100" t="str">
        <f>IFERROR(VLOOKUP(Tablo515[[#This Row],[ÜRÜN KODU]],YMKODLARI!$A$1:$K$363,5,0)," ")</f>
        <v xml:space="preserve"> </v>
      </c>
      <c r="R209" s="100" t="str">
        <f>IFERROR(VLOOKUP(Tablo515[[#This Row],[ÜRÜN KODU]],YMKODLARI!$A$1:$K$363,6,0)," ")</f>
        <v xml:space="preserve"> </v>
      </c>
      <c r="S209" s="100" t="str">
        <f>IFERROR(Tablo515[[#This Row],[YOLLUK HARİÇ BASKI GRAMI]]/Tablo515[[#This Row],[KALIP GÖZ ADEDİ]]," ")</f>
        <v xml:space="preserve"> </v>
      </c>
      <c r="T209" s="100" t="str">
        <f t="shared" si="25"/>
        <v xml:space="preserve"> </v>
      </c>
      <c r="U209" s="100"/>
      <c r="V209" s="100" t="str">
        <f t="shared" si="29"/>
        <v xml:space="preserve"> </v>
      </c>
      <c r="W209" s="101">
        <f t="shared" si="27"/>
        <v>24</v>
      </c>
      <c r="X209" s="102">
        <f t="shared" si="26"/>
        <v>0</v>
      </c>
      <c r="Y209" s="100" t="str">
        <f t="shared" si="30"/>
        <v xml:space="preserve"> </v>
      </c>
      <c r="Z209" s="100" t="str">
        <f t="shared" si="31"/>
        <v xml:space="preserve"> </v>
      </c>
    </row>
    <row r="210" spans="1:26">
      <c r="A210" s="100"/>
      <c r="B210" s="108" t="str">
        <f>IFERROR(VLOOKUP(Tablo515[[#This Row],[ÜRÜN KODU]],YMKODLARI!$A$1:$K$363,2,0)," ")</f>
        <v xml:space="preserve"> </v>
      </c>
      <c r="C210" s="99"/>
      <c r="D210" s="100"/>
      <c r="E210" s="101"/>
      <c r="F210" s="101"/>
      <c r="G210" s="100" t="str">
        <f>IFERROR(VLOOKUP(Tablo515[[#This Row],[ÜRÜN KODU]],YMKODLARI!$A$1:$K$363,3,0)," ")</f>
        <v xml:space="preserve"> </v>
      </c>
      <c r="H210" s="100" t="str">
        <f>IFERROR(VLOOKUP(Tablo515[[#This Row],[ÜRÜN KODU]],YMKODLARI!$A$1:$K$363,4,0)," ")</f>
        <v xml:space="preserve"> </v>
      </c>
      <c r="I210" s="100"/>
      <c r="J210" s="100" t="str">
        <f>IFERROR(VLOOKUP(Tablo515[[#This Row],[ÜRÜN KODU]],YMKODLARI!$A$1:$K$363,9,0)," ")</f>
        <v xml:space="preserve"> </v>
      </c>
      <c r="K210" s="100" t="str">
        <f>IFERROR(VLOOKUP(Tablo515[[#This Row],[BOYA KODU]],Tablo14[#All],4,0)," ")</f>
        <v xml:space="preserve"> </v>
      </c>
      <c r="L210" s="100" t="str">
        <f>IFERROR(VLOOKUP(Tablo515[[#This Row],[BOYA KODU]],Tablo14[#All],6,0)," ")</f>
        <v xml:space="preserve"> </v>
      </c>
      <c r="M210" s="100" t="str">
        <f t="shared" si="28"/>
        <v xml:space="preserve"> </v>
      </c>
      <c r="N210" s="100" t="str">
        <f>IFERROR(VLOOKUP(Tablo515[[#This Row],[ÜRÜN KODU]],YMKODLARI!$A$1:$K$363,8,0)," ")</f>
        <v xml:space="preserve"> </v>
      </c>
      <c r="O210" s="100" t="str">
        <f>IFERROR(VLOOKUP(Tablo515[[#This Row],[HAMMADDE KODU]],Tablo1[#All],3,0)," ")</f>
        <v xml:space="preserve"> </v>
      </c>
      <c r="P210" s="100" t="str">
        <f>IFERROR(VLOOKUP(Tablo515[[#This Row],[HAMMADDE KODU]],Tablo1[#All],4,0)," ")</f>
        <v xml:space="preserve"> </v>
      </c>
      <c r="Q210" s="100" t="str">
        <f>IFERROR(VLOOKUP(Tablo515[[#This Row],[ÜRÜN KODU]],YMKODLARI!$A$1:$K$363,5,0)," ")</f>
        <v xml:space="preserve"> </v>
      </c>
      <c r="R210" s="100" t="str">
        <f>IFERROR(VLOOKUP(Tablo515[[#This Row],[ÜRÜN KODU]],YMKODLARI!$A$1:$K$363,6,0)," ")</f>
        <v xml:space="preserve"> </v>
      </c>
      <c r="S210" s="100" t="str">
        <f>IFERROR(Tablo515[[#This Row],[YOLLUK HARİÇ BASKI GRAMI]]/Tablo515[[#This Row],[KALIP GÖZ ADEDİ]]," ")</f>
        <v xml:space="preserve"> </v>
      </c>
      <c r="T210" s="100" t="str">
        <f t="shared" si="25"/>
        <v xml:space="preserve"> </v>
      </c>
      <c r="U210" s="100"/>
      <c r="V210" s="100" t="str">
        <f t="shared" si="29"/>
        <v xml:space="preserve"> </v>
      </c>
      <c r="W210" s="101">
        <f t="shared" si="27"/>
        <v>24</v>
      </c>
      <c r="X210" s="102">
        <f t="shared" si="26"/>
        <v>0</v>
      </c>
      <c r="Y210" s="100" t="str">
        <f t="shared" si="30"/>
        <v xml:space="preserve"> </v>
      </c>
      <c r="Z210" s="100" t="str">
        <f t="shared" si="31"/>
        <v xml:space="preserve"> </v>
      </c>
    </row>
    <row r="211" spans="1:26">
      <c r="A211" s="100"/>
      <c r="B211" s="108" t="str">
        <f>IFERROR(VLOOKUP(Tablo515[[#This Row],[ÜRÜN KODU]],YMKODLARI!$A$1:$K$363,2,0)," ")</f>
        <v xml:space="preserve"> </v>
      </c>
      <c r="C211" s="99"/>
      <c r="D211" s="100"/>
      <c r="E211" s="101"/>
      <c r="F211" s="101"/>
      <c r="G211" s="100" t="str">
        <f>IFERROR(VLOOKUP(Tablo515[[#This Row],[ÜRÜN KODU]],YMKODLARI!$A$1:$K$363,3,0)," ")</f>
        <v xml:space="preserve"> </v>
      </c>
      <c r="H211" s="100" t="str">
        <f>IFERROR(VLOOKUP(Tablo515[[#This Row],[ÜRÜN KODU]],YMKODLARI!$A$1:$K$363,4,0)," ")</f>
        <v xml:space="preserve"> </v>
      </c>
      <c r="I211" s="100"/>
      <c r="J211" s="100" t="str">
        <f>IFERROR(VLOOKUP(Tablo515[[#This Row],[ÜRÜN KODU]],YMKODLARI!$A$1:$K$363,9,0)," ")</f>
        <v xml:space="preserve"> </v>
      </c>
      <c r="K211" s="100" t="str">
        <f>IFERROR(VLOOKUP(Tablo515[[#This Row],[BOYA KODU]],Tablo14[#All],4,0)," ")</f>
        <v xml:space="preserve"> </v>
      </c>
      <c r="L211" s="100" t="str">
        <f>IFERROR(VLOOKUP(Tablo515[[#This Row],[BOYA KODU]],Tablo14[#All],6,0)," ")</f>
        <v xml:space="preserve"> </v>
      </c>
      <c r="M211" s="100" t="str">
        <f t="shared" si="28"/>
        <v xml:space="preserve"> </v>
      </c>
      <c r="N211" s="100" t="str">
        <f>IFERROR(VLOOKUP(Tablo515[[#This Row],[ÜRÜN KODU]],YMKODLARI!$A$1:$K$363,8,0)," ")</f>
        <v xml:space="preserve"> </v>
      </c>
      <c r="O211" s="100" t="str">
        <f>IFERROR(VLOOKUP(Tablo515[[#This Row],[HAMMADDE KODU]],Tablo1[#All],3,0)," ")</f>
        <v xml:space="preserve"> </v>
      </c>
      <c r="P211" s="100" t="str">
        <f>IFERROR(VLOOKUP(Tablo515[[#This Row],[HAMMADDE KODU]],Tablo1[#All],4,0)," ")</f>
        <v xml:space="preserve"> </v>
      </c>
      <c r="Q211" s="100" t="str">
        <f>IFERROR(VLOOKUP(Tablo515[[#This Row],[ÜRÜN KODU]],YMKODLARI!$A$1:$K$363,5,0)," ")</f>
        <v xml:space="preserve"> </v>
      </c>
      <c r="R211" s="100" t="str">
        <f>IFERROR(VLOOKUP(Tablo515[[#This Row],[ÜRÜN KODU]],YMKODLARI!$A$1:$K$363,6,0)," ")</f>
        <v xml:space="preserve"> </v>
      </c>
      <c r="S211" s="100" t="str">
        <f>IFERROR(Tablo515[[#This Row],[YOLLUK HARİÇ BASKI GRAMI]]/Tablo515[[#This Row],[KALIP GÖZ ADEDİ]]," ")</f>
        <v xml:space="preserve"> </v>
      </c>
      <c r="T211" s="100" t="str">
        <f t="shared" si="25"/>
        <v xml:space="preserve"> </v>
      </c>
      <c r="U211" s="100"/>
      <c r="V211" s="100" t="str">
        <f t="shared" si="29"/>
        <v xml:space="preserve"> </v>
      </c>
      <c r="W211" s="101">
        <f t="shared" si="27"/>
        <v>24</v>
      </c>
      <c r="X211" s="102">
        <f t="shared" si="26"/>
        <v>0</v>
      </c>
      <c r="Y211" s="100" t="str">
        <f t="shared" si="30"/>
        <v xml:space="preserve"> </v>
      </c>
      <c r="Z211" s="100" t="str">
        <f t="shared" si="31"/>
        <v xml:space="preserve"> </v>
      </c>
    </row>
    <row r="212" spans="1:26">
      <c r="A212" s="100"/>
      <c r="B212" s="108" t="str">
        <f>IFERROR(VLOOKUP(Tablo515[[#This Row],[ÜRÜN KODU]],YMKODLARI!$A$1:$K$363,2,0)," ")</f>
        <v xml:space="preserve"> </v>
      </c>
      <c r="C212" s="99"/>
      <c r="D212" s="100"/>
      <c r="E212" s="101"/>
      <c r="F212" s="101"/>
      <c r="G212" s="100" t="str">
        <f>IFERROR(VLOOKUP(Tablo515[[#This Row],[ÜRÜN KODU]],YMKODLARI!$A$1:$K$363,3,0)," ")</f>
        <v xml:space="preserve"> </v>
      </c>
      <c r="H212" s="100" t="str">
        <f>IFERROR(VLOOKUP(Tablo515[[#This Row],[ÜRÜN KODU]],YMKODLARI!$A$1:$K$363,4,0)," ")</f>
        <v xml:space="preserve"> </v>
      </c>
      <c r="I212" s="100"/>
      <c r="J212" s="100" t="str">
        <f>IFERROR(VLOOKUP(Tablo515[[#This Row],[ÜRÜN KODU]],YMKODLARI!$A$1:$K$363,9,0)," ")</f>
        <v xml:space="preserve"> </v>
      </c>
      <c r="K212" s="100" t="str">
        <f>IFERROR(VLOOKUP(Tablo515[[#This Row],[BOYA KODU]],Tablo14[#All],4,0)," ")</f>
        <v xml:space="preserve"> </v>
      </c>
      <c r="L212" s="100" t="str">
        <f>IFERROR(VLOOKUP(Tablo515[[#This Row],[BOYA KODU]],Tablo14[#All],6,0)," ")</f>
        <v xml:space="preserve"> </v>
      </c>
      <c r="M212" s="100" t="str">
        <f t="shared" si="28"/>
        <v xml:space="preserve"> </v>
      </c>
      <c r="N212" s="100" t="str">
        <f>IFERROR(VLOOKUP(Tablo515[[#This Row],[ÜRÜN KODU]],YMKODLARI!$A$1:$K$363,8,0)," ")</f>
        <v xml:space="preserve"> </v>
      </c>
      <c r="O212" s="100" t="str">
        <f>IFERROR(VLOOKUP(Tablo515[[#This Row],[HAMMADDE KODU]],Tablo1[#All],3,0)," ")</f>
        <v xml:space="preserve"> </v>
      </c>
      <c r="P212" s="100" t="str">
        <f>IFERROR(VLOOKUP(Tablo515[[#This Row],[HAMMADDE KODU]],Tablo1[#All],4,0)," ")</f>
        <v xml:space="preserve"> </v>
      </c>
      <c r="Q212" s="100" t="str">
        <f>IFERROR(VLOOKUP(Tablo515[[#This Row],[ÜRÜN KODU]],YMKODLARI!$A$1:$K$363,5,0)," ")</f>
        <v xml:space="preserve"> </v>
      </c>
      <c r="R212" s="100" t="str">
        <f>IFERROR(VLOOKUP(Tablo515[[#This Row],[ÜRÜN KODU]],YMKODLARI!$A$1:$K$363,6,0)," ")</f>
        <v xml:space="preserve"> </v>
      </c>
      <c r="S212" s="100" t="str">
        <f>IFERROR(Tablo515[[#This Row],[YOLLUK HARİÇ BASKI GRAMI]]/Tablo515[[#This Row],[KALIP GÖZ ADEDİ]]," ")</f>
        <v xml:space="preserve"> </v>
      </c>
      <c r="T212" s="100" t="str">
        <f t="shared" si="25"/>
        <v xml:space="preserve"> </v>
      </c>
      <c r="U212" s="100"/>
      <c r="V212" s="100" t="str">
        <f t="shared" si="29"/>
        <v xml:space="preserve"> </v>
      </c>
      <c r="W212" s="101">
        <f t="shared" si="27"/>
        <v>24</v>
      </c>
      <c r="X212" s="102">
        <f t="shared" si="26"/>
        <v>0</v>
      </c>
      <c r="Y212" s="100" t="str">
        <f t="shared" si="30"/>
        <v xml:space="preserve"> </v>
      </c>
      <c r="Z212" s="100" t="str">
        <f t="shared" si="31"/>
        <v xml:space="preserve"> </v>
      </c>
    </row>
    <row r="213" spans="1:26">
      <c r="A213" s="100"/>
      <c r="B213" s="108" t="str">
        <f>IFERROR(VLOOKUP(Tablo515[[#This Row],[ÜRÜN KODU]],YMKODLARI!$A$1:$K$363,2,0)," ")</f>
        <v xml:space="preserve"> </v>
      </c>
      <c r="C213" s="99"/>
      <c r="D213" s="100"/>
      <c r="E213" s="101"/>
      <c r="F213" s="101"/>
      <c r="G213" s="100" t="str">
        <f>IFERROR(VLOOKUP(Tablo515[[#This Row],[ÜRÜN KODU]],YMKODLARI!$A$1:$K$363,3,0)," ")</f>
        <v xml:space="preserve"> </v>
      </c>
      <c r="H213" s="100" t="str">
        <f>IFERROR(VLOOKUP(Tablo515[[#This Row],[ÜRÜN KODU]],YMKODLARI!$A$1:$K$363,4,0)," ")</f>
        <v xml:space="preserve"> </v>
      </c>
      <c r="I213" s="100"/>
      <c r="J213" s="100" t="str">
        <f>IFERROR(VLOOKUP(Tablo515[[#This Row],[ÜRÜN KODU]],YMKODLARI!$A$1:$K$363,9,0)," ")</f>
        <v xml:space="preserve"> </v>
      </c>
      <c r="K213" s="100" t="str">
        <f>IFERROR(VLOOKUP(Tablo515[[#This Row],[BOYA KODU]],Tablo14[#All],4,0)," ")</f>
        <v xml:space="preserve"> </v>
      </c>
      <c r="L213" s="100" t="str">
        <f>IFERROR(VLOOKUP(Tablo515[[#This Row],[BOYA KODU]],Tablo14[#All],6,0)," ")</f>
        <v xml:space="preserve"> </v>
      </c>
      <c r="M213" s="100" t="str">
        <f t="shared" si="28"/>
        <v xml:space="preserve"> </v>
      </c>
      <c r="N213" s="100" t="str">
        <f>IFERROR(VLOOKUP(Tablo515[[#This Row],[ÜRÜN KODU]],YMKODLARI!$A$1:$K$363,8,0)," ")</f>
        <v xml:space="preserve"> </v>
      </c>
      <c r="O213" s="100" t="str">
        <f>IFERROR(VLOOKUP(Tablo515[[#This Row],[HAMMADDE KODU]],Tablo1[#All],3,0)," ")</f>
        <v xml:space="preserve"> </v>
      </c>
      <c r="P213" s="100" t="str">
        <f>IFERROR(VLOOKUP(Tablo515[[#This Row],[HAMMADDE KODU]],Tablo1[#All],4,0)," ")</f>
        <v xml:space="preserve"> </v>
      </c>
      <c r="Q213" s="100" t="str">
        <f>IFERROR(VLOOKUP(Tablo515[[#This Row],[ÜRÜN KODU]],YMKODLARI!$A$1:$K$363,5,0)," ")</f>
        <v xml:space="preserve"> </v>
      </c>
      <c r="R213" s="100" t="str">
        <f>IFERROR(VLOOKUP(Tablo515[[#This Row],[ÜRÜN KODU]],YMKODLARI!$A$1:$K$363,6,0)," ")</f>
        <v xml:space="preserve"> </v>
      </c>
      <c r="S213" s="100" t="str">
        <f>IFERROR(Tablo515[[#This Row],[YOLLUK HARİÇ BASKI GRAMI]]/Tablo515[[#This Row],[KALIP GÖZ ADEDİ]]," ")</f>
        <v xml:space="preserve"> </v>
      </c>
      <c r="T213" s="100" t="str">
        <f t="shared" si="25"/>
        <v xml:space="preserve"> </v>
      </c>
      <c r="U213" s="100"/>
      <c r="V213" s="100" t="str">
        <f t="shared" si="29"/>
        <v xml:space="preserve"> </v>
      </c>
      <c r="W213" s="101">
        <f t="shared" si="27"/>
        <v>24</v>
      </c>
      <c r="X213" s="102">
        <f t="shared" si="26"/>
        <v>0</v>
      </c>
      <c r="Y213" s="100" t="str">
        <f t="shared" si="30"/>
        <v xml:space="preserve"> </v>
      </c>
      <c r="Z213" s="100" t="str">
        <f t="shared" si="31"/>
        <v xml:space="preserve"> </v>
      </c>
    </row>
    <row r="214" spans="1:26">
      <c r="A214" s="100"/>
      <c r="B214" s="108" t="str">
        <f>IFERROR(VLOOKUP(Tablo515[[#This Row],[ÜRÜN KODU]],YMKODLARI!$A$1:$K$363,2,0)," ")</f>
        <v xml:space="preserve"> </v>
      </c>
      <c r="C214" s="99"/>
      <c r="D214" s="100"/>
      <c r="E214" s="101"/>
      <c r="F214" s="101"/>
      <c r="G214" s="100" t="str">
        <f>IFERROR(VLOOKUP(Tablo515[[#This Row],[ÜRÜN KODU]],YMKODLARI!$A$1:$K$363,3,0)," ")</f>
        <v xml:space="preserve"> </v>
      </c>
      <c r="H214" s="100" t="str">
        <f>IFERROR(VLOOKUP(Tablo515[[#This Row],[ÜRÜN KODU]],YMKODLARI!$A$1:$K$363,4,0)," ")</f>
        <v xml:space="preserve"> </v>
      </c>
      <c r="I214" s="100"/>
      <c r="J214" s="100" t="str">
        <f>IFERROR(VLOOKUP(Tablo515[[#This Row],[ÜRÜN KODU]],YMKODLARI!$A$1:$K$363,9,0)," ")</f>
        <v xml:space="preserve"> </v>
      </c>
      <c r="K214" s="100" t="str">
        <f>IFERROR(VLOOKUP(Tablo515[[#This Row],[BOYA KODU]],Tablo14[#All],4,0)," ")</f>
        <v xml:space="preserve"> </v>
      </c>
      <c r="L214" s="100" t="str">
        <f>IFERROR(VLOOKUP(Tablo515[[#This Row],[BOYA KODU]],Tablo14[#All],6,0)," ")</f>
        <v xml:space="preserve"> </v>
      </c>
      <c r="M214" s="100" t="str">
        <f t="shared" si="28"/>
        <v xml:space="preserve"> </v>
      </c>
      <c r="N214" s="100" t="str">
        <f>IFERROR(VLOOKUP(Tablo515[[#This Row],[ÜRÜN KODU]],YMKODLARI!$A$1:$K$363,8,0)," ")</f>
        <v xml:space="preserve"> </v>
      </c>
      <c r="O214" s="100" t="str">
        <f>IFERROR(VLOOKUP(Tablo515[[#This Row],[HAMMADDE KODU]],Tablo1[#All],3,0)," ")</f>
        <v xml:space="preserve"> </v>
      </c>
      <c r="P214" s="100" t="str">
        <f>IFERROR(VLOOKUP(Tablo515[[#This Row],[HAMMADDE KODU]],Tablo1[#All],4,0)," ")</f>
        <v xml:space="preserve"> </v>
      </c>
      <c r="Q214" s="100" t="str">
        <f>IFERROR(VLOOKUP(Tablo515[[#This Row],[ÜRÜN KODU]],YMKODLARI!$A$1:$K$363,5,0)," ")</f>
        <v xml:space="preserve"> </v>
      </c>
      <c r="R214" s="100" t="str">
        <f>IFERROR(VLOOKUP(Tablo515[[#This Row],[ÜRÜN KODU]],YMKODLARI!$A$1:$K$363,6,0)," ")</f>
        <v xml:space="preserve"> </v>
      </c>
      <c r="S214" s="100" t="str">
        <f>IFERROR(Tablo515[[#This Row],[YOLLUK HARİÇ BASKI GRAMI]]/Tablo515[[#This Row],[KALIP GÖZ ADEDİ]]," ")</f>
        <v xml:space="preserve"> </v>
      </c>
      <c r="T214" s="100" t="str">
        <f t="shared" si="25"/>
        <v xml:space="preserve"> </v>
      </c>
      <c r="U214" s="100"/>
      <c r="V214" s="100" t="str">
        <f t="shared" si="29"/>
        <v xml:space="preserve"> </v>
      </c>
      <c r="W214" s="101">
        <f t="shared" si="27"/>
        <v>24</v>
      </c>
      <c r="X214" s="102">
        <f t="shared" si="26"/>
        <v>0</v>
      </c>
      <c r="Y214" s="100" t="str">
        <f t="shared" si="30"/>
        <v xml:space="preserve"> </v>
      </c>
      <c r="Z214" s="100" t="str">
        <f t="shared" si="31"/>
        <v xml:space="preserve"> </v>
      </c>
    </row>
    <row r="215" spans="1:26">
      <c r="A215" s="100"/>
      <c r="B215" s="108" t="str">
        <f>IFERROR(VLOOKUP(Tablo515[[#This Row],[ÜRÜN KODU]],YMKODLARI!$A$1:$K$363,2,0)," ")</f>
        <v xml:space="preserve"> </v>
      </c>
      <c r="C215" s="99"/>
      <c r="D215" s="100"/>
      <c r="E215" s="101"/>
      <c r="F215" s="101"/>
      <c r="G215" s="100" t="str">
        <f>IFERROR(VLOOKUP(Tablo515[[#This Row],[ÜRÜN KODU]],YMKODLARI!$A$1:$K$363,3,0)," ")</f>
        <v xml:space="preserve"> </v>
      </c>
      <c r="H215" s="100" t="str">
        <f>IFERROR(VLOOKUP(Tablo515[[#This Row],[ÜRÜN KODU]],YMKODLARI!$A$1:$K$363,4,0)," ")</f>
        <v xml:space="preserve"> </v>
      </c>
      <c r="I215" s="100"/>
      <c r="J215" s="100" t="str">
        <f>IFERROR(VLOOKUP(Tablo515[[#This Row],[ÜRÜN KODU]],YMKODLARI!$A$1:$K$363,9,0)," ")</f>
        <v xml:space="preserve"> </v>
      </c>
      <c r="K215" s="100" t="str">
        <f>IFERROR(VLOOKUP(Tablo515[[#This Row],[BOYA KODU]],Tablo14[#All],4,0)," ")</f>
        <v xml:space="preserve"> </v>
      </c>
      <c r="L215" s="100" t="str">
        <f>IFERROR(VLOOKUP(Tablo515[[#This Row],[BOYA KODU]],Tablo14[#All],6,0)," ")</f>
        <v xml:space="preserve"> </v>
      </c>
      <c r="M215" s="100" t="str">
        <f t="shared" si="28"/>
        <v xml:space="preserve"> </v>
      </c>
      <c r="N215" s="100" t="str">
        <f>IFERROR(VLOOKUP(Tablo515[[#This Row],[ÜRÜN KODU]],YMKODLARI!$A$1:$K$363,8,0)," ")</f>
        <v xml:space="preserve"> </v>
      </c>
      <c r="O215" s="100" t="str">
        <f>IFERROR(VLOOKUP(Tablo515[[#This Row],[HAMMADDE KODU]],Tablo1[#All],3,0)," ")</f>
        <v xml:space="preserve"> </v>
      </c>
      <c r="P215" s="100" t="str">
        <f>IFERROR(VLOOKUP(Tablo515[[#This Row],[HAMMADDE KODU]],Tablo1[#All],4,0)," ")</f>
        <v xml:space="preserve"> </v>
      </c>
      <c r="Q215" s="100" t="str">
        <f>IFERROR(VLOOKUP(Tablo515[[#This Row],[ÜRÜN KODU]],YMKODLARI!$A$1:$K$363,5,0)," ")</f>
        <v xml:space="preserve"> </v>
      </c>
      <c r="R215" s="100" t="str">
        <f>IFERROR(VLOOKUP(Tablo515[[#This Row],[ÜRÜN KODU]],YMKODLARI!$A$1:$K$363,6,0)," ")</f>
        <v xml:space="preserve"> </v>
      </c>
      <c r="S215" s="100" t="str">
        <f>IFERROR(Tablo515[[#This Row],[YOLLUK HARİÇ BASKI GRAMI]]/Tablo515[[#This Row],[KALIP GÖZ ADEDİ]]," ")</f>
        <v xml:space="preserve"> </v>
      </c>
      <c r="T215" s="100" t="str">
        <f t="shared" si="25"/>
        <v xml:space="preserve"> </v>
      </c>
      <c r="U215" s="100"/>
      <c r="V215" s="100" t="str">
        <f t="shared" si="29"/>
        <v xml:space="preserve"> </v>
      </c>
      <c r="W215" s="101">
        <f t="shared" si="27"/>
        <v>24</v>
      </c>
      <c r="X215" s="102">
        <f t="shared" si="26"/>
        <v>0</v>
      </c>
      <c r="Y215" s="100" t="str">
        <f t="shared" si="30"/>
        <v xml:space="preserve"> </v>
      </c>
      <c r="Z215" s="100" t="str">
        <f t="shared" si="31"/>
        <v xml:space="preserve"> </v>
      </c>
    </row>
    <row r="216" spans="1:26">
      <c r="A216" s="100"/>
      <c r="B216" s="108" t="str">
        <f>IFERROR(VLOOKUP(Tablo515[[#This Row],[ÜRÜN KODU]],YMKODLARI!$A$1:$K$363,2,0)," ")</f>
        <v xml:space="preserve"> </v>
      </c>
      <c r="C216" s="99"/>
      <c r="D216" s="100"/>
      <c r="E216" s="101"/>
      <c r="F216" s="101"/>
      <c r="G216" s="100" t="str">
        <f>IFERROR(VLOOKUP(Tablo515[[#This Row],[ÜRÜN KODU]],YMKODLARI!$A$1:$K$363,3,0)," ")</f>
        <v xml:space="preserve"> </v>
      </c>
      <c r="H216" s="100" t="str">
        <f>IFERROR(VLOOKUP(Tablo515[[#This Row],[ÜRÜN KODU]],YMKODLARI!$A$1:$K$363,4,0)," ")</f>
        <v xml:space="preserve"> </v>
      </c>
      <c r="I216" s="100"/>
      <c r="J216" s="100" t="str">
        <f>IFERROR(VLOOKUP(Tablo515[[#This Row],[ÜRÜN KODU]],YMKODLARI!$A$1:$K$363,9,0)," ")</f>
        <v xml:space="preserve"> </v>
      </c>
      <c r="K216" s="100" t="str">
        <f>IFERROR(VLOOKUP(Tablo515[[#This Row],[BOYA KODU]],Tablo14[#All],4,0)," ")</f>
        <v xml:space="preserve"> </v>
      </c>
      <c r="L216" s="100" t="str">
        <f>IFERROR(VLOOKUP(Tablo515[[#This Row],[BOYA KODU]],Tablo14[#All],6,0)," ")</f>
        <v xml:space="preserve"> </v>
      </c>
      <c r="M216" s="100" t="str">
        <f t="shared" si="28"/>
        <v xml:space="preserve"> </v>
      </c>
      <c r="N216" s="100" t="str">
        <f>IFERROR(VLOOKUP(Tablo515[[#This Row],[ÜRÜN KODU]],YMKODLARI!$A$1:$K$363,8,0)," ")</f>
        <v xml:space="preserve"> </v>
      </c>
      <c r="O216" s="100" t="str">
        <f>IFERROR(VLOOKUP(Tablo515[[#This Row],[HAMMADDE KODU]],Tablo1[#All],3,0)," ")</f>
        <v xml:space="preserve"> </v>
      </c>
      <c r="P216" s="100" t="str">
        <f>IFERROR(VLOOKUP(Tablo515[[#This Row],[HAMMADDE KODU]],Tablo1[#All],4,0)," ")</f>
        <v xml:space="preserve"> </v>
      </c>
      <c r="Q216" s="100" t="str">
        <f>IFERROR(VLOOKUP(Tablo515[[#This Row],[ÜRÜN KODU]],YMKODLARI!$A$1:$K$363,5,0)," ")</f>
        <v xml:space="preserve"> </v>
      </c>
      <c r="R216" s="100" t="str">
        <f>IFERROR(VLOOKUP(Tablo515[[#This Row],[ÜRÜN KODU]],YMKODLARI!$A$1:$K$363,6,0)," ")</f>
        <v xml:space="preserve"> </v>
      </c>
      <c r="S216" s="100" t="str">
        <f>IFERROR(Tablo515[[#This Row],[YOLLUK HARİÇ BASKI GRAMI]]/Tablo515[[#This Row],[KALIP GÖZ ADEDİ]]," ")</f>
        <v xml:space="preserve"> </v>
      </c>
      <c r="T216" s="100" t="str">
        <f t="shared" si="25"/>
        <v xml:space="preserve"> </v>
      </c>
      <c r="U216" s="100"/>
      <c r="V216" s="100" t="str">
        <f t="shared" si="29"/>
        <v xml:space="preserve"> </v>
      </c>
      <c r="W216" s="101">
        <f t="shared" si="27"/>
        <v>24</v>
      </c>
      <c r="X216" s="102">
        <f t="shared" si="26"/>
        <v>0</v>
      </c>
      <c r="Y216" s="100" t="str">
        <f t="shared" si="30"/>
        <v xml:space="preserve"> </v>
      </c>
      <c r="Z216" s="100" t="str">
        <f t="shared" si="31"/>
        <v xml:space="preserve"> </v>
      </c>
    </row>
    <row r="217" spans="1:26">
      <c r="A217" s="100"/>
      <c r="B217" s="108" t="str">
        <f>IFERROR(VLOOKUP(Tablo515[[#This Row],[ÜRÜN KODU]],YMKODLARI!$A$1:$K$363,2,0)," ")</f>
        <v xml:space="preserve"> </v>
      </c>
      <c r="C217" s="99"/>
      <c r="D217" s="100"/>
      <c r="E217" s="101"/>
      <c r="F217" s="101"/>
      <c r="G217" s="100" t="str">
        <f>IFERROR(VLOOKUP(Tablo515[[#This Row],[ÜRÜN KODU]],YMKODLARI!$A$1:$K$363,3,0)," ")</f>
        <v xml:space="preserve"> </v>
      </c>
      <c r="H217" s="100" t="str">
        <f>IFERROR(VLOOKUP(Tablo515[[#This Row],[ÜRÜN KODU]],YMKODLARI!$A$1:$K$363,4,0)," ")</f>
        <v xml:space="preserve"> </v>
      </c>
      <c r="I217" s="100"/>
      <c r="J217" s="100" t="str">
        <f>IFERROR(VLOOKUP(Tablo515[[#This Row],[ÜRÜN KODU]],YMKODLARI!$A$1:$K$363,9,0)," ")</f>
        <v xml:space="preserve"> </v>
      </c>
      <c r="K217" s="100" t="str">
        <f>IFERROR(VLOOKUP(Tablo515[[#This Row],[BOYA KODU]],Tablo14[#All],4,0)," ")</f>
        <v xml:space="preserve"> </v>
      </c>
      <c r="L217" s="100" t="str">
        <f>IFERROR(VLOOKUP(Tablo515[[#This Row],[BOYA KODU]],Tablo14[#All],6,0)," ")</f>
        <v xml:space="preserve"> </v>
      </c>
      <c r="M217" s="100" t="str">
        <f t="shared" si="28"/>
        <v xml:space="preserve"> </v>
      </c>
      <c r="N217" s="100" t="str">
        <f>IFERROR(VLOOKUP(Tablo515[[#This Row],[ÜRÜN KODU]],YMKODLARI!$A$1:$K$363,8,0)," ")</f>
        <v xml:space="preserve"> </v>
      </c>
      <c r="O217" s="100" t="str">
        <f>IFERROR(VLOOKUP(Tablo515[[#This Row],[HAMMADDE KODU]],Tablo1[#All],3,0)," ")</f>
        <v xml:space="preserve"> </v>
      </c>
      <c r="P217" s="100" t="str">
        <f>IFERROR(VLOOKUP(Tablo515[[#This Row],[HAMMADDE KODU]],Tablo1[#All],4,0)," ")</f>
        <v xml:space="preserve"> </v>
      </c>
      <c r="Q217" s="100" t="str">
        <f>IFERROR(VLOOKUP(Tablo515[[#This Row],[ÜRÜN KODU]],YMKODLARI!$A$1:$K$363,5,0)," ")</f>
        <v xml:space="preserve"> </v>
      </c>
      <c r="R217" s="100" t="str">
        <f>IFERROR(VLOOKUP(Tablo515[[#This Row],[ÜRÜN KODU]],YMKODLARI!$A$1:$K$363,6,0)," ")</f>
        <v xml:space="preserve"> </v>
      </c>
      <c r="S217" s="100" t="str">
        <f>IFERROR(Tablo515[[#This Row],[YOLLUK HARİÇ BASKI GRAMI]]/Tablo515[[#This Row],[KALIP GÖZ ADEDİ]]," ")</f>
        <v xml:space="preserve"> </v>
      </c>
      <c r="T217" s="100" t="str">
        <f t="shared" si="25"/>
        <v xml:space="preserve"> </v>
      </c>
      <c r="U217" s="100"/>
      <c r="V217" s="100" t="str">
        <f t="shared" si="29"/>
        <v xml:space="preserve"> </v>
      </c>
      <c r="W217" s="101">
        <f t="shared" si="27"/>
        <v>24</v>
      </c>
      <c r="X217" s="102">
        <f t="shared" si="26"/>
        <v>0</v>
      </c>
      <c r="Y217" s="100" t="str">
        <f t="shared" si="30"/>
        <v xml:space="preserve"> </v>
      </c>
      <c r="Z217" s="100" t="str">
        <f t="shared" si="31"/>
        <v xml:space="preserve"> </v>
      </c>
    </row>
    <row r="218" spans="1:26">
      <c r="A218" s="100"/>
      <c r="B218" s="108" t="str">
        <f>IFERROR(VLOOKUP(Tablo515[[#This Row],[ÜRÜN KODU]],YMKODLARI!$A$1:$K$363,2,0)," ")</f>
        <v xml:space="preserve"> </v>
      </c>
      <c r="C218" s="99"/>
      <c r="D218" s="100"/>
      <c r="E218" s="101"/>
      <c r="F218" s="101"/>
      <c r="G218" s="100" t="str">
        <f>IFERROR(VLOOKUP(Tablo515[[#This Row],[ÜRÜN KODU]],YMKODLARI!$A$1:$K$363,3,0)," ")</f>
        <v xml:space="preserve"> </v>
      </c>
      <c r="H218" s="100" t="str">
        <f>IFERROR(VLOOKUP(Tablo515[[#This Row],[ÜRÜN KODU]],YMKODLARI!$A$1:$K$363,4,0)," ")</f>
        <v xml:space="preserve"> </v>
      </c>
      <c r="I218" s="100"/>
      <c r="J218" s="100" t="str">
        <f>IFERROR(VLOOKUP(Tablo515[[#This Row],[ÜRÜN KODU]],YMKODLARI!$A$1:$K$363,9,0)," ")</f>
        <v xml:space="preserve"> </v>
      </c>
      <c r="K218" s="100" t="str">
        <f>IFERROR(VLOOKUP(Tablo515[[#This Row],[BOYA KODU]],Tablo14[#All],4,0)," ")</f>
        <v xml:space="preserve"> </v>
      </c>
      <c r="L218" s="100" t="str">
        <f>IFERROR(VLOOKUP(Tablo515[[#This Row],[BOYA KODU]],Tablo14[#All],6,0)," ")</f>
        <v xml:space="preserve"> </v>
      </c>
      <c r="M218" s="100" t="str">
        <f t="shared" si="28"/>
        <v xml:space="preserve"> </v>
      </c>
      <c r="N218" s="100" t="str">
        <f>IFERROR(VLOOKUP(Tablo515[[#This Row],[ÜRÜN KODU]],YMKODLARI!$A$1:$K$363,8,0)," ")</f>
        <v xml:space="preserve"> </v>
      </c>
      <c r="O218" s="100" t="str">
        <f>IFERROR(VLOOKUP(Tablo515[[#This Row],[HAMMADDE KODU]],Tablo1[#All],3,0)," ")</f>
        <v xml:space="preserve"> </v>
      </c>
      <c r="P218" s="100" t="str">
        <f>IFERROR(VLOOKUP(Tablo515[[#This Row],[HAMMADDE KODU]],Tablo1[#All],4,0)," ")</f>
        <v xml:space="preserve"> </v>
      </c>
      <c r="Q218" s="100" t="str">
        <f>IFERROR(VLOOKUP(Tablo515[[#This Row],[ÜRÜN KODU]],YMKODLARI!$A$1:$K$363,5,0)," ")</f>
        <v xml:space="preserve"> </v>
      </c>
      <c r="R218" s="100" t="str">
        <f>IFERROR(VLOOKUP(Tablo515[[#This Row],[ÜRÜN KODU]],YMKODLARI!$A$1:$K$363,6,0)," ")</f>
        <v xml:space="preserve"> </v>
      </c>
      <c r="S218" s="100" t="str">
        <f>IFERROR(Tablo515[[#This Row],[YOLLUK HARİÇ BASKI GRAMI]]/Tablo515[[#This Row],[KALIP GÖZ ADEDİ]]," ")</f>
        <v xml:space="preserve"> </v>
      </c>
      <c r="T218" s="100" t="str">
        <f t="shared" si="25"/>
        <v xml:space="preserve"> </v>
      </c>
      <c r="U218" s="100"/>
      <c r="V218" s="100" t="str">
        <f t="shared" si="29"/>
        <v xml:space="preserve"> </v>
      </c>
      <c r="W218" s="101">
        <f t="shared" si="27"/>
        <v>24</v>
      </c>
      <c r="X218" s="102">
        <f t="shared" si="26"/>
        <v>0</v>
      </c>
      <c r="Y218" s="100" t="str">
        <f t="shared" si="30"/>
        <v xml:space="preserve"> </v>
      </c>
      <c r="Z218" s="100" t="str">
        <f t="shared" si="31"/>
        <v xml:space="preserve"> </v>
      </c>
    </row>
    <row r="219" spans="1:26">
      <c r="A219" s="100"/>
      <c r="B219" s="108" t="str">
        <f>IFERROR(VLOOKUP(Tablo515[[#This Row],[ÜRÜN KODU]],YMKODLARI!$A$1:$K$363,2,0)," ")</f>
        <v xml:space="preserve"> </v>
      </c>
      <c r="C219" s="99"/>
      <c r="D219" s="100"/>
      <c r="E219" s="101"/>
      <c r="F219" s="101"/>
      <c r="G219" s="100" t="str">
        <f>IFERROR(VLOOKUP(Tablo515[[#This Row],[ÜRÜN KODU]],YMKODLARI!$A$1:$K$363,3,0)," ")</f>
        <v xml:space="preserve"> </v>
      </c>
      <c r="H219" s="100" t="str">
        <f>IFERROR(VLOOKUP(Tablo515[[#This Row],[ÜRÜN KODU]],YMKODLARI!$A$1:$K$363,4,0)," ")</f>
        <v xml:space="preserve"> </v>
      </c>
      <c r="I219" s="100"/>
      <c r="J219" s="100" t="str">
        <f>IFERROR(VLOOKUP(Tablo515[[#This Row],[ÜRÜN KODU]],YMKODLARI!$A$1:$K$363,9,0)," ")</f>
        <v xml:space="preserve"> </v>
      </c>
      <c r="K219" s="100" t="str">
        <f>IFERROR(VLOOKUP(Tablo515[[#This Row],[BOYA KODU]],Tablo14[#All],4,0)," ")</f>
        <v xml:space="preserve"> </v>
      </c>
      <c r="L219" s="100" t="str">
        <f>IFERROR(VLOOKUP(Tablo515[[#This Row],[BOYA KODU]],Tablo14[#All],6,0)," ")</f>
        <v xml:space="preserve"> </v>
      </c>
      <c r="M219" s="100" t="str">
        <f t="shared" si="28"/>
        <v xml:space="preserve"> </v>
      </c>
      <c r="N219" s="100" t="str">
        <f>IFERROR(VLOOKUP(Tablo515[[#This Row],[ÜRÜN KODU]],YMKODLARI!$A$1:$K$363,8,0)," ")</f>
        <v xml:space="preserve"> </v>
      </c>
      <c r="O219" s="100" t="str">
        <f>IFERROR(VLOOKUP(Tablo515[[#This Row],[HAMMADDE KODU]],Tablo1[#All],3,0)," ")</f>
        <v xml:space="preserve"> </v>
      </c>
      <c r="P219" s="100" t="str">
        <f>IFERROR(VLOOKUP(Tablo515[[#This Row],[HAMMADDE KODU]],Tablo1[#All],4,0)," ")</f>
        <v xml:space="preserve"> </v>
      </c>
      <c r="Q219" s="100" t="str">
        <f>IFERROR(VLOOKUP(Tablo515[[#This Row],[ÜRÜN KODU]],YMKODLARI!$A$1:$K$363,5,0)," ")</f>
        <v xml:space="preserve"> </v>
      </c>
      <c r="R219" s="100" t="str">
        <f>IFERROR(VLOOKUP(Tablo515[[#This Row],[ÜRÜN KODU]],YMKODLARI!$A$1:$K$363,6,0)," ")</f>
        <v xml:space="preserve"> </v>
      </c>
      <c r="S219" s="100" t="str">
        <f>IFERROR(Tablo515[[#This Row],[YOLLUK HARİÇ BASKI GRAMI]]/Tablo515[[#This Row],[KALIP GÖZ ADEDİ]]," ")</f>
        <v xml:space="preserve"> </v>
      </c>
      <c r="T219" s="100" t="str">
        <f t="shared" si="25"/>
        <v xml:space="preserve"> </v>
      </c>
      <c r="U219" s="100"/>
      <c r="V219" s="100" t="str">
        <f t="shared" si="29"/>
        <v xml:space="preserve"> </v>
      </c>
      <c r="W219" s="101">
        <f t="shared" si="27"/>
        <v>24</v>
      </c>
      <c r="X219" s="102">
        <f t="shared" si="26"/>
        <v>0</v>
      </c>
      <c r="Y219" s="100" t="str">
        <f t="shared" si="30"/>
        <v xml:space="preserve"> </v>
      </c>
      <c r="Z219" s="100" t="str">
        <f t="shared" si="31"/>
        <v xml:space="preserve"> </v>
      </c>
    </row>
    <row r="220" spans="1:26">
      <c r="A220" s="100"/>
      <c r="B220" s="108" t="str">
        <f>IFERROR(VLOOKUP(Tablo515[[#This Row],[ÜRÜN KODU]],YMKODLARI!$A$1:$K$363,2,0)," ")</f>
        <v xml:space="preserve"> </v>
      </c>
      <c r="C220" s="99"/>
      <c r="D220" s="100"/>
      <c r="E220" s="101"/>
      <c r="F220" s="101"/>
      <c r="G220" s="100" t="str">
        <f>IFERROR(VLOOKUP(Tablo515[[#This Row],[ÜRÜN KODU]],YMKODLARI!$A$1:$K$363,3,0)," ")</f>
        <v xml:space="preserve"> </v>
      </c>
      <c r="H220" s="100" t="str">
        <f>IFERROR(VLOOKUP(Tablo515[[#This Row],[ÜRÜN KODU]],YMKODLARI!$A$1:$K$363,4,0)," ")</f>
        <v xml:space="preserve"> </v>
      </c>
      <c r="I220" s="100"/>
      <c r="J220" s="100" t="str">
        <f>IFERROR(VLOOKUP(Tablo515[[#This Row],[ÜRÜN KODU]],YMKODLARI!$A$1:$K$363,9,0)," ")</f>
        <v xml:space="preserve"> </v>
      </c>
      <c r="K220" s="100" t="str">
        <f>IFERROR(VLOOKUP(Tablo515[[#This Row],[BOYA KODU]],Tablo14[#All],4,0)," ")</f>
        <v xml:space="preserve"> </v>
      </c>
      <c r="L220" s="100" t="str">
        <f>IFERROR(VLOOKUP(Tablo515[[#This Row],[BOYA KODU]],Tablo14[#All],6,0)," ")</f>
        <v xml:space="preserve"> </v>
      </c>
      <c r="M220" s="100" t="str">
        <f t="shared" si="28"/>
        <v xml:space="preserve"> </v>
      </c>
      <c r="N220" s="100" t="str">
        <f>IFERROR(VLOOKUP(Tablo515[[#This Row],[ÜRÜN KODU]],YMKODLARI!$A$1:$K$363,8,0)," ")</f>
        <v xml:space="preserve"> </v>
      </c>
      <c r="O220" s="100" t="str">
        <f>IFERROR(VLOOKUP(Tablo515[[#This Row],[HAMMADDE KODU]],Tablo1[#All],3,0)," ")</f>
        <v xml:space="preserve"> </v>
      </c>
      <c r="P220" s="100" t="str">
        <f>IFERROR(VLOOKUP(Tablo515[[#This Row],[HAMMADDE KODU]],Tablo1[#All],4,0)," ")</f>
        <v xml:space="preserve"> </v>
      </c>
      <c r="Q220" s="100" t="str">
        <f>IFERROR(VLOOKUP(Tablo515[[#This Row],[ÜRÜN KODU]],YMKODLARI!$A$1:$K$363,5,0)," ")</f>
        <v xml:space="preserve"> </v>
      </c>
      <c r="R220" s="100" t="str">
        <f>IFERROR(VLOOKUP(Tablo515[[#This Row],[ÜRÜN KODU]],YMKODLARI!$A$1:$K$363,6,0)," ")</f>
        <v xml:space="preserve"> </v>
      </c>
      <c r="S220" s="100" t="str">
        <f>IFERROR(Tablo515[[#This Row],[YOLLUK HARİÇ BASKI GRAMI]]/Tablo515[[#This Row],[KALIP GÖZ ADEDİ]]," ")</f>
        <v xml:space="preserve"> </v>
      </c>
      <c r="T220" s="100" t="str">
        <f t="shared" si="25"/>
        <v xml:space="preserve"> </v>
      </c>
      <c r="U220" s="100"/>
      <c r="V220" s="100" t="str">
        <f t="shared" si="29"/>
        <v xml:space="preserve"> </v>
      </c>
      <c r="W220" s="101">
        <f t="shared" si="27"/>
        <v>24</v>
      </c>
      <c r="X220" s="102">
        <f t="shared" si="26"/>
        <v>0</v>
      </c>
      <c r="Y220" s="100" t="str">
        <f t="shared" si="30"/>
        <v xml:space="preserve"> </v>
      </c>
      <c r="Z220" s="100" t="str">
        <f t="shared" si="31"/>
        <v xml:space="preserve"> </v>
      </c>
    </row>
    <row r="221" spans="1:26">
      <c r="A221" s="100"/>
      <c r="B221" s="108" t="str">
        <f>IFERROR(VLOOKUP(Tablo515[[#This Row],[ÜRÜN KODU]],YMKODLARI!$A$1:$K$363,2,0)," ")</f>
        <v xml:space="preserve"> </v>
      </c>
      <c r="C221" s="99"/>
      <c r="D221" s="100"/>
      <c r="E221" s="101"/>
      <c r="F221" s="101"/>
      <c r="G221" s="100" t="str">
        <f>IFERROR(VLOOKUP(Tablo515[[#This Row],[ÜRÜN KODU]],YMKODLARI!$A$1:$K$363,3,0)," ")</f>
        <v xml:space="preserve"> </v>
      </c>
      <c r="H221" s="100" t="str">
        <f>IFERROR(VLOOKUP(Tablo515[[#This Row],[ÜRÜN KODU]],YMKODLARI!$A$1:$K$363,4,0)," ")</f>
        <v xml:space="preserve"> </v>
      </c>
      <c r="I221" s="100"/>
      <c r="J221" s="100" t="str">
        <f>IFERROR(VLOOKUP(Tablo515[[#This Row],[ÜRÜN KODU]],YMKODLARI!$A$1:$K$363,9,0)," ")</f>
        <v xml:space="preserve"> </v>
      </c>
      <c r="K221" s="100" t="str">
        <f>IFERROR(VLOOKUP(Tablo515[[#This Row],[BOYA KODU]],Tablo14[#All],4,0)," ")</f>
        <v xml:space="preserve"> </v>
      </c>
      <c r="L221" s="100" t="str">
        <f>IFERROR(VLOOKUP(Tablo515[[#This Row],[BOYA KODU]],Tablo14[#All],6,0)," ")</f>
        <v xml:space="preserve"> </v>
      </c>
      <c r="M221" s="100" t="str">
        <f t="shared" si="28"/>
        <v xml:space="preserve"> </v>
      </c>
      <c r="N221" s="100" t="str">
        <f>IFERROR(VLOOKUP(Tablo515[[#This Row],[ÜRÜN KODU]],YMKODLARI!$A$1:$K$363,8,0)," ")</f>
        <v xml:space="preserve"> </v>
      </c>
      <c r="O221" s="100" t="str">
        <f>IFERROR(VLOOKUP(Tablo515[[#This Row],[HAMMADDE KODU]],Tablo1[#All],3,0)," ")</f>
        <v xml:space="preserve"> </v>
      </c>
      <c r="P221" s="100" t="str">
        <f>IFERROR(VLOOKUP(Tablo515[[#This Row],[HAMMADDE KODU]],Tablo1[#All],4,0)," ")</f>
        <v xml:space="preserve"> </v>
      </c>
      <c r="Q221" s="100" t="str">
        <f>IFERROR(VLOOKUP(Tablo515[[#This Row],[ÜRÜN KODU]],YMKODLARI!$A$1:$K$363,5,0)," ")</f>
        <v xml:space="preserve"> </v>
      </c>
      <c r="R221" s="100" t="str">
        <f>IFERROR(VLOOKUP(Tablo515[[#This Row],[ÜRÜN KODU]],YMKODLARI!$A$1:$K$363,6,0)," ")</f>
        <v xml:space="preserve"> </v>
      </c>
      <c r="S221" s="100" t="str">
        <f>IFERROR(Tablo515[[#This Row],[YOLLUK HARİÇ BASKI GRAMI]]/Tablo515[[#This Row],[KALIP GÖZ ADEDİ]]," ")</f>
        <v xml:space="preserve"> </v>
      </c>
      <c r="T221" s="100" t="str">
        <f t="shared" si="25"/>
        <v xml:space="preserve"> </v>
      </c>
      <c r="U221" s="100"/>
      <c r="V221" s="100" t="str">
        <f t="shared" si="29"/>
        <v xml:space="preserve"> </v>
      </c>
      <c r="W221" s="101">
        <f t="shared" si="27"/>
        <v>24</v>
      </c>
      <c r="X221" s="102">
        <f t="shared" si="26"/>
        <v>0</v>
      </c>
      <c r="Y221" s="100" t="str">
        <f t="shared" si="30"/>
        <v xml:space="preserve"> </v>
      </c>
      <c r="Z221" s="100" t="str">
        <f t="shared" si="31"/>
        <v xml:space="preserve"> </v>
      </c>
    </row>
    <row r="222" spans="1:26">
      <c r="A222" s="100"/>
      <c r="B222" s="108" t="str">
        <f>IFERROR(VLOOKUP(Tablo515[[#This Row],[ÜRÜN KODU]],YMKODLARI!$A$1:$K$363,2,0)," ")</f>
        <v xml:space="preserve"> </v>
      </c>
      <c r="C222" s="99"/>
      <c r="D222" s="100"/>
      <c r="E222" s="101"/>
      <c r="F222" s="101"/>
      <c r="G222" s="100" t="str">
        <f>IFERROR(VLOOKUP(Tablo515[[#This Row],[ÜRÜN KODU]],YMKODLARI!$A$1:$K$363,3,0)," ")</f>
        <v xml:space="preserve"> </v>
      </c>
      <c r="H222" s="100" t="str">
        <f>IFERROR(VLOOKUP(Tablo515[[#This Row],[ÜRÜN KODU]],YMKODLARI!$A$1:$K$363,4,0)," ")</f>
        <v xml:space="preserve"> </v>
      </c>
      <c r="I222" s="100"/>
      <c r="J222" s="100" t="str">
        <f>IFERROR(VLOOKUP(Tablo515[[#This Row],[ÜRÜN KODU]],YMKODLARI!$A$1:$K$363,9,0)," ")</f>
        <v xml:space="preserve"> </v>
      </c>
      <c r="K222" s="100" t="str">
        <f>IFERROR(VLOOKUP(Tablo515[[#This Row],[BOYA KODU]],Tablo14[#All],4,0)," ")</f>
        <v xml:space="preserve"> </v>
      </c>
      <c r="L222" s="100" t="str">
        <f>IFERROR(VLOOKUP(Tablo515[[#This Row],[BOYA KODU]],Tablo14[#All],6,0)," ")</f>
        <v xml:space="preserve"> </v>
      </c>
      <c r="M222" s="100" t="str">
        <f t="shared" si="28"/>
        <v xml:space="preserve"> </v>
      </c>
      <c r="N222" s="100" t="str">
        <f>IFERROR(VLOOKUP(Tablo515[[#This Row],[ÜRÜN KODU]],YMKODLARI!$A$1:$K$363,8,0)," ")</f>
        <v xml:space="preserve"> </v>
      </c>
      <c r="O222" s="100" t="str">
        <f>IFERROR(VLOOKUP(Tablo515[[#This Row],[HAMMADDE KODU]],Tablo1[#All],3,0)," ")</f>
        <v xml:space="preserve"> </v>
      </c>
      <c r="P222" s="100" t="str">
        <f>IFERROR(VLOOKUP(Tablo515[[#This Row],[HAMMADDE KODU]],Tablo1[#All],4,0)," ")</f>
        <v xml:space="preserve"> </v>
      </c>
      <c r="Q222" s="100" t="str">
        <f>IFERROR(VLOOKUP(Tablo515[[#This Row],[ÜRÜN KODU]],YMKODLARI!$A$1:$K$363,5,0)," ")</f>
        <v xml:space="preserve"> </v>
      </c>
      <c r="R222" s="100" t="str">
        <f>IFERROR(VLOOKUP(Tablo515[[#This Row],[ÜRÜN KODU]],YMKODLARI!$A$1:$K$363,6,0)," ")</f>
        <v xml:space="preserve"> </v>
      </c>
      <c r="S222" s="100" t="str">
        <f>IFERROR(Tablo515[[#This Row],[YOLLUK HARİÇ BASKI GRAMI]]/Tablo515[[#This Row],[KALIP GÖZ ADEDİ]]," ")</f>
        <v xml:space="preserve"> </v>
      </c>
      <c r="T222" s="100" t="str">
        <f t="shared" si="25"/>
        <v xml:space="preserve"> </v>
      </c>
      <c r="U222" s="100"/>
      <c r="V222" s="100" t="str">
        <f t="shared" si="29"/>
        <v xml:space="preserve"> </v>
      </c>
      <c r="W222" s="101">
        <f t="shared" si="27"/>
        <v>24</v>
      </c>
      <c r="X222" s="102">
        <f t="shared" si="26"/>
        <v>0</v>
      </c>
      <c r="Y222" s="100" t="str">
        <f t="shared" si="30"/>
        <v xml:space="preserve"> </v>
      </c>
      <c r="Z222" s="100" t="str">
        <f t="shared" si="31"/>
        <v xml:space="preserve"> </v>
      </c>
    </row>
    <row r="223" spans="1:26">
      <c r="A223" s="100"/>
      <c r="B223" s="108" t="str">
        <f>IFERROR(VLOOKUP(Tablo515[[#This Row],[ÜRÜN KODU]],YMKODLARI!$A$1:$K$363,2,0)," ")</f>
        <v xml:space="preserve"> </v>
      </c>
      <c r="C223" s="99"/>
      <c r="D223" s="100"/>
      <c r="E223" s="101"/>
      <c r="F223" s="101"/>
      <c r="G223" s="100" t="str">
        <f>IFERROR(VLOOKUP(Tablo515[[#This Row],[ÜRÜN KODU]],YMKODLARI!$A$1:$K$363,3,0)," ")</f>
        <v xml:space="preserve"> </v>
      </c>
      <c r="H223" s="100" t="str">
        <f>IFERROR(VLOOKUP(Tablo515[[#This Row],[ÜRÜN KODU]],YMKODLARI!$A$1:$K$363,4,0)," ")</f>
        <v xml:space="preserve"> </v>
      </c>
      <c r="I223" s="100"/>
      <c r="J223" s="100" t="str">
        <f>IFERROR(VLOOKUP(Tablo515[[#This Row],[ÜRÜN KODU]],YMKODLARI!$A$1:$K$363,9,0)," ")</f>
        <v xml:space="preserve"> </v>
      </c>
      <c r="K223" s="100" t="str">
        <f>IFERROR(VLOOKUP(Tablo515[[#This Row],[BOYA KODU]],Tablo14[#All],4,0)," ")</f>
        <v xml:space="preserve"> </v>
      </c>
      <c r="L223" s="100" t="str">
        <f>IFERROR(VLOOKUP(Tablo515[[#This Row],[BOYA KODU]],Tablo14[#All],6,0)," ")</f>
        <v xml:space="preserve"> </v>
      </c>
      <c r="M223" s="100" t="str">
        <f t="shared" si="28"/>
        <v xml:space="preserve"> </v>
      </c>
      <c r="N223" s="100" t="str">
        <f>IFERROR(VLOOKUP(Tablo515[[#This Row],[ÜRÜN KODU]],YMKODLARI!$A$1:$K$363,8,0)," ")</f>
        <v xml:space="preserve"> </v>
      </c>
      <c r="O223" s="100" t="str">
        <f>IFERROR(VLOOKUP(Tablo515[[#This Row],[HAMMADDE KODU]],Tablo1[#All],3,0)," ")</f>
        <v xml:space="preserve"> </v>
      </c>
      <c r="P223" s="100" t="str">
        <f>IFERROR(VLOOKUP(Tablo515[[#This Row],[HAMMADDE KODU]],Tablo1[#All],4,0)," ")</f>
        <v xml:space="preserve"> </v>
      </c>
      <c r="Q223" s="100" t="str">
        <f>IFERROR(VLOOKUP(Tablo515[[#This Row],[ÜRÜN KODU]],YMKODLARI!$A$1:$K$363,5,0)," ")</f>
        <v xml:space="preserve"> </v>
      </c>
      <c r="R223" s="100" t="str">
        <f>IFERROR(VLOOKUP(Tablo515[[#This Row],[ÜRÜN KODU]],YMKODLARI!$A$1:$K$363,6,0)," ")</f>
        <v xml:space="preserve"> </v>
      </c>
      <c r="S223" s="100" t="str">
        <f>IFERROR(Tablo515[[#This Row],[YOLLUK HARİÇ BASKI GRAMI]]/Tablo515[[#This Row],[KALIP GÖZ ADEDİ]]," ")</f>
        <v xml:space="preserve"> </v>
      </c>
      <c r="T223" s="100" t="str">
        <f t="shared" si="25"/>
        <v xml:space="preserve"> </v>
      </c>
      <c r="U223" s="100"/>
      <c r="V223" s="100" t="str">
        <f t="shared" si="29"/>
        <v xml:space="preserve"> </v>
      </c>
      <c r="W223" s="101">
        <f t="shared" si="27"/>
        <v>24</v>
      </c>
      <c r="X223" s="102">
        <f t="shared" si="26"/>
        <v>0</v>
      </c>
      <c r="Y223" s="100" t="str">
        <f t="shared" si="30"/>
        <v xml:space="preserve"> </v>
      </c>
      <c r="Z223" s="100" t="str">
        <f t="shared" si="31"/>
        <v xml:space="preserve"> </v>
      </c>
    </row>
    <row r="224" spans="1:26">
      <c r="A224" s="100"/>
      <c r="B224" s="108" t="str">
        <f>IFERROR(VLOOKUP(Tablo515[[#This Row],[ÜRÜN KODU]],YMKODLARI!$A$1:$K$363,2,0)," ")</f>
        <v xml:space="preserve"> </v>
      </c>
      <c r="C224" s="99"/>
      <c r="D224" s="100"/>
      <c r="E224" s="101"/>
      <c r="F224" s="101"/>
      <c r="G224" s="100" t="str">
        <f>IFERROR(VLOOKUP(Tablo515[[#This Row],[ÜRÜN KODU]],YMKODLARI!$A$1:$K$363,3,0)," ")</f>
        <v xml:space="preserve"> </v>
      </c>
      <c r="H224" s="100" t="str">
        <f>IFERROR(VLOOKUP(Tablo515[[#This Row],[ÜRÜN KODU]],YMKODLARI!$A$1:$K$363,4,0)," ")</f>
        <v xml:space="preserve"> </v>
      </c>
      <c r="I224" s="100"/>
      <c r="J224" s="100" t="str">
        <f>IFERROR(VLOOKUP(Tablo515[[#This Row],[ÜRÜN KODU]],YMKODLARI!$A$1:$K$363,9,0)," ")</f>
        <v xml:space="preserve"> </v>
      </c>
      <c r="K224" s="100" t="str">
        <f>IFERROR(VLOOKUP(Tablo515[[#This Row],[BOYA KODU]],Tablo14[#All],4,0)," ")</f>
        <v xml:space="preserve"> </v>
      </c>
      <c r="L224" s="100" t="str">
        <f>IFERROR(VLOOKUP(Tablo515[[#This Row],[BOYA KODU]],Tablo14[#All],6,0)," ")</f>
        <v xml:space="preserve"> </v>
      </c>
      <c r="M224" s="100" t="str">
        <f t="shared" si="28"/>
        <v xml:space="preserve"> </v>
      </c>
      <c r="N224" s="100" t="str">
        <f>IFERROR(VLOOKUP(Tablo515[[#This Row],[ÜRÜN KODU]],YMKODLARI!$A$1:$K$363,8,0)," ")</f>
        <v xml:space="preserve"> </v>
      </c>
      <c r="O224" s="100" t="str">
        <f>IFERROR(VLOOKUP(Tablo515[[#This Row],[HAMMADDE KODU]],Tablo1[#All],3,0)," ")</f>
        <v xml:space="preserve"> </v>
      </c>
      <c r="P224" s="100" t="str">
        <f>IFERROR(VLOOKUP(Tablo515[[#This Row],[HAMMADDE KODU]],Tablo1[#All],4,0)," ")</f>
        <v xml:space="preserve"> </v>
      </c>
      <c r="Q224" s="100" t="str">
        <f>IFERROR(VLOOKUP(Tablo515[[#This Row],[ÜRÜN KODU]],YMKODLARI!$A$1:$K$363,5,0)," ")</f>
        <v xml:space="preserve"> </v>
      </c>
      <c r="R224" s="100" t="str">
        <f>IFERROR(VLOOKUP(Tablo515[[#This Row],[ÜRÜN KODU]],YMKODLARI!$A$1:$K$363,6,0)," ")</f>
        <v xml:space="preserve"> </v>
      </c>
      <c r="S224" s="100" t="str">
        <f>IFERROR(Tablo515[[#This Row],[YOLLUK HARİÇ BASKI GRAMI]]/Tablo515[[#This Row],[KALIP GÖZ ADEDİ]]," ")</f>
        <v xml:space="preserve"> </v>
      </c>
      <c r="T224" s="100" t="str">
        <f t="shared" si="25"/>
        <v xml:space="preserve"> </v>
      </c>
      <c r="U224" s="100"/>
      <c r="V224" s="100" t="str">
        <f t="shared" si="29"/>
        <v xml:space="preserve"> </v>
      </c>
      <c r="W224" s="101">
        <f t="shared" si="27"/>
        <v>24</v>
      </c>
      <c r="X224" s="102">
        <f t="shared" si="26"/>
        <v>0</v>
      </c>
      <c r="Y224" s="100" t="str">
        <f t="shared" si="30"/>
        <v xml:space="preserve"> </v>
      </c>
      <c r="Z224" s="100" t="str">
        <f t="shared" si="31"/>
        <v xml:space="preserve"> </v>
      </c>
    </row>
    <row r="225" spans="1:26">
      <c r="A225" s="100"/>
      <c r="B225" s="108" t="str">
        <f>IFERROR(VLOOKUP(Tablo515[[#This Row],[ÜRÜN KODU]],YMKODLARI!$A$1:$K$363,2,0)," ")</f>
        <v xml:space="preserve"> </v>
      </c>
      <c r="C225" s="99"/>
      <c r="D225" s="100"/>
      <c r="E225" s="101"/>
      <c r="F225" s="101"/>
      <c r="G225" s="100" t="str">
        <f>IFERROR(VLOOKUP(Tablo515[[#This Row],[ÜRÜN KODU]],YMKODLARI!$A$1:$K$363,3,0)," ")</f>
        <v xml:space="preserve"> </v>
      </c>
      <c r="H225" s="100" t="str">
        <f>IFERROR(VLOOKUP(Tablo515[[#This Row],[ÜRÜN KODU]],YMKODLARI!$A$1:$K$363,4,0)," ")</f>
        <v xml:space="preserve"> </v>
      </c>
      <c r="I225" s="100"/>
      <c r="J225" s="100" t="str">
        <f>IFERROR(VLOOKUP(Tablo515[[#This Row],[ÜRÜN KODU]],YMKODLARI!$A$1:$K$363,9,0)," ")</f>
        <v xml:space="preserve"> </v>
      </c>
      <c r="K225" s="100" t="str">
        <f>IFERROR(VLOOKUP(Tablo515[[#This Row],[BOYA KODU]],Tablo14[#All],4,0)," ")</f>
        <v xml:space="preserve"> </v>
      </c>
      <c r="L225" s="100" t="str">
        <f>IFERROR(VLOOKUP(Tablo515[[#This Row],[BOYA KODU]],Tablo14[#All],6,0)," ")</f>
        <v xml:space="preserve"> </v>
      </c>
      <c r="M225" s="100" t="str">
        <f t="shared" si="28"/>
        <v xml:space="preserve"> </v>
      </c>
      <c r="N225" s="100" t="str">
        <f>IFERROR(VLOOKUP(Tablo515[[#This Row],[ÜRÜN KODU]],YMKODLARI!$A$1:$K$363,8,0)," ")</f>
        <v xml:space="preserve"> </v>
      </c>
      <c r="O225" s="100" t="str">
        <f>IFERROR(VLOOKUP(Tablo515[[#This Row],[HAMMADDE KODU]],Tablo1[#All],3,0)," ")</f>
        <v xml:space="preserve"> </v>
      </c>
      <c r="P225" s="100" t="str">
        <f>IFERROR(VLOOKUP(Tablo515[[#This Row],[HAMMADDE KODU]],Tablo1[#All],4,0)," ")</f>
        <v xml:space="preserve"> </v>
      </c>
      <c r="Q225" s="100" t="str">
        <f>IFERROR(VLOOKUP(Tablo515[[#This Row],[ÜRÜN KODU]],YMKODLARI!$A$1:$K$363,5,0)," ")</f>
        <v xml:space="preserve"> </v>
      </c>
      <c r="R225" s="100" t="str">
        <f>IFERROR(VLOOKUP(Tablo515[[#This Row],[ÜRÜN KODU]],YMKODLARI!$A$1:$K$363,6,0)," ")</f>
        <v xml:space="preserve"> </v>
      </c>
      <c r="S225" s="100" t="str">
        <f>IFERROR(Tablo515[[#This Row],[YOLLUK HARİÇ BASKI GRAMI]]/Tablo515[[#This Row],[KALIP GÖZ ADEDİ]]," ")</f>
        <v xml:space="preserve"> </v>
      </c>
      <c r="T225" s="100" t="str">
        <f t="shared" si="25"/>
        <v xml:space="preserve"> </v>
      </c>
      <c r="U225" s="100"/>
      <c r="V225" s="100" t="str">
        <f t="shared" si="29"/>
        <v xml:space="preserve"> </v>
      </c>
      <c r="W225" s="101">
        <f t="shared" si="27"/>
        <v>24</v>
      </c>
      <c r="X225" s="102">
        <f t="shared" si="26"/>
        <v>0</v>
      </c>
      <c r="Y225" s="100" t="str">
        <f t="shared" si="30"/>
        <v xml:space="preserve"> </v>
      </c>
      <c r="Z225" s="100" t="str">
        <f t="shared" si="31"/>
        <v xml:space="preserve"> </v>
      </c>
    </row>
    <row r="226" spans="1:26">
      <c r="A226" s="100"/>
      <c r="B226" s="108" t="str">
        <f>IFERROR(VLOOKUP(Tablo515[[#This Row],[ÜRÜN KODU]],YMKODLARI!$A$1:$K$363,2,0)," ")</f>
        <v xml:space="preserve"> </v>
      </c>
      <c r="C226" s="99"/>
      <c r="D226" s="100"/>
      <c r="E226" s="101"/>
      <c r="F226" s="101"/>
      <c r="G226" s="100" t="str">
        <f>IFERROR(VLOOKUP(Tablo515[[#This Row],[ÜRÜN KODU]],YMKODLARI!$A$1:$K$363,3,0)," ")</f>
        <v xml:space="preserve"> </v>
      </c>
      <c r="H226" s="100" t="str">
        <f>IFERROR(VLOOKUP(Tablo515[[#This Row],[ÜRÜN KODU]],YMKODLARI!$A$1:$K$363,4,0)," ")</f>
        <v xml:space="preserve"> </v>
      </c>
      <c r="I226" s="100"/>
      <c r="J226" s="100" t="str">
        <f>IFERROR(VLOOKUP(Tablo515[[#This Row],[ÜRÜN KODU]],YMKODLARI!$A$1:$K$363,9,0)," ")</f>
        <v xml:space="preserve"> </v>
      </c>
      <c r="K226" s="100" t="str">
        <f>IFERROR(VLOOKUP(Tablo515[[#This Row],[BOYA KODU]],Tablo14[#All],4,0)," ")</f>
        <v xml:space="preserve"> </v>
      </c>
      <c r="L226" s="100" t="str">
        <f>IFERROR(VLOOKUP(Tablo515[[#This Row],[BOYA KODU]],Tablo14[#All],6,0)," ")</f>
        <v xml:space="preserve"> </v>
      </c>
      <c r="M226" s="100" t="str">
        <f t="shared" si="28"/>
        <v xml:space="preserve"> </v>
      </c>
      <c r="N226" s="100" t="str">
        <f>IFERROR(VLOOKUP(Tablo515[[#This Row],[ÜRÜN KODU]],YMKODLARI!$A$1:$K$363,8,0)," ")</f>
        <v xml:space="preserve"> </v>
      </c>
      <c r="O226" s="100" t="str">
        <f>IFERROR(VLOOKUP(Tablo515[[#This Row],[HAMMADDE KODU]],Tablo1[#All],3,0)," ")</f>
        <v xml:space="preserve"> </v>
      </c>
      <c r="P226" s="100" t="str">
        <f>IFERROR(VLOOKUP(Tablo515[[#This Row],[HAMMADDE KODU]],Tablo1[#All],4,0)," ")</f>
        <v xml:space="preserve"> </v>
      </c>
      <c r="Q226" s="100" t="str">
        <f>IFERROR(VLOOKUP(Tablo515[[#This Row],[ÜRÜN KODU]],YMKODLARI!$A$1:$K$363,5,0)," ")</f>
        <v xml:space="preserve"> </v>
      </c>
      <c r="R226" s="100" t="str">
        <f>IFERROR(VLOOKUP(Tablo515[[#This Row],[ÜRÜN KODU]],YMKODLARI!$A$1:$K$363,6,0)," ")</f>
        <v xml:space="preserve"> </v>
      </c>
      <c r="S226" s="100" t="str">
        <f>IFERROR(Tablo515[[#This Row],[YOLLUK HARİÇ BASKI GRAMI]]/Tablo515[[#This Row],[KALIP GÖZ ADEDİ]]," ")</f>
        <v xml:space="preserve"> </v>
      </c>
      <c r="T226" s="100" t="str">
        <f t="shared" si="25"/>
        <v xml:space="preserve"> </v>
      </c>
      <c r="U226" s="100"/>
      <c r="V226" s="100" t="str">
        <f t="shared" si="29"/>
        <v xml:space="preserve"> </v>
      </c>
      <c r="W226" s="101">
        <f t="shared" si="27"/>
        <v>24</v>
      </c>
      <c r="X226" s="102">
        <f t="shared" si="26"/>
        <v>0</v>
      </c>
      <c r="Y226" s="100" t="str">
        <f t="shared" si="30"/>
        <v xml:space="preserve"> </v>
      </c>
      <c r="Z226" s="100" t="str">
        <f t="shared" si="31"/>
        <v xml:space="preserve"> </v>
      </c>
    </row>
    <row r="227" spans="1:26">
      <c r="A227" s="100"/>
      <c r="B227" s="108" t="str">
        <f>IFERROR(VLOOKUP(Tablo515[[#This Row],[ÜRÜN KODU]],YMKODLARI!$A$1:$K$363,2,0)," ")</f>
        <v xml:space="preserve"> </v>
      </c>
      <c r="C227" s="99"/>
      <c r="D227" s="100"/>
      <c r="E227" s="101"/>
      <c r="F227" s="101"/>
      <c r="G227" s="100" t="str">
        <f>IFERROR(VLOOKUP(Tablo515[[#This Row],[ÜRÜN KODU]],YMKODLARI!$A$1:$K$363,3,0)," ")</f>
        <v xml:space="preserve"> </v>
      </c>
      <c r="H227" s="100" t="str">
        <f>IFERROR(VLOOKUP(Tablo515[[#This Row],[ÜRÜN KODU]],YMKODLARI!$A$1:$K$363,4,0)," ")</f>
        <v xml:space="preserve"> </v>
      </c>
      <c r="I227" s="100"/>
      <c r="J227" s="100" t="str">
        <f>IFERROR(VLOOKUP(Tablo515[[#This Row],[ÜRÜN KODU]],YMKODLARI!$A$1:$K$363,9,0)," ")</f>
        <v xml:space="preserve"> </v>
      </c>
      <c r="K227" s="100" t="str">
        <f>IFERROR(VLOOKUP(Tablo515[[#This Row],[BOYA KODU]],Tablo14[#All],4,0)," ")</f>
        <v xml:space="preserve"> </v>
      </c>
      <c r="L227" s="100" t="str">
        <f>IFERROR(VLOOKUP(Tablo515[[#This Row],[BOYA KODU]],Tablo14[#All],6,0)," ")</f>
        <v xml:space="preserve"> </v>
      </c>
      <c r="M227" s="100" t="str">
        <f t="shared" si="28"/>
        <v xml:space="preserve"> </v>
      </c>
      <c r="N227" s="100" t="str">
        <f>IFERROR(VLOOKUP(Tablo515[[#This Row],[ÜRÜN KODU]],YMKODLARI!$A$1:$K$363,8,0)," ")</f>
        <v xml:space="preserve"> </v>
      </c>
      <c r="O227" s="100" t="str">
        <f>IFERROR(VLOOKUP(Tablo515[[#This Row],[HAMMADDE KODU]],Tablo1[#All],3,0)," ")</f>
        <v xml:space="preserve"> </v>
      </c>
      <c r="P227" s="100" t="str">
        <f>IFERROR(VLOOKUP(Tablo515[[#This Row],[HAMMADDE KODU]],Tablo1[#All],4,0)," ")</f>
        <v xml:space="preserve"> </v>
      </c>
      <c r="Q227" s="100" t="str">
        <f>IFERROR(VLOOKUP(Tablo515[[#This Row],[ÜRÜN KODU]],YMKODLARI!$A$1:$K$363,5,0)," ")</f>
        <v xml:space="preserve"> </v>
      </c>
      <c r="R227" s="100" t="str">
        <f>IFERROR(VLOOKUP(Tablo515[[#This Row],[ÜRÜN KODU]],YMKODLARI!$A$1:$K$363,6,0)," ")</f>
        <v xml:space="preserve"> </v>
      </c>
      <c r="S227" s="100" t="str">
        <f>IFERROR(Tablo515[[#This Row],[YOLLUK HARİÇ BASKI GRAMI]]/Tablo515[[#This Row],[KALIP GÖZ ADEDİ]]," ")</f>
        <v xml:space="preserve"> </v>
      </c>
      <c r="T227" s="100" t="str">
        <f t="shared" si="25"/>
        <v xml:space="preserve"> </v>
      </c>
      <c r="U227" s="100"/>
      <c r="V227" s="100" t="str">
        <f t="shared" si="29"/>
        <v xml:space="preserve"> </v>
      </c>
      <c r="W227" s="101">
        <f t="shared" si="27"/>
        <v>24</v>
      </c>
      <c r="X227" s="102">
        <f t="shared" si="26"/>
        <v>0</v>
      </c>
      <c r="Y227" s="100" t="str">
        <f t="shared" si="30"/>
        <v xml:space="preserve"> </v>
      </c>
      <c r="Z227" s="100" t="str">
        <f t="shared" si="31"/>
        <v xml:space="preserve"> </v>
      </c>
    </row>
    <row r="228" spans="1:26">
      <c r="A228" s="100"/>
      <c r="B228" s="108" t="str">
        <f>IFERROR(VLOOKUP(Tablo515[[#This Row],[ÜRÜN KODU]],YMKODLARI!$A$1:$K$363,2,0)," ")</f>
        <v xml:space="preserve"> </v>
      </c>
      <c r="C228" s="99"/>
      <c r="D228" s="100"/>
      <c r="E228" s="101"/>
      <c r="F228" s="101"/>
      <c r="G228" s="100" t="str">
        <f>IFERROR(VLOOKUP(Tablo515[[#This Row],[ÜRÜN KODU]],YMKODLARI!$A$1:$K$363,3,0)," ")</f>
        <v xml:space="preserve"> </v>
      </c>
      <c r="H228" s="100" t="str">
        <f>IFERROR(VLOOKUP(Tablo515[[#This Row],[ÜRÜN KODU]],YMKODLARI!$A$1:$K$363,4,0)," ")</f>
        <v xml:space="preserve"> </v>
      </c>
      <c r="I228" s="100"/>
      <c r="J228" s="100" t="str">
        <f>IFERROR(VLOOKUP(Tablo515[[#This Row],[ÜRÜN KODU]],YMKODLARI!$A$1:$K$363,9,0)," ")</f>
        <v xml:space="preserve"> </v>
      </c>
      <c r="K228" s="100" t="str">
        <f>IFERROR(VLOOKUP(Tablo515[[#This Row],[BOYA KODU]],Tablo14[#All],4,0)," ")</f>
        <v xml:space="preserve"> </v>
      </c>
      <c r="L228" s="100" t="str">
        <f>IFERROR(VLOOKUP(Tablo515[[#This Row],[BOYA KODU]],Tablo14[#All],6,0)," ")</f>
        <v xml:space="preserve"> </v>
      </c>
      <c r="M228" s="100" t="str">
        <f t="shared" si="28"/>
        <v xml:space="preserve"> </v>
      </c>
      <c r="N228" s="100" t="str">
        <f>IFERROR(VLOOKUP(Tablo515[[#This Row],[ÜRÜN KODU]],YMKODLARI!$A$1:$K$363,8,0)," ")</f>
        <v xml:space="preserve"> </v>
      </c>
      <c r="O228" s="100" t="str">
        <f>IFERROR(VLOOKUP(Tablo515[[#This Row],[HAMMADDE KODU]],Tablo1[#All],3,0)," ")</f>
        <v xml:space="preserve"> </v>
      </c>
      <c r="P228" s="100" t="str">
        <f>IFERROR(VLOOKUP(Tablo515[[#This Row],[HAMMADDE KODU]],Tablo1[#All],4,0)," ")</f>
        <v xml:space="preserve"> </v>
      </c>
      <c r="Q228" s="100" t="str">
        <f>IFERROR(VLOOKUP(Tablo515[[#This Row],[ÜRÜN KODU]],YMKODLARI!$A$1:$K$363,5,0)," ")</f>
        <v xml:space="preserve"> </v>
      </c>
      <c r="R228" s="100" t="str">
        <f>IFERROR(VLOOKUP(Tablo515[[#This Row],[ÜRÜN KODU]],YMKODLARI!$A$1:$K$363,6,0)," ")</f>
        <v xml:space="preserve"> </v>
      </c>
      <c r="S228" s="100" t="str">
        <f>IFERROR(Tablo515[[#This Row],[YOLLUK HARİÇ BASKI GRAMI]]/Tablo515[[#This Row],[KALIP GÖZ ADEDİ]]," ")</f>
        <v xml:space="preserve"> </v>
      </c>
      <c r="T228" s="100" t="str">
        <f t="shared" si="25"/>
        <v xml:space="preserve"> </v>
      </c>
      <c r="U228" s="100"/>
      <c r="V228" s="100" t="str">
        <f t="shared" si="29"/>
        <v xml:space="preserve"> </v>
      </c>
      <c r="W228" s="101">
        <f t="shared" si="27"/>
        <v>24</v>
      </c>
      <c r="X228" s="102">
        <f t="shared" si="26"/>
        <v>0</v>
      </c>
      <c r="Y228" s="100" t="str">
        <f t="shared" si="30"/>
        <v xml:space="preserve"> </v>
      </c>
      <c r="Z228" s="100" t="str">
        <f t="shared" si="31"/>
        <v xml:space="preserve"> </v>
      </c>
    </row>
    <row r="229" spans="1:26">
      <c r="A229" s="100"/>
      <c r="B229" s="108" t="str">
        <f>IFERROR(VLOOKUP(Tablo515[[#This Row],[ÜRÜN KODU]],YMKODLARI!$A$1:$K$363,2,0)," ")</f>
        <v xml:space="preserve"> </v>
      </c>
      <c r="C229" s="99"/>
      <c r="D229" s="100"/>
      <c r="E229" s="101"/>
      <c r="F229" s="101"/>
      <c r="G229" s="100" t="str">
        <f>IFERROR(VLOOKUP(Tablo515[[#This Row],[ÜRÜN KODU]],YMKODLARI!$A$1:$K$363,3,0)," ")</f>
        <v xml:space="preserve"> </v>
      </c>
      <c r="H229" s="100" t="str">
        <f>IFERROR(VLOOKUP(Tablo515[[#This Row],[ÜRÜN KODU]],YMKODLARI!$A$1:$K$363,4,0)," ")</f>
        <v xml:space="preserve"> </v>
      </c>
      <c r="I229" s="100"/>
      <c r="J229" s="100" t="str">
        <f>IFERROR(VLOOKUP(Tablo515[[#This Row],[ÜRÜN KODU]],YMKODLARI!$A$1:$K$363,9,0)," ")</f>
        <v xml:space="preserve"> </v>
      </c>
      <c r="K229" s="100" t="str">
        <f>IFERROR(VLOOKUP(Tablo515[[#This Row],[BOYA KODU]],Tablo14[#All],4,0)," ")</f>
        <v xml:space="preserve"> </v>
      </c>
      <c r="L229" s="100" t="str">
        <f>IFERROR(VLOOKUP(Tablo515[[#This Row],[BOYA KODU]],Tablo14[#All],6,0)," ")</f>
        <v xml:space="preserve"> </v>
      </c>
      <c r="M229" s="100" t="str">
        <f t="shared" si="28"/>
        <v xml:space="preserve"> </v>
      </c>
      <c r="N229" s="100" t="str">
        <f>IFERROR(VLOOKUP(Tablo515[[#This Row],[ÜRÜN KODU]],YMKODLARI!$A$1:$K$363,8,0)," ")</f>
        <v xml:space="preserve"> </v>
      </c>
      <c r="O229" s="100" t="str">
        <f>IFERROR(VLOOKUP(Tablo515[[#This Row],[HAMMADDE KODU]],Tablo1[#All],3,0)," ")</f>
        <v xml:space="preserve"> </v>
      </c>
      <c r="P229" s="100" t="str">
        <f>IFERROR(VLOOKUP(Tablo515[[#This Row],[HAMMADDE KODU]],Tablo1[#All],4,0)," ")</f>
        <v xml:space="preserve"> </v>
      </c>
      <c r="Q229" s="100" t="str">
        <f>IFERROR(VLOOKUP(Tablo515[[#This Row],[ÜRÜN KODU]],YMKODLARI!$A$1:$K$363,5,0)," ")</f>
        <v xml:space="preserve"> </v>
      </c>
      <c r="R229" s="100" t="str">
        <f>IFERROR(VLOOKUP(Tablo515[[#This Row],[ÜRÜN KODU]],YMKODLARI!$A$1:$K$363,6,0)," ")</f>
        <v xml:space="preserve"> </v>
      </c>
      <c r="S229" s="100" t="str">
        <f>IFERROR(Tablo515[[#This Row],[YOLLUK HARİÇ BASKI GRAMI]]/Tablo515[[#This Row],[KALIP GÖZ ADEDİ]]," ")</f>
        <v xml:space="preserve"> </v>
      </c>
      <c r="T229" s="100" t="str">
        <f t="shared" si="25"/>
        <v xml:space="preserve"> </v>
      </c>
      <c r="U229" s="100"/>
      <c r="V229" s="100" t="str">
        <f t="shared" si="29"/>
        <v xml:space="preserve"> </v>
      </c>
      <c r="W229" s="101">
        <f t="shared" si="27"/>
        <v>24</v>
      </c>
      <c r="X229" s="102">
        <f t="shared" si="26"/>
        <v>0</v>
      </c>
      <c r="Y229" s="100" t="str">
        <f t="shared" si="30"/>
        <v xml:space="preserve"> </v>
      </c>
      <c r="Z229" s="100" t="str">
        <f t="shared" si="31"/>
        <v xml:space="preserve"> </v>
      </c>
    </row>
    <row r="230" spans="1:26">
      <c r="A230" s="100"/>
      <c r="B230" s="108" t="str">
        <f>IFERROR(VLOOKUP(Tablo515[[#This Row],[ÜRÜN KODU]],YMKODLARI!$A$1:$K$363,2,0)," ")</f>
        <v xml:space="preserve"> </v>
      </c>
      <c r="C230" s="99"/>
      <c r="D230" s="100"/>
      <c r="E230" s="101"/>
      <c r="F230" s="101"/>
      <c r="G230" s="100" t="str">
        <f>IFERROR(VLOOKUP(Tablo515[[#This Row],[ÜRÜN KODU]],YMKODLARI!$A$1:$K$363,3,0)," ")</f>
        <v xml:space="preserve"> </v>
      </c>
      <c r="H230" s="100" t="str">
        <f>IFERROR(VLOOKUP(Tablo515[[#This Row],[ÜRÜN KODU]],YMKODLARI!$A$1:$K$363,4,0)," ")</f>
        <v xml:space="preserve"> </v>
      </c>
      <c r="I230" s="100"/>
      <c r="J230" s="100" t="str">
        <f>IFERROR(VLOOKUP(Tablo515[[#This Row],[ÜRÜN KODU]],YMKODLARI!$A$1:$K$363,9,0)," ")</f>
        <v xml:space="preserve"> </v>
      </c>
      <c r="K230" s="100" t="str">
        <f>IFERROR(VLOOKUP(Tablo515[[#This Row],[BOYA KODU]],Tablo14[#All],4,0)," ")</f>
        <v xml:space="preserve"> </v>
      </c>
      <c r="L230" s="100" t="str">
        <f>IFERROR(VLOOKUP(Tablo515[[#This Row],[BOYA KODU]],Tablo14[#All],6,0)," ")</f>
        <v xml:space="preserve"> </v>
      </c>
      <c r="M230" s="100" t="str">
        <f t="shared" si="28"/>
        <v xml:space="preserve"> </v>
      </c>
      <c r="N230" s="100" t="str">
        <f>IFERROR(VLOOKUP(Tablo515[[#This Row],[ÜRÜN KODU]],YMKODLARI!$A$1:$K$363,8,0)," ")</f>
        <v xml:space="preserve"> </v>
      </c>
      <c r="O230" s="100" t="str">
        <f>IFERROR(VLOOKUP(Tablo515[[#This Row],[HAMMADDE KODU]],Tablo1[#All],3,0)," ")</f>
        <v xml:space="preserve"> </v>
      </c>
      <c r="P230" s="100" t="str">
        <f>IFERROR(VLOOKUP(Tablo515[[#This Row],[HAMMADDE KODU]],Tablo1[#All],4,0)," ")</f>
        <v xml:space="preserve"> </v>
      </c>
      <c r="Q230" s="100" t="str">
        <f>IFERROR(VLOOKUP(Tablo515[[#This Row],[ÜRÜN KODU]],YMKODLARI!$A$1:$K$363,5,0)," ")</f>
        <v xml:space="preserve"> </v>
      </c>
      <c r="R230" s="100" t="str">
        <f>IFERROR(VLOOKUP(Tablo515[[#This Row],[ÜRÜN KODU]],YMKODLARI!$A$1:$K$363,6,0)," ")</f>
        <v xml:space="preserve"> </v>
      </c>
      <c r="S230" s="100" t="str">
        <f>IFERROR(Tablo515[[#This Row],[YOLLUK HARİÇ BASKI GRAMI]]/Tablo515[[#This Row],[KALIP GÖZ ADEDİ]]," ")</f>
        <v xml:space="preserve"> </v>
      </c>
      <c r="T230" s="100" t="str">
        <f t="shared" si="25"/>
        <v xml:space="preserve"> </v>
      </c>
      <c r="U230" s="100"/>
      <c r="V230" s="100" t="str">
        <f t="shared" si="29"/>
        <v xml:space="preserve"> </v>
      </c>
      <c r="W230" s="101">
        <f t="shared" si="27"/>
        <v>24</v>
      </c>
      <c r="X230" s="102">
        <f t="shared" si="26"/>
        <v>0</v>
      </c>
      <c r="Y230" s="100" t="str">
        <f t="shared" si="30"/>
        <v xml:space="preserve"> </v>
      </c>
      <c r="Z230" s="100" t="str">
        <f t="shared" si="31"/>
        <v xml:space="preserve"> </v>
      </c>
    </row>
    <row r="231" spans="1:26">
      <c r="A231" s="100"/>
      <c r="B231" s="108" t="str">
        <f>IFERROR(VLOOKUP(Tablo515[[#This Row],[ÜRÜN KODU]],YMKODLARI!$A$1:$K$363,2,0)," ")</f>
        <v xml:space="preserve"> </v>
      </c>
      <c r="C231" s="99"/>
      <c r="D231" s="100"/>
      <c r="E231" s="101"/>
      <c r="F231" s="101"/>
      <c r="G231" s="100" t="str">
        <f>IFERROR(VLOOKUP(Tablo515[[#This Row],[ÜRÜN KODU]],YMKODLARI!$A$1:$K$363,3,0)," ")</f>
        <v xml:space="preserve"> </v>
      </c>
      <c r="H231" s="100" t="str">
        <f>IFERROR(VLOOKUP(Tablo515[[#This Row],[ÜRÜN KODU]],YMKODLARI!$A$1:$K$363,4,0)," ")</f>
        <v xml:space="preserve"> </v>
      </c>
      <c r="I231" s="100"/>
      <c r="J231" s="100" t="str">
        <f>IFERROR(VLOOKUP(Tablo515[[#This Row],[ÜRÜN KODU]],YMKODLARI!$A$1:$K$363,9,0)," ")</f>
        <v xml:space="preserve"> </v>
      </c>
      <c r="K231" s="100" t="str">
        <f>IFERROR(VLOOKUP(Tablo515[[#This Row],[BOYA KODU]],Tablo14[#All],4,0)," ")</f>
        <v xml:space="preserve"> </v>
      </c>
      <c r="L231" s="100" t="str">
        <f>IFERROR(VLOOKUP(Tablo515[[#This Row],[BOYA KODU]],Tablo14[#All],6,0)," ")</f>
        <v xml:space="preserve"> </v>
      </c>
      <c r="M231" s="100" t="str">
        <f t="shared" si="28"/>
        <v xml:space="preserve"> </v>
      </c>
      <c r="N231" s="100" t="str">
        <f>IFERROR(VLOOKUP(Tablo515[[#This Row],[ÜRÜN KODU]],YMKODLARI!$A$1:$K$363,8,0)," ")</f>
        <v xml:space="preserve"> </v>
      </c>
      <c r="O231" s="100" t="str">
        <f>IFERROR(VLOOKUP(Tablo515[[#This Row],[HAMMADDE KODU]],Tablo1[#All],3,0)," ")</f>
        <v xml:space="preserve"> </v>
      </c>
      <c r="P231" s="100" t="str">
        <f>IFERROR(VLOOKUP(Tablo515[[#This Row],[HAMMADDE KODU]],Tablo1[#All],4,0)," ")</f>
        <v xml:space="preserve"> </v>
      </c>
      <c r="Q231" s="100" t="str">
        <f>IFERROR(VLOOKUP(Tablo515[[#This Row],[ÜRÜN KODU]],YMKODLARI!$A$1:$K$363,5,0)," ")</f>
        <v xml:space="preserve"> </v>
      </c>
      <c r="R231" s="100" t="str">
        <f>IFERROR(VLOOKUP(Tablo515[[#This Row],[ÜRÜN KODU]],YMKODLARI!$A$1:$K$363,6,0)," ")</f>
        <v xml:space="preserve"> </v>
      </c>
      <c r="S231" s="100" t="str">
        <f>IFERROR(Tablo515[[#This Row],[YOLLUK HARİÇ BASKI GRAMI]]/Tablo515[[#This Row],[KALIP GÖZ ADEDİ]]," ")</f>
        <v xml:space="preserve"> </v>
      </c>
      <c r="T231" s="100" t="str">
        <f t="shared" si="25"/>
        <v xml:space="preserve"> </v>
      </c>
      <c r="U231" s="100"/>
      <c r="V231" s="100" t="str">
        <f t="shared" si="29"/>
        <v xml:space="preserve"> </v>
      </c>
      <c r="W231" s="101">
        <f t="shared" si="27"/>
        <v>24</v>
      </c>
      <c r="X231" s="102">
        <f t="shared" si="26"/>
        <v>0</v>
      </c>
      <c r="Y231" s="100" t="str">
        <f t="shared" si="30"/>
        <v xml:space="preserve"> </v>
      </c>
      <c r="Z231" s="100" t="str">
        <f t="shared" si="31"/>
        <v xml:space="preserve"> </v>
      </c>
    </row>
    <row r="232" spans="1:26">
      <c r="A232" s="100"/>
      <c r="B232" s="108" t="str">
        <f>IFERROR(VLOOKUP(Tablo515[[#This Row],[ÜRÜN KODU]],YMKODLARI!$A$1:$K$363,2,0)," ")</f>
        <v xml:space="preserve"> </v>
      </c>
      <c r="C232" s="99"/>
      <c r="D232" s="100"/>
      <c r="E232" s="101"/>
      <c r="F232" s="101"/>
      <c r="G232" s="100" t="str">
        <f>IFERROR(VLOOKUP(Tablo515[[#This Row],[ÜRÜN KODU]],YMKODLARI!$A$1:$K$363,3,0)," ")</f>
        <v xml:space="preserve"> </v>
      </c>
      <c r="H232" s="100" t="str">
        <f>IFERROR(VLOOKUP(Tablo515[[#This Row],[ÜRÜN KODU]],YMKODLARI!$A$1:$K$363,4,0)," ")</f>
        <v xml:space="preserve"> </v>
      </c>
      <c r="I232" s="100"/>
      <c r="J232" s="100" t="str">
        <f>IFERROR(VLOOKUP(Tablo515[[#This Row],[ÜRÜN KODU]],YMKODLARI!$A$1:$K$363,9,0)," ")</f>
        <v xml:space="preserve"> </v>
      </c>
      <c r="K232" s="100" t="str">
        <f>IFERROR(VLOOKUP(Tablo515[[#This Row],[BOYA KODU]],Tablo14[#All],4,0)," ")</f>
        <v xml:space="preserve"> </v>
      </c>
      <c r="L232" s="100" t="str">
        <f>IFERROR(VLOOKUP(Tablo515[[#This Row],[BOYA KODU]],Tablo14[#All],6,0)," ")</f>
        <v xml:space="preserve"> </v>
      </c>
      <c r="M232" s="100" t="str">
        <f t="shared" si="28"/>
        <v xml:space="preserve"> </v>
      </c>
      <c r="N232" s="100" t="str">
        <f>IFERROR(VLOOKUP(Tablo515[[#This Row],[ÜRÜN KODU]],YMKODLARI!$A$1:$K$363,8,0)," ")</f>
        <v xml:space="preserve"> </v>
      </c>
      <c r="O232" s="100" t="str">
        <f>IFERROR(VLOOKUP(Tablo515[[#This Row],[HAMMADDE KODU]],Tablo1[#All],3,0)," ")</f>
        <v xml:space="preserve"> </v>
      </c>
      <c r="P232" s="100" t="str">
        <f>IFERROR(VLOOKUP(Tablo515[[#This Row],[HAMMADDE KODU]],Tablo1[#All],4,0)," ")</f>
        <v xml:space="preserve"> </v>
      </c>
      <c r="Q232" s="100" t="str">
        <f>IFERROR(VLOOKUP(Tablo515[[#This Row],[ÜRÜN KODU]],YMKODLARI!$A$1:$K$363,5,0)," ")</f>
        <v xml:space="preserve"> </v>
      </c>
      <c r="R232" s="100" t="str">
        <f>IFERROR(VLOOKUP(Tablo515[[#This Row],[ÜRÜN KODU]],YMKODLARI!$A$1:$K$363,6,0)," ")</f>
        <v xml:space="preserve"> </v>
      </c>
      <c r="S232" s="100" t="str">
        <f>IFERROR(Tablo515[[#This Row],[YOLLUK HARİÇ BASKI GRAMI]]/Tablo515[[#This Row],[KALIP GÖZ ADEDİ]]," ")</f>
        <v xml:space="preserve"> </v>
      </c>
      <c r="T232" s="100" t="str">
        <f t="shared" si="25"/>
        <v xml:space="preserve"> </v>
      </c>
      <c r="U232" s="100"/>
      <c r="V232" s="100" t="str">
        <f t="shared" si="29"/>
        <v xml:space="preserve"> </v>
      </c>
      <c r="W232" s="101">
        <f t="shared" si="27"/>
        <v>24</v>
      </c>
      <c r="X232" s="102">
        <f t="shared" si="26"/>
        <v>0</v>
      </c>
      <c r="Y232" s="100" t="str">
        <f t="shared" si="30"/>
        <v xml:space="preserve"> </v>
      </c>
      <c r="Z232" s="100" t="str">
        <f t="shared" si="31"/>
        <v xml:space="preserve"> </v>
      </c>
    </row>
    <row r="233" spans="1:26">
      <c r="A233" s="100"/>
      <c r="B233" s="108" t="str">
        <f>IFERROR(VLOOKUP(Tablo515[[#This Row],[ÜRÜN KODU]],YMKODLARI!$A$1:$K$363,2,0)," ")</f>
        <v xml:space="preserve"> </v>
      </c>
      <c r="C233" s="99"/>
      <c r="D233" s="100"/>
      <c r="E233" s="101"/>
      <c r="F233" s="101"/>
      <c r="G233" s="100" t="str">
        <f>IFERROR(VLOOKUP(Tablo515[[#This Row],[ÜRÜN KODU]],YMKODLARI!$A$1:$K$363,3,0)," ")</f>
        <v xml:space="preserve"> </v>
      </c>
      <c r="H233" s="100" t="str">
        <f>IFERROR(VLOOKUP(Tablo515[[#This Row],[ÜRÜN KODU]],YMKODLARI!$A$1:$K$363,4,0)," ")</f>
        <v xml:space="preserve"> </v>
      </c>
      <c r="I233" s="100"/>
      <c r="J233" s="100" t="str">
        <f>IFERROR(VLOOKUP(Tablo515[[#This Row],[ÜRÜN KODU]],YMKODLARI!$A$1:$K$363,9,0)," ")</f>
        <v xml:space="preserve"> </v>
      </c>
      <c r="K233" s="100" t="str">
        <f>IFERROR(VLOOKUP(Tablo515[[#This Row],[BOYA KODU]],Tablo14[#All],4,0)," ")</f>
        <v xml:space="preserve"> </v>
      </c>
      <c r="L233" s="100" t="str">
        <f>IFERROR(VLOOKUP(Tablo515[[#This Row],[BOYA KODU]],Tablo14[#All],6,0)," ")</f>
        <v xml:space="preserve"> </v>
      </c>
      <c r="M233" s="100" t="str">
        <f t="shared" si="28"/>
        <v xml:space="preserve"> </v>
      </c>
      <c r="N233" s="100" t="str">
        <f>IFERROR(VLOOKUP(Tablo515[[#This Row],[ÜRÜN KODU]],YMKODLARI!$A$1:$K$363,8,0)," ")</f>
        <v xml:space="preserve"> </v>
      </c>
      <c r="O233" s="100" t="str">
        <f>IFERROR(VLOOKUP(Tablo515[[#This Row],[HAMMADDE KODU]],Tablo1[#All],3,0)," ")</f>
        <v xml:space="preserve"> </v>
      </c>
      <c r="P233" s="100" t="str">
        <f>IFERROR(VLOOKUP(Tablo515[[#This Row],[HAMMADDE KODU]],Tablo1[#All],4,0)," ")</f>
        <v xml:space="preserve"> </v>
      </c>
      <c r="Q233" s="100" t="str">
        <f>IFERROR(VLOOKUP(Tablo515[[#This Row],[ÜRÜN KODU]],YMKODLARI!$A$1:$K$363,5,0)," ")</f>
        <v xml:space="preserve"> </v>
      </c>
      <c r="R233" s="100" t="str">
        <f>IFERROR(VLOOKUP(Tablo515[[#This Row],[ÜRÜN KODU]],YMKODLARI!$A$1:$K$363,6,0)," ")</f>
        <v xml:space="preserve"> </v>
      </c>
      <c r="S233" s="100" t="str">
        <f>IFERROR(Tablo515[[#This Row],[YOLLUK HARİÇ BASKI GRAMI]]/Tablo515[[#This Row],[KALIP GÖZ ADEDİ]]," ")</f>
        <v xml:space="preserve"> </v>
      </c>
      <c r="T233" s="100" t="str">
        <f t="shared" si="25"/>
        <v xml:space="preserve"> </v>
      </c>
      <c r="U233" s="100"/>
      <c r="V233" s="100" t="str">
        <f t="shared" si="29"/>
        <v xml:space="preserve"> </v>
      </c>
      <c r="W233" s="101">
        <f t="shared" si="27"/>
        <v>24</v>
      </c>
      <c r="X233" s="102">
        <f t="shared" si="26"/>
        <v>0</v>
      </c>
      <c r="Y233" s="100" t="str">
        <f t="shared" si="30"/>
        <v xml:space="preserve"> </v>
      </c>
      <c r="Z233" s="100" t="str">
        <f t="shared" si="31"/>
        <v xml:space="preserve"> </v>
      </c>
    </row>
    <row r="234" spans="1:26">
      <c r="A234" s="100"/>
      <c r="B234" s="108" t="str">
        <f>IFERROR(VLOOKUP(Tablo515[[#This Row],[ÜRÜN KODU]],YMKODLARI!$A$1:$K$363,2,0)," ")</f>
        <v xml:space="preserve"> </v>
      </c>
      <c r="C234" s="99"/>
      <c r="D234" s="100"/>
      <c r="E234" s="101"/>
      <c r="F234" s="101"/>
      <c r="G234" s="100" t="str">
        <f>IFERROR(VLOOKUP(Tablo515[[#This Row],[ÜRÜN KODU]],YMKODLARI!$A$1:$K$363,3,0)," ")</f>
        <v xml:space="preserve"> </v>
      </c>
      <c r="H234" s="100" t="str">
        <f>IFERROR(VLOOKUP(Tablo515[[#This Row],[ÜRÜN KODU]],YMKODLARI!$A$1:$K$363,4,0)," ")</f>
        <v xml:space="preserve"> </v>
      </c>
      <c r="I234" s="100"/>
      <c r="J234" s="100" t="str">
        <f>IFERROR(VLOOKUP(Tablo515[[#This Row],[ÜRÜN KODU]],YMKODLARI!$A$1:$K$363,9,0)," ")</f>
        <v xml:space="preserve"> </v>
      </c>
      <c r="K234" s="100" t="str">
        <f>IFERROR(VLOOKUP(Tablo515[[#This Row],[BOYA KODU]],Tablo14[#All],4,0)," ")</f>
        <v xml:space="preserve"> </v>
      </c>
      <c r="L234" s="100" t="str">
        <f>IFERROR(VLOOKUP(Tablo515[[#This Row],[BOYA KODU]],Tablo14[#All],6,0)," ")</f>
        <v xml:space="preserve"> </v>
      </c>
      <c r="M234" s="100" t="str">
        <f t="shared" si="28"/>
        <v xml:space="preserve"> </v>
      </c>
      <c r="N234" s="100" t="str">
        <f>IFERROR(VLOOKUP(Tablo515[[#This Row],[ÜRÜN KODU]],YMKODLARI!$A$1:$K$363,8,0)," ")</f>
        <v xml:space="preserve"> </v>
      </c>
      <c r="O234" s="100" t="str">
        <f>IFERROR(VLOOKUP(Tablo515[[#This Row],[HAMMADDE KODU]],Tablo1[#All],3,0)," ")</f>
        <v xml:space="preserve"> </v>
      </c>
      <c r="P234" s="100" t="str">
        <f>IFERROR(VLOOKUP(Tablo515[[#This Row],[HAMMADDE KODU]],Tablo1[#All],4,0)," ")</f>
        <v xml:space="preserve"> </v>
      </c>
      <c r="Q234" s="100" t="str">
        <f>IFERROR(VLOOKUP(Tablo515[[#This Row],[ÜRÜN KODU]],YMKODLARI!$A$1:$K$363,5,0)," ")</f>
        <v xml:space="preserve"> </v>
      </c>
      <c r="R234" s="100" t="str">
        <f>IFERROR(VLOOKUP(Tablo515[[#This Row],[ÜRÜN KODU]],YMKODLARI!$A$1:$K$363,6,0)," ")</f>
        <v xml:space="preserve"> </v>
      </c>
      <c r="S234" s="100" t="str">
        <f>IFERROR(Tablo515[[#This Row],[YOLLUK HARİÇ BASKI GRAMI]]/Tablo515[[#This Row],[KALIP GÖZ ADEDİ]]," ")</f>
        <v xml:space="preserve"> </v>
      </c>
      <c r="T234" s="100" t="str">
        <f t="shared" si="25"/>
        <v xml:space="preserve"> </v>
      </c>
      <c r="U234" s="100"/>
      <c r="V234" s="100" t="str">
        <f t="shared" si="29"/>
        <v xml:space="preserve"> </v>
      </c>
      <c r="W234" s="101">
        <f t="shared" si="27"/>
        <v>24</v>
      </c>
      <c r="X234" s="102">
        <f t="shared" si="26"/>
        <v>0</v>
      </c>
      <c r="Y234" s="100" t="str">
        <f t="shared" si="30"/>
        <v xml:space="preserve"> </v>
      </c>
      <c r="Z234" s="100" t="str">
        <f t="shared" si="31"/>
        <v xml:space="preserve"> </v>
      </c>
    </row>
    <row r="235" spans="1:26">
      <c r="A235" s="100"/>
      <c r="B235" s="108" t="str">
        <f>IFERROR(VLOOKUP(Tablo515[[#This Row],[ÜRÜN KODU]],YMKODLARI!$A$1:$K$363,2,0)," ")</f>
        <v xml:space="preserve"> </v>
      </c>
      <c r="C235" s="99"/>
      <c r="D235" s="100"/>
      <c r="E235" s="101"/>
      <c r="F235" s="101"/>
      <c r="G235" s="100" t="str">
        <f>IFERROR(VLOOKUP(Tablo515[[#This Row],[ÜRÜN KODU]],YMKODLARI!$A$1:$K$363,3,0)," ")</f>
        <v xml:space="preserve"> </v>
      </c>
      <c r="H235" s="100" t="str">
        <f>IFERROR(VLOOKUP(Tablo515[[#This Row],[ÜRÜN KODU]],YMKODLARI!$A$1:$K$363,4,0)," ")</f>
        <v xml:space="preserve"> </v>
      </c>
      <c r="I235" s="100"/>
      <c r="J235" s="100" t="str">
        <f>IFERROR(VLOOKUP(Tablo515[[#This Row],[ÜRÜN KODU]],YMKODLARI!$A$1:$K$363,9,0)," ")</f>
        <v xml:space="preserve"> </v>
      </c>
      <c r="K235" s="100" t="str">
        <f>IFERROR(VLOOKUP(Tablo515[[#This Row],[BOYA KODU]],Tablo14[#All],4,0)," ")</f>
        <v xml:space="preserve"> </v>
      </c>
      <c r="L235" s="100" t="str">
        <f>IFERROR(VLOOKUP(Tablo515[[#This Row],[BOYA KODU]],Tablo14[#All],6,0)," ")</f>
        <v xml:space="preserve"> </v>
      </c>
      <c r="M235" s="100" t="str">
        <f t="shared" si="28"/>
        <v xml:space="preserve"> </v>
      </c>
      <c r="N235" s="100" t="str">
        <f>IFERROR(VLOOKUP(Tablo515[[#This Row],[ÜRÜN KODU]],YMKODLARI!$A$1:$K$363,8,0)," ")</f>
        <v xml:space="preserve"> </v>
      </c>
      <c r="O235" s="100" t="str">
        <f>IFERROR(VLOOKUP(Tablo515[[#This Row],[HAMMADDE KODU]],Tablo1[#All],3,0)," ")</f>
        <v xml:space="preserve"> </v>
      </c>
      <c r="P235" s="100" t="str">
        <f>IFERROR(VLOOKUP(Tablo515[[#This Row],[HAMMADDE KODU]],Tablo1[#All],4,0)," ")</f>
        <v xml:space="preserve"> </v>
      </c>
      <c r="Q235" s="100" t="str">
        <f>IFERROR(VLOOKUP(Tablo515[[#This Row],[ÜRÜN KODU]],YMKODLARI!$A$1:$K$363,5,0)," ")</f>
        <v xml:space="preserve"> </v>
      </c>
      <c r="R235" s="100" t="str">
        <f>IFERROR(VLOOKUP(Tablo515[[#This Row],[ÜRÜN KODU]],YMKODLARI!$A$1:$K$363,6,0)," ")</f>
        <v xml:space="preserve"> </v>
      </c>
      <c r="S235" s="100" t="str">
        <f>IFERROR(Tablo515[[#This Row],[YOLLUK HARİÇ BASKI GRAMI]]/Tablo515[[#This Row],[KALIP GÖZ ADEDİ]]," ")</f>
        <v xml:space="preserve"> </v>
      </c>
      <c r="T235" s="100" t="str">
        <f t="shared" si="25"/>
        <v xml:space="preserve"> </v>
      </c>
      <c r="U235" s="100"/>
      <c r="V235" s="100" t="str">
        <f t="shared" si="29"/>
        <v xml:space="preserve"> </v>
      </c>
      <c r="W235" s="101">
        <f t="shared" si="27"/>
        <v>24</v>
      </c>
      <c r="X235" s="102">
        <f t="shared" si="26"/>
        <v>0</v>
      </c>
      <c r="Y235" s="100" t="str">
        <f t="shared" si="30"/>
        <v xml:space="preserve"> </v>
      </c>
      <c r="Z235" s="100" t="str">
        <f t="shared" si="31"/>
        <v xml:space="preserve"> </v>
      </c>
    </row>
    <row r="236" spans="1:26">
      <c r="A236" s="100"/>
      <c r="B236" s="108" t="str">
        <f>IFERROR(VLOOKUP(Tablo515[[#This Row],[ÜRÜN KODU]],YMKODLARI!$A$1:$K$363,2,0)," ")</f>
        <v xml:space="preserve"> </v>
      </c>
      <c r="C236" s="99"/>
      <c r="D236" s="100"/>
      <c r="E236" s="101"/>
      <c r="F236" s="101"/>
      <c r="G236" s="100" t="str">
        <f>IFERROR(VLOOKUP(Tablo515[[#This Row],[ÜRÜN KODU]],YMKODLARI!$A$1:$K$363,3,0)," ")</f>
        <v xml:space="preserve"> </v>
      </c>
      <c r="H236" s="100" t="str">
        <f>IFERROR(VLOOKUP(Tablo515[[#This Row],[ÜRÜN KODU]],YMKODLARI!$A$1:$K$363,4,0)," ")</f>
        <v xml:space="preserve"> </v>
      </c>
      <c r="I236" s="100"/>
      <c r="J236" s="100" t="str">
        <f>IFERROR(VLOOKUP(Tablo515[[#This Row],[ÜRÜN KODU]],YMKODLARI!$A$1:$K$363,9,0)," ")</f>
        <v xml:space="preserve"> </v>
      </c>
      <c r="K236" s="100" t="str">
        <f>IFERROR(VLOOKUP(Tablo515[[#This Row],[BOYA KODU]],Tablo14[#All],4,0)," ")</f>
        <v xml:space="preserve"> </v>
      </c>
      <c r="L236" s="100" t="str">
        <f>IFERROR(VLOOKUP(Tablo515[[#This Row],[BOYA KODU]],Tablo14[#All],6,0)," ")</f>
        <v xml:space="preserve"> </v>
      </c>
      <c r="M236" s="100" t="str">
        <f t="shared" si="28"/>
        <v xml:space="preserve"> </v>
      </c>
      <c r="N236" s="100" t="str">
        <f>IFERROR(VLOOKUP(Tablo515[[#This Row],[ÜRÜN KODU]],YMKODLARI!$A$1:$K$363,8,0)," ")</f>
        <v xml:space="preserve"> </v>
      </c>
      <c r="O236" s="100" t="str">
        <f>IFERROR(VLOOKUP(Tablo515[[#This Row],[HAMMADDE KODU]],Tablo1[#All],3,0)," ")</f>
        <v xml:space="preserve"> </v>
      </c>
      <c r="P236" s="100" t="str">
        <f>IFERROR(VLOOKUP(Tablo515[[#This Row],[HAMMADDE KODU]],Tablo1[#All],4,0)," ")</f>
        <v xml:space="preserve"> </v>
      </c>
      <c r="Q236" s="100" t="str">
        <f>IFERROR(VLOOKUP(Tablo515[[#This Row],[ÜRÜN KODU]],YMKODLARI!$A$1:$K$363,5,0)," ")</f>
        <v xml:space="preserve"> </v>
      </c>
      <c r="R236" s="100" t="str">
        <f>IFERROR(VLOOKUP(Tablo515[[#This Row],[ÜRÜN KODU]],YMKODLARI!$A$1:$K$363,6,0)," ")</f>
        <v xml:space="preserve"> </v>
      </c>
      <c r="S236" s="100" t="str">
        <f>IFERROR(Tablo515[[#This Row],[YOLLUK HARİÇ BASKI GRAMI]]/Tablo515[[#This Row],[KALIP GÖZ ADEDİ]]," ")</f>
        <v xml:space="preserve"> </v>
      </c>
      <c r="T236" s="100" t="str">
        <f t="shared" si="25"/>
        <v xml:space="preserve"> </v>
      </c>
      <c r="U236" s="100"/>
      <c r="V236" s="100" t="str">
        <f t="shared" si="29"/>
        <v xml:space="preserve"> </v>
      </c>
      <c r="W236" s="101">
        <f t="shared" si="27"/>
        <v>24</v>
      </c>
      <c r="X236" s="102">
        <f t="shared" si="26"/>
        <v>0</v>
      </c>
      <c r="Y236" s="100" t="str">
        <f t="shared" si="30"/>
        <v xml:space="preserve"> </v>
      </c>
      <c r="Z236" s="100" t="str">
        <f t="shared" si="31"/>
        <v xml:space="preserve"> </v>
      </c>
    </row>
    <row r="237" spans="1:26">
      <c r="A237" s="100"/>
      <c r="B237" s="108" t="str">
        <f>IFERROR(VLOOKUP(Tablo515[[#This Row],[ÜRÜN KODU]],YMKODLARI!$A$1:$K$363,2,0)," ")</f>
        <v xml:space="preserve"> </v>
      </c>
      <c r="C237" s="99"/>
      <c r="D237" s="100"/>
      <c r="E237" s="101"/>
      <c r="F237" s="101"/>
      <c r="G237" s="100" t="str">
        <f>IFERROR(VLOOKUP(Tablo515[[#This Row],[ÜRÜN KODU]],YMKODLARI!$A$1:$K$363,3,0)," ")</f>
        <v xml:space="preserve"> </v>
      </c>
      <c r="H237" s="100" t="str">
        <f>IFERROR(VLOOKUP(Tablo515[[#This Row],[ÜRÜN KODU]],YMKODLARI!$A$1:$K$363,4,0)," ")</f>
        <v xml:space="preserve"> </v>
      </c>
      <c r="I237" s="100"/>
      <c r="J237" s="100" t="str">
        <f>IFERROR(VLOOKUP(Tablo515[[#This Row],[ÜRÜN KODU]],YMKODLARI!$A$1:$K$363,9,0)," ")</f>
        <v xml:space="preserve"> </v>
      </c>
      <c r="K237" s="100" t="str">
        <f>IFERROR(VLOOKUP(Tablo515[[#This Row],[BOYA KODU]],Tablo14[#All],4,0)," ")</f>
        <v xml:space="preserve"> </v>
      </c>
      <c r="L237" s="100" t="str">
        <f>IFERROR(VLOOKUP(Tablo515[[#This Row],[BOYA KODU]],Tablo14[#All],6,0)," ")</f>
        <v xml:space="preserve"> </v>
      </c>
      <c r="M237" s="100" t="str">
        <f t="shared" si="28"/>
        <v xml:space="preserve"> </v>
      </c>
      <c r="N237" s="100" t="str">
        <f>IFERROR(VLOOKUP(Tablo515[[#This Row],[ÜRÜN KODU]],YMKODLARI!$A$1:$K$363,8,0)," ")</f>
        <v xml:space="preserve"> </v>
      </c>
      <c r="O237" s="100" t="str">
        <f>IFERROR(VLOOKUP(Tablo515[[#This Row],[HAMMADDE KODU]],Tablo1[#All],3,0)," ")</f>
        <v xml:space="preserve"> </v>
      </c>
      <c r="P237" s="100" t="str">
        <f>IFERROR(VLOOKUP(Tablo515[[#This Row],[HAMMADDE KODU]],Tablo1[#All],4,0)," ")</f>
        <v xml:space="preserve"> </v>
      </c>
      <c r="Q237" s="100" t="str">
        <f>IFERROR(VLOOKUP(Tablo515[[#This Row],[ÜRÜN KODU]],YMKODLARI!$A$1:$K$363,5,0)," ")</f>
        <v xml:space="preserve"> </v>
      </c>
      <c r="R237" s="100" t="str">
        <f>IFERROR(VLOOKUP(Tablo515[[#This Row],[ÜRÜN KODU]],YMKODLARI!$A$1:$K$363,6,0)," ")</f>
        <v xml:space="preserve"> </v>
      </c>
      <c r="S237" s="100" t="str">
        <f>IFERROR(Tablo515[[#This Row],[YOLLUK HARİÇ BASKI GRAMI]]/Tablo515[[#This Row],[KALIP GÖZ ADEDİ]]," ")</f>
        <v xml:space="preserve"> </v>
      </c>
      <c r="T237" s="100" t="str">
        <f t="shared" si="25"/>
        <v xml:space="preserve"> </v>
      </c>
      <c r="U237" s="100"/>
      <c r="V237" s="100" t="str">
        <f t="shared" si="29"/>
        <v xml:space="preserve"> </v>
      </c>
      <c r="W237" s="101">
        <f t="shared" si="27"/>
        <v>24</v>
      </c>
      <c r="X237" s="102">
        <f t="shared" si="26"/>
        <v>0</v>
      </c>
      <c r="Y237" s="100" t="str">
        <f t="shared" si="30"/>
        <v xml:space="preserve"> </v>
      </c>
      <c r="Z237" s="100" t="str">
        <f t="shared" si="31"/>
        <v xml:space="preserve"> </v>
      </c>
    </row>
    <row r="238" spans="1:26">
      <c r="A238" s="100"/>
      <c r="B238" s="108" t="str">
        <f>IFERROR(VLOOKUP(Tablo515[[#This Row],[ÜRÜN KODU]],YMKODLARI!$A$1:$K$363,2,0)," ")</f>
        <v xml:space="preserve"> </v>
      </c>
      <c r="C238" s="99"/>
      <c r="D238" s="100"/>
      <c r="E238" s="101"/>
      <c r="F238" s="101"/>
      <c r="G238" s="100" t="str">
        <f>IFERROR(VLOOKUP(Tablo515[[#This Row],[ÜRÜN KODU]],YMKODLARI!$A$1:$K$363,3,0)," ")</f>
        <v xml:space="preserve"> </v>
      </c>
      <c r="H238" s="100" t="str">
        <f>IFERROR(VLOOKUP(Tablo515[[#This Row],[ÜRÜN KODU]],YMKODLARI!$A$1:$K$363,4,0)," ")</f>
        <v xml:space="preserve"> </v>
      </c>
      <c r="I238" s="100"/>
      <c r="J238" s="100" t="str">
        <f>IFERROR(VLOOKUP(Tablo515[[#This Row],[ÜRÜN KODU]],YMKODLARI!$A$1:$K$363,9,0)," ")</f>
        <v xml:space="preserve"> </v>
      </c>
      <c r="K238" s="100" t="str">
        <f>IFERROR(VLOOKUP(Tablo515[[#This Row],[BOYA KODU]],Tablo14[#All],4,0)," ")</f>
        <v xml:space="preserve"> </v>
      </c>
      <c r="L238" s="100" t="str">
        <f>IFERROR(VLOOKUP(Tablo515[[#This Row],[BOYA KODU]],Tablo14[#All],6,0)," ")</f>
        <v xml:space="preserve"> </v>
      </c>
      <c r="M238" s="100" t="str">
        <f t="shared" si="28"/>
        <v xml:space="preserve"> </v>
      </c>
      <c r="N238" s="100" t="str">
        <f>IFERROR(VLOOKUP(Tablo515[[#This Row],[ÜRÜN KODU]],YMKODLARI!$A$1:$K$363,8,0)," ")</f>
        <v xml:space="preserve"> </v>
      </c>
      <c r="O238" s="100" t="str">
        <f>IFERROR(VLOOKUP(Tablo515[[#This Row],[HAMMADDE KODU]],Tablo1[#All],3,0)," ")</f>
        <v xml:space="preserve"> </v>
      </c>
      <c r="P238" s="100" t="str">
        <f>IFERROR(VLOOKUP(Tablo515[[#This Row],[HAMMADDE KODU]],Tablo1[#All],4,0)," ")</f>
        <v xml:space="preserve"> </v>
      </c>
      <c r="Q238" s="100" t="str">
        <f>IFERROR(VLOOKUP(Tablo515[[#This Row],[ÜRÜN KODU]],YMKODLARI!$A$1:$K$363,5,0)," ")</f>
        <v xml:space="preserve"> </v>
      </c>
      <c r="R238" s="100" t="str">
        <f>IFERROR(VLOOKUP(Tablo515[[#This Row],[ÜRÜN KODU]],YMKODLARI!$A$1:$K$363,6,0)," ")</f>
        <v xml:space="preserve"> </v>
      </c>
      <c r="S238" s="100" t="str">
        <f>IFERROR(Tablo515[[#This Row],[YOLLUK HARİÇ BASKI GRAMI]]/Tablo515[[#This Row],[KALIP GÖZ ADEDİ]]," ")</f>
        <v xml:space="preserve"> </v>
      </c>
      <c r="T238" s="100" t="str">
        <f t="shared" si="25"/>
        <v xml:space="preserve"> </v>
      </c>
      <c r="U238" s="100"/>
      <c r="V238" s="100" t="str">
        <f t="shared" si="29"/>
        <v xml:space="preserve"> </v>
      </c>
      <c r="W238" s="101">
        <f t="shared" si="27"/>
        <v>24</v>
      </c>
      <c r="X238" s="102">
        <f t="shared" si="26"/>
        <v>0</v>
      </c>
      <c r="Y238" s="100" t="str">
        <f t="shared" si="30"/>
        <v xml:space="preserve"> </v>
      </c>
      <c r="Z238" s="100" t="str">
        <f t="shared" si="31"/>
        <v xml:space="preserve"> </v>
      </c>
    </row>
    <row r="239" spans="1:26">
      <c r="A239" s="100"/>
      <c r="B239" s="108" t="str">
        <f>IFERROR(VLOOKUP(Tablo515[[#This Row],[ÜRÜN KODU]],YMKODLARI!$A$1:$K$363,2,0)," ")</f>
        <v xml:space="preserve"> </v>
      </c>
      <c r="C239" s="99"/>
      <c r="D239" s="100"/>
      <c r="E239" s="101"/>
      <c r="F239" s="101"/>
      <c r="G239" s="100" t="str">
        <f>IFERROR(VLOOKUP(Tablo515[[#This Row],[ÜRÜN KODU]],YMKODLARI!$A$1:$K$363,3,0)," ")</f>
        <v xml:space="preserve"> </v>
      </c>
      <c r="H239" s="100" t="str">
        <f>IFERROR(VLOOKUP(Tablo515[[#This Row],[ÜRÜN KODU]],YMKODLARI!$A$1:$K$363,4,0)," ")</f>
        <v xml:space="preserve"> </v>
      </c>
      <c r="I239" s="100"/>
      <c r="J239" s="100" t="str">
        <f>IFERROR(VLOOKUP(Tablo515[[#This Row],[ÜRÜN KODU]],YMKODLARI!$A$1:$K$363,9,0)," ")</f>
        <v xml:space="preserve"> </v>
      </c>
      <c r="K239" s="100" t="str">
        <f>IFERROR(VLOOKUP(Tablo515[[#This Row],[BOYA KODU]],Tablo14[#All],4,0)," ")</f>
        <v xml:space="preserve"> </v>
      </c>
      <c r="L239" s="100" t="str">
        <f>IFERROR(VLOOKUP(Tablo515[[#This Row],[BOYA KODU]],Tablo14[#All],6,0)," ")</f>
        <v xml:space="preserve"> </v>
      </c>
      <c r="M239" s="100" t="str">
        <f t="shared" si="28"/>
        <v xml:space="preserve"> </v>
      </c>
      <c r="N239" s="100" t="str">
        <f>IFERROR(VLOOKUP(Tablo515[[#This Row],[ÜRÜN KODU]],YMKODLARI!$A$1:$K$363,8,0)," ")</f>
        <v xml:space="preserve"> </v>
      </c>
      <c r="O239" s="100" t="str">
        <f>IFERROR(VLOOKUP(Tablo515[[#This Row],[HAMMADDE KODU]],Tablo1[#All],3,0)," ")</f>
        <v xml:space="preserve"> </v>
      </c>
      <c r="P239" s="100" t="str">
        <f>IFERROR(VLOOKUP(Tablo515[[#This Row],[HAMMADDE KODU]],Tablo1[#All],4,0)," ")</f>
        <v xml:space="preserve"> </v>
      </c>
      <c r="Q239" s="100" t="str">
        <f>IFERROR(VLOOKUP(Tablo515[[#This Row],[ÜRÜN KODU]],YMKODLARI!$A$1:$K$363,5,0)," ")</f>
        <v xml:space="preserve"> </v>
      </c>
      <c r="R239" s="100" t="str">
        <f>IFERROR(VLOOKUP(Tablo515[[#This Row],[ÜRÜN KODU]],YMKODLARI!$A$1:$K$363,6,0)," ")</f>
        <v xml:space="preserve"> </v>
      </c>
      <c r="S239" s="100" t="str">
        <f>IFERROR(Tablo515[[#This Row],[YOLLUK HARİÇ BASKI GRAMI]]/Tablo515[[#This Row],[KALIP GÖZ ADEDİ]]," ")</f>
        <v xml:space="preserve"> </v>
      </c>
      <c r="T239" s="100" t="str">
        <f t="shared" si="25"/>
        <v xml:space="preserve"> </v>
      </c>
      <c r="U239" s="100"/>
      <c r="V239" s="100" t="str">
        <f t="shared" si="29"/>
        <v xml:space="preserve"> </v>
      </c>
      <c r="W239" s="101">
        <f t="shared" si="27"/>
        <v>24</v>
      </c>
      <c r="X239" s="102">
        <f t="shared" si="26"/>
        <v>0</v>
      </c>
      <c r="Y239" s="100" t="str">
        <f t="shared" si="30"/>
        <v xml:space="preserve"> </v>
      </c>
      <c r="Z239" s="100" t="str">
        <f t="shared" si="31"/>
        <v xml:space="preserve"> </v>
      </c>
    </row>
    <row r="240" spans="1:26">
      <c r="A240" s="100"/>
      <c r="B240" s="108" t="str">
        <f>IFERROR(VLOOKUP(Tablo515[[#This Row],[ÜRÜN KODU]],YMKODLARI!$A$1:$K$363,2,0)," ")</f>
        <v xml:space="preserve"> </v>
      </c>
      <c r="C240" s="99"/>
      <c r="D240" s="100"/>
      <c r="E240" s="101"/>
      <c r="F240" s="101"/>
      <c r="G240" s="100" t="str">
        <f>IFERROR(VLOOKUP(Tablo515[[#This Row],[ÜRÜN KODU]],YMKODLARI!$A$1:$K$363,3,0)," ")</f>
        <v xml:space="preserve"> </v>
      </c>
      <c r="H240" s="100" t="str">
        <f>IFERROR(VLOOKUP(Tablo515[[#This Row],[ÜRÜN KODU]],YMKODLARI!$A$1:$K$363,4,0)," ")</f>
        <v xml:space="preserve"> </v>
      </c>
      <c r="I240" s="100"/>
      <c r="J240" s="100" t="str">
        <f>IFERROR(VLOOKUP(Tablo515[[#This Row],[ÜRÜN KODU]],YMKODLARI!$A$1:$K$363,9,0)," ")</f>
        <v xml:space="preserve"> </v>
      </c>
      <c r="K240" s="100" t="str">
        <f>IFERROR(VLOOKUP(Tablo515[[#This Row],[BOYA KODU]],Tablo14[#All],4,0)," ")</f>
        <v xml:space="preserve"> </v>
      </c>
      <c r="L240" s="100" t="str">
        <f>IFERROR(VLOOKUP(Tablo515[[#This Row],[BOYA KODU]],Tablo14[#All],6,0)," ")</f>
        <v xml:space="preserve"> </v>
      </c>
      <c r="M240" s="100" t="str">
        <f t="shared" si="28"/>
        <v xml:space="preserve"> </v>
      </c>
      <c r="N240" s="100" t="str">
        <f>IFERROR(VLOOKUP(Tablo515[[#This Row],[ÜRÜN KODU]],YMKODLARI!$A$1:$K$363,8,0)," ")</f>
        <v xml:space="preserve"> </v>
      </c>
      <c r="O240" s="100" t="str">
        <f>IFERROR(VLOOKUP(Tablo515[[#This Row],[HAMMADDE KODU]],Tablo1[#All],3,0)," ")</f>
        <v xml:space="preserve"> </v>
      </c>
      <c r="P240" s="100" t="str">
        <f>IFERROR(VLOOKUP(Tablo515[[#This Row],[HAMMADDE KODU]],Tablo1[#All],4,0)," ")</f>
        <v xml:space="preserve"> </v>
      </c>
      <c r="Q240" s="100" t="str">
        <f>IFERROR(VLOOKUP(Tablo515[[#This Row],[ÜRÜN KODU]],YMKODLARI!$A$1:$K$363,5,0)," ")</f>
        <v xml:space="preserve"> </v>
      </c>
      <c r="R240" s="100" t="str">
        <f>IFERROR(VLOOKUP(Tablo515[[#This Row],[ÜRÜN KODU]],YMKODLARI!$A$1:$K$363,6,0)," ")</f>
        <v xml:space="preserve"> </v>
      </c>
      <c r="S240" s="100" t="str">
        <f>IFERROR(Tablo515[[#This Row],[YOLLUK HARİÇ BASKI GRAMI]]/Tablo515[[#This Row],[KALIP GÖZ ADEDİ]]," ")</f>
        <v xml:space="preserve"> </v>
      </c>
      <c r="T240" s="100" t="str">
        <f t="shared" si="25"/>
        <v xml:space="preserve"> </v>
      </c>
      <c r="U240" s="100"/>
      <c r="V240" s="100" t="str">
        <f t="shared" si="29"/>
        <v xml:space="preserve"> </v>
      </c>
      <c r="W240" s="101">
        <f t="shared" si="27"/>
        <v>24</v>
      </c>
      <c r="X240" s="102">
        <f t="shared" si="26"/>
        <v>0</v>
      </c>
      <c r="Y240" s="100" t="str">
        <f t="shared" si="30"/>
        <v xml:space="preserve"> </v>
      </c>
      <c r="Z240" s="100" t="str">
        <f t="shared" si="31"/>
        <v xml:space="preserve"> </v>
      </c>
    </row>
    <row r="241" spans="1:26">
      <c r="A241" s="100"/>
      <c r="B241" s="108" t="str">
        <f>IFERROR(VLOOKUP(Tablo515[[#This Row],[ÜRÜN KODU]],YMKODLARI!$A$1:$K$363,2,0)," ")</f>
        <v xml:space="preserve"> </v>
      </c>
      <c r="C241" s="99"/>
      <c r="D241" s="100"/>
      <c r="E241" s="101"/>
      <c r="F241" s="101"/>
      <c r="G241" s="100" t="str">
        <f>IFERROR(VLOOKUP(Tablo515[[#This Row],[ÜRÜN KODU]],YMKODLARI!$A$1:$K$363,3,0)," ")</f>
        <v xml:space="preserve"> </v>
      </c>
      <c r="H241" s="100" t="str">
        <f>IFERROR(VLOOKUP(Tablo515[[#This Row],[ÜRÜN KODU]],YMKODLARI!$A$1:$K$363,4,0)," ")</f>
        <v xml:space="preserve"> </v>
      </c>
      <c r="I241" s="100"/>
      <c r="J241" s="100" t="str">
        <f>IFERROR(VLOOKUP(Tablo515[[#This Row],[ÜRÜN KODU]],YMKODLARI!$A$1:$K$363,9,0)," ")</f>
        <v xml:space="preserve"> </v>
      </c>
      <c r="K241" s="100" t="str">
        <f>IFERROR(VLOOKUP(Tablo515[[#This Row],[BOYA KODU]],Tablo14[#All],4,0)," ")</f>
        <v xml:space="preserve"> </v>
      </c>
      <c r="L241" s="100" t="str">
        <f>IFERROR(VLOOKUP(Tablo515[[#This Row],[BOYA KODU]],Tablo14[#All],6,0)," ")</f>
        <v xml:space="preserve"> </v>
      </c>
      <c r="M241" s="100" t="str">
        <f t="shared" si="28"/>
        <v xml:space="preserve"> </v>
      </c>
      <c r="N241" s="100" t="str">
        <f>IFERROR(VLOOKUP(Tablo515[[#This Row],[ÜRÜN KODU]],YMKODLARI!$A$1:$K$363,8,0)," ")</f>
        <v xml:space="preserve"> </v>
      </c>
      <c r="O241" s="100" t="str">
        <f>IFERROR(VLOOKUP(Tablo515[[#This Row],[HAMMADDE KODU]],Tablo1[#All],3,0)," ")</f>
        <v xml:space="preserve"> </v>
      </c>
      <c r="P241" s="100" t="str">
        <f>IFERROR(VLOOKUP(Tablo515[[#This Row],[HAMMADDE KODU]],Tablo1[#All],4,0)," ")</f>
        <v xml:space="preserve"> </v>
      </c>
      <c r="Q241" s="100" t="str">
        <f>IFERROR(VLOOKUP(Tablo515[[#This Row],[ÜRÜN KODU]],YMKODLARI!$A$1:$K$363,5,0)," ")</f>
        <v xml:space="preserve"> </v>
      </c>
      <c r="R241" s="100" t="str">
        <f>IFERROR(VLOOKUP(Tablo515[[#This Row],[ÜRÜN KODU]],YMKODLARI!$A$1:$K$363,6,0)," ")</f>
        <v xml:space="preserve"> </v>
      </c>
      <c r="S241" s="100" t="str">
        <f>IFERROR(Tablo515[[#This Row],[YOLLUK HARİÇ BASKI GRAMI]]/Tablo515[[#This Row],[KALIP GÖZ ADEDİ]]," ")</f>
        <v xml:space="preserve"> </v>
      </c>
      <c r="T241" s="100" t="str">
        <f t="shared" si="25"/>
        <v xml:space="preserve"> </v>
      </c>
      <c r="U241" s="100"/>
      <c r="V241" s="100" t="str">
        <f t="shared" si="29"/>
        <v xml:space="preserve"> </v>
      </c>
      <c r="W241" s="101">
        <f t="shared" si="27"/>
        <v>24</v>
      </c>
      <c r="X241" s="102">
        <f t="shared" si="26"/>
        <v>0</v>
      </c>
      <c r="Y241" s="100" t="str">
        <f t="shared" si="30"/>
        <v xml:space="preserve"> </v>
      </c>
      <c r="Z241" s="100" t="str">
        <f t="shared" si="31"/>
        <v xml:space="preserve"> </v>
      </c>
    </row>
    <row r="242" spans="1:26">
      <c r="A242" s="100"/>
      <c r="B242" s="108" t="str">
        <f>IFERROR(VLOOKUP(Tablo515[[#This Row],[ÜRÜN KODU]],YMKODLARI!$A$1:$K$363,2,0)," ")</f>
        <v xml:space="preserve"> </v>
      </c>
      <c r="C242" s="99"/>
      <c r="D242" s="100"/>
      <c r="E242" s="101"/>
      <c r="F242" s="101"/>
      <c r="G242" s="100" t="str">
        <f>IFERROR(VLOOKUP(Tablo515[[#This Row],[ÜRÜN KODU]],YMKODLARI!$A$1:$K$363,3,0)," ")</f>
        <v xml:space="preserve"> </v>
      </c>
      <c r="H242" s="100" t="str">
        <f>IFERROR(VLOOKUP(Tablo515[[#This Row],[ÜRÜN KODU]],YMKODLARI!$A$1:$K$363,4,0)," ")</f>
        <v xml:space="preserve"> </v>
      </c>
      <c r="I242" s="100"/>
      <c r="J242" s="100" t="str">
        <f>IFERROR(VLOOKUP(Tablo515[[#This Row],[ÜRÜN KODU]],YMKODLARI!$A$1:$K$363,9,0)," ")</f>
        <v xml:space="preserve"> </v>
      </c>
      <c r="K242" s="100" t="str">
        <f>IFERROR(VLOOKUP(Tablo515[[#This Row],[BOYA KODU]],Tablo14[#All],4,0)," ")</f>
        <v xml:space="preserve"> </v>
      </c>
      <c r="L242" s="100" t="str">
        <f>IFERROR(VLOOKUP(Tablo515[[#This Row],[BOYA KODU]],Tablo14[#All],6,0)," ")</f>
        <v xml:space="preserve"> </v>
      </c>
      <c r="M242" s="100" t="str">
        <f t="shared" si="28"/>
        <v xml:space="preserve"> </v>
      </c>
      <c r="N242" s="100" t="str">
        <f>IFERROR(VLOOKUP(Tablo515[[#This Row],[ÜRÜN KODU]],YMKODLARI!$A$1:$K$363,8,0)," ")</f>
        <v xml:space="preserve"> </v>
      </c>
      <c r="O242" s="100" t="str">
        <f>IFERROR(VLOOKUP(Tablo515[[#This Row],[HAMMADDE KODU]],Tablo1[#All],3,0)," ")</f>
        <v xml:space="preserve"> </v>
      </c>
      <c r="P242" s="100" t="str">
        <f>IFERROR(VLOOKUP(Tablo515[[#This Row],[HAMMADDE KODU]],Tablo1[#All],4,0)," ")</f>
        <v xml:space="preserve"> </v>
      </c>
      <c r="Q242" s="100" t="str">
        <f>IFERROR(VLOOKUP(Tablo515[[#This Row],[ÜRÜN KODU]],YMKODLARI!$A$1:$K$363,5,0)," ")</f>
        <v xml:space="preserve"> </v>
      </c>
      <c r="R242" s="100" t="str">
        <f>IFERROR(VLOOKUP(Tablo515[[#This Row],[ÜRÜN KODU]],YMKODLARI!$A$1:$K$363,6,0)," ")</f>
        <v xml:space="preserve"> </v>
      </c>
      <c r="S242" s="100" t="str">
        <f>IFERROR(Tablo515[[#This Row],[YOLLUK HARİÇ BASKI GRAMI]]/Tablo515[[#This Row],[KALIP GÖZ ADEDİ]]," ")</f>
        <v xml:space="preserve"> </v>
      </c>
      <c r="T242" s="100" t="str">
        <f t="shared" si="25"/>
        <v xml:space="preserve"> </v>
      </c>
      <c r="U242" s="100"/>
      <c r="V242" s="100" t="str">
        <f t="shared" si="29"/>
        <v xml:space="preserve"> </v>
      </c>
      <c r="W242" s="101">
        <f t="shared" si="27"/>
        <v>24</v>
      </c>
      <c r="X242" s="102">
        <f t="shared" si="26"/>
        <v>0</v>
      </c>
      <c r="Y242" s="100" t="str">
        <f t="shared" si="30"/>
        <v xml:space="preserve"> </v>
      </c>
      <c r="Z242" s="100" t="str">
        <f t="shared" si="31"/>
        <v xml:space="preserve"> </v>
      </c>
    </row>
    <row r="243" spans="1:26">
      <c r="A243" s="100"/>
      <c r="B243" s="108" t="str">
        <f>IFERROR(VLOOKUP(Tablo515[[#This Row],[ÜRÜN KODU]],YMKODLARI!$A$1:$K$363,2,0)," ")</f>
        <v xml:space="preserve"> </v>
      </c>
      <c r="C243" s="99"/>
      <c r="D243" s="100"/>
      <c r="E243" s="101"/>
      <c r="F243" s="101"/>
      <c r="G243" s="100" t="str">
        <f>IFERROR(VLOOKUP(Tablo515[[#This Row],[ÜRÜN KODU]],YMKODLARI!$A$1:$K$363,3,0)," ")</f>
        <v xml:space="preserve"> </v>
      </c>
      <c r="H243" s="100" t="str">
        <f>IFERROR(VLOOKUP(Tablo515[[#This Row],[ÜRÜN KODU]],YMKODLARI!$A$1:$K$363,4,0)," ")</f>
        <v xml:space="preserve"> </v>
      </c>
      <c r="I243" s="100"/>
      <c r="J243" s="100" t="str">
        <f>IFERROR(VLOOKUP(Tablo515[[#This Row],[ÜRÜN KODU]],YMKODLARI!$A$1:$K$363,9,0)," ")</f>
        <v xml:space="preserve"> </v>
      </c>
      <c r="K243" s="100" t="str">
        <f>IFERROR(VLOOKUP(Tablo515[[#This Row],[BOYA KODU]],Tablo14[#All],4,0)," ")</f>
        <v xml:space="preserve"> </v>
      </c>
      <c r="L243" s="100" t="str">
        <f>IFERROR(VLOOKUP(Tablo515[[#This Row],[BOYA KODU]],Tablo14[#All],6,0)," ")</f>
        <v xml:space="preserve"> </v>
      </c>
      <c r="M243" s="100" t="str">
        <f t="shared" si="28"/>
        <v xml:space="preserve"> </v>
      </c>
      <c r="N243" s="100" t="str">
        <f>IFERROR(VLOOKUP(Tablo515[[#This Row],[ÜRÜN KODU]],YMKODLARI!$A$1:$K$363,8,0)," ")</f>
        <v xml:space="preserve"> </v>
      </c>
      <c r="O243" s="100" t="str">
        <f>IFERROR(VLOOKUP(Tablo515[[#This Row],[HAMMADDE KODU]],Tablo1[#All],3,0)," ")</f>
        <v xml:space="preserve"> </v>
      </c>
      <c r="P243" s="100" t="str">
        <f>IFERROR(VLOOKUP(Tablo515[[#This Row],[HAMMADDE KODU]],Tablo1[#All],4,0)," ")</f>
        <v xml:space="preserve"> </v>
      </c>
      <c r="Q243" s="100" t="str">
        <f>IFERROR(VLOOKUP(Tablo515[[#This Row],[ÜRÜN KODU]],YMKODLARI!$A$1:$K$363,5,0)," ")</f>
        <v xml:space="preserve"> </v>
      </c>
      <c r="R243" s="100" t="str">
        <f>IFERROR(VLOOKUP(Tablo515[[#This Row],[ÜRÜN KODU]],YMKODLARI!$A$1:$K$363,6,0)," ")</f>
        <v xml:space="preserve"> </v>
      </c>
      <c r="S243" s="100" t="str">
        <f>IFERROR(Tablo515[[#This Row],[YOLLUK HARİÇ BASKI GRAMI]]/Tablo515[[#This Row],[KALIP GÖZ ADEDİ]]," ")</f>
        <v xml:space="preserve"> </v>
      </c>
      <c r="T243" s="100" t="str">
        <f t="shared" si="25"/>
        <v xml:space="preserve"> </v>
      </c>
      <c r="U243" s="100"/>
      <c r="V243" s="100" t="str">
        <f t="shared" si="29"/>
        <v xml:space="preserve"> </v>
      </c>
      <c r="W243" s="101">
        <f t="shared" si="27"/>
        <v>24</v>
      </c>
      <c r="X243" s="102">
        <f t="shared" si="26"/>
        <v>0</v>
      </c>
      <c r="Y243" s="100" t="str">
        <f t="shared" si="30"/>
        <v xml:space="preserve"> </v>
      </c>
      <c r="Z243" s="100" t="str">
        <f t="shared" si="31"/>
        <v xml:space="preserve"> </v>
      </c>
    </row>
    <row r="244" spans="1:26">
      <c r="A244" s="100"/>
      <c r="B244" s="108" t="str">
        <f>IFERROR(VLOOKUP(Tablo515[[#This Row],[ÜRÜN KODU]],YMKODLARI!$A$1:$K$363,2,0)," ")</f>
        <v xml:space="preserve"> </v>
      </c>
      <c r="C244" s="99"/>
      <c r="D244" s="100"/>
      <c r="E244" s="101"/>
      <c r="F244" s="101"/>
      <c r="G244" s="100" t="str">
        <f>IFERROR(VLOOKUP(Tablo515[[#This Row],[ÜRÜN KODU]],YMKODLARI!$A$1:$K$363,3,0)," ")</f>
        <v xml:space="preserve"> </v>
      </c>
      <c r="H244" s="100" t="str">
        <f>IFERROR(VLOOKUP(Tablo515[[#This Row],[ÜRÜN KODU]],YMKODLARI!$A$1:$K$363,4,0)," ")</f>
        <v xml:space="preserve"> </v>
      </c>
      <c r="I244" s="100"/>
      <c r="J244" s="100" t="str">
        <f>IFERROR(VLOOKUP(Tablo515[[#This Row],[ÜRÜN KODU]],YMKODLARI!$A$1:$K$363,9,0)," ")</f>
        <v xml:space="preserve"> </v>
      </c>
      <c r="K244" s="100" t="str">
        <f>IFERROR(VLOOKUP(Tablo515[[#This Row],[BOYA KODU]],Tablo14[#All],4,0)," ")</f>
        <v xml:space="preserve"> </v>
      </c>
      <c r="L244" s="100" t="str">
        <f>IFERROR(VLOOKUP(Tablo515[[#This Row],[BOYA KODU]],Tablo14[#All],6,0)," ")</f>
        <v xml:space="preserve"> </v>
      </c>
      <c r="M244" s="100" t="str">
        <f t="shared" si="28"/>
        <v xml:space="preserve"> </v>
      </c>
      <c r="N244" s="100" t="str">
        <f>IFERROR(VLOOKUP(Tablo515[[#This Row],[ÜRÜN KODU]],YMKODLARI!$A$1:$K$363,8,0)," ")</f>
        <v xml:space="preserve"> </v>
      </c>
      <c r="O244" s="100" t="str">
        <f>IFERROR(VLOOKUP(Tablo515[[#This Row],[HAMMADDE KODU]],Tablo1[#All],3,0)," ")</f>
        <v xml:space="preserve"> </v>
      </c>
      <c r="P244" s="100" t="str">
        <f>IFERROR(VLOOKUP(Tablo515[[#This Row],[HAMMADDE KODU]],Tablo1[#All],4,0)," ")</f>
        <v xml:space="preserve"> </v>
      </c>
      <c r="Q244" s="100" t="str">
        <f>IFERROR(VLOOKUP(Tablo515[[#This Row],[ÜRÜN KODU]],YMKODLARI!$A$1:$K$363,5,0)," ")</f>
        <v xml:space="preserve"> </v>
      </c>
      <c r="R244" s="100" t="str">
        <f>IFERROR(VLOOKUP(Tablo515[[#This Row],[ÜRÜN KODU]],YMKODLARI!$A$1:$K$363,6,0)," ")</f>
        <v xml:space="preserve"> </v>
      </c>
      <c r="S244" s="100" t="str">
        <f>IFERROR(Tablo515[[#This Row],[YOLLUK HARİÇ BASKI GRAMI]]/Tablo515[[#This Row],[KALIP GÖZ ADEDİ]]," ")</f>
        <v xml:space="preserve"> </v>
      </c>
      <c r="T244" s="100" t="str">
        <f t="shared" si="25"/>
        <v xml:space="preserve"> </v>
      </c>
      <c r="U244" s="100"/>
      <c r="V244" s="100" t="str">
        <f t="shared" si="29"/>
        <v xml:space="preserve"> </v>
      </c>
      <c r="W244" s="101">
        <f t="shared" si="27"/>
        <v>24</v>
      </c>
      <c r="X244" s="102">
        <f t="shared" si="26"/>
        <v>0</v>
      </c>
      <c r="Y244" s="100" t="str">
        <f t="shared" si="30"/>
        <v xml:space="preserve"> </v>
      </c>
      <c r="Z244" s="100" t="str">
        <f t="shared" si="31"/>
        <v xml:space="preserve"> </v>
      </c>
    </row>
    <row r="245" spans="1:26">
      <c r="A245" s="100"/>
      <c r="B245" s="108" t="str">
        <f>IFERROR(VLOOKUP(Tablo515[[#This Row],[ÜRÜN KODU]],YMKODLARI!$A$1:$K$363,2,0)," ")</f>
        <v xml:space="preserve"> </v>
      </c>
      <c r="C245" s="99"/>
      <c r="D245" s="100"/>
      <c r="E245" s="101"/>
      <c r="F245" s="101"/>
      <c r="G245" s="100" t="str">
        <f>IFERROR(VLOOKUP(Tablo515[[#This Row],[ÜRÜN KODU]],YMKODLARI!$A$1:$K$363,3,0)," ")</f>
        <v xml:space="preserve"> </v>
      </c>
      <c r="H245" s="100" t="str">
        <f>IFERROR(VLOOKUP(Tablo515[[#This Row],[ÜRÜN KODU]],YMKODLARI!$A$1:$K$363,4,0)," ")</f>
        <v xml:space="preserve"> </v>
      </c>
      <c r="I245" s="100"/>
      <c r="J245" s="100" t="str">
        <f>IFERROR(VLOOKUP(Tablo515[[#This Row],[ÜRÜN KODU]],YMKODLARI!$A$1:$K$363,9,0)," ")</f>
        <v xml:space="preserve"> </v>
      </c>
      <c r="K245" s="100" t="str">
        <f>IFERROR(VLOOKUP(Tablo515[[#This Row],[BOYA KODU]],Tablo14[#All],4,0)," ")</f>
        <v xml:space="preserve"> </v>
      </c>
      <c r="L245" s="100" t="str">
        <f>IFERROR(VLOOKUP(Tablo515[[#This Row],[BOYA KODU]],Tablo14[#All],6,0)," ")</f>
        <v xml:space="preserve"> </v>
      </c>
      <c r="M245" s="100" t="str">
        <f t="shared" si="28"/>
        <v xml:space="preserve"> </v>
      </c>
      <c r="N245" s="100" t="str">
        <f>IFERROR(VLOOKUP(Tablo515[[#This Row],[ÜRÜN KODU]],YMKODLARI!$A$1:$K$363,8,0)," ")</f>
        <v xml:space="preserve"> </v>
      </c>
      <c r="O245" s="100" t="str">
        <f>IFERROR(VLOOKUP(Tablo515[[#This Row],[HAMMADDE KODU]],Tablo1[#All],3,0)," ")</f>
        <v xml:space="preserve"> </v>
      </c>
      <c r="P245" s="100" t="str">
        <f>IFERROR(VLOOKUP(Tablo515[[#This Row],[HAMMADDE KODU]],Tablo1[#All],4,0)," ")</f>
        <v xml:space="preserve"> </v>
      </c>
      <c r="Q245" s="100" t="str">
        <f>IFERROR(VLOOKUP(Tablo515[[#This Row],[ÜRÜN KODU]],YMKODLARI!$A$1:$K$363,5,0)," ")</f>
        <v xml:space="preserve"> </v>
      </c>
      <c r="R245" s="100" t="str">
        <f>IFERROR(VLOOKUP(Tablo515[[#This Row],[ÜRÜN KODU]],YMKODLARI!$A$1:$K$363,6,0)," ")</f>
        <v xml:space="preserve"> </v>
      </c>
      <c r="S245" s="100" t="str">
        <f>IFERROR(Tablo515[[#This Row],[YOLLUK HARİÇ BASKI GRAMI]]/Tablo515[[#This Row],[KALIP GÖZ ADEDİ]]," ")</f>
        <v xml:space="preserve"> </v>
      </c>
      <c r="T245" s="100" t="str">
        <f t="shared" si="25"/>
        <v xml:space="preserve"> </v>
      </c>
      <c r="U245" s="100"/>
      <c r="V245" s="100" t="str">
        <f t="shared" si="29"/>
        <v xml:space="preserve"> </v>
      </c>
      <c r="W245" s="101">
        <f t="shared" si="27"/>
        <v>24</v>
      </c>
      <c r="X245" s="102">
        <f t="shared" si="26"/>
        <v>0</v>
      </c>
      <c r="Y245" s="100" t="str">
        <f t="shared" si="30"/>
        <v xml:space="preserve"> </v>
      </c>
      <c r="Z245" s="100" t="str">
        <f t="shared" si="31"/>
        <v xml:space="preserve"> </v>
      </c>
    </row>
    <row r="246" spans="1:26">
      <c r="A246" s="100"/>
      <c r="B246" s="108" t="str">
        <f>IFERROR(VLOOKUP(Tablo515[[#This Row],[ÜRÜN KODU]],YMKODLARI!$A$1:$K$363,2,0)," ")</f>
        <v xml:space="preserve"> </v>
      </c>
      <c r="C246" s="99"/>
      <c r="D246" s="100"/>
      <c r="E246" s="101"/>
      <c r="F246" s="101"/>
      <c r="G246" s="100" t="str">
        <f>IFERROR(VLOOKUP(Tablo515[[#This Row],[ÜRÜN KODU]],YMKODLARI!$A$1:$K$363,3,0)," ")</f>
        <v xml:space="preserve"> </v>
      </c>
      <c r="H246" s="100" t="str">
        <f>IFERROR(VLOOKUP(Tablo515[[#This Row],[ÜRÜN KODU]],YMKODLARI!$A$1:$K$363,4,0)," ")</f>
        <v xml:space="preserve"> </v>
      </c>
      <c r="I246" s="100"/>
      <c r="J246" s="100" t="str">
        <f>IFERROR(VLOOKUP(Tablo515[[#This Row],[ÜRÜN KODU]],YMKODLARI!$A$1:$K$363,9,0)," ")</f>
        <v xml:space="preserve"> </v>
      </c>
      <c r="K246" s="100" t="str">
        <f>IFERROR(VLOOKUP(Tablo515[[#This Row],[BOYA KODU]],Tablo14[#All],4,0)," ")</f>
        <v xml:space="preserve"> </v>
      </c>
      <c r="L246" s="100" t="str">
        <f>IFERROR(VLOOKUP(Tablo515[[#This Row],[BOYA KODU]],Tablo14[#All],6,0)," ")</f>
        <v xml:space="preserve"> </v>
      </c>
      <c r="M246" s="100" t="str">
        <f t="shared" si="28"/>
        <v xml:space="preserve"> </v>
      </c>
      <c r="N246" s="100" t="str">
        <f>IFERROR(VLOOKUP(Tablo515[[#This Row],[ÜRÜN KODU]],YMKODLARI!$A$1:$K$363,8,0)," ")</f>
        <v xml:space="preserve"> </v>
      </c>
      <c r="O246" s="100" t="str">
        <f>IFERROR(VLOOKUP(Tablo515[[#This Row],[HAMMADDE KODU]],Tablo1[#All],3,0)," ")</f>
        <v xml:space="preserve"> </v>
      </c>
      <c r="P246" s="100" t="str">
        <f>IFERROR(VLOOKUP(Tablo515[[#This Row],[HAMMADDE KODU]],Tablo1[#All],4,0)," ")</f>
        <v xml:space="preserve"> </v>
      </c>
      <c r="Q246" s="100" t="str">
        <f>IFERROR(VLOOKUP(Tablo515[[#This Row],[ÜRÜN KODU]],YMKODLARI!$A$1:$K$363,5,0)," ")</f>
        <v xml:space="preserve"> </v>
      </c>
      <c r="R246" s="100" t="str">
        <f>IFERROR(VLOOKUP(Tablo515[[#This Row],[ÜRÜN KODU]],YMKODLARI!$A$1:$K$363,6,0)," ")</f>
        <v xml:space="preserve"> </v>
      </c>
      <c r="S246" s="100" t="str">
        <f>IFERROR(Tablo515[[#This Row],[YOLLUK HARİÇ BASKI GRAMI]]/Tablo515[[#This Row],[KALIP GÖZ ADEDİ]]," ")</f>
        <v xml:space="preserve"> </v>
      </c>
      <c r="T246" s="100" t="str">
        <f t="shared" si="25"/>
        <v xml:space="preserve"> </v>
      </c>
      <c r="U246" s="100"/>
      <c r="V246" s="100" t="str">
        <f t="shared" si="29"/>
        <v xml:space="preserve"> </v>
      </c>
      <c r="W246" s="101">
        <f t="shared" si="27"/>
        <v>24</v>
      </c>
      <c r="X246" s="102">
        <f t="shared" si="26"/>
        <v>0</v>
      </c>
      <c r="Y246" s="100" t="str">
        <f t="shared" si="30"/>
        <v xml:space="preserve"> </v>
      </c>
      <c r="Z246" s="100" t="str">
        <f t="shared" si="31"/>
        <v xml:space="preserve"> </v>
      </c>
    </row>
    <row r="247" spans="1:26">
      <c r="A247" s="100"/>
      <c r="B247" s="108" t="str">
        <f>IFERROR(VLOOKUP(Tablo515[[#This Row],[ÜRÜN KODU]],YMKODLARI!$A$1:$K$363,2,0)," ")</f>
        <v xml:space="preserve"> </v>
      </c>
      <c r="C247" s="99"/>
      <c r="D247" s="100"/>
      <c r="E247" s="101"/>
      <c r="F247" s="101"/>
      <c r="G247" s="100" t="str">
        <f>IFERROR(VLOOKUP(Tablo515[[#This Row],[ÜRÜN KODU]],YMKODLARI!$A$1:$K$363,3,0)," ")</f>
        <v xml:space="preserve"> </v>
      </c>
      <c r="H247" s="100" t="str">
        <f>IFERROR(VLOOKUP(Tablo515[[#This Row],[ÜRÜN KODU]],YMKODLARI!$A$1:$K$363,4,0)," ")</f>
        <v xml:space="preserve"> </v>
      </c>
      <c r="I247" s="100"/>
      <c r="J247" s="100" t="str">
        <f>IFERROR(VLOOKUP(Tablo515[[#This Row],[ÜRÜN KODU]],YMKODLARI!$A$1:$K$363,9,0)," ")</f>
        <v xml:space="preserve"> </v>
      </c>
      <c r="K247" s="100" t="str">
        <f>IFERROR(VLOOKUP(Tablo515[[#This Row],[BOYA KODU]],Tablo14[#All],4,0)," ")</f>
        <v xml:space="preserve"> </v>
      </c>
      <c r="L247" s="100" t="str">
        <f>IFERROR(VLOOKUP(Tablo515[[#This Row],[BOYA KODU]],Tablo14[#All],6,0)," ")</f>
        <v xml:space="preserve"> </v>
      </c>
      <c r="M247" s="100" t="str">
        <f t="shared" si="28"/>
        <v xml:space="preserve"> </v>
      </c>
      <c r="N247" s="100" t="str">
        <f>IFERROR(VLOOKUP(Tablo515[[#This Row],[ÜRÜN KODU]],YMKODLARI!$A$1:$K$363,8,0)," ")</f>
        <v xml:space="preserve"> </v>
      </c>
      <c r="O247" s="100" t="str">
        <f>IFERROR(VLOOKUP(Tablo515[[#This Row],[HAMMADDE KODU]],Tablo1[#All],3,0)," ")</f>
        <v xml:space="preserve"> </v>
      </c>
      <c r="P247" s="100" t="str">
        <f>IFERROR(VLOOKUP(Tablo515[[#This Row],[HAMMADDE KODU]],Tablo1[#All],4,0)," ")</f>
        <v xml:space="preserve"> </v>
      </c>
      <c r="Q247" s="100" t="str">
        <f>IFERROR(VLOOKUP(Tablo515[[#This Row],[ÜRÜN KODU]],YMKODLARI!$A$1:$K$363,5,0)," ")</f>
        <v xml:space="preserve"> </v>
      </c>
      <c r="R247" s="100" t="str">
        <f>IFERROR(VLOOKUP(Tablo515[[#This Row],[ÜRÜN KODU]],YMKODLARI!$A$1:$K$363,6,0)," ")</f>
        <v xml:space="preserve"> </v>
      </c>
      <c r="S247" s="100" t="str">
        <f>IFERROR(Tablo515[[#This Row],[YOLLUK HARİÇ BASKI GRAMI]]/Tablo515[[#This Row],[KALIP GÖZ ADEDİ]]," ")</f>
        <v xml:space="preserve"> </v>
      </c>
      <c r="T247" s="100" t="str">
        <f t="shared" si="25"/>
        <v xml:space="preserve"> </v>
      </c>
      <c r="U247" s="100"/>
      <c r="V247" s="100" t="str">
        <f t="shared" si="29"/>
        <v xml:space="preserve"> </v>
      </c>
      <c r="W247" s="101">
        <f t="shared" si="27"/>
        <v>24</v>
      </c>
      <c r="X247" s="102">
        <f t="shared" si="26"/>
        <v>0</v>
      </c>
      <c r="Y247" s="100" t="str">
        <f t="shared" si="30"/>
        <v xml:space="preserve"> </v>
      </c>
      <c r="Z247" s="100" t="str">
        <f t="shared" si="31"/>
        <v xml:space="preserve"> </v>
      </c>
    </row>
    <row r="248" spans="1:26">
      <c r="A248" s="100"/>
      <c r="B248" s="108" t="str">
        <f>IFERROR(VLOOKUP(Tablo515[[#This Row],[ÜRÜN KODU]],YMKODLARI!$A$1:$K$363,2,0)," ")</f>
        <v xml:space="preserve"> </v>
      </c>
      <c r="C248" s="99"/>
      <c r="D248" s="100"/>
      <c r="E248" s="101"/>
      <c r="F248" s="101"/>
      <c r="G248" s="100" t="str">
        <f>IFERROR(VLOOKUP(Tablo515[[#This Row],[ÜRÜN KODU]],YMKODLARI!$A$1:$K$363,3,0)," ")</f>
        <v xml:space="preserve"> </v>
      </c>
      <c r="H248" s="100" t="str">
        <f>IFERROR(VLOOKUP(Tablo515[[#This Row],[ÜRÜN KODU]],YMKODLARI!$A$1:$K$363,4,0)," ")</f>
        <v xml:space="preserve"> </v>
      </c>
      <c r="I248" s="100"/>
      <c r="J248" s="100" t="str">
        <f>IFERROR(VLOOKUP(Tablo515[[#This Row],[ÜRÜN KODU]],YMKODLARI!$A$1:$K$363,9,0)," ")</f>
        <v xml:space="preserve"> </v>
      </c>
      <c r="K248" s="100" t="str">
        <f>IFERROR(VLOOKUP(Tablo515[[#This Row],[BOYA KODU]],Tablo14[#All],4,0)," ")</f>
        <v xml:space="preserve"> </v>
      </c>
      <c r="L248" s="100" t="str">
        <f>IFERROR(VLOOKUP(Tablo515[[#This Row],[BOYA KODU]],Tablo14[#All],6,0)," ")</f>
        <v xml:space="preserve"> </v>
      </c>
      <c r="M248" s="100" t="str">
        <f t="shared" si="28"/>
        <v xml:space="preserve"> </v>
      </c>
      <c r="N248" s="100" t="str">
        <f>IFERROR(VLOOKUP(Tablo515[[#This Row],[ÜRÜN KODU]],YMKODLARI!$A$1:$K$363,8,0)," ")</f>
        <v xml:space="preserve"> </v>
      </c>
      <c r="O248" s="100" t="str">
        <f>IFERROR(VLOOKUP(Tablo515[[#This Row],[HAMMADDE KODU]],Tablo1[#All],3,0)," ")</f>
        <v xml:space="preserve"> </v>
      </c>
      <c r="P248" s="100" t="str">
        <f>IFERROR(VLOOKUP(Tablo515[[#This Row],[HAMMADDE KODU]],Tablo1[#All],4,0)," ")</f>
        <v xml:space="preserve"> </v>
      </c>
      <c r="Q248" s="100" t="str">
        <f>IFERROR(VLOOKUP(Tablo515[[#This Row],[ÜRÜN KODU]],YMKODLARI!$A$1:$K$363,5,0)," ")</f>
        <v xml:space="preserve"> </v>
      </c>
      <c r="R248" s="100" t="str">
        <f>IFERROR(VLOOKUP(Tablo515[[#This Row],[ÜRÜN KODU]],YMKODLARI!$A$1:$K$363,6,0)," ")</f>
        <v xml:space="preserve"> </v>
      </c>
      <c r="S248" s="100" t="str">
        <f>IFERROR(Tablo515[[#This Row],[YOLLUK HARİÇ BASKI GRAMI]]/Tablo515[[#This Row],[KALIP GÖZ ADEDİ]]," ")</f>
        <v xml:space="preserve"> </v>
      </c>
      <c r="T248" s="100" t="str">
        <f t="shared" si="25"/>
        <v xml:space="preserve"> </v>
      </c>
      <c r="U248" s="100"/>
      <c r="V248" s="100" t="str">
        <f t="shared" si="29"/>
        <v xml:space="preserve"> </v>
      </c>
      <c r="W248" s="101">
        <f t="shared" si="27"/>
        <v>24</v>
      </c>
      <c r="X248" s="102">
        <f t="shared" si="26"/>
        <v>0</v>
      </c>
      <c r="Y248" s="100" t="str">
        <f t="shared" si="30"/>
        <v xml:space="preserve"> </v>
      </c>
      <c r="Z248" s="100" t="str">
        <f t="shared" si="31"/>
        <v xml:space="preserve"> </v>
      </c>
    </row>
    <row r="249" spans="1:26">
      <c r="A249" s="100"/>
      <c r="B249" s="108" t="str">
        <f>IFERROR(VLOOKUP(Tablo515[[#This Row],[ÜRÜN KODU]],YMKODLARI!$A$1:$K$363,2,0)," ")</f>
        <v xml:space="preserve"> </v>
      </c>
      <c r="C249" s="99"/>
      <c r="D249" s="100"/>
      <c r="E249" s="101"/>
      <c r="F249" s="101"/>
      <c r="G249" s="100" t="str">
        <f>IFERROR(VLOOKUP(Tablo515[[#This Row],[ÜRÜN KODU]],YMKODLARI!$A$1:$K$363,3,0)," ")</f>
        <v xml:space="preserve"> </v>
      </c>
      <c r="H249" s="100" t="str">
        <f>IFERROR(VLOOKUP(Tablo515[[#This Row],[ÜRÜN KODU]],YMKODLARI!$A$1:$K$363,4,0)," ")</f>
        <v xml:space="preserve"> </v>
      </c>
      <c r="I249" s="100"/>
      <c r="J249" s="100" t="str">
        <f>IFERROR(VLOOKUP(Tablo515[[#This Row],[ÜRÜN KODU]],YMKODLARI!$A$1:$K$363,9,0)," ")</f>
        <v xml:space="preserve"> </v>
      </c>
      <c r="K249" s="100" t="str">
        <f>IFERROR(VLOOKUP(Tablo515[[#This Row],[BOYA KODU]],Tablo14[#All],4,0)," ")</f>
        <v xml:space="preserve"> </v>
      </c>
      <c r="L249" s="100" t="str">
        <f>IFERROR(VLOOKUP(Tablo515[[#This Row],[BOYA KODU]],Tablo14[#All],6,0)," ")</f>
        <v xml:space="preserve"> </v>
      </c>
      <c r="M249" s="100" t="str">
        <f t="shared" si="28"/>
        <v xml:space="preserve"> </v>
      </c>
      <c r="N249" s="100" t="str">
        <f>IFERROR(VLOOKUP(Tablo515[[#This Row],[ÜRÜN KODU]],YMKODLARI!$A$1:$K$363,8,0)," ")</f>
        <v xml:space="preserve"> </v>
      </c>
      <c r="O249" s="100" t="str">
        <f>IFERROR(VLOOKUP(Tablo515[[#This Row],[HAMMADDE KODU]],Tablo1[#All],3,0)," ")</f>
        <v xml:space="preserve"> </v>
      </c>
      <c r="P249" s="100" t="str">
        <f>IFERROR(VLOOKUP(Tablo515[[#This Row],[HAMMADDE KODU]],Tablo1[#All],4,0)," ")</f>
        <v xml:space="preserve"> </v>
      </c>
      <c r="Q249" s="100" t="str">
        <f>IFERROR(VLOOKUP(Tablo515[[#This Row],[ÜRÜN KODU]],YMKODLARI!$A$1:$K$363,5,0)," ")</f>
        <v xml:space="preserve"> </v>
      </c>
      <c r="R249" s="100" t="str">
        <f>IFERROR(VLOOKUP(Tablo515[[#This Row],[ÜRÜN KODU]],YMKODLARI!$A$1:$K$363,6,0)," ")</f>
        <v xml:space="preserve"> </v>
      </c>
      <c r="S249" s="100" t="str">
        <f>IFERROR(Tablo515[[#This Row],[YOLLUK HARİÇ BASKI GRAMI]]/Tablo515[[#This Row],[KALIP GÖZ ADEDİ]]," ")</f>
        <v xml:space="preserve"> </v>
      </c>
      <c r="T249" s="100" t="str">
        <f t="shared" si="25"/>
        <v xml:space="preserve"> </v>
      </c>
      <c r="U249" s="100"/>
      <c r="V249" s="100" t="str">
        <f t="shared" si="29"/>
        <v xml:space="preserve"> </v>
      </c>
      <c r="W249" s="101">
        <f t="shared" si="27"/>
        <v>24</v>
      </c>
      <c r="X249" s="102">
        <f t="shared" si="26"/>
        <v>0</v>
      </c>
      <c r="Y249" s="100" t="str">
        <f t="shared" si="30"/>
        <v xml:space="preserve"> </v>
      </c>
      <c r="Z249" s="100" t="str">
        <f t="shared" si="31"/>
        <v xml:space="preserve"> </v>
      </c>
    </row>
    <row r="250" spans="1:26">
      <c r="A250" s="100"/>
      <c r="B250" s="108" t="str">
        <f>IFERROR(VLOOKUP(Tablo515[[#This Row],[ÜRÜN KODU]],YMKODLARI!$A$1:$K$363,2,0)," ")</f>
        <v xml:space="preserve"> </v>
      </c>
      <c r="C250" s="99"/>
      <c r="D250" s="100"/>
      <c r="E250" s="101"/>
      <c r="F250" s="101"/>
      <c r="G250" s="100" t="str">
        <f>IFERROR(VLOOKUP(Tablo515[[#This Row],[ÜRÜN KODU]],YMKODLARI!$A$1:$K$363,3,0)," ")</f>
        <v xml:space="preserve"> </v>
      </c>
      <c r="H250" s="100" t="str">
        <f>IFERROR(VLOOKUP(Tablo515[[#This Row],[ÜRÜN KODU]],YMKODLARI!$A$1:$K$363,4,0)," ")</f>
        <v xml:space="preserve"> </v>
      </c>
      <c r="I250" s="100"/>
      <c r="J250" s="100" t="str">
        <f>IFERROR(VLOOKUP(Tablo515[[#This Row],[ÜRÜN KODU]],YMKODLARI!$A$1:$K$363,9,0)," ")</f>
        <v xml:space="preserve"> </v>
      </c>
      <c r="K250" s="100" t="str">
        <f>IFERROR(VLOOKUP(Tablo515[[#This Row],[BOYA KODU]],Tablo14[#All],4,0)," ")</f>
        <v xml:space="preserve"> </v>
      </c>
      <c r="L250" s="100" t="str">
        <f>IFERROR(VLOOKUP(Tablo515[[#This Row],[BOYA KODU]],Tablo14[#All],6,0)," ")</f>
        <v xml:space="preserve"> </v>
      </c>
      <c r="M250" s="100" t="str">
        <f t="shared" si="28"/>
        <v xml:space="preserve"> </v>
      </c>
      <c r="N250" s="100" t="str">
        <f>IFERROR(VLOOKUP(Tablo515[[#This Row],[ÜRÜN KODU]],YMKODLARI!$A$1:$K$363,8,0)," ")</f>
        <v xml:space="preserve"> </v>
      </c>
      <c r="O250" s="100" t="str">
        <f>IFERROR(VLOOKUP(Tablo515[[#This Row],[HAMMADDE KODU]],Tablo1[#All],3,0)," ")</f>
        <v xml:space="preserve"> </v>
      </c>
      <c r="P250" s="100" t="str">
        <f>IFERROR(VLOOKUP(Tablo515[[#This Row],[HAMMADDE KODU]],Tablo1[#All],4,0)," ")</f>
        <v xml:space="preserve"> </v>
      </c>
      <c r="Q250" s="100" t="str">
        <f>IFERROR(VLOOKUP(Tablo515[[#This Row],[ÜRÜN KODU]],YMKODLARI!$A$1:$K$363,5,0)," ")</f>
        <v xml:space="preserve"> </v>
      </c>
      <c r="R250" s="100" t="str">
        <f>IFERROR(VLOOKUP(Tablo515[[#This Row],[ÜRÜN KODU]],YMKODLARI!$A$1:$K$363,6,0)," ")</f>
        <v xml:space="preserve"> </v>
      </c>
      <c r="S250" s="100" t="str">
        <f>IFERROR(Tablo515[[#This Row],[YOLLUK HARİÇ BASKI GRAMI]]/Tablo515[[#This Row],[KALIP GÖZ ADEDİ]]," ")</f>
        <v xml:space="preserve"> </v>
      </c>
      <c r="T250" s="100" t="str">
        <f t="shared" si="25"/>
        <v xml:space="preserve"> </v>
      </c>
      <c r="U250" s="100"/>
      <c r="V250" s="100" t="str">
        <f t="shared" si="29"/>
        <v xml:space="preserve"> </v>
      </c>
      <c r="W250" s="101">
        <f t="shared" si="27"/>
        <v>24</v>
      </c>
      <c r="X250" s="102">
        <f t="shared" si="26"/>
        <v>0</v>
      </c>
      <c r="Y250" s="100" t="str">
        <f t="shared" si="30"/>
        <v xml:space="preserve"> </v>
      </c>
      <c r="Z250" s="100" t="str">
        <f t="shared" si="31"/>
        <v xml:space="preserve"> </v>
      </c>
    </row>
    <row r="251" spans="1:26">
      <c r="A251" s="100"/>
      <c r="B251" s="108" t="str">
        <f>IFERROR(VLOOKUP(Tablo515[[#This Row],[ÜRÜN KODU]],YMKODLARI!$A$1:$K$363,2,0)," ")</f>
        <v xml:space="preserve"> </v>
      </c>
      <c r="C251" s="99"/>
      <c r="D251" s="100"/>
      <c r="E251" s="101"/>
      <c r="F251" s="101"/>
      <c r="G251" s="100" t="str">
        <f>IFERROR(VLOOKUP(Tablo515[[#This Row],[ÜRÜN KODU]],YMKODLARI!$A$1:$K$363,3,0)," ")</f>
        <v xml:space="preserve"> </v>
      </c>
      <c r="H251" s="100" t="str">
        <f>IFERROR(VLOOKUP(Tablo515[[#This Row],[ÜRÜN KODU]],YMKODLARI!$A$1:$K$363,4,0)," ")</f>
        <v xml:space="preserve"> </v>
      </c>
      <c r="I251" s="100"/>
      <c r="J251" s="100" t="str">
        <f>IFERROR(VLOOKUP(Tablo515[[#This Row],[ÜRÜN KODU]],YMKODLARI!$A$1:$K$363,9,0)," ")</f>
        <v xml:space="preserve"> </v>
      </c>
      <c r="K251" s="100" t="str">
        <f>IFERROR(VLOOKUP(Tablo515[[#This Row],[BOYA KODU]],Tablo14[#All],4,0)," ")</f>
        <v xml:space="preserve"> </v>
      </c>
      <c r="L251" s="100" t="str">
        <f>IFERROR(VLOOKUP(Tablo515[[#This Row],[BOYA KODU]],Tablo14[#All],6,0)," ")</f>
        <v xml:space="preserve"> </v>
      </c>
      <c r="M251" s="100" t="str">
        <f t="shared" si="28"/>
        <v xml:space="preserve"> </v>
      </c>
      <c r="N251" s="100" t="str">
        <f>IFERROR(VLOOKUP(Tablo515[[#This Row],[ÜRÜN KODU]],YMKODLARI!$A$1:$K$363,8,0)," ")</f>
        <v xml:space="preserve"> </v>
      </c>
      <c r="O251" s="100" t="str">
        <f>IFERROR(VLOOKUP(Tablo515[[#This Row],[HAMMADDE KODU]],Tablo1[#All],3,0)," ")</f>
        <v xml:space="preserve"> </v>
      </c>
      <c r="P251" s="100" t="str">
        <f>IFERROR(VLOOKUP(Tablo515[[#This Row],[HAMMADDE KODU]],Tablo1[#All],4,0)," ")</f>
        <v xml:space="preserve"> </v>
      </c>
      <c r="Q251" s="100" t="str">
        <f>IFERROR(VLOOKUP(Tablo515[[#This Row],[ÜRÜN KODU]],YMKODLARI!$A$1:$K$363,5,0)," ")</f>
        <v xml:space="preserve"> </v>
      </c>
      <c r="R251" s="100" t="str">
        <f>IFERROR(VLOOKUP(Tablo515[[#This Row],[ÜRÜN KODU]],YMKODLARI!$A$1:$K$363,6,0)," ")</f>
        <v xml:space="preserve"> </v>
      </c>
      <c r="S251" s="100" t="str">
        <f>IFERROR(Tablo515[[#This Row],[YOLLUK HARİÇ BASKI GRAMI]]/Tablo515[[#This Row],[KALIP GÖZ ADEDİ]]," ")</f>
        <v xml:space="preserve"> </v>
      </c>
      <c r="T251" s="100" t="str">
        <f t="shared" si="25"/>
        <v xml:space="preserve"> </v>
      </c>
      <c r="U251" s="100"/>
      <c r="V251" s="100" t="str">
        <f t="shared" si="29"/>
        <v xml:space="preserve"> </v>
      </c>
      <c r="W251" s="101">
        <f t="shared" si="27"/>
        <v>24</v>
      </c>
      <c r="X251" s="102">
        <f t="shared" si="26"/>
        <v>0</v>
      </c>
      <c r="Y251" s="100" t="str">
        <f t="shared" si="30"/>
        <v xml:space="preserve"> </v>
      </c>
      <c r="Z251" s="100" t="str">
        <f t="shared" si="31"/>
        <v xml:space="preserve"> </v>
      </c>
    </row>
    <row r="252" spans="1:26">
      <c r="A252" s="100"/>
      <c r="B252" s="108" t="str">
        <f>IFERROR(VLOOKUP(Tablo515[[#This Row],[ÜRÜN KODU]],YMKODLARI!$A$1:$K$363,2,0)," ")</f>
        <v xml:space="preserve"> </v>
      </c>
      <c r="C252" s="99"/>
      <c r="D252" s="100"/>
      <c r="E252" s="101"/>
      <c r="F252" s="101"/>
      <c r="G252" s="100" t="str">
        <f>IFERROR(VLOOKUP(Tablo515[[#This Row],[ÜRÜN KODU]],YMKODLARI!$A$1:$K$363,3,0)," ")</f>
        <v xml:space="preserve"> </v>
      </c>
      <c r="H252" s="100" t="str">
        <f>IFERROR(VLOOKUP(Tablo515[[#This Row],[ÜRÜN KODU]],YMKODLARI!$A$1:$K$363,4,0)," ")</f>
        <v xml:space="preserve"> </v>
      </c>
      <c r="I252" s="100"/>
      <c r="J252" s="100" t="str">
        <f>IFERROR(VLOOKUP(Tablo515[[#This Row],[ÜRÜN KODU]],YMKODLARI!$A$1:$K$363,9,0)," ")</f>
        <v xml:space="preserve"> </v>
      </c>
      <c r="K252" s="100" t="str">
        <f>IFERROR(VLOOKUP(Tablo515[[#This Row],[BOYA KODU]],Tablo14[#All],4,0)," ")</f>
        <v xml:space="preserve"> </v>
      </c>
      <c r="L252" s="100" t="str">
        <f>IFERROR(VLOOKUP(Tablo515[[#This Row],[BOYA KODU]],Tablo14[#All],6,0)," ")</f>
        <v xml:space="preserve"> </v>
      </c>
      <c r="M252" s="100" t="str">
        <f t="shared" si="28"/>
        <v xml:space="preserve"> </v>
      </c>
      <c r="N252" s="100" t="str">
        <f>IFERROR(VLOOKUP(Tablo515[[#This Row],[ÜRÜN KODU]],YMKODLARI!$A$1:$K$363,8,0)," ")</f>
        <v xml:space="preserve"> </v>
      </c>
      <c r="O252" s="100" t="str">
        <f>IFERROR(VLOOKUP(Tablo515[[#This Row],[HAMMADDE KODU]],Tablo1[#All],3,0)," ")</f>
        <v xml:space="preserve"> </v>
      </c>
      <c r="P252" s="100" t="str">
        <f>IFERROR(VLOOKUP(Tablo515[[#This Row],[HAMMADDE KODU]],Tablo1[#All],4,0)," ")</f>
        <v xml:space="preserve"> </v>
      </c>
      <c r="Q252" s="100" t="str">
        <f>IFERROR(VLOOKUP(Tablo515[[#This Row],[ÜRÜN KODU]],YMKODLARI!$A$1:$K$363,5,0)," ")</f>
        <v xml:space="preserve"> </v>
      </c>
      <c r="R252" s="100" t="str">
        <f>IFERROR(VLOOKUP(Tablo515[[#This Row],[ÜRÜN KODU]],YMKODLARI!$A$1:$K$363,6,0)," ")</f>
        <v xml:space="preserve"> </v>
      </c>
      <c r="S252" s="100" t="str">
        <f>IFERROR(Tablo515[[#This Row],[YOLLUK HARİÇ BASKI GRAMI]]/Tablo515[[#This Row],[KALIP GÖZ ADEDİ]]," ")</f>
        <v xml:space="preserve"> </v>
      </c>
      <c r="T252" s="100" t="str">
        <f t="shared" si="25"/>
        <v xml:space="preserve"> </v>
      </c>
      <c r="U252" s="100"/>
      <c r="V252" s="100" t="str">
        <f t="shared" si="29"/>
        <v xml:space="preserve"> </v>
      </c>
      <c r="W252" s="101">
        <f t="shared" si="27"/>
        <v>24</v>
      </c>
      <c r="X252" s="102">
        <f t="shared" si="26"/>
        <v>0</v>
      </c>
      <c r="Y252" s="100" t="str">
        <f t="shared" si="30"/>
        <v xml:space="preserve"> </v>
      </c>
      <c r="Z252" s="100" t="str">
        <f t="shared" si="31"/>
        <v xml:space="preserve"> </v>
      </c>
    </row>
    <row r="253" spans="1:26">
      <c r="A253" s="100"/>
      <c r="B253" s="108" t="str">
        <f>IFERROR(VLOOKUP(Tablo515[[#This Row],[ÜRÜN KODU]],YMKODLARI!$A$1:$K$363,2,0)," ")</f>
        <v xml:space="preserve"> </v>
      </c>
      <c r="C253" s="99"/>
      <c r="D253" s="100"/>
      <c r="E253" s="101"/>
      <c r="F253" s="101"/>
      <c r="G253" s="100" t="str">
        <f>IFERROR(VLOOKUP(Tablo515[[#This Row],[ÜRÜN KODU]],YMKODLARI!$A$1:$K$363,3,0)," ")</f>
        <v xml:space="preserve"> </v>
      </c>
      <c r="H253" s="100" t="str">
        <f>IFERROR(VLOOKUP(Tablo515[[#This Row],[ÜRÜN KODU]],YMKODLARI!$A$1:$K$363,4,0)," ")</f>
        <v xml:space="preserve"> </v>
      </c>
      <c r="I253" s="100"/>
      <c r="J253" s="100" t="str">
        <f>IFERROR(VLOOKUP(Tablo515[[#This Row],[ÜRÜN KODU]],YMKODLARI!$A$1:$K$363,9,0)," ")</f>
        <v xml:space="preserve"> </v>
      </c>
      <c r="K253" s="100" t="str">
        <f>IFERROR(VLOOKUP(Tablo515[[#This Row],[BOYA KODU]],Tablo14[#All],4,0)," ")</f>
        <v xml:space="preserve"> </v>
      </c>
      <c r="L253" s="100" t="str">
        <f>IFERROR(VLOOKUP(Tablo515[[#This Row],[BOYA KODU]],Tablo14[#All],6,0)," ")</f>
        <v xml:space="preserve"> </v>
      </c>
      <c r="M253" s="100" t="str">
        <f t="shared" si="28"/>
        <v xml:space="preserve"> </v>
      </c>
      <c r="N253" s="100" t="str">
        <f>IFERROR(VLOOKUP(Tablo515[[#This Row],[ÜRÜN KODU]],YMKODLARI!$A$1:$K$363,8,0)," ")</f>
        <v xml:space="preserve"> </v>
      </c>
      <c r="O253" s="100" t="str">
        <f>IFERROR(VLOOKUP(Tablo515[[#This Row],[HAMMADDE KODU]],Tablo1[#All],3,0)," ")</f>
        <v xml:space="preserve"> </v>
      </c>
      <c r="P253" s="100" t="str">
        <f>IFERROR(VLOOKUP(Tablo515[[#This Row],[HAMMADDE KODU]],Tablo1[#All],4,0)," ")</f>
        <v xml:space="preserve"> </v>
      </c>
      <c r="Q253" s="100" t="str">
        <f>IFERROR(VLOOKUP(Tablo515[[#This Row],[ÜRÜN KODU]],YMKODLARI!$A$1:$K$363,5,0)," ")</f>
        <v xml:space="preserve"> </v>
      </c>
      <c r="R253" s="100" t="str">
        <f>IFERROR(VLOOKUP(Tablo515[[#This Row],[ÜRÜN KODU]],YMKODLARI!$A$1:$K$363,6,0)," ")</f>
        <v xml:space="preserve"> </v>
      </c>
      <c r="S253" s="100" t="str">
        <f>IFERROR(Tablo515[[#This Row],[YOLLUK HARİÇ BASKI GRAMI]]/Tablo515[[#This Row],[KALIP GÖZ ADEDİ]]," ")</f>
        <v xml:space="preserve"> </v>
      </c>
      <c r="T253" s="100" t="str">
        <f t="shared" si="25"/>
        <v xml:space="preserve"> </v>
      </c>
      <c r="U253" s="100"/>
      <c r="V253" s="100" t="str">
        <f t="shared" si="29"/>
        <v xml:space="preserve"> </v>
      </c>
      <c r="W253" s="101">
        <f t="shared" si="27"/>
        <v>24</v>
      </c>
      <c r="X253" s="102">
        <f t="shared" si="26"/>
        <v>0</v>
      </c>
      <c r="Y253" s="100" t="str">
        <f t="shared" si="30"/>
        <v xml:space="preserve"> </v>
      </c>
      <c r="Z253" s="100" t="str">
        <f t="shared" si="31"/>
        <v xml:space="preserve"> </v>
      </c>
    </row>
    <row r="254" spans="1:26">
      <c r="A254" s="100"/>
      <c r="B254" s="108" t="str">
        <f>IFERROR(VLOOKUP(Tablo515[[#This Row],[ÜRÜN KODU]],YMKODLARI!$A$1:$K$363,2,0)," ")</f>
        <v xml:space="preserve"> </v>
      </c>
      <c r="C254" s="99"/>
      <c r="D254" s="100"/>
      <c r="E254" s="101"/>
      <c r="F254" s="101"/>
      <c r="G254" s="100" t="str">
        <f>IFERROR(VLOOKUP(Tablo515[[#This Row],[ÜRÜN KODU]],YMKODLARI!$A$1:$K$363,3,0)," ")</f>
        <v xml:space="preserve"> </v>
      </c>
      <c r="H254" s="100" t="str">
        <f>IFERROR(VLOOKUP(Tablo515[[#This Row],[ÜRÜN KODU]],YMKODLARI!$A$1:$K$363,4,0)," ")</f>
        <v xml:space="preserve"> </v>
      </c>
      <c r="I254" s="100"/>
      <c r="J254" s="100" t="str">
        <f>IFERROR(VLOOKUP(Tablo515[[#This Row],[ÜRÜN KODU]],YMKODLARI!$A$1:$K$363,9,0)," ")</f>
        <v xml:space="preserve"> </v>
      </c>
      <c r="K254" s="100" t="str">
        <f>IFERROR(VLOOKUP(Tablo515[[#This Row],[BOYA KODU]],Tablo14[#All],4,0)," ")</f>
        <v xml:space="preserve"> </v>
      </c>
      <c r="L254" s="100" t="str">
        <f>IFERROR(VLOOKUP(Tablo515[[#This Row],[BOYA KODU]],Tablo14[#All],6,0)," ")</f>
        <v xml:space="preserve"> </v>
      </c>
      <c r="M254" s="100" t="str">
        <f t="shared" si="28"/>
        <v xml:space="preserve"> </v>
      </c>
      <c r="N254" s="100" t="str">
        <f>IFERROR(VLOOKUP(Tablo515[[#This Row],[ÜRÜN KODU]],YMKODLARI!$A$1:$K$363,8,0)," ")</f>
        <v xml:space="preserve"> </v>
      </c>
      <c r="O254" s="100" t="str">
        <f>IFERROR(VLOOKUP(Tablo515[[#This Row],[HAMMADDE KODU]],Tablo1[#All],3,0)," ")</f>
        <v xml:space="preserve"> </v>
      </c>
      <c r="P254" s="100" t="str">
        <f>IFERROR(VLOOKUP(Tablo515[[#This Row],[HAMMADDE KODU]],Tablo1[#All],4,0)," ")</f>
        <v xml:space="preserve"> </v>
      </c>
      <c r="Q254" s="100" t="str">
        <f>IFERROR(VLOOKUP(Tablo515[[#This Row],[ÜRÜN KODU]],YMKODLARI!$A$1:$K$363,5,0)," ")</f>
        <v xml:space="preserve"> </v>
      </c>
      <c r="R254" s="100" t="str">
        <f>IFERROR(VLOOKUP(Tablo515[[#This Row],[ÜRÜN KODU]],YMKODLARI!$A$1:$K$363,6,0)," ")</f>
        <v xml:space="preserve"> </v>
      </c>
      <c r="S254" s="100" t="str">
        <f>IFERROR(Tablo515[[#This Row],[YOLLUK HARİÇ BASKI GRAMI]]/Tablo515[[#This Row],[KALIP GÖZ ADEDİ]]," ")</f>
        <v xml:space="preserve"> </v>
      </c>
      <c r="T254" s="100" t="str">
        <f t="shared" si="25"/>
        <v xml:space="preserve"> </v>
      </c>
      <c r="U254" s="100"/>
      <c r="V254" s="100" t="str">
        <f t="shared" si="29"/>
        <v xml:space="preserve"> </v>
      </c>
      <c r="W254" s="101">
        <f t="shared" si="27"/>
        <v>24</v>
      </c>
      <c r="X254" s="102">
        <f t="shared" si="26"/>
        <v>0</v>
      </c>
      <c r="Y254" s="100" t="str">
        <f t="shared" si="30"/>
        <v xml:space="preserve"> </v>
      </c>
      <c r="Z254" s="100" t="str">
        <f t="shared" si="31"/>
        <v xml:space="preserve"> </v>
      </c>
    </row>
    <row r="255" spans="1:26">
      <c r="A255" s="100"/>
      <c r="B255" s="108" t="str">
        <f>IFERROR(VLOOKUP(Tablo515[[#This Row],[ÜRÜN KODU]],YMKODLARI!$A$1:$K$363,2,0)," ")</f>
        <v xml:space="preserve"> </v>
      </c>
      <c r="C255" s="99"/>
      <c r="D255" s="100"/>
      <c r="E255" s="101"/>
      <c r="F255" s="101"/>
      <c r="G255" s="100" t="str">
        <f>IFERROR(VLOOKUP(Tablo515[[#This Row],[ÜRÜN KODU]],YMKODLARI!$A$1:$K$363,3,0)," ")</f>
        <v xml:space="preserve"> </v>
      </c>
      <c r="H255" s="100" t="str">
        <f>IFERROR(VLOOKUP(Tablo515[[#This Row],[ÜRÜN KODU]],YMKODLARI!$A$1:$K$363,4,0)," ")</f>
        <v xml:space="preserve"> </v>
      </c>
      <c r="I255" s="100"/>
      <c r="J255" s="100" t="str">
        <f>IFERROR(VLOOKUP(Tablo515[[#This Row],[ÜRÜN KODU]],YMKODLARI!$A$1:$K$363,9,0)," ")</f>
        <v xml:space="preserve"> </v>
      </c>
      <c r="K255" s="100" t="str">
        <f>IFERROR(VLOOKUP(Tablo515[[#This Row],[BOYA KODU]],Tablo14[#All],4,0)," ")</f>
        <v xml:space="preserve"> </v>
      </c>
      <c r="L255" s="100" t="str">
        <f>IFERROR(VLOOKUP(Tablo515[[#This Row],[BOYA KODU]],Tablo14[#All],6,0)," ")</f>
        <v xml:space="preserve"> </v>
      </c>
      <c r="M255" s="100" t="str">
        <f t="shared" si="28"/>
        <v xml:space="preserve"> </v>
      </c>
      <c r="N255" s="100" t="str">
        <f>IFERROR(VLOOKUP(Tablo515[[#This Row],[ÜRÜN KODU]],YMKODLARI!$A$1:$K$363,8,0)," ")</f>
        <v xml:space="preserve"> </v>
      </c>
      <c r="O255" s="100" t="str">
        <f>IFERROR(VLOOKUP(Tablo515[[#This Row],[HAMMADDE KODU]],Tablo1[#All],3,0)," ")</f>
        <v xml:space="preserve"> </v>
      </c>
      <c r="P255" s="100" t="str">
        <f>IFERROR(VLOOKUP(Tablo515[[#This Row],[HAMMADDE KODU]],Tablo1[#All],4,0)," ")</f>
        <v xml:space="preserve"> </v>
      </c>
      <c r="Q255" s="100" t="str">
        <f>IFERROR(VLOOKUP(Tablo515[[#This Row],[ÜRÜN KODU]],YMKODLARI!$A$1:$K$363,5,0)," ")</f>
        <v xml:space="preserve"> </v>
      </c>
      <c r="R255" s="100" t="str">
        <f>IFERROR(VLOOKUP(Tablo515[[#This Row],[ÜRÜN KODU]],YMKODLARI!$A$1:$K$363,6,0)," ")</f>
        <v xml:space="preserve"> </v>
      </c>
      <c r="S255" s="100" t="str">
        <f>IFERROR(Tablo515[[#This Row],[YOLLUK HARİÇ BASKI GRAMI]]/Tablo515[[#This Row],[KALIP GÖZ ADEDİ]]," ")</f>
        <v xml:space="preserve"> </v>
      </c>
      <c r="T255" s="100" t="str">
        <f t="shared" si="25"/>
        <v xml:space="preserve"> </v>
      </c>
      <c r="U255" s="100"/>
      <c r="V255" s="100" t="str">
        <f t="shared" si="29"/>
        <v xml:space="preserve"> </v>
      </c>
      <c r="W255" s="101">
        <f t="shared" si="27"/>
        <v>24</v>
      </c>
      <c r="X255" s="102">
        <f t="shared" si="26"/>
        <v>0</v>
      </c>
      <c r="Y255" s="100" t="str">
        <f t="shared" si="30"/>
        <v xml:space="preserve"> </v>
      </c>
      <c r="Z255" s="100" t="str">
        <f t="shared" si="31"/>
        <v xml:space="preserve"> </v>
      </c>
    </row>
    <row r="256" spans="1:26">
      <c r="A256" s="100"/>
      <c r="B256" s="108" t="str">
        <f>IFERROR(VLOOKUP(Tablo515[[#This Row],[ÜRÜN KODU]],YMKODLARI!$A$1:$K$363,2,0)," ")</f>
        <v xml:space="preserve"> </v>
      </c>
      <c r="C256" s="99"/>
      <c r="D256" s="100"/>
      <c r="E256" s="101"/>
      <c r="F256" s="101"/>
      <c r="G256" s="100" t="str">
        <f>IFERROR(VLOOKUP(Tablo515[[#This Row],[ÜRÜN KODU]],YMKODLARI!$A$1:$K$363,3,0)," ")</f>
        <v xml:space="preserve"> </v>
      </c>
      <c r="H256" s="100" t="str">
        <f>IFERROR(VLOOKUP(Tablo515[[#This Row],[ÜRÜN KODU]],YMKODLARI!$A$1:$K$363,4,0)," ")</f>
        <v xml:space="preserve"> </v>
      </c>
      <c r="I256" s="100"/>
      <c r="J256" s="100" t="str">
        <f>IFERROR(VLOOKUP(Tablo515[[#This Row],[ÜRÜN KODU]],YMKODLARI!$A$1:$K$363,9,0)," ")</f>
        <v xml:space="preserve"> </v>
      </c>
      <c r="K256" s="100" t="str">
        <f>IFERROR(VLOOKUP(Tablo515[[#This Row],[BOYA KODU]],Tablo14[#All],4,0)," ")</f>
        <v xml:space="preserve"> </v>
      </c>
      <c r="L256" s="100" t="str">
        <f>IFERROR(VLOOKUP(Tablo515[[#This Row],[BOYA KODU]],Tablo14[#All],6,0)," ")</f>
        <v xml:space="preserve"> </v>
      </c>
      <c r="M256" s="100" t="str">
        <f t="shared" si="28"/>
        <v xml:space="preserve"> </v>
      </c>
      <c r="N256" s="100" t="str">
        <f>IFERROR(VLOOKUP(Tablo515[[#This Row],[ÜRÜN KODU]],YMKODLARI!$A$1:$K$363,8,0)," ")</f>
        <v xml:space="preserve"> </v>
      </c>
      <c r="O256" s="100" t="str">
        <f>IFERROR(VLOOKUP(Tablo515[[#This Row],[HAMMADDE KODU]],Tablo1[#All],3,0)," ")</f>
        <v xml:space="preserve"> </v>
      </c>
      <c r="P256" s="100" t="str">
        <f>IFERROR(VLOOKUP(Tablo515[[#This Row],[HAMMADDE KODU]],Tablo1[#All],4,0)," ")</f>
        <v xml:space="preserve"> </v>
      </c>
      <c r="Q256" s="100" t="str">
        <f>IFERROR(VLOOKUP(Tablo515[[#This Row],[ÜRÜN KODU]],YMKODLARI!$A$1:$K$363,5,0)," ")</f>
        <v xml:space="preserve"> </v>
      </c>
      <c r="R256" s="100" t="str">
        <f>IFERROR(VLOOKUP(Tablo515[[#This Row],[ÜRÜN KODU]],YMKODLARI!$A$1:$K$363,6,0)," ")</f>
        <v xml:space="preserve"> </v>
      </c>
      <c r="S256" s="100" t="str">
        <f>IFERROR(Tablo515[[#This Row],[YOLLUK HARİÇ BASKI GRAMI]]/Tablo515[[#This Row],[KALIP GÖZ ADEDİ]]," ")</f>
        <v xml:space="preserve"> </v>
      </c>
      <c r="T256" s="100" t="str">
        <f t="shared" si="25"/>
        <v xml:space="preserve"> </v>
      </c>
      <c r="U256" s="100"/>
      <c r="V256" s="100" t="str">
        <f t="shared" si="29"/>
        <v xml:space="preserve"> </v>
      </c>
      <c r="W256" s="101">
        <f t="shared" si="27"/>
        <v>24</v>
      </c>
      <c r="X256" s="102">
        <f t="shared" si="26"/>
        <v>0</v>
      </c>
      <c r="Y256" s="100" t="str">
        <f t="shared" si="30"/>
        <v xml:space="preserve"> </v>
      </c>
      <c r="Z256" s="100" t="str">
        <f t="shared" si="31"/>
        <v xml:space="preserve"> </v>
      </c>
    </row>
    <row r="257" spans="1:26">
      <c r="A257" s="100"/>
      <c r="B257" s="108" t="str">
        <f>IFERROR(VLOOKUP(Tablo515[[#This Row],[ÜRÜN KODU]],YMKODLARI!$A$1:$K$363,2,0)," ")</f>
        <v xml:space="preserve"> </v>
      </c>
      <c r="C257" s="99"/>
      <c r="D257" s="100"/>
      <c r="E257" s="101"/>
      <c r="F257" s="101"/>
      <c r="G257" s="100" t="str">
        <f>IFERROR(VLOOKUP(Tablo515[[#This Row],[ÜRÜN KODU]],YMKODLARI!$A$1:$K$363,3,0)," ")</f>
        <v xml:space="preserve"> </v>
      </c>
      <c r="H257" s="100" t="str">
        <f>IFERROR(VLOOKUP(Tablo515[[#This Row],[ÜRÜN KODU]],YMKODLARI!$A$1:$K$363,4,0)," ")</f>
        <v xml:space="preserve"> </v>
      </c>
      <c r="I257" s="100"/>
      <c r="J257" s="100" t="str">
        <f>IFERROR(VLOOKUP(Tablo515[[#This Row],[ÜRÜN KODU]],YMKODLARI!$A$1:$K$363,9,0)," ")</f>
        <v xml:space="preserve"> </v>
      </c>
      <c r="K257" s="100" t="str">
        <f>IFERROR(VLOOKUP(Tablo515[[#This Row],[BOYA KODU]],Tablo14[#All],4,0)," ")</f>
        <v xml:space="preserve"> </v>
      </c>
      <c r="L257" s="100" t="str">
        <f>IFERROR(VLOOKUP(Tablo515[[#This Row],[BOYA KODU]],Tablo14[#All],6,0)," ")</f>
        <v xml:space="preserve"> </v>
      </c>
      <c r="M257" s="100" t="str">
        <f t="shared" si="28"/>
        <v xml:space="preserve"> </v>
      </c>
      <c r="N257" s="100" t="str">
        <f>IFERROR(VLOOKUP(Tablo515[[#This Row],[ÜRÜN KODU]],YMKODLARI!$A$1:$K$363,8,0)," ")</f>
        <v xml:space="preserve"> </v>
      </c>
      <c r="O257" s="100" t="str">
        <f>IFERROR(VLOOKUP(Tablo515[[#This Row],[HAMMADDE KODU]],Tablo1[#All],3,0)," ")</f>
        <v xml:space="preserve"> </v>
      </c>
      <c r="P257" s="100" t="str">
        <f>IFERROR(VLOOKUP(Tablo515[[#This Row],[HAMMADDE KODU]],Tablo1[#All],4,0)," ")</f>
        <v xml:space="preserve"> </v>
      </c>
      <c r="Q257" s="100" t="str">
        <f>IFERROR(VLOOKUP(Tablo515[[#This Row],[ÜRÜN KODU]],YMKODLARI!$A$1:$K$363,5,0)," ")</f>
        <v xml:space="preserve"> </v>
      </c>
      <c r="R257" s="100" t="str">
        <f>IFERROR(VLOOKUP(Tablo515[[#This Row],[ÜRÜN KODU]],YMKODLARI!$A$1:$K$363,6,0)," ")</f>
        <v xml:space="preserve"> </v>
      </c>
      <c r="S257" s="100" t="str">
        <f>IFERROR(Tablo515[[#This Row],[YOLLUK HARİÇ BASKI GRAMI]]/Tablo515[[#This Row],[KALIP GÖZ ADEDİ]]," ")</f>
        <v xml:space="preserve"> </v>
      </c>
      <c r="T257" s="100" t="str">
        <f t="shared" si="25"/>
        <v xml:space="preserve"> </v>
      </c>
      <c r="U257" s="100"/>
      <c r="V257" s="100" t="str">
        <f t="shared" si="29"/>
        <v xml:space="preserve"> </v>
      </c>
      <c r="W257" s="101">
        <f t="shared" si="27"/>
        <v>24</v>
      </c>
      <c r="X257" s="102">
        <f t="shared" si="26"/>
        <v>0</v>
      </c>
      <c r="Y257" s="100" t="str">
        <f t="shared" si="30"/>
        <v xml:space="preserve"> </v>
      </c>
      <c r="Z257" s="100" t="str">
        <f t="shared" si="31"/>
        <v xml:space="preserve"> </v>
      </c>
    </row>
    <row r="258" spans="1:26">
      <c r="A258" s="100"/>
      <c r="B258" s="108" t="str">
        <f>IFERROR(VLOOKUP(Tablo515[[#This Row],[ÜRÜN KODU]],YMKODLARI!$A$1:$K$363,2,0)," ")</f>
        <v xml:space="preserve"> </v>
      </c>
      <c r="C258" s="99"/>
      <c r="D258" s="100"/>
      <c r="E258" s="101"/>
      <c r="F258" s="101"/>
      <c r="G258" s="100" t="str">
        <f>IFERROR(VLOOKUP(Tablo515[[#This Row],[ÜRÜN KODU]],YMKODLARI!$A$1:$K$363,3,0)," ")</f>
        <v xml:space="preserve"> </v>
      </c>
      <c r="H258" s="100" t="str">
        <f>IFERROR(VLOOKUP(Tablo515[[#This Row],[ÜRÜN KODU]],YMKODLARI!$A$1:$K$363,4,0)," ")</f>
        <v xml:space="preserve"> </v>
      </c>
      <c r="I258" s="100"/>
      <c r="J258" s="100" t="str">
        <f>IFERROR(VLOOKUP(Tablo515[[#This Row],[ÜRÜN KODU]],YMKODLARI!$A$1:$K$363,9,0)," ")</f>
        <v xml:space="preserve"> </v>
      </c>
      <c r="K258" s="100" t="str">
        <f>IFERROR(VLOOKUP(Tablo515[[#This Row],[BOYA KODU]],Tablo14[#All],4,0)," ")</f>
        <v xml:space="preserve"> </v>
      </c>
      <c r="L258" s="100" t="str">
        <f>IFERROR(VLOOKUP(Tablo515[[#This Row],[BOYA KODU]],Tablo14[#All],6,0)," ")</f>
        <v xml:space="preserve"> </v>
      </c>
      <c r="M258" s="100" t="str">
        <f t="shared" si="28"/>
        <v xml:space="preserve"> </v>
      </c>
      <c r="N258" s="100" t="str">
        <f>IFERROR(VLOOKUP(Tablo515[[#This Row],[ÜRÜN KODU]],YMKODLARI!$A$1:$K$363,8,0)," ")</f>
        <v xml:space="preserve"> </v>
      </c>
      <c r="O258" s="100" t="str">
        <f>IFERROR(VLOOKUP(Tablo515[[#This Row],[HAMMADDE KODU]],Tablo1[#All],3,0)," ")</f>
        <v xml:space="preserve"> </v>
      </c>
      <c r="P258" s="100" t="str">
        <f>IFERROR(VLOOKUP(Tablo515[[#This Row],[HAMMADDE KODU]],Tablo1[#All],4,0)," ")</f>
        <v xml:space="preserve"> </v>
      </c>
      <c r="Q258" s="100" t="str">
        <f>IFERROR(VLOOKUP(Tablo515[[#This Row],[ÜRÜN KODU]],YMKODLARI!$A$1:$K$363,5,0)," ")</f>
        <v xml:space="preserve"> </v>
      </c>
      <c r="R258" s="100" t="str">
        <f>IFERROR(VLOOKUP(Tablo515[[#This Row],[ÜRÜN KODU]],YMKODLARI!$A$1:$K$363,6,0)," ")</f>
        <v xml:space="preserve"> </v>
      </c>
      <c r="S258" s="100" t="str">
        <f>IFERROR(Tablo515[[#This Row],[YOLLUK HARİÇ BASKI GRAMI]]/Tablo515[[#This Row],[KALIP GÖZ ADEDİ]]," ")</f>
        <v xml:space="preserve"> </v>
      </c>
      <c r="T258" s="100" t="str">
        <f t="shared" si="25"/>
        <v xml:space="preserve"> </v>
      </c>
      <c r="U258" s="100"/>
      <c r="V258" s="100" t="str">
        <f t="shared" si="29"/>
        <v xml:space="preserve"> </v>
      </c>
      <c r="W258" s="101">
        <f t="shared" si="27"/>
        <v>24</v>
      </c>
      <c r="X258" s="102">
        <f t="shared" si="26"/>
        <v>0</v>
      </c>
      <c r="Y258" s="100" t="str">
        <f t="shared" si="30"/>
        <v xml:space="preserve"> </v>
      </c>
      <c r="Z258" s="100" t="str">
        <f t="shared" si="31"/>
        <v xml:space="preserve"> </v>
      </c>
    </row>
    <row r="259" spans="1:26">
      <c r="A259" s="100"/>
      <c r="B259" s="108" t="str">
        <f>IFERROR(VLOOKUP(Tablo515[[#This Row],[ÜRÜN KODU]],YMKODLARI!$A$1:$K$363,2,0)," ")</f>
        <v xml:space="preserve"> </v>
      </c>
      <c r="C259" s="99"/>
      <c r="D259" s="100"/>
      <c r="E259" s="101"/>
      <c r="F259" s="101"/>
      <c r="G259" s="100" t="str">
        <f>IFERROR(VLOOKUP(Tablo515[[#This Row],[ÜRÜN KODU]],YMKODLARI!$A$1:$K$363,3,0)," ")</f>
        <v xml:space="preserve"> </v>
      </c>
      <c r="H259" s="100" t="str">
        <f>IFERROR(VLOOKUP(Tablo515[[#This Row],[ÜRÜN KODU]],YMKODLARI!$A$1:$K$363,4,0)," ")</f>
        <v xml:space="preserve"> </v>
      </c>
      <c r="I259" s="100"/>
      <c r="J259" s="100" t="str">
        <f>IFERROR(VLOOKUP(Tablo515[[#This Row],[ÜRÜN KODU]],YMKODLARI!$A$1:$K$363,9,0)," ")</f>
        <v xml:space="preserve"> </v>
      </c>
      <c r="K259" s="100" t="str">
        <f>IFERROR(VLOOKUP(Tablo515[[#This Row],[BOYA KODU]],Tablo14[#All],4,0)," ")</f>
        <v xml:space="preserve"> </v>
      </c>
      <c r="L259" s="100" t="str">
        <f>IFERROR(VLOOKUP(Tablo515[[#This Row],[BOYA KODU]],Tablo14[#All],6,0)," ")</f>
        <v xml:space="preserve"> </v>
      </c>
      <c r="M259" s="100" t="str">
        <f t="shared" ref="M259:M322" si="32">IFERROR((I259*Q259)*L259," ")</f>
        <v xml:space="preserve"> </v>
      </c>
      <c r="N259" s="100" t="str">
        <f>IFERROR(VLOOKUP(Tablo515[[#This Row],[ÜRÜN KODU]],YMKODLARI!$A$1:$K$363,8,0)," ")</f>
        <v xml:space="preserve"> </v>
      </c>
      <c r="O259" s="100" t="str">
        <f>IFERROR(VLOOKUP(Tablo515[[#This Row],[HAMMADDE KODU]],Tablo1[#All],3,0)," ")</f>
        <v xml:space="preserve"> </v>
      </c>
      <c r="P259" s="100" t="str">
        <f>IFERROR(VLOOKUP(Tablo515[[#This Row],[HAMMADDE KODU]],Tablo1[#All],4,0)," ")</f>
        <v xml:space="preserve"> </v>
      </c>
      <c r="Q259" s="100" t="str">
        <f>IFERROR(VLOOKUP(Tablo515[[#This Row],[ÜRÜN KODU]],YMKODLARI!$A$1:$K$363,5,0)," ")</f>
        <v xml:space="preserve"> </v>
      </c>
      <c r="R259" s="100" t="str">
        <f>IFERROR(VLOOKUP(Tablo515[[#This Row],[ÜRÜN KODU]],YMKODLARI!$A$1:$K$363,6,0)," ")</f>
        <v xml:space="preserve"> </v>
      </c>
      <c r="S259" s="100" t="str">
        <f>IFERROR(Tablo515[[#This Row],[YOLLUK HARİÇ BASKI GRAMI]]/Tablo515[[#This Row],[KALIP GÖZ ADEDİ]]," ")</f>
        <v xml:space="preserve"> </v>
      </c>
      <c r="T259" s="100" t="str">
        <f t="shared" si="25"/>
        <v xml:space="preserve"> </v>
      </c>
      <c r="U259" s="100"/>
      <c r="V259" s="100" t="str">
        <f t="shared" ref="V259:V322" si="33">IFERROR(U259+(R259*I259) /1000," ")</f>
        <v xml:space="preserve"> </v>
      </c>
      <c r="W259" s="101">
        <f t="shared" si="27"/>
        <v>24</v>
      </c>
      <c r="X259" s="102">
        <f t="shared" si="26"/>
        <v>0</v>
      </c>
      <c r="Y259" s="100" t="str">
        <f t="shared" si="30"/>
        <v xml:space="preserve"> </v>
      </c>
      <c r="Z259" s="100" t="str">
        <f t="shared" si="31"/>
        <v xml:space="preserve"> </v>
      </c>
    </row>
    <row r="260" spans="1:26">
      <c r="A260" s="100"/>
      <c r="B260" s="108" t="str">
        <f>IFERROR(VLOOKUP(Tablo515[[#This Row],[ÜRÜN KODU]],YMKODLARI!$A$1:$K$363,2,0)," ")</f>
        <v xml:space="preserve"> </v>
      </c>
      <c r="C260" s="99"/>
      <c r="D260" s="100"/>
      <c r="E260" s="101"/>
      <c r="F260" s="101"/>
      <c r="G260" s="100" t="str">
        <f>IFERROR(VLOOKUP(Tablo515[[#This Row],[ÜRÜN KODU]],YMKODLARI!$A$1:$K$363,3,0)," ")</f>
        <v xml:space="preserve"> </v>
      </c>
      <c r="H260" s="100" t="str">
        <f>IFERROR(VLOOKUP(Tablo515[[#This Row],[ÜRÜN KODU]],YMKODLARI!$A$1:$K$363,4,0)," ")</f>
        <v xml:space="preserve"> </v>
      </c>
      <c r="I260" s="100"/>
      <c r="J260" s="100" t="str">
        <f>IFERROR(VLOOKUP(Tablo515[[#This Row],[ÜRÜN KODU]],YMKODLARI!$A$1:$K$363,9,0)," ")</f>
        <v xml:space="preserve"> </v>
      </c>
      <c r="K260" s="100" t="str">
        <f>IFERROR(VLOOKUP(Tablo515[[#This Row],[BOYA KODU]],Tablo14[#All],4,0)," ")</f>
        <v xml:space="preserve"> </v>
      </c>
      <c r="L260" s="100" t="str">
        <f>IFERROR(VLOOKUP(Tablo515[[#This Row],[BOYA KODU]],Tablo14[#All],6,0)," ")</f>
        <v xml:space="preserve"> </v>
      </c>
      <c r="M260" s="100" t="str">
        <f t="shared" si="32"/>
        <v xml:space="preserve"> </v>
      </c>
      <c r="N260" s="100" t="str">
        <f>IFERROR(VLOOKUP(Tablo515[[#This Row],[ÜRÜN KODU]],YMKODLARI!$A$1:$K$363,8,0)," ")</f>
        <v xml:space="preserve"> </v>
      </c>
      <c r="O260" s="100" t="str">
        <f>IFERROR(VLOOKUP(Tablo515[[#This Row],[HAMMADDE KODU]],Tablo1[#All],3,0)," ")</f>
        <v xml:space="preserve"> </v>
      </c>
      <c r="P260" s="100" t="str">
        <f>IFERROR(VLOOKUP(Tablo515[[#This Row],[HAMMADDE KODU]],Tablo1[#All],4,0)," ")</f>
        <v xml:space="preserve"> </v>
      </c>
      <c r="Q260" s="100" t="str">
        <f>IFERROR(VLOOKUP(Tablo515[[#This Row],[ÜRÜN KODU]],YMKODLARI!$A$1:$K$363,5,0)," ")</f>
        <v xml:space="preserve"> </v>
      </c>
      <c r="R260" s="100" t="str">
        <f>IFERROR(VLOOKUP(Tablo515[[#This Row],[ÜRÜN KODU]],YMKODLARI!$A$1:$K$363,6,0)," ")</f>
        <v xml:space="preserve"> </v>
      </c>
      <c r="S260" s="100" t="str">
        <f>IFERROR(Tablo515[[#This Row],[YOLLUK HARİÇ BASKI GRAMI]]/Tablo515[[#This Row],[KALIP GÖZ ADEDİ]]," ")</f>
        <v xml:space="preserve"> </v>
      </c>
      <c r="T260" s="100" t="str">
        <f t="shared" ref="T260:T323" si="34">IFERROR(Q260-R260," ")</f>
        <v xml:space="preserve"> </v>
      </c>
      <c r="U260" s="100"/>
      <c r="V260" s="100" t="str">
        <f t="shared" si="33"/>
        <v xml:space="preserve"> </v>
      </c>
      <c r="W260" s="101">
        <f t="shared" ref="W260:W323" si="35">IFERROR(24-(E260-F260)," ")</f>
        <v>24</v>
      </c>
      <c r="X260" s="102">
        <f t="shared" ref="X260:X323" si="36">IFERROR((W260-INT(W260))*24," ")</f>
        <v>0</v>
      </c>
      <c r="Y260" s="100" t="str">
        <f t="shared" ref="Y260:Y323" si="37">IFERROR(H260*I260/3600," ")</f>
        <v xml:space="preserve"> </v>
      </c>
      <c r="Z260" s="100" t="str">
        <f t="shared" ref="Z260:Z323" si="38">IFERROR(I260*G260," " )</f>
        <v xml:space="preserve"> </v>
      </c>
    </row>
    <row r="261" spans="1:26">
      <c r="A261" s="100"/>
      <c r="B261" s="108" t="str">
        <f>IFERROR(VLOOKUP(Tablo515[[#This Row],[ÜRÜN KODU]],YMKODLARI!$A$1:$K$363,2,0)," ")</f>
        <v xml:space="preserve"> </v>
      </c>
      <c r="C261" s="99"/>
      <c r="D261" s="100"/>
      <c r="E261" s="101"/>
      <c r="F261" s="101"/>
      <c r="G261" s="100" t="str">
        <f>IFERROR(VLOOKUP(Tablo515[[#This Row],[ÜRÜN KODU]],YMKODLARI!$A$1:$K$363,3,0)," ")</f>
        <v xml:space="preserve"> </v>
      </c>
      <c r="H261" s="100" t="str">
        <f>IFERROR(VLOOKUP(Tablo515[[#This Row],[ÜRÜN KODU]],YMKODLARI!$A$1:$K$363,4,0)," ")</f>
        <v xml:space="preserve"> </v>
      </c>
      <c r="I261" s="100"/>
      <c r="J261" s="100" t="str">
        <f>IFERROR(VLOOKUP(Tablo515[[#This Row],[ÜRÜN KODU]],YMKODLARI!$A$1:$K$363,9,0)," ")</f>
        <v xml:space="preserve"> </v>
      </c>
      <c r="K261" s="100" t="str">
        <f>IFERROR(VLOOKUP(Tablo515[[#This Row],[BOYA KODU]],Tablo14[#All],4,0)," ")</f>
        <v xml:space="preserve"> </v>
      </c>
      <c r="L261" s="100" t="str">
        <f>IFERROR(VLOOKUP(Tablo515[[#This Row],[BOYA KODU]],Tablo14[#All],6,0)," ")</f>
        <v xml:space="preserve"> </v>
      </c>
      <c r="M261" s="100" t="str">
        <f t="shared" si="32"/>
        <v xml:space="preserve"> </v>
      </c>
      <c r="N261" s="100" t="str">
        <f>IFERROR(VLOOKUP(Tablo515[[#This Row],[ÜRÜN KODU]],YMKODLARI!$A$1:$K$363,8,0)," ")</f>
        <v xml:space="preserve"> </v>
      </c>
      <c r="O261" s="100" t="str">
        <f>IFERROR(VLOOKUP(Tablo515[[#This Row],[HAMMADDE KODU]],Tablo1[#All],3,0)," ")</f>
        <v xml:space="preserve"> </v>
      </c>
      <c r="P261" s="100" t="str">
        <f>IFERROR(VLOOKUP(Tablo515[[#This Row],[HAMMADDE KODU]],Tablo1[#All],4,0)," ")</f>
        <v xml:space="preserve"> </v>
      </c>
      <c r="Q261" s="100" t="str">
        <f>IFERROR(VLOOKUP(Tablo515[[#This Row],[ÜRÜN KODU]],YMKODLARI!$A$1:$K$363,5,0)," ")</f>
        <v xml:space="preserve"> </v>
      </c>
      <c r="R261" s="100" t="str">
        <f>IFERROR(VLOOKUP(Tablo515[[#This Row],[ÜRÜN KODU]],YMKODLARI!$A$1:$K$363,6,0)," ")</f>
        <v xml:space="preserve"> </v>
      </c>
      <c r="S261" s="100" t="str">
        <f>IFERROR(Tablo515[[#This Row],[YOLLUK HARİÇ BASKI GRAMI]]/Tablo515[[#This Row],[KALIP GÖZ ADEDİ]]," ")</f>
        <v xml:space="preserve"> </v>
      </c>
      <c r="T261" s="100" t="str">
        <f t="shared" si="34"/>
        <v xml:space="preserve"> </v>
      </c>
      <c r="U261" s="100"/>
      <c r="V261" s="100" t="str">
        <f t="shared" si="33"/>
        <v xml:space="preserve"> </v>
      </c>
      <c r="W261" s="101">
        <f t="shared" si="35"/>
        <v>24</v>
      </c>
      <c r="X261" s="102">
        <f t="shared" si="36"/>
        <v>0</v>
      </c>
      <c r="Y261" s="100" t="str">
        <f t="shared" si="37"/>
        <v xml:space="preserve"> </v>
      </c>
      <c r="Z261" s="100" t="str">
        <f t="shared" si="38"/>
        <v xml:space="preserve"> </v>
      </c>
    </row>
    <row r="262" spans="1:26">
      <c r="A262" s="100"/>
      <c r="B262" s="108" t="str">
        <f>IFERROR(VLOOKUP(Tablo515[[#This Row],[ÜRÜN KODU]],YMKODLARI!$A$1:$K$363,2,0)," ")</f>
        <v xml:space="preserve"> </v>
      </c>
      <c r="C262" s="99"/>
      <c r="D262" s="100"/>
      <c r="E262" s="101"/>
      <c r="F262" s="101"/>
      <c r="G262" s="100" t="str">
        <f>IFERROR(VLOOKUP(Tablo515[[#This Row],[ÜRÜN KODU]],YMKODLARI!$A$1:$K$363,3,0)," ")</f>
        <v xml:space="preserve"> </v>
      </c>
      <c r="H262" s="100" t="str">
        <f>IFERROR(VLOOKUP(Tablo515[[#This Row],[ÜRÜN KODU]],YMKODLARI!$A$1:$K$363,4,0)," ")</f>
        <v xml:space="preserve"> </v>
      </c>
      <c r="I262" s="100"/>
      <c r="J262" s="100" t="str">
        <f>IFERROR(VLOOKUP(Tablo515[[#This Row],[ÜRÜN KODU]],YMKODLARI!$A$1:$K$363,9,0)," ")</f>
        <v xml:space="preserve"> </v>
      </c>
      <c r="K262" s="100" t="str">
        <f>IFERROR(VLOOKUP(Tablo515[[#This Row],[BOYA KODU]],Tablo14[#All],4,0)," ")</f>
        <v xml:space="preserve"> </v>
      </c>
      <c r="L262" s="100" t="str">
        <f>IFERROR(VLOOKUP(Tablo515[[#This Row],[BOYA KODU]],Tablo14[#All],6,0)," ")</f>
        <v xml:space="preserve"> </v>
      </c>
      <c r="M262" s="100" t="str">
        <f t="shared" si="32"/>
        <v xml:space="preserve"> </v>
      </c>
      <c r="N262" s="100" t="str">
        <f>IFERROR(VLOOKUP(Tablo515[[#This Row],[ÜRÜN KODU]],YMKODLARI!$A$1:$K$363,8,0)," ")</f>
        <v xml:space="preserve"> </v>
      </c>
      <c r="O262" s="100" t="str">
        <f>IFERROR(VLOOKUP(Tablo515[[#This Row],[HAMMADDE KODU]],Tablo1[#All],3,0)," ")</f>
        <v xml:space="preserve"> </v>
      </c>
      <c r="P262" s="100" t="str">
        <f>IFERROR(VLOOKUP(Tablo515[[#This Row],[HAMMADDE KODU]],Tablo1[#All],4,0)," ")</f>
        <v xml:space="preserve"> </v>
      </c>
      <c r="Q262" s="100" t="str">
        <f>IFERROR(VLOOKUP(Tablo515[[#This Row],[ÜRÜN KODU]],YMKODLARI!$A$1:$K$363,5,0)," ")</f>
        <v xml:space="preserve"> </v>
      </c>
      <c r="R262" s="100" t="str">
        <f>IFERROR(VLOOKUP(Tablo515[[#This Row],[ÜRÜN KODU]],YMKODLARI!$A$1:$K$363,6,0)," ")</f>
        <v xml:space="preserve"> </v>
      </c>
      <c r="S262" s="100" t="str">
        <f>IFERROR(Tablo515[[#This Row],[YOLLUK HARİÇ BASKI GRAMI]]/Tablo515[[#This Row],[KALIP GÖZ ADEDİ]]," ")</f>
        <v xml:space="preserve"> </v>
      </c>
      <c r="T262" s="100" t="str">
        <f t="shared" si="34"/>
        <v xml:space="preserve"> </v>
      </c>
      <c r="U262" s="100"/>
      <c r="V262" s="100" t="str">
        <f t="shared" si="33"/>
        <v xml:space="preserve"> </v>
      </c>
      <c r="W262" s="101">
        <f t="shared" si="35"/>
        <v>24</v>
      </c>
      <c r="X262" s="102">
        <f t="shared" si="36"/>
        <v>0</v>
      </c>
      <c r="Y262" s="100" t="str">
        <f t="shared" si="37"/>
        <v xml:space="preserve"> </v>
      </c>
      <c r="Z262" s="100" t="str">
        <f t="shared" si="38"/>
        <v xml:space="preserve"> </v>
      </c>
    </row>
    <row r="263" spans="1:26">
      <c r="A263" s="100"/>
      <c r="B263" s="108" t="str">
        <f>IFERROR(VLOOKUP(Tablo515[[#This Row],[ÜRÜN KODU]],YMKODLARI!$A$1:$K$363,2,0)," ")</f>
        <v xml:space="preserve"> </v>
      </c>
      <c r="C263" s="99"/>
      <c r="D263" s="100"/>
      <c r="E263" s="101"/>
      <c r="F263" s="101"/>
      <c r="G263" s="100" t="str">
        <f>IFERROR(VLOOKUP(Tablo515[[#This Row],[ÜRÜN KODU]],YMKODLARI!$A$1:$K$363,3,0)," ")</f>
        <v xml:space="preserve"> </v>
      </c>
      <c r="H263" s="100" t="str">
        <f>IFERROR(VLOOKUP(Tablo515[[#This Row],[ÜRÜN KODU]],YMKODLARI!$A$1:$K$363,4,0)," ")</f>
        <v xml:space="preserve"> </v>
      </c>
      <c r="I263" s="100"/>
      <c r="J263" s="100" t="str">
        <f>IFERROR(VLOOKUP(Tablo515[[#This Row],[ÜRÜN KODU]],YMKODLARI!$A$1:$K$363,9,0)," ")</f>
        <v xml:space="preserve"> </v>
      </c>
      <c r="K263" s="100" t="str">
        <f>IFERROR(VLOOKUP(Tablo515[[#This Row],[BOYA KODU]],Tablo14[#All],4,0)," ")</f>
        <v xml:space="preserve"> </v>
      </c>
      <c r="L263" s="100" t="str">
        <f>IFERROR(VLOOKUP(Tablo515[[#This Row],[BOYA KODU]],Tablo14[#All],6,0)," ")</f>
        <v xml:space="preserve"> </v>
      </c>
      <c r="M263" s="100" t="str">
        <f t="shared" si="32"/>
        <v xml:space="preserve"> </v>
      </c>
      <c r="N263" s="100" t="str">
        <f>IFERROR(VLOOKUP(Tablo515[[#This Row],[ÜRÜN KODU]],YMKODLARI!$A$1:$K$363,8,0)," ")</f>
        <v xml:space="preserve"> </v>
      </c>
      <c r="O263" s="100" t="str">
        <f>IFERROR(VLOOKUP(Tablo515[[#This Row],[HAMMADDE KODU]],Tablo1[#All],3,0)," ")</f>
        <v xml:space="preserve"> </v>
      </c>
      <c r="P263" s="100" t="str">
        <f>IFERROR(VLOOKUP(Tablo515[[#This Row],[HAMMADDE KODU]],Tablo1[#All],4,0)," ")</f>
        <v xml:space="preserve"> </v>
      </c>
      <c r="Q263" s="100" t="str">
        <f>IFERROR(VLOOKUP(Tablo515[[#This Row],[ÜRÜN KODU]],YMKODLARI!$A$1:$K$363,5,0)," ")</f>
        <v xml:space="preserve"> </v>
      </c>
      <c r="R263" s="100" t="str">
        <f>IFERROR(VLOOKUP(Tablo515[[#This Row],[ÜRÜN KODU]],YMKODLARI!$A$1:$K$363,6,0)," ")</f>
        <v xml:space="preserve"> </v>
      </c>
      <c r="S263" s="100" t="str">
        <f>IFERROR(Tablo515[[#This Row],[YOLLUK HARİÇ BASKI GRAMI]]/Tablo515[[#This Row],[KALIP GÖZ ADEDİ]]," ")</f>
        <v xml:space="preserve"> </v>
      </c>
      <c r="T263" s="100" t="str">
        <f t="shared" si="34"/>
        <v xml:space="preserve"> </v>
      </c>
      <c r="U263" s="100"/>
      <c r="V263" s="100" t="str">
        <f t="shared" si="33"/>
        <v xml:space="preserve"> </v>
      </c>
      <c r="W263" s="101">
        <f t="shared" si="35"/>
        <v>24</v>
      </c>
      <c r="X263" s="102">
        <f t="shared" si="36"/>
        <v>0</v>
      </c>
      <c r="Y263" s="100" t="str">
        <f t="shared" si="37"/>
        <v xml:space="preserve"> </v>
      </c>
      <c r="Z263" s="100" t="str">
        <f t="shared" si="38"/>
        <v xml:space="preserve"> </v>
      </c>
    </row>
    <row r="264" spans="1:26">
      <c r="A264" s="100"/>
      <c r="B264" s="108" t="str">
        <f>IFERROR(VLOOKUP(Tablo515[[#This Row],[ÜRÜN KODU]],YMKODLARI!$A$1:$K$363,2,0)," ")</f>
        <v xml:space="preserve"> </v>
      </c>
      <c r="C264" s="99"/>
      <c r="D264" s="100"/>
      <c r="E264" s="101"/>
      <c r="F264" s="101"/>
      <c r="G264" s="100" t="str">
        <f>IFERROR(VLOOKUP(Tablo515[[#This Row],[ÜRÜN KODU]],YMKODLARI!$A$1:$K$363,3,0)," ")</f>
        <v xml:space="preserve"> </v>
      </c>
      <c r="H264" s="100" t="str">
        <f>IFERROR(VLOOKUP(Tablo515[[#This Row],[ÜRÜN KODU]],YMKODLARI!$A$1:$K$363,4,0)," ")</f>
        <v xml:space="preserve"> </v>
      </c>
      <c r="I264" s="100"/>
      <c r="J264" s="100" t="str">
        <f>IFERROR(VLOOKUP(Tablo515[[#This Row],[ÜRÜN KODU]],YMKODLARI!$A$1:$K$363,9,0)," ")</f>
        <v xml:space="preserve"> </v>
      </c>
      <c r="K264" s="100" t="str">
        <f>IFERROR(VLOOKUP(Tablo515[[#This Row],[BOYA KODU]],Tablo14[#All],4,0)," ")</f>
        <v xml:space="preserve"> </v>
      </c>
      <c r="L264" s="100" t="str">
        <f>IFERROR(VLOOKUP(Tablo515[[#This Row],[BOYA KODU]],Tablo14[#All],6,0)," ")</f>
        <v xml:space="preserve"> </v>
      </c>
      <c r="M264" s="100" t="str">
        <f t="shared" si="32"/>
        <v xml:space="preserve"> </v>
      </c>
      <c r="N264" s="100" t="str">
        <f>IFERROR(VLOOKUP(Tablo515[[#This Row],[ÜRÜN KODU]],YMKODLARI!$A$1:$K$363,8,0)," ")</f>
        <v xml:space="preserve"> </v>
      </c>
      <c r="O264" s="100" t="str">
        <f>IFERROR(VLOOKUP(Tablo515[[#This Row],[HAMMADDE KODU]],Tablo1[#All],3,0)," ")</f>
        <v xml:space="preserve"> </v>
      </c>
      <c r="P264" s="100" t="str">
        <f>IFERROR(VLOOKUP(Tablo515[[#This Row],[HAMMADDE KODU]],Tablo1[#All],4,0)," ")</f>
        <v xml:space="preserve"> </v>
      </c>
      <c r="Q264" s="100" t="str">
        <f>IFERROR(VLOOKUP(Tablo515[[#This Row],[ÜRÜN KODU]],YMKODLARI!$A$1:$K$363,5,0)," ")</f>
        <v xml:space="preserve"> </v>
      </c>
      <c r="R264" s="100" t="str">
        <f>IFERROR(VLOOKUP(Tablo515[[#This Row],[ÜRÜN KODU]],YMKODLARI!$A$1:$K$363,6,0)," ")</f>
        <v xml:space="preserve"> </v>
      </c>
      <c r="S264" s="100" t="str">
        <f>IFERROR(Tablo515[[#This Row],[YOLLUK HARİÇ BASKI GRAMI]]/Tablo515[[#This Row],[KALIP GÖZ ADEDİ]]," ")</f>
        <v xml:space="preserve"> </v>
      </c>
      <c r="T264" s="100" t="str">
        <f t="shared" si="34"/>
        <v xml:space="preserve"> </v>
      </c>
      <c r="U264" s="100"/>
      <c r="V264" s="100" t="str">
        <f t="shared" si="33"/>
        <v xml:space="preserve"> </v>
      </c>
      <c r="W264" s="101">
        <f t="shared" si="35"/>
        <v>24</v>
      </c>
      <c r="X264" s="102">
        <f t="shared" si="36"/>
        <v>0</v>
      </c>
      <c r="Y264" s="100" t="str">
        <f t="shared" si="37"/>
        <v xml:space="preserve"> </v>
      </c>
      <c r="Z264" s="100" t="str">
        <f t="shared" si="38"/>
        <v xml:space="preserve"> </v>
      </c>
    </row>
    <row r="265" spans="1:26">
      <c r="A265" s="100"/>
      <c r="B265" s="108" t="str">
        <f>IFERROR(VLOOKUP(Tablo515[[#This Row],[ÜRÜN KODU]],YMKODLARI!$A$1:$K$363,2,0)," ")</f>
        <v xml:space="preserve"> </v>
      </c>
      <c r="C265" s="99"/>
      <c r="D265" s="100"/>
      <c r="E265" s="101"/>
      <c r="F265" s="101"/>
      <c r="G265" s="100" t="str">
        <f>IFERROR(VLOOKUP(Tablo515[[#This Row],[ÜRÜN KODU]],YMKODLARI!$A$1:$K$363,3,0)," ")</f>
        <v xml:space="preserve"> </v>
      </c>
      <c r="H265" s="100" t="str">
        <f>IFERROR(VLOOKUP(Tablo515[[#This Row],[ÜRÜN KODU]],YMKODLARI!$A$1:$K$363,4,0)," ")</f>
        <v xml:space="preserve"> </v>
      </c>
      <c r="I265" s="100"/>
      <c r="J265" s="100" t="str">
        <f>IFERROR(VLOOKUP(Tablo515[[#This Row],[ÜRÜN KODU]],YMKODLARI!$A$1:$K$363,9,0)," ")</f>
        <v xml:space="preserve"> </v>
      </c>
      <c r="K265" s="100" t="str">
        <f>IFERROR(VLOOKUP(Tablo515[[#This Row],[BOYA KODU]],Tablo14[#All],4,0)," ")</f>
        <v xml:space="preserve"> </v>
      </c>
      <c r="L265" s="100" t="str">
        <f>IFERROR(VLOOKUP(Tablo515[[#This Row],[BOYA KODU]],Tablo14[#All],6,0)," ")</f>
        <v xml:space="preserve"> </v>
      </c>
      <c r="M265" s="100" t="str">
        <f t="shared" si="32"/>
        <v xml:space="preserve"> </v>
      </c>
      <c r="N265" s="100" t="str">
        <f>IFERROR(VLOOKUP(Tablo515[[#This Row],[ÜRÜN KODU]],YMKODLARI!$A$1:$K$363,8,0)," ")</f>
        <v xml:space="preserve"> </v>
      </c>
      <c r="O265" s="100" t="str">
        <f>IFERROR(VLOOKUP(Tablo515[[#This Row],[HAMMADDE KODU]],Tablo1[#All],3,0)," ")</f>
        <v xml:space="preserve"> </v>
      </c>
      <c r="P265" s="100" t="str">
        <f>IFERROR(VLOOKUP(Tablo515[[#This Row],[HAMMADDE KODU]],Tablo1[#All],4,0)," ")</f>
        <v xml:space="preserve"> </v>
      </c>
      <c r="Q265" s="100" t="str">
        <f>IFERROR(VLOOKUP(Tablo515[[#This Row],[ÜRÜN KODU]],YMKODLARI!$A$1:$K$363,5,0)," ")</f>
        <v xml:space="preserve"> </v>
      </c>
      <c r="R265" s="100" t="str">
        <f>IFERROR(VLOOKUP(Tablo515[[#This Row],[ÜRÜN KODU]],YMKODLARI!$A$1:$K$363,6,0)," ")</f>
        <v xml:space="preserve"> </v>
      </c>
      <c r="S265" s="100" t="str">
        <f>IFERROR(Tablo515[[#This Row],[YOLLUK HARİÇ BASKI GRAMI]]/Tablo515[[#This Row],[KALIP GÖZ ADEDİ]]," ")</f>
        <v xml:space="preserve"> </v>
      </c>
      <c r="T265" s="100" t="str">
        <f t="shared" si="34"/>
        <v xml:space="preserve"> </v>
      </c>
      <c r="U265" s="100"/>
      <c r="V265" s="100" t="str">
        <f t="shared" si="33"/>
        <v xml:space="preserve"> </v>
      </c>
      <c r="W265" s="101">
        <f t="shared" si="35"/>
        <v>24</v>
      </c>
      <c r="X265" s="102">
        <f t="shared" si="36"/>
        <v>0</v>
      </c>
      <c r="Y265" s="100" t="str">
        <f t="shared" si="37"/>
        <v xml:space="preserve"> </v>
      </c>
      <c r="Z265" s="100" t="str">
        <f t="shared" si="38"/>
        <v xml:space="preserve"> </v>
      </c>
    </row>
    <row r="266" spans="1:26">
      <c r="A266" s="100"/>
      <c r="B266" s="108" t="str">
        <f>IFERROR(VLOOKUP(Tablo515[[#This Row],[ÜRÜN KODU]],YMKODLARI!$A$1:$K$363,2,0)," ")</f>
        <v xml:space="preserve"> </v>
      </c>
      <c r="C266" s="99"/>
      <c r="D266" s="100"/>
      <c r="E266" s="101"/>
      <c r="F266" s="101"/>
      <c r="G266" s="100" t="str">
        <f>IFERROR(VLOOKUP(Tablo515[[#This Row],[ÜRÜN KODU]],YMKODLARI!$A$1:$K$363,3,0)," ")</f>
        <v xml:space="preserve"> </v>
      </c>
      <c r="H266" s="100" t="str">
        <f>IFERROR(VLOOKUP(Tablo515[[#This Row],[ÜRÜN KODU]],YMKODLARI!$A$1:$K$363,4,0)," ")</f>
        <v xml:space="preserve"> </v>
      </c>
      <c r="I266" s="100"/>
      <c r="J266" s="100" t="str">
        <f>IFERROR(VLOOKUP(Tablo515[[#This Row],[ÜRÜN KODU]],YMKODLARI!$A$1:$K$363,9,0)," ")</f>
        <v xml:space="preserve"> </v>
      </c>
      <c r="K266" s="100" t="str">
        <f>IFERROR(VLOOKUP(Tablo515[[#This Row],[BOYA KODU]],Tablo14[#All],4,0)," ")</f>
        <v xml:space="preserve"> </v>
      </c>
      <c r="L266" s="100" t="str">
        <f>IFERROR(VLOOKUP(Tablo515[[#This Row],[BOYA KODU]],Tablo14[#All],6,0)," ")</f>
        <v xml:space="preserve"> </v>
      </c>
      <c r="M266" s="100" t="str">
        <f t="shared" si="32"/>
        <v xml:space="preserve"> </v>
      </c>
      <c r="N266" s="100" t="str">
        <f>IFERROR(VLOOKUP(Tablo515[[#This Row],[ÜRÜN KODU]],YMKODLARI!$A$1:$K$363,8,0)," ")</f>
        <v xml:space="preserve"> </v>
      </c>
      <c r="O266" s="100" t="str">
        <f>IFERROR(VLOOKUP(Tablo515[[#This Row],[HAMMADDE KODU]],Tablo1[#All],3,0)," ")</f>
        <v xml:space="preserve"> </v>
      </c>
      <c r="P266" s="100" t="str">
        <f>IFERROR(VLOOKUP(Tablo515[[#This Row],[HAMMADDE KODU]],Tablo1[#All],4,0)," ")</f>
        <v xml:space="preserve"> </v>
      </c>
      <c r="Q266" s="100" t="str">
        <f>IFERROR(VLOOKUP(Tablo515[[#This Row],[ÜRÜN KODU]],YMKODLARI!$A$1:$K$363,5,0)," ")</f>
        <v xml:space="preserve"> </v>
      </c>
      <c r="R266" s="100" t="str">
        <f>IFERROR(VLOOKUP(Tablo515[[#This Row],[ÜRÜN KODU]],YMKODLARI!$A$1:$K$363,6,0)," ")</f>
        <v xml:space="preserve"> </v>
      </c>
      <c r="S266" s="100" t="str">
        <f>IFERROR(Tablo515[[#This Row],[YOLLUK HARİÇ BASKI GRAMI]]/Tablo515[[#This Row],[KALIP GÖZ ADEDİ]]," ")</f>
        <v xml:space="preserve"> </v>
      </c>
      <c r="T266" s="100" t="str">
        <f t="shared" si="34"/>
        <v xml:space="preserve"> </v>
      </c>
      <c r="U266" s="100"/>
      <c r="V266" s="100" t="str">
        <f t="shared" si="33"/>
        <v xml:space="preserve"> </v>
      </c>
      <c r="W266" s="101">
        <f t="shared" si="35"/>
        <v>24</v>
      </c>
      <c r="X266" s="102">
        <f t="shared" si="36"/>
        <v>0</v>
      </c>
      <c r="Y266" s="100" t="str">
        <f t="shared" si="37"/>
        <v xml:space="preserve"> </v>
      </c>
      <c r="Z266" s="100" t="str">
        <f t="shared" si="38"/>
        <v xml:space="preserve"> </v>
      </c>
    </row>
    <row r="267" spans="1:26">
      <c r="A267" s="100"/>
      <c r="B267" s="108" t="str">
        <f>IFERROR(VLOOKUP(Tablo515[[#This Row],[ÜRÜN KODU]],YMKODLARI!$A$1:$K$363,2,0)," ")</f>
        <v xml:space="preserve"> </v>
      </c>
      <c r="C267" s="99"/>
      <c r="D267" s="100"/>
      <c r="E267" s="101"/>
      <c r="F267" s="101"/>
      <c r="G267" s="100" t="str">
        <f>IFERROR(VLOOKUP(Tablo515[[#This Row],[ÜRÜN KODU]],YMKODLARI!$A$1:$K$363,3,0)," ")</f>
        <v xml:space="preserve"> </v>
      </c>
      <c r="H267" s="100" t="str">
        <f>IFERROR(VLOOKUP(Tablo515[[#This Row],[ÜRÜN KODU]],YMKODLARI!$A$1:$K$363,4,0)," ")</f>
        <v xml:space="preserve"> </v>
      </c>
      <c r="I267" s="100"/>
      <c r="J267" s="100" t="str">
        <f>IFERROR(VLOOKUP(Tablo515[[#This Row],[ÜRÜN KODU]],YMKODLARI!$A$1:$K$363,9,0)," ")</f>
        <v xml:space="preserve"> </v>
      </c>
      <c r="K267" s="100" t="str">
        <f>IFERROR(VLOOKUP(Tablo515[[#This Row],[BOYA KODU]],Tablo14[#All],4,0)," ")</f>
        <v xml:space="preserve"> </v>
      </c>
      <c r="L267" s="100" t="str">
        <f>IFERROR(VLOOKUP(Tablo515[[#This Row],[BOYA KODU]],Tablo14[#All],6,0)," ")</f>
        <v xml:space="preserve"> </v>
      </c>
      <c r="M267" s="100" t="str">
        <f t="shared" si="32"/>
        <v xml:space="preserve"> </v>
      </c>
      <c r="N267" s="100" t="str">
        <f>IFERROR(VLOOKUP(Tablo515[[#This Row],[ÜRÜN KODU]],YMKODLARI!$A$1:$K$363,8,0)," ")</f>
        <v xml:space="preserve"> </v>
      </c>
      <c r="O267" s="100" t="str">
        <f>IFERROR(VLOOKUP(Tablo515[[#This Row],[HAMMADDE KODU]],Tablo1[#All],3,0)," ")</f>
        <v xml:space="preserve"> </v>
      </c>
      <c r="P267" s="100" t="str">
        <f>IFERROR(VLOOKUP(Tablo515[[#This Row],[HAMMADDE KODU]],Tablo1[#All],4,0)," ")</f>
        <v xml:space="preserve"> </v>
      </c>
      <c r="Q267" s="100" t="str">
        <f>IFERROR(VLOOKUP(Tablo515[[#This Row],[ÜRÜN KODU]],YMKODLARI!$A$1:$K$363,5,0)," ")</f>
        <v xml:space="preserve"> </v>
      </c>
      <c r="R267" s="100" t="str">
        <f>IFERROR(VLOOKUP(Tablo515[[#This Row],[ÜRÜN KODU]],YMKODLARI!$A$1:$K$363,6,0)," ")</f>
        <v xml:space="preserve"> </v>
      </c>
      <c r="S267" s="100" t="str">
        <f>IFERROR(Tablo515[[#This Row],[YOLLUK HARİÇ BASKI GRAMI]]/Tablo515[[#This Row],[KALIP GÖZ ADEDİ]]," ")</f>
        <v xml:space="preserve"> </v>
      </c>
      <c r="T267" s="100" t="str">
        <f t="shared" si="34"/>
        <v xml:space="preserve"> </v>
      </c>
      <c r="U267" s="100"/>
      <c r="V267" s="100" t="str">
        <f t="shared" si="33"/>
        <v xml:space="preserve"> </v>
      </c>
      <c r="W267" s="101">
        <f t="shared" si="35"/>
        <v>24</v>
      </c>
      <c r="X267" s="102">
        <f t="shared" si="36"/>
        <v>0</v>
      </c>
      <c r="Y267" s="100" t="str">
        <f t="shared" si="37"/>
        <v xml:space="preserve"> </v>
      </c>
      <c r="Z267" s="100" t="str">
        <f t="shared" si="38"/>
        <v xml:space="preserve"> </v>
      </c>
    </row>
    <row r="268" spans="1:26">
      <c r="A268" s="100"/>
      <c r="B268" s="108" t="str">
        <f>IFERROR(VLOOKUP(Tablo515[[#This Row],[ÜRÜN KODU]],YMKODLARI!$A$1:$K$363,2,0)," ")</f>
        <v xml:space="preserve"> </v>
      </c>
      <c r="C268" s="99"/>
      <c r="D268" s="100"/>
      <c r="E268" s="101"/>
      <c r="F268" s="101"/>
      <c r="G268" s="100" t="str">
        <f>IFERROR(VLOOKUP(Tablo515[[#This Row],[ÜRÜN KODU]],YMKODLARI!$A$1:$K$363,3,0)," ")</f>
        <v xml:space="preserve"> </v>
      </c>
      <c r="H268" s="100" t="str">
        <f>IFERROR(VLOOKUP(Tablo515[[#This Row],[ÜRÜN KODU]],YMKODLARI!$A$1:$K$363,4,0)," ")</f>
        <v xml:space="preserve"> </v>
      </c>
      <c r="I268" s="100"/>
      <c r="J268" s="100" t="str">
        <f>IFERROR(VLOOKUP(Tablo515[[#This Row],[ÜRÜN KODU]],YMKODLARI!$A$1:$K$363,9,0)," ")</f>
        <v xml:space="preserve"> </v>
      </c>
      <c r="K268" s="100" t="str">
        <f>IFERROR(VLOOKUP(Tablo515[[#This Row],[BOYA KODU]],Tablo14[#All],4,0)," ")</f>
        <v xml:space="preserve"> </v>
      </c>
      <c r="L268" s="100" t="str">
        <f>IFERROR(VLOOKUP(Tablo515[[#This Row],[BOYA KODU]],Tablo14[#All],6,0)," ")</f>
        <v xml:space="preserve"> </v>
      </c>
      <c r="M268" s="100" t="str">
        <f t="shared" si="32"/>
        <v xml:space="preserve"> </v>
      </c>
      <c r="N268" s="100" t="str">
        <f>IFERROR(VLOOKUP(Tablo515[[#This Row],[ÜRÜN KODU]],YMKODLARI!$A$1:$K$363,8,0)," ")</f>
        <v xml:space="preserve"> </v>
      </c>
      <c r="O268" s="100" t="str">
        <f>IFERROR(VLOOKUP(Tablo515[[#This Row],[HAMMADDE KODU]],Tablo1[#All],3,0)," ")</f>
        <v xml:space="preserve"> </v>
      </c>
      <c r="P268" s="100" t="str">
        <f>IFERROR(VLOOKUP(Tablo515[[#This Row],[HAMMADDE KODU]],Tablo1[#All],4,0)," ")</f>
        <v xml:space="preserve"> </v>
      </c>
      <c r="Q268" s="100" t="str">
        <f>IFERROR(VLOOKUP(Tablo515[[#This Row],[ÜRÜN KODU]],YMKODLARI!$A$1:$K$363,5,0)," ")</f>
        <v xml:space="preserve"> </v>
      </c>
      <c r="R268" s="100" t="str">
        <f>IFERROR(VLOOKUP(Tablo515[[#This Row],[ÜRÜN KODU]],YMKODLARI!$A$1:$K$363,6,0)," ")</f>
        <v xml:space="preserve"> </v>
      </c>
      <c r="S268" s="100" t="str">
        <f>IFERROR(Tablo515[[#This Row],[YOLLUK HARİÇ BASKI GRAMI]]/Tablo515[[#This Row],[KALIP GÖZ ADEDİ]]," ")</f>
        <v xml:space="preserve"> </v>
      </c>
      <c r="T268" s="100" t="str">
        <f t="shared" si="34"/>
        <v xml:space="preserve"> </v>
      </c>
      <c r="U268" s="100"/>
      <c r="V268" s="100" t="str">
        <f t="shared" si="33"/>
        <v xml:space="preserve"> </v>
      </c>
      <c r="W268" s="101">
        <f t="shared" si="35"/>
        <v>24</v>
      </c>
      <c r="X268" s="102">
        <f t="shared" si="36"/>
        <v>0</v>
      </c>
      <c r="Y268" s="100" t="str">
        <f t="shared" si="37"/>
        <v xml:space="preserve"> </v>
      </c>
      <c r="Z268" s="100" t="str">
        <f t="shared" si="38"/>
        <v xml:space="preserve"> </v>
      </c>
    </row>
    <row r="269" spans="1:26">
      <c r="A269" s="100"/>
      <c r="B269" s="108" t="str">
        <f>IFERROR(VLOOKUP(Tablo515[[#This Row],[ÜRÜN KODU]],YMKODLARI!$A$1:$K$363,2,0)," ")</f>
        <v xml:space="preserve"> </v>
      </c>
      <c r="C269" s="99"/>
      <c r="D269" s="100"/>
      <c r="E269" s="101"/>
      <c r="F269" s="101"/>
      <c r="G269" s="100" t="str">
        <f>IFERROR(VLOOKUP(Tablo515[[#This Row],[ÜRÜN KODU]],YMKODLARI!$A$1:$K$363,3,0)," ")</f>
        <v xml:space="preserve"> </v>
      </c>
      <c r="H269" s="100" t="str">
        <f>IFERROR(VLOOKUP(Tablo515[[#This Row],[ÜRÜN KODU]],YMKODLARI!$A$1:$K$363,4,0)," ")</f>
        <v xml:space="preserve"> </v>
      </c>
      <c r="I269" s="100"/>
      <c r="J269" s="100" t="str">
        <f>IFERROR(VLOOKUP(Tablo515[[#This Row],[ÜRÜN KODU]],YMKODLARI!$A$1:$K$363,9,0)," ")</f>
        <v xml:space="preserve"> </v>
      </c>
      <c r="K269" s="100" t="str">
        <f>IFERROR(VLOOKUP(Tablo515[[#This Row],[BOYA KODU]],Tablo14[#All],4,0)," ")</f>
        <v xml:space="preserve"> </v>
      </c>
      <c r="L269" s="100" t="str">
        <f>IFERROR(VLOOKUP(Tablo515[[#This Row],[BOYA KODU]],Tablo14[#All],6,0)," ")</f>
        <v xml:space="preserve"> </v>
      </c>
      <c r="M269" s="100" t="str">
        <f t="shared" si="32"/>
        <v xml:space="preserve"> </v>
      </c>
      <c r="N269" s="100" t="str">
        <f>IFERROR(VLOOKUP(Tablo515[[#This Row],[ÜRÜN KODU]],YMKODLARI!$A$1:$K$363,8,0)," ")</f>
        <v xml:space="preserve"> </v>
      </c>
      <c r="O269" s="100" t="str">
        <f>IFERROR(VLOOKUP(Tablo515[[#This Row],[HAMMADDE KODU]],Tablo1[#All],3,0)," ")</f>
        <v xml:space="preserve"> </v>
      </c>
      <c r="P269" s="100" t="str">
        <f>IFERROR(VLOOKUP(Tablo515[[#This Row],[HAMMADDE KODU]],Tablo1[#All],4,0)," ")</f>
        <v xml:space="preserve"> </v>
      </c>
      <c r="Q269" s="100" t="str">
        <f>IFERROR(VLOOKUP(Tablo515[[#This Row],[ÜRÜN KODU]],YMKODLARI!$A$1:$K$363,5,0)," ")</f>
        <v xml:space="preserve"> </v>
      </c>
      <c r="R269" s="100" t="str">
        <f>IFERROR(VLOOKUP(Tablo515[[#This Row],[ÜRÜN KODU]],YMKODLARI!$A$1:$K$363,6,0)," ")</f>
        <v xml:space="preserve"> </v>
      </c>
      <c r="S269" s="100" t="str">
        <f>IFERROR(Tablo515[[#This Row],[YOLLUK HARİÇ BASKI GRAMI]]/Tablo515[[#This Row],[KALIP GÖZ ADEDİ]]," ")</f>
        <v xml:space="preserve"> </v>
      </c>
      <c r="T269" s="100" t="str">
        <f t="shared" si="34"/>
        <v xml:space="preserve"> </v>
      </c>
      <c r="U269" s="100"/>
      <c r="V269" s="100" t="str">
        <f t="shared" si="33"/>
        <v xml:space="preserve"> </v>
      </c>
      <c r="W269" s="101">
        <f t="shared" si="35"/>
        <v>24</v>
      </c>
      <c r="X269" s="102">
        <f t="shared" si="36"/>
        <v>0</v>
      </c>
      <c r="Y269" s="100" t="str">
        <f t="shared" si="37"/>
        <v xml:space="preserve"> </v>
      </c>
      <c r="Z269" s="100" t="str">
        <f t="shared" si="38"/>
        <v xml:space="preserve"> </v>
      </c>
    </row>
    <row r="270" spans="1:26">
      <c r="A270" s="100"/>
      <c r="B270" s="108" t="str">
        <f>IFERROR(VLOOKUP(Tablo515[[#This Row],[ÜRÜN KODU]],YMKODLARI!$A$1:$K$363,2,0)," ")</f>
        <v xml:space="preserve"> </v>
      </c>
      <c r="C270" s="99"/>
      <c r="D270" s="100"/>
      <c r="E270" s="101"/>
      <c r="F270" s="101"/>
      <c r="G270" s="100" t="str">
        <f>IFERROR(VLOOKUP(Tablo515[[#This Row],[ÜRÜN KODU]],YMKODLARI!$A$1:$K$363,3,0)," ")</f>
        <v xml:space="preserve"> </v>
      </c>
      <c r="H270" s="100" t="str">
        <f>IFERROR(VLOOKUP(Tablo515[[#This Row],[ÜRÜN KODU]],YMKODLARI!$A$1:$K$363,4,0)," ")</f>
        <v xml:space="preserve"> </v>
      </c>
      <c r="I270" s="100"/>
      <c r="J270" s="100" t="str">
        <f>IFERROR(VLOOKUP(Tablo515[[#This Row],[ÜRÜN KODU]],YMKODLARI!$A$1:$K$363,9,0)," ")</f>
        <v xml:space="preserve"> </v>
      </c>
      <c r="K270" s="100" t="str">
        <f>IFERROR(VLOOKUP(Tablo515[[#This Row],[BOYA KODU]],Tablo14[#All],4,0)," ")</f>
        <v xml:space="preserve"> </v>
      </c>
      <c r="L270" s="100" t="str">
        <f>IFERROR(VLOOKUP(Tablo515[[#This Row],[BOYA KODU]],Tablo14[#All],6,0)," ")</f>
        <v xml:space="preserve"> </v>
      </c>
      <c r="M270" s="100" t="str">
        <f t="shared" si="32"/>
        <v xml:space="preserve"> </v>
      </c>
      <c r="N270" s="100" t="str">
        <f>IFERROR(VLOOKUP(Tablo515[[#This Row],[ÜRÜN KODU]],YMKODLARI!$A$1:$K$363,8,0)," ")</f>
        <v xml:space="preserve"> </v>
      </c>
      <c r="O270" s="100" t="str">
        <f>IFERROR(VLOOKUP(Tablo515[[#This Row],[HAMMADDE KODU]],Tablo1[#All],3,0)," ")</f>
        <v xml:space="preserve"> </v>
      </c>
      <c r="P270" s="100" t="str">
        <f>IFERROR(VLOOKUP(Tablo515[[#This Row],[HAMMADDE KODU]],Tablo1[#All],4,0)," ")</f>
        <v xml:space="preserve"> </v>
      </c>
      <c r="Q270" s="100" t="str">
        <f>IFERROR(VLOOKUP(Tablo515[[#This Row],[ÜRÜN KODU]],YMKODLARI!$A$1:$K$363,5,0)," ")</f>
        <v xml:space="preserve"> </v>
      </c>
      <c r="R270" s="100" t="str">
        <f>IFERROR(VLOOKUP(Tablo515[[#This Row],[ÜRÜN KODU]],YMKODLARI!$A$1:$K$363,6,0)," ")</f>
        <v xml:space="preserve"> </v>
      </c>
      <c r="S270" s="100" t="str">
        <f>IFERROR(Tablo515[[#This Row],[YOLLUK HARİÇ BASKI GRAMI]]/Tablo515[[#This Row],[KALIP GÖZ ADEDİ]]," ")</f>
        <v xml:space="preserve"> </v>
      </c>
      <c r="T270" s="100" t="str">
        <f t="shared" si="34"/>
        <v xml:space="preserve"> </v>
      </c>
      <c r="U270" s="100"/>
      <c r="V270" s="100" t="str">
        <f t="shared" si="33"/>
        <v xml:space="preserve"> </v>
      </c>
      <c r="W270" s="101">
        <f t="shared" si="35"/>
        <v>24</v>
      </c>
      <c r="X270" s="102">
        <f t="shared" si="36"/>
        <v>0</v>
      </c>
      <c r="Y270" s="100" t="str">
        <f t="shared" si="37"/>
        <v xml:space="preserve"> </v>
      </c>
      <c r="Z270" s="100" t="str">
        <f t="shared" si="38"/>
        <v xml:space="preserve"> </v>
      </c>
    </row>
    <row r="271" spans="1:26">
      <c r="A271" s="100"/>
      <c r="B271" s="108" t="str">
        <f>IFERROR(VLOOKUP(Tablo515[[#This Row],[ÜRÜN KODU]],YMKODLARI!$A$1:$K$363,2,0)," ")</f>
        <v xml:space="preserve"> </v>
      </c>
      <c r="C271" s="99"/>
      <c r="D271" s="100"/>
      <c r="E271" s="101"/>
      <c r="F271" s="101"/>
      <c r="G271" s="100" t="str">
        <f>IFERROR(VLOOKUP(Tablo515[[#This Row],[ÜRÜN KODU]],YMKODLARI!$A$1:$K$363,3,0)," ")</f>
        <v xml:space="preserve"> </v>
      </c>
      <c r="H271" s="100" t="str">
        <f>IFERROR(VLOOKUP(Tablo515[[#This Row],[ÜRÜN KODU]],YMKODLARI!$A$1:$K$363,4,0)," ")</f>
        <v xml:space="preserve"> </v>
      </c>
      <c r="I271" s="100"/>
      <c r="J271" s="100" t="str">
        <f>IFERROR(VLOOKUP(Tablo515[[#This Row],[ÜRÜN KODU]],YMKODLARI!$A$1:$K$363,9,0)," ")</f>
        <v xml:space="preserve"> </v>
      </c>
      <c r="K271" s="100" t="str">
        <f>IFERROR(VLOOKUP(Tablo515[[#This Row],[BOYA KODU]],Tablo14[#All],4,0)," ")</f>
        <v xml:space="preserve"> </v>
      </c>
      <c r="L271" s="100" t="str">
        <f>IFERROR(VLOOKUP(Tablo515[[#This Row],[BOYA KODU]],Tablo14[#All],6,0)," ")</f>
        <v xml:space="preserve"> </v>
      </c>
      <c r="M271" s="100" t="str">
        <f t="shared" si="32"/>
        <v xml:space="preserve"> </v>
      </c>
      <c r="N271" s="100" t="str">
        <f>IFERROR(VLOOKUP(Tablo515[[#This Row],[ÜRÜN KODU]],YMKODLARI!$A$1:$K$363,8,0)," ")</f>
        <v xml:space="preserve"> </v>
      </c>
      <c r="O271" s="100" t="str">
        <f>IFERROR(VLOOKUP(Tablo515[[#This Row],[HAMMADDE KODU]],Tablo1[#All],3,0)," ")</f>
        <v xml:space="preserve"> </v>
      </c>
      <c r="P271" s="100" t="str">
        <f>IFERROR(VLOOKUP(Tablo515[[#This Row],[HAMMADDE KODU]],Tablo1[#All],4,0)," ")</f>
        <v xml:space="preserve"> </v>
      </c>
      <c r="Q271" s="100" t="str">
        <f>IFERROR(VLOOKUP(Tablo515[[#This Row],[ÜRÜN KODU]],YMKODLARI!$A$1:$K$363,5,0)," ")</f>
        <v xml:space="preserve"> </v>
      </c>
      <c r="R271" s="100" t="str">
        <f>IFERROR(VLOOKUP(Tablo515[[#This Row],[ÜRÜN KODU]],YMKODLARI!$A$1:$K$363,6,0)," ")</f>
        <v xml:space="preserve"> </v>
      </c>
      <c r="S271" s="100" t="str">
        <f>IFERROR(Tablo515[[#This Row],[YOLLUK HARİÇ BASKI GRAMI]]/Tablo515[[#This Row],[KALIP GÖZ ADEDİ]]," ")</f>
        <v xml:space="preserve"> </v>
      </c>
      <c r="T271" s="100" t="str">
        <f t="shared" si="34"/>
        <v xml:space="preserve"> </v>
      </c>
      <c r="U271" s="100"/>
      <c r="V271" s="100" t="str">
        <f t="shared" si="33"/>
        <v xml:space="preserve"> </v>
      </c>
      <c r="W271" s="101">
        <f t="shared" si="35"/>
        <v>24</v>
      </c>
      <c r="X271" s="102">
        <f t="shared" si="36"/>
        <v>0</v>
      </c>
      <c r="Y271" s="100" t="str">
        <f t="shared" si="37"/>
        <v xml:space="preserve"> </v>
      </c>
      <c r="Z271" s="100" t="str">
        <f t="shared" si="38"/>
        <v xml:space="preserve"> </v>
      </c>
    </row>
    <row r="272" spans="1:26">
      <c r="A272" s="100"/>
      <c r="B272" s="108" t="str">
        <f>IFERROR(VLOOKUP(Tablo515[[#This Row],[ÜRÜN KODU]],YMKODLARI!$A$1:$K$363,2,0)," ")</f>
        <v xml:space="preserve"> </v>
      </c>
      <c r="C272" s="99"/>
      <c r="D272" s="100"/>
      <c r="E272" s="101"/>
      <c r="F272" s="101"/>
      <c r="G272" s="100" t="str">
        <f>IFERROR(VLOOKUP(Tablo515[[#This Row],[ÜRÜN KODU]],YMKODLARI!$A$1:$K$363,3,0)," ")</f>
        <v xml:space="preserve"> </v>
      </c>
      <c r="H272" s="100" t="str">
        <f>IFERROR(VLOOKUP(Tablo515[[#This Row],[ÜRÜN KODU]],YMKODLARI!$A$1:$K$363,4,0)," ")</f>
        <v xml:space="preserve"> </v>
      </c>
      <c r="I272" s="100"/>
      <c r="J272" s="100" t="str">
        <f>IFERROR(VLOOKUP(Tablo515[[#This Row],[ÜRÜN KODU]],YMKODLARI!$A$1:$K$363,9,0)," ")</f>
        <v xml:space="preserve"> </v>
      </c>
      <c r="K272" s="100" t="str">
        <f>IFERROR(VLOOKUP(Tablo515[[#This Row],[BOYA KODU]],Tablo14[#All],4,0)," ")</f>
        <v xml:space="preserve"> </v>
      </c>
      <c r="L272" s="100" t="str">
        <f>IFERROR(VLOOKUP(Tablo515[[#This Row],[BOYA KODU]],Tablo14[#All],6,0)," ")</f>
        <v xml:space="preserve"> </v>
      </c>
      <c r="M272" s="100" t="str">
        <f t="shared" si="32"/>
        <v xml:space="preserve"> </v>
      </c>
      <c r="N272" s="100" t="str">
        <f>IFERROR(VLOOKUP(Tablo515[[#This Row],[ÜRÜN KODU]],YMKODLARI!$A$1:$K$363,8,0)," ")</f>
        <v xml:space="preserve"> </v>
      </c>
      <c r="O272" s="100" t="str">
        <f>IFERROR(VLOOKUP(Tablo515[[#This Row],[HAMMADDE KODU]],Tablo1[#All],3,0)," ")</f>
        <v xml:space="preserve"> </v>
      </c>
      <c r="P272" s="100" t="str">
        <f>IFERROR(VLOOKUP(Tablo515[[#This Row],[HAMMADDE KODU]],Tablo1[#All],4,0)," ")</f>
        <v xml:space="preserve"> </v>
      </c>
      <c r="Q272" s="100" t="str">
        <f>IFERROR(VLOOKUP(Tablo515[[#This Row],[ÜRÜN KODU]],YMKODLARI!$A$1:$K$363,5,0)," ")</f>
        <v xml:space="preserve"> </v>
      </c>
      <c r="R272" s="100" t="str">
        <f>IFERROR(VLOOKUP(Tablo515[[#This Row],[ÜRÜN KODU]],YMKODLARI!$A$1:$K$363,6,0)," ")</f>
        <v xml:space="preserve"> </v>
      </c>
      <c r="S272" s="100" t="str">
        <f>IFERROR(Tablo515[[#This Row],[YOLLUK HARİÇ BASKI GRAMI]]/Tablo515[[#This Row],[KALIP GÖZ ADEDİ]]," ")</f>
        <v xml:space="preserve"> </v>
      </c>
      <c r="T272" s="100" t="str">
        <f t="shared" si="34"/>
        <v xml:space="preserve"> </v>
      </c>
      <c r="U272" s="100"/>
      <c r="V272" s="100" t="str">
        <f t="shared" si="33"/>
        <v xml:space="preserve"> </v>
      </c>
      <c r="W272" s="101">
        <f t="shared" si="35"/>
        <v>24</v>
      </c>
      <c r="X272" s="102">
        <f t="shared" si="36"/>
        <v>0</v>
      </c>
      <c r="Y272" s="100" t="str">
        <f t="shared" si="37"/>
        <v xml:space="preserve"> </v>
      </c>
      <c r="Z272" s="100" t="str">
        <f t="shared" si="38"/>
        <v xml:space="preserve"> </v>
      </c>
    </row>
    <row r="273" spans="1:26">
      <c r="A273" s="100"/>
      <c r="B273" s="108" t="str">
        <f>IFERROR(VLOOKUP(Tablo515[[#This Row],[ÜRÜN KODU]],YMKODLARI!$A$1:$K$363,2,0)," ")</f>
        <v xml:space="preserve"> </v>
      </c>
      <c r="C273" s="99"/>
      <c r="D273" s="100"/>
      <c r="E273" s="101"/>
      <c r="F273" s="101"/>
      <c r="G273" s="100" t="str">
        <f>IFERROR(VLOOKUP(Tablo515[[#This Row],[ÜRÜN KODU]],YMKODLARI!$A$1:$K$363,3,0)," ")</f>
        <v xml:space="preserve"> </v>
      </c>
      <c r="H273" s="100" t="str">
        <f>IFERROR(VLOOKUP(Tablo515[[#This Row],[ÜRÜN KODU]],YMKODLARI!$A$1:$K$363,4,0)," ")</f>
        <v xml:space="preserve"> </v>
      </c>
      <c r="I273" s="100"/>
      <c r="J273" s="100" t="str">
        <f>IFERROR(VLOOKUP(Tablo515[[#This Row],[ÜRÜN KODU]],YMKODLARI!$A$1:$K$363,9,0)," ")</f>
        <v xml:space="preserve"> </v>
      </c>
      <c r="K273" s="100" t="str">
        <f>IFERROR(VLOOKUP(Tablo515[[#This Row],[BOYA KODU]],Tablo14[#All],4,0)," ")</f>
        <v xml:space="preserve"> </v>
      </c>
      <c r="L273" s="100" t="str">
        <f>IFERROR(VLOOKUP(Tablo515[[#This Row],[BOYA KODU]],Tablo14[#All],6,0)," ")</f>
        <v xml:space="preserve"> </v>
      </c>
      <c r="M273" s="100" t="str">
        <f t="shared" si="32"/>
        <v xml:space="preserve"> </v>
      </c>
      <c r="N273" s="100" t="str">
        <f>IFERROR(VLOOKUP(Tablo515[[#This Row],[ÜRÜN KODU]],YMKODLARI!$A$1:$K$363,8,0)," ")</f>
        <v xml:space="preserve"> </v>
      </c>
      <c r="O273" s="100" t="str">
        <f>IFERROR(VLOOKUP(Tablo515[[#This Row],[HAMMADDE KODU]],Tablo1[#All],3,0)," ")</f>
        <v xml:space="preserve"> </v>
      </c>
      <c r="P273" s="100" t="str">
        <f>IFERROR(VLOOKUP(Tablo515[[#This Row],[HAMMADDE KODU]],Tablo1[#All],4,0)," ")</f>
        <v xml:space="preserve"> </v>
      </c>
      <c r="Q273" s="100" t="str">
        <f>IFERROR(VLOOKUP(Tablo515[[#This Row],[ÜRÜN KODU]],YMKODLARI!$A$1:$K$363,5,0)," ")</f>
        <v xml:space="preserve"> </v>
      </c>
      <c r="R273" s="100" t="str">
        <f>IFERROR(VLOOKUP(Tablo515[[#This Row],[ÜRÜN KODU]],YMKODLARI!$A$1:$K$363,6,0)," ")</f>
        <v xml:space="preserve"> </v>
      </c>
      <c r="S273" s="100" t="str">
        <f>IFERROR(Tablo515[[#This Row],[YOLLUK HARİÇ BASKI GRAMI]]/Tablo515[[#This Row],[KALIP GÖZ ADEDİ]]," ")</f>
        <v xml:space="preserve"> </v>
      </c>
      <c r="T273" s="100" t="str">
        <f t="shared" si="34"/>
        <v xml:space="preserve"> </v>
      </c>
      <c r="U273" s="100"/>
      <c r="V273" s="100" t="str">
        <f t="shared" si="33"/>
        <v xml:space="preserve"> </v>
      </c>
      <c r="W273" s="101">
        <f t="shared" si="35"/>
        <v>24</v>
      </c>
      <c r="X273" s="102">
        <f t="shared" si="36"/>
        <v>0</v>
      </c>
      <c r="Y273" s="100" t="str">
        <f t="shared" si="37"/>
        <v xml:space="preserve"> </v>
      </c>
      <c r="Z273" s="100" t="str">
        <f t="shared" si="38"/>
        <v xml:space="preserve"> </v>
      </c>
    </row>
    <row r="274" spans="1:26">
      <c r="A274" s="100"/>
      <c r="B274" s="108" t="str">
        <f>IFERROR(VLOOKUP(Tablo515[[#This Row],[ÜRÜN KODU]],YMKODLARI!$A$1:$K$363,2,0)," ")</f>
        <v xml:space="preserve"> </v>
      </c>
      <c r="C274" s="99"/>
      <c r="D274" s="100"/>
      <c r="E274" s="101"/>
      <c r="F274" s="101"/>
      <c r="G274" s="100" t="str">
        <f>IFERROR(VLOOKUP(Tablo515[[#This Row],[ÜRÜN KODU]],YMKODLARI!$A$1:$K$363,3,0)," ")</f>
        <v xml:space="preserve"> </v>
      </c>
      <c r="H274" s="100" t="str">
        <f>IFERROR(VLOOKUP(Tablo515[[#This Row],[ÜRÜN KODU]],YMKODLARI!$A$1:$K$363,4,0)," ")</f>
        <v xml:space="preserve"> </v>
      </c>
      <c r="I274" s="100"/>
      <c r="J274" s="100" t="str">
        <f>IFERROR(VLOOKUP(Tablo515[[#This Row],[ÜRÜN KODU]],YMKODLARI!$A$1:$K$363,9,0)," ")</f>
        <v xml:space="preserve"> </v>
      </c>
      <c r="K274" s="100" t="str">
        <f>IFERROR(VLOOKUP(Tablo515[[#This Row],[BOYA KODU]],Tablo14[#All],4,0)," ")</f>
        <v xml:space="preserve"> </v>
      </c>
      <c r="L274" s="100" t="str">
        <f>IFERROR(VLOOKUP(Tablo515[[#This Row],[BOYA KODU]],Tablo14[#All],6,0)," ")</f>
        <v xml:space="preserve"> </v>
      </c>
      <c r="M274" s="100" t="str">
        <f t="shared" si="32"/>
        <v xml:space="preserve"> </v>
      </c>
      <c r="N274" s="100" t="str">
        <f>IFERROR(VLOOKUP(Tablo515[[#This Row],[ÜRÜN KODU]],YMKODLARI!$A$1:$K$363,8,0)," ")</f>
        <v xml:space="preserve"> </v>
      </c>
      <c r="O274" s="100" t="str">
        <f>IFERROR(VLOOKUP(Tablo515[[#This Row],[HAMMADDE KODU]],Tablo1[#All],3,0)," ")</f>
        <v xml:space="preserve"> </v>
      </c>
      <c r="P274" s="100" t="str">
        <f>IFERROR(VLOOKUP(Tablo515[[#This Row],[HAMMADDE KODU]],Tablo1[#All],4,0)," ")</f>
        <v xml:space="preserve"> </v>
      </c>
      <c r="Q274" s="100" t="str">
        <f>IFERROR(VLOOKUP(Tablo515[[#This Row],[ÜRÜN KODU]],YMKODLARI!$A$1:$K$363,5,0)," ")</f>
        <v xml:space="preserve"> </v>
      </c>
      <c r="R274" s="100" t="str">
        <f>IFERROR(VLOOKUP(Tablo515[[#This Row],[ÜRÜN KODU]],YMKODLARI!$A$1:$K$363,6,0)," ")</f>
        <v xml:space="preserve"> </v>
      </c>
      <c r="S274" s="100" t="str">
        <f>IFERROR(Tablo515[[#This Row],[YOLLUK HARİÇ BASKI GRAMI]]/Tablo515[[#This Row],[KALIP GÖZ ADEDİ]]," ")</f>
        <v xml:space="preserve"> </v>
      </c>
      <c r="T274" s="100" t="str">
        <f t="shared" si="34"/>
        <v xml:space="preserve"> </v>
      </c>
      <c r="U274" s="100"/>
      <c r="V274" s="100" t="str">
        <f t="shared" si="33"/>
        <v xml:space="preserve"> </v>
      </c>
      <c r="W274" s="101">
        <f t="shared" si="35"/>
        <v>24</v>
      </c>
      <c r="X274" s="102">
        <f t="shared" si="36"/>
        <v>0</v>
      </c>
      <c r="Y274" s="100" t="str">
        <f t="shared" si="37"/>
        <v xml:space="preserve"> </v>
      </c>
      <c r="Z274" s="100" t="str">
        <f t="shared" si="38"/>
        <v xml:space="preserve"> </v>
      </c>
    </row>
    <row r="275" spans="1:26">
      <c r="A275" s="100"/>
      <c r="B275" s="108" t="str">
        <f>IFERROR(VLOOKUP(Tablo515[[#This Row],[ÜRÜN KODU]],YMKODLARI!$A$1:$K$363,2,0)," ")</f>
        <v xml:space="preserve"> </v>
      </c>
      <c r="C275" s="99"/>
      <c r="D275" s="100"/>
      <c r="E275" s="101"/>
      <c r="F275" s="101"/>
      <c r="G275" s="100" t="str">
        <f>IFERROR(VLOOKUP(Tablo515[[#This Row],[ÜRÜN KODU]],YMKODLARI!$A$1:$K$363,3,0)," ")</f>
        <v xml:space="preserve"> </v>
      </c>
      <c r="H275" s="100" t="str">
        <f>IFERROR(VLOOKUP(Tablo515[[#This Row],[ÜRÜN KODU]],YMKODLARI!$A$1:$K$363,4,0)," ")</f>
        <v xml:space="preserve"> </v>
      </c>
      <c r="I275" s="100"/>
      <c r="J275" s="100" t="str">
        <f>IFERROR(VLOOKUP(Tablo515[[#This Row],[ÜRÜN KODU]],YMKODLARI!$A$1:$K$363,9,0)," ")</f>
        <v xml:space="preserve"> </v>
      </c>
      <c r="K275" s="100" t="str">
        <f>IFERROR(VLOOKUP(Tablo515[[#This Row],[BOYA KODU]],Tablo14[#All],4,0)," ")</f>
        <v xml:space="preserve"> </v>
      </c>
      <c r="L275" s="100" t="str">
        <f>IFERROR(VLOOKUP(Tablo515[[#This Row],[BOYA KODU]],Tablo14[#All],6,0)," ")</f>
        <v xml:space="preserve"> </v>
      </c>
      <c r="M275" s="100" t="str">
        <f t="shared" si="32"/>
        <v xml:space="preserve"> </v>
      </c>
      <c r="N275" s="100" t="str">
        <f>IFERROR(VLOOKUP(Tablo515[[#This Row],[ÜRÜN KODU]],YMKODLARI!$A$1:$K$363,8,0)," ")</f>
        <v xml:space="preserve"> </v>
      </c>
      <c r="O275" s="100" t="str">
        <f>IFERROR(VLOOKUP(Tablo515[[#This Row],[HAMMADDE KODU]],Tablo1[#All],3,0)," ")</f>
        <v xml:space="preserve"> </v>
      </c>
      <c r="P275" s="100" t="str">
        <f>IFERROR(VLOOKUP(Tablo515[[#This Row],[HAMMADDE KODU]],Tablo1[#All],4,0)," ")</f>
        <v xml:space="preserve"> </v>
      </c>
      <c r="Q275" s="100" t="str">
        <f>IFERROR(VLOOKUP(Tablo515[[#This Row],[ÜRÜN KODU]],YMKODLARI!$A$1:$K$363,5,0)," ")</f>
        <v xml:space="preserve"> </v>
      </c>
      <c r="R275" s="100" t="str">
        <f>IFERROR(VLOOKUP(Tablo515[[#This Row],[ÜRÜN KODU]],YMKODLARI!$A$1:$K$363,6,0)," ")</f>
        <v xml:space="preserve"> </v>
      </c>
      <c r="S275" s="100" t="str">
        <f>IFERROR(Tablo515[[#This Row],[YOLLUK HARİÇ BASKI GRAMI]]/Tablo515[[#This Row],[KALIP GÖZ ADEDİ]]," ")</f>
        <v xml:space="preserve"> </v>
      </c>
      <c r="T275" s="100" t="str">
        <f t="shared" si="34"/>
        <v xml:space="preserve"> </v>
      </c>
      <c r="U275" s="100"/>
      <c r="V275" s="100" t="str">
        <f t="shared" si="33"/>
        <v xml:space="preserve"> </v>
      </c>
      <c r="W275" s="101">
        <f t="shared" si="35"/>
        <v>24</v>
      </c>
      <c r="X275" s="102">
        <f t="shared" si="36"/>
        <v>0</v>
      </c>
      <c r="Y275" s="100" t="str">
        <f t="shared" si="37"/>
        <v xml:space="preserve"> </v>
      </c>
      <c r="Z275" s="100" t="str">
        <f t="shared" si="38"/>
        <v xml:space="preserve"> </v>
      </c>
    </row>
    <row r="276" spans="1:26">
      <c r="A276" s="100"/>
      <c r="B276" s="108" t="str">
        <f>IFERROR(VLOOKUP(Tablo515[[#This Row],[ÜRÜN KODU]],YMKODLARI!$A$1:$K$363,2,0)," ")</f>
        <v xml:space="preserve"> </v>
      </c>
      <c r="C276" s="99"/>
      <c r="D276" s="100"/>
      <c r="E276" s="101"/>
      <c r="F276" s="101"/>
      <c r="G276" s="100" t="str">
        <f>IFERROR(VLOOKUP(Tablo515[[#This Row],[ÜRÜN KODU]],YMKODLARI!$A$1:$K$363,3,0)," ")</f>
        <v xml:space="preserve"> </v>
      </c>
      <c r="H276" s="100" t="str">
        <f>IFERROR(VLOOKUP(Tablo515[[#This Row],[ÜRÜN KODU]],YMKODLARI!$A$1:$K$363,4,0)," ")</f>
        <v xml:space="preserve"> </v>
      </c>
      <c r="I276" s="100"/>
      <c r="J276" s="100" t="str">
        <f>IFERROR(VLOOKUP(Tablo515[[#This Row],[ÜRÜN KODU]],YMKODLARI!$A$1:$K$363,9,0)," ")</f>
        <v xml:space="preserve"> </v>
      </c>
      <c r="K276" s="100" t="str">
        <f>IFERROR(VLOOKUP(Tablo515[[#This Row],[BOYA KODU]],Tablo14[#All],4,0)," ")</f>
        <v xml:space="preserve"> </v>
      </c>
      <c r="L276" s="100" t="str">
        <f>IFERROR(VLOOKUP(Tablo515[[#This Row],[BOYA KODU]],Tablo14[#All],6,0)," ")</f>
        <v xml:space="preserve"> </v>
      </c>
      <c r="M276" s="100" t="str">
        <f t="shared" si="32"/>
        <v xml:space="preserve"> </v>
      </c>
      <c r="N276" s="100" t="str">
        <f>IFERROR(VLOOKUP(Tablo515[[#This Row],[ÜRÜN KODU]],YMKODLARI!$A$1:$K$363,8,0)," ")</f>
        <v xml:space="preserve"> </v>
      </c>
      <c r="O276" s="100" t="str">
        <f>IFERROR(VLOOKUP(Tablo515[[#This Row],[HAMMADDE KODU]],Tablo1[#All],3,0)," ")</f>
        <v xml:space="preserve"> </v>
      </c>
      <c r="P276" s="100" t="str">
        <f>IFERROR(VLOOKUP(Tablo515[[#This Row],[HAMMADDE KODU]],Tablo1[#All],4,0)," ")</f>
        <v xml:space="preserve"> </v>
      </c>
      <c r="Q276" s="100" t="str">
        <f>IFERROR(VLOOKUP(Tablo515[[#This Row],[ÜRÜN KODU]],YMKODLARI!$A$1:$K$363,5,0)," ")</f>
        <v xml:space="preserve"> </v>
      </c>
      <c r="R276" s="100" t="str">
        <f>IFERROR(VLOOKUP(Tablo515[[#This Row],[ÜRÜN KODU]],YMKODLARI!$A$1:$K$363,6,0)," ")</f>
        <v xml:space="preserve"> </v>
      </c>
      <c r="S276" s="100" t="str">
        <f>IFERROR(Tablo515[[#This Row],[YOLLUK HARİÇ BASKI GRAMI]]/Tablo515[[#This Row],[KALIP GÖZ ADEDİ]]," ")</f>
        <v xml:space="preserve"> </v>
      </c>
      <c r="T276" s="100" t="str">
        <f t="shared" si="34"/>
        <v xml:space="preserve"> </v>
      </c>
      <c r="U276" s="100"/>
      <c r="V276" s="100" t="str">
        <f t="shared" si="33"/>
        <v xml:space="preserve"> </v>
      </c>
      <c r="W276" s="101">
        <f t="shared" si="35"/>
        <v>24</v>
      </c>
      <c r="X276" s="102">
        <f t="shared" si="36"/>
        <v>0</v>
      </c>
      <c r="Y276" s="100" t="str">
        <f t="shared" si="37"/>
        <v xml:space="preserve"> </v>
      </c>
      <c r="Z276" s="100" t="str">
        <f t="shared" si="38"/>
        <v xml:space="preserve"> </v>
      </c>
    </row>
    <row r="277" spans="1:26">
      <c r="A277" s="100"/>
      <c r="B277" s="108" t="str">
        <f>IFERROR(VLOOKUP(Tablo515[[#This Row],[ÜRÜN KODU]],YMKODLARI!$A$1:$K$363,2,0)," ")</f>
        <v xml:space="preserve"> </v>
      </c>
      <c r="C277" s="99"/>
      <c r="D277" s="100"/>
      <c r="E277" s="101"/>
      <c r="F277" s="101"/>
      <c r="G277" s="100" t="str">
        <f>IFERROR(VLOOKUP(Tablo515[[#This Row],[ÜRÜN KODU]],YMKODLARI!$A$1:$K$363,3,0)," ")</f>
        <v xml:space="preserve"> </v>
      </c>
      <c r="H277" s="100" t="str">
        <f>IFERROR(VLOOKUP(Tablo515[[#This Row],[ÜRÜN KODU]],YMKODLARI!$A$1:$K$363,4,0)," ")</f>
        <v xml:space="preserve"> </v>
      </c>
      <c r="I277" s="100"/>
      <c r="J277" s="100" t="str">
        <f>IFERROR(VLOOKUP(Tablo515[[#This Row],[ÜRÜN KODU]],YMKODLARI!$A$1:$K$363,9,0)," ")</f>
        <v xml:space="preserve"> </v>
      </c>
      <c r="K277" s="100" t="str">
        <f>IFERROR(VLOOKUP(Tablo515[[#This Row],[BOYA KODU]],Tablo14[#All],4,0)," ")</f>
        <v xml:space="preserve"> </v>
      </c>
      <c r="L277" s="100" t="str">
        <f>IFERROR(VLOOKUP(Tablo515[[#This Row],[BOYA KODU]],Tablo14[#All],6,0)," ")</f>
        <v xml:space="preserve"> </v>
      </c>
      <c r="M277" s="100" t="str">
        <f t="shared" si="32"/>
        <v xml:space="preserve"> </v>
      </c>
      <c r="N277" s="100" t="str">
        <f>IFERROR(VLOOKUP(Tablo515[[#This Row],[ÜRÜN KODU]],YMKODLARI!$A$1:$K$363,8,0)," ")</f>
        <v xml:space="preserve"> </v>
      </c>
      <c r="O277" s="100" t="str">
        <f>IFERROR(VLOOKUP(Tablo515[[#This Row],[HAMMADDE KODU]],Tablo1[#All],3,0)," ")</f>
        <v xml:space="preserve"> </v>
      </c>
      <c r="P277" s="100" t="str">
        <f>IFERROR(VLOOKUP(Tablo515[[#This Row],[HAMMADDE KODU]],Tablo1[#All],4,0)," ")</f>
        <v xml:space="preserve"> </v>
      </c>
      <c r="Q277" s="100" t="str">
        <f>IFERROR(VLOOKUP(Tablo515[[#This Row],[ÜRÜN KODU]],YMKODLARI!$A$1:$K$363,5,0)," ")</f>
        <v xml:space="preserve"> </v>
      </c>
      <c r="R277" s="100" t="str">
        <f>IFERROR(VLOOKUP(Tablo515[[#This Row],[ÜRÜN KODU]],YMKODLARI!$A$1:$K$363,6,0)," ")</f>
        <v xml:space="preserve"> </v>
      </c>
      <c r="S277" s="100" t="str">
        <f>IFERROR(Tablo515[[#This Row],[YOLLUK HARİÇ BASKI GRAMI]]/Tablo515[[#This Row],[KALIP GÖZ ADEDİ]]," ")</f>
        <v xml:space="preserve"> </v>
      </c>
      <c r="T277" s="100" t="str">
        <f t="shared" si="34"/>
        <v xml:space="preserve"> </v>
      </c>
      <c r="U277" s="100"/>
      <c r="V277" s="100" t="str">
        <f t="shared" si="33"/>
        <v xml:space="preserve"> </v>
      </c>
      <c r="W277" s="101">
        <f t="shared" si="35"/>
        <v>24</v>
      </c>
      <c r="X277" s="102">
        <f t="shared" si="36"/>
        <v>0</v>
      </c>
      <c r="Y277" s="100" t="str">
        <f t="shared" si="37"/>
        <v xml:space="preserve"> </v>
      </c>
      <c r="Z277" s="100" t="str">
        <f t="shared" si="38"/>
        <v xml:space="preserve"> </v>
      </c>
    </row>
    <row r="278" spans="1:26">
      <c r="A278" s="100"/>
      <c r="B278" s="108" t="str">
        <f>IFERROR(VLOOKUP(Tablo515[[#This Row],[ÜRÜN KODU]],YMKODLARI!$A$1:$K$363,2,0)," ")</f>
        <v xml:space="preserve"> </v>
      </c>
      <c r="C278" s="99"/>
      <c r="D278" s="100"/>
      <c r="E278" s="101"/>
      <c r="F278" s="101"/>
      <c r="G278" s="100" t="str">
        <f>IFERROR(VLOOKUP(Tablo515[[#This Row],[ÜRÜN KODU]],YMKODLARI!$A$1:$K$363,3,0)," ")</f>
        <v xml:space="preserve"> </v>
      </c>
      <c r="H278" s="100" t="str">
        <f>IFERROR(VLOOKUP(Tablo515[[#This Row],[ÜRÜN KODU]],YMKODLARI!$A$1:$K$363,4,0)," ")</f>
        <v xml:space="preserve"> </v>
      </c>
      <c r="I278" s="100"/>
      <c r="J278" s="100" t="str">
        <f>IFERROR(VLOOKUP(Tablo515[[#This Row],[ÜRÜN KODU]],YMKODLARI!$A$1:$K$363,9,0)," ")</f>
        <v xml:space="preserve"> </v>
      </c>
      <c r="K278" s="100" t="str">
        <f>IFERROR(VLOOKUP(Tablo515[[#This Row],[BOYA KODU]],Tablo14[#All],4,0)," ")</f>
        <v xml:space="preserve"> </v>
      </c>
      <c r="L278" s="100" t="str">
        <f>IFERROR(VLOOKUP(Tablo515[[#This Row],[BOYA KODU]],Tablo14[#All],6,0)," ")</f>
        <v xml:space="preserve"> </v>
      </c>
      <c r="M278" s="100" t="str">
        <f t="shared" si="32"/>
        <v xml:space="preserve"> </v>
      </c>
      <c r="N278" s="100" t="str">
        <f>IFERROR(VLOOKUP(Tablo515[[#This Row],[ÜRÜN KODU]],YMKODLARI!$A$1:$K$363,8,0)," ")</f>
        <v xml:space="preserve"> </v>
      </c>
      <c r="O278" s="100" t="str">
        <f>IFERROR(VLOOKUP(Tablo515[[#This Row],[HAMMADDE KODU]],Tablo1[#All],3,0)," ")</f>
        <v xml:space="preserve"> </v>
      </c>
      <c r="P278" s="100" t="str">
        <f>IFERROR(VLOOKUP(Tablo515[[#This Row],[HAMMADDE KODU]],Tablo1[#All],4,0)," ")</f>
        <v xml:space="preserve"> </v>
      </c>
      <c r="Q278" s="100" t="str">
        <f>IFERROR(VLOOKUP(Tablo515[[#This Row],[ÜRÜN KODU]],YMKODLARI!$A$1:$K$363,5,0)," ")</f>
        <v xml:space="preserve"> </v>
      </c>
      <c r="R278" s="100" t="str">
        <f>IFERROR(VLOOKUP(Tablo515[[#This Row],[ÜRÜN KODU]],YMKODLARI!$A$1:$K$363,6,0)," ")</f>
        <v xml:space="preserve"> </v>
      </c>
      <c r="S278" s="100" t="str">
        <f>IFERROR(Tablo515[[#This Row],[YOLLUK HARİÇ BASKI GRAMI]]/Tablo515[[#This Row],[KALIP GÖZ ADEDİ]]," ")</f>
        <v xml:space="preserve"> </v>
      </c>
      <c r="T278" s="100" t="str">
        <f t="shared" si="34"/>
        <v xml:space="preserve"> </v>
      </c>
      <c r="U278" s="100"/>
      <c r="V278" s="100" t="str">
        <f t="shared" si="33"/>
        <v xml:space="preserve"> </v>
      </c>
      <c r="W278" s="101">
        <f t="shared" si="35"/>
        <v>24</v>
      </c>
      <c r="X278" s="102">
        <f t="shared" si="36"/>
        <v>0</v>
      </c>
      <c r="Y278" s="100" t="str">
        <f t="shared" si="37"/>
        <v xml:space="preserve"> </v>
      </c>
      <c r="Z278" s="100" t="str">
        <f t="shared" si="38"/>
        <v xml:space="preserve"> </v>
      </c>
    </row>
    <row r="279" spans="1:26">
      <c r="A279" s="100"/>
      <c r="B279" s="108" t="str">
        <f>IFERROR(VLOOKUP(Tablo515[[#This Row],[ÜRÜN KODU]],YMKODLARI!$A$1:$K$363,2,0)," ")</f>
        <v xml:space="preserve"> </v>
      </c>
      <c r="C279" s="99"/>
      <c r="D279" s="100"/>
      <c r="E279" s="101"/>
      <c r="F279" s="101"/>
      <c r="G279" s="100" t="str">
        <f>IFERROR(VLOOKUP(Tablo515[[#This Row],[ÜRÜN KODU]],YMKODLARI!$A$1:$K$363,3,0)," ")</f>
        <v xml:space="preserve"> </v>
      </c>
      <c r="H279" s="100" t="str">
        <f>IFERROR(VLOOKUP(Tablo515[[#This Row],[ÜRÜN KODU]],YMKODLARI!$A$1:$K$363,4,0)," ")</f>
        <v xml:space="preserve"> </v>
      </c>
      <c r="I279" s="100"/>
      <c r="J279" s="100" t="str">
        <f>IFERROR(VLOOKUP(Tablo515[[#This Row],[ÜRÜN KODU]],YMKODLARI!$A$1:$K$363,9,0)," ")</f>
        <v xml:space="preserve"> </v>
      </c>
      <c r="K279" s="100" t="str">
        <f>IFERROR(VLOOKUP(Tablo515[[#This Row],[BOYA KODU]],Tablo14[#All],4,0)," ")</f>
        <v xml:space="preserve"> </v>
      </c>
      <c r="L279" s="100" t="str">
        <f>IFERROR(VLOOKUP(Tablo515[[#This Row],[BOYA KODU]],Tablo14[#All],6,0)," ")</f>
        <v xml:space="preserve"> </v>
      </c>
      <c r="M279" s="100" t="str">
        <f t="shared" si="32"/>
        <v xml:space="preserve"> </v>
      </c>
      <c r="N279" s="100" t="str">
        <f>IFERROR(VLOOKUP(Tablo515[[#This Row],[ÜRÜN KODU]],YMKODLARI!$A$1:$K$363,8,0)," ")</f>
        <v xml:space="preserve"> </v>
      </c>
      <c r="O279" s="100" t="str">
        <f>IFERROR(VLOOKUP(Tablo515[[#This Row],[HAMMADDE KODU]],Tablo1[#All],3,0)," ")</f>
        <v xml:space="preserve"> </v>
      </c>
      <c r="P279" s="100" t="str">
        <f>IFERROR(VLOOKUP(Tablo515[[#This Row],[HAMMADDE KODU]],Tablo1[#All],4,0)," ")</f>
        <v xml:space="preserve"> </v>
      </c>
      <c r="Q279" s="100" t="str">
        <f>IFERROR(VLOOKUP(Tablo515[[#This Row],[ÜRÜN KODU]],YMKODLARI!$A$1:$K$363,5,0)," ")</f>
        <v xml:space="preserve"> </v>
      </c>
      <c r="R279" s="100" t="str">
        <f>IFERROR(VLOOKUP(Tablo515[[#This Row],[ÜRÜN KODU]],YMKODLARI!$A$1:$K$363,6,0)," ")</f>
        <v xml:space="preserve"> </v>
      </c>
      <c r="S279" s="100" t="str">
        <f>IFERROR(Tablo515[[#This Row],[YOLLUK HARİÇ BASKI GRAMI]]/Tablo515[[#This Row],[KALIP GÖZ ADEDİ]]," ")</f>
        <v xml:space="preserve"> </v>
      </c>
      <c r="T279" s="100" t="str">
        <f t="shared" si="34"/>
        <v xml:space="preserve"> </v>
      </c>
      <c r="U279" s="100"/>
      <c r="V279" s="100" t="str">
        <f t="shared" si="33"/>
        <v xml:space="preserve"> </v>
      </c>
      <c r="W279" s="101">
        <f t="shared" si="35"/>
        <v>24</v>
      </c>
      <c r="X279" s="102">
        <f t="shared" si="36"/>
        <v>0</v>
      </c>
      <c r="Y279" s="100" t="str">
        <f t="shared" si="37"/>
        <v xml:space="preserve"> </v>
      </c>
      <c r="Z279" s="100" t="str">
        <f t="shared" si="38"/>
        <v xml:space="preserve"> </v>
      </c>
    </row>
    <row r="280" spans="1:26">
      <c r="A280" s="100"/>
      <c r="B280" s="108" t="str">
        <f>IFERROR(VLOOKUP(Tablo515[[#This Row],[ÜRÜN KODU]],YMKODLARI!$A$1:$K$363,2,0)," ")</f>
        <v xml:space="preserve"> </v>
      </c>
      <c r="C280" s="99"/>
      <c r="D280" s="100"/>
      <c r="E280" s="101"/>
      <c r="F280" s="101"/>
      <c r="G280" s="100" t="str">
        <f>IFERROR(VLOOKUP(Tablo515[[#This Row],[ÜRÜN KODU]],YMKODLARI!$A$1:$K$363,3,0)," ")</f>
        <v xml:space="preserve"> </v>
      </c>
      <c r="H280" s="100" t="str">
        <f>IFERROR(VLOOKUP(Tablo515[[#This Row],[ÜRÜN KODU]],YMKODLARI!$A$1:$K$363,4,0)," ")</f>
        <v xml:space="preserve"> </v>
      </c>
      <c r="I280" s="100"/>
      <c r="J280" s="100" t="str">
        <f>IFERROR(VLOOKUP(Tablo515[[#This Row],[ÜRÜN KODU]],YMKODLARI!$A$1:$K$363,9,0)," ")</f>
        <v xml:space="preserve"> </v>
      </c>
      <c r="K280" s="100" t="str">
        <f>IFERROR(VLOOKUP(Tablo515[[#This Row],[BOYA KODU]],Tablo14[#All],4,0)," ")</f>
        <v xml:space="preserve"> </v>
      </c>
      <c r="L280" s="100" t="str">
        <f>IFERROR(VLOOKUP(Tablo515[[#This Row],[BOYA KODU]],Tablo14[#All],6,0)," ")</f>
        <v xml:space="preserve"> </v>
      </c>
      <c r="M280" s="100" t="str">
        <f t="shared" si="32"/>
        <v xml:space="preserve"> </v>
      </c>
      <c r="N280" s="100" t="str">
        <f>IFERROR(VLOOKUP(Tablo515[[#This Row],[ÜRÜN KODU]],YMKODLARI!$A$1:$K$363,8,0)," ")</f>
        <v xml:space="preserve"> </v>
      </c>
      <c r="O280" s="100" t="str">
        <f>IFERROR(VLOOKUP(Tablo515[[#This Row],[HAMMADDE KODU]],Tablo1[#All],3,0)," ")</f>
        <v xml:space="preserve"> </v>
      </c>
      <c r="P280" s="100" t="str">
        <f>IFERROR(VLOOKUP(Tablo515[[#This Row],[HAMMADDE KODU]],Tablo1[#All],4,0)," ")</f>
        <v xml:space="preserve"> </v>
      </c>
      <c r="Q280" s="100" t="str">
        <f>IFERROR(VLOOKUP(Tablo515[[#This Row],[ÜRÜN KODU]],YMKODLARI!$A$1:$K$363,5,0)," ")</f>
        <v xml:space="preserve"> </v>
      </c>
      <c r="R280" s="100" t="str">
        <f>IFERROR(VLOOKUP(Tablo515[[#This Row],[ÜRÜN KODU]],YMKODLARI!$A$1:$K$363,6,0)," ")</f>
        <v xml:space="preserve"> </v>
      </c>
      <c r="S280" s="100" t="str">
        <f>IFERROR(Tablo515[[#This Row],[YOLLUK HARİÇ BASKI GRAMI]]/Tablo515[[#This Row],[KALIP GÖZ ADEDİ]]," ")</f>
        <v xml:space="preserve"> </v>
      </c>
      <c r="T280" s="100" t="str">
        <f t="shared" si="34"/>
        <v xml:space="preserve"> </v>
      </c>
      <c r="U280" s="100"/>
      <c r="V280" s="100" t="str">
        <f t="shared" si="33"/>
        <v xml:space="preserve"> </v>
      </c>
      <c r="W280" s="101">
        <f t="shared" si="35"/>
        <v>24</v>
      </c>
      <c r="X280" s="102">
        <f t="shared" si="36"/>
        <v>0</v>
      </c>
      <c r="Y280" s="100" t="str">
        <f t="shared" si="37"/>
        <v xml:space="preserve"> </v>
      </c>
      <c r="Z280" s="100" t="str">
        <f t="shared" si="38"/>
        <v xml:space="preserve"> </v>
      </c>
    </row>
    <row r="281" spans="1:26">
      <c r="A281" s="100"/>
      <c r="B281" s="108" t="str">
        <f>IFERROR(VLOOKUP(Tablo515[[#This Row],[ÜRÜN KODU]],YMKODLARI!$A$1:$K$363,2,0)," ")</f>
        <v xml:space="preserve"> </v>
      </c>
      <c r="C281" s="99"/>
      <c r="D281" s="100"/>
      <c r="E281" s="101"/>
      <c r="F281" s="101"/>
      <c r="G281" s="100" t="str">
        <f>IFERROR(VLOOKUP(Tablo515[[#This Row],[ÜRÜN KODU]],YMKODLARI!$A$1:$K$363,3,0)," ")</f>
        <v xml:space="preserve"> </v>
      </c>
      <c r="H281" s="100" t="str">
        <f>IFERROR(VLOOKUP(Tablo515[[#This Row],[ÜRÜN KODU]],YMKODLARI!$A$1:$K$363,4,0)," ")</f>
        <v xml:space="preserve"> </v>
      </c>
      <c r="I281" s="100"/>
      <c r="J281" s="100" t="str">
        <f>IFERROR(VLOOKUP(Tablo515[[#This Row],[ÜRÜN KODU]],YMKODLARI!$A$1:$K$363,9,0)," ")</f>
        <v xml:space="preserve"> </v>
      </c>
      <c r="K281" s="100" t="str">
        <f>IFERROR(VLOOKUP(Tablo515[[#This Row],[BOYA KODU]],Tablo14[#All],4,0)," ")</f>
        <v xml:space="preserve"> </v>
      </c>
      <c r="L281" s="100" t="str">
        <f>IFERROR(VLOOKUP(Tablo515[[#This Row],[BOYA KODU]],Tablo14[#All],6,0)," ")</f>
        <v xml:space="preserve"> </v>
      </c>
      <c r="M281" s="100" t="str">
        <f t="shared" si="32"/>
        <v xml:space="preserve"> </v>
      </c>
      <c r="N281" s="100" t="str">
        <f>IFERROR(VLOOKUP(Tablo515[[#This Row],[ÜRÜN KODU]],YMKODLARI!$A$1:$K$363,8,0)," ")</f>
        <v xml:space="preserve"> </v>
      </c>
      <c r="O281" s="100" t="str">
        <f>IFERROR(VLOOKUP(Tablo515[[#This Row],[HAMMADDE KODU]],Tablo1[#All],3,0)," ")</f>
        <v xml:space="preserve"> </v>
      </c>
      <c r="P281" s="100" t="str">
        <f>IFERROR(VLOOKUP(Tablo515[[#This Row],[HAMMADDE KODU]],Tablo1[#All],4,0)," ")</f>
        <v xml:space="preserve"> </v>
      </c>
      <c r="Q281" s="100" t="str">
        <f>IFERROR(VLOOKUP(Tablo515[[#This Row],[ÜRÜN KODU]],YMKODLARI!$A$1:$K$363,5,0)," ")</f>
        <v xml:space="preserve"> </v>
      </c>
      <c r="R281" s="100" t="str">
        <f>IFERROR(VLOOKUP(Tablo515[[#This Row],[ÜRÜN KODU]],YMKODLARI!$A$1:$K$363,6,0)," ")</f>
        <v xml:space="preserve"> </v>
      </c>
      <c r="S281" s="100" t="str">
        <f>IFERROR(Tablo515[[#This Row],[YOLLUK HARİÇ BASKI GRAMI]]/Tablo515[[#This Row],[KALIP GÖZ ADEDİ]]," ")</f>
        <v xml:space="preserve"> </v>
      </c>
      <c r="T281" s="100" t="str">
        <f t="shared" si="34"/>
        <v xml:space="preserve"> </v>
      </c>
      <c r="U281" s="100"/>
      <c r="V281" s="100" t="str">
        <f t="shared" si="33"/>
        <v xml:space="preserve"> </v>
      </c>
      <c r="W281" s="101">
        <f t="shared" si="35"/>
        <v>24</v>
      </c>
      <c r="X281" s="102">
        <f t="shared" si="36"/>
        <v>0</v>
      </c>
      <c r="Y281" s="100" t="str">
        <f t="shared" si="37"/>
        <v xml:space="preserve"> </v>
      </c>
      <c r="Z281" s="100" t="str">
        <f t="shared" si="38"/>
        <v xml:space="preserve"> </v>
      </c>
    </row>
    <row r="282" spans="1:26">
      <c r="A282" s="100"/>
      <c r="B282" s="108" t="str">
        <f>IFERROR(VLOOKUP(Tablo515[[#This Row],[ÜRÜN KODU]],YMKODLARI!$A$1:$K$363,2,0)," ")</f>
        <v xml:space="preserve"> </v>
      </c>
      <c r="C282" s="99"/>
      <c r="D282" s="100"/>
      <c r="E282" s="101"/>
      <c r="F282" s="101"/>
      <c r="G282" s="100" t="str">
        <f>IFERROR(VLOOKUP(Tablo515[[#This Row],[ÜRÜN KODU]],YMKODLARI!$A$1:$K$363,3,0)," ")</f>
        <v xml:space="preserve"> </v>
      </c>
      <c r="H282" s="100" t="str">
        <f>IFERROR(VLOOKUP(Tablo515[[#This Row],[ÜRÜN KODU]],YMKODLARI!$A$1:$K$363,4,0)," ")</f>
        <v xml:space="preserve"> </v>
      </c>
      <c r="I282" s="100"/>
      <c r="J282" s="100" t="str">
        <f>IFERROR(VLOOKUP(Tablo515[[#This Row],[ÜRÜN KODU]],YMKODLARI!$A$1:$K$363,9,0)," ")</f>
        <v xml:space="preserve"> </v>
      </c>
      <c r="K282" s="100" t="str">
        <f>IFERROR(VLOOKUP(Tablo515[[#This Row],[BOYA KODU]],Tablo14[#All],4,0)," ")</f>
        <v xml:space="preserve"> </v>
      </c>
      <c r="L282" s="100" t="str">
        <f>IFERROR(VLOOKUP(Tablo515[[#This Row],[BOYA KODU]],Tablo14[#All],6,0)," ")</f>
        <v xml:space="preserve"> </v>
      </c>
      <c r="M282" s="100" t="str">
        <f t="shared" si="32"/>
        <v xml:space="preserve"> </v>
      </c>
      <c r="N282" s="100" t="str">
        <f>IFERROR(VLOOKUP(Tablo515[[#This Row],[ÜRÜN KODU]],YMKODLARI!$A$1:$K$363,8,0)," ")</f>
        <v xml:space="preserve"> </v>
      </c>
      <c r="O282" s="100" t="str">
        <f>IFERROR(VLOOKUP(Tablo515[[#This Row],[HAMMADDE KODU]],Tablo1[#All],3,0)," ")</f>
        <v xml:space="preserve"> </v>
      </c>
      <c r="P282" s="100" t="str">
        <f>IFERROR(VLOOKUP(Tablo515[[#This Row],[HAMMADDE KODU]],Tablo1[#All],4,0)," ")</f>
        <v xml:space="preserve"> </v>
      </c>
      <c r="Q282" s="100" t="str">
        <f>IFERROR(VLOOKUP(Tablo515[[#This Row],[ÜRÜN KODU]],YMKODLARI!$A$1:$K$363,5,0)," ")</f>
        <v xml:space="preserve"> </v>
      </c>
      <c r="R282" s="100" t="str">
        <f>IFERROR(VLOOKUP(Tablo515[[#This Row],[ÜRÜN KODU]],YMKODLARI!$A$1:$K$363,6,0)," ")</f>
        <v xml:space="preserve"> </v>
      </c>
      <c r="S282" s="100" t="str">
        <f>IFERROR(Tablo515[[#This Row],[YOLLUK HARİÇ BASKI GRAMI]]/Tablo515[[#This Row],[KALIP GÖZ ADEDİ]]," ")</f>
        <v xml:space="preserve"> </v>
      </c>
      <c r="T282" s="100" t="str">
        <f t="shared" si="34"/>
        <v xml:space="preserve"> </v>
      </c>
      <c r="U282" s="100"/>
      <c r="V282" s="100" t="str">
        <f t="shared" si="33"/>
        <v xml:space="preserve"> </v>
      </c>
      <c r="W282" s="101">
        <f t="shared" si="35"/>
        <v>24</v>
      </c>
      <c r="X282" s="102">
        <f t="shared" si="36"/>
        <v>0</v>
      </c>
      <c r="Y282" s="100" t="str">
        <f t="shared" si="37"/>
        <v xml:space="preserve"> </v>
      </c>
      <c r="Z282" s="100" t="str">
        <f t="shared" si="38"/>
        <v xml:space="preserve"> </v>
      </c>
    </row>
    <row r="283" spans="1:26">
      <c r="A283" s="100"/>
      <c r="B283" s="108" t="str">
        <f>IFERROR(VLOOKUP(Tablo515[[#This Row],[ÜRÜN KODU]],YMKODLARI!$A$1:$K$363,2,0)," ")</f>
        <v xml:space="preserve"> </v>
      </c>
      <c r="C283" s="99"/>
      <c r="D283" s="100"/>
      <c r="E283" s="101"/>
      <c r="F283" s="101"/>
      <c r="G283" s="100" t="str">
        <f>IFERROR(VLOOKUP(Tablo515[[#This Row],[ÜRÜN KODU]],YMKODLARI!$A$1:$K$363,3,0)," ")</f>
        <v xml:space="preserve"> </v>
      </c>
      <c r="H283" s="100" t="str">
        <f>IFERROR(VLOOKUP(Tablo515[[#This Row],[ÜRÜN KODU]],YMKODLARI!$A$1:$K$363,4,0)," ")</f>
        <v xml:space="preserve"> </v>
      </c>
      <c r="I283" s="100"/>
      <c r="J283" s="100" t="str">
        <f>IFERROR(VLOOKUP(Tablo515[[#This Row],[ÜRÜN KODU]],YMKODLARI!$A$1:$K$363,9,0)," ")</f>
        <v xml:space="preserve"> </v>
      </c>
      <c r="K283" s="100" t="str">
        <f>IFERROR(VLOOKUP(Tablo515[[#This Row],[BOYA KODU]],Tablo14[#All],4,0)," ")</f>
        <v xml:space="preserve"> </v>
      </c>
      <c r="L283" s="100" t="str">
        <f>IFERROR(VLOOKUP(Tablo515[[#This Row],[BOYA KODU]],Tablo14[#All],6,0)," ")</f>
        <v xml:space="preserve"> </v>
      </c>
      <c r="M283" s="100" t="str">
        <f t="shared" si="32"/>
        <v xml:space="preserve"> </v>
      </c>
      <c r="N283" s="100" t="str">
        <f>IFERROR(VLOOKUP(Tablo515[[#This Row],[ÜRÜN KODU]],YMKODLARI!$A$1:$K$363,8,0)," ")</f>
        <v xml:space="preserve"> </v>
      </c>
      <c r="O283" s="100" t="str">
        <f>IFERROR(VLOOKUP(Tablo515[[#This Row],[HAMMADDE KODU]],Tablo1[#All],3,0)," ")</f>
        <v xml:space="preserve"> </v>
      </c>
      <c r="P283" s="100" t="str">
        <f>IFERROR(VLOOKUP(Tablo515[[#This Row],[HAMMADDE KODU]],Tablo1[#All],4,0)," ")</f>
        <v xml:space="preserve"> </v>
      </c>
      <c r="Q283" s="100" t="str">
        <f>IFERROR(VLOOKUP(Tablo515[[#This Row],[ÜRÜN KODU]],YMKODLARI!$A$1:$K$363,5,0)," ")</f>
        <v xml:space="preserve"> </v>
      </c>
      <c r="R283" s="100" t="str">
        <f>IFERROR(VLOOKUP(Tablo515[[#This Row],[ÜRÜN KODU]],YMKODLARI!$A$1:$K$363,6,0)," ")</f>
        <v xml:space="preserve"> </v>
      </c>
      <c r="S283" s="100" t="str">
        <f>IFERROR(Tablo515[[#This Row],[YOLLUK HARİÇ BASKI GRAMI]]/Tablo515[[#This Row],[KALIP GÖZ ADEDİ]]," ")</f>
        <v xml:space="preserve"> </v>
      </c>
      <c r="T283" s="100" t="str">
        <f t="shared" si="34"/>
        <v xml:space="preserve"> </v>
      </c>
      <c r="U283" s="100"/>
      <c r="V283" s="100" t="str">
        <f t="shared" si="33"/>
        <v xml:space="preserve"> </v>
      </c>
      <c r="W283" s="101">
        <f t="shared" si="35"/>
        <v>24</v>
      </c>
      <c r="X283" s="102">
        <f t="shared" si="36"/>
        <v>0</v>
      </c>
      <c r="Y283" s="100" t="str">
        <f t="shared" si="37"/>
        <v xml:space="preserve"> </v>
      </c>
      <c r="Z283" s="100" t="str">
        <f t="shared" si="38"/>
        <v xml:space="preserve"> </v>
      </c>
    </row>
    <row r="284" spans="1:26">
      <c r="A284" s="100"/>
      <c r="B284" s="108" t="str">
        <f>IFERROR(VLOOKUP(Tablo515[[#This Row],[ÜRÜN KODU]],YMKODLARI!$A$1:$K$363,2,0)," ")</f>
        <v xml:space="preserve"> </v>
      </c>
      <c r="C284" s="99"/>
      <c r="D284" s="100"/>
      <c r="E284" s="101"/>
      <c r="F284" s="101"/>
      <c r="G284" s="100" t="str">
        <f>IFERROR(VLOOKUP(Tablo515[[#This Row],[ÜRÜN KODU]],YMKODLARI!$A$1:$K$363,3,0)," ")</f>
        <v xml:space="preserve"> </v>
      </c>
      <c r="H284" s="100" t="str">
        <f>IFERROR(VLOOKUP(Tablo515[[#This Row],[ÜRÜN KODU]],YMKODLARI!$A$1:$K$363,4,0)," ")</f>
        <v xml:space="preserve"> </v>
      </c>
      <c r="I284" s="100"/>
      <c r="J284" s="100" t="str">
        <f>IFERROR(VLOOKUP(Tablo515[[#This Row],[ÜRÜN KODU]],YMKODLARI!$A$1:$K$363,9,0)," ")</f>
        <v xml:space="preserve"> </v>
      </c>
      <c r="K284" s="100" t="str">
        <f>IFERROR(VLOOKUP(Tablo515[[#This Row],[BOYA KODU]],Tablo14[#All],4,0)," ")</f>
        <v xml:space="preserve"> </v>
      </c>
      <c r="L284" s="100" t="str">
        <f>IFERROR(VLOOKUP(Tablo515[[#This Row],[BOYA KODU]],Tablo14[#All],6,0)," ")</f>
        <v xml:space="preserve"> </v>
      </c>
      <c r="M284" s="100" t="str">
        <f t="shared" si="32"/>
        <v xml:space="preserve"> </v>
      </c>
      <c r="N284" s="100" t="str">
        <f>IFERROR(VLOOKUP(Tablo515[[#This Row],[ÜRÜN KODU]],YMKODLARI!$A$1:$K$363,8,0)," ")</f>
        <v xml:space="preserve"> </v>
      </c>
      <c r="O284" s="100" t="str">
        <f>IFERROR(VLOOKUP(Tablo515[[#This Row],[HAMMADDE KODU]],Tablo1[#All],3,0)," ")</f>
        <v xml:space="preserve"> </v>
      </c>
      <c r="P284" s="100" t="str">
        <f>IFERROR(VLOOKUP(Tablo515[[#This Row],[HAMMADDE KODU]],Tablo1[#All],4,0)," ")</f>
        <v xml:space="preserve"> </v>
      </c>
      <c r="Q284" s="100" t="str">
        <f>IFERROR(VLOOKUP(Tablo515[[#This Row],[ÜRÜN KODU]],YMKODLARI!$A$1:$K$363,5,0)," ")</f>
        <v xml:space="preserve"> </v>
      </c>
      <c r="R284" s="100" t="str">
        <f>IFERROR(VLOOKUP(Tablo515[[#This Row],[ÜRÜN KODU]],YMKODLARI!$A$1:$K$363,6,0)," ")</f>
        <v xml:space="preserve"> </v>
      </c>
      <c r="S284" s="100" t="str">
        <f>IFERROR(Tablo515[[#This Row],[YOLLUK HARİÇ BASKI GRAMI]]/Tablo515[[#This Row],[KALIP GÖZ ADEDİ]]," ")</f>
        <v xml:space="preserve"> </v>
      </c>
      <c r="T284" s="100" t="str">
        <f t="shared" si="34"/>
        <v xml:space="preserve"> </v>
      </c>
      <c r="U284" s="100"/>
      <c r="V284" s="100" t="str">
        <f t="shared" si="33"/>
        <v xml:space="preserve"> </v>
      </c>
      <c r="W284" s="101">
        <f t="shared" si="35"/>
        <v>24</v>
      </c>
      <c r="X284" s="102">
        <f t="shared" si="36"/>
        <v>0</v>
      </c>
      <c r="Y284" s="100" t="str">
        <f t="shared" si="37"/>
        <v xml:space="preserve"> </v>
      </c>
      <c r="Z284" s="100" t="str">
        <f t="shared" si="38"/>
        <v xml:space="preserve"> </v>
      </c>
    </row>
    <row r="285" spans="1:26">
      <c r="A285" s="100"/>
      <c r="B285" s="108" t="str">
        <f>IFERROR(VLOOKUP(Tablo515[[#This Row],[ÜRÜN KODU]],YMKODLARI!$A$1:$K$363,2,0)," ")</f>
        <v xml:space="preserve"> </v>
      </c>
      <c r="C285" s="99"/>
      <c r="D285" s="100"/>
      <c r="E285" s="101"/>
      <c r="F285" s="101"/>
      <c r="G285" s="100" t="str">
        <f>IFERROR(VLOOKUP(Tablo515[[#This Row],[ÜRÜN KODU]],YMKODLARI!$A$1:$K$363,3,0)," ")</f>
        <v xml:space="preserve"> </v>
      </c>
      <c r="H285" s="100" t="str">
        <f>IFERROR(VLOOKUP(Tablo515[[#This Row],[ÜRÜN KODU]],YMKODLARI!$A$1:$K$363,4,0)," ")</f>
        <v xml:space="preserve"> </v>
      </c>
      <c r="I285" s="100"/>
      <c r="J285" s="100" t="str">
        <f>IFERROR(VLOOKUP(Tablo515[[#This Row],[ÜRÜN KODU]],YMKODLARI!$A$1:$K$363,9,0)," ")</f>
        <v xml:space="preserve"> </v>
      </c>
      <c r="K285" s="100" t="str">
        <f>IFERROR(VLOOKUP(Tablo515[[#This Row],[BOYA KODU]],Tablo14[#All],4,0)," ")</f>
        <v xml:space="preserve"> </v>
      </c>
      <c r="L285" s="100" t="str">
        <f>IFERROR(VLOOKUP(Tablo515[[#This Row],[BOYA KODU]],Tablo14[#All],6,0)," ")</f>
        <v xml:space="preserve"> </v>
      </c>
      <c r="M285" s="100" t="str">
        <f t="shared" si="32"/>
        <v xml:space="preserve"> </v>
      </c>
      <c r="N285" s="100" t="str">
        <f>IFERROR(VLOOKUP(Tablo515[[#This Row],[ÜRÜN KODU]],YMKODLARI!$A$1:$K$363,8,0)," ")</f>
        <v xml:space="preserve"> </v>
      </c>
      <c r="O285" s="100" t="str">
        <f>IFERROR(VLOOKUP(Tablo515[[#This Row],[HAMMADDE KODU]],Tablo1[#All],3,0)," ")</f>
        <v xml:space="preserve"> </v>
      </c>
      <c r="P285" s="100" t="str">
        <f>IFERROR(VLOOKUP(Tablo515[[#This Row],[HAMMADDE KODU]],Tablo1[#All],4,0)," ")</f>
        <v xml:space="preserve"> </v>
      </c>
      <c r="Q285" s="100" t="str">
        <f>IFERROR(VLOOKUP(Tablo515[[#This Row],[ÜRÜN KODU]],YMKODLARI!$A$1:$K$363,5,0)," ")</f>
        <v xml:space="preserve"> </v>
      </c>
      <c r="R285" s="100" t="str">
        <f>IFERROR(VLOOKUP(Tablo515[[#This Row],[ÜRÜN KODU]],YMKODLARI!$A$1:$K$363,6,0)," ")</f>
        <v xml:space="preserve"> </v>
      </c>
      <c r="S285" s="100" t="str">
        <f>IFERROR(Tablo515[[#This Row],[YOLLUK HARİÇ BASKI GRAMI]]/Tablo515[[#This Row],[KALIP GÖZ ADEDİ]]," ")</f>
        <v xml:space="preserve"> </v>
      </c>
      <c r="T285" s="100" t="str">
        <f t="shared" si="34"/>
        <v xml:space="preserve"> </v>
      </c>
      <c r="U285" s="100"/>
      <c r="V285" s="100" t="str">
        <f t="shared" si="33"/>
        <v xml:space="preserve"> </v>
      </c>
      <c r="W285" s="101">
        <f t="shared" si="35"/>
        <v>24</v>
      </c>
      <c r="X285" s="102">
        <f t="shared" si="36"/>
        <v>0</v>
      </c>
      <c r="Y285" s="100" t="str">
        <f t="shared" si="37"/>
        <v xml:space="preserve"> </v>
      </c>
      <c r="Z285" s="100" t="str">
        <f t="shared" si="38"/>
        <v xml:space="preserve"> </v>
      </c>
    </row>
    <row r="286" spans="1:26">
      <c r="A286" s="100"/>
      <c r="B286" s="108" t="str">
        <f>IFERROR(VLOOKUP(Tablo515[[#This Row],[ÜRÜN KODU]],YMKODLARI!$A$1:$K$363,2,0)," ")</f>
        <v xml:space="preserve"> </v>
      </c>
      <c r="C286" s="99"/>
      <c r="D286" s="100"/>
      <c r="E286" s="101"/>
      <c r="F286" s="101"/>
      <c r="G286" s="100" t="str">
        <f>IFERROR(VLOOKUP(Tablo515[[#This Row],[ÜRÜN KODU]],YMKODLARI!$A$1:$K$363,3,0)," ")</f>
        <v xml:space="preserve"> </v>
      </c>
      <c r="H286" s="100" t="str">
        <f>IFERROR(VLOOKUP(Tablo515[[#This Row],[ÜRÜN KODU]],YMKODLARI!$A$1:$K$363,4,0)," ")</f>
        <v xml:space="preserve"> </v>
      </c>
      <c r="I286" s="100"/>
      <c r="J286" s="100" t="str">
        <f>IFERROR(VLOOKUP(Tablo515[[#This Row],[ÜRÜN KODU]],YMKODLARI!$A$1:$K$363,9,0)," ")</f>
        <v xml:space="preserve"> </v>
      </c>
      <c r="K286" s="100" t="str">
        <f>IFERROR(VLOOKUP(Tablo515[[#This Row],[BOYA KODU]],Tablo14[#All],4,0)," ")</f>
        <v xml:space="preserve"> </v>
      </c>
      <c r="L286" s="100" t="str">
        <f>IFERROR(VLOOKUP(Tablo515[[#This Row],[BOYA KODU]],Tablo14[#All],6,0)," ")</f>
        <v xml:space="preserve"> </v>
      </c>
      <c r="M286" s="100" t="str">
        <f t="shared" si="32"/>
        <v xml:space="preserve"> </v>
      </c>
      <c r="N286" s="100" t="str">
        <f>IFERROR(VLOOKUP(Tablo515[[#This Row],[ÜRÜN KODU]],YMKODLARI!$A$1:$K$363,8,0)," ")</f>
        <v xml:space="preserve"> </v>
      </c>
      <c r="O286" s="100" t="str">
        <f>IFERROR(VLOOKUP(Tablo515[[#This Row],[HAMMADDE KODU]],Tablo1[#All],3,0)," ")</f>
        <v xml:space="preserve"> </v>
      </c>
      <c r="P286" s="100" t="str">
        <f>IFERROR(VLOOKUP(Tablo515[[#This Row],[HAMMADDE KODU]],Tablo1[#All],4,0)," ")</f>
        <v xml:space="preserve"> </v>
      </c>
      <c r="Q286" s="100" t="str">
        <f>IFERROR(VLOOKUP(Tablo515[[#This Row],[ÜRÜN KODU]],YMKODLARI!$A$1:$K$363,5,0)," ")</f>
        <v xml:space="preserve"> </v>
      </c>
      <c r="R286" s="100" t="str">
        <f>IFERROR(VLOOKUP(Tablo515[[#This Row],[ÜRÜN KODU]],YMKODLARI!$A$1:$K$363,6,0)," ")</f>
        <v xml:space="preserve"> </v>
      </c>
      <c r="S286" s="100" t="str">
        <f>IFERROR(Tablo515[[#This Row],[YOLLUK HARİÇ BASKI GRAMI]]/Tablo515[[#This Row],[KALIP GÖZ ADEDİ]]," ")</f>
        <v xml:space="preserve"> </v>
      </c>
      <c r="T286" s="100" t="str">
        <f t="shared" si="34"/>
        <v xml:space="preserve"> </v>
      </c>
      <c r="U286" s="100"/>
      <c r="V286" s="100" t="str">
        <f t="shared" si="33"/>
        <v xml:space="preserve"> </v>
      </c>
      <c r="W286" s="101">
        <f t="shared" si="35"/>
        <v>24</v>
      </c>
      <c r="X286" s="102">
        <f t="shared" si="36"/>
        <v>0</v>
      </c>
      <c r="Y286" s="100" t="str">
        <f t="shared" si="37"/>
        <v xml:space="preserve"> </v>
      </c>
      <c r="Z286" s="100" t="str">
        <f t="shared" si="38"/>
        <v xml:space="preserve"> </v>
      </c>
    </row>
    <row r="287" spans="1:26">
      <c r="A287" s="100"/>
      <c r="B287" s="108" t="str">
        <f>IFERROR(VLOOKUP(Tablo515[[#This Row],[ÜRÜN KODU]],YMKODLARI!$A$1:$K$363,2,0)," ")</f>
        <v xml:space="preserve"> </v>
      </c>
      <c r="C287" s="99"/>
      <c r="D287" s="100"/>
      <c r="E287" s="101"/>
      <c r="F287" s="101"/>
      <c r="G287" s="100" t="str">
        <f>IFERROR(VLOOKUP(Tablo515[[#This Row],[ÜRÜN KODU]],YMKODLARI!$A$1:$K$363,3,0)," ")</f>
        <v xml:space="preserve"> </v>
      </c>
      <c r="H287" s="100" t="str">
        <f>IFERROR(VLOOKUP(Tablo515[[#This Row],[ÜRÜN KODU]],YMKODLARI!$A$1:$K$363,4,0)," ")</f>
        <v xml:space="preserve"> </v>
      </c>
      <c r="I287" s="100"/>
      <c r="J287" s="100" t="str">
        <f>IFERROR(VLOOKUP(Tablo515[[#This Row],[ÜRÜN KODU]],YMKODLARI!$A$1:$K$363,9,0)," ")</f>
        <v xml:space="preserve"> </v>
      </c>
      <c r="K287" s="100" t="str">
        <f>IFERROR(VLOOKUP(Tablo515[[#This Row],[BOYA KODU]],Tablo14[#All],4,0)," ")</f>
        <v xml:space="preserve"> </v>
      </c>
      <c r="L287" s="100" t="str">
        <f>IFERROR(VLOOKUP(Tablo515[[#This Row],[BOYA KODU]],Tablo14[#All],6,0)," ")</f>
        <v xml:space="preserve"> </v>
      </c>
      <c r="M287" s="100" t="str">
        <f t="shared" si="32"/>
        <v xml:space="preserve"> </v>
      </c>
      <c r="N287" s="100" t="str">
        <f>IFERROR(VLOOKUP(Tablo515[[#This Row],[ÜRÜN KODU]],YMKODLARI!$A$1:$K$363,8,0)," ")</f>
        <v xml:space="preserve"> </v>
      </c>
      <c r="O287" s="100" t="str">
        <f>IFERROR(VLOOKUP(Tablo515[[#This Row],[HAMMADDE KODU]],Tablo1[#All],3,0)," ")</f>
        <v xml:space="preserve"> </v>
      </c>
      <c r="P287" s="100" t="str">
        <f>IFERROR(VLOOKUP(Tablo515[[#This Row],[HAMMADDE KODU]],Tablo1[#All],4,0)," ")</f>
        <v xml:space="preserve"> </v>
      </c>
      <c r="Q287" s="100" t="str">
        <f>IFERROR(VLOOKUP(Tablo515[[#This Row],[ÜRÜN KODU]],YMKODLARI!$A$1:$K$363,5,0)," ")</f>
        <v xml:space="preserve"> </v>
      </c>
      <c r="R287" s="100" t="str">
        <f>IFERROR(VLOOKUP(Tablo515[[#This Row],[ÜRÜN KODU]],YMKODLARI!$A$1:$K$363,6,0)," ")</f>
        <v xml:space="preserve"> </v>
      </c>
      <c r="S287" s="100" t="str">
        <f>IFERROR(Tablo515[[#This Row],[YOLLUK HARİÇ BASKI GRAMI]]/Tablo515[[#This Row],[KALIP GÖZ ADEDİ]]," ")</f>
        <v xml:space="preserve"> </v>
      </c>
      <c r="T287" s="100" t="str">
        <f t="shared" si="34"/>
        <v xml:space="preserve"> </v>
      </c>
      <c r="U287" s="100"/>
      <c r="V287" s="100" t="str">
        <f t="shared" si="33"/>
        <v xml:space="preserve"> </v>
      </c>
      <c r="W287" s="101">
        <f t="shared" si="35"/>
        <v>24</v>
      </c>
      <c r="X287" s="102">
        <f t="shared" si="36"/>
        <v>0</v>
      </c>
      <c r="Y287" s="100" t="str">
        <f t="shared" si="37"/>
        <v xml:space="preserve"> </v>
      </c>
      <c r="Z287" s="100" t="str">
        <f t="shared" si="38"/>
        <v xml:space="preserve"> </v>
      </c>
    </row>
    <row r="288" spans="1:26">
      <c r="A288" s="100"/>
      <c r="B288" s="108" t="str">
        <f>IFERROR(VLOOKUP(Tablo515[[#This Row],[ÜRÜN KODU]],YMKODLARI!$A$1:$K$363,2,0)," ")</f>
        <v xml:space="preserve"> </v>
      </c>
      <c r="C288" s="99"/>
      <c r="D288" s="100"/>
      <c r="E288" s="101"/>
      <c r="F288" s="101"/>
      <c r="G288" s="100" t="str">
        <f>IFERROR(VLOOKUP(Tablo515[[#This Row],[ÜRÜN KODU]],YMKODLARI!$A$1:$K$363,3,0)," ")</f>
        <v xml:space="preserve"> </v>
      </c>
      <c r="H288" s="100" t="str">
        <f>IFERROR(VLOOKUP(Tablo515[[#This Row],[ÜRÜN KODU]],YMKODLARI!$A$1:$K$363,4,0)," ")</f>
        <v xml:space="preserve"> </v>
      </c>
      <c r="I288" s="100"/>
      <c r="J288" s="100" t="str">
        <f>IFERROR(VLOOKUP(Tablo515[[#This Row],[ÜRÜN KODU]],YMKODLARI!$A$1:$K$363,9,0)," ")</f>
        <v xml:space="preserve"> </v>
      </c>
      <c r="K288" s="100" t="str">
        <f>IFERROR(VLOOKUP(Tablo515[[#This Row],[BOYA KODU]],Tablo14[#All],4,0)," ")</f>
        <v xml:space="preserve"> </v>
      </c>
      <c r="L288" s="100" t="str">
        <f>IFERROR(VLOOKUP(Tablo515[[#This Row],[BOYA KODU]],Tablo14[#All],6,0)," ")</f>
        <v xml:space="preserve"> </v>
      </c>
      <c r="M288" s="100" t="str">
        <f t="shared" si="32"/>
        <v xml:space="preserve"> </v>
      </c>
      <c r="N288" s="100" t="str">
        <f>IFERROR(VLOOKUP(Tablo515[[#This Row],[ÜRÜN KODU]],YMKODLARI!$A$1:$K$363,8,0)," ")</f>
        <v xml:space="preserve"> </v>
      </c>
      <c r="O288" s="100" t="str">
        <f>IFERROR(VLOOKUP(Tablo515[[#This Row],[HAMMADDE KODU]],Tablo1[#All],3,0)," ")</f>
        <v xml:space="preserve"> </v>
      </c>
      <c r="P288" s="100" t="str">
        <f>IFERROR(VLOOKUP(Tablo515[[#This Row],[HAMMADDE KODU]],Tablo1[#All],4,0)," ")</f>
        <v xml:space="preserve"> </v>
      </c>
      <c r="Q288" s="100" t="str">
        <f>IFERROR(VLOOKUP(Tablo515[[#This Row],[ÜRÜN KODU]],YMKODLARI!$A$1:$K$363,5,0)," ")</f>
        <v xml:space="preserve"> </v>
      </c>
      <c r="R288" s="100" t="str">
        <f>IFERROR(VLOOKUP(Tablo515[[#This Row],[ÜRÜN KODU]],YMKODLARI!$A$1:$K$363,6,0)," ")</f>
        <v xml:space="preserve"> </v>
      </c>
      <c r="S288" s="100" t="str">
        <f>IFERROR(Tablo515[[#This Row],[YOLLUK HARİÇ BASKI GRAMI]]/Tablo515[[#This Row],[KALIP GÖZ ADEDİ]]," ")</f>
        <v xml:space="preserve"> </v>
      </c>
      <c r="T288" s="100" t="str">
        <f t="shared" si="34"/>
        <v xml:space="preserve"> </v>
      </c>
      <c r="U288" s="100"/>
      <c r="V288" s="100" t="str">
        <f t="shared" si="33"/>
        <v xml:space="preserve"> </v>
      </c>
      <c r="W288" s="101">
        <f t="shared" si="35"/>
        <v>24</v>
      </c>
      <c r="X288" s="102">
        <f t="shared" si="36"/>
        <v>0</v>
      </c>
      <c r="Y288" s="100" t="str">
        <f t="shared" si="37"/>
        <v xml:space="preserve"> </v>
      </c>
      <c r="Z288" s="100" t="str">
        <f t="shared" si="38"/>
        <v xml:space="preserve"> </v>
      </c>
    </row>
    <row r="289" spans="1:26">
      <c r="A289" s="100"/>
      <c r="B289" s="108" t="str">
        <f>IFERROR(VLOOKUP(Tablo515[[#This Row],[ÜRÜN KODU]],YMKODLARI!$A$1:$K$363,2,0)," ")</f>
        <v xml:space="preserve"> </v>
      </c>
      <c r="C289" s="99"/>
      <c r="D289" s="100"/>
      <c r="E289" s="101"/>
      <c r="F289" s="101"/>
      <c r="G289" s="100" t="str">
        <f>IFERROR(VLOOKUP(Tablo515[[#This Row],[ÜRÜN KODU]],YMKODLARI!$A$1:$K$363,3,0)," ")</f>
        <v xml:space="preserve"> </v>
      </c>
      <c r="H289" s="100" t="str">
        <f>IFERROR(VLOOKUP(Tablo515[[#This Row],[ÜRÜN KODU]],YMKODLARI!$A$1:$K$363,4,0)," ")</f>
        <v xml:space="preserve"> </v>
      </c>
      <c r="I289" s="100"/>
      <c r="J289" s="100" t="str">
        <f>IFERROR(VLOOKUP(Tablo515[[#This Row],[ÜRÜN KODU]],YMKODLARI!$A$1:$K$363,9,0)," ")</f>
        <v xml:space="preserve"> </v>
      </c>
      <c r="K289" s="100" t="str">
        <f>IFERROR(VLOOKUP(Tablo515[[#This Row],[BOYA KODU]],Tablo14[#All],4,0)," ")</f>
        <v xml:space="preserve"> </v>
      </c>
      <c r="L289" s="100" t="str">
        <f>IFERROR(VLOOKUP(Tablo515[[#This Row],[BOYA KODU]],Tablo14[#All],6,0)," ")</f>
        <v xml:space="preserve"> </v>
      </c>
      <c r="M289" s="100" t="str">
        <f t="shared" si="32"/>
        <v xml:space="preserve"> </v>
      </c>
      <c r="N289" s="100" t="str">
        <f>IFERROR(VLOOKUP(Tablo515[[#This Row],[ÜRÜN KODU]],YMKODLARI!$A$1:$K$363,8,0)," ")</f>
        <v xml:space="preserve"> </v>
      </c>
      <c r="O289" s="100" t="str">
        <f>IFERROR(VLOOKUP(Tablo515[[#This Row],[HAMMADDE KODU]],Tablo1[#All],3,0)," ")</f>
        <v xml:space="preserve"> </v>
      </c>
      <c r="P289" s="100" t="str">
        <f>IFERROR(VLOOKUP(Tablo515[[#This Row],[HAMMADDE KODU]],Tablo1[#All],4,0)," ")</f>
        <v xml:space="preserve"> </v>
      </c>
      <c r="Q289" s="100" t="str">
        <f>IFERROR(VLOOKUP(Tablo515[[#This Row],[ÜRÜN KODU]],YMKODLARI!$A$1:$K$363,5,0)," ")</f>
        <v xml:space="preserve"> </v>
      </c>
      <c r="R289" s="100" t="str">
        <f>IFERROR(VLOOKUP(Tablo515[[#This Row],[ÜRÜN KODU]],YMKODLARI!$A$1:$K$363,6,0)," ")</f>
        <v xml:space="preserve"> </v>
      </c>
      <c r="S289" s="100" t="str">
        <f>IFERROR(Tablo515[[#This Row],[YOLLUK HARİÇ BASKI GRAMI]]/Tablo515[[#This Row],[KALIP GÖZ ADEDİ]]," ")</f>
        <v xml:space="preserve"> </v>
      </c>
      <c r="T289" s="100" t="str">
        <f t="shared" si="34"/>
        <v xml:space="preserve"> </v>
      </c>
      <c r="U289" s="100"/>
      <c r="V289" s="100" t="str">
        <f t="shared" si="33"/>
        <v xml:space="preserve"> </v>
      </c>
      <c r="W289" s="101">
        <f t="shared" si="35"/>
        <v>24</v>
      </c>
      <c r="X289" s="102">
        <f t="shared" si="36"/>
        <v>0</v>
      </c>
      <c r="Y289" s="100" t="str">
        <f t="shared" si="37"/>
        <v xml:space="preserve"> </v>
      </c>
      <c r="Z289" s="100" t="str">
        <f t="shared" si="38"/>
        <v xml:space="preserve"> </v>
      </c>
    </row>
    <row r="290" spans="1:26">
      <c r="A290" s="100"/>
      <c r="B290" s="108" t="str">
        <f>IFERROR(VLOOKUP(Tablo515[[#This Row],[ÜRÜN KODU]],YMKODLARI!$A$1:$K$363,2,0)," ")</f>
        <v xml:space="preserve"> </v>
      </c>
      <c r="C290" s="99"/>
      <c r="D290" s="100"/>
      <c r="E290" s="101"/>
      <c r="F290" s="101"/>
      <c r="G290" s="100" t="str">
        <f>IFERROR(VLOOKUP(Tablo515[[#This Row],[ÜRÜN KODU]],YMKODLARI!$A$1:$K$363,3,0)," ")</f>
        <v xml:space="preserve"> </v>
      </c>
      <c r="H290" s="100" t="str">
        <f>IFERROR(VLOOKUP(Tablo515[[#This Row],[ÜRÜN KODU]],YMKODLARI!$A$1:$K$363,4,0)," ")</f>
        <v xml:space="preserve"> </v>
      </c>
      <c r="I290" s="100"/>
      <c r="J290" s="100" t="str">
        <f>IFERROR(VLOOKUP(Tablo515[[#This Row],[ÜRÜN KODU]],YMKODLARI!$A$1:$K$363,9,0)," ")</f>
        <v xml:space="preserve"> </v>
      </c>
      <c r="K290" s="100" t="str">
        <f>IFERROR(VLOOKUP(Tablo515[[#This Row],[BOYA KODU]],Tablo14[#All],4,0)," ")</f>
        <v xml:space="preserve"> </v>
      </c>
      <c r="L290" s="100" t="str">
        <f>IFERROR(VLOOKUP(Tablo515[[#This Row],[BOYA KODU]],Tablo14[#All],6,0)," ")</f>
        <v xml:space="preserve"> </v>
      </c>
      <c r="M290" s="100" t="str">
        <f t="shared" si="32"/>
        <v xml:space="preserve"> </v>
      </c>
      <c r="N290" s="100" t="str">
        <f>IFERROR(VLOOKUP(Tablo515[[#This Row],[ÜRÜN KODU]],YMKODLARI!$A$1:$K$363,8,0)," ")</f>
        <v xml:space="preserve"> </v>
      </c>
      <c r="O290" s="100" t="str">
        <f>IFERROR(VLOOKUP(Tablo515[[#This Row],[HAMMADDE KODU]],Tablo1[#All],3,0)," ")</f>
        <v xml:space="preserve"> </v>
      </c>
      <c r="P290" s="100" t="str">
        <f>IFERROR(VLOOKUP(Tablo515[[#This Row],[HAMMADDE KODU]],Tablo1[#All],4,0)," ")</f>
        <v xml:space="preserve"> </v>
      </c>
      <c r="Q290" s="100" t="str">
        <f>IFERROR(VLOOKUP(Tablo515[[#This Row],[ÜRÜN KODU]],YMKODLARI!$A$1:$K$363,5,0)," ")</f>
        <v xml:space="preserve"> </v>
      </c>
      <c r="R290" s="100" t="str">
        <f>IFERROR(VLOOKUP(Tablo515[[#This Row],[ÜRÜN KODU]],YMKODLARI!$A$1:$K$363,6,0)," ")</f>
        <v xml:space="preserve"> </v>
      </c>
      <c r="S290" s="100" t="str">
        <f>IFERROR(Tablo515[[#This Row],[YOLLUK HARİÇ BASKI GRAMI]]/Tablo515[[#This Row],[KALIP GÖZ ADEDİ]]," ")</f>
        <v xml:space="preserve"> </v>
      </c>
      <c r="T290" s="100" t="str">
        <f t="shared" si="34"/>
        <v xml:space="preserve"> </v>
      </c>
      <c r="U290" s="100"/>
      <c r="V290" s="100" t="str">
        <f t="shared" si="33"/>
        <v xml:space="preserve"> </v>
      </c>
      <c r="W290" s="101">
        <f t="shared" si="35"/>
        <v>24</v>
      </c>
      <c r="X290" s="102">
        <f t="shared" si="36"/>
        <v>0</v>
      </c>
      <c r="Y290" s="100" t="str">
        <f t="shared" si="37"/>
        <v xml:space="preserve"> </v>
      </c>
      <c r="Z290" s="100" t="str">
        <f t="shared" si="38"/>
        <v xml:space="preserve"> </v>
      </c>
    </row>
    <row r="291" spans="1:26">
      <c r="A291" s="100"/>
      <c r="B291" s="108" t="str">
        <f>IFERROR(VLOOKUP(Tablo515[[#This Row],[ÜRÜN KODU]],YMKODLARI!$A$1:$K$363,2,0)," ")</f>
        <v xml:space="preserve"> </v>
      </c>
      <c r="C291" s="99"/>
      <c r="D291" s="100"/>
      <c r="E291" s="101"/>
      <c r="F291" s="101"/>
      <c r="G291" s="100" t="str">
        <f>IFERROR(VLOOKUP(Tablo515[[#This Row],[ÜRÜN KODU]],YMKODLARI!$A$1:$K$363,3,0)," ")</f>
        <v xml:space="preserve"> </v>
      </c>
      <c r="H291" s="100" t="str">
        <f>IFERROR(VLOOKUP(Tablo515[[#This Row],[ÜRÜN KODU]],YMKODLARI!$A$1:$K$363,4,0)," ")</f>
        <v xml:space="preserve"> </v>
      </c>
      <c r="I291" s="100"/>
      <c r="J291" s="100" t="str">
        <f>IFERROR(VLOOKUP(Tablo515[[#This Row],[ÜRÜN KODU]],YMKODLARI!$A$1:$K$363,9,0)," ")</f>
        <v xml:space="preserve"> </v>
      </c>
      <c r="K291" s="100" t="str">
        <f>IFERROR(VLOOKUP(Tablo515[[#This Row],[BOYA KODU]],Tablo14[#All],4,0)," ")</f>
        <v xml:space="preserve"> </v>
      </c>
      <c r="L291" s="100" t="str">
        <f>IFERROR(VLOOKUP(Tablo515[[#This Row],[BOYA KODU]],Tablo14[#All],6,0)," ")</f>
        <v xml:space="preserve"> </v>
      </c>
      <c r="M291" s="100" t="str">
        <f t="shared" si="32"/>
        <v xml:space="preserve"> </v>
      </c>
      <c r="N291" s="100" t="str">
        <f>IFERROR(VLOOKUP(Tablo515[[#This Row],[ÜRÜN KODU]],YMKODLARI!$A$1:$K$363,8,0)," ")</f>
        <v xml:space="preserve"> </v>
      </c>
      <c r="O291" s="100" t="str">
        <f>IFERROR(VLOOKUP(Tablo515[[#This Row],[HAMMADDE KODU]],Tablo1[#All],3,0)," ")</f>
        <v xml:space="preserve"> </v>
      </c>
      <c r="P291" s="100" t="str">
        <f>IFERROR(VLOOKUP(Tablo515[[#This Row],[HAMMADDE KODU]],Tablo1[#All],4,0)," ")</f>
        <v xml:space="preserve"> </v>
      </c>
      <c r="Q291" s="100" t="str">
        <f>IFERROR(VLOOKUP(Tablo515[[#This Row],[ÜRÜN KODU]],YMKODLARI!$A$1:$K$363,5,0)," ")</f>
        <v xml:space="preserve"> </v>
      </c>
      <c r="R291" s="100" t="str">
        <f>IFERROR(VLOOKUP(Tablo515[[#This Row],[ÜRÜN KODU]],YMKODLARI!$A$1:$K$363,6,0)," ")</f>
        <v xml:space="preserve"> </v>
      </c>
      <c r="S291" s="100" t="str">
        <f>IFERROR(Tablo515[[#This Row],[YOLLUK HARİÇ BASKI GRAMI]]/Tablo515[[#This Row],[KALIP GÖZ ADEDİ]]," ")</f>
        <v xml:space="preserve"> </v>
      </c>
      <c r="T291" s="100" t="str">
        <f t="shared" si="34"/>
        <v xml:space="preserve"> </v>
      </c>
      <c r="U291" s="100"/>
      <c r="V291" s="100" t="str">
        <f t="shared" si="33"/>
        <v xml:space="preserve"> </v>
      </c>
      <c r="W291" s="101">
        <f t="shared" si="35"/>
        <v>24</v>
      </c>
      <c r="X291" s="102">
        <f t="shared" si="36"/>
        <v>0</v>
      </c>
      <c r="Y291" s="100" t="str">
        <f t="shared" si="37"/>
        <v xml:space="preserve"> </v>
      </c>
      <c r="Z291" s="100" t="str">
        <f t="shared" si="38"/>
        <v xml:space="preserve"> </v>
      </c>
    </row>
    <row r="292" spans="1:26">
      <c r="A292" s="100"/>
      <c r="B292" s="108" t="str">
        <f>IFERROR(VLOOKUP(Tablo515[[#This Row],[ÜRÜN KODU]],YMKODLARI!$A$1:$K$363,2,0)," ")</f>
        <v xml:space="preserve"> </v>
      </c>
      <c r="C292" s="99"/>
      <c r="D292" s="100"/>
      <c r="E292" s="101"/>
      <c r="F292" s="101"/>
      <c r="G292" s="100" t="str">
        <f>IFERROR(VLOOKUP(Tablo515[[#This Row],[ÜRÜN KODU]],YMKODLARI!$A$1:$K$363,3,0)," ")</f>
        <v xml:space="preserve"> </v>
      </c>
      <c r="H292" s="100" t="str">
        <f>IFERROR(VLOOKUP(Tablo515[[#This Row],[ÜRÜN KODU]],YMKODLARI!$A$1:$K$363,4,0)," ")</f>
        <v xml:space="preserve"> </v>
      </c>
      <c r="I292" s="100"/>
      <c r="J292" s="100" t="str">
        <f>IFERROR(VLOOKUP(Tablo515[[#This Row],[ÜRÜN KODU]],YMKODLARI!$A$1:$K$363,9,0)," ")</f>
        <v xml:space="preserve"> </v>
      </c>
      <c r="K292" s="100" t="str">
        <f>IFERROR(VLOOKUP(Tablo515[[#This Row],[BOYA KODU]],Tablo14[#All],4,0)," ")</f>
        <v xml:space="preserve"> </v>
      </c>
      <c r="L292" s="100" t="str">
        <f>IFERROR(VLOOKUP(Tablo515[[#This Row],[BOYA KODU]],Tablo14[#All],6,0)," ")</f>
        <v xml:space="preserve"> </v>
      </c>
      <c r="M292" s="100" t="str">
        <f t="shared" si="32"/>
        <v xml:space="preserve"> </v>
      </c>
      <c r="N292" s="100" t="str">
        <f>IFERROR(VLOOKUP(Tablo515[[#This Row],[ÜRÜN KODU]],YMKODLARI!$A$1:$K$363,8,0)," ")</f>
        <v xml:space="preserve"> </v>
      </c>
      <c r="O292" s="100" t="str">
        <f>IFERROR(VLOOKUP(Tablo515[[#This Row],[HAMMADDE KODU]],Tablo1[#All],3,0)," ")</f>
        <v xml:space="preserve"> </v>
      </c>
      <c r="P292" s="100" t="str">
        <f>IFERROR(VLOOKUP(Tablo515[[#This Row],[HAMMADDE KODU]],Tablo1[#All],4,0)," ")</f>
        <v xml:space="preserve"> </v>
      </c>
      <c r="Q292" s="100" t="str">
        <f>IFERROR(VLOOKUP(Tablo515[[#This Row],[ÜRÜN KODU]],YMKODLARI!$A$1:$K$363,5,0)," ")</f>
        <v xml:space="preserve"> </v>
      </c>
      <c r="R292" s="100" t="str">
        <f>IFERROR(VLOOKUP(Tablo515[[#This Row],[ÜRÜN KODU]],YMKODLARI!$A$1:$K$363,6,0)," ")</f>
        <v xml:space="preserve"> </v>
      </c>
      <c r="S292" s="100" t="str">
        <f>IFERROR(Tablo515[[#This Row],[YOLLUK HARİÇ BASKI GRAMI]]/Tablo515[[#This Row],[KALIP GÖZ ADEDİ]]," ")</f>
        <v xml:space="preserve"> </v>
      </c>
      <c r="T292" s="100" t="str">
        <f t="shared" si="34"/>
        <v xml:space="preserve"> </v>
      </c>
      <c r="U292" s="100"/>
      <c r="V292" s="100" t="str">
        <f t="shared" si="33"/>
        <v xml:space="preserve"> </v>
      </c>
      <c r="W292" s="101">
        <f t="shared" si="35"/>
        <v>24</v>
      </c>
      <c r="X292" s="102">
        <f t="shared" si="36"/>
        <v>0</v>
      </c>
      <c r="Y292" s="100" t="str">
        <f t="shared" si="37"/>
        <v xml:space="preserve"> </v>
      </c>
      <c r="Z292" s="100" t="str">
        <f t="shared" si="38"/>
        <v xml:space="preserve"> </v>
      </c>
    </row>
    <row r="293" spans="1:26">
      <c r="A293" s="100"/>
      <c r="B293" s="108" t="str">
        <f>IFERROR(VLOOKUP(Tablo515[[#This Row],[ÜRÜN KODU]],YMKODLARI!$A$1:$K$363,2,0)," ")</f>
        <v xml:space="preserve"> </v>
      </c>
      <c r="C293" s="99"/>
      <c r="D293" s="100"/>
      <c r="E293" s="101"/>
      <c r="F293" s="101"/>
      <c r="G293" s="100" t="str">
        <f>IFERROR(VLOOKUP(Tablo515[[#This Row],[ÜRÜN KODU]],YMKODLARI!$A$1:$K$363,3,0)," ")</f>
        <v xml:space="preserve"> </v>
      </c>
      <c r="H293" s="100" t="str">
        <f>IFERROR(VLOOKUP(Tablo515[[#This Row],[ÜRÜN KODU]],YMKODLARI!$A$1:$K$363,4,0)," ")</f>
        <v xml:space="preserve"> </v>
      </c>
      <c r="I293" s="100"/>
      <c r="J293" s="100" t="str">
        <f>IFERROR(VLOOKUP(Tablo515[[#This Row],[ÜRÜN KODU]],YMKODLARI!$A$1:$K$363,9,0)," ")</f>
        <v xml:space="preserve"> </v>
      </c>
      <c r="K293" s="100" t="str">
        <f>IFERROR(VLOOKUP(Tablo515[[#This Row],[BOYA KODU]],Tablo14[#All],4,0)," ")</f>
        <v xml:space="preserve"> </v>
      </c>
      <c r="L293" s="100" t="str">
        <f>IFERROR(VLOOKUP(Tablo515[[#This Row],[BOYA KODU]],Tablo14[#All],6,0)," ")</f>
        <v xml:space="preserve"> </v>
      </c>
      <c r="M293" s="100" t="str">
        <f t="shared" si="32"/>
        <v xml:space="preserve"> </v>
      </c>
      <c r="N293" s="100" t="str">
        <f>IFERROR(VLOOKUP(Tablo515[[#This Row],[ÜRÜN KODU]],YMKODLARI!$A$1:$K$363,8,0)," ")</f>
        <v xml:space="preserve"> </v>
      </c>
      <c r="O293" s="100" t="str">
        <f>IFERROR(VLOOKUP(Tablo515[[#This Row],[HAMMADDE KODU]],Tablo1[#All],3,0)," ")</f>
        <v xml:space="preserve"> </v>
      </c>
      <c r="P293" s="100" t="str">
        <f>IFERROR(VLOOKUP(Tablo515[[#This Row],[HAMMADDE KODU]],Tablo1[#All],4,0)," ")</f>
        <v xml:space="preserve"> </v>
      </c>
      <c r="Q293" s="100" t="str">
        <f>IFERROR(VLOOKUP(Tablo515[[#This Row],[ÜRÜN KODU]],YMKODLARI!$A$1:$K$363,5,0)," ")</f>
        <v xml:space="preserve"> </v>
      </c>
      <c r="R293" s="100" t="str">
        <f>IFERROR(VLOOKUP(Tablo515[[#This Row],[ÜRÜN KODU]],YMKODLARI!$A$1:$K$363,6,0)," ")</f>
        <v xml:space="preserve"> </v>
      </c>
      <c r="S293" s="100" t="str">
        <f>IFERROR(Tablo515[[#This Row],[YOLLUK HARİÇ BASKI GRAMI]]/Tablo515[[#This Row],[KALIP GÖZ ADEDİ]]," ")</f>
        <v xml:space="preserve"> </v>
      </c>
      <c r="T293" s="100" t="str">
        <f t="shared" si="34"/>
        <v xml:space="preserve"> </v>
      </c>
      <c r="U293" s="100"/>
      <c r="V293" s="100" t="str">
        <f t="shared" si="33"/>
        <v xml:space="preserve"> </v>
      </c>
      <c r="W293" s="101">
        <f t="shared" si="35"/>
        <v>24</v>
      </c>
      <c r="X293" s="102">
        <f t="shared" si="36"/>
        <v>0</v>
      </c>
      <c r="Y293" s="100" t="str">
        <f t="shared" si="37"/>
        <v xml:space="preserve"> </v>
      </c>
      <c r="Z293" s="100" t="str">
        <f t="shared" si="38"/>
        <v xml:space="preserve"> </v>
      </c>
    </row>
    <row r="294" spans="1:26">
      <c r="A294" s="100"/>
      <c r="B294" s="108" t="str">
        <f>IFERROR(VLOOKUP(Tablo515[[#This Row],[ÜRÜN KODU]],YMKODLARI!$A$1:$K$363,2,0)," ")</f>
        <v xml:space="preserve"> </v>
      </c>
      <c r="C294" s="99"/>
      <c r="D294" s="100"/>
      <c r="E294" s="101"/>
      <c r="F294" s="101"/>
      <c r="G294" s="100" t="str">
        <f>IFERROR(VLOOKUP(Tablo515[[#This Row],[ÜRÜN KODU]],YMKODLARI!$A$1:$K$363,3,0)," ")</f>
        <v xml:space="preserve"> </v>
      </c>
      <c r="H294" s="100" t="str">
        <f>IFERROR(VLOOKUP(Tablo515[[#This Row],[ÜRÜN KODU]],YMKODLARI!$A$1:$K$363,4,0)," ")</f>
        <v xml:space="preserve"> </v>
      </c>
      <c r="I294" s="100"/>
      <c r="J294" s="100" t="str">
        <f>IFERROR(VLOOKUP(Tablo515[[#This Row],[ÜRÜN KODU]],YMKODLARI!$A$1:$K$363,9,0)," ")</f>
        <v xml:space="preserve"> </v>
      </c>
      <c r="K294" s="100" t="str">
        <f>IFERROR(VLOOKUP(Tablo515[[#This Row],[BOYA KODU]],Tablo14[#All],4,0)," ")</f>
        <v xml:space="preserve"> </v>
      </c>
      <c r="L294" s="100" t="str">
        <f>IFERROR(VLOOKUP(Tablo515[[#This Row],[BOYA KODU]],Tablo14[#All],6,0)," ")</f>
        <v xml:space="preserve"> </v>
      </c>
      <c r="M294" s="100" t="str">
        <f t="shared" si="32"/>
        <v xml:space="preserve"> </v>
      </c>
      <c r="N294" s="100" t="str">
        <f>IFERROR(VLOOKUP(Tablo515[[#This Row],[ÜRÜN KODU]],YMKODLARI!$A$1:$K$363,8,0)," ")</f>
        <v xml:space="preserve"> </v>
      </c>
      <c r="O294" s="100" t="str">
        <f>IFERROR(VLOOKUP(Tablo515[[#This Row],[HAMMADDE KODU]],Tablo1[#All],3,0)," ")</f>
        <v xml:space="preserve"> </v>
      </c>
      <c r="P294" s="100" t="str">
        <f>IFERROR(VLOOKUP(Tablo515[[#This Row],[HAMMADDE KODU]],Tablo1[#All],4,0)," ")</f>
        <v xml:space="preserve"> </v>
      </c>
      <c r="Q294" s="100" t="str">
        <f>IFERROR(VLOOKUP(Tablo515[[#This Row],[ÜRÜN KODU]],YMKODLARI!$A$1:$K$363,5,0)," ")</f>
        <v xml:space="preserve"> </v>
      </c>
      <c r="R294" s="100" t="str">
        <f>IFERROR(VLOOKUP(Tablo515[[#This Row],[ÜRÜN KODU]],YMKODLARI!$A$1:$K$363,6,0)," ")</f>
        <v xml:space="preserve"> </v>
      </c>
      <c r="S294" s="100" t="str">
        <f>IFERROR(Tablo515[[#This Row],[YOLLUK HARİÇ BASKI GRAMI]]/Tablo515[[#This Row],[KALIP GÖZ ADEDİ]]," ")</f>
        <v xml:space="preserve"> </v>
      </c>
      <c r="T294" s="100" t="str">
        <f t="shared" si="34"/>
        <v xml:space="preserve"> </v>
      </c>
      <c r="U294" s="100"/>
      <c r="V294" s="100" t="str">
        <f t="shared" si="33"/>
        <v xml:space="preserve"> </v>
      </c>
      <c r="W294" s="101">
        <f t="shared" si="35"/>
        <v>24</v>
      </c>
      <c r="X294" s="102">
        <f t="shared" si="36"/>
        <v>0</v>
      </c>
      <c r="Y294" s="100" t="str">
        <f t="shared" si="37"/>
        <v xml:space="preserve"> </v>
      </c>
      <c r="Z294" s="100" t="str">
        <f t="shared" si="38"/>
        <v xml:space="preserve"> </v>
      </c>
    </row>
    <row r="295" spans="1:26">
      <c r="A295" s="100"/>
      <c r="B295" s="108" t="str">
        <f>IFERROR(VLOOKUP(Tablo515[[#This Row],[ÜRÜN KODU]],YMKODLARI!$A$1:$K$363,2,0)," ")</f>
        <v xml:space="preserve"> </v>
      </c>
      <c r="C295" s="99"/>
      <c r="D295" s="100"/>
      <c r="E295" s="101"/>
      <c r="F295" s="101"/>
      <c r="G295" s="100" t="str">
        <f>IFERROR(VLOOKUP(Tablo515[[#This Row],[ÜRÜN KODU]],YMKODLARI!$A$1:$K$363,3,0)," ")</f>
        <v xml:space="preserve"> </v>
      </c>
      <c r="H295" s="100" t="str">
        <f>IFERROR(VLOOKUP(Tablo515[[#This Row],[ÜRÜN KODU]],YMKODLARI!$A$1:$K$363,4,0)," ")</f>
        <v xml:space="preserve"> </v>
      </c>
      <c r="I295" s="100"/>
      <c r="J295" s="100" t="str">
        <f>IFERROR(VLOOKUP(Tablo515[[#This Row],[ÜRÜN KODU]],YMKODLARI!$A$1:$K$363,9,0)," ")</f>
        <v xml:space="preserve"> </v>
      </c>
      <c r="K295" s="100" t="str">
        <f>IFERROR(VLOOKUP(Tablo515[[#This Row],[BOYA KODU]],Tablo14[#All],4,0)," ")</f>
        <v xml:space="preserve"> </v>
      </c>
      <c r="L295" s="100" t="str">
        <f>IFERROR(VLOOKUP(Tablo515[[#This Row],[BOYA KODU]],Tablo14[#All],6,0)," ")</f>
        <v xml:space="preserve"> </v>
      </c>
      <c r="M295" s="100" t="str">
        <f t="shared" si="32"/>
        <v xml:space="preserve"> </v>
      </c>
      <c r="N295" s="100" t="str">
        <f>IFERROR(VLOOKUP(Tablo515[[#This Row],[ÜRÜN KODU]],YMKODLARI!$A$1:$K$363,8,0)," ")</f>
        <v xml:space="preserve"> </v>
      </c>
      <c r="O295" s="100" t="str">
        <f>IFERROR(VLOOKUP(Tablo515[[#This Row],[HAMMADDE KODU]],Tablo1[#All],3,0)," ")</f>
        <v xml:space="preserve"> </v>
      </c>
      <c r="P295" s="100" t="str">
        <f>IFERROR(VLOOKUP(Tablo515[[#This Row],[HAMMADDE KODU]],Tablo1[#All],4,0)," ")</f>
        <v xml:space="preserve"> </v>
      </c>
      <c r="Q295" s="100" t="str">
        <f>IFERROR(VLOOKUP(Tablo515[[#This Row],[ÜRÜN KODU]],YMKODLARI!$A$1:$K$363,5,0)," ")</f>
        <v xml:space="preserve"> </v>
      </c>
      <c r="R295" s="100" t="str">
        <f>IFERROR(VLOOKUP(Tablo515[[#This Row],[ÜRÜN KODU]],YMKODLARI!$A$1:$K$363,6,0)," ")</f>
        <v xml:space="preserve"> </v>
      </c>
      <c r="S295" s="100" t="str">
        <f>IFERROR(Tablo515[[#This Row],[YOLLUK HARİÇ BASKI GRAMI]]/Tablo515[[#This Row],[KALIP GÖZ ADEDİ]]," ")</f>
        <v xml:space="preserve"> </v>
      </c>
      <c r="T295" s="100" t="str">
        <f t="shared" si="34"/>
        <v xml:space="preserve"> </v>
      </c>
      <c r="U295" s="100"/>
      <c r="V295" s="100" t="str">
        <f t="shared" si="33"/>
        <v xml:space="preserve"> </v>
      </c>
      <c r="W295" s="101">
        <f t="shared" si="35"/>
        <v>24</v>
      </c>
      <c r="X295" s="102">
        <f t="shared" si="36"/>
        <v>0</v>
      </c>
      <c r="Y295" s="100" t="str">
        <f t="shared" si="37"/>
        <v xml:space="preserve"> </v>
      </c>
      <c r="Z295" s="100" t="str">
        <f t="shared" si="38"/>
        <v xml:space="preserve"> </v>
      </c>
    </row>
    <row r="296" spans="1:26">
      <c r="A296" s="100"/>
      <c r="B296" s="108" t="str">
        <f>IFERROR(VLOOKUP(Tablo515[[#This Row],[ÜRÜN KODU]],YMKODLARI!$A$1:$K$363,2,0)," ")</f>
        <v xml:space="preserve"> </v>
      </c>
      <c r="C296" s="99"/>
      <c r="D296" s="100"/>
      <c r="E296" s="101"/>
      <c r="F296" s="101"/>
      <c r="G296" s="100" t="str">
        <f>IFERROR(VLOOKUP(Tablo515[[#This Row],[ÜRÜN KODU]],YMKODLARI!$A$1:$K$363,3,0)," ")</f>
        <v xml:space="preserve"> </v>
      </c>
      <c r="H296" s="100" t="str">
        <f>IFERROR(VLOOKUP(Tablo515[[#This Row],[ÜRÜN KODU]],YMKODLARI!$A$1:$K$363,4,0)," ")</f>
        <v xml:space="preserve"> </v>
      </c>
      <c r="I296" s="100"/>
      <c r="J296" s="100" t="str">
        <f>IFERROR(VLOOKUP(Tablo515[[#This Row],[ÜRÜN KODU]],YMKODLARI!$A$1:$K$363,9,0)," ")</f>
        <v xml:space="preserve"> </v>
      </c>
      <c r="K296" s="100" t="str">
        <f>IFERROR(VLOOKUP(Tablo515[[#This Row],[BOYA KODU]],Tablo14[#All],4,0)," ")</f>
        <v xml:space="preserve"> </v>
      </c>
      <c r="L296" s="100" t="str">
        <f>IFERROR(VLOOKUP(Tablo515[[#This Row],[BOYA KODU]],Tablo14[#All],6,0)," ")</f>
        <v xml:space="preserve"> </v>
      </c>
      <c r="M296" s="100" t="str">
        <f t="shared" si="32"/>
        <v xml:space="preserve"> </v>
      </c>
      <c r="N296" s="100" t="str">
        <f>IFERROR(VLOOKUP(Tablo515[[#This Row],[ÜRÜN KODU]],YMKODLARI!$A$1:$K$363,8,0)," ")</f>
        <v xml:space="preserve"> </v>
      </c>
      <c r="O296" s="100" t="str">
        <f>IFERROR(VLOOKUP(Tablo515[[#This Row],[HAMMADDE KODU]],Tablo1[#All],3,0)," ")</f>
        <v xml:space="preserve"> </v>
      </c>
      <c r="P296" s="100" t="str">
        <f>IFERROR(VLOOKUP(Tablo515[[#This Row],[HAMMADDE KODU]],Tablo1[#All],4,0)," ")</f>
        <v xml:space="preserve"> </v>
      </c>
      <c r="Q296" s="100" t="str">
        <f>IFERROR(VLOOKUP(Tablo515[[#This Row],[ÜRÜN KODU]],YMKODLARI!$A$1:$K$363,5,0)," ")</f>
        <v xml:space="preserve"> </v>
      </c>
      <c r="R296" s="100" t="str">
        <f>IFERROR(VLOOKUP(Tablo515[[#This Row],[ÜRÜN KODU]],YMKODLARI!$A$1:$K$363,6,0)," ")</f>
        <v xml:space="preserve"> </v>
      </c>
      <c r="S296" s="100" t="str">
        <f>IFERROR(Tablo515[[#This Row],[YOLLUK HARİÇ BASKI GRAMI]]/Tablo515[[#This Row],[KALIP GÖZ ADEDİ]]," ")</f>
        <v xml:space="preserve"> </v>
      </c>
      <c r="T296" s="100" t="str">
        <f t="shared" si="34"/>
        <v xml:space="preserve"> </v>
      </c>
      <c r="U296" s="100"/>
      <c r="V296" s="100" t="str">
        <f t="shared" si="33"/>
        <v xml:space="preserve"> </v>
      </c>
      <c r="W296" s="101">
        <f t="shared" si="35"/>
        <v>24</v>
      </c>
      <c r="X296" s="102">
        <f t="shared" si="36"/>
        <v>0</v>
      </c>
      <c r="Y296" s="100" t="str">
        <f t="shared" si="37"/>
        <v xml:space="preserve"> </v>
      </c>
      <c r="Z296" s="100" t="str">
        <f t="shared" si="38"/>
        <v xml:space="preserve"> </v>
      </c>
    </row>
    <row r="297" spans="1:26">
      <c r="A297" s="100"/>
      <c r="B297" s="108" t="str">
        <f>IFERROR(VLOOKUP(Tablo515[[#This Row],[ÜRÜN KODU]],YMKODLARI!$A$1:$K$363,2,0)," ")</f>
        <v xml:space="preserve"> </v>
      </c>
      <c r="C297" s="99"/>
      <c r="D297" s="100"/>
      <c r="E297" s="101"/>
      <c r="F297" s="101"/>
      <c r="G297" s="100" t="str">
        <f>IFERROR(VLOOKUP(Tablo515[[#This Row],[ÜRÜN KODU]],YMKODLARI!$A$1:$K$363,3,0)," ")</f>
        <v xml:space="preserve"> </v>
      </c>
      <c r="H297" s="100" t="str">
        <f>IFERROR(VLOOKUP(Tablo515[[#This Row],[ÜRÜN KODU]],YMKODLARI!$A$1:$K$363,4,0)," ")</f>
        <v xml:space="preserve"> </v>
      </c>
      <c r="I297" s="100"/>
      <c r="J297" s="100" t="str">
        <f>IFERROR(VLOOKUP(Tablo515[[#This Row],[ÜRÜN KODU]],YMKODLARI!$A$1:$K$363,9,0)," ")</f>
        <v xml:space="preserve"> </v>
      </c>
      <c r="K297" s="100" t="str">
        <f>IFERROR(VLOOKUP(Tablo515[[#This Row],[BOYA KODU]],Tablo14[#All],4,0)," ")</f>
        <v xml:space="preserve"> </v>
      </c>
      <c r="L297" s="100" t="str">
        <f>IFERROR(VLOOKUP(Tablo515[[#This Row],[BOYA KODU]],Tablo14[#All],6,0)," ")</f>
        <v xml:space="preserve"> </v>
      </c>
      <c r="M297" s="100" t="str">
        <f t="shared" si="32"/>
        <v xml:space="preserve"> </v>
      </c>
      <c r="N297" s="100" t="str">
        <f>IFERROR(VLOOKUP(Tablo515[[#This Row],[ÜRÜN KODU]],YMKODLARI!$A$1:$K$363,8,0)," ")</f>
        <v xml:space="preserve"> </v>
      </c>
      <c r="O297" s="100" t="str">
        <f>IFERROR(VLOOKUP(Tablo515[[#This Row],[HAMMADDE KODU]],Tablo1[#All],3,0)," ")</f>
        <v xml:space="preserve"> </v>
      </c>
      <c r="P297" s="100" t="str">
        <f>IFERROR(VLOOKUP(Tablo515[[#This Row],[HAMMADDE KODU]],Tablo1[#All],4,0)," ")</f>
        <v xml:space="preserve"> </v>
      </c>
      <c r="Q297" s="100" t="str">
        <f>IFERROR(VLOOKUP(Tablo515[[#This Row],[ÜRÜN KODU]],YMKODLARI!$A$1:$K$363,5,0)," ")</f>
        <v xml:space="preserve"> </v>
      </c>
      <c r="R297" s="100" t="str">
        <f>IFERROR(VLOOKUP(Tablo515[[#This Row],[ÜRÜN KODU]],YMKODLARI!$A$1:$K$363,6,0)," ")</f>
        <v xml:space="preserve"> </v>
      </c>
      <c r="S297" s="100" t="str">
        <f>IFERROR(Tablo515[[#This Row],[YOLLUK HARİÇ BASKI GRAMI]]/Tablo515[[#This Row],[KALIP GÖZ ADEDİ]]," ")</f>
        <v xml:space="preserve"> </v>
      </c>
      <c r="T297" s="100" t="str">
        <f t="shared" si="34"/>
        <v xml:space="preserve"> </v>
      </c>
      <c r="U297" s="100"/>
      <c r="V297" s="100" t="str">
        <f t="shared" si="33"/>
        <v xml:space="preserve"> </v>
      </c>
      <c r="W297" s="101">
        <f t="shared" si="35"/>
        <v>24</v>
      </c>
      <c r="X297" s="102">
        <f t="shared" si="36"/>
        <v>0</v>
      </c>
      <c r="Y297" s="100" t="str">
        <f t="shared" si="37"/>
        <v xml:space="preserve"> </v>
      </c>
      <c r="Z297" s="100" t="str">
        <f t="shared" si="38"/>
        <v xml:space="preserve"> </v>
      </c>
    </row>
    <row r="298" spans="1:26">
      <c r="A298" s="100"/>
      <c r="B298" s="108" t="str">
        <f>IFERROR(VLOOKUP(Tablo515[[#This Row],[ÜRÜN KODU]],YMKODLARI!$A$1:$K$363,2,0)," ")</f>
        <v xml:space="preserve"> </v>
      </c>
      <c r="C298" s="99"/>
      <c r="D298" s="100"/>
      <c r="E298" s="101"/>
      <c r="F298" s="101"/>
      <c r="G298" s="100" t="str">
        <f>IFERROR(VLOOKUP(Tablo515[[#This Row],[ÜRÜN KODU]],YMKODLARI!$A$1:$K$363,3,0)," ")</f>
        <v xml:space="preserve"> </v>
      </c>
      <c r="H298" s="100" t="str">
        <f>IFERROR(VLOOKUP(Tablo515[[#This Row],[ÜRÜN KODU]],YMKODLARI!$A$1:$K$363,4,0)," ")</f>
        <v xml:space="preserve"> </v>
      </c>
      <c r="I298" s="100"/>
      <c r="J298" s="100" t="str">
        <f>IFERROR(VLOOKUP(Tablo515[[#This Row],[ÜRÜN KODU]],YMKODLARI!$A$1:$K$363,9,0)," ")</f>
        <v xml:space="preserve"> </v>
      </c>
      <c r="K298" s="100" t="str">
        <f>IFERROR(VLOOKUP(Tablo515[[#This Row],[BOYA KODU]],Tablo14[#All],4,0)," ")</f>
        <v xml:space="preserve"> </v>
      </c>
      <c r="L298" s="100" t="str">
        <f>IFERROR(VLOOKUP(Tablo515[[#This Row],[BOYA KODU]],Tablo14[#All],6,0)," ")</f>
        <v xml:space="preserve"> </v>
      </c>
      <c r="M298" s="100" t="str">
        <f t="shared" si="32"/>
        <v xml:space="preserve"> </v>
      </c>
      <c r="N298" s="100" t="str">
        <f>IFERROR(VLOOKUP(Tablo515[[#This Row],[ÜRÜN KODU]],YMKODLARI!$A$1:$K$363,8,0)," ")</f>
        <v xml:space="preserve"> </v>
      </c>
      <c r="O298" s="100" t="str">
        <f>IFERROR(VLOOKUP(Tablo515[[#This Row],[HAMMADDE KODU]],Tablo1[#All],3,0)," ")</f>
        <v xml:space="preserve"> </v>
      </c>
      <c r="P298" s="100" t="str">
        <f>IFERROR(VLOOKUP(Tablo515[[#This Row],[HAMMADDE KODU]],Tablo1[#All],4,0)," ")</f>
        <v xml:space="preserve"> </v>
      </c>
      <c r="Q298" s="100" t="str">
        <f>IFERROR(VLOOKUP(Tablo515[[#This Row],[ÜRÜN KODU]],YMKODLARI!$A$1:$K$363,5,0)," ")</f>
        <v xml:space="preserve"> </v>
      </c>
      <c r="R298" s="100" t="str">
        <f>IFERROR(VLOOKUP(Tablo515[[#This Row],[ÜRÜN KODU]],YMKODLARI!$A$1:$K$363,6,0)," ")</f>
        <v xml:space="preserve"> </v>
      </c>
      <c r="S298" s="100" t="str">
        <f>IFERROR(Tablo515[[#This Row],[YOLLUK HARİÇ BASKI GRAMI]]/Tablo515[[#This Row],[KALIP GÖZ ADEDİ]]," ")</f>
        <v xml:space="preserve"> </v>
      </c>
      <c r="T298" s="100" t="str">
        <f t="shared" si="34"/>
        <v xml:space="preserve"> </v>
      </c>
      <c r="U298" s="100"/>
      <c r="V298" s="100" t="str">
        <f t="shared" si="33"/>
        <v xml:space="preserve"> </v>
      </c>
      <c r="W298" s="101">
        <f t="shared" si="35"/>
        <v>24</v>
      </c>
      <c r="X298" s="102">
        <f t="shared" si="36"/>
        <v>0</v>
      </c>
      <c r="Y298" s="100" t="str">
        <f t="shared" si="37"/>
        <v xml:space="preserve"> </v>
      </c>
      <c r="Z298" s="100" t="str">
        <f t="shared" si="38"/>
        <v xml:space="preserve"> </v>
      </c>
    </row>
    <row r="299" spans="1:26">
      <c r="A299" s="100"/>
      <c r="B299" s="108" t="str">
        <f>IFERROR(VLOOKUP(Tablo515[[#This Row],[ÜRÜN KODU]],YMKODLARI!$A$1:$K$363,2,0)," ")</f>
        <v xml:space="preserve"> </v>
      </c>
      <c r="C299" s="99"/>
      <c r="D299" s="100"/>
      <c r="E299" s="101"/>
      <c r="F299" s="101"/>
      <c r="G299" s="100" t="str">
        <f>IFERROR(VLOOKUP(Tablo515[[#This Row],[ÜRÜN KODU]],YMKODLARI!$A$1:$K$363,3,0)," ")</f>
        <v xml:space="preserve"> </v>
      </c>
      <c r="H299" s="100" t="str">
        <f>IFERROR(VLOOKUP(Tablo515[[#This Row],[ÜRÜN KODU]],YMKODLARI!$A$1:$K$363,4,0)," ")</f>
        <v xml:space="preserve"> </v>
      </c>
      <c r="I299" s="100"/>
      <c r="J299" s="100" t="str">
        <f>IFERROR(VLOOKUP(Tablo515[[#This Row],[ÜRÜN KODU]],YMKODLARI!$A$1:$K$363,9,0)," ")</f>
        <v xml:space="preserve"> </v>
      </c>
      <c r="K299" s="100" t="str">
        <f>IFERROR(VLOOKUP(Tablo515[[#This Row],[BOYA KODU]],Tablo14[#All],4,0)," ")</f>
        <v xml:space="preserve"> </v>
      </c>
      <c r="L299" s="100" t="str">
        <f>IFERROR(VLOOKUP(Tablo515[[#This Row],[BOYA KODU]],Tablo14[#All],6,0)," ")</f>
        <v xml:space="preserve"> </v>
      </c>
      <c r="M299" s="100" t="str">
        <f t="shared" si="32"/>
        <v xml:space="preserve"> </v>
      </c>
      <c r="N299" s="100" t="str">
        <f>IFERROR(VLOOKUP(Tablo515[[#This Row],[ÜRÜN KODU]],YMKODLARI!$A$1:$K$363,8,0)," ")</f>
        <v xml:space="preserve"> </v>
      </c>
      <c r="O299" s="100" t="str">
        <f>IFERROR(VLOOKUP(Tablo515[[#This Row],[HAMMADDE KODU]],Tablo1[#All],3,0)," ")</f>
        <v xml:space="preserve"> </v>
      </c>
      <c r="P299" s="100" t="str">
        <f>IFERROR(VLOOKUP(Tablo515[[#This Row],[HAMMADDE KODU]],Tablo1[#All],4,0)," ")</f>
        <v xml:space="preserve"> </v>
      </c>
      <c r="Q299" s="100" t="str">
        <f>IFERROR(VLOOKUP(Tablo515[[#This Row],[ÜRÜN KODU]],YMKODLARI!$A$1:$K$363,5,0)," ")</f>
        <v xml:space="preserve"> </v>
      </c>
      <c r="R299" s="100" t="str">
        <f>IFERROR(VLOOKUP(Tablo515[[#This Row],[ÜRÜN KODU]],YMKODLARI!$A$1:$K$363,6,0)," ")</f>
        <v xml:space="preserve"> </v>
      </c>
      <c r="S299" s="100" t="str">
        <f>IFERROR(Tablo515[[#This Row],[YOLLUK HARİÇ BASKI GRAMI]]/Tablo515[[#This Row],[KALIP GÖZ ADEDİ]]," ")</f>
        <v xml:space="preserve"> </v>
      </c>
      <c r="T299" s="100" t="str">
        <f t="shared" si="34"/>
        <v xml:space="preserve"> </v>
      </c>
      <c r="U299" s="100"/>
      <c r="V299" s="100" t="str">
        <f t="shared" si="33"/>
        <v xml:space="preserve"> </v>
      </c>
      <c r="W299" s="101">
        <f t="shared" si="35"/>
        <v>24</v>
      </c>
      <c r="X299" s="102">
        <f t="shared" si="36"/>
        <v>0</v>
      </c>
      <c r="Y299" s="100" t="str">
        <f t="shared" si="37"/>
        <v xml:space="preserve"> </v>
      </c>
      <c r="Z299" s="100" t="str">
        <f t="shared" si="38"/>
        <v xml:space="preserve"> </v>
      </c>
    </row>
    <row r="300" spans="1:26">
      <c r="A300" s="100"/>
      <c r="B300" s="108" t="str">
        <f>IFERROR(VLOOKUP(Tablo515[[#This Row],[ÜRÜN KODU]],YMKODLARI!$A$1:$K$363,2,0)," ")</f>
        <v xml:space="preserve"> </v>
      </c>
      <c r="C300" s="99"/>
      <c r="D300" s="100"/>
      <c r="E300" s="101"/>
      <c r="F300" s="101"/>
      <c r="G300" s="100" t="str">
        <f>IFERROR(VLOOKUP(Tablo515[[#This Row],[ÜRÜN KODU]],YMKODLARI!$A$1:$K$363,3,0)," ")</f>
        <v xml:space="preserve"> </v>
      </c>
      <c r="H300" s="100" t="str">
        <f>IFERROR(VLOOKUP(Tablo515[[#This Row],[ÜRÜN KODU]],YMKODLARI!$A$1:$K$363,4,0)," ")</f>
        <v xml:space="preserve"> </v>
      </c>
      <c r="I300" s="100"/>
      <c r="J300" s="100" t="str">
        <f>IFERROR(VLOOKUP(Tablo515[[#This Row],[ÜRÜN KODU]],YMKODLARI!$A$1:$K$363,9,0)," ")</f>
        <v xml:space="preserve"> </v>
      </c>
      <c r="K300" s="100" t="str">
        <f>IFERROR(VLOOKUP(Tablo515[[#This Row],[BOYA KODU]],Tablo14[#All],4,0)," ")</f>
        <v xml:space="preserve"> </v>
      </c>
      <c r="L300" s="100" t="str">
        <f>IFERROR(VLOOKUP(Tablo515[[#This Row],[BOYA KODU]],Tablo14[#All],6,0)," ")</f>
        <v xml:space="preserve"> </v>
      </c>
      <c r="M300" s="100" t="str">
        <f t="shared" si="32"/>
        <v xml:space="preserve"> </v>
      </c>
      <c r="N300" s="100" t="str">
        <f>IFERROR(VLOOKUP(Tablo515[[#This Row],[ÜRÜN KODU]],YMKODLARI!$A$1:$K$363,8,0)," ")</f>
        <v xml:space="preserve"> </v>
      </c>
      <c r="O300" s="100" t="str">
        <f>IFERROR(VLOOKUP(Tablo515[[#This Row],[HAMMADDE KODU]],Tablo1[#All],3,0)," ")</f>
        <v xml:space="preserve"> </v>
      </c>
      <c r="P300" s="100" t="str">
        <f>IFERROR(VLOOKUP(Tablo515[[#This Row],[HAMMADDE KODU]],Tablo1[#All],4,0)," ")</f>
        <v xml:space="preserve"> </v>
      </c>
      <c r="Q300" s="100" t="str">
        <f>IFERROR(VLOOKUP(Tablo515[[#This Row],[ÜRÜN KODU]],YMKODLARI!$A$1:$K$363,5,0)," ")</f>
        <v xml:space="preserve"> </v>
      </c>
      <c r="R300" s="100" t="str">
        <f>IFERROR(VLOOKUP(Tablo515[[#This Row],[ÜRÜN KODU]],YMKODLARI!$A$1:$K$363,6,0)," ")</f>
        <v xml:space="preserve"> </v>
      </c>
      <c r="S300" s="100" t="str">
        <f>IFERROR(Tablo515[[#This Row],[YOLLUK HARİÇ BASKI GRAMI]]/Tablo515[[#This Row],[KALIP GÖZ ADEDİ]]," ")</f>
        <v xml:space="preserve"> </v>
      </c>
      <c r="T300" s="100" t="str">
        <f t="shared" si="34"/>
        <v xml:space="preserve"> </v>
      </c>
      <c r="U300" s="100"/>
      <c r="V300" s="100" t="str">
        <f t="shared" si="33"/>
        <v xml:space="preserve"> </v>
      </c>
      <c r="W300" s="101">
        <f t="shared" si="35"/>
        <v>24</v>
      </c>
      <c r="X300" s="102">
        <f t="shared" si="36"/>
        <v>0</v>
      </c>
      <c r="Y300" s="100" t="str">
        <f t="shared" si="37"/>
        <v xml:space="preserve"> </v>
      </c>
      <c r="Z300" s="100" t="str">
        <f t="shared" si="38"/>
        <v xml:space="preserve"> </v>
      </c>
    </row>
    <row r="301" spans="1:26">
      <c r="A301" s="100"/>
      <c r="B301" s="108" t="str">
        <f>IFERROR(VLOOKUP(Tablo515[[#This Row],[ÜRÜN KODU]],YMKODLARI!$A$1:$K$363,2,0)," ")</f>
        <v xml:space="preserve"> </v>
      </c>
      <c r="C301" s="99"/>
      <c r="D301" s="100"/>
      <c r="E301" s="101"/>
      <c r="F301" s="101"/>
      <c r="G301" s="100" t="str">
        <f>IFERROR(VLOOKUP(Tablo515[[#This Row],[ÜRÜN KODU]],YMKODLARI!$A$1:$K$363,3,0)," ")</f>
        <v xml:space="preserve"> </v>
      </c>
      <c r="H301" s="100" t="str">
        <f>IFERROR(VLOOKUP(Tablo515[[#This Row],[ÜRÜN KODU]],YMKODLARI!$A$1:$K$363,4,0)," ")</f>
        <v xml:space="preserve"> </v>
      </c>
      <c r="I301" s="100"/>
      <c r="J301" s="100" t="str">
        <f>IFERROR(VLOOKUP(Tablo515[[#This Row],[ÜRÜN KODU]],YMKODLARI!$A$1:$K$363,9,0)," ")</f>
        <v xml:space="preserve"> </v>
      </c>
      <c r="K301" s="100" t="str">
        <f>IFERROR(VLOOKUP(Tablo515[[#This Row],[BOYA KODU]],Tablo14[#All],4,0)," ")</f>
        <v xml:space="preserve"> </v>
      </c>
      <c r="L301" s="100" t="str">
        <f>IFERROR(VLOOKUP(Tablo515[[#This Row],[BOYA KODU]],Tablo14[#All],6,0)," ")</f>
        <v xml:space="preserve"> </v>
      </c>
      <c r="M301" s="100" t="str">
        <f t="shared" si="32"/>
        <v xml:space="preserve"> </v>
      </c>
      <c r="N301" s="100" t="str">
        <f>IFERROR(VLOOKUP(Tablo515[[#This Row],[ÜRÜN KODU]],YMKODLARI!$A$1:$K$363,8,0)," ")</f>
        <v xml:space="preserve"> </v>
      </c>
      <c r="O301" s="100" t="str">
        <f>IFERROR(VLOOKUP(Tablo515[[#This Row],[HAMMADDE KODU]],Tablo1[#All],3,0)," ")</f>
        <v xml:space="preserve"> </v>
      </c>
      <c r="P301" s="100" t="str">
        <f>IFERROR(VLOOKUP(Tablo515[[#This Row],[HAMMADDE KODU]],Tablo1[#All],4,0)," ")</f>
        <v xml:space="preserve"> </v>
      </c>
      <c r="Q301" s="100" t="str">
        <f>IFERROR(VLOOKUP(Tablo515[[#This Row],[ÜRÜN KODU]],YMKODLARI!$A$1:$K$363,5,0)," ")</f>
        <v xml:space="preserve"> </v>
      </c>
      <c r="R301" s="100" t="str">
        <f>IFERROR(VLOOKUP(Tablo515[[#This Row],[ÜRÜN KODU]],YMKODLARI!$A$1:$K$363,6,0)," ")</f>
        <v xml:space="preserve"> </v>
      </c>
      <c r="S301" s="100" t="str">
        <f>IFERROR(Tablo515[[#This Row],[YOLLUK HARİÇ BASKI GRAMI]]/Tablo515[[#This Row],[KALIP GÖZ ADEDİ]]," ")</f>
        <v xml:space="preserve"> </v>
      </c>
      <c r="T301" s="100" t="str">
        <f t="shared" si="34"/>
        <v xml:space="preserve"> </v>
      </c>
      <c r="U301" s="100"/>
      <c r="V301" s="100" t="str">
        <f t="shared" si="33"/>
        <v xml:space="preserve"> </v>
      </c>
      <c r="W301" s="101">
        <f t="shared" si="35"/>
        <v>24</v>
      </c>
      <c r="X301" s="102">
        <f t="shared" si="36"/>
        <v>0</v>
      </c>
      <c r="Y301" s="100" t="str">
        <f t="shared" si="37"/>
        <v xml:space="preserve"> </v>
      </c>
      <c r="Z301" s="100" t="str">
        <f t="shared" si="38"/>
        <v xml:space="preserve"> </v>
      </c>
    </row>
    <row r="302" spans="1:26">
      <c r="A302" s="100"/>
      <c r="B302" s="108" t="str">
        <f>IFERROR(VLOOKUP(Tablo515[[#This Row],[ÜRÜN KODU]],YMKODLARI!$A$1:$K$363,2,0)," ")</f>
        <v xml:space="preserve"> </v>
      </c>
      <c r="C302" s="99"/>
      <c r="D302" s="100"/>
      <c r="E302" s="101"/>
      <c r="F302" s="101"/>
      <c r="G302" s="100" t="str">
        <f>IFERROR(VLOOKUP(Tablo515[[#This Row],[ÜRÜN KODU]],YMKODLARI!$A$1:$K$363,3,0)," ")</f>
        <v xml:space="preserve"> </v>
      </c>
      <c r="H302" s="100" t="str">
        <f>IFERROR(VLOOKUP(Tablo515[[#This Row],[ÜRÜN KODU]],YMKODLARI!$A$1:$K$363,4,0)," ")</f>
        <v xml:space="preserve"> </v>
      </c>
      <c r="I302" s="100"/>
      <c r="J302" s="100" t="str">
        <f>IFERROR(VLOOKUP(Tablo515[[#This Row],[ÜRÜN KODU]],YMKODLARI!$A$1:$K$363,9,0)," ")</f>
        <v xml:space="preserve"> </v>
      </c>
      <c r="K302" s="100" t="str">
        <f>IFERROR(VLOOKUP(Tablo515[[#This Row],[BOYA KODU]],Tablo14[#All],4,0)," ")</f>
        <v xml:space="preserve"> </v>
      </c>
      <c r="L302" s="100" t="str">
        <f>IFERROR(VLOOKUP(Tablo515[[#This Row],[BOYA KODU]],Tablo14[#All],6,0)," ")</f>
        <v xml:space="preserve"> </v>
      </c>
      <c r="M302" s="100" t="str">
        <f t="shared" si="32"/>
        <v xml:space="preserve"> </v>
      </c>
      <c r="N302" s="100" t="str">
        <f>IFERROR(VLOOKUP(Tablo515[[#This Row],[ÜRÜN KODU]],YMKODLARI!$A$1:$K$363,8,0)," ")</f>
        <v xml:space="preserve"> </v>
      </c>
      <c r="O302" s="100" t="str">
        <f>IFERROR(VLOOKUP(Tablo515[[#This Row],[HAMMADDE KODU]],Tablo1[#All],3,0)," ")</f>
        <v xml:space="preserve"> </v>
      </c>
      <c r="P302" s="100" t="str">
        <f>IFERROR(VLOOKUP(Tablo515[[#This Row],[HAMMADDE KODU]],Tablo1[#All],4,0)," ")</f>
        <v xml:space="preserve"> </v>
      </c>
      <c r="Q302" s="100" t="str">
        <f>IFERROR(VLOOKUP(Tablo515[[#This Row],[ÜRÜN KODU]],YMKODLARI!$A$1:$K$363,5,0)," ")</f>
        <v xml:space="preserve"> </v>
      </c>
      <c r="R302" s="100" t="str">
        <f>IFERROR(VLOOKUP(Tablo515[[#This Row],[ÜRÜN KODU]],YMKODLARI!$A$1:$K$363,6,0)," ")</f>
        <v xml:space="preserve"> </v>
      </c>
      <c r="S302" s="100" t="str">
        <f>IFERROR(Tablo515[[#This Row],[YOLLUK HARİÇ BASKI GRAMI]]/Tablo515[[#This Row],[KALIP GÖZ ADEDİ]]," ")</f>
        <v xml:space="preserve"> </v>
      </c>
      <c r="T302" s="100" t="str">
        <f t="shared" si="34"/>
        <v xml:space="preserve"> </v>
      </c>
      <c r="U302" s="100"/>
      <c r="V302" s="100" t="str">
        <f t="shared" si="33"/>
        <v xml:space="preserve"> </v>
      </c>
      <c r="W302" s="101">
        <f t="shared" si="35"/>
        <v>24</v>
      </c>
      <c r="X302" s="102">
        <f t="shared" si="36"/>
        <v>0</v>
      </c>
      <c r="Y302" s="100" t="str">
        <f t="shared" si="37"/>
        <v xml:space="preserve"> </v>
      </c>
      <c r="Z302" s="100" t="str">
        <f t="shared" si="38"/>
        <v xml:space="preserve"> </v>
      </c>
    </row>
    <row r="303" spans="1:26">
      <c r="A303" s="100"/>
      <c r="B303" s="108" t="str">
        <f>IFERROR(VLOOKUP(Tablo515[[#This Row],[ÜRÜN KODU]],YMKODLARI!$A$1:$K$363,2,0)," ")</f>
        <v xml:space="preserve"> </v>
      </c>
      <c r="C303" s="99"/>
      <c r="D303" s="100"/>
      <c r="E303" s="101"/>
      <c r="F303" s="101"/>
      <c r="G303" s="100" t="str">
        <f>IFERROR(VLOOKUP(Tablo515[[#This Row],[ÜRÜN KODU]],YMKODLARI!$A$1:$K$363,3,0)," ")</f>
        <v xml:space="preserve"> </v>
      </c>
      <c r="H303" s="100" t="str">
        <f>IFERROR(VLOOKUP(Tablo515[[#This Row],[ÜRÜN KODU]],YMKODLARI!$A$1:$K$363,4,0)," ")</f>
        <v xml:space="preserve"> </v>
      </c>
      <c r="I303" s="100"/>
      <c r="J303" s="100" t="str">
        <f>IFERROR(VLOOKUP(Tablo515[[#This Row],[ÜRÜN KODU]],YMKODLARI!$A$1:$K$363,9,0)," ")</f>
        <v xml:space="preserve"> </v>
      </c>
      <c r="K303" s="100" t="str">
        <f>IFERROR(VLOOKUP(Tablo515[[#This Row],[BOYA KODU]],Tablo14[#All],4,0)," ")</f>
        <v xml:space="preserve"> </v>
      </c>
      <c r="L303" s="100" t="str">
        <f>IFERROR(VLOOKUP(Tablo515[[#This Row],[BOYA KODU]],Tablo14[#All],6,0)," ")</f>
        <v xml:space="preserve"> </v>
      </c>
      <c r="M303" s="100" t="str">
        <f t="shared" si="32"/>
        <v xml:space="preserve"> </v>
      </c>
      <c r="N303" s="100" t="str">
        <f>IFERROR(VLOOKUP(Tablo515[[#This Row],[ÜRÜN KODU]],YMKODLARI!$A$1:$K$363,8,0)," ")</f>
        <v xml:space="preserve"> </v>
      </c>
      <c r="O303" s="100" t="str">
        <f>IFERROR(VLOOKUP(Tablo515[[#This Row],[HAMMADDE KODU]],Tablo1[#All],3,0)," ")</f>
        <v xml:space="preserve"> </v>
      </c>
      <c r="P303" s="100" t="str">
        <f>IFERROR(VLOOKUP(Tablo515[[#This Row],[HAMMADDE KODU]],Tablo1[#All],4,0)," ")</f>
        <v xml:space="preserve"> </v>
      </c>
      <c r="Q303" s="100" t="str">
        <f>IFERROR(VLOOKUP(Tablo515[[#This Row],[ÜRÜN KODU]],YMKODLARI!$A$1:$K$363,5,0)," ")</f>
        <v xml:space="preserve"> </v>
      </c>
      <c r="R303" s="100" t="str">
        <f>IFERROR(VLOOKUP(Tablo515[[#This Row],[ÜRÜN KODU]],YMKODLARI!$A$1:$K$363,6,0)," ")</f>
        <v xml:space="preserve"> </v>
      </c>
      <c r="S303" s="100" t="str">
        <f>IFERROR(Tablo515[[#This Row],[YOLLUK HARİÇ BASKI GRAMI]]/Tablo515[[#This Row],[KALIP GÖZ ADEDİ]]," ")</f>
        <v xml:space="preserve"> </v>
      </c>
      <c r="T303" s="100" t="str">
        <f t="shared" si="34"/>
        <v xml:space="preserve"> </v>
      </c>
      <c r="U303" s="100"/>
      <c r="V303" s="100" t="str">
        <f t="shared" si="33"/>
        <v xml:space="preserve"> </v>
      </c>
      <c r="W303" s="101">
        <f t="shared" si="35"/>
        <v>24</v>
      </c>
      <c r="X303" s="102">
        <f t="shared" si="36"/>
        <v>0</v>
      </c>
      <c r="Y303" s="100" t="str">
        <f t="shared" si="37"/>
        <v xml:space="preserve"> </v>
      </c>
      <c r="Z303" s="100" t="str">
        <f t="shared" si="38"/>
        <v xml:space="preserve"> </v>
      </c>
    </row>
    <row r="304" spans="1:26">
      <c r="A304" s="100"/>
      <c r="B304" s="108" t="str">
        <f>IFERROR(VLOOKUP(Tablo515[[#This Row],[ÜRÜN KODU]],YMKODLARI!$A$1:$K$363,2,0)," ")</f>
        <v xml:space="preserve"> </v>
      </c>
      <c r="C304" s="99"/>
      <c r="D304" s="100"/>
      <c r="E304" s="101"/>
      <c r="F304" s="101"/>
      <c r="G304" s="100" t="str">
        <f>IFERROR(VLOOKUP(Tablo515[[#This Row],[ÜRÜN KODU]],YMKODLARI!$A$1:$K$363,3,0)," ")</f>
        <v xml:space="preserve"> </v>
      </c>
      <c r="H304" s="100" t="str">
        <f>IFERROR(VLOOKUP(Tablo515[[#This Row],[ÜRÜN KODU]],YMKODLARI!$A$1:$K$363,4,0)," ")</f>
        <v xml:space="preserve"> </v>
      </c>
      <c r="I304" s="100"/>
      <c r="J304" s="100" t="str">
        <f>IFERROR(VLOOKUP(Tablo515[[#This Row],[ÜRÜN KODU]],YMKODLARI!$A$1:$K$363,9,0)," ")</f>
        <v xml:space="preserve"> </v>
      </c>
      <c r="K304" s="100" t="str">
        <f>IFERROR(VLOOKUP(Tablo515[[#This Row],[BOYA KODU]],Tablo14[#All],4,0)," ")</f>
        <v xml:space="preserve"> </v>
      </c>
      <c r="L304" s="100" t="str">
        <f>IFERROR(VLOOKUP(Tablo515[[#This Row],[BOYA KODU]],Tablo14[#All],6,0)," ")</f>
        <v xml:space="preserve"> </v>
      </c>
      <c r="M304" s="100" t="str">
        <f t="shared" si="32"/>
        <v xml:space="preserve"> </v>
      </c>
      <c r="N304" s="100" t="str">
        <f>IFERROR(VLOOKUP(Tablo515[[#This Row],[ÜRÜN KODU]],YMKODLARI!$A$1:$K$363,8,0)," ")</f>
        <v xml:space="preserve"> </v>
      </c>
      <c r="O304" s="100" t="str">
        <f>IFERROR(VLOOKUP(Tablo515[[#This Row],[HAMMADDE KODU]],Tablo1[#All],3,0)," ")</f>
        <v xml:space="preserve"> </v>
      </c>
      <c r="P304" s="100" t="str">
        <f>IFERROR(VLOOKUP(Tablo515[[#This Row],[HAMMADDE KODU]],Tablo1[#All],4,0)," ")</f>
        <v xml:space="preserve"> </v>
      </c>
      <c r="Q304" s="100" t="str">
        <f>IFERROR(VLOOKUP(Tablo515[[#This Row],[ÜRÜN KODU]],YMKODLARI!$A$1:$K$363,5,0)," ")</f>
        <v xml:space="preserve"> </v>
      </c>
      <c r="R304" s="100" t="str">
        <f>IFERROR(VLOOKUP(Tablo515[[#This Row],[ÜRÜN KODU]],YMKODLARI!$A$1:$K$363,6,0)," ")</f>
        <v xml:space="preserve"> </v>
      </c>
      <c r="S304" s="100" t="str">
        <f>IFERROR(Tablo515[[#This Row],[YOLLUK HARİÇ BASKI GRAMI]]/Tablo515[[#This Row],[KALIP GÖZ ADEDİ]]," ")</f>
        <v xml:space="preserve"> </v>
      </c>
      <c r="T304" s="100" t="str">
        <f t="shared" si="34"/>
        <v xml:space="preserve"> </v>
      </c>
      <c r="U304" s="100"/>
      <c r="V304" s="100" t="str">
        <f t="shared" si="33"/>
        <v xml:space="preserve"> </v>
      </c>
      <c r="W304" s="101">
        <f t="shared" si="35"/>
        <v>24</v>
      </c>
      <c r="X304" s="102">
        <f t="shared" si="36"/>
        <v>0</v>
      </c>
      <c r="Y304" s="100" t="str">
        <f t="shared" si="37"/>
        <v xml:space="preserve"> </v>
      </c>
      <c r="Z304" s="100" t="str">
        <f t="shared" si="38"/>
        <v xml:space="preserve"> </v>
      </c>
    </row>
    <row r="305" spans="1:26">
      <c r="A305" s="100"/>
      <c r="B305" s="108" t="str">
        <f>IFERROR(VLOOKUP(Tablo515[[#This Row],[ÜRÜN KODU]],YMKODLARI!$A$1:$K$363,2,0)," ")</f>
        <v xml:space="preserve"> </v>
      </c>
      <c r="C305" s="99"/>
      <c r="D305" s="100"/>
      <c r="E305" s="101"/>
      <c r="F305" s="101"/>
      <c r="G305" s="100" t="str">
        <f>IFERROR(VLOOKUP(Tablo515[[#This Row],[ÜRÜN KODU]],YMKODLARI!$A$1:$K$363,3,0)," ")</f>
        <v xml:space="preserve"> </v>
      </c>
      <c r="H305" s="100" t="str">
        <f>IFERROR(VLOOKUP(Tablo515[[#This Row],[ÜRÜN KODU]],YMKODLARI!$A$1:$K$363,4,0)," ")</f>
        <v xml:space="preserve"> </v>
      </c>
      <c r="I305" s="100"/>
      <c r="J305" s="100" t="str">
        <f>IFERROR(VLOOKUP(Tablo515[[#This Row],[ÜRÜN KODU]],YMKODLARI!$A$1:$K$363,9,0)," ")</f>
        <v xml:space="preserve"> </v>
      </c>
      <c r="K305" s="100" t="str">
        <f>IFERROR(VLOOKUP(Tablo515[[#This Row],[BOYA KODU]],Tablo14[#All],4,0)," ")</f>
        <v xml:space="preserve"> </v>
      </c>
      <c r="L305" s="100" t="str">
        <f>IFERROR(VLOOKUP(Tablo515[[#This Row],[BOYA KODU]],Tablo14[#All],6,0)," ")</f>
        <v xml:space="preserve"> </v>
      </c>
      <c r="M305" s="100" t="str">
        <f t="shared" si="32"/>
        <v xml:space="preserve"> </v>
      </c>
      <c r="N305" s="100" t="str">
        <f>IFERROR(VLOOKUP(Tablo515[[#This Row],[ÜRÜN KODU]],YMKODLARI!$A$1:$K$363,8,0)," ")</f>
        <v xml:space="preserve"> </v>
      </c>
      <c r="O305" s="100" t="str">
        <f>IFERROR(VLOOKUP(Tablo515[[#This Row],[HAMMADDE KODU]],Tablo1[#All],3,0)," ")</f>
        <v xml:space="preserve"> </v>
      </c>
      <c r="P305" s="100" t="str">
        <f>IFERROR(VLOOKUP(Tablo515[[#This Row],[HAMMADDE KODU]],Tablo1[#All],4,0)," ")</f>
        <v xml:space="preserve"> </v>
      </c>
      <c r="Q305" s="100" t="str">
        <f>IFERROR(VLOOKUP(Tablo515[[#This Row],[ÜRÜN KODU]],YMKODLARI!$A$1:$K$363,5,0)," ")</f>
        <v xml:space="preserve"> </v>
      </c>
      <c r="R305" s="100" t="str">
        <f>IFERROR(VLOOKUP(Tablo515[[#This Row],[ÜRÜN KODU]],YMKODLARI!$A$1:$K$363,6,0)," ")</f>
        <v xml:space="preserve"> </v>
      </c>
      <c r="S305" s="100" t="str">
        <f>IFERROR(Tablo515[[#This Row],[YOLLUK HARİÇ BASKI GRAMI]]/Tablo515[[#This Row],[KALIP GÖZ ADEDİ]]," ")</f>
        <v xml:space="preserve"> </v>
      </c>
      <c r="T305" s="100" t="str">
        <f t="shared" si="34"/>
        <v xml:space="preserve"> </v>
      </c>
      <c r="U305" s="100"/>
      <c r="V305" s="100" t="str">
        <f t="shared" si="33"/>
        <v xml:space="preserve"> </v>
      </c>
      <c r="W305" s="101">
        <f t="shared" si="35"/>
        <v>24</v>
      </c>
      <c r="X305" s="102">
        <f t="shared" si="36"/>
        <v>0</v>
      </c>
      <c r="Y305" s="100" t="str">
        <f t="shared" si="37"/>
        <v xml:space="preserve"> </v>
      </c>
      <c r="Z305" s="100" t="str">
        <f t="shared" si="38"/>
        <v xml:space="preserve"> </v>
      </c>
    </row>
    <row r="306" spans="1:26">
      <c r="A306" s="100"/>
      <c r="B306" s="108" t="str">
        <f>IFERROR(VLOOKUP(Tablo515[[#This Row],[ÜRÜN KODU]],YMKODLARI!$A$1:$K$363,2,0)," ")</f>
        <v xml:space="preserve"> </v>
      </c>
      <c r="C306" s="99"/>
      <c r="D306" s="100"/>
      <c r="E306" s="101"/>
      <c r="F306" s="101"/>
      <c r="G306" s="100" t="str">
        <f>IFERROR(VLOOKUP(Tablo515[[#This Row],[ÜRÜN KODU]],YMKODLARI!$A$1:$K$363,3,0)," ")</f>
        <v xml:space="preserve"> </v>
      </c>
      <c r="H306" s="100" t="str">
        <f>IFERROR(VLOOKUP(Tablo515[[#This Row],[ÜRÜN KODU]],YMKODLARI!$A$1:$K$363,4,0)," ")</f>
        <v xml:space="preserve"> </v>
      </c>
      <c r="I306" s="100"/>
      <c r="J306" s="100" t="str">
        <f>IFERROR(VLOOKUP(Tablo515[[#This Row],[ÜRÜN KODU]],YMKODLARI!$A$1:$K$363,9,0)," ")</f>
        <v xml:space="preserve"> </v>
      </c>
      <c r="K306" s="100" t="str">
        <f>IFERROR(VLOOKUP(Tablo515[[#This Row],[BOYA KODU]],Tablo14[#All],4,0)," ")</f>
        <v xml:space="preserve"> </v>
      </c>
      <c r="L306" s="100" t="str">
        <f>IFERROR(VLOOKUP(Tablo515[[#This Row],[BOYA KODU]],Tablo14[#All],6,0)," ")</f>
        <v xml:space="preserve"> </v>
      </c>
      <c r="M306" s="100" t="str">
        <f t="shared" si="32"/>
        <v xml:space="preserve"> </v>
      </c>
      <c r="N306" s="100" t="str">
        <f>IFERROR(VLOOKUP(Tablo515[[#This Row],[ÜRÜN KODU]],YMKODLARI!$A$1:$K$363,8,0)," ")</f>
        <v xml:space="preserve"> </v>
      </c>
      <c r="O306" s="100" t="str">
        <f>IFERROR(VLOOKUP(Tablo515[[#This Row],[HAMMADDE KODU]],Tablo1[#All],3,0)," ")</f>
        <v xml:space="preserve"> </v>
      </c>
      <c r="P306" s="100" t="str">
        <f>IFERROR(VLOOKUP(Tablo515[[#This Row],[HAMMADDE KODU]],Tablo1[#All],4,0)," ")</f>
        <v xml:space="preserve"> </v>
      </c>
      <c r="Q306" s="100" t="str">
        <f>IFERROR(VLOOKUP(Tablo515[[#This Row],[ÜRÜN KODU]],YMKODLARI!$A$1:$K$363,5,0)," ")</f>
        <v xml:space="preserve"> </v>
      </c>
      <c r="R306" s="100" t="str">
        <f>IFERROR(VLOOKUP(Tablo515[[#This Row],[ÜRÜN KODU]],YMKODLARI!$A$1:$K$363,6,0)," ")</f>
        <v xml:space="preserve"> </v>
      </c>
      <c r="S306" s="100" t="str">
        <f>IFERROR(Tablo515[[#This Row],[YOLLUK HARİÇ BASKI GRAMI]]/Tablo515[[#This Row],[KALIP GÖZ ADEDİ]]," ")</f>
        <v xml:space="preserve"> </v>
      </c>
      <c r="T306" s="100" t="str">
        <f t="shared" si="34"/>
        <v xml:space="preserve"> </v>
      </c>
      <c r="U306" s="100"/>
      <c r="V306" s="100" t="str">
        <f t="shared" si="33"/>
        <v xml:space="preserve"> </v>
      </c>
      <c r="W306" s="101">
        <f t="shared" si="35"/>
        <v>24</v>
      </c>
      <c r="X306" s="102">
        <f t="shared" si="36"/>
        <v>0</v>
      </c>
      <c r="Y306" s="100" t="str">
        <f t="shared" si="37"/>
        <v xml:space="preserve"> </v>
      </c>
      <c r="Z306" s="100" t="str">
        <f t="shared" si="38"/>
        <v xml:space="preserve"> </v>
      </c>
    </row>
    <row r="307" spans="1:26">
      <c r="A307" s="100"/>
      <c r="B307" s="108" t="str">
        <f>IFERROR(VLOOKUP(Tablo515[[#This Row],[ÜRÜN KODU]],YMKODLARI!$A$1:$K$363,2,0)," ")</f>
        <v xml:space="preserve"> </v>
      </c>
      <c r="C307" s="99"/>
      <c r="D307" s="100"/>
      <c r="E307" s="101"/>
      <c r="F307" s="101"/>
      <c r="G307" s="100" t="str">
        <f>IFERROR(VLOOKUP(Tablo515[[#This Row],[ÜRÜN KODU]],YMKODLARI!$A$1:$K$363,3,0)," ")</f>
        <v xml:space="preserve"> </v>
      </c>
      <c r="H307" s="100" t="str">
        <f>IFERROR(VLOOKUP(Tablo515[[#This Row],[ÜRÜN KODU]],YMKODLARI!$A$1:$K$363,4,0)," ")</f>
        <v xml:space="preserve"> </v>
      </c>
      <c r="I307" s="100"/>
      <c r="J307" s="100" t="str">
        <f>IFERROR(VLOOKUP(Tablo515[[#This Row],[ÜRÜN KODU]],YMKODLARI!$A$1:$K$363,9,0)," ")</f>
        <v xml:space="preserve"> </v>
      </c>
      <c r="K307" s="100" t="str">
        <f>IFERROR(VLOOKUP(Tablo515[[#This Row],[BOYA KODU]],Tablo14[#All],4,0)," ")</f>
        <v xml:space="preserve"> </v>
      </c>
      <c r="L307" s="100" t="str">
        <f>IFERROR(VLOOKUP(Tablo515[[#This Row],[BOYA KODU]],Tablo14[#All],6,0)," ")</f>
        <v xml:space="preserve"> </v>
      </c>
      <c r="M307" s="100" t="str">
        <f t="shared" si="32"/>
        <v xml:space="preserve"> </v>
      </c>
      <c r="N307" s="100" t="str">
        <f>IFERROR(VLOOKUP(Tablo515[[#This Row],[ÜRÜN KODU]],YMKODLARI!$A$1:$K$363,8,0)," ")</f>
        <v xml:space="preserve"> </v>
      </c>
      <c r="O307" s="100" t="str">
        <f>IFERROR(VLOOKUP(Tablo515[[#This Row],[HAMMADDE KODU]],Tablo1[#All],3,0)," ")</f>
        <v xml:space="preserve"> </v>
      </c>
      <c r="P307" s="100" t="str">
        <f>IFERROR(VLOOKUP(Tablo515[[#This Row],[HAMMADDE KODU]],Tablo1[#All],4,0)," ")</f>
        <v xml:space="preserve"> </v>
      </c>
      <c r="Q307" s="100" t="str">
        <f>IFERROR(VLOOKUP(Tablo515[[#This Row],[ÜRÜN KODU]],YMKODLARI!$A$1:$K$363,5,0)," ")</f>
        <v xml:space="preserve"> </v>
      </c>
      <c r="R307" s="100" t="str">
        <f>IFERROR(VLOOKUP(Tablo515[[#This Row],[ÜRÜN KODU]],YMKODLARI!$A$1:$K$363,6,0)," ")</f>
        <v xml:space="preserve"> </v>
      </c>
      <c r="S307" s="100" t="str">
        <f>IFERROR(Tablo515[[#This Row],[YOLLUK HARİÇ BASKI GRAMI]]/Tablo515[[#This Row],[KALIP GÖZ ADEDİ]]," ")</f>
        <v xml:space="preserve"> </v>
      </c>
      <c r="T307" s="100" t="str">
        <f t="shared" si="34"/>
        <v xml:space="preserve"> </v>
      </c>
      <c r="U307" s="100"/>
      <c r="V307" s="100" t="str">
        <f t="shared" si="33"/>
        <v xml:space="preserve"> </v>
      </c>
      <c r="W307" s="101">
        <f t="shared" si="35"/>
        <v>24</v>
      </c>
      <c r="X307" s="102">
        <f t="shared" si="36"/>
        <v>0</v>
      </c>
      <c r="Y307" s="100" t="str">
        <f t="shared" si="37"/>
        <v xml:space="preserve"> </v>
      </c>
      <c r="Z307" s="100" t="str">
        <f t="shared" si="38"/>
        <v xml:space="preserve"> </v>
      </c>
    </row>
    <row r="308" spans="1:26">
      <c r="A308" s="100"/>
      <c r="B308" s="108" t="str">
        <f>IFERROR(VLOOKUP(Tablo515[[#This Row],[ÜRÜN KODU]],YMKODLARI!$A$1:$K$363,2,0)," ")</f>
        <v xml:space="preserve"> </v>
      </c>
      <c r="C308" s="99"/>
      <c r="D308" s="100"/>
      <c r="E308" s="101"/>
      <c r="F308" s="101"/>
      <c r="G308" s="100" t="str">
        <f>IFERROR(VLOOKUP(Tablo515[[#This Row],[ÜRÜN KODU]],YMKODLARI!$A$1:$K$363,3,0)," ")</f>
        <v xml:space="preserve"> </v>
      </c>
      <c r="H308" s="100" t="str">
        <f>IFERROR(VLOOKUP(Tablo515[[#This Row],[ÜRÜN KODU]],YMKODLARI!$A$1:$K$363,4,0)," ")</f>
        <v xml:space="preserve"> </v>
      </c>
      <c r="I308" s="100"/>
      <c r="J308" s="100" t="str">
        <f>IFERROR(VLOOKUP(Tablo515[[#This Row],[ÜRÜN KODU]],YMKODLARI!$A$1:$K$363,9,0)," ")</f>
        <v xml:space="preserve"> </v>
      </c>
      <c r="K308" s="100" t="str">
        <f>IFERROR(VLOOKUP(Tablo515[[#This Row],[BOYA KODU]],Tablo14[#All],4,0)," ")</f>
        <v xml:space="preserve"> </v>
      </c>
      <c r="L308" s="100" t="str">
        <f>IFERROR(VLOOKUP(Tablo515[[#This Row],[BOYA KODU]],Tablo14[#All],6,0)," ")</f>
        <v xml:space="preserve"> </v>
      </c>
      <c r="M308" s="100" t="str">
        <f t="shared" si="32"/>
        <v xml:space="preserve"> </v>
      </c>
      <c r="N308" s="100" t="str">
        <f>IFERROR(VLOOKUP(Tablo515[[#This Row],[ÜRÜN KODU]],YMKODLARI!$A$1:$K$363,8,0)," ")</f>
        <v xml:space="preserve"> </v>
      </c>
      <c r="O308" s="100" t="str">
        <f>IFERROR(VLOOKUP(Tablo515[[#This Row],[HAMMADDE KODU]],Tablo1[#All],3,0)," ")</f>
        <v xml:space="preserve"> </v>
      </c>
      <c r="P308" s="100" t="str">
        <f>IFERROR(VLOOKUP(Tablo515[[#This Row],[HAMMADDE KODU]],Tablo1[#All],4,0)," ")</f>
        <v xml:space="preserve"> </v>
      </c>
      <c r="Q308" s="100" t="str">
        <f>IFERROR(VLOOKUP(Tablo515[[#This Row],[ÜRÜN KODU]],YMKODLARI!$A$1:$K$363,5,0)," ")</f>
        <v xml:space="preserve"> </v>
      </c>
      <c r="R308" s="100" t="str">
        <f>IFERROR(VLOOKUP(Tablo515[[#This Row],[ÜRÜN KODU]],YMKODLARI!$A$1:$K$363,6,0)," ")</f>
        <v xml:space="preserve"> </v>
      </c>
      <c r="S308" s="100" t="str">
        <f>IFERROR(Tablo515[[#This Row],[YOLLUK HARİÇ BASKI GRAMI]]/Tablo515[[#This Row],[KALIP GÖZ ADEDİ]]," ")</f>
        <v xml:space="preserve"> </v>
      </c>
      <c r="T308" s="100" t="str">
        <f t="shared" si="34"/>
        <v xml:space="preserve"> </v>
      </c>
      <c r="U308" s="100"/>
      <c r="V308" s="100" t="str">
        <f t="shared" si="33"/>
        <v xml:space="preserve"> </v>
      </c>
      <c r="W308" s="101">
        <f t="shared" si="35"/>
        <v>24</v>
      </c>
      <c r="X308" s="102">
        <f t="shared" si="36"/>
        <v>0</v>
      </c>
      <c r="Y308" s="100" t="str">
        <f t="shared" si="37"/>
        <v xml:space="preserve"> </v>
      </c>
      <c r="Z308" s="100" t="str">
        <f t="shared" si="38"/>
        <v xml:space="preserve"> </v>
      </c>
    </row>
    <row r="309" spans="1:26">
      <c r="A309" s="100"/>
      <c r="B309" s="108" t="str">
        <f>IFERROR(VLOOKUP(Tablo515[[#This Row],[ÜRÜN KODU]],YMKODLARI!$A$1:$K$363,2,0)," ")</f>
        <v xml:space="preserve"> </v>
      </c>
      <c r="C309" s="99"/>
      <c r="D309" s="100"/>
      <c r="E309" s="101"/>
      <c r="F309" s="101"/>
      <c r="G309" s="100" t="str">
        <f>IFERROR(VLOOKUP(Tablo515[[#This Row],[ÜRÜN KODU]],YMKODLARI!$A$1:$K$363,3,0)," ")</f>
        <v xml:space="preserve"> </v>
      </c>
      <c r="H309" s="100" t="str">
        <f>IFERROR(VLOOKUP(Tablo515[[#This Row],[ÜRÜN KODU]],YMKODLARI!$A$1:$K$363,4,0)," ")</f>
        <v xml:space="preserve"> </v>
      </c>
      <c r="I309" s="100"/>
      <c r="J309" s="100" t="str">
        <f>IFERROR(VLOOKUP(Tablo515[[#This Row],[ÜRÜN KODU]],YMKODLARI!$A$1:$K$363,9,0)," ")</f>
        <v xml:space="preserve"> </v>
      </c>
      <c r="K309" s="100" t="str">
        <f>IFERROR(VLOOKUP(Tablo515[[#This Row],[BOYA KODU]],Tablo14[#All],4,0)," ")</f>
        <v xml:space="preserve"> </v>
      </c>
      <c r="L309" s="100" t="str">
        <f>IFERROR(VLOOKUP(Tablo515[[#This Row],[BOYA KODU]],Tablo14[#All],6,0)," ")</f>
        <v xml:space="preserve"> </v>
      </c>
      <c r="M309" s="100" t="str">
        <f t="shared" si="32"/>
        <v xml:space="preserve"> </v>
      </c>
      <c r="N309" s="100" t="str">
        <f>IFERROR(VLOOKUP(Tablo515[[#This Row],[ÜRÜN KODU]],YMKODLARI!$A$1:$K$363,8,0)," ")</f>
        <v xml:space="preserve"> </v>
      </c>
      <c r="O309" s="100" t="str">
        <f>IFERROR(VLOOKUP(Tablo515[[#This Row],[HAMMADDE KODU]],Tablo1[#All],3,0)," ")</f>
        <v xml:space="preserve"> </v>
      </c>
      <c r="P309" s="100" t="str">
        <f>IFERROR(VLOOKUP(Tablo515[[#This Row],[HAMMADDE KODU]],Tablo1[#All],4,0)," ")</f>
        <v xml:space="preserve"> </v>
      </c>
      <c r="Q309" s="100" t="str">
        <f>IFERROR(VLOOKUP(Tablo515[[#This Row],[ÜRÜN KODU]],YMKODLARI!$A$1:$K$363,5,0)," ")</f>
        <v xml:space="preserve"> </v>
      </c>
      <c r="R309" s="100" t="str">
        <f>IFERROR(VLOOKUP(Tablo515[[#This Row],[ÜRÜN KODU]],YMKODLARI!$A$1:$K$363,6,0)," ")</f>
        <v xml:space="preserve"> </v>
      </c>
      <c r="S309" s="100" t="str">
        <f>IFERROR(Tablo515[[#This Row],[YOLLUK HARİÇ BASKI GRAMI]]/Tablo515[[#This Row],[KALIP GÖZ ADEDİ]]," ")</f>
        <v xml:space="preserve"> </v>
      </c>
      <c r="T309" s="100" t="str">
        <f t="shared" si="34"/>
        <v xml:space="preserve"> </v>
      </c>
      <c r="U309" s="100"/>
      <c r="V309" s="100" t="str">
        <f t="shared" si="33"/>
        <v xml:space="preserve"> </v>
      </c>
      <c r="W309" s="101">
        <f t="shared" si="35"/>
        <v>24</v>
      </c>
      <c r="X309" s="102">
        <f t="shared" si="36"/>
        <v>0</v>
      </c>
      <c r="Y309" s="100" t="str">
        <f t="shared" si="37"/>
        <v xml:space="preserve"> </v>
      </c>
      <c r="Z309" s="100" t="str">
        <f t="shared" si="38"/>
        <v xml:space="preserve"> </v>
      </c>
    </row>
    <row r="310" spans="1:26">
      <c r="A310" s="100"/>
      <c r="B310" s="108" t="str">
        <f>IFERROR(VLOOKUP(Tablo515[[#This Row],[ÜRÜN KODU]],YMKODLARI!$A$1:$K$363,2,0)," ")</f>
        <v xml:space="preserve"> </v>
      </c>
      <c r="C310" s="99"/>
      <c r="D310" s="100"/>
      <c r="E310" s="101"/>
      <c r="F310" s="101"/>
      <c r="G310" s="100" t="str">
        <f>IFERROR(VLOOKUP(Tablo515[[#This Row],[ÜRÜN KODU]],YMKODLARI!$A$1:$K$363,3,0)," ")</f>
        <v xml:space="preserve"> </v>
      </c>
      <c r="H310" s="100" t="str">
        <f>IFERROR(VLOOKUP(Tablo515[[#This Row],[ÜRÜN KODU]],YMKODLARI!$A$1:$K$363,4,0)," ")</f>
        <v xml:space="preserve"> </v>
      </c>
      <c r="I310" s="100"/>
      <c r="J310" s="100" t="str">
        <f>IFERROR(VLOOKUP(Tablo515[[#This Row],[ÜRÜN KODU]],YMKODLARI!$A$1:$K$363,9,0)," ")</f>
        <v xml:space="preserve"> </v>
      </c>
      <c r="K310" s="100" t="str">
        <f>IFERROR(VLOOKUP(Tablo515[[#This Row],[BOYA KODU]],Tablo14[#All],4,0)," ")</f>
        <v xml:space="preserve"> </v>
      </c>
      <c r="L310" s="100" t="str">
        <f>IFERROR(VLOOKUP(Tablo515[[#This Row],[BOYA KODU]],Tablo14[#All],6,0)," ")</f>
        <v xml:space="preserve"> </v>
      </c>
      <c r="M310" s="100" t="str">
        <f t="shared" si="32"/>
        <v xml:space="preserve"> </v>
      </c>
      <c r="N310" s="100" t="str">
        <f>IFERROR(VLOOKUP(Tablo515[[#This Row],[ÜRÜN KODU]],YMKODLARI!$A$1:$K$363,8,0)," ")</f>
        <v xml:space="preserve"> </v>
      </c>
      <c r="O310" s="100" t="str">
        <f>IFERROR(VLOOKUP(Tablo515[[#This Row],[HAMMADDE KODU]],Tablo1[#All],3,0)," ")</f>
        <v xml:space="preserve"> </v>
      </c>
      <c r="P310" s="100" t="str">
        <f>IFERROR(VLOOKUP(Tablo515[[#This Row],[HAMMADDE KODU]],Tablo1[#All],4,0)," ")</f>
        <v xml:space="preserve"> </v>
      </c>
      <c r="Q310" s="100" t="str">
        <f>IFERROR(VLOOKUP(Tablo515[[#This Row],[ÜRÜN KODU]],YMKODLARI!$A$1:$K$363,5,0)," ")</f>
        <v xml:space="preserve"> </v>
      </c>
      <c r="R310" s="100" t="str">
        <f>IFERROR(VLOOKUP(Tablo515[[#This Row],[ÜRÜN KODU]],YMKODLARI!$A$1:$K$363,6,0)," ")</f>
        <v xml:space="preserve"> </v>
      </c>
      <c r="S310" s="100" t="str">
        <f>IFERROR(Tablo515[[#This Row],[YOLLUK HARİÇ BASKI GRAMI]]/Tablo515[[#This Row],[KALIP GÖZ ADEDİ]]," ")</f>
        <v xml:space="preserve"> </v>
      </c>
      <c r="T310" s="100" t="str">
        <f t="shared" si="34"/>
        <v xml:space="preserve"> </v>
      </c>
      <c r="U310" s="100"/>
      <c r="V310" s="100" t="str">
        <f t="shared" si="33"/>
        <v xml:space="preserve"> </v>
      </c>
      <c r="W310" s="101">
        <f t="shared" si="35"/>
        <v>24</v>
      </c>
      <c r="X310" s="102">
        <f t="shared" si="36"/>
        <v>0</v>
      </c>
      <c r="Y310" s="100" t="str">
        <f t="shared" si="37"/>
        <v xml:space="preserve"> </v>
      </c>
      <c r="Z310" s="100" t="str">
        <f t="shared" si="38"/>
        <v xml:space="preserve"> </v>
      </c>
    </row>
    <row r="311" spans="1:26">
      <c r="A311" s="100"/>
      <c r="B311" s="108" t="str">
        <f>IFERROR(VLOOKUP(Tablo515[[#This Row],[ÜRÜN KODU]],YMKODLARI!$A$1:$K$363,2,0)," ")</f>
        <v xml:space="preserve"> </v>
      </c>
      <c r="C311" s="99"/>
      <c r="D311" s="100"/>
      <c r="E311" s="101"/>
      <c r="F311" s="101"/>
      <c r="G311" s="100" t="str">
        <f>IFERROR(VLOOKUP(Tablo515[[#This Row],[ÜRÜN KODU]],YMKODLARI!$A$1:$K$363,3,0)," ")</f>
        <v xml:space="preserve"> </v>
      </c>
      <c r="H311" s="100" t="str">
        <f>IFERROR(VLOOKUP(Tablo515[[#This Row],[ÜRÜN KODU]],YMKODLARI!$A$1:$K$363,4,0)," ")</f>
        <v xml:space="preserve"> </v>
      </c>
      <c r="I311" s="100"/>
      <c r="J311" s="100" t="str">
        <f>IFERROR(VLOOKUP(Tablo515[[#This Row],[ÜRÜN KODU]],YMKODLARI!$A$1:$K$363,9,0)," ")</f>
        <v xml:space="preserve"> </v>
      </c>
      <c r="K311" s="100" t="str">
        <f>IFERROR(VLOOKUP(Tablo515[[#This Row],[BOYA KODU]],Tablo14[#All],4,0)," ")</f>
        <v xml:space="preserve"> </v>
      </c>
      <c r="L311" s="100" t="str">
        <f>IFERROR(VLOOKUP(Tablo515[[#This Row],[BOYA KODU]],Tablo14[#All],6,0)," ")</f>
        <v xml:space="preserve"> </v>
      </c>
      <c r="M311" s="100" t="str">
        <f t="shared" si="32"/>
        <v xml:space="preserve"> </v>
      </c>
      <c r="N311" s="100" t="str">
        <f>IFERROR(VLOOKUP(Tablo515[[#This Row],[ÜRÜN KODU]],YMKODLARI!$A$1:$K$363,8,0)," ")</f>
        <v xml:space="preserve"> </v>
      </c>
      <c r="O311" s="100" t="str">
        <f>IFERROR(VLOOKUP(Tablo515[[#This Row],[HAMMADDE KODU]],Tablo1[#All],3,0)," ")</f>
        <v xml:space="preserve"> </v>
      </c>
      <c r="P311" s="100" t="str">
        <f>IFERROR(VLOOKUP(Tablo515[[#This Row],[HAMMADDE KODU]],Tablo1[#All],4,0)," ")</f>
        <v xml:space="preserve"> </v>
      </c>
      <c r="Q311" s="100" t="str">
        <f>IFERROR(VLOOKUP(Tablo515[[#This Row],[ÜRÜN KODU]],YMKODLARI!$A$1:$K$363,5,0)," ")</f>
        <v xml:space="preserve"> </v>
      </c>
      <c r="R311" s="100" t="str">
        <f>IFERROR(VLOOKUP(Tablo515[[#This Row],[ÜRÜN KODU]],YMKODLARI!$A$1:$K$363,6,0)," ")</f>
        <v xml:space="preserve"> </v>
      </c>
      <c r="S311" s="100" t="str">
        <f>IFERROR(Tablo515[[#This Row],[YOLLUK HARİÇ BASKI GRAMI]]/Tablo515[[#This Row],[KALIP GÖZ ADEDİ]]," ")</f>
        <v xml:space="preserve"> </v>
      </c>
      <c r="T311" s="100" t="str">
        <f t="shared" si="34"/>
        <v xml:space="preserve"> </v>
      </c>
      <c r="U311" s="100"/>
      <c r="V311" s="100" t="str">
        <f t="shared" si="33"/>
        <v xml:space="preserve"> </v>
      </c>
      <c r="W311" s="101">
        <f t="shared" si="35"/>
        <v>24</v>
      </c>
      <c r="X311" s="102">
        <f t="shared" si="36"/>
        <v>0</v>
      </c>
      <c r="Y311" s="100" t="str">
        <f t="shared" si="37"/>
        <v xml:space="preserve"> </v>
      </c>
      <c r="Z311" s="100" t="str">
        <f t="shared" si="38"/>
        <v xml:space="preserve"> </v>
      </c>
    </row>
    <row r="312" spans="1:26">
      <c r="A312" s="100"/>
      <c r="B312" s="108" t="str">
        <f>IFERROR(VLOOKUP(Tablo515[[#This Row],[ÜRÜN KODU]],YMKODLARI!$A$1:$K$363,2,0)," ")</f>
        <v xml:space="preserve"> </v>
      </c>
      <c r="C312" s="99"/>
      <c r="D312" s="100"/>
      <c r="E312" s="101"/>
      <c r="F312" s="101"/>
      <c r="G312" s="100" t="str">
        <f>IFERROR(VLOOKUP(Tablo515[[#This Row],[ÜRÜN KODU]],YMKODLARI!$A$1:$K$363,3,0)," ")</f>
        <v xml:space="preserve"> </v>
      </c>
      <c r="H312" s="100" t="str">
        <f>IFERROR(VLOOKUP(Tablo515[[#This Row],[ÜRÜN KODU]],YMKODLARI!$A$1:$K$363,4,0)," ")</f>
        <v xml:space="preserve"> </v>
      </c>
      <c r="I312" s="100"/>
      <c r="J312" s="100" t="str">
        <f>IFERROR(VLOOKUP(Tablo515[[#This Row],[ÜRÜN KODU]],YMKODLARI!$A$1:$K$363,9,0)," ")</f>
        <v xml:space="preserve"> </v>
      </c>
      <c r="K312" s="100" t="str">
        <f>IFERROR(VLOOKUP(Tablo515[[#This Row],[BOYA KODU]],Tablo14[#All],4,0)," ")</f>
        <v xml:space="preserve"> </v>
      </c>
      <c r="L312" s="100" t="str">
        <f>IFERROR(VLOOKUP(Tablo515[[#This Row],[BOYA KODU]],Tablo14[#All],6,0)," ")</f>
        <v xml:space="preserve"> </v>
      </c>
      <c r="M312" s="100" t="str">
        <f t="shared" si="32"/>
        <v xml:space="preserve"> </v>
      </c>
      <c r="N312" s="100" t="str">
        <f>IFERROR(VLOOKUP(Tablo515[[#This Row],[ÜRÜN KODU]],YMKODLARI!$A$1:$K$363,8,0)," ")</f>
        <v xml:space="preserve"> </v>
      </c>
      <c r="O312" s="100" t="str">
        <f>IFERROR(VLOOKUP(Tablo515[[#This Row],[HAMMADDE KODU]],Tablo1[#All],3,0)," ")</f>
        <v xml:space="preserve"> </v>
      </c>
      <c r="P312" s="100" t="str">
        <f>IFERROR(VLOOKUP(Tablo515[[#This Row],[HAMMADDE KODU]],Tablo1[#All],4,0)," ")</f>
        <v xml:space="preserve"> </v>
      </c>
      <c r="Q312" s="100" t="str">
        <f>IFERROR(VLOOKUP(Tablo515[[#This Row],[ÜRÜN KODU]],YMKODLARI!$A$1:$K$363,5,0)," ")</f>
        <v xml:space="preserve"> </v>
      </c>
      <c r="R312" s="100" t="str">
        <f>IFERROR(VLOOKUP(Tablo515[[#This Row],[ÜRÜN KODU]],YMKODLARI!$A$1:$K$363,6,0)," ")</f>
        <v xml:space="preserve"> </v>
      </c>
      <c r="S312" s="100" t="str">
        <f>IFERROR(Tablo515[[#This Row],[YOLLUK HARİÇ BASKI GRAMI]]/Tablo515[[#This Row],[KALIP GÖZ ADEDİ]]," ")</f>
        <v xml:space="preserve"> </v>
      </c>
      <c r="T312" s="100" t="str">
        <f t="shared" si="34"/>
        <v xml:space="preserve"> </v>
      </c>
      <c r="U312" s="100"/>
      <c r="V312" s="100" t="str">
        <f t="shared" si="33"/>
        <v xml:space="preserve"> </v>
      </c>
      <c r="W312" s="101">
        <f t="shared" si="35"/>
        <v>24</v>
      </c>
      <c r="X312" s="102">
        <f t="shared" si="36"/>
        <v>0</v>
      </c>
      <c r="Y312" s="100" t="str">
        <f t="shared" si="37"/>
        <v xml:space="preserve"> </v>
      </c>
      <c r="Z312" s="100" t="str">
        <f t="shared" si="38"/>
        <v xml:space="preserve"> </v>
      </c>
    </row>
    <row r="313" spans="1:26">
      <c r="A313" s="100"/>
      <c r="B313" s="108" t="str">
        <f>IFERROR(VLOOKUP(Tablo515[[#This Row],[ÜRÜN KODU]],YMKODLARI!$A$1:$K$363,2,0)," ")</f>
        <v xml:space="preserve"> </v>
      </c>
      <c r="C313" s="99"/>
      <c r="D313" s="100"/>
      <c r="E313" s="101"/>
      <c r="F313" s="101"/>
      <c r="G313" s="100" t="str">
        <f>IFERROR(VLOOKUP(Tablo515[[#This Row],[ÜRÜN KODU]],YMKODLARI!$A$1:$K$363,3,0)," ")</f>
        <v xml:space="preserve"> </v>
      </c>
      <c r="H313" s="100" t="str">
        <f>IFERROR(VLOOKUP(Tablo515[[#This Row],[ÜRÜN KODU]],YMKODLARI!$A$1:$K$363,4,0)," ")</f>
        <v xml:space="preserve"> </v>
      </c>
      <c r="I313" s="100"/>
      <c r="J313" s="100" t="str">
        <f>IFERROR(VLOOKUP(Tablo515[[#This Row],[ÜRÜN KODU]],YMKODLARI!$A$1:$K$363,9,0)," ")</f>
        <v xml:space="preserve"> </v>
      </c>
      <c r="K313" s="100" t="str">
        <f>IFERROR(VLOOKUP(Tablo515[[#This Row],[BOYA KODU]],Tablo14[#All],4,0)," ")</f>
        <v xml:space="preserve"> </v>
      </c>
      <c r="L313" s="100" t="str">
        <f>IFERROR(VLOOKUP(Tablo515[[#This Row],[BOYA KODU]],Tablo14[#All],6,0)," ")</f>
        <v xml:space="preserve"> </v>
      </c>
      <c r="M313" s="100" t="str">
        <f t="shared" si="32"/>
        <v xml:space="preserve"> </v>
      </c>
      <c r="N313" s="100" t="str">
        <f>IFERROR(VLOOKUP(Tablo515[[#This Row],[ÜRÜN KODU]],YMKODLARI!$A$1:$K$363,8,0)," ")</f>
        <v xml:space="preserve"> </v>
      </c>
      <c r="O313" s="100" t="str">
        <f>IFERROR(VLOOKUP(Tablo515[[#This Row],[HAMMADDE KODU]],Tablo1[#All],3,0)," ")</f>
        <v xml:space="preserve"> </v>
      </c>
      <c r="P313" s="100" t="str">
        <f>IFERROR(VLOOKUP(Tablo515[[#This Row],[HAMMADDE KODU]],Tablo1[#All],4,0)," ")</f>
        <v xml:space="preserve"> </v>
      </c>
      <c r="Q313" s="100" t="str">
        <f>IFERROR(VLOOKUP(Tablo515[[#This Row],[ÜRÜN KODU]],YMKODLARI!$A$1:$K$363,5,0)," ")</f>
        <v xml:space="preserve"> </v>
      </c>
      <c r="R313" s="100" t="str">
        <f>IFERROR(VLOOKUP(Tablo515[[#This Row],[ÜRÜN KODU]],YMKODLARI!$A$1:$K$363,6,0)," ")</f>
        <v xml:space="preserve"> </v>
      </c>
      <c r="S313" s="100" t="str">
        <f>IFERROR(Tablo515[[#This Row],[YOLLUK HARİÇ BASKI GRAMI]]/Tablo515[[#This Row],[KALIP GÖZ ADEDİ]]," ")</f>
        <v xml:space="preserve"> </v>
      </c>
      <c r="T313" s="100" t="str">
        <f t="shared" si="34"/>
        <v xml:space="preserve"> </v>
      </c>
      <c r="U313" s="100"/>
      <c r="V313" s="100" t="str">
        <f t="shared" si="33"/>
        <v xml:space="preserve"> </v>
      </c>
      <c r="W313" s="101">
        <f t="shared" si="35"/>
        <v>24</v>
      </c>
      <c r="X313" s="102">
        <f t="shared" si="36"/>
        <v>0</v>
      </c>
      <c r="Y313" s="100" t="str">
        <f t="shared" si="37"/>
        <v xml:space="preserve"> </v>
      </c>
      <c r="Z313" s="100" t="str">
        <f t="shared" si="38"/>
        <v xml:space="preserve"> </v>
      </c>
    </row>
    <row r="314" spans="1:26">
      <c r="A314" s="100"/>
      <c r="B314" s="108" t="str">
        <f>IFERROR(VLOOKUP(Tablo515[[#This Row],[ÜRÜN KODU]],YMKODLARI!$A$1:$K$363,2,0)," ")</f>
        <v xml:space="preserve"> </v>
      </c>
      <c r="C314" s="99"/>
      <c r="D314" s="100"/>
      <c r="E314" s="101"/>
      <c r="F314" s="101"/>
      <c r="G314" s="100" t="str">
        <f>IFERROR(VLOOKUP(Tablo515[[#This Row],[ÜRÜN KODU]],YMKODLARI!$A$1:$K$363,3,0)," ")</f>
        <v xml:space="preserve"> </v>
      </c>
      <c r="H314" s="100" t="str">
        <f>IFERROR(VLOOKUP(Tablo515[[#This Row],[ÜRÜN KODU]],YMKODLARI!$A$1:$K$363,4,0)," ")</f>
        <v xml:space="preserve"> </v>
      </c>
      <c r="I314" s="100"/>
      <c r="J314" s="100" t="str">
        <f>IFERROR(VLOOKUP(Tablo515[[#This Row],[ÜRÜN KODU]],YMKODLARI!$A$1:$K$363,9,0)," ")</f>
        <v xml:space="preserve"> </v>
      </c>
      <c r="K314" s="100" t="str">
        <f>IFERROR(VLOOKUP(Tablo515[[#This Row],[BOYA KODU]],Tablo14[#All],4,0)," ")</f>
        <v xml:space="preserve"> </v>
      </c>
      <c r="L314" s="100" t="str">
        <f>IFERROR(VLOOKUP(Tablo515[[#This Row],[BOYA KODU]],Tablo14[#All],6,0)," ")</f>
        <v xml:space="preserve"> </v>
      </c>
      <c r="M314" s="100" t="str">
        <f t="shared" si="32"/>
        <v xml:space="preserve"> </v>
      </c>
      <c r="N314" s="100" t="str">
        <f>IFERROR(VLOOKUP(Tablo515[[#This Row],[ÜRÜN KODU]],YMKODLARI!$A$1:$K$363,8,0)," ")</f>
        <v xml:space="preserve"> </v>
      </c>
      <c r="O314" s="100" t="str">
        <f>IFERROR(VLOOKUP(Tablo515[[#This Row],[HAMMADDE KODU]],Tablo1[#All],3,0)," ")</f>
        <v xml:space="preserve"> </v>
      </c>
      <c r="P314" s="100" t="str">
        <f>IFERROR(VLOOKUP(Tablo515[[#This Row],[HAMMADDE KODU]],Tablo1[#All],4,0)," ")</f>
        <v xml:space="preserve"> </v>
      </c>
      <c r="Q314" s="100" t="str">
        <f>IFERROR(VLOOKUP(Tablo515[[#This Row],[ÜRÜN KODU]],YMKODLARI!$A$1:$K$363,5,0)," ")</f>
        <v xml:space="preserve"> </v>
      </c>
      <c r="R314" s="100" t="str">
        <f>IFERROR(VLOOKUP(Tablo515[[#This Row],[ÜRÜN KODU]],YMKODLARI!$A$1:$K$363,6,0)," ")</f>
        <v xml:space="preserve"> </v>
      </c>
      <c r="S314" s="100" t="str">
        <f>IFERROR(Tablo515[[#This Row],[YOLLUK HARİÇ BASKI GRAMI]]/Tablo515[[#This Row],[KALIP GÖZ ADEDİ]]," ")</f>
        <v xml:space="preserve"> </v>
      </c>
      <c r="T314" s="100" t="str">
        <f t="shared" si="34"/>
        <v xml:space="preserve"> </v>
      </c>
      <c r="U314" s="100"/>
      <c r="V314" s="100" t="str">
        <f t="shared" si="33"/>
        <v xml:space="preserve"> </v>
      </c>
      <c r="W314" s="101">
        <f t="shared" si="35"/>
        <v>24</v>
      </c>
      <c r="X314" s="102">
        <f t="shared" si="36"/>
        <v>0</v>
      </c>
      <c r="Y314" s="100" t="str">
        <f t="shared" si="37"/>
        <v xml:space="preserve"> </v>
      </c>
      <c r="Z314" s="100" t="str">
        <f t="shared" si="38"/>
        <v xml:space="preserve"> </v>
      </c>
    </row>
    <row r="315" spans="1:26">
      <c r="A315" s="100"/>
      <c r="B315" s="108" t="str">
        <f>IFERROR(VLOOKUP(Tablo515[[#This Row],[ÜRÜN KODU]],YMKODLARI!$A$1:$K$363,2,0)," ")</f>
        <v xml:space="preserve"> </v>
      </c>
      <c r="C315" s="99"/>
      <c r="D315" s="100"/>
      <c r="E315" s="101"/>
      <c r="F315" s="101"/>
      <c r="G315" s="100" t="str">
        <f>IFERROR(VLOOKUP(Tablo515[[#This Row],[ÜRÜN KODU]],YMKODLARI!$A$1:$K$363,3,0)," ")</f>
        <v xml:space="preserve"> </v>
      </c>
      <c r="H315" s="100" t="str">
        <f>IFERROR(VLOOKUP(Tablo515[[#This Row],[ÜRÜN KODU]],YMKODLARI!$A$1:$K$363,4,0)," ")</f>
        <v xml:space="preserve"> </v>
      </c>
      <c r="I315" s="100"/>
      <c r="J315" s="100" t="str">
        <f>IFERROR(VLOOKUP(Tablo515[[#This Row],[ÜRÜN KODU]],YMKODLARI!$A$1:$K$363,9,0)," ")</f>
        <v xml:space="preserve"> </v>
      </c>
      <c r="K315" s="100" t="str">
        <f>IFERROR(VLOOKUP(Tablo515[[#This Row],[BOYA KODU]],Tablo14[#All],4,0)," ")</f>
        <v xml:space="preserve"> </v>
      </c>
      <c r="L315" s="100" t="str">
        <f>IFERROR(VLOOKUP(Tablo515[[#This Row],[BOYA KODU]],Tablo14[#All],6,0)," ")</f>
        <v xml:space="preserve"> </v>
      </c>
      <c r="M315" s="100" t="str">
        <f t="shared" si="32"/>
        <v xml:space="preserve"> </v>
      </c>
      <c r="N315" s="100" t="str">
        <f>IFERROR(VLOOKUP(Tablo515[[#This Row],[ÜRÜN KODU]],YMKODLARI!$A$1:$K$363,8,0)," ")</f>
        <v xml:space="preserve"> </v>
      </c>
      <c r="O315" s="100" t="str">
        <f>IFERROR(VLOOKUP(Tablo515[[#This Row],[HAMMADDE KODU]],Tablo1[#All],3,0)," ")</f>
        <v xml:space="preserve"> </v>
      </c>
      <c r="P315" s="100" t="str">
        <f>IFERROR(VLOOKUP(Tablo515[[#This Row],[HAMMADDE KODU]],Tablo1[#All],4,0)," ")</f>
        <v xml:space="preserve"> </v>
      </c>
      <c r="Q315" s="100" t="str">
        <f>IFERROR(VLOOKUP(Tablo515[[#This Row],[ÜRÜN KODU]],YMKODLARI!$A$1:$K$363,5,0)," ")</f>
        <v xml:space="preserve"> </v>
      </c>
      <c r="R315" s="100" t="str">
        <f>IFERROR(VLOOKUP(Tablo515[[#This Row],[ÜRÜN KODU]],YMKODLARI!$A$1:$K$363,6,0)," ")</f>
        <v xml:space="preserve"> </v>
      </c>
      <c r="S315" s="100" t="str">
        <f>IFERROR(Tablo515[[#This Row],[YOLLUK HARİÇ BASKI GRAMI]]/Tablo515[[#This Row],[KALIP GÖZ ADEDİ]]," ")</f>
        <v xml:space="preserve"> </v>
      </c>
      <c r="T315" s="100" t="str">
        <f t="shared" si="34"/>
        <v xml:space="preserve"> </v>
      </c>
      <c r="U315" s="100"/>
      <c r="V315" s="100" t="str">
        <f t="shared" si="33"/>
        <v xml:space="preserve"> </v>
      </c>
      <c r="W315" s="101">
        <f t="shared" si="35"/>
        <v>24</v>
      </c>
      <c r="X315" s="102">
        <f t="shared" si="36"/>
        <v>0</v>
      </c>
      <c r="Y315" s="100" t="str">
        <f t="shared" si="37"/>
        <v xml:space="preserve"> </v>
      </c>
      <c r="Z315" s="100" t="str">
        <f t="shared" si="38"/>
        <v xml:space="preserve"> </v>
      </c>
    </row>
    <row r="316" spans="1:26">
      <c r="A316" s="100"/>
      <c r="B316" s="108" t="str">
        <f>IFERROR(VLOOKUP(Tablo515[[#This Row],[ÜRÜN KODU]],YMKODLARI!$A$1:$K$363,2,0)," ")</f>
        <v xml:space="preserve"> </v>
      </c>
      <c r="C316" s="99"/>
      <c r="D316" s="100"/>
      <c r="E316" s="101"/>
      <c r="F316" s="101"/>
      <c r="G316" s="100" t="str">
        <f>IFERROR(VLOOKUP(Tablo515[[#This Row],[ÜRÜN KODU]],YMKODLARI!$A$1:$K$363,3,0)," ")</f>
        <v xml:space="preserve"> </v>
      </c>
      <c r="H316" s="100" t="str">
        <f>IFERROR(VLOOKUP(Tablo515[[#This Row],[ÜRÜN KODU]],YMKODLARI!$A$1:$K$363,4,0)," ")</f>
        <v xml:space="preserve"> </v>
      </c>
      <c r="I316" s="100"/>
      <c r="J316" s="100" t="str">
        <f>IFERROR(VLOOKUP(Tablo515[[#This Row],[ÜRÜN KODU]],YMKODLARI!$A$1:$K$363,9,0)," ")</f>
        <v xml:space="preserve"> </v>
      </c>
      <c r="K316" s="100" t="str">
        <f>IFERROR(VLOOKUP(Tablo515[[#This Row],[BOYA KODU]],Tablo14[#All],4,0)," ")</f>
        <v xml:space="preserve"> </v>
      </c>
      <c r="L316" s="100" t="str">
        <f>IFERROR(VLOOKUP(Tablo515[[#This Row],[BOYA KODU]],Tablo14[#All],6,0)," ")</f>
        <v xml:space="preserve"> </v>
      </c>
      <c r="M316" s="100" t="str">
        <f t="shared" si="32"/>
        <v xml:space="preserve"> </v>
      </c>
      <c r="N316" s="100" t="str">
        <f>IFERROR(VLOOKUP(Tablo515[[#This Row],[ÜRÜN KODU]],YMKODLARI!$A$1:$K$363,8,0)," ")</f>
        <v xml:space="preserve"> </v>
      </c>
      <c r="O316" s="100" t="str">
        <f>IFERROR(VLOOKUP(Tablo515[[#This Row],[HAMMADDE KODU]],Tablo1[#All],3,0)," ")</f>
        <v xml:space="preserve"> </v>
      </c>
      <c r="P316" s="100" t="str">
        <f>IFERROR(VLOOKUP(Tablo515[[#This Row],[HAMMADDE KODU]],Tablo1[#All],4,0)," ")</f>
        <v xml:space="preserve"> </v>
      </c>
      <c r="Q316" s="100" t="str">
        <f>IFERROR(VLOOKUP(Tablo515[[#This Row],[ÜRÜN KODU]],YMKODLARI!$A$1:$K$363,5,0)," ")</f>
        <v xml:space="preserve"> </v>
      </c>
      <c r="R316" s="100" t="str">
        <f>IFERROR(VLOOKUP(Tablo515[[#This Row],[ÜRÜN KODU]],YMKODLARI!$A$1:$K$363,6,0)," ")</f>
        <v xml:space="preserve"> </v>
      </c>
      <c r="S316" s="100" t="str">
        <f>IFERROR(Tablo515[[#This Row],[YOLLUK HARİÇ BASKI GRAMI]]/Tablo515[[#This Row],[KALIP GÖZ ADEDİ]]," ")</f>
        <v xml:space="preserve"> </v>
      </c>
      <c r="T316" s="100" t="str">
        <f t="shared" si="34"/>
        <v xml:space="preserve"> </v>
      </c>
      <c r="U316" s="100"/>
      <c r="V316" s="100" t="str">
        <f t="shared" si="33"/>
        <v xml:space="preserve"> </v>
      </c>
      <c r="W316" s="101">
        <f t="shared" si="35"/>
        <v>24</v>
      </c>
      <c r="X316" s="102">
        <f t="shared" si="36"/>
        <v>0</v>
      </c>
      <c r="Y316" s="100" t="str">
        <f t="shared" si="37"/>
        <v xml:space="preserve"> </v>
      </c>
      <c r="Z316" s="100" t="str">
        <f t="shared" si="38"/>
        <v xml:space="preserve"> </v>
      </c>
    </row>
    <row r="317" spans="1:26">
      <c r="A317" s="100"/>
      <c r="B317" s="108" t="str">
        <f>IFERROR(VLOOKUP(Tablo515[[#This Row],[ÜRÜN KODU]],YMKODLARI!$A$1:$K$363,2,0)," ")</f>
        <v xml:space="preserve"> </v>
      </c>
      <c r="C317" s="99"/>
      <c r="D317" s="100"/>
      <c r="E317" s="101"/>
      <c r="F317" s="101"/>
      <c r="G317" s="100" t="str">
        <f>IFERROR(VLOOKUP(Tablo515[[#This Row],[ÜRÜN KODU]],YMKODLARI!$A$1:$K$363,3,0)," ")</f>
        <v xml:space="preserve"> </v>
      </c>
      <c r="H317" s="100" t="str">
        <f>IFERROR(VLOOKUP(Tablo515[[#This Row],[ÜRÜN KODU]],YMKODLARI!$A$1:$K$363,4,0)," ")</f>
        <v xml:space="preserve"> </v>
      </c>
      <c r="I317" s="100"/>
      <c r="J317" s="100" t="str">
        <f>IFERROR(VLOOKUP(Tablo515[[#This Row],[ÜRÜN KODU]],YMKODLARI!$A$1:$K$363,9,0)," ")</f>
        <v xml:space="preserve"> </v>
      </c>
      <c r="K317" s="100" t="str">
        <f>IFERROR(VLOOKUP(Tablo515[[#This Row],[BOYA KODU]],Tablo14[#All],4,0)," ")</f>
        <v xml:space="preserve"> </v>
      </c>
      <c r="L317" s="100" t="str">
        <f>IFERROR(VLOOKUP(Tablo515[[#This Row],[BOYA KODU]],Tablo14[#All],6,0)," ")</f>
        <v xml:space="preserve"> </v>
      </c>
      <c r="M317" s="100" t="str">
        <f t="shared" si="32"/>
        <v xml:space="preserve"> </v>
      </c>
      <c r="N317" s="100" t="str">
        <f>IFERROR(VLOOKUP(Tablo515[[#This Row],[ÜRÜN KODU]],YMKODLARI!$A$1:$K$363,8,0)," ")</f>
        <v xml:space="preserve"> </v>
      </c>
      <c r="O317" s="100" t="str">
        <f>IFERROR(VLOOKUP(Tablo515[[#This Row],[HAMMADDE KODU]],Tablo1[#All],3,0)," ")</f>
        <v xml:space="preserve"> </v>
      </c>
      <c r="P317" s="100" t="str">
        <f>IFERROR(VLOOKUP(Tablo515[[#This Row],[HAMMADDE KODU]],Tablo1[#All],4,0)," ")</f>
        <v xml:space="preserve"> </v>
      </c>
      <c r="Q317" s="100" t="str">
        <f>IFERROR(VLOOKUP(Tablo515[[#This Row],[ÜRÜN KODU]],YMKODLARI!$A$1:$K$363,5,0)," ")</f>
        <v xml:space="preserve"> </v>
      </c>
      <c r="R317" s="100" t="str">
        <f>IFERROR(VLOOKUP(Tablo515[[#This Row],[ÜRÜN KODU]],YMKODLARI!$A$1:$K$363,6,0)," ")</f>
        <v xml:space="preserve"> </v>
      </c>
      <c r="S317" s="100" t="str">
        <f>IFERROR(Tablo515[[#This Row],[YOLLUK HARİÇ BASKI GRAMI]]/Tablo515[[#This Row],[KALIP GÖZ ADEDİ]]," ")</f>
        <v xml:space="preserve"> </v>
      </c>
      <c r="T317" s="100" t="str">
        <f t="shared" si="34"/>
        <v xml:space="preserve"> </v>
      </c>
      <c r="U317" s="100"/>
      <c r="V317" s="100" t="str">
        <f t="shared" si="33"/>
        <v xml:space="preserve"> </v>
      </c>
      <c r="W317" s="101">
        <f t="shared" si="35"/>
        <v>24</v>
      </c>
      <c r="X317" s="102">
        <f t="shared" si="36"/>
        <v>0</v>
      </c>
      <c r="Y317" s="100" t="str">
        <f t="shared" si="37"/>
        <v xml:space="preserve"> </v>
      </c>
      <c r="Z317" s="100" t="str">
        <f t="shared" si="38"/>
        <v xml:space="preserve"> </v>
      </c>
    </row>
    <row r="318" spans="1:26">
      <c r="A318" s="100"/>
      <c r="B318" s="108" t="str">
        <f>IFERROR(VLOOKUP(Tablo515[[#This Row],[ÜRÜN KODU]],YMKODLARI!$A$1:$K$363,2,0)," ")</f>
        <v xml:space="preserve"> </v>
      </c>
      <c r="C318" s="99"/>
      <c r="D318" s="100"/>
      <c r="E318" s="101"/>
      <c r="F318" s="101"/>
      <c r="G318" s="100" t="str">
        <f>IFERROR(VLOOKUP(Tablo515[[#This Row],[ÜRÜN KODU]],YMKODLARI!$A$1:$K$363,3,0)," ")</f>
        <v xml:space="preserve"> </v>
      </c>
      <c r="H318" s="100" t="str">
        <f>IFERROR(VLOOKUP(Tablo515[[#This Row],[ÜRÜN KODU]],YMKODLARI!$A$1:$K$363,4,0)," ")</f>
        <v xml:space="preserve"> </v>
      </c>
      <c r="I318" s="100"/>
      <c r="J318" s="100" t="str">
        <f>IFERROR(VLOOKUP(Tablo515[[#This Row],[ÜRÜN KODU]],YMKODLARI!$A$1:$K$363,9,0)," ")</f>
        <v xml:space="preserve"> </v>
      </c>
      <c r="K318" s="100" t="str">
        <f>IFERROR(VLOOKUP(Tablo515[[#This Row],[BOYA KODU]],Tablo14[#All],4,0)," ")</f>
        <v xml:space="preserve"> </v>
      </c>
      <c r="L318" s="100" t="str">
        <f>IFERROR(VLOOKUP(Tablo515[[#This Row],[BOYA KODU]],Tablo14[#All],6,0)," ")</f>
        <v xml:space="preserve"> </v>
      </c>
      <c r="M318" s="100" t="str">
        <f t="shared" si="32"/>
        <v xml:space="preserve"> </v>
      </c>
      <c r="N318" s="100" t="str">
        <f>IFERROR(VLOOKUP(Tablo515[[#This Row],[ÜRÜN KODU]],YMKODLARI!$A$1:$K$363,8,0)," ")</f>
        <v xml:space="preserve"> </v>
      </c>
      <c r="O318" s="100" t="str">
        <f>IFERROR(VLOOKUP(Tablo515[[#This Row],[HAMMADDE KODU]],Tablo1[#All],3,0)," ")</f>
        <v xml:space="preserve"> </v>
      </c>
      <c r="P318" s="100" t="str">
        <f>IFERROR(VLOOKUP(Tablo515[[#This Row],[HAMMADDE KODU]],Tablo1[#All],4,0)," ")</f>
        <v xml:space="preserve"> </v>
      </c>
      <c r="Q318" s="100" t="str">
        <f>IFERROR(VLOOKUP(Tablo515[[#This Row],[ÜRÜN KODU]],YMKODLARI!$A$1:$K$363,5,0)," ")</f>
        <v xml:space="preserve"> </v>
      </c>
      <c r="R318" s="100" t="str">
        <f>IFERROR(VLOOKUP(Tablo515[[#This Row],[ÜRÜN KODU]],YMKODLARI!$A$1:$K$363,6,0)," ")</f>
        <v xml:space="preserve"> </v>
      </c>
      <c r="S318" s="100" t="str">
        <f>IFERROR(Tablo515[[#This Row],[YOLLUK HARİÇ BASKI GRAMI]]/Tablo515[[#This Row],[KALIP GÖZ ADEDİ]]," ")</f>
        <v xml:space="preserve"> </v>
      </c>
      <c r="T318" s="100" t="str">
        <f t="shared" si="34"/>
        <v xml:space="preserve"> </v>
      </c>
      <c r="U318" s="100"/>
      <c r="V318" s="100" t="str">
        <f t="shared" si="33"/>
        <v xml:space="preserve"> </v>
      </c>
      <c r="W318" s="101">
        <f t="shared" si="35"/>
        <v>24</v>
      </c>
      <c r="X318" s="102">
        <f t="shared" si="36"/>
        <v>0</v>
      </c>
      <c r="Y318" s="100" t="str">
        <f t="shared" si="37"/>
        <v xml:space="preserve"> </v>
      </c>
      <c r="Z318" s="100" t="str">
        <f t="shared" si="38"/>
        <v xml:space="preserve"> </v>
      </c>
    </row>
    <row r="319" spans="1:26">
      <c r="A319" s="100"/>
      <c r="B319" s="108" t="str">
        <f>IFERROR(VLOOKUP(Tablo515[[#This Row],[ÜRÜN KODU]],YMKODLARI!$A$1:$K$363,2,0)," ")</f>
        <v xml:space="preserve"> </v>
      </c>
      <c r="C319" s="99"/>
      <c r="D319" s="100"/>
      <c r="E319" s="101"/>
      <c r="F319" s="101"/>
      <c r="G319" s="100" t="str">
        <f>IFERROR(VLOOKUP(Tablo515[[#This Row],[ÜRÜN KODU]],YMKODLARI!$A$1:$K$363,3,0)," ")</f>
        <v xml:space="preserve"> </v>
      </c>
      <c r="H319" s="100" t="str">
        <f>IFERROR(VLOOKUP(Tablo515[[#This Row],[ÜRÜN KODU]],YMKODLARI!$A$1:$K$363,4,0)," ")</f>
        <v xml:space="preserve"> </v>
      </c>
      <c r="I319" s="100"/>
      <c r="J319" s="100" t="str">
        <f>IFERROR(VLOOKUP(Tablo515[[#This Row],[ÜRÜN KODU]],YMKODLARI!$A$1:$K$363,9,0)," ")</f>
        <v xml:space="preserve"> </v>
      </c>
      <c r="K319" s="100" t="str">
        <f>IFERROR(VLOOKUP(Tablo515[[#This Row],[BOYA KODU]],Tablo14[#All],4,0)," ")</f>
        <v xml:space="preserve"> </v>
      </c>
      <c r="L319" s="100" t="str">
        <f>IFERROR(VLOOKUP(Tablo515[[#This Row],[BOYA KODU]],Tablo14[#All],6,0)," ")</f>
        <v xml:space="preserve"> </v>
      </c>
      <c r="M319" s="100" t="str">
        <f t="shared" si="32"/>
        <v xml:space="preserve"> </v>
      </c>
      <c r="N319" s="100" t="str">
        <f>IFERROR(VLOOKUP(Tablo515[[#This Row],[ÜRÜN KODU]],YMKODLARI!$A$1:$K$363,8,0)," ")</f>
        <v xml:space="preserve"> </v>
      </c>
      <c r="O319" s="100" t="str">
        <f>IFERROR(VLOOKUP(Tablo515[[#This Row],[HAMMADDE KODU]],Tablo1[#All],3,0)," ")</f>
        <v xml:space="preserve"> </v>
      </c>
      <c r="P319" s="100" t="str">
        <f>IFERROR(VLOOKUP(Tablo515[[#This Row],[HAMMADDE KODU]],Tablo1[#All],4,0)," ")</f>
        <v xml:space="preserve"> </v>
      </c>
      <c r="Q319" s="100" t="str">
        <f>IFERROR(VLOOKUP(Tablo515[[#This Row],[ÜRÜN KODU]],YMKODLARI!$A$1:$K$363,5,0)," ")</f>
        <v xml:space="preserve"> </v>
      </c>
      <c r="R319" s="100" t="str">
        <f>IFERROR(VLOOKUP(Tablo515[[#This Row],[ÜRÜN KODU]],YMKODLARI!$A$1:$K$363,6,0)," ")</f>
        <v xml:space="preserve"> </v>
      </c>
      <c r="S319" s="100" t="str">
        <f>IFERROR(Tablo515[[#This Row],[YOLLUK HARİÇ BASKI GRAMI]]/Tablo515[[#This Row],[KALIP GÖZ ADEDİ]]," ")</f>
        <v xml:space="preserve"> </v>
      </c>
      <c r="T319" s="100" t="str">
        <f t="shared" si="34"/>
        <v xml:space="preserve"> </v>
      </c>
      <c r="U319" s="100"/>
      <c r="V319" s="100" t="str">
        <f t="shared" si="33"/>
        <v xml:space="preserve"> </v>
      </c>
      <c r="W319" s="101">
        <f t="shared" si="35"/>
        <v>24</v>
      </c>
      <c r="X319" s="102">
        <f t="shared" si="36"/>
        <v>0</v>
      </c>
      <c r="Y319" s="100" t="str">
        <f t="shared" si="37"/>
        <v xml:space="preserve"> </v>
      </c>
      <c r="Z319" s="100" t="str">
        <f t="shared" si="38"/>
        <v xml:space="preserve"> </v>
      </c>
    </row>
    <row r="320" spans="1:26">
      <c r="A320" s="100"/>
      <c r="B320" s="108" t="str">
        <f>IFERROR(VLOOKUP(Tablo515[[#This Row],[ÜRÜN KODU]],YMKODLARI!$A$1:$K$363,2,0)," ")</f>
        <v xml:space="preserve"> </v>
      </c>
      <c r="C320" s="99"/>
      <c r="D320" s="100"/>
      <c r="E320" s="101"/>
      <c r="F320" s="101"/>
      <c r="G320" s="100" t="str">
        <f>IFERROR(VLOOKUP(Tablo515[[#This Row],[ÜRÜN KODU]],YMKODLARI!$A$1:$K$363,3,0)," ")</f>
        <v xml:space="preserve"> </v>
      </c>
      <c r="H320" s="100" t="str">
        <f>IFERROR(VLOOKUP(Tablo515[[#This Row],[ÜRÜN KODU]],YMKODLARI!$A$1:$K$363,4,0)," ")</f>
        <v xml:space="preserve"> </v>
      </c>
      <c r="I320" s="100"/>
      <c r="J320" s="100" t="str">
        <f>IFERROR(VLOOKUP(Tablo515[[#This Row],[ÜRÜN KODU]],YMKODLARI!$A$1:$K$363,9,0)," ")</f>
        <v xml:space="preserve"> </v>
      </c>
      <c r="K320" s="100" t="str">
        <f>IFERROR(VLOOKUP(Tablo515[[#This Row],[BOYA KODU]],Tablo14[#All],4,0)," ")</f>
        <v xml:space="preserve"> </v>
      </c>
      <c r="L320" s="100" t="str">
        <f>IFERROR(VLOOKUP(Tablo515[[#This Row],[BOYA KODU]],Tablo14[#All],6,0)," ")</f>
        <v xml:space="preserve"> </v>
      </c>
      <c r="M320" s="100" t="str">
        <f t="shared" si="32"/>
        <v xml:space="preserve"> </v>
      </c>
      <c r="N320" s="100" t="str">
        <f>IFERROR(VLOOKUP(Tablo515[[#This Row],[ÜRÜN KODU]],YMKODLARI!$A$1:$K$363,8,0)," ")</f>
        <v xml:space="preserve"> </v>
      </c>
      <c r="O320" s="100" t="str">
        <f>IFERROR(VLOOKUP(Tablo515[[#This Row],[HAMMADDE KODU]],Tablo1[#All],3,0)," ")</f>
        <v xml:space="preserve"> </v>
      </c>
      <c r="P320" s="100" t="str">
        <f>IFERROR(VLOOKUP(Tablo515[[#This Row],[HAMMADDE KODU]],Tablo1[#All],4,0)," ")</f>
        <v xml:space="preserve"> </v>
      </c>
      <c r="Q320" s="100" t="str">
        <f>IFERROR(VLOOKUP(Tablo515[[#This Row],[ÜRÜN KODU]],YMKODLARI!$A$1:$K$363,5,0)," ")</f>
        <v xml:space="preserve"> </v>
      </c>
      <c r="R320" s="100" t="str">
        <f>IFERROR(VLOOKUP(Tablo515[[#This Row],[ÜRÜN KODU]],YMKODLARI!$A$1:$K$363,6,0)," ")</f>
        <v xml:space="preserve"> </v>
      </c>
      <c r="S320" s="100" t="str">
        <f>IFERROR(Tablo515[[#This Row],[YOLLUK HARİÇ BASKI GRAMI]]/Tablo515[[#This Row],[KALIP GÖZ ADEDİ]]," ")</f>
        <v xml:space="preserve"> </v>
      </c>
      <c r="T320" s="100" t="str">
        <f t="shared" si="34"/>
        <v xml:space="preserve"> </v>
      </c>
      <c r="U320" s="100"/>
      <c r="V320" s="100" t="str">
        <f t="shared" si="33"/>
        <v xml:space="preserve"> </v>
      </c>
      <c r="W320" s="101">
        <f t="shared" si="35"/>
        <v>24</v>
      </c>
      <c r="X320" s="102">
        <f t="shared" si="36"/>
        <v>0</v>
      </c>
      <c r="Y320" s="100" t="str">
        <f t="shared" si="37"/>
        <v xml:space="preserve"> </v>
      </c>
      <c r="Z320" s="100" t="str">
        <f t="shared" si="38"/>
        <v xml:space="preserve"> </v>
      </c>
    </row>
    <row r="321" spans="1:26">
      <c r="A321" s="100"/>
      <c r="B321" s="108" t="str">
        <f>IFERROR(VLOOKUP(Tablo515[[#This Row],[ÜRÜN KODU]],YMKODLARI!$A$1:$K$363,2,0)," ")</f>
        <v xml:space="preserve"> </v>
      </c>
      <c r="C321" s="99"/>
      <c r="D321" s="100"/>
      <c r="E321" s="101"/>
      <c r="F321" s="101"/>
      <c r="G321" s="100" t="str">
        <f>IFERROR(VLOOKUP(Tablo515[[#This Row],[ÜRÜN KODU]],YMKODLARI!$A$1:$K$363,3,0)," ")</f>
        <v xml:space="preserve"> </v>
      </c>
      <c r="H321" s="100" t="str">
        <f>IFERROR(VLOOKUP(Tablo515[[#This Row],[ÜRÜN KODU]],YMKODLARI!$A$1:$K$363,4,0)," ")</f>
        <v xml:space="preserve"> </v>
      </c>
      <c r="I321" s="100"/>
      <c r="J321" s="100" t="str">
        <f>IFERROR(VLOOKUP(Tablo515[[#This Row],[ÜRÜN KODU]],YMKODLARI!$A$1:$K$363,9,0)," ")</f>
        <v xml:space="preserve"> </v>
      </c>
      <c r="K321" s="100" t="str">
        <f>IFERROR(VLOOKUP(Tablo515[[#This Row],[BOYA KODU]],Tablo14[#All],4,0)," ")</f>
        <v xml:space="preserve"> </v>
      </c>
      <c r="L321" s="100" t="str">
        <f>IFERROR(VLOOKUP(Tablo515[[#This Row],[BOYA KODU]],Tablo14[#All],6,0)," ")</f>
        <v xml:space="preserve"> </v>
      </c>
      <c r="M321" s="100" t="str">
        <f t="shared" si="32"/>
        <v xml:space="preserve"> </v>
      </c>
      <c r="N321" s="100" t="str">
        <f>IFERROR(VLOOKUP(Tablo515[[#This Row],[ÜRÜN KODU]],YMKODLARI!$A$1:$K$363,8,0)," ")</f>
        <v xml:space="preserve"> </v>
      </c>
      <c r="O321" s="100" t="str">
        <f>IFERROR(VLOOKUP(Tablo515[[#This Row],[HAMMADDE KODU]],Tablo1[#All],3,0)," ")</f>
        <v xml:space="preserve"> </v>
      </c>
      <c r="P321" s="100" t="str">
        <f>IFERROR(VLOOKUP(Tablo515[[#This Row],[HAMMADDE KODU]],Tablo1[#All],4,0)," ")</f>
        <v xml:space="preserve"> </v>
      </c>
      <c r="Q321" s="100" t="str">
        <f>IFERROR(VLOOKUP(Tablo515[[#This Row],[ÜRÜN KODU]],YMKODLARI!$A$1:$K$363,5,0)," ")</f>
        <v xml:space="preserve"> </v>
      </c>
      <c r="R321" s="100" t="str">
        <f>IFERROR(VLOOKUP(Tablo515[[#This Row],[ÜRÜN KODU]],YMKODLARI!$A$1:$K$363,6,0)," ")</f>
        <v xml:space="preserve"> </v>
      </c>
      <c r="S321" s="100" t="str">
        <f>IFERROR(Tablo515[[#This Row],[YOLLUK HARİÇ BASKI GRAMI]]/Tablo515[[#This Row],[KALIP GÖZ ADEDİ]]," ")</f>
        <v xml:space="preserve"> </v>
      </c>
      <c r="T321" s="100" t="str">
        <f t="shared" si="34"/>
        <v xml:space="preserve"> </v>
      </c>
      <c r="U321" s="100"/>
      <c r="V321" s="100" t="str">
        <f t="shared" si="33"/>
        <v xml:space="preserve"> </v>
      </c>
      <c r="W321" s="101">
        <f t="shared" si="35"/>
        <v>24</v>
      </c>
      <c r="X321" s="102">
        <f t="shared" si="36"/>
        <v>0</v>
      </c>
      <c r="Y321" s="100" t="str">
        <f t="shared" si="37"/>
        <v xml:space="preserve"> </v>
      </c>
      <c r="Z321" s="100" t="str">
        <f t="shared" si="38"/>
        <v xml:space="preserve"> </v>
      </c>
    </row>
    <row r="322" spans="1:26">
      <c r="A322" s="100"/>
      <c r="B322" s="108" t="str">
        <f>IFERROR(VLOOKUP(Tablo515[[#This Row],[ÜRÜN KODU]],YMKODLARI!$A$1:$K$363,2,0)," ")</f>
        <v xml:space="preserve"> </v>
      </c>
      <c r="C322" s="99"/>
      <c r="D322" s="100"/>
      <c r="E322" s="101"/>
      <c r="F322" s="101"/>
      <c r="G322" s="100" t="str">
        <f>IFERROR(VLOOKUP(Tablo515[[#This Row],[ÜRÜN KODU]],YMKODLARI!$A$1:$K$363,3,0)," ")</f>
        <v xml:space="preserve"> </v>
      </c>
      <c r="H322" s="100" t="str">
        <f>IFERROR(VLOOKUP(Tablo515[[#This Row],[ÜRÜN KODU]],YMKODLARI!$A$1:$K$363,4,0)," ")</f>
        <v xml:space="preserve"> </v>
      </c>
      <c r="I322" s="100"/>
      <c r="J322" s="100" t="str">
        <f>IFERROR(VLOOKUP(Tablo515[[#This Row],[ÜRÜN KODU]],YMKODLARI!$A$1:$K$363,9,0)," ")</f>
        <v xml:space="preserve"> </v>
      </c>
      <c r="K322" s="100" t="str">
        <f>IFERROR(VLOOKUP(Tablo515[[#This Row],[BOYA KODU]],Tablo14[#All],4,0)," ")</f>
        <v xml:space="preserve"> </v>
      </c>
      <c r="L322" s="100" t="str">
        <f>IFERROR(VLOOKUP(Tablo515[[#This Row],[BOYA KODU]],Tablo14[#All],6,0)," ")</f>
        <v xml:space="preserve"> </v>
      </c>
      <c r="M322" s="100" t="str">
        <f t="shared" si="32"/>
        <v xml:space="preserve"> </v>
      </c>
      <c r="N322" s="100" t="str">
        <f>IFERROR(VLOOKUP(Tablo515[[#This Row],[ÜRÜN KODU]],YMKODLARI!$A$1:$K$363,8,0)," ")</f>
        <v xml:space="preserve"> </v>
      </c>
      <c r="O322" s="100" t="str">
        <f>IFERROR(VLOOKUP(Tablo515[[#This Row],[HAMMADDE KODU]],Tablo1[#All],3,0)," ")</f>
        <v xml:space="preserve"> </v>
      </c>
      <c r="P322" s="100" t="str">
        <f>IFERROR(VLOOKUP(Tablo515[[#This Row],[HAMMADDE KODU]],Tablo1[#All],4,0)," ")</f>
        <v xml:space="preserve"> </v>
      </c>
      <c r="Q322" s="100" t="str">
        <f>IFERROR(VLOOKUP(Tablo515[[#This Row],[ÜRÜN KODU]],YMKODLARI!$A$1:$K$363,5,0)," ")</f>
        <v xml:space="preserve"> </v>
      </c>
      <c r="R322" s="100" t="str">
        <f>IFERROR(VLOOKUP(Tablo515[[#This Row],[ÜRÜN KODU]],YMKODLARI!$A$1:$K$363,6,0)," ")</f>
        <v xml:space="preserve"> </v>
      </c>
      <c r="S322" s="100" t="str">
        <f>IFERROR(Tablo515[[#This Row],[YOLLUK HARİÇ BASKI GRAMI]]/Tablo515[[#This Row],[KALIP GÖZ ADEDİ]]," ")</f>
        <v xml:space="preserve"> </v>
      </c>
      <c r="T322" s="100" t="str">
        <f t="shared" si="34"/>
        <v xml:space="preserve"> </v>
      </c>
      <c r="U322" s="100"/>
      <c r="V322" s="100" t="str">
        <f t="shared" si="33"/>
        <v xml:space="preserve"> </v>
      </c>
      <c r="W322" s="101">
        <f t="shared" si="35"/>
        <v>24</v>
      </c>
      <c r="X322" s="102">
        <f t="shared" si="36"/>
        <v>0</v>
      </c>
      <c r="Y322" s="100" t="str">
        <f t="shared" si="37"/>
        <v xml:space="preserve"> </v>
      </c>
      <c r="Z322" s="100" t="str">
        <f t="shared" si="38"/>
        <v xml:space="preserve"> </v>
      </c>
    </row>
    <row r="323" spans="1:26">
      <c r="A323" s="100"/>
      <c r="B323" s="108" t="str">
        <f>IFERROR(VLOOKUP(Tablo515[[#This Row],[ÜRÜN KODU]],YMKODLARI!$A$1:$K$363,2,0)," ")</f>
        <v xml:space="preserve"> </v>
      </c>
      <c r="C323" s="99"/>
      <c r="D323" s="100"/>
      <c r="E323" s="101"/>
      <c r="F323" s="101"/>
      <c r="G323" s="100" t="str">
        <f>IFERROR(VLOOKUP(Tablo515[[#This Row],[ÜRÜN KODU]],YMKODLARI!$A$1:$K$363,3,0)," ")</f>
        <v xml:space="preserve"> </v>
      </c>
      <c r="H323" s="100" t="str">
        <f>IFERROR(VLOOKUP(Tablo515[[#This Row],[ÜRÜN KODU]],YMKODLARI!$A$1:$K$363,4,0)," ")</f>
        <v xml:space="preserve"> </v>
      </c>
      <c r="I323" s="100"/>
      <c r="J323" s="100" t="str">
        <f>IFERROR(VLOOKUP(Tablo515[[#This Row],[ÜRÜN KODU]],YMKODLARI!$A$1:$K$363,9,0)," ")</f>
        <v xml:space="preserve"> </v>
      </c>
      <c r="K323" s="100" t="str">
        <f>IFERROR(VLOOKUP(Tablo515[[#This Row],[BOYA KODU]],Tablo14[#All],4,0)," ")</f>
        <v xml:space="preserve"> </v>
      </c>
      <c r="L323" s="100" t="str">
        <f>IFERROR(VLOOKUP(Tablo515[[#This Row],[BOYA KODU]],Tablo14[#All],6,0)," ")</f>
        <v xml:space="preserve"> </v>
      </c>
      <c r="M323" s="100" t="str">
        <f t="shared" ref="M323:M386" si="39">IFERROR((I323*Q323)*L323," ")</f>
        <v xml:space="preserve"> </v>
      </c>
      <c r="N323" s="100" t="str">
        <f>IFERROR(VLOOKUP(Tablo515[[#This Row],[ÜRÜN KODU]],YMKODLARI!$A$1:$K$363,8,0)," ")</f>
        <v xml:space="preserve"> </v>
      </c>
      <c r="O323" s="100" t="str">
        <f>IFERROR(VLOOKUP(Tablo515[[#This Row],[HAMMADDE KODU]],Tablo1[#All],3,0)," ")</f>
        <v xml:space="preserve"> </v>
      </c>
      <c r="P323" s="100" t="str">
        <f>IFERROR(VLOOKUP(Tablo515[[#This Row],[HAMMADDE KODU]],Tablo1[#All],4,0)," ")</f>
        <v xml:space="preserve"> </v>
      </c>
      <c r="Q323" s="100" t="str">
        <f>IFERROR(VLOOKUP(Tablo515[[#This Row],[ÜRÜN KODU]],YMKODLARI!$A$1:$K$363,5,0)," ")</f>
        <v xml:space="preserve"> </v>
      </c>
      <c r="R323" s="100" t="str">
        <f>IFERROR(VLOOKUP(Tablo515[[#This Row],[ÜRÜN KODU]],YMKODLARI!$A$1:$K$363,6,0)," ")</f>
        <v xml:space="preserve"> </v>
      </c>
      <c r="S323" s="100" t="str">
        <f>IFERROR(Tablo515[[#This Row],[YOLLUK HARİÇ BASKI GRAMI]]/Tablo515[[#This Row],[KALIP GÖZ ADEDİ]]," ")</f>
        <v xml:space="preserve"> </v>
      </c>
      <c r="T323" s="100" t="str">
        <f t="shared" si="34"/>
        <v xml:space="preserve"> </v>
      </c>
      <c r="U323" s="100"/>
      <c r="V323" s="100" t="str">
        <f t="shared" ref="V323:V386" si="40">IFERROR(U323+(R323*I323) /1000," ")</f>
        <v xml:space="preserve"> </v>
      </c>
      <c r="W323" s="101">
        <f t="shared" si="35"/>
        <v>24</v>
      </c>
      <c r="X323" s="102">
        <f t="shared" si="36"/>
        <v>0</v>
      </c>
      <c r="Y323" s="100" t="str">
        <f t="shared" si="37"/>
        <v xml:space="preserve"> </v>
      </c>
      <c r="Z323" s="100" t="str">
        <f t="shared" si="38"/>
        <v xml:space="preserve"> </v>
      </c>
    </row>
    <row r="324" spans="1:26">
      <c r="A324" s="100"/>
      <c r="B324" s="108" t="str">
        <f>IFERROR(VLOOKUP(Tablo515[[#This Row],[ÜRÜN KODU]],YMKODLARI!$A$1:$K$363,2,0)," ")</f>
        <v xml:space="preserve"> </v>
      </c>
      <c r="C324" s="99"/>
      <c r="D324" s="100"/>
      <c r="E324" s="101"/>
      <c r="F324" s="101"/>
      <c r="G324" s="100" t="str">
        <f>IFERROR(VLOOKUP(Tablo515[[#This Row],[ÜRÜN KODU]],YMKODLARI!$A$1:$K$363,3,0)," ")</f>
        <v xml:space="preserve"> </v>
      </c>
      <c r="H324" s="100" t="str">
        <f>IFERROR(VLOOKUP(Tablo515[[#This Row],[ÜRÜN KODU]],YMKODLARI!$A$1:$K$363,4,0)," ")</f>
        <v xml:space="preserve"> </v>
      </c>
      <c r="I324" s="100"/>
      <c r="J324" s="100" t="str">
        <f>IFERROR(VLOOKUP(Tablo515[[#This Row],[ÜRÜN KODU]],YMKODLARI!$A$1:$K$363,9,0)," ")</f>
        <v xml:space="preserve"> </v>
      </c>
      <c r="K324" s="100" t="str">
        <f>IFERROR(VLOOKUP(Tablo515[[#This Row],[BOYA KODU]],Tablo14[#All],4,0)," ")</f>
        <v xml:space="preserve"> </v>
      </c>
      <c r="L324" s="100" t="str">
        <f>IFERROR(VLOOKUP(Tablo515[[#This Row],[BOYA KODU]],Tablo14[#All],6,0)," ")</f>
        <v xml:space="preserve"> </v>
      </c>
      <c r="M324" s="100" t="str">
        <f t="shared" si="39"/>
        <v xml:space="preserve"> </v>
      </c>
      <c r="N324" s="100" t="str">
        <f>IFERROR(VLOOKUP(Tablo515[[#This Row],[ÜRÜN KODU]],YMKODLARI!$A$1:$K$363,8,0)," ")</f>
        <v xml:space="preserve"> </v>
      </c>
      <c r="O324" s="100" t="str">
        <f>IFERROR(VLOOKUP(Tablo515[[#This Row],[HAMMADDE KODU]],Tablo1[#All],3,0)," ")</f>
        <v xml:space="preserve"> </v>
      </c>
      <c r="P324" s="100" t="str">
        <f>IFERROR(VLOOKUP(Tablo515[[#This Row],[HAMMADDE KODU]],Tablo1[#All],4,0)," ")</f>
        <v xml:space="preserve"> </v>
      </c>
      <c r="Q324" s="100" t="str">
        <f>IFERROR(VLOOKUP(Tablo515[[#This Row],[ÜRÜN KODU]],YMKODLARI!$A$1:$K$363,5,0)," ")</f>
        <v xml:space="preserve"> </v>
      </c>
      <c r="R324" s="100" t="str">
        <f>IFERROR(VLOOKUP(Tablo515[[#This Row],[ÜRÜN KODU]],YMKODLARI!$A$1:$K$363,6,0)," ")</f>
        <v xml:space="preserve"> </v>
      </c>
      <c r="S324" s="100" t="str">
        <f>IFERROR(Tablo515[[#This Row],[YOLLUK HARİÇ BASKI GRAMI]]/Tablo515[[#This Row],[KALIP GÖZ ADEDİ]]," ")</f>
        <v xml:space="preserve"> </v>
      </c>
      <c r="T324" s="100" t="str">
        <f t="shared" ref="T324:T387" si="41">IFERROR(Q324-R324," ")</f>
        <v xml:space="preserve"> </v>
      </c>
      <c r="U324" s="100"/>
      <c r="V324" s="100" t="str">
        <f t="shared" si="40"/>
        <v xml:space="preserve"> </v>
      </c>
      <c r="W324" s="101">
        <f t="shared" ref="W324:W387" si="42">IFERROR(24-(E324-F324)," ")</f>
        <v>24</v>
      </c>
      <c r="X324" s="102">
        <f t="shared" ref="X324:X387" si="43">IFERROR((W324-INT(W324))*24," ")</f>
        <v>0</v>
      </c>
      <c r="Y324" s="100" t="str">
        <f t="shared" ref="Y324:Y387" si="44">IFERROR(H324*I324/3600," ")</f>
        <v xml:space="preserve"> </v>
      </c>
      <c r="Z324" s="100" t="str">
        <f t="shared" ref="Z324:Z387" si="45">IFERROR(I324*G324," " )</f>
        <v xml:space="preserve"> </v>
      </c>
    </row>
    <row r="325" spans="1:26">
      <c r="A325" s="100"/>
      <c r="B325" s="108" t="str">
        <f>IFERROR(VLOOKUP(Tablo515[[#This Row],[ÜRÜN KODU]],YMKODLARI!$A$1:$K$363,2,0)," ")</f>
        <v xml:space="preserve"> </v>
      </c>
      <c r="C325" s="99"/>
      <c r="D325" s="100"/>
      <c r="E325" s="101"/>
      <c r="F325" s="101"/>
      <c r="G325" s="100" t="str">
        <f>IFERROR(VLOOKUP(Tablo515[[#This Row],[ÜRÜN KODU]],YMKODLARI!$A$1:$K$363,3,0)," ")</f>
        <v xml:space="preserve"> </v>
      </c>
      <c r="H325" s="100" t="str">
        <f>IFERROR(VLOOKUP(Tablo515[[#This Row],[ÜRÜN KODU]],YMKODLARI!$A$1:$K$363,4,0)," ")</f>
        <v xml:space="preserve"> </v>
      </c>
      <c r="I325" s="100"/>
      <c r="J325" s="100" t="str">
        <f>IFERROR(VLOOKUP(Tablo515[[#This Row],[ÜRÜN KODU]],YMKODLARI!$A$1:$K$363,9,0)," ")</f>
        <v xml:space="preserve"> </v>
      </c>
      <c r="K325" s="100" t="str">
        <f>IFERROR(VLOOKUP(Tablo515[[#This Row],[BOYA KODU]],Tablo14[#All],4,0)," ")</f>
        <v xml:space="preserve"> </v>
      </c>
      <c r="L325" s="100" t="str">
        <f>IFERROR(VLOOKUP(Tablo515[[#This Row],[BOYA KODU]],Tablo14[#All],6,0)," ")</f>
        <v xml:space="preserve"> </v>
      </c>
      <c r="M325" s="100" t="str">
        <f t="shared" si="39"/>
        <v xml:space="preserve"> </v>
      </c>
      <c r="N325" s="100" t="str">
        <f>IFERROR(VLOOKUP(Tablo515[[#This Row],[ÜRÜN KODU]],YMKODLARI!$A$1:$K$363,8,0)," ")</f>
        <v xml:space="preserve"> </v>
      </c>
      <c r="O325" s="100" t="str">
        <f>IFERROR(VLOOKUP(Tablo515[[#This Row],[HAMMADDE KODU]],Tablo1[#All],3,0)," ")</f>
        <v xml:space="preserve"> </v>
      </c>
      <c r="P325" s="100" t="str">
        <f>IFERROR(VLOOKUP(Tablo515[[#This Row],[HAMMADDE KODU]],Tablo1[#All],4,0)," ")</f>
        <v xml:space="preserve"> </v>
      </c>
      <c r="Q325" s="100" t="str">
        <f>IFERROR(VLOOKUP(Tablo515[[#This Row],[ÜRÜN KODU]],YMKODLARI!$A$1:$K$363,5,0)," ")</f>
        <v xml:space="preserve"> </v>
      </c>
      <c r="R325" s="100" t="str">
        <f>IFERROR(VLOOKUP(Tablo515[[#This Row],[ÜRÜN KODU]],YMKODLARI!$A$1:$K$363,6,0)," ")</f>
        <v xml:space="preserve"> </v>
      </c>
      <c r="S325" s="100" t="str">
        <f>IFERROR(Tablo515[[#This Row],[YOLLUK HARİÇ BASKI GRAMI]]/Tablo515[[#This Row],[KALIP GÖZ ADEDİ]]," ")</f>
        <v xml:space="preserve"> </v>
      </c>
      <c r="T325" s="100" t="str">
        <f t="shared" si="41"/>
        <v xml:space="preserve"> </v>
      </c>
      <c r="U325" s="100"/>
      <c r="V325" s="100" t="str">
        <f t="shared" si="40"/>
        <v xml:space="preserve"> </v>
      </c>
      <c r="W325" s="101">
        <f t="shared" si="42"/>
        <v>24</v>
      </c>
      <c r="X325" s="102">
        <f t="shared" si="43"/>
        <v>0</v>
      </c>
      <c r="Y325" s="100" t="str">
        <f t="shared" si="44"/>
        <v xml:space="preserve"> </v>
      </c>
      <c r="Z325" s="100" t="str">
        <f t="shared" si="45"/>
        <v xml:space="preserve"> </v>
      </c>
    </row>
    <row r="326" spans="1:26">
      <c r="A326" s="100"/>
      <c r="B326" s="108" t="str">
        <f>IFERROR(VLOOKUP(Tablo515[[#This Row],[ÜRÜN KODU]],YMKODLARI!$A$1:$K$363,2,0)," ")</f>
        <v xml:space="preserve"> </v>
      </c>
      <c r="C326" s="99"/>
      <c r="D326" s="100"/>
      <c r="E326" s="101"/>
      <c r="F326" s="101"/>
      <c r="G326" s="100" t="str">
        <f>IFERROR(VLOOKUP(Tablo515[[#This Row],[ÜRÜN KODU]],YMKODLARI!$A$1:$K$363,3,0)," ")</f>
        <v xml:space="preserve"> </v>
      </c>
      <c r="H326" s="100" t="str">
        <f>IFERROR(VLOOKUP(Tablo515[[#This Row],[ÜRÜN KODU]],YMKODLARI!$A$1:$K$363,4,0)," ")</f>
        <v xml:space="preserve"> </v>
      </c>
      <c r="I326" s="100"/>
      <c r="J326" s="100" t="str">
        <f>IFERROR(VLOOKUP(Tablo515[[#This Row],[ÜRÜN KODU]],YMKODLARI!$A$1:$K$363,9,0)," ")</f>
        <v xml:space="preserve"> </v>
      </c>
      <c r="K326" s="100" t="str">
        <f>IFERROR(VLOOKUP(Tablo515[[#This Row],[BOYA KODU]],Tablo14[#All],4,0)," ")</f>
        <v xml:space="preserve"> </v>
      </c>
      <c r="L326" s="100" t="str">
        <f>IFERROR(VLOOKUP(Tablo515[[#This Row],[BOYA KODU]],Tablo14[#All],6,0)," ")</f>
        <v xml:space="preserve"> </v>
      </c>
      <c r="M326" s="100" t="str">
        <f t="shared" si="39"/>
        <v xml:space="preserve"> </v>
      </c>
      <c r="N326" s="100" t="str">
        <f>IFERROR(VLOOKUP(Tablo515[[#This Row],[ÜRÜN KODU]],YMKODLARI!$A$1:$K$363,8,0)," ")</f>
        <v xml:space="preserve"> </v>
      </c>
      <c r="O326" s="100" t="str">
        <f>IFERROR(VLOOKUP(Tablo515[[#This Row],[HAMMADDE KODU]],Tablo1[#All],3,0)," ")</f>
        <v xml:space="preserve"> </v>
      </c>
      <c r="P326" s="100" t="str">
        <f>IFERROR(VLOOKUP(Tablo515[[#This Row],[HAMMADDE KODU]],Tablo1[#All],4,0)," ")</f>
        <v xml:space="preserve"> </v>
      </c>
      <c r="Q326" s="100" t="str">
        <f>IFERROR(VLOOKUP(Tablo515[[#This Row],[ÜRÜN KODU]],YMKODLARI!$A$1:$K$363,5,0)," ")</f>
        <v xml:space="preserve"> </v>
      </c>
      <c r="R326" s="100" t="str">
        <f>IFERROR(VLOOKUP(Tablo515[[#This Row],[ÜRÜN KODU]],YMKODLARI!$A$1:$K$363,6,0)," ")</f>
        <v xml:space="preserve"> </v>
      </c>
      <c r="S326" s="100" t="str">
        <f>IFERROR(Tablo515[[#This Row],[YOLLUK HARİÇ BASKI GRAMI]]/Tablo515[[#This Row],[KALIP GÖZ ADEDİ]]," ")</f>
        <v xml:space="preserve"> </v>
      </c>
      <c r="T326" s="100" t="str">
        <f t="shared" si="41"/>
        <v xml:space="preserve"> </v>
      </c>
      <c r="U326" s="100"/>
      <c r="V326" s="100" t="str">
        <f t="shared" si="40"/>
        <v xml:space="preserve"> </v>
      </c>
      <c r="W326" s="101">
        <f t="shared" si="42"/>
        <v>24</v>
      </c>
      <c r="X326" s="102">
        <f t="shared" si="43"/>
        <v>0</v>
      </c>
      <c r="Y326" s="100" t="str">
        <f t="shared" si="44"/>
        <v xml:space="preserve"> </v>
      </c>
      <c r="Z326" s="100" t="str">
        <f t="shared" si="45"/>
        <v xml:space="preserve"> </v>
      </c>
    </row>
    <row r="327" spans="1:26">
      <c r="A327" s="100"/>
      <c r="B327" s="108" t="str">
        <f>IFERROR(VLOOKUP(Tablo515[[#This Row],[ÜRÜN KODU]],YMKODLARI!$A$1:$K$363,2,0)," ")</f>
        <v xml:space="preserve"> </v>
      </c>
      <c r="C327" s="99"/>
      <c r="D327" s="100"/>
      <c r="E327" s="101"/>
      <c r="F327" s="101"/>
      <c r="G327" s="100" t="str">
        <f>IFERROR(VLOOKUP(Tablo515[[#This Row],[ÜRÜN KODU]],YMKODLARI!$A$1:$K$363,3,0)," ")</f>
        <v xml:space="preserve"> </v>
      </c>
      <c r="H327" s="100" t="str">
        <f>IFERROR(VLOOKUP(Tablo515[[#This Row],[ÜRÜN KODU]],YMKODLARI!$A$1:$K$363,4,0)," ")</f>
        <v xml:space="preserve"> </v>
      </c>
      <c r="I327" s="100"/>
      <c r="J327" s="100" t="str">
        <f>IFERROR(VLOOKUP(Tablo515[[#This Row],[ÜRÜN KODU]],YMKODLARI!$A$1:$K$363,9,0)," ")</f>
        <v xml:space="preserve"> </v>
      </c>
      <c r="K327" s="100" t="str">
        <f>IFERROR(VLOOKUP(Tablo515[[#This Row],[BOYA KODU]],Tablo14[#All],4,0)," ")</f>
        <v xml:space="preserve"> </v>
      </c>
      <c r="L327" s="100" t="str">
        <f>IFERROR(VLOOKUP(Tablo515[[#This Row],[BOYA KODU]],Tablo14[#All],6,0)," ")</f>
        <v xml:space="preserve"> </v>
      </c>
      <c r="M327" s="100" t="str">
        <f t="shared" si="39"/>
        <v xml:space="preserve"> </v>
      </c>
      <c r="N327" s="100" t="str">
        <f>IFERROR(VLOOKUP(Tablo515[[#This Row],[ÜRÜN KODU]],YMKODLARI!$A$1:$K$363,8,0)," ")</f>
        <v xml:space="preserve"> </v>
      </c>
      <c r="O327" s="100" t="str">
        <f>IFERROR(VLOOKUP(Tablo515[[#This Row],[HAMMADDE KODU]],Tablo1[#All],3,0)," ")</f>
        <v xml:space="preserve"> </v>
      </c>
      <c r="P327" s="100" t="str">
        <f>IFERROR(VLOOKUP(Tablo515[[#This Row],[HAMMADDE KODU]],Tablo1[#All],4,0)," ")</f>
        <v xml:space="preserve"> </v>
      </c>
      <c r="Q327" s="100" t="str">
        <f>IFERROR(VLOOKUP(Tablo515[[#This Row],[ÜRÜN KODU]],YMKODLARI!$A$1:$K$363,5,0)," ")</f>
        <v xml:space="preserve"> </v>
      </c>
      <c r="R327" s="100" t="str">
        <f>IFERROR(VLOOKUP(Tablo515[[#This Row],[ÜRÜN KODU]],YMKODLARI!$A$1:$K$363,6,0)," ")</f>
        <v xml:space="preserve"> </v>
      </c>
      <c r="S327" s="100" t="str">
        <f>IFERROR(Tablo515[[#This Row],[YOLLUK HARİÇ BASKI GRAMI]]/Tablo515[[#This Row],[KALIP GÖZ ADEDİ]]," ")</f>
        <v xml:space="preserve"> </v>
      </c>
      <c r="T327" s="100" t="str">
        <f t="shared" si="41"/>
        <v xml:space="preserve"> </v>
      </c>
      <c r="U327" s="100"/>
      <c r="V327" s="100" t="str">
        <f t="shared" si="40"/>
        <v xml:space="preserve"> </v>
      </c>
      <c r="W327" s="101">
        <f t="shared" si="42"/>
        <v>24</v>
      </c>
      <c r="X327" s="102">
        <f t="shared" si="43"/>
        <v>0</v>
      </c>
      <c r="Y327" s="100" t="str">
        <f t="shared" si="44"/>
        <v xml:space="preserve"> </v>
      </c>
      <c r="Z327" s="100" t="str">
        <f t="shared" si="45"/>
        <v xml:space="preserve"> </v>
      </c>
    </row>
    <row r="328" spans="1:26">
      <c r="A328" s="100"/>
      <c r="B328" s="108" t="str">
        <f>IFERROR(VLOOKUP(Tablo515[[#This Row],[ÜRÜN KODU]],YMKODLARI!$A$1:$K$363,2,0)," ")</f>
        <v xml:space="preserve"> </v>
      </c>
      <c r="C328" s="99"/>
      <c r="D328" s="100"/>
      <c r="E328" s="101"/>
      <c r="F328" s="101"/>
      <c r="G328" s="100" t="str">
        <f>IFERROR(VLOOKUP(Tablo515[[#This Row],[ÜRÜN KODU]],YMKODLARI!$A$1:$K$363,3,0)," ")</f>
        <v xml:space="preserve"> </v>
      </c>
      <c r="H328" s="100" t="str">
        <f>IFERROR(VLOOKUP(Tablo515[[#This Row],[ÜRÜN KODU]],YMKODLARI!$A$1:$K$363,4,0)," ")</f>
        <v xml:space="preserve"> </v>
      </c>
      <c r="I328" s="100"/>
      <c r="J328" s="100" t="str">
        <f>IFERROR(VLOOKUP(Tablo515[[#This Row],[ÜRÜN KODU]],YMKODLARI!$A$1:$K$363,9,0)," ")</f>
        <v xml:space="preserve"> </v>
      </c>
      <c r="K328" s="100" t="str">
        <f>IFERROR(VLOOKUP(Tablo515[[#This Row],[BOYA KODU]],Tablo14[#All],4,0)," ")</f>
        <v xml:space="preserve"> </v>
      </c>
      <c r="L328" s="100" t="str">
        <f>IFERROR(VLOOKUP(Tablo515[[#This Row],[BOYA KODU]],Tablo14[#All],6,0)," ")</f>
        <v xml:space="preserve"> </v>
      </c>
      <c r="M328" s="100" t="str">
        <f t="shared" si="39"/>
        <v xml:space="preserve"> </v>
      </c>
      <c r="N328" s="100" t="str">
        <f>IFERROR(VLOOKUP(Tablo515[[#This Row],[ÜRÜN KODU]],YMKODLARI!$A$1:$K$363,8,0)," ")</f>
        <v xml:space="preserve"> </v>
      </c>
      <c r="O328" s="100" t="str">
        <f>IFERROR(VLOOKUP(Tablo515[[#This Row],[HAMMADDE KODU]],Tablo1[#All],3,0)," ")</f>
        <v xml:space="preserve"> </v>
      </c>
      <c r="P328" s="100" t="str">
        <f>IFERROR(VLOOKUP(Tablo515[[#This Row],[HAMMADDE KODU]],Tablo1[#All],4,0)," ")</f>
        <v xml:space="preserve"> </v>
      </c>
      <c r="Q328" s="100" t="str">
        <f>IFERROR(VLOOKUP(Tablo515[[#This Row],[ÜRÜN KODU]],YMKODLARI!$A$1:$K$363,5,0)," ")</f>
        <v xml:space="preserve"> </v>
      </c>
      <c r="R328" s="100" t="str">
        <f>IFERROR(VLOOKUP(Tablo515[[#This Row],[ÜRÜN KODU]],YMKODLARI!$A$1:$K$363,6,0)," ")</f>
        <v xml:space="preserve"> </v>
      </c>
      <c r="S328" s="100" t="str">
        <f>IFERROR(Tablo515[[#This Row],[YOLLUK HARİÇ BASKI GRAMI]]/Tablo515[[#This Row],[KALIP GÖZ ADEDİ]]," ")</f>
        <v xml:space="preserve"> </v>
      </c>
      <c r="T328" s="100" t="str">
        <f t="shared" si="41"/>
        <v xml:space="preserve"> </v>
      </c>
      <c r="U328" s="100"/>
      <c r="V328" s="100" t="str">
        <f t="shared" si="40"/>
        <v xml:space="preserve"> </v>
      </c>
      <c r="W328" s="101">
        <f t="shared" si="42"/>
        <v>24</v>
      </c>
      <c r="X328" s="102">
        <f t="shared" si="43"/>
        <v>0</v>
      </c>
      <c r="Y328" s="100" t="str">
        <f t="shared" si="44"/>
        <v xml:space="preserve"> </v>
      </c>
      <c r="Z328" s="100" t="str">
        <f t="shared" si="45"/>
        <v xml:space="preserve"> </v>
      </c>
    </row>
    <row r="329" spans="1:26">
      <c r="A329" s="100"/>
      <c r="B329" s="108" t="str">
        <f>IFERROR(VLOOKUP(Tablo515[[#This Row],[ÜRÜN KODU]],YMKODLARI!$A$1:$K$363,2,0)," ")</f>
        <v xml:space="preserve"> </v>
      </c>
      <c r="C329" s="99"/>
      <c r="D329" s="100"/>
      <c r="E329" s="101"/>
      <c r="F329" s="101"/>
      <c r="G329" s="100" t="str">
        <f>IFERROR(VLOOKUP(Tablo515[[#This Row],[ÜRÜN KODU]],YMKODLARI!$A$1:$K$363,3,0)," ")</f>
        <v xml:space="preserve"> </v>
      </c>
      <c r="H329" s="100" t="str">
        <f>IFERROR(VLOOKUP(Tablo515[[#This Row],[ÜRÜN KODU]],YMKODLARI!$A$1:$K$363,4,0)," ")</f>
        <v xml:space="preserve"> </v>
      </c>
      <c r="I329" s="100"/>
      <c r="J329" s="100" t="str">
        <f>IFERROR(VLOOKUP(Tablo515[[#This Row],[ÜRÜN KODU]],YMKODLARI!$A$1:$K$363,9,0)," ")</f>
        <v xml:space="preserve"> </v>
      </c>
      <c r="K329" s="100" t="str">
        <f>IFERROR(VLOOKUP(Tablo515[[#This Row],[BOYA KODU]],Tablo14[#All],4,0)," ")</f>
        <v xml:space="preserve"> </v>
      </c>
      <c r="L329" s="100" t="str">
        <f>IFERROR(VLOOKUP(Tablo515[[#This Row],[BOYA KODU]],Tablo14[#All],6,0)," ")</f>
        <v xml:space="preserve"> </v>
      </c>
      <c r="M329" s="100" t="str">
        <f t="shared" si="39"/>
        <v xml:space="preserve"> </v>
      </c>
      <c r="N329" s="100" t="str">
        <f>IFERROR(VLOOKUP(Tablo515[[#This Row],[ÜRÜN KODU]],YMKODLARI!$A$1:$K$363,8,0)," ")</f>
        <v xml:space="preserve"> </v>
      </c>
      <c r="O329" s="100" t="str">
        <f>IFERROR(VLOOKUP(Tablo515[[#This Row],[HAMMADDE KODU]],Tablo1[#All],3,0)," ")</f>
        <v xml:space="preserve"> </v>
      </c>
      <c r="P329" s="100" t="str">
        <f>IFERROR(VLOOKUP(Tablo515[[#This Row],[HAMMADDE KODU]],Tablo1[#All],4,0)," ")</f>
        <v xml:space="preserve"> </v>
      </c>
      <c r="Q329" s="100" t="str">
        <f>IFERROR(VLOOKUP(Tablo515[[#This Row],[ÜRÜN KODU]],YMKODLARI!$A$1:$K$363,5,0)," ")</f>
        <v xml:space="preserve"> </v>
      </c>
      <c r="R329" s="100" t="str">
        <f>IFERROR(VLOOKUP(Tablo515[[#This Row],[ÜRÜN KODU]],YMKODLARI!$A$1:$K$363,6,0)," ")</f>
        <v xml:space="preserve"> </v>
      </c>
      <c r="S329" s="100" t="str">
        <f>IFERROR(Tablo515[[#This Row],[YOLLUK HARİÇ BASKI GRAMI]]/Tablo515[[#This Row],[KALIP GÖZ ADEDİ]]," ")</f>
        <v xml:space="preserve"> </v>
      </c>
      <c r="T329" s="100" t="str">
        <f t="shared" si="41"/>
        <v xml:space="preserve"> </v>
      </c>
      <c r="U329" s="100"/>
      <c r="V329" s="100" t="str">
        <f t="shared" si="40"/>
        <v xml:space="preserve"> </v>
      </c>
      <c r="W329" s="101">
        <f t="shared" si="42"/>
        <v>24</v>
      </c>
      <c r="X329" s="102">
        <f t="shared" si="43"/>
        <v>0</v>
      </c>
      <c r="Y329" s="100" t="str">
        <f t="shared" si="44"/>
        <v xml:space="preserve"> </v>
      </c>
      <c r="Z329" s="100" t="str">
        <f t="shared" si="45"/>
        <v xml:space="preserve"> </v>
      </c>
    </row>
    <row r="330" spans="1:26">
      <c r="A330" s="100"/>
      <c r="B330" s="108" t="str">
        <f>IFERROR(VLOOKUP(Tablo515[[#This Row],[ÜRÜN KODU]],YMKODLARI!$A$1:$K$363,2,0)," ")</f>
        <v xml:space="preserve"> </v>
      </c>
      <c r="C330" s="99"/>
      <c r="D330" s="100"/>
      <c r="E330" s="101"/>
      <c r="F330" s="101"/>
      <c r="G330" s="100" t="str">
        <f>IFERROR(VLOOKUP(Tablo515[[#This Row],[ÜRÜN KODU]],YMKODLARI!$A$1:$K$363,3,0)," ")</f>
        <v xml:space="preserve"> </v>
      </c>
      <c r="H330" s="100" t="str">
        <f>IFERROR(VLOOKUP(Tablo515[[#This Row],[ÜRÜN KODU]],YMKODLARI!$A$1:$K$363,4,0)," ")</f>
        <v xml:space="preserve"> </v>
      </c>
      <c r="I330" s="100"/>
      <c r="J330" s="100" t="str">
        <f>IFERROR(VLOOKUP(Tablo515[[#This Row],[ÜRÜN KODU]],YMKODLARI!$A$1:$K$363,9,0)," ")</f>
        <v xml:space="preserve"> </v>
      </c>
      <c r="K330" s="100" t="str">
        <f>IFERROR(VLOOKUP(Tablo515[[#This Row],[BOYA KODU]],Tablo14[#All],4,0)," ")</f>
        <v xml:space="preserve"> </v>
      </c>
      <c r="L330" s="100" t="str">
        <f>IFERROR(VLOOKUP(Tablo515[[#This Row],[BOYA KODU]],Tablo14[#All],6,0)," ")</f>
        <v xml:space="preserve"> </v>
      </c>
      <c r="M330" s="100" t="str">
        <f t="shared" si="39"/>
        <v xml:space="preserve"> </v>
      </c>
      <c r="N330" s="100" t="str">
        <f>IFERROR(VLOOKUP(Tablo515[[#This Row],[ÜRÜN KODU]],YMKODLARI!$A$1:$K$363,8,0)," ")</f>
        <v xml:space="preserve"> </v>
      </c>
      <c r="O330" s="100" t="str">
        <f>IFERROR(VLOOKUP(Tablo515[[#This Row],[HAMMADDE KODU]],Tablo1[#All],3,0)," ")</f>
        <v xml:space="preserve"> </v>
      </c>
      <c r="P330" s="100" t="str">
        <f>IFERROR(VLOOKUP(Tablo515[[#This Row],[HAMMADDE KODU]],Tablo1[#All],4,0)," ")</f>
        <v xml:space="preserve"> </v>
      </c>
      <c r="Q330" s="100" t="str">
        <f>IFERROR(VLOOKUP(Tablo515[[#This Row],[ÜRÜN KODU]],YMKODLARI!$A$1:$K$363,5,0)," ")</f>
        <v xml:space="preserve"> </v>
      </c>
      <c r="R330" s="100" t="str">
        <f>IFERROR(VLOOKUP(Tablo515[[#This Row],[ÜRÜN KODU]],YMKODLARI!$A$1:$K$363,6,0)," ")</f>
        <v xml:space="preserve"> </v>
      </c>
      <c r="S330" s="100" t="str">
        <f>IFERROR(Tablo515[[#This Row],[YOLLUK HARİÇ BASKI GRAMI]]/Tablo515[[#This Row],[KALIP GÖZ ADEDİ]]," ")</f>
        <v xml:space="preserve"> </v>
      </c>
      <c r="T330" s="100" t="str">
        <f t="shared" si="41"/>
        <v xml:space="preserve"> </v>
      </c>
      <c r="U330" s="100"/>
      <c r="V330" s="100" t="str">
        <f t="shared" si="40"/>
        <v xml:space="preserve"> </v>
      </c>
      <c r="W330" s="101">
        <f t="shared" si="42"/>
        <v>24</v>
      </c>
      <c r="X330" s="102">
        <f t="shared" si="43"/>
        <v>0</v>
      </c>
      <c r="Y330" s="100" t="str">
        <f t="shared" si="44"/>
        <v xml:space="preserve"> </v>
      </c>
      <c r="Z330" s="100" t="str">
        <f t="shared" si="45"/>
        <v xml:space="preserve"> </v>
      </c>
    </row>
    <row r="331" spans="1:26">
      <c r="A331" s="100"/>
      <c r="B331" s="108" t="str">
        <f>IFERROR(VLOOKUP(Tablo515[[#This Row],[ÜRÜN KODU]],YMKODLARI!$A$1:$K$363,2,0)," ")</f>
        <v xml:space="preserve"> </v>
      </c>
      <c r="C331" s="99"/>
      <c r="D331" s="100"/>
      <c r="E331" s="101"/>
      <c r="F331" s="101"/>
      <c r="G331" s="100" t="str">
        <f>IFERROR(VLOOKUP(Tablo515[[#This Row],[ÜRÜN KODU]],YMKODLARI!$A$1:$K$363,3,0)," ")</f>
        <v xml:space="preserve"> </v>
      </c>
      <c r="H331" s="100" t="str">
        <f>IFERROR(VLOOKUP(Tablo515[[#This Row],[ÜRÜN KODU]],YMKODLARI!$A$1:$K$363,4,0)," ")</f>
        <v xml:space="preserve"> </v>
      </c>
      <c r="I331" s="100"/>
      <c r="J331" s="100" t="str">
        <f>IFERROR(VLOOKUP(Tablo515[[#This Row],[ÜRÜN KODU]],YMKODLARI!$A$1:$K$363,9,0)," ")</f>
        <v xml:space="preserve"> </v>
      </c>
      <c r="K331" s="100" t="str">
        <f>IFERROR(VLOOKUP(Tablo515[[#This Row],[BOYA KODU]],Tablo14[#All],4,0)," ")</f>
        <v xml:space="preserve"> </v>
      </c>
      <c r="L331" s="100" t="str">
        <f>IFERROR(VLOOKUP(Tablo515[[#This Row],[BOYA KODU]],Tablo14[#All],6,0)," ")</f>
        <v xml:space="preserve"> </v>
      </c>
      <c r="M331" s="100" t="str">
        <f t="shared" si="39"/>
        <v xml:space="preserve"> </v>
      </c>
      <c r="N331" s="100" t="str">
        <f>IFERROR(VLOOKUP(Tablo515[[#This Row],[ÜRÜN KODU]],YMKODLARI!$A$1:$K$363,8,0)," ")</f>
        <v xml:space="preserve"> </v>
      </c>
      <c r="O331" s="100" t="str">
        <f>IFERROR(VLOOKUP(Tablo515[[#This Row],[HAMMADDE KODU]],Tablo1[#All],3,0)," ")</f>
        <v xml:space="preserve"> </v>
      </c>
      <c r="P331" s="100" t="str">
        <f>IFERROR(VLOOKUP(Tablo515[[#This Row],[HAMMADDE KODU]],Tablo1[#All],4,0)," ")</f>
        <v xml:space="preserve"> </v>
      </c>
      <c r="Q331" s="100" t="str">
        <f>IFERROR(VLOOKUP(Tablo515[[#This Row],[ÜRÜN KODU]],YMKODLARI!$A$1:$K$363,5,0)," ")</f>
        <v xml:space="preserve"> </v>
      </c>
      <c r="R331" s="100" t="str">
        <f>IFERROR(VLOOKUP(Tablo515[[#This Row],[ÜRÜN KODU]],YMKODLARI!$A$1:$K$363,6,0)," ")</f>
        <v xml:space="preserve"> </v>
      </c>
      <c r="S331" s="100" t="str">
        <f>IFERROR(Tablo515[[#This Row],[YOLLUK HARİÇ BASKI GRAMI]]/Tablo515[[#This Row],[KALIP GÖZ ADEDİ]]," ")</f>
        <v xml:space="preserve"> </v>
      </c>
      <c r="T331" s="100" t="str">
        <f t="shared" si="41"/>
        <v xml:space="preserve"> </v>
      </c>
      <c r="U331" s="100"/>
      <c r="V331" s="100" t="str">
        <f t="shared" si="40"/>
        <v xml:space="preserve"> </v>
      </c>
      <c r="W331" s="101">
        <f t="shared" si="42"/>
        <v>24</v>
      </c>
      <c r="X331" s="102">
        <f t="shared" si="43"/>
        <v>0</v>
      </c>
      <c r="Y331" s="100" t="str">
        <f t="shared" si="44"/>
        <v xml:space="preserve"> </v>
      </c>
      <c r="Z331" s="100" t="str">
        <f t="shared" si="45"/>
        <v xml:space="preserve"> </v>
      </c>
    </row>
    <row r="332" spans="1:26">
      <c r="A332" s="100"/>
      <c r="B332" s="108" t="str">
        <f>IFERROR(VLOOKUP(Tablo515[[#This Row],[ÜRÜN KODU]],YMKODLARI!$A$1:$K$363,2,0)," ")</f>
        <v xml:space="preserve"> </v>
      </c>
      <c r="C332" s="99"/>
      <c r="D332" s="100"/>
      <c r="E332" s="101"/>
      <c r="F332" s="101"/>
      <c r="G332" s="100" t="str">
        <f>IFERROR(VLOOKUP(Tablo515[[#This Row],[ÜRÜN KODU]],YMKODLARI!$A$1:$K$363,3,0)," ")</f>
        <v xml:space="preserve"> </v>
      </c>
      <c r="H332" s="100" t="str">
        <f>IFERROR(VLOOKUP(Tablo515[[#This Row],[ÜRÜN KODU]],YMKODLARI!$A$1:$K$363,4,0)," ")</f>
        <v xml:space="preserve"> </v>
      </c>
      <c r="I332" s="100"/>
      <c r="J332" s="100" t="str">
        <f>IFERROR(VLOOKUP(Tablo515[[#This Row],[ÜRÜN KODU]],YMKODLARI!$A$1:$K$363,9,0)," ")</f>
        <v xml:space="preserve"> </v>
      </c>
      <c r="K332" s="100" t="str">
        <f>IFERROR(VLOOKUP(Tablo515[[#This Row],[BOYA KODU]],Tablo14[#All],4,0)," ")</f>
        <v xml:space="preserve"> </v>
      </c>
      <c r="L332" s="100" t="str">
        <f>IFERROR(VLOOKUP(Tablo515[[#This Row],[BOYA KODU]],Tablo14[#All],6,0)," ")</f>
        <v xml:space="preserve"> </v>
      </c>
      <c r="M332" s="100" t="str">
        <f t="shared" si="39"/>
        <v xml:space="preserve"> </v>
      </c>
      <c r="N332" s="100" t="str">
        <f>IFERROR(VLOOKUP(Tablo515[[#This Row],[ÜRÜN KODU]],YMKODLARI!$A$1:$K$363,8,0)," ")</f>
        <v xml:space="preserve"> </v>
      </c>
      <c r="O332" s="100" t="str">
        <f>IFERROR(VLOOKUP(Tablo515[[#This Row],[HAMMADDE KODU]],Tablo1[#All],3,0)," ")</f>
        <v xml:space="preserve"> </v>
      </c>
      <c r="P332" s="100" t="str">
        <f>IFERROR(VLOOKUP(Tablo515[[#This Row],[HAMMADDE KODU]],Tablo1[#All],4,0)," ")</f>
        <v xml:space="preserve"> </v>
      </c>
      <c r="Q332" s="100" t="str">
        <f>IFERROR(VLOOKUP(Tablo515[[#This Row],[ÜRÜN KODU]],YMKODLARI!$A$1:$K$363,5,0)," ")</f>
        <v xml:space="preserve"> </v>
      </c>
      <c r="R332" s="100" t="str">
        <f>IFERROR(VLOOKUP(Tablo515[[#This Row],[ÜRÜN KODU]],YMKODLARI!$A$1:$K$363,6,0)," ")</f>
        <v xml:space="preserve"> </v>
      </c>
      <c r="S332" s="100" t="str">
        <f>IFERROR(Tablo515[[#This Row],[YOLLUK HARİÇ BASKI GRAMI]]/Tablo515[[#This Row],[KALIP GÖZ ADEDİ]]," ")</f>
        <v xml:space="preserve"> </v>
      </c>
      <c r="T332" s="100" t="str">
        <f t="shared" si="41"/>
        <v xml:space="preserve"> </v>
      </c>
      <c r="U332" s="100"/>
      <c r="V332" s="100" t="str">
        <f t="shared" si="40"/>
        <v xml:space="preserve"> </v>
      </c>
      <c r="W332" s="101">
        <f t="shared" si="42"/>
        <v>24</v>
      </c>
      <c r="X332" s="102">
        <f t="shared" si="43"/>
        <v>0</v>
      </c>
      <c r="Y332" s="100" t="str">
        <f t="shared" si="44"/>
        <v xml:space="preserve"> </v>
      </c>
      <c r="Z332" s="100" t="str">
        <f t="shared" si="45"/>
        <v xml:space="preserve"> </v>
      </c>
    </row>
    <row r="333" spans="1:26">
      <c r="A333" s="100"/>
      <c r="B333" s="108" t="str">
        <f>IFERROR(VLOOKUP(Tablo515[[#This Row],[ÜRÜN KODU]],YMKODLARI!$A$1:$K$363,2,0)," ")</f>
        <v xml:space="preserve"> </v>
      </c>
      <c r="C333" s="99"/>
      <c r="D333" s="100"/>
      <c r="E333" s="101"/>
      <c r="F333" s="101"/>
      <c r="G333" s="100" t="str">
        <f>IFERROR(VLOOKUP(Tablo515[[#This Row],[ÜRÜN KODU]],YMKODLARI!$A$1:$K$363,3,0)," ")</f>
        <v xml:space="preserve"> </v>
      </c>
      <c r="H333" s="100" t="str">
        <f>IFERROR(VLOOKUP(Tablo515[[#This Row],[ÜRÜN KODU]],YMKODLARI!$A$1:$K$363,4,0)," ")</f>
        <v xml:space="preserve"> </v>
      </c>
      <c r="I333" s="100"/>
      <c r="J333" s="100" t="str">
        <f>IFERROR(VLOOKUP(Tablo515[[#This Row],[ÜRÜN KODU]],YMKODLARI!$A$1:$K$363,9,0)," ")</f>
        <v xml:space="preserve"> </v>
      </c>
      <c r="K333" s="100" t="str">
        <f>IFERROR(VLOOKUP(Tablo515[[#This Row],[BOYA KODU]],Tablo14[#All],4,0)," ")</f>
        <v xml:space="preserve"> </v>
      </c>
      <c r="L333" s="100" t="str">
        <f>IFERROR(VLOOKUP(Tablo515[[#This Row],[BOYA KODU]],Tablo14[#All],6,0)," ")</f>
        <v xml:space="preserve"> </v>
      </c>
      <c r="M333" s="100" t="str">
        <f t="shared" si="39"/>
        <v xml:space="preserve"> </v>
      </c>
      <c r="N333" s="100" t="str">
        <f>IFERROR(VLOOKUP(Tablo515[[#This Row],[ÜRÜN KODU]],YMKODLARI!$A$1:$K$363,8,0)," ")</f>
        <v xml:space="preserve"> </v>
      </c>
      <c r="O333" s="100" t="str">
        <f>IFERROR(VLOOKUP(Tablo515[[#This Row],[HAMMADDE KODU]],Tablo1[#All],3,0)," ")</f>
        <v xml:space="preserve"> </v>
      </c>
      <c r="P333" s="100" t="str">
        <f>IFERROR(VLOOKUP(Tablo515[[#This Row],[HAMMADDE KODU]],Tablo1[#All],4,0)," ")</f>
        <v xml:space="preserve"> </v>
      </c>
      <c r="Q333" s="100" t="str">
        <f>IFERROR(VLOOKUP(Tablo515[[#This Row],[ÜRÜN KODU]],YMKODLARI!$A$1:$K$363,5,0)," ")</f>
        <v xml:space="preserve"> </v>
      </c>
      <c r="R333" s="100" t="str">
        <f>IFERROR(VLOOKUP(Tablo515[[#This Row],[ÜRÜN KODU]],YMKODLARI!$A$1:$K$363,6,0)," ")</f>
        <v xml:space="preserve"> </v>
      </c>
      <c r="S333" s="100" t="str">
        <f>IFERROR(Tablo515[[#This Row],[YOLLUK HARİÇ BASKI GRAMI]]/Tablo515[[#This Row],[KALIP GÖZ ADEDİ]]," ")</f>
        <v xml:space="preserve"> </v>
      </c>
      <c r="T333" s="100" t="str">
        <f t="shared" si="41"/>
        <v xml:space="preserve"> </v>
      </c>
      <c r="U333" s="100"/>
      <c r="V333" s="100" t="str">
        <f t="shared" si="40"/>
        <v xml:space="preserve"> </v>
      </c>
      <c r="W333" s="101">
        <f t="shared" si="42"/>
        <v>24</v>
      </c>
      <c r="X333" s="102">
        <f t="shared" si="43"/>
        <v>0</v>
      </c>
      <c r="Y333" s="100" t="str">
        <f t="shared" si="44"/>
        <v xml:space="preserve"> </v>
      </c>
      <c r="Z333" s="100" t="str">
        <f t="shared" si="45"/>
        <v xml:space="preserve"> </v>
      </c>
    </row>
    <row r="334" spans="1:26">
      <c r="A334" s="100"/>
      <c r="B334" s="108" t="str">
        <f>IFERROR(VLOOKUP(Tablo515[[#This Row],[ÜRÜN KODU]],YMKODLARI!$A$1:$K$363,2,0)," ")</f>
        <v xml:space="preserve"> </v>
      </c>
      <c r="C334" s="99"/>
      <c r="D334" s="100"/>
      <c r="E334" s="101"/>
      <c r="F334" s="101"/>
      <c r="G334" s="100" t="str">
        <f>IFERROR(VLOOKUP(Tablo515[[#This Row],[ÜRÜN KODU]],YMKODLARI!$A$1:$K$363,3,0)," ")</f>
        <v xml:space="preserve"> </v>
      </c>
      <c r="H334" s="100" t="str">
        <f>IFERROR(VLOOKUP(Tablo515[[#This Row],[ÜRÜN KODU]],YMKODLARI!$A$1:$K$363,4,0)," ")</f>
        <v xml:space="preserve"> </v>
      </c>
      <c r="I334" s="100"/>
      <c r="J334" s="100" t="str">
        <f>IFERROR(VLOOKUP(Tablo515[[#This Row],[ÜRÜN KODU]],YMKODLARI!$A$1:$K$363,9,0)," ")</f>
        <v xml:space="preserve"> </v>
      </c>
      <c r="K334" s="100" t="str">
        <f>IFERROR(VLOOKUP(Tablo515[[#This Row],[BOYA KODU]],Tablo14[#All],4,0)," ")</f>
        <v xml:space="preserve"> </v>
      </c>
      <c r="L334" s="100" t="str">
        <f>IFERROR(VLOOKUP(Tablo515[[#This Row],[BOYA KODU]],Tablo14[#All],6,0)," ")</f>
        <v xml:space="preserve"> </v>
      </c>
      <c r="M334" s="100" t="str">
        <f t="shared" si="39"/>
        <v xml:space="preserve"> </v>
      </c>
      <c r="N334" s="100" t="str">
        <f>IFERROR(VLOOKUP(Tablo515[[#This Row],[ÜRÜN KODU]],YMKODLARI!$A$1:$K$363,8,0)," ")</f>
        <v xml:space="preserve"> </v>
      </c>
      <c r="O334" s="100" t="str">
        <f>IFERROR(VLOOKUP(Tablo515[[#This Row],[HAMMADDE KODU]],Tablo1[#All],3,0)," ")</f>
        <v xml:space="preserve"> </v>
      </c>
      <c r="P334" s="100" t="str">
        <f>IFERROR(VLOOKUP(Tablo515[[#This Row],[HAMMADDE KODU]],Tablo1[#All],4,0)," ")</f>
        <v xml:space="preserve"> </v>
      </c>
      <c r="Q334" s="100" t="str">
        <f>IFERROR(VLOOKUP(Tablo515[[#This Row],[ÜRÜN KODU]],YMKODLARI!$A$1:$K$363,5,0)," ")</f>
        <v xml:space="preserve"> </v>
      </c>
      <c r="R334" s="100" t="str">
        <f>IFERROR(VLOOKUP(Tablo515[[#This Row],[ÜRÜN KODU]],YMKODLARI!$A$1:$K$363,6,0)," ")</f>
        <v xml:space="preserve"> </v>
      </c>
      <c r="S334" s="100" t="str">
        <f>IFERROR(Tablo515[[#This Row],[YOLLUK HARİÇ BASKI GRAMI]]/Tablo515[[#This Row],[KALIP GÖZ ADEDİ]]," ")</f>
        <v xml:space="preserve"> </v>
      </c>
      <c r="T334" s="100" t="str">
        <f t="shared" si="41"/>
        <v xml:space="preserve"> </v>
      </c>
      <c r="U334" s="100"/>
      <c r="V334" s="100" t="str">
        <f t="shared" si="40"/>
        <v xml:space="preserve"> </v>
      </c>
      <c r="W334" s="101">
        <f t="shared" si="42"/>
        <v>24</v>
      </c>
      <c r="X334" s="102">
        <f t="shared" si="43"/>
        <v>0</v>
      </c>
      <c r="Y334" s="100" t="str">
        <f t="shared" si="44"/>
        <v xml:space="preserve"> </v>
      </c>
      <c r="Z334" s="100" t="str">
        <f t="shared" si="45"/>
        <v xml:space="preserve"> </v>
      </c>
    </row>
    <row r="335" spans="1:26">
      <c r="A335" s="100"/>
      <c r="B335" s="108" t="str">
        <f>IFERROR(VLOOKUP(Tablo515[[#This Row],[ÜRÜN KODU]],YMKODLARI!$A$1:$K$363,2,0)," ")</f>
        <v xml:space="preserve"> </v>
      </c>
      <c r="C335" s="99"/>
      <c r="D335" s="100"/>
      <c r="E335" s="101"/>
      <c r="F335" s="101"/>
      <c r="G335" s="100" t="str">
        <f>IFERROR(VLOOKUP(Tablo515[[#This Row],[ÜRÜN KODU]],YMKODLARI!$A$1:$K$363,3,0)," ")</f>
        <v xml:space="preserve"> </v>
      </c>
      <c r="H335" s="100" t="str">
        <f>IFERROR(VLOOKUP(Tablo515[[#This Row],[ÜRÜN KODU]],YMKODLARI!$A$1:$K$363,4,0)," ")</f>
        <v xml:space="preserve"> </v>
      </c>
      <c r="I335" s="100"/>
      <c r="J335" s="100" t="str">
        <f>IFERROR(VLOOKUP(Tablo515[[#This Row],[ÜRÜN KODU]],YMKODLARI!$A$1:$K$363,9,0)," ")</f>
        <v xml:space="preserve"> </v>
      </c>
      <c r="K335" s="100" t="str">
        <f>IFERROR(VLOOKUP(Tablo515[[#This Row],[BOYA KODU]],Tablo14[#All],4,0)," ")</f>
        <v xml:space="preserve"> </v>
      </c>
      <c r="L335" s="100" t="str">
        <f>IFERROR(VLOOKUP(Tablo515[[#This Row],[BOYA KODU]],Tablo14[#All],6,0)," ")</f>
        <v xml:space="preserve"> </v>
      </c>
      <c r="M335" s="100" t="str">
        <f t="shared" si="39"/>
        <v xml:space="preserve"> </v>
      </c>
      <c r="N335" s="100" t="str">
        <f>IFERROR(VLOOKUP(Tablo515[[#This Row],[ÜRÜN KODU]],YMKODLARI!$A$1:$K$363,8,0)," ")</f>
        <v xml:space="preserve"> </v>
      </c>
      <c r="O335" s="100" t="str">
        <f>IFERROR(VLOOKUP(Tablo515[[#This Row],[HAMMADDE KODU]],Tablo1[#All],3,0)," ")</f>
        <v xml:space="preserve"> </v>
      </c>
      <c r="P335" s="100" t="str">
        <f>IFERROR(VLOOKUP(Tablo515[[#This Row],[HAMMADDE KODU]],Tablo1[#All],4,0)," ")</f>
        <v xml:space="preserve"> </v>
      </c>
      <c r="Q335" s="100" t="str">
        <f>IFERROR(VLOOKUP(Tablo515[[#This Row],[ÜRÜN KODU]],YMKODLARI!$A$1:$K$363,5,0)," ")</f>
        <v xml:space="preserve"> </v>
      </c>
      <c r="R335" s="100" t="str">
        <f>IFERROR(VLOOKUP(Tablo515[[#This Row],[ÜRÜN KODU]],YMKODLARI!$A$1:$K$363,6,0)," ")</f>
        <v xml:space="preserve"> </v>
      </c>
      <c r="S335" s="100" t="str">
        <f>IFERROR(Tablo515[[#This Row],[YOLLUK HARİÇ BASKI GRAMI]]/Tablo515[[#This Row],[KALIP GÖZ ADEDİ]]," ")</f>
        <v xml:space="preserve"> </v>
      </c>
      <c r="T335" s="100" t="str">
        <f t="shared" si="41"/>
        <v xml:space="preserve"> </v>
      </c>
      <c r="U335" s="100"/>
      <c r="V335" s="100" t="str">
        <f t="shared" si="40"/>
        <v xml:space="preserve"> </v>
      </c>
      <c r="W335" s="101">
        <f t="shared" si="42"/>
        <v>24</v>
      </c>
      <c r="X335" s="102">
        <f t="shared" si="43"/>
        <v>0</v>
      </c>
      <c r="Y335" s="100" t="str">
        <f t="shared" si="44"/>
        <v xml:space="preserve"> </v>
      </c>
      <c r="Z335" s="100" t="str">
        <f t="shared" si="45"/>
        <v xml:space="preserve"> </v>
      </c>
    </row>
    <row r="336" spans="1:26">
      <c r="A336" s="100"/>
      <c r="B336" s="108" t="str">
        <f>IFERROR(VLOOKUP(Tablo515[[#This Row],[ÜRÜN KODU]],YMKODLARI!$A$1:$K$363,2,0)," ")</f>
        <v xml:space="preserve"> </v>
      </c>
      <c r="C336" s="99"/>
      <c r="D336" s="100"/>
      <c r="E336" s="101"/>
      <c r="F336" s="101"/>
      <c r="G336" s="100" t="str">
        <f>IFERROR(VLOOKUP(Tablo515[[#This Row],[ÜRÜN KODU]],YMKODLARI!$A$1:$K$363,3,0)," ")</f>
        <v xml:space="preserve"> </v>
      </c>
      <c r="H336" s="100" t="str">
        <f>IFERROR(VLOOKUP(Tablo515[[#This Row],[ÜRÜN KODU]],YMKODLARI!$A$1:$K$363,4,0)," ")</f>
        <v xml:space="preserve"> </v>
      </c>
      <c r="I336" s="100"/>
      <c r="J336" s="100" t="str">
        <f>IFERROR(VLOOKUP(Tablo515[[#This Row],[ÜRÜN KODU]],YMKODLARI!$A$1:$K$363,9,0)," ")</f>
        <v xml:space="preserve"> </v>
      </c>
      <c r="K336" s="100" t="str">
        <f>IFERROR(VLOOKUP(Tablo515[[#This Row],[BOYA KODU]],Tablo14[#All],4,0)," ")</f>
        <v xml:space="preserve"> </v>
      </c>
      <c r="L336" s="100" t="str">
        <f>IFERROR(VLOOKUP(Tablo515[[#This Row],[BOYA KODU]],Tablo14[#All],6,0)," ")</f>
        <v xml:space="preserve"> </v>
      </c>
      <c r="M336" s="100" t="str">
        <f t="shared" si="39"/>
        <v xml:space="preserve"> </v>
      </c>
      <c r="N336" s="100" t="str">
        <f>IFERROR(VLOOKUP(Tablo515[[#This Row],[ÜRÜN KODU]],YMKODLARI!$A$1:$K$363,8,0)," ")</f>
        <v xml:space="preserve"> </v>
      </c>
      <c r="O336" s="100" t="str">
        <f>IFERROR(VLOOKUP(Tablo515[[#This Row],[HAMMADDE KODU]],Tablo1[#All],3,0)," ")</f>
        <v xml:space="preserve"> </v>
      </c>
      <c r="P336" s="100" t="str">
        <f>IFERROR(VLOOKUP(Tablo515[[#This Row],[HAMMADDE KODU]],Tablo1[#All],4,0)," ")</f>
        <v xml:space="preserve"> </v>
      </c>
      <c r="Q336" s="100" t="str">
        <f>IFERROR(VLOOKUP(Tablo515[[#This Row],[ÜRÜN KODU]],YMKODLARI!$A$1:$K$363,5,0)," ")</f>
        <v xml:space="preserve"> </v>
      </c>
      <c r="R336" s="100" t="str">
        <f>IFERROR(VLOOKUP(Tablo515[[#This Row],[ÜRÜN KODU]],YMKODLARI!$A$1:$K$363,6,0)," ")</f>
        <v xml:space="preserve"> </v>
      </c>
      <c r="S336" s="100" t="str">
        <f>IFERROR(Tablo515[[#This Row],[YOLLUK HARİÇ BASKI GRAMI]]/Tablo515[[#This Row],[KALIP GÖZ ADEDİ]]," ")</f>
        <v xml:space="preserve"> </v>
      </c>
      <c r="T336" s="100" t="str">
        <f t="shared" si="41"/>
        <v xml:space="preserve"> </v>
      </c>
      <c r="U336" s="100"/>
      <c r="V336" s="100" t="str">
        <f t="shared" si="40"/>
        <v xml:space="preserve"> </v>
      </c>
      <c r="W336" s="101">
        <f t="shared" si="42"/>
        <v>24</v>
      </c>
      <c r="X336" s="102">
        <f t="shared" si="43"/>
        <v>0</v>
      </c>
      <c r="Y336" s="100" t="str">
        <f t="shared" si="44"/>
        <v xml:space="preserve"> </v>
      </c>
      <c r="Z336" s="100" t="str">
        <f t="shared" si="45"/>
        <v xml:space="preserve"> </v>
      </c>
    </row>
    <row r="337" spans="1:26">
      <c r="A337" s="100"/>
      <c r="B337" s="108" t="str">
        <f>IFERROR(VLOOKUP(Tablo515[[#This Row],[ÜRÜN KODU]],YMKODLARI!$A$1:$K$363,2,0)," ")</f>
        <v xml:space="preserve"> </v>
      </c>
      <c r="C337" s="99"/>
      <c r="D337" s="100"/>
      <c r="E337" s="101"/>
      <c r="F337" s="101"/>
      <c r="G337" s="100" t="str">
        <f>IFERROR(VLOOKUP(Tablo515[[#This Row],[ÜRÜN KODU]],YMKODLARI!$A$1:$K$363,3,0)," ")</f>
        <v xml:space="preserve"> </v>
      </c>
      <c r="H337" s="100" t="str">
        <f>IFERROR(VLOOKUP(Tablo515[[#This Row],[ÜRÜN KODU]],YMKODLARI!$A$1:$K$363,4,0)," ")</f>
        <v xml:space="preserve"> </v>
      </c>
      <c r="I337" s="100"/>
      <c r="J337" s="100" t="str">
        <f>IFERROR(VLOOKUP(Tablo515[[#This Row],[ÜRÜN KODU]],YMKODLARI!$A$1:$K$363,9,0)," ")</f>
        <v xml:space="preserve"> </v>
      </c>
      <c r="K337" s="100" t="str">
        <f>IFERROR(VLOOKUP(Tablo515[[#This Row],[BOYA KODU]],Tablo14[#All],4,0)," ")</f>
        <v xml:space="preserve"> </v>
      </c>
      <c r="L337" s="100" t="str">
        <f>IFERROR(VLOOKUP(Tablo515[[#This Row],[BOYA KODU]],Tablo14[#All],6,0)," ")</f>
        <v xml:space="preserve"> </v>
      </c>
      <c r="M337" s="100" t="str">
        <f t="shared" si="39"/>
        <v xml:space="preserve"> </v>
      </c>
      <c r="N337" s="100" t="str">
        <f>IFERROR(VLOOKUP(Tablo515[[#This Row],[ÜRÜN KODU]],YMKODLARI!$A$1:$K$363,8,0)," ")</f>
        <v xml:space="preserve"> </v>
      </c>
      <c r="O337" s="100" t="str">
        <f>IFERROR(VLOOKUP(Tablo515[[#This Row],[HAMMADDE KODU]],Tablo1[#All],3,0)," ")</f>
        <v xml:space="preserve"> </v>
      </c>
      <c r="P337" s="100" t="str">
        <f>IFERROR(VLOOKUP(Tablo515[[#This Row],[HAMMADDE KODU]],Tablo1[#All],4,0)," ")</f>
        <v xml:space="preserve"> </v>
      </c>
      <c r="Q337" s="100" t="str">
        <f>IFERROR(VLOOKUP(Tablo515[[#This Row],[ÜRÜN KODU]],YMKODLARI!$A$1:$K$363,5,0)," ")</f>
        <v xml:space="preserve"> </v>
      </c>
      <c r="R337" s="100" t="str">
        <f>IFERROR(VLOOKUP(Tablo515[[#This Row],[ÜRÜN KODU]],YMKODLARI!$A$1:$K$363,6,0)," ")</f>
        <v xml:space="preserve"> </v>
      </c>
      <c r="S337" s="100" t="str">
        <f>IFERROR(Tablo515[[#This Row],[YOLLUK HARİÇ BASKI GRAMI]]/Tablo515[[#This Row],[KALIP GÖZ ADEDİ]]," ")</f>
        <v xml:space="preserve"> </v>
      </c>
      <c r="T337" s="100" t="str">
        <f t="shared" si="41"/>
        <v xml:space="preserve"> </v>
      </c>
      <c r="U337" s="100"/>
      <c r="V337" s="100" t="str">
        <f t="shared" si="40"/>
        <v xml:space="preserve"> </v>
      </c>
      <c r="W337" s="101">
        <f t="shared" si="42"/>
        <v>24</v>
      </c>
      <c r="X337" s="102">
        <f t="shared" si="43"/>
        <v>0</v>
      </c>
      <c r="Y337" s="100" t="str">
        <f t="shared" si="44"/>
        <v xml:space="preserve"> </v>
      </c>
      <c r="Z337" s="100" t="str">
        <f t="shared" si="45"/>
        <v xml:space="preserve"> </v>
      </c>
    </row>
    <row r="338" spans="1:26">
      <c r="A338" s="100"/>
      <c r="B338" s="108" t="str">
        <f>IFERROR(VLOOKUP(Tablo515[[#This Row],[ÜRÜN KODU]],YMKODLARI!$A$1:$K$363,2,0)," ")</f>
        <v xml:space="preserve"> </v>
      </c>
      <c r="C338" s="99"/>
      <c r="D338" s="100"/>
      <c r="E338" s="101"/>
      <c r="F338" s="101"/>
      <c r="G338" s="100" t="str">
        <f>IFERROR(VLOOKUP(Tablo515[[#This Row],[ÜRÜN KODU]],YMKODLARI!$A$1:$K$363,3,0)," ")</f>
        <v xml:space="preserve"> </v>
      </c>
      <c r="H338" s="100" t="str">
        <f>IFERROR(VLOOKUP(Tablo515[[#This Row],[ÜRÜN KODU]],YMKODLARI!$A$1:$K$363,4,0)," ")</f>
        <v xml:space="preserve"> </v>
      </c>
      <c r="I338" s="100"/>
      <c r="J338" s="100" t="str">
        <f>IFERROR(VLOOKUP(Tablo515[[#This Row],[ÜRÜN KODU]],YMKODLARI!$A$1:$K$363,9,0)," ")</f>
        <v xml:space="preserve"> </v>
      </c>
      <c r="K338" s="100" t="str">
        <f>IFERROR(VLOOKUP(Tablo515[[#This Row],[BOYA KODU]],Tablo14[#All],4,0)," ")</f>
        <v xml:space="preserve"> </v>
      </c>
      <c r="L338" s="100" t="str">
        <f>IFERROR(VLOOKUP(Tablo515[[#This Row],[BOYA KODU]],Tablo14[#All],6,0)," ")</f>
        <v xml:space="preserve"> </v>
      </c>
      <c r="M338" s="100" t="str">
        <f t="shared" si="39"/>
        <v xml:space="preserve"> </v>
      </c>
      <c r="N338" s="100" t="str">
        <f>IFERROR(VLOOKUP(Tablo515[[#This Row],[ÜRÜN KODU]],YMKODLARI!$A$1:$K$363,8,0)," ")</f>
        <v xml:space="preserve"> </v>
      </c>
      <c r="O338" s="100" t="str">
        <f>IFERROR(VLOOKUP(Tablo515[[#This Row],[HAMMADDE KODU]],Tablo1[#All],3,0)," ")</f>
        <v xml:space="preserve"> </v>
      </c>
      <c r="P338" s="100" t="str">
        <f>IFERROR(VLOOKUP(Tablo515[[#This Row],[HAMMADDE KODU]],Tablo1[#All],4,0)," ")</f>
        <v xml:space="preserve"> </v>
      </c>
      <c r="Q338" s="100" t="str">
        <f>IFERROR(VLOOKUP(Tablo515[[#This Row],[ÜRÜN KODU]],YMKODLARI!$A$1:$K$363,5,0)," ")</f>
        <v xml:space="preserve"> </v>
      </c>
      <c r="R338" s="100" t="str">
        <f>IFERROR(VLOOKUP(Tablo515[[#This Row],[ÜRÜN KODU]],YMKODLARI!$A$1:$K$363,6,0)," ")</f>
        <v xml:space="preserve"> </v>
      </c>
      <c r="S338" s="100" t="str">
        <f>IFERROR(Tablo515[[#This Row],[YOLLUK HARİÇ BASKI GRAMI]]/Tablo515[[#This Row],[KALIP GÖZ ADEDİ]]," ")</f>
        <v xml:space="preserve"> </v>
      </c>
      <c r="T338" s="100" t="str">
        <f t="shared" si="41"/>
        <v xml:space="preserve"> </v>
      </c>
      <c r="U338" s="100"/>
      <c r="V338" s="100" t="str">
        <f t="shared" si="40"/>
        <v xml:space="preserve"> </v>
      </c>
      <c r="W338" s="101">
        <f t="shared" si="42"/>
        <v>24</v>
      </c>
      <c r="X338" s="102">
        <f t="shared" si="43"/>
        <v>0</v>
      </c>
      <c r="Y338" s="100" t="str">
        <f t="shared" si="44"/>
        <v xml:space="preserve"> </v>
      </c>
      <c r="Z338" s="100" t="str">
        <f t="shared" si="45"/>
        <v xml:space="preserve"> </v>
      </c>
    </row>
    <row r="339" spans="1:26">
      <c r="A339" s="100"/>
      <c r="B339" s="108" t="str">
        <f>IFERROR(VLOOKUP(Tablo515[[#This Row],[ÜRÜN KODU]],YMKODLARI!$A$1:$K$363,2,0)," ")</f>
        <v xml:space="preserve"> </v>
      </c>
      <c r="C339" s="99"/>
      <c r="D339" s="100"/>
      <c r="E339" s="101"/>
      <c r="F339" s="101"/>
      <c r="G339" s="100" t="str">
        <f>IFERROR(VLOOKUP(Tablo515[[#This Row],[ÜRÜN KODU]],YMKODLARI!$A$1:$K$363,3,0)," ")</f>
        <v xml:space="preserve"> </v>
      </c>
      <c r="H339" s="100" t="str">
        <f>IFERROR(VLOOKUP(Tablo515[[#This Row],[ÜRÜN KODU]],YMKODLARI!$A$1:$K$363,4,0)," ")</f>
        <v xml:space="preserve"> </v>
      </c>
      <c r="I339" s="100"/>
      <c r="J339" s="100" t="str">
        <f>IFERROR(VLOOKUP(Tablo515[[#This Row],[ÜRÜN KODU]],YMKODLARI!$A$1:$K$363,9,0)," ")</f>
        <v xml:space="preserve"> </v>
      </c>
      <c r="K339" s="100" t="str">
        <f>IFERROR(VLOOKUP(Tablo515[[#This Row],[BOYA KODU]],Tablo14[#All],4,0)," ")</f>
        <v xml:space="preserve"> </v>
      </c>
      <c r="L339" s="100" t="str">
        <f>IFERROR(VLOOKUP(Tablo515[[#This Row],[BOYA KODU]],Tablo14[#All],6,0)," ")</f>
        <v xml:space="preserve"> </v>
      </c>
      <c r="M339" s="100" t="str">
        <f t="shared" si="39"/>
        <v xml:space="preserve"> </v>
      </c>
      <c r="N339" s="100" t="str">
        <f>IFERROR(VLOOKUP(Tablo515[[#This Row],[ÜRÜN KODU]],YMKODLARI!$A$1:$K$363,8,0)," ")</f>
        <v xml:space="preserve"> </v>
      </c>
      <c r="O339" s="100" t="str">
        <f>IFERROR(VLOOKUP(Tablo515[[#This Row],[HAMMADDE KODU]],Tablo1[#All],3,0)," ")</f>
        <v xml:space="preserve"> </v>
      </c>
      <c r="P339" s="100" t="str">
        <f>IFERROR(VLOOKUP(Tablo515[[#This Row],[HAMMADDE KODU]],Tablo1[#All],4,0)," ")</f>
        <v xml:space="preserve"> </v>
      </c>
      <c r="Q339" s="100" t="str">
        <f>IFERROR(VLOOKUP(Tablo515[[#This Row],[ÜRÜN KODU]],YMKODLARI!$A$1:$K$363,5,0)," ")</f>
        <v xml:space="preserve"> </v>
      </c>
      <c r="R339" s="100" t="str">
        <f>IFERROR(VLOOKUP(Tablo515[[#This Row],[ÜRÜN KODU]],YMKODLARI!$A$1:$K$363,6,0)," ")</f>
        <v xml:space="preserve"> </v>
      </c>
      <c r="S339" s="100" t="str">
        <f>IFERROR(Tablo515[[#This Row],[YOLLUK HARİÇ BASKI GRAMI]]/Tablo515[[#This Row],[KALIP GÖZ ADEDİ]]," ")</f>
        <v xml:space="preserve"> </v>
      </c>
      <c r="T339" s="100" t="str">
        <f t="shared" si="41"/>
        <v xml:space="preserve"> </v>
      </c>
      <c r="U339" s="100"/>
      <c r="V339" s="100" t="str">
        <f t="shared" si="40"/>
        <v xml:space="preserve"> </v>
      </c>
      <c r="W339" s="101">
        <f t="shared" si="42"/>
        <v>24</v>
      </c>
      <c r="X339" s="102">
        <f t="shared" si="43"/>
        <v>0</v>
      </c>
      <c r="Y339" s="100" t="str">
        <f t="shared" si="44"/>
        <v xml:space="preserve"> </v>
      </c>
      <c r="Z339" s="100" t="str">
        <f t="shared" si="45"/>
        <v xml:space="preserve"> </v>
      </c>
    </row>
    <row r="340" spans="1:26">
      <c r="A340" s="100"/>
      <c r="B340" s="108" t="str">
        <f>IFERROR(VLOOKUP(Tablo515[[#This Row],[ÜRÜN KODU]],YMKODLARI!$A$1:$K$363,2,0)," ")</f>
        <v xml:space="preserve"> </v>
      </c>
      <c r="C340" s="99"/>
      <c r="D340" s="100"/>
      <c r="E340" s="101"/>
      <c r="F340" s="101"/>
      <c r="G340" s="100" t="str">
        <f>IFERROR(VLOOKUP(Tablo515[[#This Row],[ÜRÜN KODU]],YMKODLARI!$A$1:$K$363,3,0)," ")</f>
        <v xml:space="preserve"> </v>
      </c>
      <c r="H340" s="100" t="str">
        <f>IFERROR(VLOOKUP(Tablo515[[#This Row],[ÜRÜN KODU]],YMKODLARI!$A$1:$K$363,4,0)," ")</f>
        <v xml:space="preserve"> </v>
      </c>
      <c r="I340" s="100"/>
      <c r="J340" s="100" t="str">
        <f>IFERROR(VLOOKUP(Tablo515[[#This Row],[ÜRÜN KODU]],YMKODLARI!$A$1:$K$363,9,0)," ")</f>
        <v xml:space="preserve"> </v>
      </c>
      <c r="K340" s="100" t="str">
        <f>IFERROR(VLOOKUP(Tablo515[[#This Row],[BOYA KODU]],Tablo14[#All],4,0)," ")</f>
        <v xml:space="preserve"> </v>
      </c>
      <c r="L340" s="100" t="str">
        <f>IFERROR(VLOOKUP(Tablo515[[#This Row],[BOYA KODU]],Tablo14[#All],6,0)," ")</f>
        <v xml:space="preserve"> </v>
      </c>
      <c r="M340" s="100" t="str">
        <f t="shared" si="39"/>
        <v xml:space="preserve"> </v>
      </c>
      <c r="N340" s="100" t="str">
        <f>IFERROR(VLOOKUP(Tablo515[[#This Row],[ÜRÜN KODU]],YMKODLARI!$A$1:$K$363,8,0)," ")</f>
        <v xml:space="preserve"> </v>
      </c>
      <c r="O340" s="100" t="str">
        <f>IFERROR(VLOOKUP(Tablo515[[#This Row],[HAMMADDE KODU]],Tablo1[#All],3,0)," ")</f>
        <v xml:space="preserve"> </v>
      </c>
      <c r="P340" s="100" t="str">
        <f>IFERROR(VLOOKUP(Tablo515[[#This Row],[HAMMADDE KODU]],Tablo1[#All],4,0)," ")</f>
        <v xml:space="preserve"> </v>
      </c>
      <c r="Q340" s="100" t="str">
        <f>IFERROR(VLOOKUP(Tablo515[[#This Row],[ÜRÜN KODU]],YMKODLARI!$A$1:$K$363,5,0)," ")</f>
        <v xml:space="preserve"> </v>
      </c>
      <c r="R340" s="100" t="str">
        <f>IFERROR(VLOOKUP(Tablo515[[#This Row],[ÜRÜN KODU]],YMKODLARI!$A$1:$K$363,6,0)," ")</f>
        <v xml:space="preserve"> </v>
      </c>
      <c r="S340" s="100" t="str">
        <f>IFERROR(Tablo515[[#This Row],[YOLLUK HARİÇ BASKI GRAMI]]/Tablo515[[#This Row],[KALIP GÖZ ADEDİ]]," ")</f>
        <v xml:space="preserve"> </v>
      </c>
      <c r="T340" s="100" t="str">
        <f t="shared" si="41"/>
        <v xml:space="preserve"> </v>
      </c>
      <c r="U340" s="100"/>
      <c r="V340" s="100" t="str">
        <f t="shared" si="40"/>
        <v xml:space="preserve"> </v>
      </c>
      <c r="W340" s="101">
        <f t="shared" si="42"/>
        <v>24</v>
      </c>
      <c r="X340" s="102">
        <f t="shared" si="43"/>
        <v>0</v>
      </c>
      <c r="Y340" s="100" t="str">
        <f t="shared" si="44"/>
        <v xml:space="preserve"> </v>
      </c>
      <c r="Z340" s="100" t="str">
        <f t="shared" si="45"/>
        <v xml:space="preserve"> </v>
      </c>
    </row>
    <row r="341" spans="1:26">
      <c r="A341" s="100"/>
      <c r="B341" s="108" t="str">
        <f>IFERROR(VLOOKUP(Tablo515[[#This Row],[ÜRÜN KODU]],YMKODLARI!$A$1:$K$363,2,0)," ")</f>
        <v xml:space="preserve"> </v>
      </c>
      <c r="C341" s="99"/>
      <c r="D341" s="100"/>
      <c r="E341" s="101"/>
      <c r="F341" s="101"/>
      <c r="G341" s="100" t="str">
        <f>IFERROR(VLOOKUP(Tablo515[[#This Row],[ÜRÜN KODU]],YMKODLARI!$A$1:$K$363,3,0)," ")</f>
        <v xml:space="preserve"> </v>
      </c>
      <c r="H341" s="100" t="str">
        <f>IFERROR(VLOOKUP(Tablo515[[#This Row],[ÜRÜN KODU]],YMKODLARI!$A$1:$K$363,4,0)," ")</f>
        <v xml:space="preserve"> </v>
      </c>
      <c r="I341" s="100"/>
      <c r="J341" s="100" t="str">
        <f>IFERROR(VLOOKUP(Tablo515[[#This Row],[ÜRÜN KODU]],YMKODLARI!$A$1:$K$363,9,0)," ")</f>
        <v xml:space="preserve"> </v>
      </c>
      <c r="K341" s="100" t="str">
        <f>IFERROR(VLOOKUP(Tablo515[[#This Row],[BOYA KODU]],Tablo14[#All],4,0)," ")</f>
        <v xml:space="preserve"> </v>
      </c>
      <c r="L341" s="100" t="str">
        <f>IFERROR(VLOOKUP(Tablo515[[#This Row],[BOYA KODU]],Tablo14[#All],6,0)," ")</f>
        <v xml:space="preserve"> </v>
      </c>
      <c r="M341" s="100" t="str">
        <f t="shared" si="39"/>
        <v xml:space="preserve"> </v>
      </c>
      <c r="N341" s="100" t="str">
        <f>IFERROR(VLOOKUP(Tablo515[[#This Row],[ÜRÜN KODU]],YMKODLARI!$A$1:$K$363,8,0)," ")</f>
        <v xml:space="preserve"> </v>
      </c>
      <c r="O341" s="100" t="str">
        <f>IFERROR(VLOOKUP(Tablo515[[#This Row],[HAMMADDE KODU]],Tablo1[#All],3,0)," ")</f>
        <v xml:space="preserve"> </v>
      </c>
      <c r="P341" s="100" t="str">
        <f>IFERROR(VLOOKUP(Tablo515[[#This Row],[HAMMADDE KODU]],Tablo1[#All],4,0)," ")</f>
        <v xml:space="preserve"> </v>
      </c>
      <c r="Q341" s="100" t="str">
        <f>IFERROR(VLOOKUP(Tablo515[[#This Row],[ÜRÜN KODU]],YMKODLARI!$A$1:$K$363,5,0)," ")</f>
        <v xml:space="preserve"> </v>
      </c>
      <c r="R341" s="100" t="str">
        <f>IFERROR(VLOOKUP(Tablo515[[#This Row],[ÜRÜN KODU]],YMKODLARI!$A$1:$K$363,6,0)," ")</f>
        <v xml:space="preserve"> </v>
      </c>
      <c r="S341" s="100" t="str">
        <f>IFERROR(Tablo515[[#This Row],[YOLLUK HARİÇ BASKI GRAMI]]/Tablo515[[#This Row],[KALIP GÖZ ADEDİ]]," ")</f>
        <v xml:space="preserve"> </v>
      </c>
      <c r="T341" s="100" t="str">
        <f t="shared" si="41"/>
        <v xml:space="preserve"> </v>
      </c>
      <c r="U341" s="100"/>
      <c r="V341" s="100" t="str">
        <f t="shared" si="40"/>
        <v xml:space="preserve"> </v>
      </c>
      <c r="W341" s="101">
        <f t="shared" si="42"/>
        <v>24</v>
      </c>
      <c r="X341" s="102">
        <f t="shared" si="43"/>
        <v>0</v>
      </c>
      <c r="Y341" s="100" t="str">
        <f t="shared" si="44"/>
        <v xml:space="preserve"> </v>
      </c>
      <c r="Z341" s="100" t="str">
        <f t="shared" si="45"/>
        <v xml:space="preserve"> </v>
      </c>
    </row>
    <row r="342" spans="1:26">
      <c r="A342" s="100"/>
      <c r="B342" s="108" t="str">
        <f>IFERROR(VLOOKUP(Tablo515[[#This Row],[ÜRÜN KODU]],YMKODLARI!$A$1:$K$363,2,0)," ")</f>
        <v xml:space="preserve"> </v>
      </c>
      <c r="C342" s="99"/>
      <c r="D342" s="100"/>
      <c r="E342" s="101"/>
      <c r="F342" s="101"/>
      <c r="G342" s="100" t="str">
        <f>IFERROR(VLOOKUP(Tablo515[[#This Row],[ÜRÜN KODU]],YMKODLARI!$A$1:$K$363,3,0)," ")</f>
        <v xml:space="preserve"> </v>
      </c>
      <c r="H342" s="100" t="str">
        <f>IFERROR(VLOOKUP(Tablo515[[#This Row],[ÜRÜN KODU]],YMKODLARI!$A$1:$K$363,4,0)," ")</f>
        <v xml:space="preserve"> </v>
      </c>
      <c r="I342" s="100"/>
      <c r="J342" s="100" t="str">
        <f>IFERROR(VLOOKUP(Tablo515[[#This Row],[ÜRÜN KODU]],YMKODLARI!$A$1:$K$363,9,0)," ")</f>
        <v xml:space="preserve"> </v>
      </c>
      <c r="K342" s="100" t="str">
        <f>IFERROR(VLOOKUP(Tablo515[[#This Row],[BOYA KODU]],Tablo14[#All],4,0)," ")</f>
        <v xml:space="preserve"> </v>
      </c>
      <c r="L342" s="100" t="str">
        <f>IFERROR(VLOOKUP(Tablo515[[#This Row],[BOYA KODU]],Tablo14[#All],6,0)," ")</f>
        <v xml:space="preserve"> </v>
      </c>
      <c r="M342" s="100" t="str">
        <f t="shared" si="39"/>
        <v xml:space="preserve"> </v>
      </c>
      <c r="N342" s="100" t="str">
        <f>IFERROR(VLOOKUP(Tablo515[[#This Row],[ÜRÜN KODU]],YMKODLARI!$A$1:$K$363,8,0)," ")</f>
        <v xml:space="preserve"> </v>
      </c>
      <c r="O342" s="100" t="str">
        <f>IFERROR(VLOOKUP(Tablo515[[#This Row],[HAMMADDE KODU]],Tablo1[#All],3,0)," ")</f>
        <v xml:space="preserve"> </v>
      </c>
      <c r="P342" s="100" t="str">
        <f>IFERROR(VLOOKUP(Tablo515[[#This Row],[HAMMADDE KODU]],Tablo1[#All],4,0)," ")</f>
        <v xml:space="preserve"> </v>
      </c>
      <c r="Q342" s="100" t="str">
        <f>IFERROR(VLOOKUP(Tablo515[[#This Row],[ÜRÜN KODU]],YMKODLARI!$A$1:$K$363,5,0)," ")</f>
        <v xml:space="preserve"> </v>
      </c>
      <c r="R342" s="100" t="str">
        <f>IFERROR(VLOOKUP(Tablo515[[#This Row],[ÜRÜN KODU]],YMKODLARI!$A$1:$K$363,6,0)," ")</f>
        <v xml:space="preserve"> </v>
      </c>
      <c r="S342" s="100" t="str">
        <f>IFERROR(Tablo515[[#This Row],[YOLLUK HARİÇ BASKI GRAMI]]/Tablo515[[#This Row],[KALIP GÖZ ADEDİ]]," ")</f>
        <v xml:space="preserve"> </v>
      </c>
      <c r="T342" s="100" t="str">
        <f t="shared" si="41"/>
        <v xml:space="preserve"> </v>
      </c>
      <c r="U342" s="100"/>
      <c r="V342" s="100" t="str">
        <f t="shared" si="40"/>
        <v xml:space="preserve"> </v>
      </c>
      <c r="W342" s="101">
        <f t="shared" si="42"/>
        <v>24</v>
      </c>
      <c r="X342" s="102">
        <f t="shared" si="43"/>
        <v>0</v>
      </c>
      <c r="Y342" s="100" t="str">
        <f t="shared" si="44"/>
        <v xml:space="preserve"> </v>
      </c>
      <c r="Z342" s="100" t="str">
        <f t="shared" si="45"/>
        <v xml:space="preserve"> </v>
      </c>
    </row>
    <row r="343" spans="1:26">
      <c r="A343" s="100"/>
      <c r="B343" s="108" t="str">
        <f>IFERROR(VLOOKUP(Tablo515[[#This Row],[ÜRÜN KODU]],YMKODLARI!$A$1:$K$363,2,0)," ")</f>
        <v xml:space="preserve"> </v>
      </c>
      <c r="C343" s="99"/>
      <c r="D343" s="100"/>
      <c r="E343" s="101"/>
      <c r="F343" s="101"/>
      <c r="G343" s="100" t="str">
        <f>IFERROR(VLOOKUP(Tablo515[[#This Row],[ÜRÜN KODU]],YMKODLARI!$A$1:$K$363,3,0)," ")</f>
        <v xml:space="preserve"> </v>
      </c>
      <c r="H343" s="100" t="str">
        <f>IFERROR(VLOOKUP(Tablo515[[#This Row],[ÜRÜN KODU]],YMKODLARI!$A$1:$K$363,4,0)," ")</f>
        <v xml:space="preserve"> </v>
      </c>
      <c r="I343" s="100"/>
      <c r="J343" s="100" t="str">
        <f>IFERROR(VLOOKUP(Tablo515[[#This Row],[ÜRÜN KODU]],YMKODLARI!$A$1:$K$363,9,0)," ")</f>
        <v xml:space="preserve"> </v>
      </c>
      <c r="K343" s="100" t="str">
        <f>IFERROR(VLOOKUP(Tablo515[[#This Row],[BOYA KODU]],Tablo14[#All],4,0)," ")</f>
        <v xml:space="preserve"> </v>
      </c>
      <c r="L343" s="100" t="str">
        <f>IFERROR(VLOOKUP(Tablo515[[#This Row],[BOYA KODU]],Tablo14[#All],6,0)," ")</f>
        <v xml:space="preserve"> </v>
      </c>
      <c r="M343" s="100" t="str">
        <f t="shared" si="39"/>
        <v xml:space="preserve"> </v>
      </c>
      <c r="N343" s="100" t="str">
        <f>IFERROR(VLOOKUP(Tablo515[[#This Row],[ÜRÜN KODU]],YMKODLARI!$A$1:$K$363,8,0)," ")</f>
        <v xml:space="preserve"> </v>
      </c>
      <c r="O343" s="100" t="str">
        <f>IFERROR(VLOOKUP(Tablo515[[#This Row],[HAMMADDE KODU]],Tablo1[#All],3,0)," ")</f>
        <v xml:space="preserve"> </v>
      </c>
      <c r="P343" s="100" t="str">
        <f>IFERROR(VLOOKUP(Tablo515[[#This Row],[HAMMADDE KODU]],Tablo1[#All],4,0)," ")</f>
        <v xml:space="preserve"> </v>
      </c>
      <c r="Q343" s="100" t="str">
        <f>IFERROR(VLOOKUP(Tablo515[[#This Row],[ÜRÜN KODU]],YMKODLARI!$A$1:$K$363,5,0)," ")</f>
        <v xml:space="preserve"> </v>
      </c>
      <c r="R343" s="100" t="str">
        <f>IFERROR(VLOOKUP(Tablo515[[#This Row],[ÜRÜN KODU]],YMKODLARI!$A$1:$K$363,6,0)," ")</f>
        <v xml:space="preserve"> </v>
      </c>
      <c r="S343" s="100" t="str">
        <f>IFERROR(Tablo515[[#This Row],[YOLLUK HARİÇ BASKI GRAMI]]/Tablo515[[#This Row],[KALIP GÖZ ADEDİ]]," ")</f>
        <v xml:space="preserve"> </v>
      </c>
      <c r="T343" s="100" t="str">
        <f t="shared" si="41"/>
        <v xml:space="preserve"> </v>
      </c>
      <c r="U343" s="100"/>
      <c r="V343" s="100" t="str">
        <f t="shared" si="40"/>
        <v xml:space="preserve"> </v>
      </c>
      <c r="W343" s="101">
        <f t="shared" si="42"/>
        <v>24</v>
      </c>
      <c r="X343" s="102">
        <f t="shared" si="43"/>
        <v>0</v>
      </c>
      <c r="Y343" s="100" t="str">
        <f t="shared" si="44"/>
        <v xml:space="preserve"> </v>
      </c>
      <c r="Z343" s="100" t="str">
        <f t="shared" si="45"/>
        <v xml:space="preserve"> </v>
      </c>
    </row>
    <row r="344" spans="1:26">
      <c r="A344" s="100"/>
      <c r="B344" s="108" t="str">
        <f>IFERROR(VLOOKUP(Tablo515[[#This Row],[ÜRÜN KODU]],YMKODLARI!$A$1:$K$363,2,0)," ")</f>
        <v xml:space="preserve"> </v>
      </c>
      <c r="C344" s="99"/>
      <c r="D344" s="100"/>
      <c r="E344" s="101"/>
      <c r="F344" s="101"/>
      <c r="G344" s="100" t="str">
        <f>IFERROR(VLOOKUP(Tablo515[[#This Row],[ÜRÜN KODU]],YMKODLARI!$A$1:$K$363,3,0)," ")</f>
        <v xml:space="preserve"> </v>
      </c>
      <c r="H344" s="100" t="str">
        <f>IFERROR(VLOOKUP(Tablo515[[#This Row],[ÜRÜN KODU]],YMKODLARI!$A$1:$K$363,4,0)," ")</f>
        <v xml:space="preserve"> </v>
      </c>
      <c r="I344" s="100"/>
      <c r="J344" s="100" t="str">
        <f>IFERROR(VLOOKUP(Tablo515[[#This Row],[ÜRÜN KODU]],YMKODLARI!$A$1:$K$363,9,0)," ")</f>
        <v xml:space="preserve"> </v>
      </c>
      <c r="K344" s="100" t="str">
        <f>IFERROR(VLOOKUP(Tablo515[[#This Row],[BOYA KODU]],Tablo14[#All],4,0)," ")</f>
        <v xml:space="preserve"> </v>
      </c>
      <c r="L344" s="100" t="str">
        <f>IFERROR(VLOOKUP(Tablo515[[#This Row],[BOYA KODU]],Tablo14[#All],6,0)," ")</f>
        <v xml:space="preserve"> </v>
      </c>
      <c r="M344" s="100" t="str">
        <f t="shared" si="39"/>
        <v xml:space="preserve"> </v>
      </c>
      <c r="N344" s="100" t="str">
        <f>IFERROR(VLOOKUP(Tablo515[[#This Row],[ÜRÜN KODU]],YMKODLARI!$A$1:$K$363,8,0)," ")</f>
        <v xml:space="preserve"> </v>
      </c>
      <c r="O344" s="100" t="str">
        <f>IFERROR(VLOOKUP(Tablo515[[#This Row],[HAMMADDE KODU]],Tablo1[#All],3,0)," ")</f>
        <v xml:space="preserve"> </v>
      </c>
      <c r="P344" s="100" t="str">
        <f>IFERROR(VLOOKUP(Tablo515[[#This Row],[HAMMADDE KODU]],Tablo1[#All],4,0)," ")</f>
        <v xml:space="preserve"> </v>
      </c>
      <c r="Q344" s="100" t="str">
        <f>IFERROR(VLOOKUP(Tablo515[[#This Row],[ÜRÜN KODU]],YMKODLARI!$A$1:$K$363,5,0)," ")</f>
        <v xml:space="preserve"> </v>
      </c>
      <c r="R344" s="100" t="str">
        <f>IFERROR(VLOOKUP(Tablo515[[#This Row],[ÜRÜN KODU]],YMKODLARI!$A$1:$K$363,6,0)," ")</f>
        <v xml:space="preserve"> </v>
      </c>
      <c r="S344" s="100" t="str">
        <f>IFERROR(Tablo515[[#This Row],[YOLLUK HARİÇ BASKI GRAMI]]/Tablo515[[#This Row],[KALIP GÖZ ADEDİ]]," ")</f>
        <v xml:space="preserve"> </v>
      </c>
      <c r="T344" s="100" t="str">
        <f t="shared" si="41"/>
        <v xml:space="preserve"> </v>
      </c>
      <c r="U344" s="100"/>
      <c r="V344" s="100" t="str">
        <f t="shared" si="40"/>
        <v xml:space="preserve"> </v>
      </c>
      <c r="W344" s="101">
        <f t="shared" si="42"/>
        <v>24</v>
      </c>
      <c r="X344" s="102">
        <f t="shared" si="43"/>
        <v>0</v>
      </c>
      <c r="Y344" s="100" t="str">
        <f t="shared" si="44"/>
        <v xml:space="preserve"> </v>
      </c>
      <c r="Z344" s="100" t="str">
        <f t="shared" si="45"/>
        <v xml:space="preserve"> </v>
      </c>
    </row>
    <row r="345" spans="1:26">
      <c r="A345" s="100"/>
      <c r="B345" s="108" t="str">
        <f>IFERROR(VLOOKUP(Tablo515[[#This Row],[ÜRÜN KODU]],YMKODLARI!$A$1:$K$363,2,0)," ")</f>
        <v xml:space="preserve"> </v>
      </c>
      <c r="C345" s="99"/>
      <c r="D345" s="100"/>
      <c r="E345" s="101"/>
      <c r="F345" s="101"/>
      <c r="G345" s="100" t="str">
        <f>IFERROR(VLOOKUP(Tablo515[[#This Row],[ÜRÜN KODU]],YMKODLARI!$A$1:$K$363,3,0)," ")</f>
        <v xml:space="preserve"> </v>
      </c>
      <c r="H345" s="100" t="str">
        <f>IFERROR(VLOOKUP(Tablo515[[#This Row],[ÜRÜN KODU]],YMKODLARI!$A$1:$K$363,4,0)," ")</f>
        <v xml:space="preserve"> </v>
      </c>
      <c r="I345" s="100"/>
      <c r="J345" s="100" t="str">
        <f>IFERROR(VLOOKUP(Tablo515[[#This Row],[ÜRÜN KODU]],YMKODLARI!$A$1:$K$363,9,0)," ")</f>
        <v xml:space="preserve"> </v>
      </c>
      <c r="K345" s="100" t="str">
        <f>IFERROR(VLOOKUP(Tablo515[[#This Row],[BOYA KODU]],Tablo14[#All],4,0)," ")</f>
        <v xml:space="preserve"> </v>
      </c>
      <c r="L345" s="100" t="str">
        <f>IFERROR(VLOOKUP(Tablo515[[#This Row],[BOYA KODU]],Tablo14[#All],6,0)," ")</f>
        <v xml:space="preserve"> </v>
      </c>
      <c r="M345" s="100" t="str">
        <f t="shared" si="39"/>
        <v xml:space="preserve"> </v>
      </c>
      <c r="N345" s="100" t="str">
        <f>IFERROR(VLOOKUP(Tablo515[[#This Row],[ÜRÜN KODU]],YMKODLARI!$A$1:$K$363,8,0)," ")</f>
        <v xml:space="preserve"> </v>
      </c>
      <c r="O345" s="100" t="str">
        <f>IFERROR(VLOOKUP(Tablo515[[#This Row],[HAMMADDE KODU]],Tablo1[#All],3,0)," ")</f>
        <v xml:space="preserve"> </v>
      </c>
      <c r="P345" s="100" t="str">
        <f>IFERROR(VLOOKUP(Tablo515[[#This Row],[HAMMADDE KODU]],Tablo1[#All],4,0)," ")</f>
        <v xml:space="preserve"> </v>
      </c>
      <c r="Q345" s="100" t="str">
        <f>IFERROR(VLOOKUP(Tablo515[[#This Row],[ÜRÜN KODU]],YMKODLARI!$A$1:$K$363,5,0)," ")</f>
        <v xml:space="preserve"> </v>
      </c>
      <c r="R345" s="100" t="str">
        <f>IFERROR(VLOOKUP(Tablo515[[#This Row],[ÜRÜN KODU]],YMKODLARI!$A$1:$K$363,6,0)," ")</f>
        <v xml:space="preserve"> </v>
      </c>
      <c r="S345" s="100" t="str">
        <f>IFERROR(Tablo515[[#This Row],[YOLLUK HARİÇ BASKI GRAMI]]/Tablo515[[#This Row],[KALIP GÖZ ADEDİ]]," ")</f>
        <v xml:space="preserve"> </v>
      </c>
      <c r="T345" s="100" t="str">
        <f t="shared" si="41"/>
        <v xml:space="preserve"> </v>
      </c>
      <c r="U345" s="100"/>
      <c r="V345" s="100" t="str">
        <f t="shared" si="40"/>
        <v xml:space="preserve"> </v>
      </c>
      <c r="W345" s="101">
        <f t="shared" si="42"/>
        <v>24</v>
      </c>
      <c r="X345" s="102">
        <f t="shared" si="43"/>
        <v>0</v>
      </c>
      <c r="Y345" s="100" t="str">
        <f t="shared" si="44"/>
        <v xml:space="preserve"> </v>
      </c>
      <c r="Z345" s="100" t="str">
        <f t="shared" si="45"/>
        <v xml:space="preserve"> </v>
      </c>
    </row>
    <row r="346" spans="1:26">
      <c r="A346" s="100"/>
      <c r="B346" s="108" t="str">
        <f>IFERROR(VLOOKUP(Tablo515[[#This Row],[ÜRÜN KODU]],YMKODLARI!$A$1:$K$363,2,0)," ")</f>
        <v xml:space="preserve"> </v>
      </c>
      <c r="C346" s="99"/>
      <c r="D346" s="100"/>
      <c r="E346" s="101"/>
      <c r="F346" s="101"/>
      <c r="G346" s="100" t="str">
        <f>IFERROR(VLOOKUP(Tablo515[[#This Row],[ÜRÜN KODU]],YMKODLARI!$A$1:$K$363,3,0)," ")</f>
        <v xml:space="preserve"> </v>
      </c>
      <c r="H346" s="100" t="str">
        <f>IFERROR(VLOOKUP(Tablo515[[#This Row],[ÜRÜN KODU]],YMKODLARI!$A$1:$K$363,4,0)," ")</f>
        <v xml:space="preserve"> </v>
      </c>
      <c r="I346" s="100"/>
      <c r="J346" s="100" t="str">
        <f>IFERROR(VLOOKUP(Tablo515[[#This Row],[ÜRÜN KODU]],YMKODLARI!$A$1:$K$363,9,0)," ")</f>
        <v xml:space="preserve"> </v>
      </c>
      <c r="K346" s="100" t="str">
        <f>IFERROR(VLOOKUP(Tablo515[[#This Row],[BOYA KODU]],Tablo14[#All],4,0)," ")</f>
        <v xml:space="preserve"> </v>
      </c>
      <c r="L346" s="100" t="str">
        <f>IFERROR(VLOOKUP(Tablo515[[#This Row],[BOYA KODU]],Tablo14[#All],6,0)," ")</f>
        <v xml:space="preserve"> </v>
      </c>
      <c r="M346" s="100" t="str">
        <f t="shared" si="39"/>
        <v xml:space="preserve"> </v>
      </c>
      <c r="N346" s="100" t="str">
        <f>IFERROR(VLOOKUP(Tablo515[[#This Row],[ÜRÜN KODU]],YMKODLARI!$A$1:$K$363,8,0)," ")</f>
        <v xml:space="preserve"> </v>
      </c>
      <c r="O346" s="100" t="str">
        <f>IFERROR(VLOOKUP(Tablo515[[#This Row],[HAMMADDE KODU]],Tablo1[#All],3,0)," ")</f>
        <v xml:space="preserve"> </v>
      </c>
      <c r="P346" s="100" t="str">
        <f>IFERROR(VLOOKUP(Tablo515[[#This Row],[HAMMADDE KODU]],Tablo1[#All],4,0)," ")</f>
        <v xml:space="preserve"> </v>
      </c>
      <c r="Q346" s="100" t="str">
        <f>IFERROR(VLOOKUP(Tablo515[[#This Row],[ÜRÜN KODU]],YMKODLARI!$A$1:$K$363,5,0)," ")</f>
        <v xml:space="preserve"> </v>
      </c>
      <c r="R346" s="100" t="str">
        <f>IFERROR(VLOOKUP(Tablo515[[#This Row],[ÜRÜN KODU]],YMKODLARI!$A$1:$K$363,6,0)," ")</f>
        <v xml:space="preserve"> </v>
      </c>
      <c r="S346" s="100" t="str">
        <f>IFERROR(Tablo515[[#This Row],[YOLLUK HARİÇ BASKI GRAMI]]/Tablo515[[#This Row],[KALIP GÖZ ADEDİ]]," ")</f>
        <v xml:space="preserve"> </v>
      </c>
      <c r="T346" s="100" t="str">
        <f t="shared" si="41"/>
        <v xml:space="preserve"> </v>
      </c>
      <c r="U346" s="100"/>
      <c r="V346" s="100" t="str">
        <f t="shared" si="40"/>
        <v xml:space="preserve"> </v>
      </c>
      <c r="W346" s="101">
        <f t="shared" si="42"/>
        <v>24</v>
      </c>
      <c r="X346" s="102">
        <f t="shared" si="43"/>
        <v>0</v>
      </c>
      <c r="Y346" s="100" t="str">
        <f t="shared" si="44"/>
        <v xml:space="preserve"> </v>
      </c>
      <c r="Z346" s="100" t="str">
        <f t="shared" si="45"/>
        <v xml:space="preserve"> </v>
      </c>
    </row>
    <row r="347" spans="1:26">
      <c r="A347" s="100"/>
      <c r="B347" s="108" t="str">
        <f>IFERROR(VLOOKUP(Tablo515[[#This Row],[ÜRÜN KODU]],YMKODLARI!$A$1:$K$363,2,0)," ")</f>
        <v xml:space="preserve"> </v>
      </c>
      <c r="C347" s="99"/>
      <c r="D347" s="100"/>
      <c r="E347" s="101"/>
      <c r="F347" s="101"/>
      <c r="G347" s="100" t="str">
        <f>IFERROR(VLOOKUP(Tablo515[[#This Row],[ÜRÜN KODU]],YMKODLARI!$A$1:$K$363,3,0)," ")</f>
        <v xml:space="preserve"> </v>
      </c>
      <c r="H347" s="100" t="str">
        <f>IFERROR(VLOOKUP(Tablo515[[#This Row],[ÜRÜN KODU]],YMKODLARI!$A$1:$K$363,4,0)," ")</f>
        <v xml:space="preserve"> </v>
      </c>
      <c r="I347" s="100"/>
      <c r="J347" s="100" t="str">
        <f>IFERROR(VLOOKUP(Tablo515[[#This Row],[ÜRÜN KODU]],YMKODLARI!$A$1:$K$363,9,0)," ")</f>
        <v xml:space="preserve"> </v>
      </c>
      <c r="K347" s="100" t="str">
        <f>IFERROR(VLOOKUP(Tablo515[[#This Row],[BOYA KODU]],Tablo14[#All],4,0)," ")</f>
        <v xml:space="preserve"> </v>
      </c>
      <c r="L347" s="100" t="str">
        <f>IFERROR(VLOOKUP(Tablo515[[#This Row],[BOYA KODU]],Tablo14[#All],6,0)," ")</f>
        <v xml:space="preserve"> </v>
      </c>
      <c r="M347" s="100" t="str">
        <f t="shared" si="39"/>
        <v xml:space="preserve"> </v>
      </c>
      <c r="N347" s="100" t="str">
        <f>IFERROR(VLOOKUP(Tablo515[[#This Row],[ÜRÜN KODU]],YMKODLARI!$A$1:$K$363,8,0)," ")</f>
        <v xml:space="preserve"> </v>
      </c>
      <c r="O347" s="100" t="str">
        <f>IFERROR(VLOOKUP(Tablo515[[#This Row],[HAMMADDE KODU]],Tablo1[#All],3,0)," ")</f>
        <v xml:space="preserve"> </v>
      </c>
      <c r="P347" s="100" t="str">
        <f>IFERROR(VLOOKUP(Tablo515[[#This Row],[HAMMADDE KODU]],Tablo1[#All],4,0)," ")</f>
        <v xml:space="preserve"> </v>
      </c>
      <c r="Q347" s="100" t="str">
        <f>IFERROR(VLOOKUP(Tablo515[[#This Row],[ÜRÜN KODU]],YMKODLARI!$A$1:$K$363,5,0)," ")</f>
        <v xml:space="preserve"> </v>
      </c>
      <c r="R347" s="100" t="str">
        <f>IFERROR(VLOOKUP(Tablo515[[#This Row],[ÜRÜN KODU]],YMKODLARI!$A$1:$K$363,6,0)," ")</f>
        <v xml:space="preserve"> </v>
      </c>
      <c r="S347" s="100" t="str">
        <f>IFERROR(Tablo515[[#This Row],[YOLLUK HARİÇ BASKI GRAMI]]/Tablo515[[#This Row],[KALIP GÖZ ADEDİ]]," ")</f>
        <v xml:space="preserve"> </v>
      </c>
      <c r="T347" s="100" t="str">
        <f t="shared" si="41"/>
        <v xml:space="preserve"> </v>
      </c>
      <c r="U347" s="100"/>
      <c r="V347" s="100" t="str">
        <f t="shared" si="40"/>
        <v xml:space="preserve"> </v>
      </c>
      <c r="W347" s="101">
        <f t="shared" si="42"/>
        <v>24</v>
      </c>
      <c r="X347" s="102">
        <f t="shared" si="43"/>
        <v>0</v>
      </c>
      <c r="Y347" s="100" t="str">
        <f t="shared" si="44"/>
        <v xml:space="preserve"> </v>
      </c>
      <c r="Z347" s="100" t="str">
        <f t="shared" si="45"/>
        <v xml:space="preserve"> </v>
      </c>
    </row>
    <row r="348" spans="1:26">
      <c r="A348" s="100"/>
      <c r="B348" s="108" t="str">
        <f>IFERROR(VLOOKUP(Tablo515[[#This Row],[ÜRÜN KODU]],YMKODLARI!$A$1:$K$363,2,0)," ")</f>
        <v xml:space="preserve"> </v>
      </c>
      <c r="C348" s="99"/>
      <c r="D348" s="100"/>
      <c r="E348" s="101"/>
      <c r="F348" s="101"/>
      <c r="G348" s="100" t="str">
        <f>IFERROR(VLOOKUP(Tablo515[[#This Row],[ÜRÜN KODU]],YMKODLARI!$A$1:$K$363,3,0)," ")</f>
        <v xml:space="preserve"> </v>
      </c>
      <c r="H348" s="100" t="str">
        <f>IFERROR(VLOOKUP(Tablo515[[#This Row],[ÜRÜN KODU]],YMKODLARI!$A$1:$K$363,4,0)," ")</f>
        <v xml:space="preserve"> </v>
      </c>
      <c r="I348" s="100"/>
      <c r="J348" s="100" t="str">
        <f>IFERROR(VLOOKUP(Tablo515[[#This Row],[ÜRÜN KODU]],YMKODLARI!$A$1:$K$363,9,0)," ")</f>
        <v xml:space="preserve"> </v>
      </c>
      <c r="K348" s="100" t="str">
        <f>IFERROR(VLOOKUP(Tablo515[[#This Row],[BOYA KODU]],Tablo14[#All],4,0)," ")</f>
        <v xml:space="preserve"> </v>
      </c>
      <c r="L348" s="100" t="str">
        <f>IFERROR(VLOOKUP(Tablo515[[#This Row],[BOYA KODU]],Tablo14[#All],6,0)," ")</f>
        <v xml:space="preserve"> </v>
      </c>
      <c r="M348" s="100" t="str">
        <f t="shared" si="39"/>
        <v xml:space="preserve"> </v>
      </c>
      <c r="N348" s="100" t="str">
        <f>IFERROR(VLOOKUP(Tablo515[[#This Row],[ÜRÜN KODU]],YMKODLARI!$A$1:$K$363,8,0)," ")</f>
        <v xml:space="preserve"> </v>
      </c>
      <c r="O348" s="100" t="str">
        <f>IFERROR(VLOOKUP(Tablo515[[#This Row],[HAMMADDE KODU]],Tablo1[#All],3,0)," ")</f>
        <v xml:space="preserve"> </v>
      </c>
      <c r="P348" s="100" t="str">
        <f>IFERROR(VLOOKUP(Tablo515[[#This Row],[HAMMADDE KODU]],Tablo1[#All],4,0)," ")</f>
        <v xml:space="preserve"> </v>
      </c>
      <c r="Q348" s="100" t="str">
        <f>IFERROR(VLOOKUP(Tablo515[[#This Row],[ÜRÜN KODU]],YMKODLARI!$A$1:$K$363,5,0)," ")</f>
        <v xml:space="preserve"> </v>
      </c>
      <c r="R348" s="100" t="str">
        <f>IFERROR(VLOOKUP(Tablo515[[#This Row],[ÜRÜN KODU]],YMKODLARI!$A$1:$K$363,6,0)," ")</f>
        <v xml:space="preserve"> </v>
      </c>
      <c r="S348" s="100" t="str">
        <f>IFERROR(Tablo515[[#This Row],[YOLLUK HARİÇ BASKI GRAMI]]/Tablo515[[#This Row],[KALIP GÖZ ADEDİ]]," ")</f>
        <v xml:space="preserve"> </v>
      </c>
      <c r="T348" s="100" t="str">
        <f t="shared" si="41"/>
        <v xml:space="preserve"> </v>
      </c>
      <c r="U348" s="100"/>
      <c r="V348" s="100" t="str">
        <f t="shared" si="40"/>
        <v xml:space="preserve"> </v>
      </c>
      <c r="W348" s="101">
        <f t="shared" si="42"/>
        <v>24</v>
      </c>
      <c r="X348" s="102">
        <f t="shared" si="43"/>
        <v>0</v>
      </c>
      <c r="Y348" s="100" t="str">
        <f t="shared" si="44"/>
        <v xml:space="preserve"> </v>
      </c>
      <c r="Z348" s="100" t="str">
        <f t="shared" si="45"/>
        <v xml:space="preserve"> </v>
      </c>
    </row>
    <row r="349" spans="1:26">
      <c r="A349" s="100"/>
      <c r="B349" s="108" t="str">
        <f>IFERROR(VLOOKUP(Tablo515[[#This Row],[ÜRÜN KODU]],YMKODLARI!$A$1:$K$363,2,0)," ")</f>
        <v xml:space="preserve"> </v>
      </c>
      <c r="C349" s="99"/>
      <c r="D349" s="100"/>
      <c r="E349" s="101"/>
      <c r="F349" s="101"/>
      <c r="G349" s="100" t="str">
        <f>IFERROR(VLOOKUP(Tablo515[[#This Row],[ÜRÜN KODU]],YMKODLARI!$A$1:$K$363,3,0)," ")</f>
        <v xml:space="preserve"> </v>
      </c>
      <c r="H349" s="100" t="str">
        <f>IFERROR(VLOOKUP(Tablo515[[#This Row],[ÜRÜN KODU]],YMKODLARI!$A$1:$K$363,4,0)," ")</f>
        <v xml:space="preserve"> </v>
      </c>
      <c r="I349" s="100"/>
      <c r="J349" s="100" t="str">
        <f>IFERROR(VLOOKUP(Tablo515[[#This Row],[ÜRÜN KODU]],YMKODLARI!$A$1:$K$363,9,0)," ")</f>
        <v xml:space="preserve"> </v>
      </c>
      <c r="K349" s="100" t="str">
        <f>IFERROR(VLOOKUP(Tablo515[[#This Row],[BOYA KODU]],Tablo14[#All],4,0)," ")</f>
        <v xml:space="preserve"> </v>
      </c>
      <c r="L349" s="100" t="str">
        <f>IFERROR(VLOOKUP(Tablo515[[#This Row],[BOYA KODU]],Tablo14[#All],6,0)," ")</f>
        <v xml:space="preserve"> </v>
      </c>
      <c r="M349" s="100" t="str">
        <f t="shared" si="39"/>
        <v xml:space="preserve"> </v>
      </c>
      <c r="N349" s="100" t="str">
        <f>IFERROR(VLOOKUP(Tablo515[[#This Row],[ÜRÜN KODU]],YMKODLARI!$A$1:$K$363,8,0)," ")</f>
        <v xml:space="preserve"> </v>
      </c>
      <c r="O349" s="100" t="str">
        <f>IFERROR(VLOOKUP(Tablo515[[#This Row],[HAMMADDE KODU]],Tablo1[#All],3,0)," ")</f>
        <v xml:space="preserve"> </v>
      </c>
      <c r="P349" s="100" t="str">
        <f>IFERROR(VLOOKUP(Tablo515[[#This Row],[HAMMADDE KODU]],Tablo1[#All],4,0)," ")</f>
        <v xml:space="preserve"> </v>
      </c>
      <c r="Q349" s="100" t="str">
        <f>IFERROR(VLOOKUP(Tablo515[[#This Row],[ÜRÜN KODU]],YMKODLARI!$A$1:$K$363,5,0)," ")</f>
        <v xml:space="preserve"> </v>
      </c>
      <c r="R349" s="100" t="str">
        <f>IFERROR(VLOOKUP(Tablo515[[#This Row],[ÜRÜN KODU]],YMKODLARI!$A$1:$K$363,6,0)," ")</f>
        <v xml:space="preserve"> </v>
      </c>
      <c r="S349" s="100" t="str">
        <f>IFERROR(Tablo515[[#This Row],[YOLLUK HARİÇ BASKI GRAMI]]/Tablo515[[#This Row],[KALIP GÖZ ADEDİ]]," ")</f>
        <v xml:space="preserve"> </v>
      </c>
      <c r="T349" s="100" t="str">
        <f t="shared" si="41"/>
        <v xml:space="preserve"> </v>
      </c>
      <c r="U349" s="100"/>
      <c r="V349" s="100" t="str">
        <f t="shared" si="40"/>
        <v xml:space="preserve"> </v>
      </c>
      <c r="W349" s="101">
        <f t="shared" si="42"/>
        <v>24</v>
      </c>
      <c r="X349" s="102">
        <f t="shared" si="43"/>
        <v>0</v>
      </c>
      <c r="Y349" s="100" t="str">
        <f t="shared" si="44"/>
        <v xml:space="preserve"> </v>
      </c>
      <c r="Z349" s="100" t="str">
        <f t="shared" si="45"/>
        <v xml:space="preserve"> </v>
      </c>
    </row>
    <row r="350" spans="1:26">
      <c r="A350" s="100"/>
      <c r="B350" s="108" t="str">
        <f>IFERROR(VLOOKUP(Tablo515[[#This Row],[ÜRÜN KODU]],YMKODLARI!$A$1:$K$363,2,0)," ")</f>
        <v xml:space="preserve"> </v>
      </c>
      <c r="C350" s="99"/>
      <c r="D350" s="100"/>
      <c r="E350" s="101"/>
      <c r="F350" s="101"/>
      <c r="G350" s="100" t="str">
        <f>IFERROR(VLOOKUP(Tablo515[[#This Row],[ÜRÜN KODU]],YMKODLARI!$A$1:$K$363,3,0)," ")</f>
        <v xml:space="preserve"> </v>
      </c>
      <c r="H350" s="100" t="str">
        <f>IFERROR(VLOOKUP(Tablo515[[#This Row],[ÜRÜN KODU]],YMKODLARI!$A$1:$K$363,4,0)," ")</f>
        <v xml:space="preserve"> </v>
      </c>
      <c r="I350" s="100"/>
      <c r="J350" s="100" t="str">
        <f>IFERROR(VLOOKUP(Tablo515[[#This Row],[ÜRÜN KODU]],YMKODLARI!$A$1:$K$363,9,0)," ")</f>
        <v xml:space="preserve"> </v>
      </c>
      <c r="K350" s="100" t="str">
        <f>IFERROR(VLOOKUP(Tablo515[[#This Row],[BOYA KODU]],Tablo14[#All],4,0)," ")</f>
        <v xml:space="preserve"> </v>
      </c>
      <c r="L350" s="100" t="str">
        <f>IFERROR(VLOOKUP(Tablo515[[#This Row],[BOYA KODU]],Tablo14[#All],6,0)," ")</f>
        <v xml:space="preserve"> </v>
      </c>
      <c r="M350" s="100" t="str">
        <f t="shared" si="39"/>
        <v xml:space="preserve"> </v>
      </c>
      <c r="N350" s="100" t="str">
        <f>IFERROR(VLOOKUP(Tablo515[[#This Row],[ÜRÜN KODU]],YMKODLARI!$A$1:$K$363,8,0)," ")</f>
        <v xml:space="preserve"> </v>
      </c>
      <c r="O350" s="100" t="str">
        <f>IFERROR(VLOOKUP(Tablo515[[#This Row],[HAMMADDE KODU]],Tablo1[#All],3,0)," ")</f>
        <v xml:space="preserve"> </v>
      </c>
      <c r="P350" s="100" t="str">
        <f>IFERROR(VLOOKUP(Tablo515[[#This Row],[HAMMADDE KODU]],Tablo1[#All],4,0)," ")</f>
        <v xml:space="preserve"> </v>
      </c>
      <c r="Q350" s="100" t="str">
        <f>IFERROR(VLOOKUP(Tablo515[[#This Row],[ÜRÜN KODU]],YMKODLARI!$A$1:$K$363,5,0)," ")</f>
        <v xml:space="preserve"> </v>
      </c>
      <c r="R350" s="100" t="str">
        <f>IFERROR(VLOOKUP(Tablo515[[#This Row],[ÜRÜN KODU]],YMKODLARI!$A$1:$K$363,6,0)," ")</f>
        <v xml:space="preserve"> </v>
      </c>
      <c r="S350" s="100" t="str">
        <f>IFERROR(Tablo515[[#This Row],[YOLLUK HARİÇ BASKI GRAMI]]/Tablo515[[#This Row],[KALIP GÖZ ADEDİ]]," ")</f>
        <v xml:space="preserve"> </v>
      </c>
      <c r="T350" s="100" t="str">
        <f t="shared" si="41"/>
        <v xml:space="preserve"> </v>
      </c>
      <c r="U350" s="100"/>
      <c r="V350" s="100" t="str">
        <f t="shared" si="40"/>
        <v xml:space="preserve"> </v>
      </c>
      <c r="W350" s="101">
        <f t="shared" si="42"/>
        <v>24</v>
      </c>
      <c r="X350" s="102">
        <f t="shared" si="43"/>
        <v>0</v>
      </c>
      <c r="Y350" s="100" t="str">
        <f t="shared" si="44"/>
        <v xml:space="preserve"> </v>
      </c>
      <c r="Z350" s="100" t="str">
        <f t="shared" si="45"/>
        <v xml:space="preserve"> </v>
      </c>
    </row>
    <row r="351" spans="1:26">
      <c r="A351" s="100"/>
      <c r="B351" s="108" t="str">
        <f>IFERROR(VLOOKUP(Tablo515[[#This Row],[ÜRÜN KODU]],YMKODLARI!$A$1:$K$363,2,0)," ")</f>
        <v xml:space="preserve"> </v>
      </c>
      <c r="C351" s="99"/>
      <c r="D351" s="100"/>
      <c r="E351" s="101"/>
      <c r="F351" s="101"/>
      <c r="G351" s="100" t="str">
        <f>IFERROR(VLOOKUP(Tablo515[[#This Row],[ÜRÜN KODU]],YMKODLARI!$A$1:$K$363,3,0)," ")</f>
        <v xml:space="preserve"> </v>
      </c>
      <c r="H351" s="100" t="str">
        <f>IFERROR(VLOOKUP(Tablo515[[#This Row],[ÜRÜN KODU]],YMKODLARI!$A$1:$K$363,4,0)," ")</f>
        <v xml:space="preserve"> </v>
      </c>
      <c r="I351" s="100"/>
      <c r="J351" s="100" t="str">
        <f>IFERROR(VLOOKUP(Tablo515[[#This Row],[ÜRÜN KODU]],YMKODLARI!$A$1:$K$363,9,0)," ")</f>
        <v xml:space="preserve"> </v>
      </c>
      <c r="K351" s="100" t="str">
        <f>IFERROR(VLOOKUP(Tablo515[[#This Row],[BOYA KODU]],Tablo14[#All],4,0)," ")</f>
        <v xml:space="preserve"> </v>
      </c>
      <c r="L351" s="100" t="str">
        <f>IFERROR(VLOOKUP(Tablo515[[#This Row],[BOYA KODU]],Tablo14[#All],6,0)," ")</f>
        <v xml:space="preserve"> </v>
      </c>
      <c r="M351" s="100" t="str">
        <f t="shared" si="39"/>
        <v xml:space="preserve"> </v>
      </c>
      <c r="N351" s="100" t="str">
        <f>IFERROR(VLOOKUP(Tablo515[[#This Row],[ÜRÜN KODU]],YMKODLARI!$A$1:$K$363,8,0)," ")</f>
        <v xml:space="preserve"> </v>
      </c>
      <c r="O351" s="100" t="str">
        <f>IFERROR(VLOOKUP(Tablo515[[#This Row],[HAMMADDE KODU]],Tablo1[#All],3,0)," ")</f>
        <v xml:space="preserve"> </v>
      </c>
      <c r="P351" s="100" t="str">
        <f>IFERROR(VLOOKUP(Tablo515[[#This Row],[HAMMADDE KODU]],Tablo1[#All],4,0)," ")</f>
        <v xml:space="preserve"> </v>
      </c>
      <c r="Q351" s="100" t="str">
        <f>IFERROR(VLOOKUP(Tablo515[[#This Row],[ÜRÜN KODU]],YMKODLARI!$A$1:$K$363,5,0)," ")</f>
        <v xml:space="preserve"> </v>
      </c>
      <c r="R351" s="100" t="str">
        <f>IFERROR(VLOOKUP(Tablo515[[#This Row],[ÜRÜN KODU]],YMKODLARI!$A$1:$K$363,6,0)," ")</f>
        <v xml:space="preserve"> </v>
      </c>
      <c r="S351" s="100" t="str">
        <f>IFERROR(Tablo515[[#This Row],[YOLLUK HARİÇ BASKI GRAMI]]/Tablo515[[#This Row],[KALIP GÖZ ADEDİ]]," ")</f>
        <v xml:space="preserve"> </v>
      </c>
      <c r="T351" s="100" t="str">
        <f t="shared" si="41"/>
        <v xml:space="preserve"> </v>
      </c>
      <c r="U351" s="100"/>
      <c r="V351" s="100" t="str">
        <f t="shared" si="40"/>
        <v xml:space="preserve"> </v>
      </c>
      <c r="W351" s="101">
        <f t="shared" si="42"/>
        <v>24</v>
      </c>
      <c r="X351" s="102">
        <f t="shared" si="43"/>
        <v>0</v>
      </c>
      <c r="Y351" s="100" t="str">
        <f t="shared" si="44"/>
        <v xml:space="preserve"> </v>
      </c>
      <c r="Z351" s="100" t="str">
        <f t="shared" si="45"/>
        <v xml:space="preserve"> </v>
      </c>
    </row>
    <row r="352" spans="1:26">
      <c r="A352" s="100"/>
      <c r="B352" s="108" t="str">
        <f>IFERROR(VLOOKUP(Tablo515[[#This Row],[ÜRÜN KODU]],YMKODLARI!$A$1:$K$363,2,0)," ")</f>
        <v xml:space="preserve"> </v>
      </c>
      <c r="C352" s="99"/>
      <c r="D352" s="100"/>
      <c r="E352" s="101"/>
      <c r="F352" s="101"/>
      <c r="G352" s="100" t="str">
        <f>IFERROR(VLOOKUP(Tablo515[[#This Row],[ÜRÜN KODU]],YMKODLARI!$A$1:$K$363,3,0)," ")</f>
        <v xml:space="preserve"> </v>
      </c>
      <c r="H352" s="100" t="str">
        <f>IFERROR(VLOOKUP(Tablo515[[#This Row],[ÜRÜN KODU]],YMKODLARI!$A$1:$K$363,4,0)," ")</f>
        <v xml:space="preserve"> </v>
      </c>
      <c r="I352" s="100"/>
      <c r="J352" s="100" t="str">
        <f>IFERROR(VLOOKUP(Tablo515[[#This Row],[ÜRÜN KODU]],YMKODLARI!$A$1:$K$363,9,0)," ")</f>
        <v xml:space="preserve"> </v>
      </c>
      <c r="K352" s="100" t="str">
        <f>IFERROR(VLOOKUP(Tablo515[[#This Row],[BOYA KODU]],Tablo14[#All],4,0)," ")</f>
        <v xml:space="preserve"> </v>
      </c>
      <c r="L352" s="100" t="str">
        <f>IFERROR(VLOOKUP(Tablo515[[#This Row],[BOYA KODU]],Tablo14[#All],6,0)," ")</f>
        <v xml:space="preserve"> </v>
      </c>
      <c r="M352" s="100" t="str">
        <f t="shared" si="39"/>
        <v xml:space="preserve"> </v>
      </c>
      <c r="N352" s="100" t="str">
        <f>IFERROR(VLOOKUP(Tablo515[[#This Row],[ÜRÜN KODU]],YMKODLARI!$A$1:$K$363,8,0)," ")</f>
        <v xml:space="preserve"> </v>
      </c>
      <c r="O352" s="100" t="str">
        <f>IFERROR(VLOOKUP(Tablo515[[#This Row],[HAMMADDE KODU]],Tablo1[#All],3,0)," ")</f>
        <v xml:space="preserve"> </v>
      </c>
      <c r="P352" s="100" t="str">
        <f>IFERROR(VLOOKUP(Tablo515[[#This Row],[HAMMADDE KODU]],Tablo1[#All],4,0)," ")</f>
        <v xml:space="preserve"> </v>
      </c>
      <c r="Q352" s="100" t="str">
        <f>IFERROR(VLOOKUP(Tablo515[[#This Row],[ÜRÜN KODU]],YMKODLARI!$A$1:$K$363,5,0)," ")</f>
        <v xml:space="preserve"> </v>
      </c>
      <c r="R352" s="100" t="str">
        <f>IFERROR(VLOOKUP(Tablo515[[#This Row],[ÜRÜN KODU]],YMKODLARI!$A$1:$K$363,6,0)," ")</f>
        <v xml:space="preserve"> </v>
      </c>
      <c r="S352" s="100" t="str">
        <f>IFERROR(Tablo515[[#This Row],[YOLLUK HARİÇ BASKI GRAMI]]/Tablo515[[#This Row],[KALIP GÖZ ADEDİ]]," ")</f>
        <v xml:space="preserve"> </v>
      </c>
      <c r="T352" s="100" t="str">
        <f t="shared" si="41"/>
        <v xml:space="preserve"> </v>
      </c>
      <c r="U352" s="100"/>
      <c r="V352" s="100" t="str">
        <f t="shared" si="40"/>
        <v xml:space="preserve"> </v>
      </c>
      <c r="W352" s="101">
        <f t="shared" si="42"/>
        <v>24</v>
      </c>
      <c r="X352" s="102">
        <f t="shared" si="43"/>
        <v>0</v>
      </c>
      <c r="Y352" s="100" t="str">
        <f t="shared" si="44"/>
        <v xml:space="preserve"> </v>
      </c>
      <c r="Z352" s="100" t="str">
        <f t="shared" si="45"/>
        <v xml:space="preserve"> </v>
      </c>
    </row>
    <row r="353" spans="1:26">
      <c r="A353" s="100"/>
      <c r="B353" s="108" t="str">
        <f>IFERROR(VLOOKUP(Tablo515[[#This Row],[ÜRÜN KODU]],YMKODLARI!$A$1:$K$363,2,0)," ")</f>
        <v xml:space="preserve"> </v>
      </c>
      <c r="C353" s="99"/>
      <c r="D353" s="100"/>
      <c r="E353" s="101"/>
      <c r="F353" s="101"/>
      <c r="G353" s="100" t="str">
        <f>IFERROR(VLOOKUP(Tablo515[[#This Row],[ÜRÜN KODU]],YMKODLARI!$A$1:$K$363,3,0)," ")</f>
        <v xml:space="preserve"> </v>
      </c>
      <c r="H353" s="100" t="str">
        <f>IFERROR(VLOOKUP(Tablo515[[#This Row],[ÜRÜN KODU]],YMKODLARI!$A$1:$K$363,4,0)," ")</f>
        <v xml:space="preserve"> </v>
      </c>
      <c r="I353" s="100"/>
      <c r="J353" s="100" t="str">
        <f>IFERROR(VLOOKUP(Tablo515[[#This Row],[ÜRÜN KODU]],YMKODLARI!$A$1:$K$363,9,0)," ")</f>
        <v xml:space="preserve"> </v>
      </c>
      <c r="K353" s="100" t="str">
        <f>IFERROR(VLOOKUP(Tablo515[[#This Row],[BOYA KODU]],Tablo14[#All],4,0)," ")</f>
        <v xml:space="preserve"> </v>
      </c>
      <c r="L353" s="100" t="str">
        <f>IFERROR(VLOOKUP(Tablo515[[#This Row],[BOYA KODU]],Tablo14[#All],6,0)," ")</f>
        <v xml:space="preserve"> </v>
      </c>
      <c r="M353" s="100" t="str">
        <f t="shared" si="39"/>
        <v xml:space="preserve"> </v>
      </c>
      <c r="N353" s="100" t="str">
        <f>IFERROR(VLOOKUP(Tablo515[[#This Row],[ÜRÜN KODU]],YMKODLARI!$A$1:$K$363,8,0)," ")</f>
        <v xml:space="preserve"> </v>
      </c>
      <c r="O353" s="100" t="str">
        <f>IFERROR(VLOOKUP(Tablo515[[#This Row],[HAMMADDE KODU]],Tablo1[#All],3,0)," ")</f>
        <v xml:space="preserve"> </v>
      </c>
      <c r="P353" s="100" t="str">
        <f>IFERROR(VLOOKUP(Tablo515[[#This Row],[HAMMADDE KODU]],Tablo1[#All],4,0)," ")</f>
        <v xml:space="preserve"> </v>
      </c>
      <c r="Q353" s="100" t="str">
        <f>IFERROR(VLOOKUP(Tablo515[[#This Row],[ÜRÜN KODU]],YMKODLARI!$A$1:$K$363,5,0)," ")</f>
        <v xml:space="preserve"> </v>
      </c>
      <c r="R353" s="100" t="str">
        <f>IFERROR(VLOOKUP(Tablo515[[#This Row],[ÜRÜN KODU]],YMKODLARI!$A$1:$K$363,6,0)," ")</f>
        <v xml:space="preserve"> </v>
      </c>
      <c r="S353" s="100" t="str">
        <f>IFERROR(Tablo515[[#This Row],[YOLLUK HARİÇ BASKI GRAMI]]/Tablo515[[#This Row],[KALIP GÖZ ADEDİ]]," ")</f>
        <v xml:space="preserve"> </v>
      </c>
      <c r="T353" s="100" t="str">
        <f t="shared" si="41"/>
        <v xml:space="preserve"> </v>
      </c>
      <c r="U353" s="100"/>
      <c r="V353" s="100" t="str">
        <f t="shared" si="40"/>
        <v xml:space="preserve"> </v>
      </c>
      <c r="W353" s="101">
        <f t="shared" si="42"/>
        <v>24</v>
      </c>
      <c r="X353" s="102">
        <f t="shared" si="43"/>
        <v>0</v>
      </c>
      <c r="Y353" s="100" t="str">
        <f t="shared" si="44"/>
        <v xml:space="preserve"> </v>
      </c>
      <c r="Z353" s="100" t="str">
        <f t="shared" si="45"/>
        <v xml:space="preserve"> </v>
      </c>
    </row>
    <row r="354" spans="1:26">
      <c r="A354" s="100"/>
      <c r="B354" s="108" t="str">
        <f>IFERROR(VLOOKUP(Tablo515[[#This Row],[ÜRÜN KODU]],YMKODLARI!$A$1:$K$363,2,0)," ")</f>
        <v xml:space="preserve"> </v>
      </c>
      <c r="C354" s="99"/>
      <c r="D354" s="100"/>
      <c r="E354" s="101"/>
      <c r="F354" s="101"/>
      <c r="G354" s="100" t="str">
        <f>IFERROR(VLOOKUP(Tablo515[[#This Row],[ÜRÜN KODU]],YMKODLARI!$A$1:$K$363,3,0)," ")</f>
        <v xml:space="preserve"> </v>
      </c>
      <c r="H354" s="100" t="str">
        <f>IFERROR(VLOOKUP(Tablo515[[#This Row],[ÜRÜN KODU]],YMKODLARI!$A$1:$K$363,4,0)," ")</f>
        <v xml:space="preserve"> </v>
      </c>
      <c r="I354" s="100"/>
      <c r="J354" s="100" t="str">
        <f>IFERROR(VLOOKUP(Tablo515[[#This Row],[ÜRÜN KODU]],YMKODLARI!$A$1:$K$363,9,0)," ")</f>
        <v xml:space="preserve"> </v>
      </c>
      <c r="K354" s="100" t="str">
        <f>IFERROR(VLOOKUP(Tablo515[[#This Row],[BOYA KODU]],Tablo14[#All],4,0)," ")</f>
        <v xml:space="preserve"> </v>
      </c>
      <c r="L354" s="100" t="str">
        <f>IFERROR(VLOOKUP(Tablo515[[#This Row],[BOYA KODU]],Tablo14[#All],6,0)," ")</f>
        <v xml:space="preserve"> </v>
      </c>
      <c r="M354" s="100" t="str">
        <f t="shared" si="39"/>
        <v xml:space="preserve"> </v>
      </c>
      <c r="N354" s="100" t="str">
        <f>IFERROR(VLOOKUP(Tablo515[[#This Row],[ÜRÜN KODU]],YMKODLARI!$A$1:$K$363,8,0)," ")</f>
        <v xml:space="preserve"> </v>
      </c>
      <c r="O354" s="100" t="str">
        <f>IFERROR(VLOOKUP(Tablo515[[#This Row],[HAMMADDE KODU]],Tablo1[#All],3,0)," ")</f>
        <v xml:space="preserve"> </v>
      </c>
      <c r="P354" s="100" t="str">
        <f>IFERROR(VLOOKUP(Tablo515[[#This Row],[HAMMADDE KODU]],Tablo1[#All],4,0)," ")</f>
        <v xml:space="preserve"> </v>
      </c>
      <c r="Q354" s="100" t="str">
        <f>IFERROR(VLOOKUP(Tablo515[[#This Row],[ÜRÜN KODU]],YMKODLARI!$A$1:$K$363,5,0)," ")</f>
        <v xml:space="preserve"> </v>
      </c>
      <c r="R354" s="100" t="str">
        <f>IFERROR(VLOOKUP(Tablo515[[#This Row],[ÜRÜN KODU]],YMKODLARI!$A$1:$K$363,6,0)," ")</f>
        <v xml:space="preserve"> </v>
      </c>
      <c r="S354" s="100" t="str">
        <f>IFERROR(Tablo515[[#This Row],[YOLLUK HARİÇ BASKI GRAMI]]/Tablo515[[#This Row],[KALIP GÖZ ADEDİ]]," ")</f>
        <v xml:space="preserve"> </v>
      </c>
      <c r="T354" s="100" t="str">
        <f t="shared" si="41"/>
        <v xml:space="preserve"> </v>
      </c>
      <c r="U354" s="100"/>
      <c r="V354" s="100" t="str">
        <f t="shared" si="40"/>
        <v xml:space="preserve"> </v>
      </c>
      <c r="W354" s="101">
        <f t="shared" si="42"/>
        <v>24</v>
      </c>
      <c r="X354" s="102">
        <f t="shared" si="43"/>
        <v>0</v>
      </c>
      <c r="Y354" s="100" t="str">
        <f t="shared" si="44"/>
        <v xml:space="preserve"> </v>
      </c>
      <c r="Z354" s="100" t="str">
        <f t="shared" si="45"/>
        <v xml:space="preserve"> </v>
      </c>
    </row>
    <row r="355" spans="1:26">
      <c r="A355" s="100"/>
      <c r="B355" s="108" t="str">
        <f>IFERROR(VLOOKUP(Tablo515[[#This Row],[ÜRÜN KODU]],YMKODLARI!$A$1:$K$363,2,0)," ")</f>
        <v xml:space="preserve"> </v>
      </c>
      <c r="C355" s="99"/>
      <c r="D355" s="100"/>
      <c r="E355" s="101"/>
      <c r="F355" s="101"/>
      <c r="G355" s="100" t="str">
        <f>IFERROR(VLOOKUP(Tablo515[[#This Row],[ÜRÜN KODU]],YMKODLARI!$A$1:$K$363,3,0)," ")</f>
        <v xml:space="preserve"> </v>
      </c>
      <c r="H355" s="100" t="str">
        <f>IFERROR(VLOOKUP(Tablo515[[#This Row],[ÜRÜN KODU]],YMKODLARI!$A$1:$K$363,4,0)," ")</f>
        <v xml:space="preserve"> </v>
      </c>
      <c r="I355" s="100"/>
      <c r="J355" s="100" t="str">
        <f>IFERROR(VLOOKUP(Tablo515[[#This Row],[ÜRÜN KODU]],YMKODLARI!$A$1:$K$363,9,0)," ")</f>
        <v xml:space="preserve"> </v>
      </c>
      <c r="K355" s="100" t="str">
        <f>IFERROR(VLOOKUP(Tablo515[[#This Row],[BOYA KODU]],Tablo14[#All],4,0)," ")</f>
        <v xml:space="preserve"> </v>
      </c>
      <c r="L355" s="100" t="str">
        <f>IFERROR(VLOOKUP(Tablo515[[#This Row],[BOYA KODU]],Tablo14[#All],6,0)," ")</f>
        <v xml:space="preserve"> </v>
      </c>
      <c r="M355" s="100" t="str">
        <f t="shared" si="39"/>
        <v xml:space="preserve"> </v>
      </c>
      <c r="N355" s="100" t="str">
        <f>IFERROR(VLOOKUP(Tablo515[[#This Row],[ÜRÜN KODU]],YMKODLARI!$A$1:$K$363,8,0)," ")</f>
        <v xml:space="preserve"> </v>
      </c>
      <c r="O355" s="100" t="str">
        <f>IFERROR(VLOOKUP(Tablo515[[#This Row],[HAMMADDE KODU]],Tablo1[#All],3,0)," ")</f>
        <v xml:space="preserve"> </v>
      </c>
      <c r="P355" s="100" t="str">
        <f>IFERROR(VLOOKUP(Tablo515[[#This Row],[HAMMADDE KODU]],Tablo1[#All],4,0)," ")</f>
        <v xml:space="preserve"> </v>
      </c>
      <c r="Q355" s="100" t="str">
        <f>IFERROR(VLOOKUP(Tablo515[[#This Row],[ÜRÜN KODU]],YMKODLARI!$A$1:$K$363,5,0)," ")</f>
        <v xml:space="preserve"> </v>
      </c>
      <c r="R355" s="100" t="str">
        <f>IFERROR(VLOOKUP(Tablo515[[#This Row],[ÜRÜN KODU]],YMKODLARI!$A$1:$K$363,6,0)," ")</f>
        <v xml:space="preserve"> </v>
      </c>
      <c r="S355" s="100" t="str">
        <f>IFERROR(Tablo515[[#This Row],[YOLLUK HARİÇ BASKI GRAMI]]/Tablo515[[#This Row],[KALIP GÖZ ADEDİ]]," ")</f>
        <v xml:space="preserve"> </v>
      </c>
      <c r="T355" s="100" t="str">
        <f t="shared" si="41"/>
        <v xml:space="preserve"> </v>
      </c>
      <c r="U355" s="100"/>
      <c r="V355" s="100" t="str">
        <f t="shared" si="40"/>
        <v xml:space="preserve"> </v>
      </c>
      <c r="W355" s="101">
        <f t="shared" si="42"/>
        <v>24</v>
      </c>
      <c r="X355" s="102">
        <f t="shared" si="43"/>
        <v>0</v>
      </c>
      <c r="Y355" s="100" t="str">
        <f t="shared" si="44"/>
        <v xml:space="preserve"> </v>
      </c>
      <c r="Z355" s="100" t="str">
        <f t="shared" si="45"/>
        <v xml:space="preserve"> </v>
      </c>
    </row>
    <row r="356" spans="1:26">
      <c r="A356" s="100"/>
      <c r="B356" s="108" t="str">
        <f>IFERROR(VLOOKUP(Tablo515[[#This Row],[ÜRÜN KODU]],YMKODLARI!$A$1:$K$363,2,0)," ")</f>
        <v xml:space="preserve"> </v>
      </c>
      <c r="C356" s="99"/>
      <c r="D356" s="100"/>
      <c r="E356" s="101"/>
      <c r="F356" s="101"/>
      <c r="G356" s="100" t="str">
        <f>IFERROR(VLOOKUP(Tablo515[[#This Row],[ÜRÜN KODU]],YMKODLARI!$A$1:$K$363,3,0)," ")</f>
        <v xml:space="preserve"> </v>
      </c>
      <c r="H356" s="100" t="str">
        <f>IFERROR(VLOOKUP(Tablo515[[#This Row],[ÜRÜN KODU]],YMKODLARI!$A$1:$K$363,4,0)," ")</f>
        <v xml:space="preserve"> </v>
      </c>
      <c r="I356" s="100"/>
      <c r="J356" s="100" t="str">
        <f>IFERROR(VLOOKUP(Tablo515[[#This Row],[ÜRÜN KODU]],YMKODLARI!$A$1:$K$363,9,0)," ")</f>
        <v xml:space="preserve"> </v>
      </c>
      <c r="K356" s="100" t="str">
        <f>IFERROR(VLOOKUP(Tablo515[[#This Row],[BOYA KODU]],Tablo14[#All],4,0)," ")</f>
        <v xml:space="preserve"> </v>
      </c>
      <c r="L356" s="100" t="str">
        <f>IFERROR(VLOOKUP(Tablo515[[#This Row],[BOYA KODU]],Tablo14[#All],6,0)," ")</f>
        <v xml:space="preserve"> </v>
      </c>
      <c r="M356" s="100" t="str">
        <f t="shared" si="39"/>
        <v xml:space="preserve"> </v>
      </c>
      <c r="N356" s="100" t="str">
        <f>IFERROR(VLOOKUP(Tablo515[[#This Row],[ÜRÜN KODU]],YMKODLARI!$A$1:$K$363,8,0)," ")</f>
        <v xml:space="preserve"> </v>
      </c>
      <c r="O356" s="100" t="str">
        <f>IFERROR(VLOOKUP(Tablo515[[#This Row],[HAMMADDE KODU]],Tablo1[#All],3,0)," ")</f>
        <v xml:space="preserve"> </v>
      </c>
      <c r="P356" s="100" t="str">
        <f>IFERROR(VLOOKUP(Tablo515[[#This Row],[HAMMADDE KODU]],Tablo1[#All],4,0)," ")</f>
        <v xml:space="preserve"> </v>
      </c>
      <c r="Q356" s="100" t="str">
        <f>IFERROR(VLOOKUP(Tablo515[[#This Row],[ÜRÜN KODU]],YMKODLARI!$A$1:$K$363,5,0)," ")</f>
        <v xml:space="preserve"> </v>
      </c>
      <c r="R356" s="100" t="str">
        <f>IFERROR(VLOOKUP(Tablo515[[#This Row],[ÜRÜN KODU]],YMKODLARI!$A$1:$K$363,6,0)," ")</f>
        <v xml:space="preserve"> </v>
      </c>
      <c r="S356" s="100" t="str">
        <f>IFERROR(Tablo515[[#This Row],[YOLLUK HARİÇ BASKI GRAMI]]/Tablo515[[#This Row],[KALIP GÖZ ADEDİ]]," ")</f>
        <v xml:space="preserve"> </v>
      </c>
      <c r="T356" s="100" t="str">
        <f t="shared" si="41"/>
        <v xml:space="preserve"> </v>
      </c>
      <c r="U356" s="100"/>
      <c r="V356" s="100" t="str">
        <f t="shared" si="40"/>
        <v xml:space="preserve"> </v>
      </c>
      <c r="W356" s="101">
        <f t="shared" si="42"/>
        <v>24</v>
      </c>
      <c r="X356" s="102">
        <f t="shared" si="43"/>
        <v>0</v>
      </c>
      <c r="Y356" s="100" t="str">
        <f t="shared" si="44"/>
        <v xml:space="preserve"> </v>
      </c>
      <c r="Z356" s="100" t="str">
        <f t="shared" si="45"/>
        <v xml:space="preserve"> </v>
      </c>
    </row>
    <row r="357" spans="1:26">
      <c r="A357" s="100"/>
      <c r="B357" s="108" t="str">
        <f>IFERROR(VLOOKUP(Tablo515[[#This Row],[ÜRÜN KODU]],YMKODLARI!$A$1:$K$363,2,0)," ")</f>
        <v xml:space="preserve"> </v>
      </c>
      <c r="C357" s="99"/>
      <c r="D357" s="100"/>
      <c r="E357" s="101"/>
      <c r="F357" s="101"/>
      <c r="G357" s="100" t="str">
        <f>IFERROR(VLOOKUP(Tablo515[[#This Row],[ÜRÜN KODU]],YMKODLARI!$A$1:$K$363,3,0)," ")</f>
        <v xml:space="preserve"> </v>
      </c>
      <c r="H357" s="100" t="str">
        <f>IFERROR(VLOOKUP(Tablo515[[#This Row],[ÜRÜN KODU]],YMKODLARI!$A$1:$K$363,4,0)," ")</f>
        <v xml:space="preserve"> </v>
      </c>
      <c r="I357" s="100"/>
      <c r="J357" s="100" t="str">
        <f>IFERROR(VLOOKUP(Tablo515[[#This Row],[ÜRÜN KODU]],YMKODLARI!$A$1:$K$363,9,0)," ")</f>
        <v xml:space="preserve"> </v>
      </c>
      <c r="K357" s="100" t="str">
        <f>IFERROR(VLOOKUP(Tablo515[[#This Row],[BOYA KODU]],Tablo14[#All],4,0)," ")</f>
        <v xml:space="preserve"> </v>
      </c>
      <c r="L357" s="100" t="str">
        <f>IFERROR(VLOOKUP(Tablo515[[#This Row],[BOYA KODU]],Tablo14[#All],6,0)," ")</f>
        <v xml:space="preserve"> </v>
      </c>
      <c r="M357" s="100" t="str">
        <f t="shared" si="39"/>
        <v xml:space="preserve"> </v>
      </c>
      <c r="N357" s="100" t="str">
        <f>IFERROR(VLOOKUP(Tablo515[[#This Row],[ÜRÜN KODU]],YMKODLARI!$A$1:$K$363,8,0)," ")</f>
        <v xml:space="preserve"> </v>
      </c>
      <c r="O357" s="100" t="str">
        <f>IFERROR(VLOOKUP(Tablo515[[#This Row],[HAMMADDE KODU]],Tablo1[#All],3,0)," ")</f>
        <v xml:space="preserve"> </v>
      </c>
      <c r="P357" s="100" t="str">
        <f>IFERROR(VLOOKUP(Tablo515[[#This Row],[HAMMADDE KODU]],Tablo1[#All],4,0)," ")</f>
        <v xml:space="preserve"> </v>
      </c>
      <c r="Q357" s="100" t="str">
        <f>IFERROR(VLOOKUP(Tablo515[[#This Row],[ÜRÜN KODU]],YMKODLARI!$A$1:$K$363,5,0)," ")</f>
        <v xml:space="preserve"> </v>
      </c>
      <c r="R357" s="100" t="str">
        <f>IFERROR(VLOOKUP(Tablo515[[#This Row],[ÜRÜN KODU]],YMKODLARI!$A$1:$K$363,6,0)," ")</f>
        <v xml:space="preserve"> </v>
      </c>
      <c r="S357" s="100" t="str">
        <f>IFERROR(Tablo515[[#This Row],[YOLLUK HARİÇ BASKI GRAMI]]/Tablo515[[#This Row],[KALIP GÖZ ADEDİ]]," ")</f>
        <v xml:space="preserve"> </v>
      </c>
      <c r="T357" s="100" t="str">
        <f t="shared" si="41"/>
        <v xml:space="preserve"> </v>
      </c>
      <c r="U357" s="100"/>
      <c r="V357" s="100" t="str">
        <f t="shared" si="40"/>
        <v xml:space="preserve"> </v>
      </c>
      <c r="W357" s="101">
        <f t="shared" si="42"/>
        <v>24</v>
      </c>
      <c r="X357" s="102">
        <f t="shared" si="43"/>
        <v>0</v>
      </c>
      <c r="Y357" s="100" t="str">
        <f t="shared" si="44"/>
        <v xml:space="preserve"> </v>
      </c>
      <c r="Z357" s="100" t="str">
        <f t="shared" si="45"/>
        <v xml:space="preserve"> </v>
      </c>
    </row>
    <row r="358" spans="1:26">
      <c r="A358" s="100"/>
      <c r="B358" s="108" t="str">
        <f>IFERROR(VLOOKUP(Tablo515[[#This Row],[ÜRÜN KODU]],YMKODLARI!$A$1:$K$363,2,0)," ")</f>
        <v xml:space="preserve"> </v>
      </c>
      <c r="C358" s="99"/>
      <c r="D358" s="100"/>
      <c r="E358" s="101"/>
      <c r="F358" s="101"/>
      <c r="G358" s="100" t="str">
        <f>IFERROR(VLOOKUP(Tablo515[[#This Row],[ÜRÜN KODU]],YMKODLARI!$A$1:$K$363,3,0)," ")</f>
        <v xml:space="preserve"> </v>
      </c>
      <c r="H358" s="100" t="str">
        <f>IFERROR(VLOOKUP(Tablo515[[#This Row],[ÜRÜN KODU]],YMKODLARI!$A$1:$K$363,4,0)," ")</f>
        <v xml:space="preserve"> </v>
      </c>
      <c r="I358" s="100"/>
      <c r="J358" s="100" t="str">
        <f>IFERROR(VLOOKUP(Tablo515[[#This Row],[ÜRÜN KODU]],YMKODLARI!$A$1:$K$363,9,0)," ")</f>
        <v xml:space="preserve"> </v>
      </c>
      <c r="K358" s="100" t="str">
        <f>IFERROR(VLOOKUP(Tablo515[[#This Row],[BOYA KODU]],Tablo14[#All],4,0)," ")</f>
        <v xml:space="preserve"> </v>
      </c>
      <c r="L358" s="100" t="str">
        <f>IFERROR(VLOOKUP(Tablo515[[#This Row],[BOYA KODU]],Tablo14[#All],6,0)," ")</f>
        <v xml:space="preserve"> </v>
      </c>
      <c r="M358" s="100" t="str">
        <f t="shared" si="39"/>
        <v xml:space="preserve"> </v>
      </c>
      <c r="N358" s="100" t="str">
        <f>IFERROR(VLOOKUP(Tablo515[[#This Row],[ÜRÜN KODU]],YMKODLARI!$A$1:$K$363,8,0)," ")</f>
        <v xml:space="preserve"> </v>
      </c>
      <c r="O358" s="100" t="str">
        <f>IFERROR(VLOOKUP(Tablo515[[#This Row],[HAMMADDE KODU]],Tablo1[#All],3,0)," ")</f>
        <v xml:space="preserve"> </v>
      </c>
      <c r="P358" s="100" t="str">
        <f>IFERROR(VLOOKUP(Tablo515[[#This Row],[HAMMADDE KODU]],Tablo1[#All],4,0)," ")</f>
        <v xml:space="preserve"> </v>
      </c>
      <c r="Q358" s="100" t="str">
        <f>IFERROR(VLOOKUP(Tablo515[[#This Row],[ÜRÜN KODU]],YMKODLARI!$A$1:$K$363,5,0)," ")</f>
        <v xml:space="preserve"> </v>
      </c>
      <c r="R358" s="100" t="str">
        <f>IFERROR(VLOOKUP(Tablo515[[#This Row],[ÜRÜN KODU]],YMKODLARI!$A$1:$K$363,6,0)," ")</f>
        <v xml:space="preserve"> </v>
      </c>
      <c r="S358" s="100" t="str">
        <f>IFERROR(Tablo515[[#This Row],[YOLLUK HARİÇ BASKI GRAMI]]/Tablo515[[#This Row],[KALIP GÖZ ADEDİ]]," ")</f>
        <v xml:space="preserve"> </v>
      </c>
      <c r="T358" s="100" t="str">
        <f t="shared" si="41"/>
        <v xml:space="preserve"> </v>
      </c>
      <c r="U358" s="100"/>
      <c r="V358" s="100" t="str">
        <f t="shared" si="40"/>
        <v xml:space="preserve"> </v>
      </c>
      <c r="W358" s="101">
        <f t="shared" si="42"/>
        <v>24</v>
      </c>
      <c r="X358" s="102">
        <f t="shared" si="43"/>
        <v>0</v>
      </c>
      <c r="Y358" s="100" t="str">
        <f t="shared" si="44"/>
        <v xml:space="preserve"> </v>
      </c>
      <c r="Z358" s="100" t="str">
        <f t="shared" si="45"/>
        <v xml:space="preserve"> </v>
      </c>
    </row>
    <row r="359" spans="1:26">
      <c r="A359" s="100"/>
      <c r="B359" s="108" t="str">
        <f>IFERROR(VLOOKUP(Tablo515[[#This Row],[ÜRÜN KODU]],YMKODLARI!$A$1:$K$363,2,0)," ")</f>
        <v xml:space="preserve"> </v>
      </c>
      <c r="C359" s="99"/>
      <c r="D359" s="100"/>
      <c r="E359" s="101"/>
      <c r="F359" s="101"/>
      <c r="G359" s="100" t="str">
        <f>IFERROR(VLOOKUP(Tablo515[[#This Row],[ÜRÜN KODU]],YMKODLARI!$A$1:$K$363,3,0)," ")</f>
        <v xml:space="preserve"> </v>
      </c>
      <c r="H359" s="100" t="str">
        <f>IFERROR(VLOOKUP(Tablo515[[#This Row],[ÜRÜN KODU]],YMKODLARI!$A$1:$K$363,4,0)," ")</f>
        <v xml:space="preserve"> </v>
      </c>
      <c r="I359" s="100"/>
      <c r="J359" s="100" t="str">
        <f>IFERROR(VLOOKUP(Tablo515[[#This Row],[ÜRÜN KODU]],YMKODLARI!$A$1:$K$363,9,0)," ")</f>
        <v xml:space="preserve"> </v>
      </c>
      <c r="K359" s="100" t="str">
        <f>IFERROR(VLOOKUP(Tablo515[[#This Row],[BOYA KODU]],Tablo14[#All],4,0)," ")</f>
        <v xml:space="preserve"> </v>
      </c>
      <c r="L359" s="100" t="str">
        <f>IFERROR(VLOOKUP(Tablo515[[#This Row],[BOYA KODU]],Tablo14[#All],6,0)," ")</f>
        <v xml:space="preserve"> </v>
      </c>
      <c r="M359" s="100" t="str">
        <f t="shared" si="39"/>
        <v xml:space="preserve"> </v>
      </c>
      <c r="N359" s="100" t="str">
        <f>IFERROR(VLOOKUP(Tablo515[[#This Row],[ÜRÜN KODU]],YMKODLARI!$A$1:$K$363,8,0)," ")</f>
        <v xml:space="preserve"> </v>
      </c>
      <c r="O359" s="100" t="str">
        <f>IFERROR(VLOOKUP(Tablo515[[#This Row],[HAMMADDE KODU]],Tablo1[#All],3,0)," ")</f>
        <v xml:space="preserve"> </v>
      </c>
      <c r="P359" s="100" t="str">
        <f>IFERROR(VLOOKUP(Tablo515[[#This Row],[HAMMADDE KODU]],Tablo1[#All],4,0)," ")</f>
        <v xml:space="preserve"> </v>
      </c>
      <c r="Q359" s="100" t="str">
        <f>IFERROR(VLOOKUP(Tablo515[[#This Row],[ÜRÜN KODU]],YMKODLARI!$A$1:$K$363,5,0)," ")</f>
        <v xml:space="preserve"> </v>
      </c>
      <c r="R359" s="100" t="str">
        <f>IFERROR(VLOOKUP(Tablo515[[#This Row],[ÜRÜN KODU]],YMKODLARI!$A$1:$K$363,6,0)," ")</f>
        <v xml:space="preserve"> </v>
      </c>
      <c r="S359" s="100" t="str">
        <f>IFERROR(Tablo515[[#This Row],[YOLLUK HARİÇ BASKI GRAMI]]/Tablo515[[#This Row],[KALIP GÖZ ADEDİ]]," ")</f>
        <v xml:space="preserve"> </v>
      </c>
      <c r="T359" s="100" t="str">
        <f t="shared" si="41"/>
        <v xml:space="preserve"> </v>
      </c>
      <c r="U359" s="100"/>
      <c r="V359" s="100" t="str">
        <f t="shared" si="40"/>
        <v xml:space="preserve"> </v>
      </c>
      <c r="W359" s="101">
        <f t="shared" si="42"/>
        <v>24</v>
      </c>
      <c r="X359" s="102">
        <f t="shared" si="43"/>
        <v>0</v>
      </c>
      <c r="Y359" s="100" t="str">
        <f t="shared" si="44"/>
        <v xml:space="preserve"> </v>
      </c>
      <c r="Z359" s="100" t="str">
        <f t="shared" si="45"/>
        <v xml:space="preserve"> </v>
      </c>
    </row>
    <row r="360" spans="1:26">
      <c r="A360" s="100"/>
      <c r="B360" s="108" t="str">
        <f>IFERROR(VLOOKUP(Tablo515[[#This Row],[ÜRÜN KODU]],YMKODLARI!$A$1:$K$363,2,0)," ")</f>
        <v xml:space="preserve"> </v>
      </c>
      <c r="C360" s="99"/>
      <c r="D360" s="100"/>
      <c r="E360" s="101"/>
      <c r="F360" s="101"/>
      <c r="G360" s="100" t="str">
        <f>IFERROR(VLOOKUP(Tablo515[[#This Row],[ÜRÜN KODU]],YMKODLARI!$A$1:$K$363,3,0)," ")</f>
        <v xml:space="preserve"> </v>
      </c>
      <c r="H360" s="100" t="str">
        <f>IFERROR(VLOOKUP(Tablo515[[#This Row],[ÜRÜN KODU]],YMKODLARI!$A$1:$K$363,4,0)," ")</f>
        <v xml:space="preserve"> </v>
      </c>
      <c r="I360" s="100"/>
      <c r="J360" s="100" t="str">
        <f>IFERROR(VLOOKUP(Tablo515[[#This Row],[ÜRÜN KODU]],YMKODLARI!$A$1:$K$363,9,0)," ")</f>
        <v xml:space="preserve"> </v>
      </c>
      <c r="K360" s="100" t="str">
        <f>IFERROR(VLOOKUP(Tablo515[[#This Row],[BOYA KODU]],Tablo14[#All],4,0)," ")</f>
        <v xml:space="preserve"> </v>
      </c>
      <c r="L360" s="100" t="str">
        <f>IFERROR(VLOOKUP(Tablo515[[#This Row],[BOYA KODU]],Tablo14[#All],6,0)," ")</f>
        <v xml:space="preserve"> </v>
      </c>
      <c r="M360" s="100" t="str">
        <f t="shared" si="39"/>
        <v xml:space="preserve"> </v>
      </c>
      <c r="N360" s="100" t="str">
        <f>IFERROR(VLOOKUP(Tablo515[[#This Row],[ÜRÜN KODU]],YMKODLARI!$A$1:$K$363,8,0)," ")</f>
        <v xml:space="preserve"> </v>
      </c>
      <c r="O360" s="100" t="str">
        <f>IFERROR(VLOOKUP(Tablo515[[#This Row],[HAMMADDE KODU]],Tablo1[#All],3,0)," ")</f>
        <v xml:space="preserve"> </v>
      </c>
      <c r="P360" s="100" t="str">
        <f>IFERROR(VLOOKUP(Tablo515[[#This Row],[HAMMADDE KODU]],Tablo1[#All],4,0)," ")</f>
        <v xml:space="preserve"> </v>
      </c>
      <c r="Q360" s="100" t="str">
        <f>IFERROR(VLOOKUP(Tablo515[[#This Row],[ÜRÜN KODU]],YMKODLARI!$A$1:$K$363,5,0)," ")</f>
        <v xml:space="preserve"> </v>
      </c>
      <c r="R360" s="100" t="str">
        <f>IFERROR(VLOOKUP(Tablo515[[#This Row],[ÜRÜN KODU]],YMKODLARI!$A$1:$K$363,6,0)," ")</f>
        <v xml:space="preserve"> </v>
      </c>
      <c r="S360" s="100" t="str">
        <f>IFERROR(Tablo515[[#This Row],[YOLLUK HARİÇ BASKI GRAMI]]/Tablo515[[#This Row],[KALIP GÖZ ADEDİ]]," ")</f>
        <v xml:space="preserve"> </v>
      </c>
      <c r="T360" s="100" t="str">
        <f t="shared" si="41"/>
        <v xml:space="preserve"> </v>
      </c>
      <c r="U360" s="100"/>
      <c r="V360" s="100" t="str">
        <f t="shared" si="40"/>
        <v xml:space="preserve"> </v>
      </c>
      <c r="W360" s="101">
        <f t="shared" si="42"/>
        <v>24</v>
      </c>
      <c r="X360" s="102">
        <f t="shared" si="43"/>
        <v>0</v>
      </c>
      <c r="Y360" s="100" t="str">
        <f t="shared" si="44"/>
        <v xml:space="preserve"> </v>
      </c>
      <c r="Z360" s="100" t="str">
        <f t="shared" si="45"/>
        <v xml:space="preserve"> </v>
      </c>
    </row>
    <row r="361" spans="1:26">
      <c r="A361" s="100"/>
      <c r="B361" s="108" t="str">
        <f>IFERROR(VLOOKUP(Tablo515[[#This Row],[ÜRÜN KODU]],YMKODLARI!$A$1:$K$363,2,0)," ")</f>
        <v xml:space="preserve"> </v>
      </c>
      <c r="C361" s="99"/>
      <c r="D361" s="100"/>
      <c r="E361" s="101"/>
      <c r="F361" s="101"/>
      <c r="G361" s="100" t="str">
        <f>IFERROR(VLOOKUP(Tablo515[[#This Row],[ÜRÜN KODU]],YMKODLARI!$A$1:$K$363,3,0)," ")</f>
        <v xml:space="preserve"> </v>
      </c>
      <c r="H361" s="100" t="str">
        <f>IFERROR(VLOOKUP(Tablo515[[#This Row],[ÜRÜN KODU]],YMKODLARI!$A$1:$K$363,4,0)," ")</f>
        <v xml:space="preserve"> </v>
      </c>
      <c r="I361" s="100"/>
      <c r="J361" s="100" t="str">
        <f>IFERROR(VLOOKUP(Tablo515[[#This Row],[ÜRÜN KODU]],YMKODLARI!$A$1:$K$363,9,0)," ")</f>
        <v xml:space="preserve"> </v>
      </c>
      <c r="K361" s="100" t="str">
        <f>IFERROR(VLOOKUP(Tablo515[[#This Row],[BOYA KODU]],Tablo14[#All],4,0)," ")</f>
        <v xml:space="preserve"> </v>
      </c>
      <c r="L361" s="100" t="str">
        <f>IFERROR(VLOOKUP(Tablo515[[#This Row],[BOYA KODU]],Tablo14[#All],6,0)," ")</f>
        <v xml:space="preserve"> </v>
      </c>
      <c r="M361" s="100" t="str">
        <f t="shared" si="39"/>
        <v xml:space="preserve"> </v>
      </c>
      <c r="N361" s="100" t="str">
        <f>IFERROR(VLOOKUP(Tablo515[[#This Row],[ÜRÜN KODU]],YMKODLARI!$A$1:$K$363,8,0)," ")</f>
        <v xml:space="preserve"> </v>
      </c>
      <c r="O361" s="100" t="str">
        <f>IFERROR(VLOOKUP(Tablo515[[#This Row],[HAMMADDE KODU]],Tablo1[#All],3,0)," ")</f>
        <v xml:space="preserve"> </v>
      </c>
      <c r="P361" s="100" t="str">
        <f>IFERROR(VLOOKUP(Tablo515[[#This Row],[HAMMADDE KODU]],Tablo1[#All],4,0)," ")</f>
        <v xml:space="preserve"> </v>
      </c>
      <c r="Q361" s="100" t="str">
        <f>IFERROR(VLOOKUP(Tablo515[[#This Row],[ÜRÜN KODU]],YMKODLARI!$A$1:$K$363,5,0)," ")</f>
        <v xml:space="preserve"> </v>
      </c>
      <c r="R361" s="100" t="str">
        <f>IFERROR(VLOOKUP(Tablo515[[#This Row],[ÜRÜN KODU]],YMKODLARI!$A$1:$K$363,6,0)," ")</f>
        <v xml:space="preserve"> </v>
      </c>
      <c r="S361" s="100" t="str">
        <f>IFERROR(Tablo515[[#This Row],[YOLLUK HARİÇ BASKI GRAMI]]/Tablo515[[#This Row],[KALIP GÖZ ADEDİ]]," ")</f>
        <v xml:space="preserve"> </v>
      </c>
      <c r="T361" s="100" t="str">
        <f t="shared" si="41"/>
        <v xml:space="preserve"> </v>
      </c>
      <c r="U361" s="100"/>
      <c r="V361" s="100" t="str">
        <f t="shared" si="40"/>
        <v xml:space="preserve"> </v>
      </c>
      <c r="W361" s="101">
        <f t="shared" si="42"/>
        <v>24</v>
      </c>
      <c r="X361" s="102">
        <f t="shared" si="43"/>
        <v>0</v>
      </c>
      <c r="Y361" s="100" t="str">
        <f t="shared" si="44"/>
        <v xml:space="preserve"> </v>
      </c>
      <c r="Z361" s="100" t="str">
        <f t="shared" si="45"/>
        <v xml:space="preserve"> </v>
      </c>
    </row>
    <row r="362" spans="1:26">
      <c r="A362" s="100"/>
      <c r="B362" s="108" t="str">
        <f>IFERROR(VLOOKUP(Tablo515[[#This Row],[ÜRÜN KODU]],YMKODLARI!$A$1:$K$363,2,0)," ")</f>
        <v xml:space="preserve"> </v>
      </c>
      <c r="C362" s="99"/>
      <c r="D362" s="100"/>
      <c r="E362" s="101"/>
      <c r="F362" s="101"/>
      <c r="G362" s="100" t="str">
        <f>IFERROR(VLOOKUP(Tablo515[[#This Row],[ÜRÜN KODU]],YMKODLARI!$A$1:$K$363,3,0)," ")</f>
        <v xml:space="preserve"> </v>
      </c>
      <c r="H362" s="100" t="str">
        <f>IFERROR(VLOOKUP(Tablo515[[#This Row],[ÜRÜN KODU]],YMKODLARI!$A$1:$K$363,4,0)," ")</f>
        <v xml:space="preserve"> </v>
      </c>
      <c r="I362" s="100"/>
      <c r="J362" s="100" t="str">
        <f>IFERROR(VLOOKUP(Tablo515[[#This Row],[ÜRÜN KODU]],YMKODLARI!$A$1:$K$363,9,0)," ")</f>
        <v xml:space="preserve"> </v>
      </c>
      <c r="K362" s="100" t="str">
        <f>IFERROR(VLOOKUP(Tablo515[[#This Row],[BOYA KODU]],Tablo14[#All],4,0)," ")</f>
        <v xml:space="preserve"> </v>
      </c>
      <c r="L362" s="100" t="str">
        <f>IFERROR(VLOOKUP(Tablo515[[#This Row],[BOYA KODU]],Tablo14[#All],6,0)," ")</f>
        <v xml:space="preserve"> </v>
      </c>
      <c r="M362" s="100" t="str">
        <f t="shared" si="39"/>
        <v xml:space="preserve"> </v>
      </c>
      <c r="N362" s="100" t="str">
        <f>IFERROR(VLOOKUP(Tablo515[[#This Row],[ÜRÜN KODU]],YMKODLARI!$A$1:$K$363,8,0)," ")</f>
        <v xml:space="preserve"> </v>
      </c>
      <c r="O362" s="100" t="str">
        <f>IFERROR(VLOOKUP(Tablo515[[#This Row],[HAMMADDE KODU]],Tablo1[#All],3,0)," ")</f>
        <v xml:space="preserve"> </v>
      </c>
      <c r="P362" s="100" t="str">
        <f>IFERROR(VLOOKUP(Tablo515[[#This Row],[HAMMADDE KODU]],Tablo1[#All],4,0)," ")</f>
        <v xml:space="preserve"> </v>
      </c>
      <c r="Q362" s="100" t="str">
        <f>IFERROR(VLOOKUP(Tablo515[[#This Row],[ÜRÜN KODU]],YMKODLARI!$A$1:$K$363,5,0)," ")</f>
        <v xml:space="preserve"> </v>
      </c>
      <c r="R362" s="100" t="str">
        <f>IFERROR(VLOOKUP(Tablo515[[#This Row],[ÜRÜN KODU]],YMKODLARI!$A$1:$K$363,6,0)," ")</f>
        <v xml:space="preserve"> </v>
      </c>
      <c r="S362" s="100" t="str">
        <f>IFERROR(Tablo515[[#This Row],[YOLLUK HARİÇ BASKI GRAMI]]/Tablo515[[#This Row],[KALIP GÖZ ADEDİ]]," ")</f>
        <v xml:space="preserve"> </v>
      </c>
      <c r="T362" s="100" t="str">
        <f t="shared" si="41"/>
        <v xml:space="preserve"> </v>
      </c>
      <c r="U362" s="100"/>
      <c r="V362" s="100" t="str">
        <f t="shared" si="40"/>
        <v xml:space="preserve"> </v>
      </c>
      <c r="W362" s="101">
        <f t="shared" si="42"/>
        <v>24</v>
      </c>
      <c r="X362" s="102">
        <f t="shared" si="43"/>
        <v>0</v>
      </c>
      <c r="Y362" s="100" t="str">
        <f t="shared" si="44"/>
        <v xml:space="preserve"> </v>
      </c>
      <c r="Z362" s="100" t="str">
        <f t="shared" si="45"/>
        <v xml:space="preserve"> </v>
      </c>
    </row>
    <row r="363" spans="1:26">
      <c r="A363" s="100"/>
      <c r="B363" s="108" t="str">
        <f>IFERROR(VLOOKUP(Tablo515[[#This Row],[ÜRÜN KODU]],YMKODLARI!$A$1:$K$363,2,0)," ")</f>
        <v xml:space="preserve"> </v>
      </c>
      <c r="C363" s="99"/>
      <c r="D363" s="100"/>
      <c r="E363" s="101"/>
      <c r="F363" s="101"/>
      <c r="G363" s="100" t="str">
        <f>IFERROR(VLOOKUP(Tablo515[[#This Row],[ÜRÜN KODU]],YMKODLARI!$A$1:$K$363,3,0)," ")</f>
        <v xml:space="preserve"> </v>
      </c>
      <c r="H363" s="100" t="str">
        <f>IFERROR(VLOOKUP(Tablo515[[#This Row],[ÜRÜN KODU]],YMKODLARI!$A$1:$K$363,4,0)," ")</f>
        <v xml:space="preserve"> </v>
      </c>
      <c r="I363" s="100"/>
      <c r="J363" s="100" t="str">
        <f>IFERROR(VLOOKUP(Tablo515[[#This Row],[ÜRÜN KODU]],YMKODLARI!$A$1:$K$363,9,0)," ")</f>
        <v xml:space="preserve"> </v>
      </c>
      <c r="K363" s="100" t="str">
        <f>IFERROR(VLOOKUP(Tablo515[[#This Row],[BOYA KODU]],Tablo14[#All],4,0)," ")</f>
        <v xml:space="preserve"> </v>
      </c>
      <c r="L363" s="100" t="str">
        <f>IFERROR(VLOOKUP(Tablo515[[#This Row],[BOYA KODU]],Tablo14[#All],6,0)," ")</f>
        <v xml:space="preserve"> </v>
      </c>
      <c r="M363" s="100" t="str">
        <f t="shared" si="39"/>
        <v xml:space="preserve"> </v>
      </c>
      <c r="N363" s="100" t="str">
        <f>IFERROR(VLOOKUP(Tablo515[[#This Row],[ÜRÜN KODU]],YMKODLARI!$A$1:$K$363,8,0)," ")</f>
        <v xml:space="preserve"> </v>
      </c>
      <c r="O363" s="100" t="str">
        <f>IFERROR(VLOOKUP(Tablo515[[#This Row],[HAMMADDE KODU]],Tablo1[#All],3,0)," ")</f>
        <v xml:space="preserve"> </v>
      </c>
      <c r="P363" s="100" t="str">
        <f>IFERROR(VLOOKUP(Tablo515[[#This Row],[HAMMADDE KODU]],Tablo1[#All],4,0)," ")</f>
        <v xml:space="preserve"> </v>
      </c>
      <c r="Q363" s="100" t="str">
        <f>IFERROR(VLOOKUP(Tablo515[[#This Row],[ÜRÜN KODU]],YMKODLARI!$A$1:$K$363,5,0)," ")</f>
        <v xml:space="preserve"> </v>
      </c>
      <c r="R363" s="100" t="str">
        <f>IFERROR(VLOOKUP(Tablo515[[#This Row],[ÜRÜN KODU]],YMKODLARI!$A$1:$K$363,6,0)," ")</f>
        <v xml:space="preserve"> </v>
      </c>
      <c r="S363" s="100" t="str">
        <f>IFERROR(Tablo515[[#This Row],[YOLLUK HARİÇ BASKI GRAMI]]/Tablo515[[#This Row],[KALIP GÖZ ADEDİ]]," ")</f>
        <v xml:space="preserve"> </v>
      </c>
      <c r="T363" s="100" t="str">
        <f t="shared" si="41"/>
        <v xml:space="preserve"> </v>
      </c>
      <c r="U363" s="100"/>
      <c r="V363" s="100" t="str">
        <f t="shared" si="40"/>
        <v xml:space="preserve"> </v>
      </c>
      <c r="W363" s="101">
        <f t="shared" si="42"/>
        <v>24</v>
      </c>
      <c r="X363" s="102">
        <f t="shared" si="43"/>
        <v>0</v>
      </c>
      <c r="Y363" s="100" t="str">
        <f t="shared" si="44"/>
        <v xml:space="preserve"> </v>
      </c>
      <c r="Z363" s="100" t="str">
        <f t="shared" si="45"/>
        <v xml:space="preserve"> </v>
      </c>
    </row>
    <row r="364" spans="1:26">
      <c r="A364" s="100"/>
      <c r="B364" s="108" t="str">
        <f>IFERROR(VLOOKUP(Tablo515[[#This Row],[ÜRÜN KODU]],YMKODLARI!$A$1:$K$363,2,0)," ")</f>
        <v xml:space="preserve"> </v>
      </c>
      <c r="C364" s="99"/>
      <c r="D364" s="100"/>
      <c r="E364" s="101"/>
      <c r="F364" s="101"/>
      <c r="G364" s="100" t="str">
        <f>IFERROR(VLOOKUP(Tablo515[[#This Row],[ÜRÜN KODU]],YMKODLARI!$A$1:$K$363,3,0)," ")</f>
        <v xml:space="preserve"> </v>
      </c>
      <c r="H364" s="100" t="str">
        <f>IFERROR(VLOOKUP(Tablo515[[#This Row],[ÜRÜN KODU]],YMKODLARI!$A$1:$K$363,4,0)," ")</f>
        <v xml:space="preserve"> </v>
      </c>
      <c r="I364" s="100"/>
      <c r="J364" s="100" t="str">
        <f>IFERROR(VLOOKUP(Tablo515[[#This Row],[ÜRÜN KODU]],YMKODLARI!$A$1:$K$363,9,0)," ")</f>
        <v xml:space="preserve"> </v>
      </c>
      <c r="K364" s="100" t="str">
        <f>IFERROR(VLOOKUP(Tablo515[[#This Row],[BOYA KODU]],Tablo14[#All],4,0)," ")</f>
        <v xml:space="preserve"> </v>
      </c>
      <c r="L364" s="100" t="str">
        <f>IFERROR(VLOOKUP(Tablo515[[#This Row],[BOYA KODU]],Tablo14[#All],6,0)," ")</f>
        <v xml:space="preserve"> </v>
      </c>
      <c r="M364" s="100" t="str">
        <f t="shared" si="39"/>
        <v xml:space="preserve"> </v>
      </c>
      <c r="N364" s="100" t="str">
        <f>IFERROR(VLOOKUP(Tablo515[[#This Row],[ÜRÜN KODU]],YMKODLARI!$A$1:$K$363,8,0)," ")</f>
        <v xml:space="preserve"> </v>
      </c>
      <c r="O364" s="100" t="str">
        <f>IFERROR(VLOOKUP(Tablo515[[#This Row],[HAMMADDE KODU]],Tablo1[#All],3,0)," ")</f>
        <v xml:space="preserve"> </v>
      </c>
      <c r="P364" s="100" t="str">
        <f>IFERROR(VLOOKUP(Tablo515[[#This Row],[HAMMADDE KODU]],Tablo1[#All],4,0)," ")</f>
        <v xml:space="preserve"> </v>
      </c>
      <c r="Q364" s="100" t="str">
        <f>IFERROR(VLOOKUP(Tablo515[[#This Row],[ÜRÜN KODU]],YMKODLARI!$A$1:$K$363,5,0)," ")</f>
        <v xml:space="preserve"> </v>
      </c>
      <c r="R364" s="100" t="str">
        <f>IFERROR(VLOOKUP(Tablo515[[#This Row],[ÜRÜN KODU]],YMKODLARI!$A$1:$K$363,6,0)," ")</f>
        <v xml:space="preserve"> </v>
      </c>
      <c r="S364" s="100" t="str">
        <f>IFERROR(Tablo515[[#This Row],[YOLLUK HARİÇ BASKI GRAMI]]/Tablo515[[#This Row],[KALIP GÖZ ADEDİ]]," ")</f>
        <v xml:space="preserve"> </v>
      </c>
      <c r="T364" s="100" t="str">
        <f t="shared" si="41"/>
        <v xml:space="preserve"> </v>
      </c>
      <c r="U364" s="100"/>
      <c r="V364" s="100" t="str">
        <f t="shared" si="40"/>
        <v xml:space="preserve"> </v>
      </c>
      <c r="W364" s="101">
        <f t="shared" si="42"/>
        <v>24</v>
      </c>
      <c r="X364" s="102">
        <f t="shared" si="43"/>
        <v>0</v>
      </c>
      <c r="Y364" s="100" t="str">
        <f t="shared" si="44"/>
        <v xml:space="preserve"> </v>
      </c>
      <c r="Z364" s="100" t="str">
        <f t="shared" si="45"/>
        <v xml:space="preserve"> </v>
      </c>
    </row>
    <row r="365" spans="1:26">
      <c r="A365" s="100"/>
      <c r="B365" s="108" t="str">
        <f>IFERROR(VLOOKUP(Tablo515[[#This Row],[ÜRÜN KODU]],YMKODLARI!$A$1:$K$363,2,0)," ")</f>
        <v xml:space="preserve"> </v>
      </c>
      <c r="C365" s="99"/>
      <c r="D365" s="100"/>
      <c r="E365" s="101"/>
      <c r="F365" s="101"/>
      <c r="G365" s="100" t="str">
        <f>IFERROR(VLOOKUP(Tablo515[[#This Row],[ÜRÜN KODU]],YMKODLARI!$A$1:$K$363,3,0)," ")</f>
        <v xml:space="preserve"> </v>
      </c>
      <c r="H365" s="100" t="str">
        <f>IFERROR(VLOOKUP(Tablo515[[#This Row],[ÜRÜN KODU]],YMKODLARI!$A$1:$K$363,4,0)," ")</f>
        <v xml:space="preserve"> </v>
      </c>
      <c r="I365" s="100"/>
      <c r="J365" s="100" t="str">
        <f>IFERROR(VLOOKUP(Tablo515[[#This Row],[ÜRÜN KODU]],YMKODLARI!$A$1:$K$363,9,0)," ")</f>
        <v xml:space="preserve"> </v>
      </c>
      <c r="K365" s="100" t="str">
        <f>IFERROR(VLOOKUP(Tablo515[[#This Row],[BOYA KODU]],Tablo14[#All],4,0)," ")</f>
        <v xml:space="preserve"> </v>
      </c>
      <c r="L365" s="100" t="str">
        <f>IFERROR(VLOOKUP(Tablo515[[#This Row],[BOYA KODU]],Tablo14[#All],6,0)," ")</f>
        <v xml:space="preserve"> </v>
      </c>
      <c r="M365" s="100" t="str">
        <f t="shared" si="39"/>
        <v xml:space="preserve"> </v>
      </c>
      <c r="N365" s="100" t="str">
        <f>IFERROR(VLOOKUP(Tablo515[[#This Row],[ÜRÜN KODU]],YMKODLARI!$A$1:$K$363,8,0)," ")</f>
        <v xml:space="preserve"> </v>
      </c>
      <c r="O365" s="100" t="str">
        <f>IFERROR(VLOOKUP(Tablo515[[#This Row],[HAMMADDE KODU]],Tablo1[#All],3,0)," ")</f>
        <v xml:space="preserve"> </v>
      </c>
      <c r="P365" s="100" t="str">
        <f>IFERROR(VLOOKUP(Tablo515[[#This Row],[HAMMADDE KODU]],Tablo1[#All],4,0)," ")</f>
        <v xml:space="preserve"> </v>
      </c>
      <c r="Q365" s="100" t="str">
        <f>IFERROR(VLOOKUP(Tablo515[[#This Row],[ÜRÜN KODU]],YMKODLARI!$A$1:$K$363,5,0)," ")</f>
        <v xml:space="preserve"> </v>
      </c>
      <c r="R365" s="100" t="str">
        <f>IFERROR(VLOOKUP(Tablo515[[#This Row],[ÜRÜN KODU]],YMKODLARI!$A$1:$K$363,6,0)," ")</f>
        <v xml:space="preserve"> </v>
      </c>
      <c r="S365" s="100" t="str">
        <f>IFERROR(Tablo515[[#This Row],[YOLLUK HARİÇ BASKI GRAMI]]/Tablo515[[#This Row],[KALIP GÖZ ADEDİ]]," ")</f>
        <v xml:space="preserve"> </v>
      </c>
      <c r="T365" s="100" t="str">
        <f t="shared" si="41"/>
        <v xml:space="preserve"> </v>
      </c>
      <c r="U365" s="100"/>
      <c r="V365" s="100" t="str">
        <f t="shared" si="40"/>
        <v xml:space="preserve"> </v>
      </c>
      <c r="W365" s="101">
        <f t="shared" si="42"/>
        <v>24</v>
      </c>
      <c r="X365" s="102">
        <f t="shared" si="43"/>
        <v>0</v>
      </c>
      <c r="Y365" s="100" t="str">
        <f t="shared" si="44"/>
        <v xml:space="preserve"> </v>
      </c>
      <c r="Z365" s="100" t="str">
        <f t="shared" si="45"/>
        <v xml:space="preserve"> </v>
      </c>
    </row>
    <row r="366" spans="1:26">
      <c r="A366" s="100"/>
      <c r="B366" s="108" t="str">
        <f>IFERROR(VLOOKUP(Tablo515[[#This Row],[ÜRÜN KODU]],YMKODLARI!$A$1:$K$363,2,0)," ")</f>
        <v xml:space="preserve"> </v>
      </c>
      <c r="C366" s="99"/>
      <c r="D366" s="100"/>
      <c r="E366" s="101"/>
      <c r="F366" s="101"/>
      <c r="G366" s="100" t="str">
        <f>IFERROR(VLOOKUP(Tablo515[[#This Row],[ÜRÜN KODU]],YMKODLARI!$A$1:$K$363,3,0)," ")</f>
        <v xml:space="preserve"> </v>
      </c>
      <c r="H366" s="100" t="str">
        <f>IFERROR(VLOOKUP(Tablo515[[#This Row],[ÜRÜN KODU]],YMKODLARI!$A$1:$K$363,4,0)," ")</f>
        <v xml:space="preserve"> </v>
      </c>
      <c r="I366" s="100"/>
      <c r="J366" s="100" t="str">
        <f>IFERROR(VLOOKUP(Tablo515[[#This Row],[ÜRÜN KODU]],YMKODLARI!$A$1:$K$363,9,0)," ")</f>
        <v xml:space="preserve"> </v>
      </c>
      <c r="K366" s="100" t="str">
        <f>IFERROR(VLOOKUP(Tablo515[[#This Row],[BOYA KODU]],Tablo14[#All],4,0)," ")</f>
        <v xml:space="preserve"> </v>
      </c>
      <c r="L366" s="100" t="str">
        <f>IFERROR(VLOOKUP(Tablo515[[#This Row],[BOYA KODU]],Tablo14[#All],6,0)," ")</f>
        <v xml:space="preserve"> </v>
      </c>
      <c r="M366" s="100" t="str">
        <f t="shared" si="39"/>
        <v xml:space="preserve"> </v>
      </c>
      <c r="N366" s="100" t="str">
        <f>IFERROR(VLOOKUP(Tablo515[[#This Row],[ÜRÜN KODU]],YMKODLARI!$A$1:$K$363,8,0)," ")</f>
        <v xml:space="preserve"> </v>
      </c>
      <c r="O366" s="100" t="str">
        <f>IFERROR(VLOOKUP(Tablo515[[#This Row],[HAMMADDE KODU]],Tablo1[#All],3,0)," ")</f>
        <v xml:space="preserve"> </v>
      </c>
      <c r="P366" s="100" t="str">
        <f>IFERROR(VLOOKUP(Tablo515[[#This Row],[HAMMADDE KODU]],Tablo1[#All],4,0)," ")</f>
        <v xml:space="preserve"> </v>
      </c>
      <c r="Q366" s="100" t="str">
        <f>IFERROR(VLOOKUP(Tablo515[[#This Row],[ÜRÜN KODU]],YMKODLARI!$A$1:$K$363,5,0)," ")</f>
        <v xml:space="preserve"> </v>
      </c>
      <c r="R366" s="100" t="str">
        <f>IFERROR(VLOOKUP(Tablo515[[#This Row],[ÜRÜN KODU]],YMKODLARI!$A$1:$K$363,6,0)," ")</f>
        <v xml:space="preserve"> </v>
      </c>
      <c r="S366" s="100" t="str">
        <f>IFERROR(Tablo515[[#This Row],[YOLLUK HARİÇ BASKI GRAMI]]/Tablo515[[#This Row],[KALIP GÖZ ADEDİ]]," ")</f>
        <v xml:space="preserve"> </v>
      </c>
      <c r="T366" s="100" t="str">
        <f t="shared" si="41"/>
        <v xml:space="preserve"> </v>
      </c>
      <c r="U366" s="100"/>
      <c r="V366" s="100" t="str">
        <f t="shared" si="40"/>
        <v xml:space="preserve"> </v>
      </c>
      <c r="W366" s="101">
        <f t="shared" si="42"/>
        <v>24</v>
      </c>
      <c r="X366" s="102">
        <f t="shared" si="43"/>
        <v>0</v>
      </c>
      <c r="Y366" s="100" t="str">
        <f t="shared" si="44"/>
        <v xml:space="preserve"> </v>
      </c>
      <c r="Z366" s="100" t="str">
        <f t="shared" si="45"/>
        <v xml:space="preserve"> </v>
      </c>
    </row>
    <row r="367" spans="1:26">
      <c r="A367" s="100"/>
      <c r="B367" s="108" t="str">
        <f>IFERROR(VLOOKUP(Tablo515[[#This Row],[ÜRÜN KODU]],YMKODLARI!$A$1:$K$363,2,0)," ")</f>
        <v xml:space="preserve"> </v>
      </c>
      <c r="C367" s="99"/>
      <c r="D367" s="100"/>
      <c r="E367" s="101"/>
      <c r="F367" s="101"/>
      <c r="G367" s="100" t="str">
        <f>IFERROR(VLOOKUP(Tablo515[[#This Row],[ÜRÜN KODU]],YMKODLARI!$A$1:$K$363,3,0)," ")</f>
        <v xml:space="preserve"> </v>
      </c>
      <c r="H367" s="100" t="str">
        <f>IFERROR(VLOOKUP(Tablo515[[#This Row],[ÜRÜN KODU]],YMKODLARI!$A$1:$K$363,4,0)," ")</f>
        <v xml:space="preserve"> </v>
      </c>
      <c r="I367" s="100"/>
      <c r="J367" s="100" t="str">
        <f>IFERROR(VLOOKUP(Tablo515[[#This Row],[ÜRÜN KODU]],YMKODLARI!$A$1:$K$363,9,0)," ")</f>
        <v xml:space="preserve"> </v>
      </c>
      <c r="K367" s="100" t="str">
        <f>IFERROR(VLOOKUP(Tablo515[[#This Row],[BOYA KODU]],Tablo14[#All],4,0)," ")</f>
        <v xml:space="preserve"> </v>
      </c>
      <c r="L367" s="100" t="str">
        <f>IFERROR(VLOOKUP(Tablo515[[#This Row],[BOYA KODU]],Tablo14[#All],6,0)," ")</f>
        <v xml:space="preserve"> </v>
      </c>
      <c r="M367" s="100" t="str">
        <f t="shared" si="39"/>
        <v xml:space="preserve"> </v>
      </c>
      <c r="N367" s="100" t="str">
        <f>IFERROR(VLOOKUP(Tablo515[[#This Row],[ÜRÜN KODU]],YMKODLARI!$A$1:$K$363,8,0)," ")</f>
        <v xml:space="preserve"> </v>
      </c>
      <c r="O367" s="100" t="str">
        <f>IFERROR(VLOOKUP(Tablo515[[#This Row],[HAMMADDE KODU]],Tablo1[#All],3,0)," ")</f>
        <v xml:space="preserve"> </v>
      </c>
      <c r="P367" s="100" t="str">
        <f>IFERROR(VLOOKUP(Tablo515[[#This Row],[HAMMADDE KODU]],Tablo1[#All],4,0)," ")</f>
        <v xml:space="preserve"> </v>
      </c>
      <c r="Q367" s="100" t="str">
        <f>IFERROR(VLOOKUP(Tablo515[[#This Row],[ÜRÜN KODU]],YMKODLARI!$A$1:$K$363,5,0)," ")</f>
        <v xml:space="preserve"> </v>
      </c>
      <c r="R367" s="100" t="str">
        <f>IFERROR(VLOOKUP(Tablo515[[#This Row],[ÜRÜN KODU]],YMKODLARI!$A$1:$K$363,6,0)," ")</f>
        <v xml:space="preserve"> </v>
      </c>
      <c r="S367" s="100" t="str">
        <f>IFERROR(Tablo515[[#This Row],[YOLLUK HARİÇ BASKI GRAMI]]/Tablo515[[#This Row],[KALIP GÖZ ADEDİ]]," ")</f>
        <v xml:space="preserve"> </v>
      </c>
      <c r="T367" s="100" t="str">
        <f t="shared" si="41"/>
        <v xml:space="preserve"> </v>
      </c>
      <c r="U367" s="100"/>
      <c r="V367" s="100" t="str">
        <f t="shared" si="40"/>
        <v xml:space="preserve"> </v>
      </c>
      <c r="W367" s="101">
        <f t="shared" si="42"/>
        <v>24</v>
      </c>
      <c r="X367" s="102">
        <f t="shared" si="43"/>
        <v>0</v>
      </c>
      <c r="Y367" s="100" t="str">
        <f t="shared" si="44"/>
        <v xml:space="preserve"> </v>
      </c>
      <c r="Z367" s="100" t="str">
        <f t="shared" si="45"/>
        <v xml:space="preserve"> </v>
      </c>
    </row>
    <row r="368" spans="1:26">
      <c r="A368" s="100"/>
      <c r="B368" s="108" t="str">
        <f>IFERROR(VLOOKUP(Tablo515[[#This Row],[ÜRÜN KODU]],YMKODLARI!$A$1:$K$363,2,0)," ")</f>
        <v xml:space="preserve"> </v>
      </c>
      <c r="C368" s="99"/>
      <c r="D368" s="100"/>
      <c r="E368" s="101"/>
      <c r="F368" s="101"/>
      <c r="G368" s="100" t="str">
        <f>IFERROR(VLOOKUP(Tablo515[[#This Row],[ÜRÜN KODU]],YMKODLARI!$A$1:$K$363,3,0)," ")</f>
        <v xml:space="preserve"> </v>
      </c>
      <c r="H368" s="100" t="str">
        <f>IFERROR(VLOOKUP(Tablo515[[#This Row],[ÜRÜN KODU]],YMKODLARI!$A$1:$K$363,4,0)," ")</f>
        <v xml:space="preserve"> </v>
      </c>
      <c r="I368" s="100"/>
      <c r="J368" s="100" t="str">
        <f>IFERROR(VLOOKUP(Tablo515[[#This Row],[ÜRÜN KODU]],YMKODLARI!$A$1:$K$363,9,0)," ")</f>
        <v xml:space="preserve"> </v>
      </c>
      <c r="K368" s="100" t="str">
        <f>IFERROR(VLOOKUP(Tablo515[[#This Row],[BOYA KODU]],Tablo14[#All],4,0)," ")</f>
        <v xml:space="preserve"> </v>
      </c>
      <c r="L368" s="100" t="str">
        <f>IFERROR(VLOOKUP(Tablo515[[#This Row],[BOYA KODU]],Tablo14[#All],6,0)," ")</f>
        <v xml:space="preserve"> </v>
      </c>
      <c r="M368" s="100" t="str">
        <f t="shared" si="39"/>
        <v xml:space="preserve"> </v>
      </c>
      <c r="N368" s="100" t="str">
        <f>IFERROR(VLOOKUP(Tablo515[[#This Row],[ÜRÜN KODU]],YMKODLARI!$A$1:$K$363,8,0)," ")</f>
        <v xml:space="preserve"> </v>
      </c>
      <c r="O368" s="100" t="str">
        <f>IFERROR(VLOOKUP(Tablo515[[#This Row],[HAMMADDE KODU]],Tablo1[#All],3,0)," ")</f>
        <v xml:space="preserve"> </v>
      </c>
      <c r="P368" s="100" t="str">
        <f>IFERROR(VLOOKUP(Tablo515[[#This Row],[HAMMADDE KODU]],Tablo1[#All],4,0)," ")</f>
        <v xml:space="preserve"> </v>
      </c>
      <c r="Q368" s="100" t="str">
        <f>IFERROR(VLOOKUP(Tablo515[[#This Row],[ÜRÜN KODU]],YMKODLARI!$A$1:$K$363,5,0)," ")</f>
        <v xml:space="preserve"> </v>
      </c>
      <c r="R368" s="100" t="str">
        <f>IFERROR(VLOOKUP(Tablo515[[#This Row],[ÜRÜN KODU]],YMKODLARI!$A$1:$K$363,6,0)," ")</f>
        <v xml:space="preserve"> </v>
      </c>
      <c r="S368" s="100" t="str">
        <f>IFERROR(Tablo515[[#This Row],[YOLLUK HARİÇ BASKI GRAMI]]/Tablo515[[#This Row],[KALIP GÖZ ADEDİ]]," ")</f>
        <v xml:space="preserve"> </v>
      </c>
      <c r="T368" s="100" t="str">
        <f t="shared" si="41"/>
        <v xml:space="preserve"> </v>
      </c>
      <c r="U368" s="100"/>
      <c r="V368" s="100" t="str">
        <f t="shared" si="40"/>
        <v xml:space="preserve"> </v>
      </c>
      <c r="W368" s="101">
        <f t="shared" si="42"/>
        <v>24</v>
      </c>
      <c r="X368" s="102">
        <f t="shared" si="43"/>
        <v>0</v>
      </c>
      <c r="Y368" s="100" t="str">
        <f t="shared" si="44"/>
        <v xml:space="preserve"> </v>
      </c>
      <c r="Z368" s="100" t="str">
        <f t="shared" si="45"/>
        <v xml:space="preserve"> </v>
      </c>
    </row>
    <row r="369" spans="1:26">
      <c r="A369" s="100"/>
      <c r="B369" s="108" t="str">
        <f>IFERROR(VLOOKUP(Tablo515[[#This Row],[ÜRÜN KODU]],YMKODLARI!$A$1:$K$363,2,0)," ")</f>
        <v xml:space="preserve"> </v>
      </c>
      <c r="C369" s="99"/>
      <c r="D369" s="100"/>
      <c r="E369" s="101"/>
      <c r="F369" s="101"/>
      <c r="G369" s="100" t="str">
        <f>IFERROR(VLOOKUP(Tablo515[[#This Row],[ÜRÜN KODU]],YMKODLARI!$A$1:$K$363,3,0)," ")</f>
        <v xml:space="preserve"> </v>
      </c>
      <c r="H369" s="100" t="str">
        <f>IFERROR(VLOOKUP(Tablo515[[#This Row],[ÜRÜN KODU]],YMKODLARI!$A$1:$K$363,4,0)," ")</f>
        <v xml:space="preserve"> </v>
      </c>
      <c r="I369" s="100"/>
      <c r="J369" s="100" t="str">
        <f>IFERROR(VLOOKUP(Tablo515[[#This Row],[ÜRÜN KODU]],YMKODLARI!$A$1:$K$363,9,0)," ")</f>
        <v xml:space="preserve"> </v>
      </c>
      <c r="K369" s="100" t="str">
        <f>IFERROR(VLOOKUP(Tablo515[[#This Row],[BOYA KODU]],Tablo14[#All],4,0)," ")</f>
        <v xml:space="preserve"> </v>
      </c>
      <c r="L369" s="100" t="str">
        <f>IFERROR(VLOOKUP(Tablo515[[#This Row],[BOYA KODU]],Tablo14[#All],6,0)," ")</f>
        <v xml:space="preserve"> </v>
      </c>
      <c r="M369" s="100" t="str">
        <f t="shared" si="39"/>
        <v xml:space="preserve"> </v>
      </c>
      <c r="N369" s="100" t="str">
        <f>IFERROR(VLOOKUP(Tablo515[[#This Row],[ÜRÜN KODU]],YMKODLARI!$A$1:$K$363,8,0)," ")</f>
        <v xml:space="preserve"> </v>
      </c>
      <c r="O369" s="100" t="str">
        <f>IFERROR(VLOOKUP(Tablo515[[#This Row],[HAMMADDE KODU]],Tablo1[#All],3,0)," ")</f>
        <v xml:space="preserve"> </v>
      </c>
      <c r="P369" s="100" t="str">
        <f>IFERROR(VLOOKUP(Tablo515[[#This Row],[HAMMADDE KODU]],Tablo1[#All],4,0)," ")</f>
        <v xml:space="preserve"> </v>
      </c>
      <c r="Q369" s="100" t="str">
        <f>IFERROR(VLOOKUP(Tablo515[[#This Row],[ÜRÜN KODU]],YMKODLARI!$A$1:$K$363,5,0)," ")</f>
        <v xml:space="preserve"> </v>
      </c>
      <c r="R369" s="100" t="str">
        <f>IFERROR(VLOOKUP(Tablo515[[#This Row],[ÜRÜN KODU]],YMKODLARI!$A$1:$K$363,6,0)," ")</f>
        <v xml:space="preserve"> </v>
      </c>
      <c r="S369" s="100" t="str">
        <f>IFERROR(Tablo515[[#This Row],[YOLLUK HARİÇ BASKI GRAMI]]/Tablo515[[#This Row],[KALIP GÖZ ADEDİ]]," ")</f>
        <v xml:space="preserve"> </v>
      </c>
      <c r="T369" s="100" t="str">
        <f t="shared" si="41"/>
        <v xml:space="preserve"> </v>
      </c>
      <c r="U369" s="100"/>
      <c r="V369" s="100" t="str">
        <f t="shared" si="40"/>
        <v xml:space="preserve"> </v>
      </c>
      <c r="W369" s="101">
        <f t="shared" si="42"/>
        <v>24</v>
      </c>
      <c r="X369" s="102">
        <f t="shared" si="43"/>
        <v>0</v>
      </c>
      <c r="Y369" s="100" t="str">
        <f t="shared" si="44"/>
        <v xml:space="preserve"> </v>
      </c>
      <c r="Z369" s="100" t="str">
        <f t="shared" si="45"/>
        <v xml:space="preserve"> </v>
      </c>
    </row>
    <row r="370" spans="1:26">
      <c r="A370" s="100"/>
      <c r="B370" s="108" t="str">
        <f>IFERROR(VLOOKUP(Tablo515[[#This Row],[ÜRÜN KODU]],YMKODLARI!$A$1:$K$363,2,0)," ")</f>
        <v xml:space="preserve"> </v>
      </c>
      <c r="C370" s="99"/>
      <c r="D370" s="100"/>
      <c r="E370" s="101"/>
      <c r="F370" s="101"/>
      <c r="G370" s="100" t="str">
        <f>IFERROR(VLOOKUP(Tablo515[[#This Row],[ÜRÜN KODU]],YMKODLARI!$A$1:$K$363,3,0)," ")</f>
        <v xml:space="preserve"> </v>
      </c>
      <c r="H370" s="100" t="str">
        <f>IFERROR(VLOOKUP(Tablo515[[#This Row],[ÜRÜN KODU]],YMKODLARI!$A$1:$K$363,4,0)," ")</f>
        <v xml:space="preserve"> </v>
      </c>
      <c r="I370" s="100"/>
      <c r="J370" s="100" t="str">
        <f>IFERROR(VLOOKUP(Tablo515[[#This Row],[ÜRÜN KODU]],YMKODLARI!$A$1:$K$363,9,0)," ")</f>
        <v xml:space="preserve"> </v>
      </c>
      <c r="K370" s="100" t="str">
        <f>IFERROR(VLOOKUP(Tablo515[[#This Row],[BOYA KODU]],Tablo14[#All],4,0)," ")</f>
        <v xml:space="preserve"> </v>
      </c>
      <c r="L370" s="100" t="str">
        <f>IFERROR(VLOOKUP(Tablo515[[#This Row],[BOYA KODU]],Tablo14[#All],6,0)," ")</f>
        <v xml:space="preserve"> </v>
      </c>
      <c r="M370" s="100" t="str">
        <f t="shared" si="39"/>
        <v xml:space="preserve"> </v>
      </c>
      <c r="N370" s="100" t="str">
        <f>IFERROR(VLOOKUP(Tablo515[[#This Row],[ÜRÜN KODU]],YMKODLARI!$A$1:$K$363,8,0)," ")</f>
        <v xml:space="preserve"> </v>
      </c>
      <c r="O370" s="100" t="str">
        <f>IFERROR(VLOOKUP(Tablo515[[#This Row],[HAMMADDE KODU]],Tablo1[#All],3,0)," ")</f>
        <v xml:space="preserve"> </v>
      </c>
      <c r="P370" s="100" t="str">
        <f>IFERROR(VLOOKUP(Tablo515[[#This Row],[HAMMADDE KODU]],Tablo1[#All],4,0)," ")</f>
        <v xml:space="preserve"> </v>
      </c>
      <c r="Q370" s="100" t="str">
        <f>IFERROR(VLOOKUP(Tablo515[[#This Row],[ÜRÜN KODU]],YMKODLARI!$A$1:$K$363,5,0)," ")</f>
        <v xml:space="preserve"> </v>
      </c>
      <c r="R370" s="100" t="str">
        <f>IFERROR(VLOOKUP(Tablo515[[#This Row],[ÜRÜN KODU]],YMKODLARI!$A$1:$K$363,6,0)," ")</f>
        <v xml:space="preserve"> </v>
      </c>
      <c r="S370" s="100" t="str">
        <f>IFERROR(Tablo515[[#This Row],[YOLLUK HARİÇ BASKI GRAMI]]/Tablo515[[#This Row],[KALIP GÖZ ADEDİ]]," ")</f>
        <v xml:space="preserve"> </v>
      </c>
      <c r="T370" s="100" t="str">
        <f t="shared" si="41"/>
        <v xml:space="preserve"> </v>
      </c>
      <c r="U370" s="100"/>
      <c r="V370" s="100" t="str">
        <f t="shared" si="40"/>
        <v xml:space="preserve"> </v>
      </c>
      <c r="W370" s="101">
        <f t="shared" si="42"/>
        <v>24</v>
      </c>
      <c r="X370" s="102">
        <f t="shared" si="43"/>
        <v>0</v>
      </c>
      <c r="Y370" s="100" t="str">
        <f t="shared" si="44"/>
        <v xml:space="preserve"> </v>
      </c>
      <c r="Z370" s="100" t="str">
        <f t="shared" si="45"/>
        <v xml:space="preserve"> </v>
      </c>
    </row>
    <row r="371" spans="1:26">
      <c r="A371" s="100"/>
      <c r="B371" s="108" t="str">
        <f>IFERROR(VLOOKUP(Tablo515[[#This Row],[ÜRÜN KODU]],YMKODLARI!$A$1:$K$363,2,0)," ")</f>
        <v xml:space="preserve"> </v>
      </c>
      <c r="C371" s="99"/>
      <c r="D371" s="100"/>
      <c r="E371" s="101"/>
      <c r="F371" s="101"/>
      <c r="G371" s="100" t="str">
        <f>IFERROR(VLOOKUP(Tablo515[[#This Row],[ÜRÜN KODU]],YMKODLARI!$A$1:$K$363,3,0)," ")</f>
        <v xml:space="preserve"> </v>
      </c>
      <c r="H371" s="100" t="str">
        <f>IFERROR(VLOOKUP(Tablo515[[#This Row],[ÜRÜN KODU]],YMKODLARI!$A$1:$K$363,4,0)," ")</f>
        <v xml:space="preserve"> </v>
      </c>
      <c r="I371" s="100"/>
      <c r="J371" s="100" t="str">
        <f>IFERROR(VLOOKUP(Tablo515[[#This Row],[ÜRÜN KODU]],YMKODLARI!$A$1:$K$363,9,0)," ")</f>
        <v xml:space="preserve"> </v>
      </c>
      <c r="K371" s="100" t="str">
        <f>IFERROR(VLOOKUP(Tablo515[[#This Row],[BOYA KODU]],Tablo14[#All],4,0)," ")</f>
        <v xml:space="preserve"> </v>
      </c>
      <c r="L371" s="100" t="str">
        <f>IFERROR(VLOOKUP(Tablo515[[#This Row],[BOYA KODU]],Tablo14[#All],6,0)," ")</f>
        <v xml:space="preserve"> </v>
      </c>
      <c r="M371" s="100" t="str">
        <f t="shared" si="39"/>
        <v xml:space="preserve"> </v>
      </c>
      <c r="N371" s="100" t="str">
        <f>IFERROR(VLOOKUP(Tablo515[[#This Row],[ÜRÜN KODU]],YMKODLARI!$A$1:$K$363,8,0)," ")</f>
        <v xml:space="preserve"> </v>
      </c>
      <c r="O371" s="100" t="str">
        <f>IFERROR(VLOOKUP(Tablo515[[#This Row],[HAMMADDE KODU]],Tablo1[#All],3,0)," ")</f>
        <v xml:space="preserve"> </v>
      </c>
      <c r="P371" s="100" t="str">
        <f>IFERROR(VLOOKUP(Tablo515[[#This Row],[HAMMADDE KODU]],Tablo1[#All],4,0)," ")</f>
        <v xml:space="preserve"> </v>
      </c>
      <c r="Q371" s="100" t="str">
        <f>IFERROR(VLOOKUP(Tablo515[[#This Row],[ÜRÜN KODU]],YMKODLARI!$A$1:$K$363,5,0)," ")</f>
        <v xml:space="preserve"> </v>
      </c>
      <c r="R371" s="100" t="str">
        <f>IFERROR(VLOOKUP(Tablo515[[#This Row],[ÜRÜN KODU]],YMKODLARI!$A$1:$K$363,6,0)," ")</f>
        <v xml:space="preserve"> </v>
      </c>
      <c r="S371" s="100" t="str">
        <f>IFERROR(Tablo515[[#This Row],[YOLLUK HARİÇ BASKI GRAMI]]/Tablo515[[#This Row],[KALIP GÖZ ADEDİ]]," ")</f>
        <v xml:space="preserve"> </v>
      </c>
      <c r="T371" s="100" t="str">
        <f t="shared" si="41"/>
        <v xml:space="preserve"> </v>
      </c>
      <c r="U371" s="100"/>
      <c r="V371" s="100" t="str">
        <f t="shared" si="40"/>
        <v xml:space="preserve"> </v>
      </c>
      <c r="W371" s="101">
        <f t="shared" si="42"/>
        <v>24</v>
      </c>
      <c r="X371" s="102">
        <f t="shared" si="43"/>
        <v>0</v>
      </c>
      <c r="Y371" s="100" t="str">
        <f t="shared" si="44"/>
        <v xml:space="preserve"> </v>
      </c>
      <c r="Z371" s="100" t="str">
        <f t="shared" si="45"/>
        <v xml:space="preserve"> </v>
      </c>
    </row>
    <row r="372" spans="1:26">
      <c r="A372" s="100"/>
      <c r="B372" s="108" t="str">
        <f>IFERROR(VLOOKUP(Tablo515[[#This Row],[ÜRÜN KODU]],YMKODLARI!$A$1:$K$363,2,0)," ")</f>
        <v xml:space="preserve"> </v>
      </c>
      <c r="C372" s="99"/>
      <c r="D372" s="100"/>
      <c r="E372" s="101"/>
      <c r="F372" s="101"/>
      <c r="G372" s="100" t="str">
        <f>IFERROR(VLOOKUP(Tablo515[[#This Row],[ÜRÜN KODU]],YMKODLARI!$A$1:$K$363,3,0)," ")</f>
        <v xml:space="preserve"> </v>
      </c>
      <c r="H372" s="100" t="str">
        <f>IFERROR(VLOOKUP(Tablo515[[#This Row],[ÜRÜN KODU]],YMKODLARI!$A$1:$K$363,4,0)," ")</f>
        <v xml:space="preserve"> </v>
      </c>
      <c r="I372" s="100"/>
      <c r="J372" s="100" t="str">
        <f>IFERROR(VLOOKUP(Tablo515[[#This Row],[ÜRÜN KODU]],YMKODLARI!$A$1:$K$363,9,0)," ")</f>
        <v xml:space="preserve"> </v>
      </c>
      <c r="K372" s="100" t="str">
        <f>IFERROR(VLOOKUP(Tablo515[[#This Row],[BOYA KODU]],Tablo14[#All],4,0)," ")</f>
        <v xml:space="preserve"> </v>
      </c>
      <c r="L372" s="100" t="str">
        <f>IFERROR(VLOOKUP(Tablo515[[#This Row],[BOYA KODU]],Tablo14[#All],6,0)," ")</f>
        <v xml:space="preserve"> </v>
      </c>
      <c r="M372" s="100" t="str">
        <f t="shared" si="39"/>
        <v xml:space="preserve"> </v>
      </c>
      <c r="N372" s="100" t="str">
        <f>IFERROR(VLOOKUP(Tablo515[[#This Row],[ÜRÜN KODU]],YMKODLARI!$A$1:$K$363,8,0)," ")</f>
        <v xml:space="preserve"> </v>
      </c>
      <c r="O372" s="100" t="str">
        <f>IFERROR(VLOOKUP(Tablo515[[#This Row],[HAMMADDE KODU]],Tablo1[#All],3,0)," ")</f>
        <v xml:space="preserve"> </v>
      </c>
      <c r="P372" s="100" t="str">
        <f>IFERROR(VLOOKUP(Tablo515[[#This Row],[HAMMADDE KODU]],Tablo1[#All],4,0)," ")</f>
        <v xml:space="preserve"> </v>
      </c>
      <c r="Q372" s="100" t="str">
        <f>IFERROR(VLOOKUP(Tablo515[[#This Row],[ÜRÜN KODU]],YMKODLARI!$A$1:$K$363,5,0)," ")</f>
        <v xml:space="preserve"> </v>
      </c>
      <c r="R372" s="100" t="str">
        <f>IFERROR(VLOOKUP(Tablo515[[#This Row],[ÜRÜN KODU]],YMKODLARI!$A$1:$K$363,6,0)," ")</f>
        <v xml:space="preserve"> </v>
      </c>
      <c r="S372" s="100" t="str">
        <f>IFERROR(Tablo515[[#This Row],[YOLLUK HARİÇ BASKI GRAMI]]/Tablo515[[#This Row],[KALIP GÖZ ADEDİ]]," ")</f>
        <v xml:space="preserve"> </v>
      </c>
      <c r="T372" s="100" t="str">
        <f t="shared" si="41"/>
        <v xml:space="preserve"> </v>
      </c>
      <c r="U372" s="100"/>
      <c r="V372" s="100" t="str">
        <f t="shared" si="40"/>
        <v xml:space="preserve"> </v>
      </c>
      <c r="W372" s="101">
        <f t="shared" si="42"/>
        <v>24</v>
      </c>
      <c r="X372" s="102">
        <f t="shared" si="43"/>
        <v>0</v>
      </c>
      <c r="Y372" s="100" t="str">
        <f t="shared" si="44"/>
        <v xml:space="preserve"> </v>
      </c>
      <c r="Z372" s="100" t="str">
        <f t="shared" si="45"/>
        <v xml:space="preserve"> </v>
      </c>
    </row>
    <row r="373" spans="1:26">
      <c r="A373" s="100"/>
      <c r="B373" s="108" t="str">
        <f>IFERROR(VLOOKUP(Tablo515[[#This Row],[ÜRÜN KODU]],YMKODLARI!$A$1:$K$363,2,0)," ")</f>
        <v xml:space="preserve"> </v>
      </c>
      <c r="C373" s="99"/>
      <c r="D373" s="100"/>
      <c r="E373" s="101"/>
      <c r="F373" s="101"/>
      <c r="G373" s="100" t="str">
        <f>IFERROR(VLOOKUP(Tablo515[[#This Row],[ÜRÜN KODU]],YMKODLARI!$A$1:$K$363,3,0)," ")</f>
        <v xml:space="preserve"> </v>
      </c>
      <c r="H373" s="100" t="str">
        <f>IFERROR(VLOOKUP(Tablo515[[#This Row],[ÜRÜN KODU]],YMKODLARI!$A$1:$K$363,4,0)," ")</f>
        <v xml:space="preserve"> </v>
      </c>
      <c r="I373" s="100"/>
      <c r="J373" s="100" t="str">
        <f>IFERROR(VLOOKUP(Tablo515[[#This Row],[ÜRÜN KODU]],YMKODLARI!$A$1:$K$363,9,0)," ")</f>
        <v xml:space="preserve"> </v>
      </c>
      <c r="K373" s="100" t="str">
        <f>IFERROR(VLOOKUP(Tablo515[[#This Row],[BOYA KODU]],Tablo14[#All],4,0)," ")</f>
        <v xml:space="preserve"> </v>
      </c>
      <c r="L373" s="100" t="str">
        <f>IFERROR(VLOOKUP(Tablo515[[#This Row],[BOYA KODU]],Tablo14[#All],6,0)," ")</f>
        <v xml:space="preserve"> </v>
      </c>
      <c r="M373" s="100" t="str">
        <f t="shared" si="39"/>
        <v xml:space="preserve"> </v>
      </c>
      <c r="N373" s="100" t="str">
        <f>IFERROR(VLOOKUP(Tablo515[[#This Row],[ÜRÜN KODU]],YMKODLARI!$A$1:$K$363,8,0)," ")</f>
        <v xml:space="preserve"> </v>
      </c>
      <c r="O373" s="100" t="str">
        <f>IFERROR(VLOOKUP(Tablo515[[#This Row],[HAMMADDE KODU]],Tablo1[#All],3,0)," ")</f>
        <v xml:space="preserve"> </v>
      </c>
      <c r="P373" s="100" t="str">
        <f>IFERROR(VLOOKUP(Tablo515[[#This Row],[HAMMADDE KODU]],Tablo1[#All],4,0)," ")</f>
        <v xml:space="preserve"> </v>
      </c>
      <c r="Q373" s="100" t="str">
        <f>IFERROR(VLOOKUP(Tablo515[[#This Row],[ÜRÜN KODU]],YMKODLARI!$A$1:$K$363,5,0)," ")</f>
        <v xml:space="preserve"> </v>
      </c>
      <c r="R373" s="100" t="str">
        <f>IFERROR(VLOOKUP(Tablo515[[#This Row],[ÜRÜN KODU]],YMKODLARI!$A$1:$K$363,6,0)," ")</f>
        <v xml:space="preserve"> </v>
      </c>
      <c r="S373" s="100" t="str">
        <f>IFERROR(Tablo515[[#This Row],[YOLLUK HARİÇ BASKI GRAMI]]/Tablo515[[#This Row],[KALIP GÖZ ADEDİ]]," ")</f>
        <v xml:space="preserve"> </v>
      </c>
      <c r="T373" s="100" t="str">
        <f t="shared" si="41"/>
        <v xml:space="preserve"> </v>
      </c>
      <c r="U373" s="100"/>
      <c r="V373" s="100" t="str">
        <f t="shared" si="40"/>
        <v xml:space="preserve"> </v>
      </c>
      <c r="W373" s="101">
        <f t="shared" si="42"/>
        <v>24</v>
      </c>
      <c r="X373" s="102">
        <f t="shared" si="43"/>
        <v>0</v>
      </c>
      <c r="Y373" s="100" t="str">
        <f t="shared" si="44"/>
        <v xml:space="preserve"> </v>
      </c>
      <c r="Z373" s="100" t="str">
        <f t="shared" si="45"/>
        <v xml:space="preserve"> </v>
      </c>
    </row>
    <row r="374" spans="1:26">
      <c r="A374" s="100"/>
      <c r="B374" s="108" t="str">
        <f>IFERROR(VLOOKUP(Tablo515[[#This Row],[ÜRÜN KODU]],YMKODLARI!$A$1:$K$363,2,0)," ")</f>
        <v xml:space="preserve"> </v>
      </c>
      <c r="C374" s="99"/>
      <c r="D374" s="100"/>
      <c r="E374" s="101"/>
      <c r="F374" s="101"/>
      <c r="G374" s="100" t="str">
        <f>IFERROR(VLOOKUP(Tablo515[[#This Row],[ÜRÜN KODU]],YMKODLARI!$A$1:$K$363,3,0)," ")</f>
        <v xml:space="preserve"> </v>
      </c>
      <c r="H374" s="100" t="str">
        <f>IFERROR(VLOOKUP(Tablo515[[#This Row],[ÜRÜN KODU]],YMKODLARI!$A$1:$K$363,4,0)," ")</f>
        <v xml:space="preserve"> </v>
      </c>
      <c r="I374" s="100"/>
      <c r="J374" s="100" t="str">
        <f>IFERROR(VLOOKUP(Tablo515[[#This Row],[ÜRÜN KODU]],YMKODLARI!$A$1:$K$363,9,0)," ")</f>
        <v xml:space="preserve"> </v>
      </c>
      <c r="K374" s="100" t="str">
        <f>IFERROR(VLOOKUP(Tablo515[[#This Row],[BOYA KODU]],Tablo14[#All],4,0)," ")</f>
        <v xml:space="preserve"> </v>
      </c>
      <c r="L374" s="100" t="str">
        <f>IFERROR(VLOOKUP(Tablo515[[#This Row],[BOYA KODU]],Tablo14[#All],6,0)," ")</f>
        <v xml:space="preserve"> </v>
      </c>
      <c r="M374" s="100" t="str">
        <f t="shared" si="39"/>
        <v xml:space="preserve"> </v>
      </c>
      <c r="N374" s="100" t="str">
        <f>IFERROR(VLOOKUP(Tablo515[[#This Row],[ÜRÜN KODU]],YMKODLARI!$A$1:$K$363,8,0)," ")</f>
        <v xml:space="preserve"> </v>
      </c>
      <c r="O374" s="100" t="str">
        <f>IFERROR(VLOOKUP(Tablo515[[#This Row],[HAMMADDE KODU]],Tablo1[#All],3,0)," ")</f>
        <v xml:space="preserve"> </v>
      </c>
      <c r="P374" s="100" t="str">
        <f>IFERROR(VLOOKUP(Tablo515[[#This Row],[HAMMADDE KODU]],Tablo1[#All],4,0)," ")</f>
        <v xml:space="preserve"> </v>
      </c>
      <c r="Q374" s="100" t="str">
        <f>IFERROR(VLOOKUP(Tablo515[[#This Row],[ÜRÜN KODU]],YMKODLARI!$A$1:$K$363,5,0)," ")</f>
        <v xml:space="preserve"> </v>
      </c>
      <c r="R374" s="100" t="str">
        <f>IFERROR(VLOOKUP(Tablo515[[#This Row],[ÜRÜN KODU]],YMKODLARI!$A$1:$K$363,6,0)," ")</f>
        <v xml:space="preserve"> </v>
      </c>
      <c r="S374" s="100" t="str">
        <f>IFERROR(Tablo515[[#This Row],[YOLLUK HARİÇ BASKI GRAMI]]/Tablo515[[#This Row],[KALIP GÖZ ADEDİ]]," ")</f>
        <v xml:space="preserve"> </v>
      </c>
      <c r="T374" s="100" t="str">
        <f t="shared" si="41"/>
        <v xml:space="preserve"> </v>
      </c>
      <c r="U374" s="100"/>
      <c r="V374" s="100" t="str">
        <f t="shared" si="40"/>
        <v xml:space="preserve"> </v>
      </c>
      <c r="W374" s="101">
        <f t="shared" si="42"/>
        <v>24</v>
      </c>
      <c r="X374" s="102">
        <f t="shared" si="43"/>
        <v>0</v>
      </c>
      <c r="Y374" s="100" t="str">
        <f t="shared" si="44"/>
        <v xml:space="preserve"> </v>
      </c>
      <c r="Z374" s="100" t="str">
        <f t="shared" si="45"/>
        <v xml:space="preserve"> </v>
      </c>
    </row>
    <row r="375" spans="1:26">
      <c r="A375" s="100"/>
      <c r="B375" s="108" t="str">
        <f>IFERROR(VLOOKUP(Tablo515[[#This Row],[ÜRÜN KODU]],YMKODLARI!$A$1:$K$363,2,0)," ")</f>
        <v xml:space="preserve"> </v>
      </c>
      <c r="C375" s="99"/>
      <c r="D375" s="100"/>
      <c r="E375" s="101"/>
      <c r="F375" s="101"/>
      <c r="G375" s="100" t="str">
        <f>IFERROR(VLOOKUP(Tablo515[[#This Row],[ÜRÜN KODU]],YMKODLARI!$A$1:$K$363,3,0)," ")</f>
        <v xml:space="preserve"> </v>
      </c>
      <c r="H375" s="100" t="str">
        <f>IFERROR(VLOOKUP(Tablo515[[#This Row],[ÜRÜN KODU]],YMKODLARI!$A$1:$K$363,4,0)," ")</f>
        <v xml:space="preserve"> </v>
      </c>
      <c r="I375" s="100"/>
      <c r="J375" s="100" t="str">
        <f>IFERROR(VLOOKUP(Tablo515[[#This Row],[ÜRÜN KODU]],YMKODLARI!$A$1:$K$363,9,0)," ")</f>
        <v xml:space="preserve"> </v>
      </c>
      <c r="K375" s="100" t="str">
        <f>IFERROR(VLOOKUP(Tablo515[[#This Row],[BOYA KODU]],Tablo14[#All],4,0)," ")</f>
        <v xml:space="preserve"> </v>
      </c>
      <c r="L375" s="100" t="str">
        <f>IFERROR(VLOOKUP(Tablo515[[#This Row],[BOYA KODU]],Tablo14[#All],6,0)," ")</f>
        <v xml:space="preserve"> </v>
      </c>
      <c r="M375" s="100" t="str">
        <f t="shared" si="39"/>
        <v xml:space="preserve"> </v>
      </c>
      <c r="N375" s="100" t="str">
        <f>IFERROR(VLOOKUP(Tablo515[[#This Row],[ÜRÜN KODU]],YMKODLARI!$A$1:$K$363,8,0)," ")</f>
        <v xml:space="preserve"> </v>
      </c>
      <c r="O375" s="100" t="str">
        <f>IFERROR(VLOOKUP(Tablo515[[#This Row],[HAMMADDE KODU]],Tablo1[#All],3,0)," ")</f>
        <v xml:space="preserve"> </v>
      </c>
      <c r="P375" s="100" t="str">
        <f>IFERROR(VLOOKUP(Tablo515[[#This Row],[HAMMADDE KODU]],Tablo1[#All],4,0)," ")</f>
        <v xml:space="preserve"> </v>
      </c>
      <c r="Q375" s="100" t="str">
        <f>IFERROR(VLOOKUP(Tablo515[[#This Row],[ÜRÜN KODU]],YMKODLARI!$A$1:$K$363,5,0)," ")</f>
        <v xml:space="preserve"> </v>
      </c>
      <c r="R375" s="100" t="str">
        <f>IFERROR(VLOOKUP(Tablo515[[#This Row],[ÜRÜN KODU]],YMKODLARI!$A$1:$K$363,6,0)," ")</f>
        <v xml:space="preserve"> </v>
      </c>
      <c r="S375" s="100" t="str">
        <f>IFERROR(Tablo515[[#This Row],[YOLLUK HARİÇ BASKI GRAMI]]/Tablo515[[#This Row],[KALIP GÖZ ADEDİ]]," ")</f>
        <v xml:space="preserve"> </v>
      </c>
      <c r="T375" s="100" t="str">
        <f t="shared" si="41"/>
        <v xml:space="preserve"> </v>
      </c>
      <c r="U375" s="100"/>
      <c r="V375" s="100" t="str">
        <f t="shared" si="40"/>
        <v xml:space="preserve"> </v>
      </c>
      <c r="W375" s="101">
        <f t="shared" si="42"/>
        <v>24</v>
      </c>
      <c r="X375" s="102">
        <f t="shared" si="43"/>
        <v>0</v>
      </c>
      <c r="Y375" s="100" t="str">
        <f t="shared" si="44"/>
        <v xml:space="preserve"> </v>
      </c>
      <c r="Z375" s="100" t="str">
        <f t="shared" si="45"/>
        <v xml:space="preserve"> </v>
      </c>
    </row>
    <row r="376" spans="1:26">
      <c r="A376" s="100"/>
      <c r="B376" s="108" t="str">
        <f>IFERROR(VLOOKUP(Tablo515[[#This Row],[ÜRÜN KODU]],YMKODLARI!$A$1:$K$363,2,0)," ")</f>
        <v xml:space="preserve"> </v>
      </c>
      <c r="C376" s="99"/>
      <c r="D376" s="100"/>
      <c r="E376" s="101"/>
      <c r="F376" s="101"/>
      <c r="G376" s="100" t="str">
        <f>IFERROR(VLOOKUP(Tablo515[[#This Row],[ÜRÜN KODU]],YMKODLARI!$A$1:$K$363,3,0)," ")</f>
        <v xml:space="preserve"> </v>
      </c>
      <c r="H376" s="100" t="str">
        <f>IFERROR(VLOOKUP(Tablo515[[#This Row],[ÜRÜN KODU]],YMKODLARI!$A$1:$K$363,4,0)," ")</f>
        <v xml:space="preserve"> </v>
      </c>
      <c r="I376" s="100"/>
      <c r="J376" s="100" t="str">
        <f>IFERROR(VLOOKUP(Tablo515[[#This Row],[ÜRÜN KODU]],YMKODLARI!$A$1:$K$363,9,0)," ")</f>
        <v xml:space="preserve"> </v>
      </c>
      <c r="K376" s="100" t="str">
        <f>IFERROR(VLOOKUP(Tablo515[[#This Row],[BOYA KODU]],Tablo14[#All],4,0)," ")</f>
        <v xml:space="preserve"> </v>
      </c>
      <c r="L376" s="100" t="str">
        <f>IFERROR(VLOOKUP(Tablo515[[#This Row],[BOYA KODU]],Tablo14[#All],6,0)," ")</f>
        <v xml:space="preserve"> </v>
      </c>
      <c r="M376" s="100" t="str">
        <f t="shared" si="39"/>
        <v xml:space="preserve"> </v>
      </c>
      <c r="N376" s="100" t="str">
        <f>IFERROR(VLOOKUP(Tablo515[[#This Row],[ÜRÜN KODU]],YMKODLARI!$A$1:$K$363,8,0)," ")</f>
        <v xml:space="preserve"> </v>
      </c>
      <c r="O376" s="100" t="str">
        <f>IFERROR(VLOOKUP(Tablo515[[#This Row],[HAMMADDE KODU]],Tablo1[#All],3,0)," ")</f>
        <v xml:space="preserve"> </v>
      </c>
      <c r="P376" s="100" t="str">
        <f>IFERROR(VLOOKUP(Tablo515[[#This Row],[HAMMADDE KODU]],Tablo1[#All],4,0)," ")</f>
        <v xml:space="preserve"> </v>
      </c>
      <c r="Q376" s="100" t="str">
        <f>IFERROR(VLOOKUP(Tablo515[[#This Row],[ÜRÜN KODU]],YMKODLARI!$A$1:$K$363,5,0)," ")</f>
        <v xml:space="preserve"> </v>
      </c>
      <c r="R376" s="100" t="str">
        <f>IFERROR(VLOOKUP(Tablo515[[#This Row],[ÜRÜN KODU]],YMKODLARI!$A$1:$K$363,6,0)," ")</f>
        <v xml:space="preserve"> </v>
      </c>
      <c r="S376" s="100" t="str">
        <f>IFERROR(Tablo515[[#This Row],[YOLLUK HARİÇ BASKI GRAMI]]/Tablo515[[#This Row],[KALIP GÖZ ADEDİ]]," ")</f>
        <v xml:space="preserve"> </v>
      </c>
      <c r="T376" s="100" t="str">
        <f t="shared" si="41"/>
        <v xml:space="preserve"> </v>
      </c>
      <c r="U376" s="100"/>
      <c r="V376" s="100" t="str">
        <f t="shared" si="40"/>
        <v xml:space="preserve"> </v>
      </c>
      <c r="W376" s="101">
        <f t="shared" si="42"/>
        <v>24</v>
      </c>
      <c r="X376" s="102">
        <f t="shared" si="43"/>
        <v>0</v>
      </c>
      <c r="Y376" s="100" t="str">
        <f t="shared" si="44"/>
        <v xml:space="preserve"> </v>
      </c>
      <c r="Z376" s="100" t="str">
        <f t="shared" si="45"/>
        <v xml:space="preserve"> </v>
      </c>
    </row>
    <row r="377" spans="1:26">
      <c r="A377" s="100"/>
      <c r="B377" s="108" t="str">
        <f>IFERROR(VLOOKUP(Tablo515[[#This Row],[ÜRÜN KODU]],YMKODLARI!$A$1:$K$363,2,0)," ")</f>
        <v xml:space="preserve"> </v>
      </c>
      <c r="C377" s="99"/>
      <c r="D377" s="100"/>
      <c r="E377" s="101"/>
      <c r="F377" s="101"/>
      <c r="G377" s="100" t="str">
        <f>IFERROR(VLOOKUP(Tablo515[[#This Row],[ÜRÜN KODU]],YMKODLARI!$A$1:$K$363,3,0)," ")</f>
        <v xml:space="preserve"> </v>
      </c>
      <c r="H377" s="100" t="str">
        <f>IFERROR(VLOOKUP(Tablo515[[#This Row],[ÜRÜN KODU]],YMKODLARI!$A$1:$K$363,4,0)," ")</f>
        <v xml:space="preserve"> </v>
      </c>
      <c r="I377" s="100"/>
      <c r="J377" s="100" t="str">
        <f>IFERROR(VLOOKUP(Tablo515[[#This Row],[ÜRÜN KODU]],YMKODLARI!$A$1:$K$363,9,0)," ")</f>
        <v xml:space="preserve"> </v>
      </c>
      <c r="K377" s="100" t="str">
        <f>IFERROR(VLOOKUP(Tablo515[[#This Row],[BOYA KODU]],Tablo14[#All],4,0)," ")</f>
        <v xml:space="preserve"> </v>
      </c>
      <c r="L377" s="100" t="str">
        <f>IFERROR(VLOOKUP(Tablo515[[#This Row],[BOYA KODU]],Tablo14[#All],6,0)," ")</f>
        <v xml:space="preserve"> </v>
      </c>
      <c r="M377" s="100" t="str">
        <f t="shared" si="39"/>
        <v xml:space="preserve"> </v>
      </c>
      <c r="N377" s="100" t="str">
        <f>IFERROR(VLOOKUP(Tablo515[[#This Row],[ÜRÜN KODU]],YMKODLARI!$A$1:$K$363,8,0)," ")</f>
        <v xml:space="preserve"> </v>
      </c>
      <c r="O377" s="100" t="str">
        <f>IFERROR(VLOOKUP(Tablo515[[#This Row],[HAMMADDE KODU]],Tablo1[#All],3,0)," ")</f>
        <v xml:space="preserve"> </v>
      </c>
      <c r="P377" s="100" t="str">
        <f>IFERROR(VLOOKUP(Tablo515[[#This Row],[HAMMADDE KODU]],Tablo1[#All],4,0)," ")</f>
        <v xml:space="preserve"> </v>
      </c>
      <c r="Q377" s="100" t="str">
        <f>IFERROR(VLOOKUP(Tablo515[[#This Row],[ÜRÜN KODU]],YMKODLARI!$A$1:$K$363,5,0)," ")</f>
        <v xml:space="preserve"> </v>
      </c>
      <c r="R377" s="100" t="str">
        <f>IFERROR(VLOOKUP(Tablo515[[#This Row],[ÜRÜN KODU]],YMKODLARI!$A$1:$K$363,6,0)," ")</f>
        <v xml:space="preserve"> </v>
      </c>
      <c r="S377" s="100" t="str">
        <f>IFERROR(Tablo515[[#This Row],[YOLLUK HARİÇ BASKI GRAMI]]/Tablo515[[#This Row],[KALIP GÖZ ADEDİ]]," ")</f>
        <v xml:space="preserve"> </v>
      </c>
      <c r="T377" s="100" t="str">
        <f t="shared" si="41"/>
        <v xml:space="preserve"> </v>
      </c>
      <c r="U377" s="100"/>
      <c r="V377" s="100" t="str">
        <f t="shared" si="40"/>
        <v xml:space="preserve"> </v>
      </c>
      <c r="W377" s="101">
        <f t="shared" si="42"/>
        <v>24</v>
      </c>
      <c r="X377" s="102">
        <f t="shared" si="43"/>
        <v>0</v>
      </c>
      <c r="Y377" s="100" t="str">
        <f t="shared" si="44"/>
        <v xml:space="preserve"> </v>
      </c>
      <c r="Z377" s="100" t="str">
        <f t="shared" si="45"/>
        <v xml:space="preserve"> </v>
      </c>
    </row>
    <row r="378" spans="1:26">
      <c r="A378" s="100"/>
      <c r="B378" s="108" t="str">
        <f>IFERROR(VLOOKUP(Tablo515[[#This Row],[ÜRÜN KODU]],YMKODLARI!$A$1:$K$363,2,0)," ")</f>
        <v xml:space="preserve"> </v>
      </c>
      <c r="C378" s="99"/>
      <c r="D378" s="100"/>
      <c r="E378" s="101"/>
      <c r="F378" s="101"/>
      <c r="G378" s="100" t="str">
        <f>IFERROR(VLOOKUP(Tablo515[[#This Row],[ÜRÜN KODU]],YMKODLARI!$A$1:$K$363,3,0)," ")</f>
        <v xml:space="preserve"> </v>
      </c>
      <c r="H378" s="100" t="str">
        <f>IFERROR(VLOOKUP(Tablo515[[#This Row],[ÜRÜN KODU]],YMKODLARI!$A$1:$K$363,4,0)," ")</f>
        <v xml:space="preserve"> </v>
      </c>
      <c r="I378" s="100"/>
      <c r="J378" s="100" t="str">
        <f>IFERROR(VLOOKUP(Tablo515[[#This Row],[ÜRÜN KODU]],YMKODLARI!$A$1:$K$363,9,0)," ")</f>
        <v xml:space="preserve"> </v>
      </c>
      <c r="K378" s="100" t="str">
        <f>IFERROR(VLOOKUP(Tablo515[[#This Row],[BOYA KODU]],Tablo14[#All],4,0)," ")</f>
        <v xml:space="preserve"> </v>
      </c>
      <c r="L378" s="100" t="str">
        <f>IFERROR(VLOOKUP(Tablo515[[#This Row],[BOYA KODU]],Tablo14[#All],6,0)," ")</f>
        <v xml:space="preserve"> </v>
      </c>
      <c r="M378" s="100" t="str">
        <f t="shared" si="39"/>
        <v xml:space="preserve"> </v>
      </c>
      <c r="N378" s="100" t="str">
        <f>IFERROR(VLOOKUP(Tablo515[[#This Row],[ÜRÜN KODU]],YMKODLARI!$A$1:$K$363,8,0)," ")</f>
        <v xml:space="preserve"> </v>
      </c>
      <c r="O378" s="100" t="str">
        <f>IFERROR(VLOOKUP(Tablo515[[#This Row],[HAMMADDE KODU]],Tablo1[#All],3,0)," ")</f>
        <v xml:space="preserve"> </v>
      </c>
      <c r="P378" s="100" t="str">
        <f>IFERROR(VLOOKUP(Tablo515[[#This Row],[HAMMADDE KODU]],Tablo1[#All],4,0)," ")</f>
        <v xml:space="preserve"> </v>
      </c>
      <c r="Q378" s="100" t="str">
        <f>IFERROR(VLOOKUP(Tablo515[[#This Row],[ÜRÜN KODU]],YMKODLARI!$A$1:$K$363,5,0)," ")</f>
        <v xml:space="preserve"> </v>
      </c>
      <c r="R378" s="100" t="str">
        <f>IFERROR(VLOOKUP(Tablo515[[#This Row],[ÜRÜN KODU]],YMKODLARI!$A$1:$K$363,6,0)," ")</f>
        <v xml:space="preserve"> </v>
      </c>
      <c r="S378" s="100" t="str">
        <f>IFERROR(Tablo515[[#This Row],[YOLLUK HARİÇ BASKI GRAMI]]/Tablo515[[#This Row],[KALIP GÖZ ADEDİ]]," ")</f>
        <v xml:space="preserve"> </v>
      </c>
      <c r="T378" s="100" t="str">
        <f t="shared" si="41"/>
        <v xml:space="preserve"> </v>
      </c>
      <c r="U378" s="100"/>
      <c r="V378" s="100" t="str">
        <f t="shared" si="40"/>
        <v xml:space="preserve"> </v>
      </c>
      <c r="W378" s="101">
        <f t="shared" si="42"/>
        <v>24</v>
      </c>
      <c r="X378" s="102">
        <f t="shared" si="43"/>
        <v>0</v>
      </c>
      <c r="Y378" s="100" t="str">
        <f t="shared" si="44"/>
        <v xml:space="preserve"> </v>
      </c>
      <c r="Z378" s="100" t="str">
        <f t="shared" si="45"/>
        <v xml:space="preserve"> </v>
      </c>
    </row>
    <row r="379" spans="1:26">
      <c r="A379" s="100"/>
      <c r="B379" s="108" t="str">
        <f>IFERROR(VLOOKUP(Tablo515[[#This Row],[ÜRÜN KODU]],YMKODLARI!$A$1:$K$363,2,0)," ")</f>
        <v xml:space="preserve"> </v>
      </c>
      <c r="C379" s="99"/>
      <c r="D379" s="100"/>
      <c r="E379" s="101"/>
      <c r="F379" s="101"/>
      <c r="G379" s="100" t="str">
        <f>IFERROR(VLOOKUP(Tablo515[[#This Row],[ÜRÜN KODU]],YMKODLARI!$A$1:$K$363,3,0)," ")</f>
        <v xml:space="preserve"> </v>
      </c>
      <c r="H379" s="100" t="str">
        <f>IFERROR(VLOOKUP(Tablo515[[#This Row],[ÜRÜN KODU]],YMKODLARI!$A$1:$K$363,4,0)," ")</f>
        <v xml:space="preserve"> </v>
      </c>
      <c r="I379" s="100"/>
      <c r="J379" s="100" t="str">
        <f>IFERROR(VLOOKUP(Tablo515[[#This Row],[ÜRÜN KODU]],YMKODLARI!$A$1:$K$363,9,0)," ")</f>
        <v xml:space="preserve"> </v>
      </c>
      <c r="K379" s="100" t="str">
        <f>IFERROR(VLOOKUP(Tablo515[[#This Row],[BOYA KODU]],Tablo14[#All],4,0)," ")</f>
        <v xml:space="preserve"> </v>
      </c>
      <c r="L379" s="100" t="str">
        <f>IFERROR(VLOOKUP(Tablo515[[#This Row],[BOYA KODU]],Tablo14[#All],6,0)," ")</f>
        <v xml:space="preserve"> </v>
      </c>
      <c r="M379" s="100" t="str">
        <f t="shared" si="39"/>
        <v xml:space="preserve"> </v>
      </c>
      <c r="N379" s="100" t="str">
        <f>IFERROR(VLOOKUP(Tablo515[[#This Row],[ÜRÜN KODU]],YMKODLARI!$A$1:$K$363,8,0)," ")</f>
        <v xml:space="preserve"> </v>
      </c>
      <c r="O379" s="100" t="str">
        <f>IFERROR(VLOOKUP(Tablo515[[#This Row],[HAMMADDE KODU]],Tablo1[#All],3,0)," ")</f>
        <v xml:space="preserve"> </v>
      </c>
      <c r="P379" s="100" t="str">
        <f>IFERROR(VLOOKUP(Tablo515[[#This Row],[HAMMADDE KODU]],Tablo1[#All],4,0)," ")</f>
        <v xml:space="preserve"> </v>
      </c>
      <c r="Q379" s="100" t="str">
        <f>IFERROR(VLOOKUP(Tablo515[[#This Row],[ÜRÜN KODU]],YMKODLARI!$A$1:$K$363,5,0)," ")</f>
        <v xml:space="preserve"> </v>
      </c>
      <c r="R379" s="100" t="str">
        <f>IFERROR(VLOOKUP(Tablo515[[#This Row],[ÜRÜN KODU]],YMKODLARI!$A$1:$K$363,6,0)," ")</f>
        <v xml:space="preserve"> </v>
      </c>
      <c r="S379" s="100" t="str">
        <f>IFERROR(Tablo515[[#This Row],[YOLLUK HARİÇ BASKI GRAMI]]/Tablo515[[#This Row],[KALIP GÖZ ADEDİ]]," ")</f>
        <v xml:space="preserve"> </v>
      </c>
      <c r="T379" s="100" t="str">
        <f t="shared" si="41"/>
        <v xml:space="preserve"> </v>
      </c>
      <c r="U379" s="100"/>
      <c r="V379" s="100" t="str">
        <f t="shared" si="40"/>
        <v xml:space="preserve"> </v>
      </c>
      <c r="W379" s="101">
        <f t="shared" si="42"/>
        <v>24</v>
      </c>
      <c r="X379" s="102">
        <f t="shared" si="43"/>
        <v>0</v>
      </c>
      <c r="Y379" s="100" t="str">
        <f t="shared" si="44"/>
        <v xml:space="preserve"> </v>
      </c>
      <c r="Z379" s="100" t="str">
        <f t="shared" si="45"/>
        <v xml:space="preserve"> </v>
      </c>
    </row>
    <row r="380" spans="1:26">
      <c r="A380" s="100"/>
      <c r="B380" s="108" t="str">
        <f>IFERROR(VLOOKUP(Tablo515[[#This Row],[ÜRÜN KODU]],YMKODLARI!$A$1:$K$363,2,0)," ")</f>
        <v xml:space="preserve"> </v>
      </c>
      <c r="C380" s="99"/>
      <c r="D380" s="100"/>
      <c r="E380" s="101"/>
      <c r="F380" s="101"/>
      <c r="G380" s="100" t="str">
        <f>IFERROR(VLOOKUP(Tablo515[[#This Row],[ÜRÜN KODU]],YMKODLARI!$A$1:$K$363,3,0)," ")</f>
        <v xml:space="preserve"> </v>
      </c>
      <c r="H380" s="100" t="str">
        <f>IFERROR(VLOOKUP(Tablo515[[#This Row],[ÜRÜN KODU]],YMKODLARI!$A$1:$K$363,4,0)," ")</f>
        <v xml:space="preserve"> </v>
      </c>
      <c r="I380" s="100"/>
      <c r="J380" s="100" t="str">
        <f>IFERROR(VLOOKUP(Tablo515[[#This Row],[ÜRÜN KODU]],YMKODLARI!$A$1:$K$363,9,0)," ")</f>
        <v xml:space="preserve"> </v>
      </c>
      <c r="K380" s="100" t="str">
        <f>IFERROR(VLOOKUP(Tablo515[[#This Row],[BOYA KODU]],Tablo14[#All],4,0)," ")</f>
        <v xml:space="preserve"> </v>
      </c>
      <c r="L380" s="100" t="str">
        <f>IFERROR(VLOOKUP(Tablo515[[#This Row],[BOYA KODU]],Tablo14[#All],6,0)," ")</f>
        <v xml:space="preserve"> </v>
      </c>
      <c r="M380" s="100" t="str">
        <f t="shared" si="39"/>
        <v xml:space="preserve"> </v>
      </c>
      <c r="N380" s="100" t="str">
        <f>IFERROR(VLOOKUP(Tablo515[[#This Row],[ÜRÜN KODU]],YMKODLARI!$A$1:$K$363,8,0)," ")</f>
        <v xml:space="preserve"> </v>
      </c>
      <c r="O380" s="100" t="str">
        <f>IFERROR(VLOOKUP(Tablo515[[#This Row],[HAMMADDE KODU]],Tablo1[#All],3,0)," ")</f>
        <v xml:space="preserve"> </v>
      </c>
      <c r="P380" s="100" t="str">
        <f>IFERROR(VLOOKUP(Tablo515[[#This Row],[HAMMADDE KODU]],Tablo1[#All],4,0)," ")</f>
        <v xml:space="preserve"> </v>
      </c>
      <c r="Q380" s="100" t="str">
        <f>IFERROR(VLOOKUP(Tablo515[[#This Row],[ÜRÜN KODU]],YMKODLARI!$A$1:$K$363,5,0)," ")</f>
        <v xml:space="preserve"> </v>
      </c>
      <c r="R380" s="100" t="str">
        <f>IFERROR(VLOOKUP(Tablo515[[#This Row],[ÜRÜN KODU]],YMKODLARI!$A$1:$K$363,6,0)," ")</f>
        <v xml:space="preserve"> </v>
      </c>
      <c r="S380" s="100" t="str">
        <f>IFERROR(Tablo515[[#This Row],[YOLLUK HARİÇ BASKI GRAMI]]/Tablo515[[#This Row],[KALIP GÖZ ADEDİ]]," ")</f>
        <v xml:space="preserve"> </v>
      </c>
      <c r="T380" s="100" t="str">
        <f t="shared" si="41"/>
        <v xml:space="preserve"> </v>
      </c>
      <c r="U380" s="100"/>
      <c r="V380" s="100" t="str">
        <f t="shared" si="40"/>
        <v xml:space="preserve"> </v>
      </c>
      <c r="W380" s="101">
        <f t="shared" si="42"/>
        <v>24</v>
      </c>
      <c r="X380" s="102">
        <f t="shared" si="43"/>
        <v>0</v>
      </c>
      <c r="Y380" s="100" t="str">
        <f t="shared" si="44"/>
        <v xml:space="preserve"> </v>
      </c>
      <c r="Z380" s="100" t="str">
        <f t="shared" si="45"/>
        <v xml:space="preserve"> </v>
      </c>
    </row>
    <row r="381" spans="1:26">
      <c r="A381" s="100"/>
      <c r="B381" s="108" t="str">
        <f>IFERROR(VLOOKUP(Tablo515[[#This Row],[ÜRÜN KODU]],YMKODLARI!$A$1:$K$363,2,0)," ")</f>
        <v xml:space="preserve"> </v>
      </c>
      <c r="C381" s="99"/>
      <c r="D381" s="100"/>
      <c r="E381" s="101"/>
      <c r="F381" s="101"/>
      <c r="G381" s="100" t="str">
        <f>IFERROR(VLOOKUP(Tablo515[[#This Row],[ÜRÜN KODU]],YMKODLARI!$A$1:$K$363,3,0)," ")</f>
        <v xml:space="preserve"> </v>
      </c>
      <c r="H381" s="100" t="str">
        <f>IFERROR(VLOOKUP(Tablo515[[#This Row],[ÜRÜN KODU]],YMKODLARI!$A$1:$K$363,4,0)," ")</f>
        <v xml:space="preserve"> </v>
      </c>
      <c r="I381" s="100"/>
      <c r="J381" s="100" t="str">
        <f>IFERROR(VLOOKUP(Tablo515[[#This Row],[ÜRÜN KODU]],YMKODLARI!$A$1:$K$363,9,0)," ")</f>
        <v xml:space="preserve"> </v>
      </c>
      <c r="K381" s="100" t="str">
        <f>IFERROR(VLOOKUP(Tablo515[[#This Row],[BOYA KODU]],Tablo14[#All],4,0)," ")</f>
        <v xml:space="preserve"> </v>
      </c>
      <c r="L381" s="100" t="str">
        <f>IFERROR(VLOOKUP(Tablo515[[#This Row],[BOYA KODU]],Tablo14[#All],6,0)," ")</f>
        <v xml:space="preserve"> </v>
      </c>
      <c r="M381" s="100" t="str">
        <f t="shared" si="39"/>
        <v xml:space="preserve"> </v>
      </c>
      <c r="N381" s="100" t="str">
        <f>IFERROR(VLOOKUP(Tablo515[[#This Row],[ÜRÜN KODU]],YMKODLARI!$A$1:$K$363,8,0)," ")</f>
        <v xml:space="preserve"> </v>
      </c>
      <c r="O381" s="100" t="str">
        <f>IFERROR(VLOOKUP(Tablo515[[#This Row],[HAMMADDE KODU]],Tablo1[#All],3,0)," ")</f>
        <v xml:space="preserve"> </v>
      </c>
      <c r="P381" s="100" t="str">
        <f>IFERROR(VLOOKUP(Tablo515[[#This Row],[HAMMADDE KODU]],Tablo1[#All],4,0)," ")</f>
        <v xml:space="preserve"> </v>
      </c>
      <c r="Q381" s="100" t="str">
        <f>IFERROR(VLOOKUP(Tablo515[[#This Row],[ÜRÜN KODU]],YMKODLARI!$A$1:$K$363,5,0)," ")</f>
        <v xml:space="preserve"> </v>
      </c>
      <c r="R381" s="100" t="str">
        <f>IFERROR(VLOOKUP(Tablo515[[#This Row],[ÜRÜN KODU]],YMKODLARI!$A$1:$K$363,6,0)," ")</f>
        <v xml:space="preserve"> </v>
      </c>
      <c r="S381" s="100" t="str">
        <f>IFERROR(Tablo515[[#This Row],[YOLLUK HARİÇ BASKI GRAMI]]/Tablo515[[#This Row],[KALIP GÖZ ADEDİ]]," ")</f>
        <v xml:space="preserve"> </v>
      </c>
      <c r="T381" s="100" t="str">
        <f t="shared" si="41"/>
        <v xml:space="preserve"> </v>
      </c>
      <c r="U381" s="100"/>
      <c r="V381" s="100" t="str">
        <f t="shared" si="40"/>
        <v xml:space="preserve"> </v>
      </c>
      <c r="W381" s="101">
        <f t="shared" si="42"/>
        <v>24</v>
      </c>
      <c r="X381" s="102">
        <f t="shared" si="43"/>
        <v>0</v>
      </c>
      <c r="Y381" s="100" t="str">
        <f t="shared" si="44"/>
        <v xml:space="preserve"> </v>
      </c>
      <c r="Z381" s="100" t="str">
        <f t="shared" si="45"/>
        <v xml:space="preserve"> </v>
      </c>
    </row>
    <row r="382" spans="1:26">
      <c r="A382" s="100"/>
      <c r="B382" s="108" t="str">
        <f>IFERROR(VLOOKUP(Tablo515[[#This Row],[ÜRÜN KODU]],YMKODLARI!$A$1:$K$363,2,0)," ")</f>
        <v xml:space="preserve"> </v>
      </c>
      <c r="C382" s="99"/>
      <c r="D382" s="100"/>
      <c r="E382" s="101"/>
      <c r="F382" s="101"/>
      <c r="G382" s="100" t="str">
        <f>IFERROR(VLOOKUP(Tablo515[[#This Row],[ÜRÜN KODU]],YMKODLARI!$A$1:$K$363,3,0)," ")</f>
        <v xml:space="preserve"> </v>
      </c>
      <c r="H382" s="100" t="str">
        <f>IFERROR(VLOOKUP(Tablo515[[#This Row],[ÜRÜN KODU]],YMKODLARI!$A$1:$K$363,4,0)," ")</f>
        <v xml:space="preserve"> </v>
      </c>
      <c r="I382" s="100"/>
      <c r="J382" s="100" t="str">
        <f>IFERROR(VLOOKUP(Tablo515[[#This Row],[ÜRÜN KODU]],YMKODLARI!$A$1:$K$363,9,0)," ")</f>
        <v xml:space="preserve"> </v>
      </c>
      <c r="K382" s="100" t="str">
        <f>IFERROR(VLOOKUP(Tablo515[[#This Row],[BOYA KODU]],Tablo14[#All],4,0)," ")</f>
        <v xml:space="preserve"> </v>
      </c>
      <c r="L382" s="100" t="str">
        <f>IFERROR(VLOOKUP(Tablo515[[#This Row],[BOYA KODU]],Tablo14[#All],6,0)," ")</f>
        <v xml:space="preserve"> </v>
      </c>
      <c r="M382" s="100" t="str">
        <f t="shared" si="39"/>
        <v xml:space="preserve"> </v>
      </c>
      <c r="N382" s="100" t="str">
        <f>IFERROR(VLOOKUP(Tablo515[[#This Row],[ÜRÜN KODU]],YMKODLARI!$A$1:$K$363,8,0)," ")</f>
        <v xml:space="preserve"> </v>
      </c>
      <c r="O382" s="100" t="str">
        <f>IFERROR(VLOOKUP(Tablo515[[#This Row],[HAMMADDE KODU]],Tablo1[#All],3,0)," ")</f>
        <v xml:space="preserve"> </v>
      </c>
      <c r="P382" s="100" t="str">
        <f>IFERROR(VLOOKUP(Tablo515[[#This Row],[HAMMADDE KODU]],Tablo1[#All],4,0)," ")</f>
        <v xml:space="preserve"> </v>
      </c>
      <c r="Q382" s="100" t="str">
        <f>IFERROR(VLOOKUP(Tablo515[[#This Row],[ÜRÜN KODU]],YMKODLARI!$A$1:$K$363,5,0)," ")</f>
        <v xml:space="preserve"> </v>
      </c>
      <c r="R382" s="100" t="str">
        <f>IFERROR(VLOOKUP(Tablo515[[#This Row],[ÜRÜN KODU]],YMKODLARI!$A$1:$K$363,6,0)," ")</f>
        <v xml:space="preserve"> </v>
      </c>
      <c r="S382" s="100" t="str">
        <f>IFERROR(Tablo515[[#This Row],[YOLLUK HARİÇ BASKI GRAMI]]/Tablo515[[#This Row],[KALIP GÖZ ADEDİ]]," ")</f>
        <v xml:space="preserve"> </v>
      </c>
      <c r="T382" s="100" t="str">
        <f t="shared" si="41"/>
        <v xml:space="preserve"> </v>
      </c>
      <c r="U382" s="100"/>
      <c r="V382" s="100" t="str">
        <f t="shared" si="40"/>
        <v xml:space="preserve"> </v>
      </c>
      <c r="W382" s="101">
        <f t="shared" si="42"/>
        <v>24</v>
      </c>
      <c r="X382" s="102">
        <f t="shared" si="43"/>
        <v>0</v>
      </c>
      <c r="Y382" s="100" t="str">
        <f t="shared" si="44"/>
        <v xml:space="preserve"> </v>
      </c>
      <c r="Z382" s="100" t="str">
        <f t="shared" si="45"/>
        <v xml:space="preserve"> </v>
      </c>
    </row>
    <row r="383" spans="1:26">
      <c r="A383" s="100"/>
      <c r="B383" s="108" t="str">
        <f>IFERROR(VLOOKUP(Tablo515[[#This Row],[ÜRÜN KODU]],YMKODLARI!$A$1:$K$363,2,0)," ")</f>
        <v xml:space="preserve"> </v>
      </c>
      <c r="C383" s="99"/>
      <c r="D383" s="100"/>
      <c r="E383" s="101"/>
      <c r="F383" s="101"/>
      <c r="G383" s="100" t="str">
        <f>IFERROR(VLOOKUP(Tablo515[[#This Row],[ÜRÜN KODU]],YMKODLARI!$A$1:$K$363,3,0)," ")</f>
        <v xml:space="preserve"> </v>
      </c>
      <c r="H383" s="100" t="str">
        <f>IFERROR(VLOOKUP(Tablo515[[#This Row],[ÜRÜN KODU]],YMKODLARI!$A$1:$K$363,4,0)," ")</f>
        <v xml:space="preserve"> </v>
      </c>
      <c r="I383" s="100"/>
      <c r="J383" s="100" t="str">
        <f>IFERROR(VLOOKUP(Tablo515[[#This Row],[ÜRÜN KODU]],YMKODLARI!$A$1:$K$363,9,0)," ")</f>
        <v xml:space="preserve"> </v>
      </c>
      <c r="K383" s="100" t="str">
        <f>IFERROR(VLOOKUP(Tablo515[[#This Row],[BOYA KODU]],Tablo14[#All],4,0)," ")</f>
        <v xml:space="preserve"> </v>
      </c>
      <c r="L383" s="100" t="str">
        <f>IFERROR(VLOOKUP(Tablo515[[#This Row],[BOYA KODU]],Tablo14[#All],6,0)," ")</f>
        <v xml:space="preserve"> </v>
      </c>
      <c r="M383" s="100" t="str">
        <f t="shared" si="39"/>
        <v xml:space="preserve"> </v>
      </c>
      <c r="N383" s="100" t="str">
        <f>IFERROR(VLOOKUP(Tablo515[[#This Row],[ÜRÜN KODU]],YMKODLARI!$A$1:$K$363,8,0)," ")</f>
        <v xml:space="preserve"> </v>
      </c>
      <c r="O383" s="100" t="str">
        <f>IFERROR(VLOOKUP(Tablo515[[#This Row],[HAMMADDE KODU]],Tablo1[#All],3,0)," ")</f>
        <v xml:space="preserve"> </v>
      </c>
      <c r="P383" s="100" t="str">
        <f>IFERROR(VLOOKUP(Tablo515[[#This Row],[HAMMADDE KODU]],Tablo1[#All],4,0)," ")</f>
        <v xml:space="preserve"> </v>
      </c>
      <c r="Q383" s="100" t="str">
        <f>IFERROR(VLOOKUP(Tablo515[[#This Row],[ÜRÜN KODU]],YMKODLARI!$A$1:$K$363,5,0)," ")</f>
        <v xml:space="preserve"> </v>
      </c>
      <c r="R383" s="100" t="str">
        <f>IFERROR(VLOOKUP(Tablo515[[#This Row],[ÜRÜN KODU]],YMKODLARI!$A$1:$K$363,6,0)," ")</f>
        <v xml:space="preserve"> </v>
      </c>
      <c r="S383" s="100" t="str">
        <f>IFERROR(Tablo515[[#This Row],[YOLLUK HARİÇ BASKI GRAMI]]/Tablo515[[#This Row],[KALIP GÖZ ADEDİ]]," ")</f>
        <v xml:space="preserve"> </v>
      </c>
      <c r="T383" s="100" t="str">
        <f t="shared" si="41"/>
        <v xml:space="preserve"> </v>
      </c>
      <c r="U383" s="100"/>
      <c r="V383" s="100" t="str">
        <f t="shared" si="40"/>
        <v xml:space="preserve"> </v>
      </c>
      <c r="W383" s="101">
        <f t="shared" si="42"/>
        <v>24</v>
      </c>
      <c r="X383" s="102">
        <f t="shared" si="43"/>
        <v>0</v>
      </c>
      <c r="Y383" s="100" t="str">
        <f t="shared" si="44"/>
        <v xml:space="preserve"> </v>
      </c>
      <c r="Z383" s="100" t="str">
        <f t="shared" si="45"/>
        <v xml:space="preserve"> </v>
      </c>
    </row>
    <row r="384" spans="1:26">
      <c r="A384" s="100"/>
      <c r="B384" s="108" t="str">
        <f>IFERROR(VLOOKUP(Tablo515[[#This Row],[ÜRÜN KODU]],YMKODLARI!$A$1:$K$363,2,0)," ")</f>
        <v xml:space="preserve"> </v>
      </c>
      <c r="C384" s="99"/>
      <c r="D384" s="100"/>
      <c r="E384" s="101"/>
      <c r="F384" s="101"/>
      <c r="G384" s="100" t="str">
        <f>IFERROR(VLOOKUP(Tablo515[[#This Row],[ÜRÜN KODU]],YMKODLARI!$A$1:$K$363,3,0)," ")</f>
        <v xml:space="preserve"> </v>
      </c>
      <c r="H384" s="100" t="str">
        <f>IFERROR(VLOOKUP(Tablo515[[#This Row],[ÜRÜN KODU]],YMKODLARI!$A$1:$K$363,4,0)," ")</f>
        <v xml:space="preserve"> </v>
      </c>
      <c r="I384" s="100"/>
      <c r="J384" s="100" t="str">
        <f>IFERROR(VLOOKUP(Tablo515[[#This Row],[ÜRÜN KODU]],YMKODLARI!$A$1:$K$363,9,0)," ")</f>
        <v xml:space="preserve"> </v>
      </c>
      <c r="K384" s="100" t="str">
        <f>IFERROR(VLOOKUP(Tablo515[[#This Row],[BOYA KODU]],Tablo14[#All],4,0)," ")</f>
        <v xml:space="preserve"> </v>
      </c>
      <c r="L384" s="100" t="str">
        <f>IFERROR(VLOOKUP(Tablo515[[#This Row],[BOYA KODU]],Tablo14[#All],6,0)," ")</f>
        <v xml:space="preserve"> </v>
      </c>
      <c r="M384" s="100" t="str">
        <f t="shared" si="39"/>
        <v xml:space="preserve"> </v>
      </c>
      <c r="N384" s="100" t="str">
        <f>IFERROR(VLOOKUP(Tablo515[[#This Row],[ÜRÜN KODU]],YMKODLARI!$A$1:$K$363,8,0)," ")</f>
        <v xml:space="preserve"> </v>
      </c>
      <c r="O384" s="100" t="str">
        <f>IFERROR(VLOOKUP(Tablo515[[#This Row],[HAMMADDE KODU]],Tablo1[#All],3,0)," ")</f>
        <v xml:space="preserve"> </v>
      </c>
      <c r="P384" s="100" t="str">
        <f>IFERROR(VLOOKUP(Tablo515[[#This Row],[HAMMADDE KODU]],Tablo1[#All],4,0)," ")</f>
        <v xml:space="preserve"> </v>
      </c>
      <c r="Q384" s="100" t="str">
        <f>IFERROR(VLOOKUP(Tablo515[[#This Row],[ÜRÜN KODU]],YMKODLARI!$A$1:$K$363,5,0)," ")</f>
        <v xml:space="preserve"> </v>
      </c>
      <c r="R384" s="100" t="str">
        <f>IFERROR(VLOOKUP(Tablo515[[#This Row],[ÜRÜN KODU]],YMKODLARI!$A$1:$K$363,6,0)," ")</f>
        <v xml:space="preserve"> </v>
      </c>
      <c r="S384" s="100" t="str">
        <f>IFERROR(Tablo515[[#This Row],[YOLLUK HARİÇ BASKI GRAMI]]/Tablo515[[#This Row],[KALIP GÖZ ADEDİ]]," ")</f>
        <v xml:space="preserve"> </v>
      </c>
      <c r="T384" s="100" t="str">
        <f t="shared" si="41"/>
        <v xml:space="preserve"> </v>
      </c>
      <c r="U384" s="100"/>
      <c r="V384" s="100" t="str">
        <f t="shared" si="40"/>
        <v xml:space="preserve"> </v>
      </c>
      <c r="W384" s="101">
        <f t="shared" si="42"/>
        <v>24</v>
      </c>
      <c r="X384" s="102">
        <f t="shared" si="43"/>
        <v>0</v>
      </c>
      <c r="Y384" s="100" t="str">
        <f t="shared" si="44"/>
        <v xml:space="preserve"> </v>
      </c>
      <c r="Z384" s="100" t="str">
        <f t="shared" si="45"/>
        <v xml:space="preserve"> </v>
      </c>
    </row>
    <row r="385" spans="1:26">
      <c r="A385" s="100"/>
      <c r="B385" s="108" t="str">
        <f>IFERROR(VLOOKUP(Tablo515[[#This Row],[ÜRÜN KODU]],YMKODLARI!$A$1:$K$363,2,0)," ")</f>
        <v xml:space="preserve"> </v>
      </c>
      <c r="C385" s="99"/>
      <c r="D385" s="100"/>
      <c r="E385" s="101"/>
      <c r="F385" s="101"/>
      <c r="G385" s="100" t="str">
        <f>IFERROR(VLOOKUP(Tablo515[[#This Row],[ÜRÜN KODU]],YMKODLARI!$A$1:$K$363,3,0)," ")</f>
        <v xml:space="preserve"> </v>
      </c>
      <c r="H385" s="100" t="str">
        <f>IFERROR(VLOOKUP(Tablo515[[#This Row],[ÜRÜN KODU]],YMKODLARI!$A$1:$K$363,4,0)," ")</f>
        <v xml:space="preserve"> </v>
      </c>
      <c r="I385" s="100"/>
      <c r="J385" s="100" t="str">
        <f>IFERROR(VLOOKUP(Tablo515[[#This Row],[ÜRÜN KODU]],YMKODLARI!$A$1:$K$363,9,0)," ")</f>
        <v xml:space="preserve"> </v>
      </c>
      <c r="K385" s="100" t="str">
        <f>IFERROR(VLOOKUP(Tablo515[[#This Row],[BOYA KODU]],Tablo14[#All],4,0)," ")</f>
        <v xml:space="preserve"> </v>
      </c>
      <c r="L385" s="100" t="str">
        <f>IFERROR(VLOOKUP(Tablo515[[#This Row],[BOYA KODU]],Tablo14[#All],6,0)," ")</f>
        <v xml:space="preserve"> </v>
      </c>
      <c r="M385" s="100" t="str">
        <f t="shared" si="39"/>
        <v xml:space="preserve"> </v>
      </c>
      <c r="N385" s="100" t="str">
        <f>IFERROR(VLOOKUP(Tablo515[[#This Row],[ÜRÜN KODU]],YMKODLARI!$A$1:$K$363,8,0)," ")</f>
        <v xml:space="preserve"> </v>
      </c>
      <c r="O385" s="100" t="str">
        <f>IFERROR(VLOOKUP(Tablo515[[#This Row],[HAMMADDE KODU]],Tablo1[#All],3,0)," ")</f>
        <v xml:space="preserve"> </v>
      </c>
      <c r="P385" s="100" t="str">
        <f>IFERROR(VLOOKUP(Tablo515[[#This Row],[HAMMADDE KODU]],Tablo1[#All],4,0)," ")</f>
        <v xml:space="preserve"> </v>
      </c>
      <c r="Q385" s="100" t="str">
        <f>IFERROR(VLOOKUP(Tablo515[[#This Row],[ÜRÜN KODU]],YMKODLARI!$A$1:$K$363,5,0)," ")</f>
        <v xml:space="preserve"> </v>
      </c>
      <c r="R385" s="100" t="str">
        <f>IFERROR(VLOOKUP(Tablo515[[#This Row],[ÜRÜN KODU]],YMKODLARI!$A$1:$K$363,6,0)," ")</f>
        <v xml:space="preserve"> </v>
      </c>
      <c r="S385" s="100" t="str">
        <f>IFERROR(Tablo515[[#This Row],[YOLLUK HARİÇ BASKI GRAMI]]/Tablo515[[#This Row],[KALIP GÖZ ADEDİ]]," ")</f>
        <v xml:space="preserve"> </v>
      </c>
      <c r="T385" s="100" t="str">
        <f t="shared" si="41"/>
        <v xml:space="preserve"> </v>
      </c>
      <c r="U385" s="100"/>
      <c r="V385" s="100" t="str">
        <f t="shared" si="40"/>
        <v xml:space="preserve"> </v>
      </c>
      <c r="W385" s="101">
        <f t="shared" si="42"/>
        <v>24</v>
      </c>
      <c r="X385" s="102">
        <f t="shared" si="43"/>
        <v>0</v>
      </c>
      <c r="Y385" s="100" t="str">
        <f t="shared" si="44"/>
        <v xml:space="preserve"> </v>
      </c>
      <c r="Z385" s="100" t="str">
        <f t="shared" si="45"/>
        <v xml:space="preserve"> </v>
      </c>
    </row>
    <row r="386" spans="1:26">
      <c r="A386" s="100"/>
      <c r="B386" s="108" t="str">
        <f>IFERROR(VLOOKUP(Tablo515[[#This Row],[ÜRÜN KODU]],YMKODLARI!$A$1:$K$363,2,0)," ")</f>
        <v xml:space="preserve"> </v>
      </c>
      <c r="C386" s="99"/>
      <c r="D386" s="100"/>
      <c r="E386" s="101"/>
      <c r="F386" s="101"/>
      <c r="G386" s="100" t="str">
        <f>IFERROR(VLOOKUP(Tablo515[[#This Row],[ÜRÜN KODU]],YMKODLARI!$A$1:$K$363,3,0)," ")</f>
        <v xml:space="preserve"> </v>
      </c>
      <c r="H386" s="100" t="str">
        <f>IFERROR(VLOOKUP(Tablo515[[#This Row],[ÜRÜN KODU]],YMKODLARI!$A$1:$K$363,4,0)," ")</f>
        <v xml:space="preserve"> </v>
      </c>
      <c r="I386" s="100"/>
      <c r="J386" s="100" t="str">
        <f>IFERROR(VLOOKUP(Tablo515[[#This Row],[ÜRÜN KODU]],YMKODLARI!$A$1:$K$363,9,0)," ")</f>
        <v xml:space="preserve"> </v>
      </c>
      <c r="K386" s="100" t="str">
        <f>IFERROR(VLOOKUP(Tablo515[[#This Row],[BOYA KODU]],Tablo14[#All],4,0)," ")</f>
        <v xml:space="preserve"> </v>
      </c>
      <c r="L386" s="100" t="str">
        <f>IFERROR(VLOOKUP(Tablo515[[#This Row],[BOYA KODU]],Tablo14[#All],6,0)," ")</f>
        <v xml:space="preserve"> </v>
      </c>
      <c r="M386" s="100" t="str">
        <f t="shared" si="39"/>
        <v xml:space="preserve"> </v>
      </c>
      <c r="N386" s="100" t="str">
        <f>IFERROR(VLOOKUP(Tablo515[[#This Row],[ÜRÜN KODU]],YMKODLARI!$A$1:$K$363,8,0)," ")</f>
        <v xml:space="preserve"> </v>
      </c>
      <c r="O386" s="100" t="str">
        <f>IFERROR(VLOOKUP(Tablo515[[#This Row],[HAMMADDE KODU]],Tablo1[#All],3,0)," ")</f>
        <v xml:space="preserve"> </v>
      </c>
      <c r="P386" s="100" t="str">
        <f>IFERROR(VLOOKUP(Tablo515[[#This Row],[HAMMADDE KODU]],Tablo1[#All],4,0)," ")</f>
        <v xml:space="preserve"> </v>
      </c>
      <c r="Q386" s="100" t="str">
        <f>IFERROR(VLOOKUP(Tablo515[[#This Row],[ÜRÜN KODU]],YMKODLARI!$A$1:$K$363,5,0)," ")</f>
        <v xml:space="preserve"> </v>
      </c>
      <c r="R386" s="100" t="str">
        <f>IFERROR(VLOOKUP(Tablo515[[#This Row],[ÜRÜN KODU]],YMKODLARI!$A$1:$K$363,6,0)," ")</f>
        <v xml:space="preserve"> </v>
      </c>
      <c r="S386" s="100" t="str">
        <f>IFERROR(Tablo515[[#This Row],[YOLLUK HARİÇ BASKI GRAMI]]/Tablo515[[#This Row],[KALIP GÖZ ADEDİ]]," ")</f>
        <v xml:space="preserve"> </v>
      </c>
      <c r="T386" s="100" t="str">
        <f t="shared" si="41"/>
        <v xml:space="preserve"> </v>
      </c>
      <c r="U386" s="100"/>
      <c r="V386" s="100" t="str">
        <f t="shared" si="40"/>
        <v xml:space="preserve"> </v>
      </c>
      <c r="W386" s="101">
        <f t="shared" si="42"/>
        <v>24</v>
      </c>
      <c r="X386" s="102">
        <f t="shared" si="43"/>
        <v>0</v>
      </c>
      <c r="Y386" s="100" t="str">
        <f t="shared" si="44"/>
        <v xml:space="preserve"> </v>
      </c>
      <c r="Z386" s="100" t="str">
        <f t="shared" si="45"/>
        <v xml:space="preserve"> </v>
      </c>
    </row>
    <row r="387" spans="1:26">
      <c r="A387" s="100"/>
      <c r="B387" s="108" t="str">
        <f>IFERROR(VLOOKUP(Tablo515[[#This Row],[ÜRÜN KODU]],YMKODLARI!$A$1:$K$363,2,0)," ")</f>
        <v xml:space="preserve"> </v>
      </c>
      <c r="C387" s="99"/>
      <c r="D387" s="100"/>
      <c r="E387" s="101"/>
      <c r="F387" s="101"/>
      <c r="G387" s="100" t="str">
        <f>IFERROR(VLOOKUP(Tablo515[[#This Row],[ÜRÜN KODU]],YMKODLARI!$A$1:$K$363,3,0)," ")</f>
        <v xml:space="preserve"> </v>
      </c>
      <c r="H387" s="100" t="str">
        <f>IFERROR(VLOOKUP(Tablo515[[#This Row],[ÜRÜN KODU]],YMKODLARI!$A$1:$K$363,4,0)," ")</f>
        <v xml:space="preserve"> </v>
      </c>
      <c r="I387" s="100"/>
      <c r="J387" s="100" t="str">
        <f>IFERROR(VLOOKUP(Tablo515[[#This Row],[ÜRÜN KODU]],YMKODLARI!$A$1:$K$363,9,0)," ")</f>
        <v xml:space="preserve"> </v>
      </c>
      <c r="K387" s="100" t="str">
        <f>IFERROR(VLOOKUP(Tablo515[[#This Row],[BOYA KODU]],Tablo14[#All],4,0)," ")</f>
        <v xml:space="preserve"> </v>
      </c>
      <c r="L387" s="100" t="str">
        <f>IFERROR(VLOOKUP(Tablo515[[#This Row],[BOYA KODU]],Tablo14[#All],6,0)," ")</f>
        <v xml:space="preserve"> </v>
      </c>
      <c r="M387" s="100" t="str">
        <f t="shared" ref="M387:M450" si="46">IFERROR((I387*Q387)*L387," ")</f>
        <v xml:space="preserve"> </v>
      </c>
      <c r="N387" s="100" t="str">
        <f>IFERROR(VLOOKUP(Tablo515[[#This Row],[ÜRÜN KODU]],YMKODLARI!$A$1:$K$363,8,0)," ")</f>
        <v xml:space="preserve"> </v>
      </c>
      <c r="O387" s="100" t="str">
        <f>IFERROR(VLOOKUP(Tablo515[[#This Row],[HAMMADDE KODU]],Tablo1[#All],3,0)," ")</f>
        <v xml:space="preserve"> </v>
      </c>
      <c r="P387" s="100" t="str">
        <f>IFERROR(VLOOKUP(Tablo515[[#This Row],[HAMMADDE KODU]],Tablo1[#All],4,0)," ")</f>
        <v xml:space="preserve"> </v>
      </c>
      <c r="Q387" s="100" t="str">
        <f>IFERROR(VLOOKUP(Tablo515[[#This Row],[ÜRÜN KODU]],YMKODLARI!$A$1:$K$363,5,0)," ")</f>
        <v xml:space="preserve"> </v>
      </c>
      <c r="R387" s="100" t="str">
        <f>IFERROR(VLOOKUP(Tablo515[[#This Row],[ÜRÜN KODU]],YMKODLARI!$A$1:$K$363,6,0)," ")</f>
        <v xml:space="preserve"> </v>
      </c>
      <c r="S387" s="100" t="str">
        <f>IFERROR(Tablo515[[#This Row],[YOLLUK HARİÇ BASKI GRAMI]]/Tablo515[[#This Row],[KALIP GÖZ ADEDİ]]," ")</f>
        <v xml:space="preserve"> </v>
      </c>
      <c r="T387" s="100" t="str">
        <f t="shared" si="41"/>
        <v xml:space="preserve"> </v>
      </c>
      <c r="U387" s="100"/>
      <c r="V387" s="100" t="str">
        <f t="shared" ref="V387:V450" si="47">IFERROR(U387+(R387*I387) /1000," ")</f>
        <v xml:space="preserve"> </v>
      </c>
      <c r="W387" s="101">
        <f t="shared" si="42"/>
        <v>24</v>
      </c>
      <c r="X387" s="102">
        <f t="shared" si="43"/>
        <v>0</v>
      </c>
      <c r="Y387" s="100" t="str">
        <f t="shared" si="44"/>
        <v xml:space="preserve"> </v>
      </c>
      <c r="Z387" s="100" t="str">
        <f t="shared" si="45"/>
        <v xml:space="preserve"> </v>
      </c>
    </row>
    <row r="388" spans="1:26">
      <c r="A388" s="100"/>
      <c r="B388" s="108" t="str">
        <f>IFERROR(VLOOKUP(Tablo515[[#This Row],[ÜRÜN KODU]],YMKODLARI!$A$1:$K$363,2,0)," ")</f>
        <v xml:space="preserve"> </v>
      </c>
      <c r="C388" s="99"/>
      <c r="D388" s="100"/>
      <c r="E388" s="101"/>
      <c r="F388" s="101"/>
      <c r="G388" s="100" t="str">
        <f>IFERROR(VLOOKUP(Tablo515[[#This Row],[ÜRÜN KODU]],YMKODLARI!$A$1:$K$363,3,0)," ")</f>
        <v xml:space="preserve"> </v>
      </c>
      <c r="H388" s="100" t="str">
        <f>IFERROR(VLOOKUP(Tablo515[[#This Row],[ÜRÜN KODU]],YMKODLARI!$A$1:$K$363,4,0)," ")</f>
        <v xml:space="preserve"> </v>
      </c>
      <c r="I388" s="100"/>
      <c r="J388" s="100" t="str">
        <f>IFERROR(VLOOKUP(Tablo515[[#This Row],[ÜRÜN KODU]],YMKODLARI!$A$1:$K$363,9,0)," ")</f>
        <v xml:space="preserve"> </v>
      </c>
      <c r="K388" s="100" t="str">
        <f>IFERROR(VLOOKUP(Tablo515[[#This Row],[BOYA KODU]],Tablo14[#All],4,0)," ")</f>
        <v xml:space="preserve"> </v>
      </c>
      <c r="L388" s="100" t="str">
        <f>IFERROR(VLOOKUP(Tablo515[[#This Row],[BOYA KODU]],Tablo14[#All],6,0)," ")</f>
        <v xml:space="preserve"> </v>
      </c>
      <c r="M388" s="100" t="str">
        <f t="shared" si="46"/>
        <v xml:space="preserve"> </v>
      </c>
      <c r="N388" s="100" t="str">
        <f>IFERROR(VLOOKUP(Tablo515[[#This Row],[ÜRÜN KODU]],YMKODLARI!$A$1:$K$363,8,0)," ")</f>
        <v xml:space="preserve"> </v>
      </c>
      <c r="O388" s="100" t="str">
        <f>IFERROR(VLOOKUP(Tablo515[[#This Row],[HAMMADDE KODU]],Tablo1[#All],3,0)," ")</f>
        <v xml:space="preserve"> </v>
      </c>
      <c r="P388" s="100" t="str">
        <f>IFERROR(VLOOKUP(Tablo515[[#This Row],[HAMMADDE KODU]],Tablo1[#All],4,0)," ")</f>
        <v xml:space="preserve"> </v>
      </c>
      <c r="Q388" s="100" t="str">
        <f>IFERROR(VLOOKUP(Tablo515[[#This Row],[ÜRÜN KODU]],YMKODLARI!$A$1:$K$363,5,0)," ")</f>
        <v xml:space="preserve"> </v>
      </c>
      <c r="R388" s="100" t="str">
        <f>IFERROR(VLOOKUP(Tablo515[[#This Row],[ÜRÜN KODU]],YMKODLARI!$A$1:$K$363,6,0)," ")</f>
        <v xml:space="preserve"> </v>
      </c>
      <c r="S388" s="100" t="str">
        <f>IFERROR(Tablo515[[#This Row],[YOLLUK HARİÇ BASKI GRAMI]]/Tablo515[[#This Row],[KALIP GÖZ ADEDİ]]," ")</f>
        <v xml:space="preserve"> </v>
      </c>
      <c r="T388" s="100" t="str">
        <f t="shared" ref="T388:T451" si="48">IFERROR(Q388-R388," ")</f>
        <v xml:space="preserve"> </v>
      </c>
      <c r="U388" s="100"/>
      <c r="V388" s="100" t="str">
        <f t="shared" si="47"/>
        <v xml:space="preserve"> </v>
      </c>
      <c r="W388" s="101">
        <f t="shared" ref="W388:W451" si="49">IFERROR(24-(E388-F388)," ")</f>
        <v>24</v>
      </c>
      <c r="X388" s="102">
        <f t="shared" ref="X388:X451" si="50">IFERROR((W388-INT(W388))*24," ")</f>
        <v>0</v>
      </c>
      <c r="Y388" s="100" t="str">
        <f t="shared" ref="Y388:Y451" si="51">IFERROR(H388*I388/3600," ")</f>
        <v xml:space="preserve"> </v>
      </c>
      <c r="Z388" s="100" t="str">
        <f t="shared" ref="Z388:Z451" si="52">IFERROR(I388*G388," " )</f>
        <v xml:space="preserve"> </v>
      </c>
    </row>
    <row r="389" spans="1:26">
      <c r="A389" s="100"/>
      <c r="B389" s="108" t="str">
        <f>IFERROR(VLOOKUP(Tablo515[[#This Row],[ÜRÜN KODU]],YMKODLARI!$A$1:$K$363,2,0)," ")</f>
        <v xml:space="preserve"> </v>
      </c>
      <c r="C389" s="99"/>
      <c r="D389" s="100"/>
      <c r="E389" s="101"/>
      <c r="F389" s="101"/>
      <c r="G389" s="100" t="str">
        <f>IFERROR(VLOOKUP(Tablo515[[#This Row],[ÜRÜN KODU]],YMKODLARI!$A$1:$K$363,3,0)," ")</f>
        <v xml:space="preserve"> </v>
      </c>
      <c r="H389" s="100" t="str">
        <f>IFERROR(VLOOKUP(Tablo515[[#This Row],[ÜRÜN KODU]],YMKODLARI!$A$1:$K$363,4,0)," ")</f>
        <v xml:space="preserve"> </v>
      </c>
      <c r="I389" s="100"/>
      <c r="J389" s="100" t="str">
        <f>IFERROR(VLOOKUP(Tablo515[[#This Row],[ÜRÜN KODU]],YMKODLARI!$A$1:$K$363,9,0)," ")</f>
        <v xml:space="preserve"> </v>
      </c>
      <c r="K389" s="100" t="str">
        <f>IFERROR(VLOOKUP(Tablo515[[#This Row],[BOYA KODU]],Tablo14[#All],4,0)," ")</f>
        <v xml:space="preserve"> </v>
      </c>
      <c r="L389" s="100" t="str">
        <f>IFERROR(VLOOKUP(Tablo515[[#This Row],[BOYA KODU]],Tablo14[#All],6,0)," ")</f>
        <v xml:space="preserve"> </v>
      </c>
      <c r="M389" s="100" t="str">
        <f t="shared" si="46"/>
        <v xml:space="preserve"> </v>
      </c>
      <c r="N389" s="100" t="str">
        <f>IFERROR(VLOOKUP(Tablo515[[#This Row],[ÜRÜN KODU]],YMKODLARI!$A$1:$K$363,8,0)," ")</f>
        <v xml:space="preserve"> </v>
      </c>
      <c r="O389" s="100" t="str">
        <f>IFERROR(VLOOKUP(Tablo515[[#This Row],[HAMMADDE KODU]],Tablo1[#All],3,0)," ")</f>
        <v xml:space="preserve"> </v>
      </c>
      <c r="P389" s="100" t="str">
        <f>IFERROR(VLOOKUP(Tablo515[[#This Row],[HAMMADDE KODU]],Tablo1[#All],4,0)," ")</f>
        <v xml:space="preserve"> </v>
      </c>
      <c r="Q389" s="100" t="str">
        <f>IFERROR(VLOOKUP(Tablo515[[#This Row],[ÜRÜN KODU]],YMKODLARI!$A$1:$K$363,5,0)," ")</f>
        <v xml:space="preserve"> </v>
      </c>
      <c r="R389" s="100" t="str">
        <f>IFERROR(VLOOKUP(Tablo515[[#This Row],[ÜRÜN KODU]],YMKODLARI!$A$1:$K$363,6,0)," ")</f>
        <v xml:space="preserve"> </v>
      </c>
      <c r="S389" s="100" t="str">
        <f>IFERROR(Tablo515[[#This Row],[YOLLUK HARİÇ BASKI GRAMI]]/Tablo515[[#This Row],[KALIP GÖZ ADEDİ]]," ")</f>
        <v xml:space="preserve"> </v>
      </c>
      <c r="T389" s="100" t="str">
        <f t="shared" si="48"/>
        <v xml:space="preserve"> </v>
      </c>
      <c r="U389" s="100"/>
      <c r="V389" s="100" t="str">
        <f t="shared" si="47"/>
        <v xml:space="preserve"> </v>
      </c>
      <c r="W389" s="101">
        <f t="shared" si="49"/>
        <v>24</v>
      </c>
      <c r="X389" s="102">
        <f t="shared" si="50"/>
        <v>0</v>
      </c>
      <c r="Y389" s="100" t="str">
        <f t="shared" si="51"/>
        <v xml:space="preserve"> </v>
      </c>
      <c r="Z389" s="100" t="str">
        <f t="shared" si="52"/>
        <v xml:space="preserve"> </v>
      </c>
    </row>
    <row r="390" spans="1:26">
      <c r="A390" s="100"/>
      <c r="B390" s="108" t="str">
        <f>IFERROR(VLOOKUP(Tablo515[[#This Row],[ÜRÜN KODU]],YMKODLARI!$A$1:$K$363,2,0)," ")</f>
        <v xml:space="preserve"> </v>
      </c>
      <c r="C390" s="99"/>
      <c r="D390" s="100"/>
      <c r="E390" s="101"/>
      <c r="F390" s="101"/>
      <c r="G390" s="100" t="str">
        <f>IFERROR(VLOOKUP(Tablo515[[#This Row],[ÜRÜN KODU]],YMKODLARI!$A$1:$K$363,3,0)," ")</f>
        <v xml:space="preserve"> </v>
      </c>
      <c r="H390" s="100" t="str">
        <f>IFERROR(VLOOKUP(Tablo515[[#This Row],[ÜRÜN KODU]],YMKODLARI!$A$1:$K$363,4,0)," ")</f>
        <v xml:space="preserve"> </v>
      </c>
      <c r="I390" s="100"/>
      <c r="J390" s="100" t="str">
        <f>IFERROR(VLOOKUP(Tablo515[[#This Row],[ÜRÜN KODU]],YMKODLARI!$A$1:$K$363,9,0)," ")</f>
        <v xml:space="preserve"> </v>
      </c>
      <c r="K390" s="100" t="str">
        <f>IFERROR(VLOOKUP(Tablo515[[#This Row],[BOYA KODU]],Tablo14[#All],4,0)," ")</f>
        <v xml:space="preserve"> </v>
      </c>
      <c r="L390" s="100" t="str">
        <f>IFERROR(VLOOKUP(Tablo515[[#This Row],[BOYA KODU]],Tablo14[#All],6,0)," ")</f>
        <v xml:space="preserve"> </v>
      </c>
      <c r="M390" s="100" t="str">
        <f t="shared" si="46"/>
        <v xml:space="preserve"> </v>
      </c>
      <c r="N390" s="100" t="str">
        <f>IFERROR(VLOOKUP(Tablo515[[#This Row],[ÜRÜN KODU]],YMKODLARI!$A$1:$K$363,8,0)," ")</f>
        <v xml:space="preserve"> </v>
      </c>
      <c r="O390" s="100" t="str">
        <f>IFERROR(VLOOKUP(Tablo515[[#This Row],[HAMMADDE KODU]],Tablo1[#All],3,0)," ")</f>
        <v xml:space="preserve"> </v>
      </c>
      <c r="P390" s="100" t="str">
        <f>IFERROR(VLOOKUP(Tablo515[[#This Row],[HAMMADDE KODU]],Tablo1[#All],4,0)," ")</f>
        <v xml:space="preserve"> </v>
      </c>
      <c r="Q390" s="100" t="str">
        <f>IFERROR(VLOOKUP(Tablo515[[#This Row],[ÜRÜN KODU]],YMKODLARI!$A$1:$K$363,5,0)," ")</f>
        <v xml:space="preserve"> </v>
      </c>
      <c r="R390" s="100" t="str">
        <f>IFERROR(VLOOKUP(Tablo515[[#This Row],[ÜRÜN KODU]],YMKODLARI!$A$1:$K$363,6,0)," ")</f>
        <v xml:space="preserve"> </v>
      </c>
      <c r="S390" s="100" t="str">
        <f>IFERROR(Tablo515[[#This Row],[YOLLUK HARİÇ BASKI GRAMI]]/Tablo515[[#This Row],[KALIP GÖZ ADEDİ]]," ")</f>
        <v xml:space="preserve"> </v>
      </c>
      <c r="T390" s="100" t="str">
        <f t="shared" si="48"/>
        <v xml:space="preserve"> </v>
      </c>
      <c r="U390" s="100"/>
      <c r="V390" s="100" t="str">
        <f t="shared" si="47"/>
        <v xml:space="preserve"> </v>
      </c>
      <c r="W390" s="101">
        <f t="shared" si="49"/>
        <v>24</v>
      </c>
      <c r="X390" s="102">
        <f t="shared" si="50"/>
        <v>0</v>
      </c>
      <c r="Y390" s="100" t="str">
        <f t="shared" si="51"/>
        <v xml:space="preserve"> </v>
      </c>
      <c r="Z390" s="100" t="str">
        <f t="shared" si="52"/>
        <v xml:space="preserve"> </v>
      </c>
    </row>
    <row r="391" spans="1:26">
      <c r="A391" s="100"/>
      <c r="B391" s="108" t="str">
        <f>IFERROR(VLOOKUP(Tablo515[[#This Row],[ÜRÜN KODU]],YMKODLARI!$A$1:$K$363,2,0)," ")</f>
        <v xml:space="preserve"> </v>
      </c>
      <c r="C391" s="99"/>
      <c r="D391" s="100"/>
      <c r="E391" s="101"/>
      <c r="F391" s="101"/>
      <c r="G391" s="100" t="str">
        <f>IFERROR(VLOOKUP(Tablo515[[#This Row],[ÜRÜN KODU]],YMKODLARI!$A$1:$K$363,3,0)," ")</f>
        <v xml:space="preserve"> </v>
      </c>
      <c r="H391" s="100" t="str">
        <f>IFERROR(VLOOKUP(Tablo515[[#This Row],[ÜRÜN KODU]],YMKODLARI!$A$1:$K$363,4,0)," ")</f>
        <v xml:space="preserve"> </v>
      </c>
      <c r="I391" s="100"/>
      <c r="J391" s="100" t="str">
        <f>IFERROR(VLOOKUP(Tablo515[[#This Row],[ÜRÜN KODU]],YMKODLARI!$A$1:$K$363,9,0)," ")</f>
        <v xml:space="preserve"> </v>
      </c>
      <c r="K391" s="100" t="str">
        <f>IFERROR(VLOOKUP(Tablo515[[#This Row],[BOYA KODU]],Tablo14[#All],4,0)," ")</f>
        <v xml:space="preserve"> </v>
      </c>
      <c r="L391" s="100" t="str">
        <f>IFERROR(VLOOKUP(Tablo515[[#This Row],[BOYA KODU]],Tablo14[#All],6,0)," ")</f>
        <v xml:space="preserve"> </v>
      </c>
      <c r="M391" s="100" t="str">
        <f t="shared" si="46"/>
        <v xml:space="preserve"> </v>
      </c>
      <c r="N391" s="100" t="str">
        <f>IFERROR(VLOOKUP(Tablo515[[#This Row],[ÜRÜN KODU]],YMKODLARI!$A$1:$K$363,8,0)," ")</f>
        <v xml:space="preserve"> </v>
      </c>
      <c r="O391" s="100" t="str">
        <f>IFERROR(VLOOKUP(Tablo515[[#This Row],[HAMMADDE KODU]],Tablo1[#All],3,0)," ")</f>
        <v xml:space="preserve"> </v>
      </c>
      <c r="P391" s="100" t="str">
        <f>IFERROR(VLOOKUP(Tablo515[[#This Row],[HAMMADDE KODU]],Tablo1[#All],4,0)," ")</f>
        <v xml:space="preserve"> </v>
      </c>
      <c r="Q391" s="100" t="str">
        <f>IFERROR(VLOOKUP(Tablo515[[#This Row],[ÜRÜN KODU]],YMKODLARI!$A$1:$K$363,5,0)," ")</f>
        <v xml:space="preserve"> </v>
      </c>
      <c r="R391" s="100" t="str">
        <f>IFERROR(VLOOKUP(Tablo515[[#This Row],[ÜRÜN KODU]],YMKODLARI!$A$1:$K$363,6,0)," ")</f>
        <v xml:space="preserve"> </v>
      </c>
      <c r="S391" s="100" t="str">
        <f>IFERROR(Tablo515[[#This Row],[YOLLUK HARİÇ BASKI GRAMI]]/Tablo515[[#This Row],[KALIP GÖZ ADEDİ]]," ")</f>
        <v xml:space="preserve"> </v>
      </c>
      <c r="T391" s="100" t="str">
        <f t="shared" si="48"/>
        <v xml:space="preserve"> </v>
      </c>
      <c r="U391" s="100"/>
      <c r="V391" s="100" t="str">
        <f t="shared" si="47"/>
        <v xml:space="preserve"> </v>
      </c>
      <c r="W391" s="101">
        <f t="shared" si="49"/>
        <v>24</v>
      </c>
      <c r="X391" s="102">
        <f t="shared" si="50"/>
        <v>0</v>
      </c>
      <c r="Y391" s="100" t="str">
        <f t="shared" si="51"/>
        <v xml:space="preserve"> </v>
      </c>
      <c r="Z391" s="100" t="str">
        <f t="shared" si="52"/>
        <v xml:space="preserve"> </v>
      </c>
    </row>
    <row r="392" spans="1:26">
      <c r="A392" s="100"/>
      <c r="B392" s="108" t="str">
        <f>IFERROR(VLOOKUP(Tablo515[[#This Row],[ÜRÜN KODU]],YMKODLARI!$A$1:$K$363,2,0)," ")</f>
        <v xml:space="preserve"> </v>
      </c>
      <c r="C392" s="99"/>
      <c r="D392" s="100"/>
      <c r="E392" s="101"/>
      <c r="F392" s="101"/>
      <c r="G392" s="100" t="str">
        <f>IFERROR(VLOOKUP(Tablo515[[#This Row],[ÜRÜN KODU]],YMKODLARI!$A$1:$K$363,3,0)," ")</f>
        <v xml:space="preserve"> </v>
      </c>
      <c r="H392" s="100" t="str">
        <f>IFERROR(VLOOKUP(Tablo515[[#This Row],[ÜRÜN KODU]],YMKODLARI!$A$1:$K$363,4,0)," ")</f>
        <v xml:space="preserve"> </v>
      </c>
      <c r="I392" s="100"/>
      <c r="J392" s="100" t="str">
        <f>IFERROR(VLOOKUP(Tablo515[[#This Row],[ÜRÜN KODU]],YMKODLARI!$A$1:$K$363,9,0)," ")</f>
        <v xml:space="preserve"> </v>
      </c>
      <c r="K392" s="100" t="str">
        <f>IFERROR(VLOOKUP(Tablo515[[#This Row],[BOYA KODU]],Tablo14[#All],4,0)," ")</f>
        <v xml:space="preserve"> </v>
      </c>
      <c r="L392" s="100" t="str">
        <f>IFERROR(VLOOKUP(Tablo515[[#This Row],[BOYA KODU]],Tablo14[#All],6,0)," ")</f>
        <v xml:space="preserve"> </v>
      </c>
      <c r="M392" s="100" t="str">
        <f t="shared" si="46"/>
        <v xml:space="preserve"> </v>
      </c>
      <c r="N392" s="100" t="str">
        <f>IFERROR(VLOOKUP(Tablo515[[#This Row],[ÜRÜN KODU]],YMKODLARI!$A$1:$K$363,8,0)," ")</f>
        <v xml:space="preserve"> </v>
      </c>
      <c r="O392" s="100" t="str">
        <f>IFERROR(VLOOKUP(Tablo515[[#This Row],[HAMMADDE KODU]],Tablo1[#All],3,0)," ")</f>
        <v xml:space="preserve"> </v>
      </c>
      <c r="P392" s="100" t="str">
        <f>IFERROR(VLOOKUP(Tablo515[[#This Row],[HAMMADDE KODU]],Tablo1[#All],4,0)," ")</f>
        <v xml:space="preserve"> </v>
      </c>
      <c r="Q392" s="100" t="str">
        <f>IFERROR(VLOOKUP(Tablo515[[#This Row],[ÜRÜN KODU]],YMKODLARI!$A$1:$K$363,5,0)," ")</f>
        <v xml:space="preserve"> </v>
      </c>
      <c r="R392" s="100" t="str">
        <f>IFERROR(VLOOKUP(Tablo515[[#This Row],[ÜRÜN KODU]],YMKODLARI!$A$1:$K$363,6,0)," ")</f>
        <v xml:space="preserve"> </v>
      </c>
      <c r="S392" s="100" t="str">
        <f>IFERROR(Tablo515[[#This Row],[YOLLUK HARİÇ BASKI GRAMI]]/Tablo515[[#This Row],[KALIP GÖZ ADEDİ]]," ")</f>
        <v xml:space="preserve"> </v>
      </c>
      <c r="T392" s="100" t="str">
        <f t="shared" si="48"/>
        <v xml:space="preserve"> </v>
      </c>
      <c r="U392" s="100"/>
      <c r="V392" s="100" t="str">
        <f t="shared" si="47"/>
        <v xml:space="preserve"> </v>
      </c>
      <c r="W392" s="101">
        <f t="shared" si="49"/>
        <v>24</v>
      </c>
      <c r="X392" s="102">
        <f t="shared" si="50"/>
        <v>0</v>
      </c>
      <c r="Y392" s="100" t="str">
        <f t="shared" si="51"/>
        <v xml:space="preserve"> </v>
      </c>
      <c r="Z392" s="100" t="str">
        <f t="shared" si="52"/>
        <v xml:space="preserve"> </v>
      </c>
    </row>
    <row r="393" spans="1:26">
      <c r="A393" s="100"/>
      <c r="B393" s="108" t="str">
        <f>IFERROR(VLOOKUP(Tablo515[[#This Row],[ÜRÜN KODU]],YMKODLARI!$A$1:$K$363,2,0)," ")</f>
        <v xml:space="preserve"> </v>
      </c>
      <c r="C393" s="99"/>
      <c r="D393" s="100"/>
      <c r="E393" s="101"/>
      <c r="F393" s="101"/>
      <c r="G393" s="100" t="str">
        <f>IFERROR(VLOOKUP(Tablo515[[#This Row],[ÜRÜN KODU]],YMKODLARI!$A$1:$K$363,3,0)," ")</f>
        <v xml:space="preserve"> </v>
      </c>
      <c r="H393" s="100" t="str">
        <f>IFERROR(VLOOKUP(Tablo515[[#This Row],[ÜRÜN KODU]],YMKODLARI!$A$1:$K$363,4,0)," ")</f>
        <v xml:space="preserve"> </v>
      </c>
      <c r="I393" s="100"/>
      <c r="J393" s="100" t="str">
        <f>IFERROR(VLOOKUP(Tablo515[[#This Row],[ÜRÜN KODU]],YMKODLARI!$A$1:$K$363,9,0)," ")</f>
        <v xml:space="preserve"> </v>
      </c>
      <c r="K393" s="100" t="str">
        <f>IFERROR(VLOOKUP(Tablo515[[#This Row],[BOYA KODU]],Tablo14[#All],4,0)," ")</f>
        <v xml:space="preserve"> </v>
      </c>
      <c r="L393" s="100" t="str">
        <f>IFERROR(VLOOKUP(Tablo515[[#This Row],[BOYA KODU]],Tablo14[#All],6,0)," ")</f>
        <v xml:space="preserve"> </v>
      </c>
      <c r="M393" s="100" t="str">
        <f t="shared" si="46"/>
        <v xml:space="preserve"> </v>
      </c>
      <c r="N393" s="100" t="str">
        <f>IFERROR(VLOOKUP(Tablo515[[#This Row],[ÜRÜN KODU]],YMKODLARI!$A$1:$K$363,8,0)," ")</f>
        <v xml:space="preserve"> </v>
      </c>
      <c r="O393" s="100" t="str">
        <f>IFERROR(VLOOKUP(Tablo515[[#This Row],[HAMMADDE KODU]],Tablo1[#All],3,0)," ")</f>
        <v xml:space="preserve"> </v>
      </c>
      <c r="P393" s="100" t="str">
        <f>IFERROR(VLOOKUP(Tablo515[[#This Row],[HAMMADDE KODU]],Tablo1[#All],4,0)," ")</f>
        <v xml:space="preserve"> </v>
      </c>
      <c r="Q393" s="100" t="str">
        <f>IFERROR(VLOOKUP(Tablo515[[#This Row],[ÜRÜN KODU]],YMKODLARI!$A$1:$K$363,5,0)," ")</f>
        <v xml:space="preserve"> </v>
      </c>
      <c r="R393" s="100" t="str">
        <f>IFERROR(VLOOKUP(Tablo515[[#This Row],[ÜRÜN KODU]],YMKODLARI!$A$1:$K$363,6,0)," ")</f>
        <v xml:space="preserve"> </v>
      </c>
      <c r="S393" s="100" t="str">
        <f>IFERROR(Tablo515[[#This Row],[YOLLUK HARİÇ BASKI GRAMI]]/Tablo515[[#This Row],[KALIP GÖZ ADEDİ]]," ")</f>
        <v xml:space="preserve"> </v>
      </c>
      <c r="T393" s="100" t="str">
        <f t="shared" si="48"/>
        <v xml:space="preserve"> </v>
      </c>
      <c r="U393" s="100"/>
      <c r="V393" s="100" t="str">
        <f t="shared" si="47"/>
        <v xml:space="preserve"> </v>
      </c>
      <c r="W393" s="101">
        <f t="shared" si="49"/>
        <v>24</v>
      </c>
      <c r="X393" s="102">
        <f t="shared" si="50"/>
        <v>0</v>
      </c>
      <c r="Y393" s="100" t="str">
        <f t="shared" si="51"/>
        <v xml:space="preserve"> </v>
      </c>
      <c r="Z393" s="100" t="str">
        <f t="shared" si="52"/>
        <v xml:space="preserve"> </v>
      </c>
    </row>
    <row r="394" spans="1:26">
      <c r="A394" s="100"/>
      <c r="B394" s="108" t="str">
        <f>IFERROR(VLOOKUP(Tablo515[[#This Row],[ÜRÜN KODU]],YMKODLARI!$A$1:$K$363,2,0)," ")</f>
        <v xml:space="preserve"> </v>
      </c>
      <c r="C394" s="99"/>
      <c r="D394" s="100"/>
      <c r="E394" s="101"/>
      <c r="F394" s="101"/>
      <c r="G394" s="100" t="str">
        <f>IFERROR(VLOOKUP(Tablo515[[#This Row],[ÜRÜN KODU]],YMKODLARI!$A$1:$K$363,3,0)," ")</f>
        <v xml:space="preserve"> </v>
      </c>
      <c r="H394" s="100" t="str">
        <f>IFERROR(VLOOKUP(Tablo515[[#This Row],[ÜRÜN KODU]],YMKODLARI!$A$1:$K$363,4,0)," ")</f>
        <v xml:space="preserve"> </v>
      </c>
      <c r="I394" s="100"/>
      <c r="J394" s="100" t="str">
        <f>IFERROR(VLOOKUP(Tablo515[[#This Row],[ÜRÜN KODU]],YMKODLARI!$A$1:$K$363,9,0)," ")</f>
        <v xml:space="preserve"> </v>
      </c>
      <c r="K394" s="100" t="str">
        <f>IFERROR(VLOOKUP(Tablo515[[#This Row],[BOYA KODU]],Tablo14[#All],4,0)," ")</f>
        <v xml:space="preserve"> </v>
      </c>
      <c r="L394" s="100" t="str">
        <f>IFERROR(VLOOKUP(Tablo515[[#This Row],[BOYA KODU]],Tablo14[#All],6,0)," ")</f>
        <v xml:space="preserve"> </v>
      </c>
      <c r="M394" s="100" t="str">
        <f t="shared" si="46"/>
        <v xml:space="preserve"> </v>
      </c>
      <c r="N394" s="100" t="str">
        <f>IFERROR(VLOOKUP(Tablo515[[#This Row],[ÜRÜN KODU]],YMKODLARI!$A$1:$K$363,8,0)," ")</f>
        <v xml:space="preserve"> </v>
      </c>
      <c r="O394" s="100" t="str">
        <f>IFERROR(VLOOKUP(Tablo515[[#This Row],[HAMMADDE KODU]],Tablo1[#All],3,0)," ")</f>
        <v xml:space="preserve"> </v>
      </c>
      <c r="P394" s="100" t="str">
        <f>IFERROR(VLOOKUP(Tablo515[[#This Row],[HAMMADDE KODU]],Tablo1[#All],4,0)," ")</f>
        <v xml:space="preserve"> </v>
      </c>
      <c r="Q394" s="100" t="str">
        <f>IFERROR(VLOOKUP(Tablo515[[#This Row],[ÜRÜN KODU]],YMKODLARI!$A$1:$K$363,5,0)," ")</f>
        <v xml:space="preserve"> </v>
      </c>
      <c r="R394" s="100" t="str">
        <f>IFERROR(VLOOKUP(Tablo515[[#This Row],[ÜRÜN KODU]],YMKODLARI!$A$1:$K$363,6,0)," ")</f>
        <v xml:space="preserve"> </v>
      </c>
      <c r="S394" s="100" t="str">
        <f>IFERROR(Tablo515[[#This Row],[YOLLUK HARİÇ BASKI GRAMI]]/Tablo515[[#This Row],[KALIP GÖZ ADEDİ]]," ")</f>
        <v xml:space="preserve"> </v>
      </c>
      <c r="T394" s="100" t="str">
        <f t="shared" si="48"/>
        <v xml:space="preserve"> </v>
      </c>
      <c r="U394" s="100"/>
      <c r="V394" s="100" t="str">
        <f t="shared" si="47"/>
        <v xml:space="preserve"> </v>
      </c>
      <c r="W394" s="101">
        <f t="shared" si="49"/>
        <v>24</v>
      </c>
      <c r="X394" s="102">
        <f t="shared" si="50"/>
        <v>0</v>
      </c>
      <c r="Y394" s="100" t="str">
        <f t="shared" si="51"/>
        <v xml:space="preserve"> </v>
      </c>
      <c r="Z394" s="100" t="str">
        <f t="shared" si="52"/>
        <v xml:space="preserve"> </v>
      </c>
    </row>
    <row r="395" spans="1:26">
      <c r="A395" s="100"/>
      <c r="B395" s="108" t="str">
        <f>IFERROR(VLOOKUP(Tablo515[[#This Row],[ÜRÜN KODU]],YMKODLARI!$A$1:$K$363,2,0)," ")</f>
        <v xml:space="preserve"> </v>
      </c>
      <c r="C395" s="99"/>
      <c r="D395" s="100"/>
      <c r="E395" s="101"/>
      <c r="F395" s="101"/>
      <c r="G395" s="100" t="str">
        <f>IFERROR(VLOOKUP(Tablo515[[#This Row],[ÜRÜN KODU]],YMKODLARI!$A$1:$K$363,3,0)," ")</f>
        <v xml:space="preserve"> </v>
      </c>
      <c r="H395" s="100" t="str">
        <f>IFERROR(VLOOKUP(Tablo515[[#This Row],[ÜRÜN KODU]],YMKODLARI!$A$1:$K$363,4,0)," ")</f>
        <v xml:space="preserve"> </v>
      </c>
      <c r="I395" s="100"/>
      <c r="J395" s="100" t="str">
        <f>IFERROR(VLOOKUP(Tablo515[[#This Row],[ÜRÜN KODU]],YMKODLARI!$A$1:$K$363,9,0)," ")</f>
        <v xml:space="preserve"> </v>
      </c>
      <c r="K395" s="100" t="str">
        <f>IFERROR(VLOOKUP(Tablo515[[#This Row],[BOYA KODU]],Tablo14[#All],4,0)," ")</f>
        <v xml:space="preserve"> </v>
      </c>
      <c r="L395" s="100" t="str">
        <f>IFERROR(VLOOKUP(Tablo515[[#This Row],[BOYA KODU]],Tablo14[#All],6,0)," ")</f>
        <v xml:space="preserve"> </v>
      </c>
      <c r="M395" s="100" t="str">
        <f t="shared" si="46"/>
        <v xml:space="preserve"> </v>
      </c>
      <c r="N395" s="100" t="str">
        <f>IFERROR(VLOOKUP(Tablo515[[#This Row],[ÜRÜN KODU]],YMKODLARI!$A$1:$K$363,8,0)," ")</f>
        <v xml:space="preserve"> </v>
      </c>
      <c r="O395" s="100" t="str">
        <f>IFERROR(VLOOKUP(Tablo515[[#This Row],[HAMMADDE KODU]],Tablo1[#All],3,0)," ")</f>
        <v xml:space="preserve"> </v>
      </c>
      <c r="P395" s="100" t="str">
        <f>IFERROR(VLOOKUP(Tablo515[[#This Row],[HAMMADDE KODU]],Tablo1[#All],4,0)," ")</f>
        <v xml:space="preserve"> </v>
      </c>
      <c r="Q395" s="100" t="str">
        <f>IFERROR(VLOOKUP(Tablo515[[#This Row],[ÜRÜN KODU]],YMKODLARI!$A$1:$K$363,5,0)," ")</f>
        <v xml:space="preserve"> </v>
      </c>
      <c r="R395" s="100" t="str">
        <f>IFERROR(VLOOKUP(Tablo515[[#This Row],[ÜRÜN KODU]],YMKODLARI!$A$1:$K$363,6,0)," ")</f>
        <v xml:space="preserve"> </v>
      </c>
      <c r="S395" s="100" t="str">
        <f>IFERROR(Tablo515[[#This Row],[YOLLUK HARİÇ BASKI GRAMI]]/Tablo515[[#This Row],[KALIP GÖZ ADEDİ]]," ")</f>
        <v xml:space="preserve"> </v>
      </c>
      <c r="T395" s="100" t="str">
        <f t="shared" si="48"/>
        <v xml:space="preserve"> </v>
      </c>
      <c r="U395" s="100"/>
      <c r="V395" s="100" t="str">
        <f t="shared" si="47"/>
        <v xml:space="preserve"> </v>
      </c>
      <c r="W395" s="101">
        <f t="shared" si="49"/>
        <v>24</v>
      </c>
      <c r="X395" s="102">
        <f t="shared" si="50"/>
        <v>0</v>
      </c>
      <c r="Y395" s="100" t="str">
        <f t="shared" si="51"/>
        <v xml:space="preserve"> </v>
      </c>
      <c r="Z395" s="100" t="str">
        <f t="shared" si="52"/>
        <v xml:space="preserve"> </v>
      </c>
    </row>
    <row r="396" spans="1:26">
      <c r="A396" s="100"/>
      <c r="B396" s="108" t="str">
        <f>IFERROR(VLOOKUP(Tablo515[[#This Row],[ÜRÜN KODU]],YMKODLARI!$A$1:$K$363,2,0)," ")</f>
        <v xml:space="preserve"> </v>
      </c>
      <c r="C396" s="99"/>
      <c r="D396" s="100"/>
      <c r="E396" s="101"/>
      <c r="F396" s="101"/>
      <c r="G396" s="100" t="str">
        <f>IFERROR(VLOOKUP(Tablo515[[#This Row],[ÜRÜN KODU]],YMKODLARI!$A$1:$K$363,3,0)," ")</f>
        <v xml:space="preserve"> </v>
      </c>
      <c r="H396" s="100" t="str">
        <f>IFERROR(VLOOKUP(Tablo515[[#This Row],[ÜRÜN KODU]],YMKODLARI!$A$1:$K$363,4,0)," ")</f>
        <v xml:space="preserve"> </v>
      </c>
      <c r="I396" s="100"/>
      <c r="J396" s="100" t="str">
        <f>IFERROR(VLOOKUP(Tablo515[[#This Row],[ÜRÜN KODU]],YMKODLARI!$A$1:$K$363,9,0)," ")</f>
        <v xml:space="preserve"> </v>
      </c>
      <c r="K396" s="100" t="str">
        <f>IFERROR(VLOOKUP(Tablo515[[#This Row],[BOYA KODU]],Tablo14[#All],4,0)," ")</f>
        <v xml:space="preserve"> </v>
      </c>
      <c r="L396" s="100" t="str">
        <f>IFERROR(VLOOKUP(Tablo515[[#This Row],[BOYA KODU]],Tablo14[#All],6,0)," ")</f>
        <v xml:space="preserve"> </v>
      </c>
      <c r="M396" s="100" t="str">
        <f t="shared" si="46"/>
        <v xml:space="preserve"> </v>
      </c>
      <c r="N396" s="100" t="str">
        <f>IFERROR(VLOOKUP(Tablo515[[#This Row],[ÜRÜN KODU]],YMKODLARI!$A$1:$K$363,8,0)," ")</f>
        <v xml:space="preserve"> </v>
      </c>
      <c r="O396" s="100" t="str">
        <f>IFERROR(VLOOKUP(Tablo515[[#This Row],[HAMMADDE KODU]],Tablo1[#All],3,0)," ")</f>
        <v xml:space="preserve"> </v>
      </c>
      <c r="P396" s="100" t="str">
        <f>IFERROR(VLOOKUP(Tablo515[[#This Row],[HAMMADDE KODU]],Tablo1[#All],4,0)," ")</f>
        <v xml:space="preserve"> </v>
      </c>
      <c r="Q396" s="100" t="str">
        <f>IFERROR(VLOOKUP(Tablo515[[#This Row],[ÜRÜN KODU]],YMKODLARI!$A$1:$K$363,5,0)," ")</f>
        <v xml:space="preserve"> </v>
      </c>
      <c r="R396" s="100" t="str">
        <f>IFERROR(VLOOKUP(Tablo515[[#This Row],[ÜRÜN KODU]],YMKODLARI!$A$1:$K$363,6,0)," ")</f>
        <v xml:space="preserve"> </v>
      </c>
      <c r="S396" s="100" t="str">
        <f>IFERROR(Tablo515[[#This Row],[YOLLUK HARİÇ BASKI GRAMI]]/Tablo515[[#This Row],[KALIP GÖZ ADEDİ]]," ")</f>
        <v xml:space="preserve"> </v>
      </c>
      <c r="T396" s="100" t="str">
        <f t="shared" si="48"/>
        <v xml:space="preserve"> </v>
      </c>
      <c r="U396" s="100"/>
      <c r="V396" s="100" t="str">
        <f t="shared" si="47"/>
        <v xml:space="preserve"> </v>
      </c>
      <c r="W396" s="101">
        <f t="shared" si="49"/>
        <v>24</v>
      </c>
      <c r="X396" s="102">
        <f t="shared" si="50"/>
        <v>0</v>
      </c>
      <c r="Y396" s="100" t="str">
        <f t="shared" si="51"/>
        <v xml:space="preserve"> </v>
      </c>
      <c r="Z396" s="100" t="str">
        <f t="shared" si="52"/>
        <v xml:space="preserve"> </v>
      </c>
    </row>
    <row r="397" spans="1:26">
      <c r="A397" s="100"/>
      <c r="B397" s="108" t="str">
        <f>IFERROR(VLOOKUP(Tablo515[[#This Row],[ÜRÜN KODU]],YMKODLARI!$A$1:$K$363,2,0)," ")</f>
        <v xml:space="preserve"> </v>
      </c>
      <c r="C397" s="99"/>
      <c r="D397" s="100"/>
      <c r="E397" s="101"/>
      <c r="F397" s="101"/>
      <c r="G397" s="100" t="str">
        <f>IFERROR(VLOOKUP(Tablo515[[#This Row],[ÜRÜN KODU]],YMKODLARI!$A$1:$K$363,3,0)," ")</f>
        <v xml:space="preserve"> </v>
      </c>
      <c r="H397" s="100" t="str">
        <f>IFERROR(VLOOKUP(Tablo515[[#This Row],[ÜRÜN KODU]],YMKODLARI!$A$1:$K$363,4,0)," ")</f>
        <v xml:space="preserve"> </v>
      </c>
      <c r="I397" s="100"/>
      <c r="J397" s="100" t="str">
        <f>IFERROR(VLOOKUP(Tablo515[[#This Row],[ÜRÜN KODU]],YMKODLARI!$A$1:$K$363,9,0)," ")</f>
        <v xml:space="preserve"> </v>
      </c>
      <c r="K397" s="100" t="str">
        <f>IFERROR(VLOOKUP(Tablo515[[#This Row],[BOYA KODU]],Tablo14[#All],4,0)," ")</f>
        <v xml:space="preserve"> </v>
      </c>
      <c r="L397" s="100" t="str">
        <f>IFERROR(VLOOKUP(Tablo515[[#This Row],[BOYA KODU]],Tablo14[#All],6,0)," ")</f>
        <v xml:space="preserve"> </v>
      </c>
      <c r="M397" s="100" t="str">
        <f t="shared" si="46"/>
        <v xml:space="preserve"> </v>
      </c>
      <c r="N397" s="100" t="str">
        <f>IFERROR(VLOOKUP(Tablo515[[#This Row],[ÜRÜN KODU]],YMKODLARI!$A$1:$K$363,8,0)," ")</f>
        <v xml:space="preserve"> </v>
      </c>
      <c r="O397" s="100" t="str">
        <f>IFERROR(VLOOKUP(Tablo515[[#This Row],[HAMMADDE KODU]],Tablo1[#All],3,0)," ")</f>
        <v xml:space="preserve"> </v>
      </c>
      <c r="P397" s="100" t="str">
        <f>IFERROR(VLOOKUP(Tablo515[[#This Row],[HAMMADDE KODU]],Tablo1[#All],4,0)," ")</f>
        <v xml:space="preserve"> </v>
      </c>
      <c r="Q397" s="100" t="str">
        <f>IFERROR(VLOOKUP(Tablo515[[#This Row],[ÜRÜN KODU]],YMKODLARI!$A$1:$K$363,5,0)," ")</f>
        <v xml:space="preserve"> </v>
      </c>
      <c r="R397" s="100" t="str">
        <f>IFERROR(VLOOKUP(Tablo515[[#This Row],[ÜRÜN KODU]],YMKODLARI!$A$1:$K$363,6,0)," ")</f>
        <v xml:space="preserve"> </v>
      </c>
      <c r="S397" s="100" t="str">
        <f>IFERROR(Tablo515[[#This Row],[YOLLUK HARİÇ BASKI GRAMI]]/Tablo515[[#This Row],[KALIP GÖZ ADEDİ]]," ")</f>
        <v xml:space="preserve"> </v>
      </c>
      <c r="T397" s="100" t="str">
        <f t="shared" si="48"/>
        <v xml:space="preserve"> </v>
      </c>
      <c r="U397" s="100"/>
      <c r="V397" s="100" t="str">
        <f t="shared" si="47"/>
        <v xml:space="preserve"> </v>
      </c>
      <c r="W397" s="101">
        <f t="shared" si="49"/>
        <v>24</v>
      </c>
      <c r="X397" s="102">
        <f t="shared" si="50"/>
        <v>0</v>
      </c>
      <c r="Y397" s="100" t="str">
        <f t="shared" si="51"/>
        <v xml:space="preserve"> </v>
      </c>
      <c r="Z397" s="100" t="str">
        <f t="shared" si="52"/>
        <v xml:space="preserve"> </v>
      </c>
    </row>
    <row r="398" spans="1:26">
      <c r="A398" s="100"/>
      <c r="B398" s="108" t="str">
        <f>IFERROR(VLOOKUP(Tablo515[[#This Row],[ÜRÜN KODU]],YMKODLARI!$A$1:$K$363,2,0)," ")</f>
        <v xml:space="preserve"> </v>
      </c>
      <c r="C398" s="99"/>
      <c r="D398" s="100"/>
      <c r="E398" s="101"/>
      <c r="F398" s="101"/>
      <c r="G398" s="100" t="str">
        <f>IFERROR(VLOOKUP(Tablo515[[#This Row],[ÜRÜN KODU]],YMKODLARI!$A$1:$K$363,3,0)," ")</f>
        <v xml:space="preserve"> </v>
      </c>
      <c r="H398" s="100" t="str">
        <f>IFERROR(VLOOKUP(Tablo515[[#This Row],[ÜRÜN KODU]],YMKODLARI!$A$1:$K$363,4,0)," ")</f>
        <v xml:space="preserve"> </v>
      </c>
      <c r="I398" s="100"/>
      <c r="J398" s="100" t="str">
        <f>IFERROR(VLOOKUP(Tablo515[[#This Row],[ÜRÜN KODU]],YMKODLARI!$A$1:$K$363,9,0)," ")</f>
        <v xml:space="preserve"> </v>
      </c>
      <c r="K398" s="100" t="str">
        <f>IFERROR(VLOOKUP(Tablo515[[#This Row],[BOYA KODU]],Tablo14[#All],4,0)," ")</f>
        <v xml:space="preserve"> </v>
      </c>
      <c r="L398" s="100" t="str">
        <f>IFERROR(VLOOKUP(Tablo515[[#This Row],[BOYA KODU]],Tablo14[#All],6,0)," ")</f>
        <v xml:space="preserve"> </v>
      </c>
      <c r="M398" s="100" t="str">
        <f t="shared" si="46"/>
        <v xml:space="preserve"> </v>
      </c>
      <c r="N398" s="100" t="str">
        <f>IFERROR(VLOOKUP(Tablo515[[#This Row],[ÜRÜN KODU]],YMKODLARI!$A$1:$K$363,8,0)," ")</f>
        <v xml:space="preserve"> </v>
      </c>
      <c r="O398" s="100" t="str">
        <f>IFERROR(VLOOKUP(Tablo515[[#This Row],[HAMMADDE KODU]],Tablo1[#All],3,0)," ")</f>
        <v xml:space="preserve"> </v>
      </c>
      <c r="P398" s="100" t="str">
        <f>IFERROR(VLOOKUP(Tablo515[[#This Row],[HAMMADDE KODU]],Tablo1[#All],4,0)," ")</f>
        <v xml:space="preserve"> </v>
      </c>
      <c r="Q398" s="100" t="str">
        <f>IFERROR(VLOOKUP(Tablo515[[#This Row],[ÜRÜN KODU]],YMKODLARI!$A$1:$K$363,5,0)," ")</f>
        <v xml:space="preserve"> </v>
      </c>
      <c r="R398" s="100" t="str">
        <f>IFERROR(VLOOKUP(Tablo515[[#This Row],[ÜRÜN KODU]],YMKODLARI!$A$1:$K$363,6,0)," ")</f>
        <v xml:space="preserve"> </v>
      </c>
      <c r="S398" s="100" t="str">
        <f>IFERROR(Tablo515[[#This Row],[YOLLUK HARİÇ BASKI GRAMI]]/Tablo515[[#This Row],[KALIP GÖZ ADEDİ]]," ")</f>
        <v xml:space="preserve"> </v>
      </c>
      <c r="T398" s="100" t="str">
        <f t="shared" si="48"/>
        <v xml:space="preserve"> </v>
      </c>
      <c r="U398" s="100"/>
      <c r="V398" s="100" t="str">
        <f t="shared" si="47"/>
        <v xml:space="preserve"> </v>
      </c>
      <c r="W398" s="101">
        <f t="shared" si="49"/>
        <v>24</v>
      </c>
      <c r="X398" s="102">
        <f t="shared" si="50"/>
        <v>0</v>
      </c>
      <c r="Y398" s="100" t="str">
        <f t="shared" si="51"/>
        <v xml:space="preserve"> </v>
      </c>
      <c r="Z398" s="100" t="str">
        <f t="shared" si="52"/>
        <v xml:space="preserve"> </v>
      </c>
    </row>
    <row r="399" spans="1:26">
      <c r="A399" s="100"/>
      <c r="B399" s="108" t="str">
        <f>IFERROR(VLOOKUP(Tablo515[[#This Row],[ÜRÜN KODU]],YMKODLARI!$A$1:$K$363,2,0)," ")</f>
        <v xml:space="preserve"> </v>
      </c>
      <c r="C399" s="99"/>
      <c r="D399" s="100"/>
      <c r="E399" s="101"/>
      <c r="F399" s="101"/>
      <c r="G399" s="100" t="str">
        <f>IFERROR(VLOOKUP(Tablo515[[#This Row],[ÜRÜN KODU]],YMKODLARI!$A$1:$K$363,3,0)," ")</f>
        <v xml:space="preserve"> </v>
      </c>
      <c r="H399" s="100" t="str">
        <f>IFERROR(VLOOKUP(Tablo515[[#This Row],[ÜRÜN KODU]],YMKODLARI!$A$1:$K$363,4,0)," ")</f>
        <v xml:space="preserve"> </v>
      </c>
      <c r="I399" s="100"/>
      <c r="J399" s="100" t="str">
        <f>IFERROR(VLOOKUP(Tablo515[[#This Row],[ÜRÜN KODU]],YMKODLARI!$A$1:$K$363,9,0)," ")</f>
        <v xml:space="preserve"> </v>
      </c>
      <c r="K399" s="100" t="str">
        <f>IFERROR(VLOOKUP(Tablo515[[#This Row],[BOYA KODU]],Tablo14[#All],4,0)," ")</f>
        <v xml:space="preserve"> </v>
      </c>
      <c r="L399" s="100" t="str">
        <f>IFERROR(VLOOKUP(Tablo515[[#This Row],[BOYA KODU]],Tablo14[#All],6,0)," ")</f>
        <v xml:space="preserve"> </v>
      </c>
      <c r="M399" s="100" t="str">
        <f t="shared" si="46"/>
        <v xml:space="preserve"> </v>
      </c>
      <c r="N399" s="100" t="str">
        <f>IFERROR(VLOOKUP(Tablo515[[#This Row],[ÜRÜN KODU]],YMKODLARI!$A$1:$K$363,8,0)," ")</f>
        <v xml:space="preserve"> </v>
      </c>
      <c r="O399" s="100" t="str">
        <f>IFERROR(VLOOKUP(Tablo515[[#This Row],[HAMMADDE KODU]],Tablo1[#All],3,0)," ")</f>
        <v xml:space="preserve"> </v>
      </c>
      <c r="P399" s="100" t="str">
        <f>IFERROR(VLOOKUP(Tablo515[[#This Row],[HAMMADDE KODU]],Tablo1[#All],4,0)," ")</f>
        <v xml:space="preserve"> </v>
      </c>
      <c r="Q399" s="100" t="str">
        <f>IFERROR(VLOOKUP(Tablo515[[#This Row],[ÜRÜN KODU]],YMKODLARI!$A$1:$K$363,5,0)," ")</f>
        <v xml:space="preserve"> </v>
      </c>
      <c r="R399" s="100" t="str">
        <f>IFERROR(VLOOKUP(Tablo515[[#This Row],[ÜRÜN KODU]],YMKODLARI!$A$1:$K$363,6,0)," ")</f>
        <v xml:space="preserve"> </v>
      </c>
      <c r="S399" s="100" t="str">
        <f>IFERROR(Tablo515[[#This Row],[YOLLUK HARİÇ BASKI GRAMI]]/Tablo515[[#This Row],[KALIP GÖZ ADEDİ]]," ")</f>
        <v xml:space="preserve"> </v>
      </c>
      <c r="T399" s="100" t="str">
        <f t="shared" si="48"/>
        <v xml:space="preserve"> </v>
      </c>
      <c r="U399" s="100"/>
      <c r="V399" s="100" t="str">
        <f t="shared" si="47"/>
        <v xml:space="preserve"> </v>
      </c>
      <c r="W399" s="101">
        <f t="shared" si="49"/>
        <v>24</v>
      </c>
      <c r="X399" s="102">
        <f t="shared" si="50"/>
        <v>0</v>
      </c>
      <c r="Y399" s="100" t="str">
        <f t="shared" si="51"/>
        <v xml:space="preserve"> </v>
      </c>
      <c r="Z399" s="100" t="str">
        <f t="shared" si="52"/>
        <v xml:space="preserve"> </v>
      </c>
    </row>
    <row r="400" spans="1:26">
      <c r="A400" s="100"/>
      <c r="B400" s="108" t="str">
        <f>IFERROR(VLOOKUP(Tablo515[[#This Row],[ÜRÜN KODU]],YMKODLARI!$A$1:$K$363,2,0)," ")</f>
        <v xml:space="preserve"> </v>
      </c>
      <c r="C400" s="99"/>
      <c r="D400" s="100"/>
      <c r="E400" s="101"/>
      <c r="F400" s="101"/>
      <c r="G400" s="100" t="str">
        <f>IFERROR(VLOOKUP(Tablo515[[#This Row],[ÜRÜN KODU]],YMKODLARI!$A$1:$K$363,3,0)," ")</f>
        <v xml:space="preserve"> </v>
      </c>
      <c r="H400" s="100" t="str">
        <f>IFERROR(VLOOKUP(Tablo515[[#This Row],[ÜRÜN KODU]],YMKODLARI!$A$1:$K$363,4,0)," ")</f>
        <v xml:space="preserve"> </v>
      </c>
      <c r="I400" s="100"/>
      <c r="J400" s="100" t="str">
        <f>IFERROR(VLOOKUP(Tablo515[[#This Row],[ÜRÜN KODU]],YMKODLARI!$A$1:$K$363,9,0)," ")</f>
        <v xml:space="preserve"> </v>
      </c>
      <c r="K400" s="100" t="str">
        <f>IFERROR(VLOOKUP(Tablo515[[#This Row],[BOYA KODU]],Tablo14[#All],4,0)," ")</f>
        <v xml:space="preserve"> </v>
      </c>
      <c r="L400" s="100" t="str">
        <f>IFERROR(VLOOKUP(Tablo515[[#This Row],[BOYA KODU]],Tablo14[#All],6,0)," ")</f>
        <v xml:space="preserve"> </v>
      </c>
      <c r="M400" s="100" t="str">
        <f t="shared" si="46"/>
        <v xml:space="preserve"> </v>
      </c>
      <c r="N400" s="100" t="str">
        <f>IFERROR(VLOOKUP(Tablo515[[#This Row],[ÜRÜN KODU]],YMKODLARI!$A$1:$K$363,8,0)," ")</f>
        <v xml:space="preserve"> </v>
      </c>
      <c r="O400" s="100" t="str">
        <f>IFERROR(VLOOKUP(Tablo515[[#This Row],[HAMMADDE KODU]],Tablo1[#All],3,0)," ")</f>
        <v xml:space="preserve"> </v>
      </c>
      <c r="P400" s="100" t="str">
        <f>IFERROR(VLOOKUP(Tablo515[[#This Row],[HAMMADDE KODU]],Tablo1[#All],4,0)," ")</f>
        <v xml:space="preserve"> </v>
      </c>
      <c r="Q400" s="100" t="str">
        <f>IFERROR(VLOOKUP(Tablo515[[#This Row],[ÜRÜN KODU]],YMKODLARI!$A$1:$K$363,5,0)," ")</f>
        <v xml:space="preserve"> </v>
      </c>
      <c r="R400" s="100" t="str">
        <f>IFERROR(VLOOKUP(Tablo515[[#This Row],[ÜRÜN KODU]],YMKODLARI!$A$1:$K$363,6,0)," ")</f>
        <v xml:space="preserve"> </v>
      </c>
      <c r="S400" s="100" t="str">
        <f>IFERROR(Tablo515[[#This Row],[YOLLUK HARİÇ BASKI GRAMI]]/Tablo515[[#This Row],[KALIP GÖZ ADEDİ]]," ")</f>
        <v xml:space="preserve"> </v>
      </c>
      <c r="T400" s="100" t="str">
        <f t="shared" si="48"/>
        <v xml:space="preserve"> </v>
      </c>
      <c r="U400" s="100"/>
      <c r="V400" s="100" t="str">
        <f t="shared" si="47"/>
        <v xml:space="preserve"> </v>
      </c>
      <c r="W400" s="101">
        <f t="shared" si="49"/>
        <v>24</v>
      </c>
      <c r="X400" s="102">
        <f t="shared" si="50"/>
        <v>0</v>
      </c>
      <c r="Y400" s="100" t="str">
        <f t="shared" si="51"/>
        <v xml:space="preserve"> </v>
      </c>
      <c r="Z400" s="100" t="str">
        <f t="shared" si="52"/>
        <v xml:space="preserve"> </v>
      </c>
    </row>
    <row r="401" spans="1:26">
      <c r="A401" s="100"/>
      <c r="B401" s="108" t="str">
        <f>IFERROR(VLOOKUP(Tablo515[[#This Row],[ÜRÜN KODU]],YMKODLARI!$A$1:$K$363,2,0)," ")</f>
        <v xml:space="preserve"> </v>
      </c>
      <c r="C401" s="99"/>
      <c r="D401" s="100"/>
      <c r="E401" s="101"/>
      <c r="F401" s="101"/>
      <c r="G401" s="100" t="str">
        <f>IFERROR(VLOOKUP(Tablo515[[#This Row],[ÜRÜN KODU]],YMKODLARI!$A$1:$K$363,3,0)," ")</f>
        <v xml:space="preserve"> </v>
      </c>
      <c r="H401" s="100" t="str">
        <f>IFERROR(VLOOKUP(Tablo515[[#This Row],[ÜRÜN KODU]],YMKODLARI!$A$1:$K$363,4,0)," ")</f>
        <v xml:space="preserve"> </v>
      </c>
      <c r="I401" s="100"/>
      <c r="J401" s="100" t="str">
        <f>IFERROR(VLOOKUP(Tablo515[[#This Row],[ÜRÜN KODU]],YMKODLARI!$A$1:$K$363,9,0)," ")</f>
        <v xml:space="preserve"> </v>
      </c>
      <c r="K401" s="100" t="str">
        <f>IFERROR(VLOOKUP(Tablo515[[#This Row],[BOYA KODU]],Tablo14[#All],4,0)," ")</f>
        <v xml:space="preserve"> </v>
      </c>
      <c r="L401" s="100" t="str">
        <f>IFERROR(VLOOKUP(Tablo515[[#This Row],[BOYA KODU]],Tablo14[#All],6,0)," ")</f>
        <v xml:space="preserve"> </v>
      </c>
      <c r="M401" s="100" t="str">
        <f t="shared" si="46"/>
        <v xml:space="preserve"> </v>
      </c>
      <c r="N401" s="100" t="str">
        <f>IFERROR(VLOOKUP(Tablo515[[#This Row],[ÜRÜN KODU]],YMKODLARI!$A$1:$K$363,8,0)," ")</f>
        <v xml:space="preserve"> </v>
      </c>
      <c r="O401" s="100" t="str">
        <f>IFERROR(VLOOKUP(Tablo515[[#This Row],[HAMMADDE KODU]],Tablo1[#All],3,0)," ")</f>
        <v xml:space="preserve"> </v>
      </c>
      <c r="P401" s="100" t="str">
        <f>IFERROR(VLOOKUP(Tablo515[[#This Row],[HAMMADDE KODU]],Tablo1[#All],4,0)," ")</f>
        <v xml:space="preserve"> </v>
      </c>
      <c r="Q401" s="100" t="str">
        <f>IFERROR(VLOOKUP(Tablo515[[#This Row],[ÜRÜN KODU]],YMKODLARI!$A$1:$K$363,5,0)," ")</f>
        <v xml:space="preserve"> </v>
      </c>
      <c r="R401" s="100" t="str">
        <f>IFERROR(VLOOKUP(Tablo515[[#This Row],[ÜRÜN KODU]],YMKODLARI!$A$1:$K$363,6,0)," ")</f>
        <v xml:space="preserve"> </v>
      </c>
      <c r="S401" s="100" t="str">
        <f>IFERROR(Tablo515[[#This Row],[YOLLUK HARİÇ BASKI GRAMI]]/Tablo515[[#This Row],[KALIP GÖZ ADEDİ]]," ")</f>
        <v xml:space="preserve"> </v>
      </c>
      <c r="T401" s="100" t="str">
        <f t="shared" si="48"/>
        <v xml:space="preserve"> </v>
      </c>
      <c r="U401" s="100"/>
      <c r="V401" s="100" t="str">
        <f t="shared" si="47"/>
        <v xml:space="preserve"> </v>
      </c>
      <c r="W401" s="101">
        <f t="shared" si="49"/>
        <v>24</v>
      </c>
      <c r="X401" s="102">
        <f t="shared" si="50"/>
        <v>0</v>
      </c>
      <c r="Y401" s="100" t="str">
        <f t="shared" si="51"/>
        <v xml:space="preserve"> </v>
      </c>
      <c r="Z401" s="100" t="str">
        <f t="shared" si="52"/>
        <v xml:space="preserve"> </v>
      </c>
    </row>
    <row r="402" spans="1:26">
      <c r="A402" s="100"/>
      <c r="B402" s="108" t="str">
        <f>IFERROR(VLOOKUP(Tablo515[[#This Row],[ÜRÜN KODU]],YMKODLARI!$A$1:$K$363,2,0)," ")</f>
        <v xml:space="preserve"> </v>
      </c>
      <c r="C402" s="99"/>
      <c r="D402" s="100"/>
      <c r="E402" s="101"/>
      <c r="F402" s="101"/>
      <c r="G402" s="100" t="str">
        <f>IFERROR(VLOOKUP(Tablo515[[#This Row],[ÜRÜN KODU]],YMKODLARI!$A$1:$K$363,3,0)," ")</f>
        <v xml:space="preserve"> </v>
      </c>
      <c r="H402" s="100" t="str">
        <f>IFERROR(VLOOKUP(Tablo515[[#This Row],[ÜRÜN KODU]],YMKODLARI!$A$1:$K$363,4,0)," ")</f>
        <v xml:space="preserve"> </v>
      </c>
      <c r="I402" s="100"/>
      <c r="J402" s="100" t="str">
        <f>IFERROR(VLOOKUP(Tablo515[[#This Row],[ÜRÜN KODU]],YMKODLARI!$A$1:$K$363,9,0)," ")</f>
        <v xml:space="preserve"> </v>
      </c>
      <c r="K402" s="100" t="str">
        <f>IFERROR(VLOOKUP(Tablo515[[#This Row],[BOYA KODU]],Tablo14[#All],4,0)," ")</f>
        <v xml:space="preserve"> </v>
      </c>
      <c r="L402" s="100" t="str">
        <f>IFERROR(VLOOKUP(Tablo515[[#This Row],[BOYA KODU]],Tablo14[#All],6,0)," ")</f>
        <v xml:space="preserve"> </v>
      </c>
      <c r="M402" s="100" t="str">
        <f t="shared" si="46"/>
        <v xml:space="preserve"> </v>
      </c>
      <c r="N402" s="100" t="str">
        <f>IFERROR(VLOOKUP(Tablo515[[#This Row],[ÜRÜN KODU]],YMKODLARI!$A$1:$K$363,8,0)," ")</f>
        <v xml:space="preserve"> </v>
      </c>
      <c r="O402" s="100" t="str">
        <f>IFERROR(VLOOKUP(Tablo515[[#This Row],[HAMMADDE KODU]],Tablo1[#All],3,0)," ")</f>
        <v xml:space="preserve"> </v>
      </c>
      <c r="P402" s="100" t="str">
        <f>IFERROR(VLOOKUP(Tablo515[[#This Row],[HAMMADDE KODU]],Tablo1[#All],4,0)," ")</f>
        <v xml:space="preserve"> </v>
      </c>
      <c r="Q402" s="100" t="str">
        <f>IFERROR(VLOOKUP(Tablo515[[#This Row],[ÜRÜN KODU]],YMKODLARI!$A$1:$K$363,5,0)," ")</f>
        <v xml:space="preserve"> </v>
      </c>
      <c r="R402" s="100" t="str">
        <f>IFERROR(VLOOKUP(Tablo515[[#This Row],[ÜRÜN KODU]],YMKODLARI!$A$1:$K$363,6,0)," ")</f>
        <v xml:space="preserve"> </v>
      </c>
      <c r="S402" s="100" t="str">
        <f>IFERROR(Tablo515[[#This Row],[YOLLUK HARİÇ BASKI GRAMI]]/Tablo515[[#This Row],[KALIP GÖZ ADEDİ]]," ")</f>
        <v xml:space="preserve"> </v>
      </c>
      <c r="T402" s="100" t="str">
        <f t="shared" si="48"/>
        <v xml:space="preserve"> </v>
      </c>
      <c r="U402" s="100"/>
      <c r="V402" s="100" t="str">
        <f t="shared" si="47"/>
        <v xml:space="preserve"> </v>
      </c>
      <c r="W402" s="101">
        <f t="shared" si="49"/>
        <v>24</v>
      </c>
      <c r="X402" s="102">
        <f t="shared" si="50"/>
        <v>0</v>
      </c>
      <c r="Y402" s="100" t="str">
        <f t="shared" si="51"/>
        <v xml:space="preserve"> </v>
      </c>
      <c r="Z402" s="100" t="str">
        <f t="shared" si="52"/>
        <v xml:space="preserve"> </v>
      </c>
    </row>
    <row r="403" spans="1:26">
      <c r="A403" s="100"/>
      <c r="B403" s="108" t="str">
        <f>IFERROR(VLOOKUP(Tablo515[[#This Row],[ÜRÜN KODU]],YMKODLARI!$A$1:$K$363,2,0)," ")</f>
        <v xml:space="preserve"> </v>
      </c>
      <c r="C403" s="99"/>
      <c r="D403" s="100"/>
      <c r="E403" s="101"/>
      <c r="F403" s="101"/>
      <c r="G403" s="100" t="str">
        <f>IFERROR(VLOOKUP(Tablo515[[#This Row],[ÜRÜN KODU]],YMKODLARI!$A$1:$K$363,3,0)," ")</f>
        <v xml:space="preserve"> </v>
      </c>
      <c r="H403" s="100" t="str">
        <f>IFERROR(VLOOKUP(Tablo515[[#This Row],[ÜRÜN KODU]],YMKODLARI!$A$1:$K$363,4,0)," ")</f>
        <v xml:space="preserve"> </v>
      </c>
      <c r="I403" s="100"/>
      <c r="J403" s="100" t="str">
        <f>IFERROR(VLOOKUP(Tablo515[[#This Row],[ÜRÜN KODU]],YMKODLARI!$A$1:$K$363,9,0)," ")</f>
        <v xml:space="preserve"> </v>
      </c>
      <c r="K403" s="100" t="str">
        <f>IFERROR(VLOOKUP(Tablo515[[#This Row],[BOYA KODU]],Tablo14[#All],4,0)," ")</f>
        <v xml:space="preserve"> </v>
      </c>
      <c r="L403" s="100" t="str">
        <f>IFERROR(VLOOKUP(Tablo515[[#This Row],[BOYA KODU]],Tablo14[#All],6,0)," ")</f>
        <v xml:space="preserve"> </v>
      </c>
      <c r="M403" s="100" t="str">
        <f t="shared" si="46"/>
        <v xml:space="preserve"> </v>
      </c>
      <c r="N403" s="100" t="str">
        <f>IFERROR(VLOOKUP(Tablo515[[#This Row],[ÜRÜN KODU]],YMKODLARI!$A$1:$K$363,8,0)," ")</f>
        <v xml:space="preserve"> </v>
      </c>
      <c r="O403" s="100" t="str">
        <f>IFERROR(VLOOKUP(Tablo515[[#This Row],[HAMMADDE KODU]],Tablo1[#All],3,0)," ")</f>
        <v xml:space="preserve"> </v>
      </c>
      <c r="P403" s="100" t="str">
        <f>IFERROR(VLOOKUP(Tablo515[[#This Row],[HAMMADDE KODU]],Tablo1[#All],4,0)," ")</f>
        <v xml:space="preserve"> </v>
      </c>
      <c r="Q403" s="100" t="str">
        <f>IFERROR(VLOOKUP(Tablo515[[#This Row],[ÜRÜN KODU]],YMKODLARI!$A$1:$K$363,5,0)," ")</f>
        <v xml:space="preserve"> </v>
      </c>
      <c r="R403" s="100" t="str">
        <f>IFERROR(VLOOKUP(Tablo515[[#This Row],[ÜRÜN KODU]],YMKODLARI!$A$1:$K$363,6,0)," ")</f>
        <v xml:space="preserve"> </v>
      </c>
      <c r="S403" s="100" t="str">
        <f>IFERROR(Tablo515[[#This Row],[YOLLUK HARİÇ BASKI GRAMI]]/Tablo515[[#This Row],[KALIP GÖZ ADEDİ]]," ")</f>
        <v xml:space="preserve"> </v>
      </c>
      <c r="T403" s="100" t="str">
        <f t="shared" si="48"/>
        <v xml:space="preserve"> </v>
      </c>
      <c r="U403" s="100"/>
      <c r="V403" s="100" t="str">
        <f t="shared" si="47"/>
        <v xml:space="preserve"> </v>
      </c>
      <c r="W403" s="101">
        <f t="shared" si="49"/>
        <v>24</v>
      </c>
      <c r="X403" s="102">
        <f t="shared" si="50"/>
        <v>0</v>
      </c>
      <c r="Y403" s="100" t="str">
        <f t="shared" si="51"/>
        <v xml:space="preserve"> </v>
      </c>
      <c r="Z403" s="100" t="str">
        <f t="shared" si="52"/>
        <v xml:space="preserve"> </v>
      </c>
    </row>
    <row r="404" spans="1:26">
      <c r="A404" s="100"/>
      <c r="B404" s="108" t="str">
        <f>IFERROR(VLOOKUP(Tablo515[[#This Row],[ÜRÜN KODU]],YMKODLARI!$A$1:$K$363,2,0)," ")</f>
        <v xml:space="preserve"> </v>
      </c>
      <c r="C404" s="99"/>
      <c r="D404" s="100"/>
      <c r="E404" s="101"/>
      <c r="F404" s="101"/>
      <c r="G404" s="100" t="str">
        <f>IFERROR(VLOOKUP(Tablo515[[#This Row],[ÜRÜN KODU]],YMKODLARI!$A$1:$K$363,3,0)," ")</f>
        <v xml:space="preserve"> </v>
      </c>
      <c r="H404" s="100" t="str">
        <f>IFERROR(VLOOKUP(Tablo515[[#This Row],[ÜRÜN KODU]],YMKODLARI!$A$1:$K$363,4,0)," ")</f>
        <v xml:space="preserve"> </v>
      </c>
      <c r="I404" s="100"/>
      <c r="J404" s="100" t="str">
        <f>IFERROR(VLOOKUP(Tablo515[[#This Row],[ÜRÜN KODU]],YMKODLARI!$A$1:$K$363,9,0)," ")</f>
        <v xml:space="preserve"> </v>
      </c>
      <c r="K404" s="100" t="str">
        <f>IFERROR(VLOOKUP(Tablo515[[#This Row],[BOYA KODU]],Tablo14[#All],4,0)," ")</f>
        <v xml:space="preserve"> </v>
      </c>
      <c r="L404" s="100" t="str">
        <f>IFERROR(VLOOKUP(Tablo515[[#This Row],[BOYA KODU]],Tablo14[#All],6,0)," ")</f>
        <v xml:space="preserve"> </v>
      </c>
      <c r="M404" s="100" t="str">
        <f t="shared" si="46"/>
        <v xml:space="preserve"> </v>
      </c>
      <c r="N404" s="100" t="str">
        <f>IFERROR(VLOOKUP(Tablo515[[#This Row],[ÜRÜN KODU]],YMKODLARI!$A$1:$K$363,8,0)," ")</f>
        <v xml:space="preserve"> </v>
      </c>
      <c r="O404" s="100" t="str">
        <f>IFERROR(VLOOKUP(Tablo515[[#This Row],[HAMMADDE KODU]],Tablo1[#All],3,0)," ")</f>
        <v xml:space="preserve"> </v>
      </c>
      <c r="P404" s="100" t="str">
        <f>IFERROR(VLOOKUP(Tablo515[[#This Row],[HAMMADDE KODU]],Tablo1[#All],4,0)," ")</f>
        <v xml:space="preserve"> </v>
      </c>
      <c r="Q404" s="100" t="str">
        <f>IFERROR(VLOOKUP(Tablo515[[#This Row],[ÜRÜN KODU]],YMKODLARI!$A$1:$K$363,5,0)," ")</f>
        <v xml:space="preserve"> </v>
      </c>
      <c r="R404" s="100" t="str">
        <f>IFERROR(VLOOKUP(Tablo515[[#This Row],[ÜRÜN KODU]],YMKODLARI!$A$1:$K$363,6,0)," ")</f>
        <v xml:space="preserve"> </v>
      </c>
      <c r="S404" s="100" t="str">
        <f>IFERROR(Tablo515[[#This Row],[YOLLUK HARİÇ BASKI GRAMI]]/Tablo515[[#This Row],[KALIP GÖZ ADEDİ]]," ")</f>
        <v xml:space="preserve"> </v>
      </c>
      <c r="T404" s="100" t="str">
        <f t="shared" si="48"/>
        <v xml:space="preserve"> </v>
      </c>
      <c r="U404" s="100"/>
      <c r="V404" s="100" t="str">
        <f t="shared" si="47"/>
        <v xml:space="preserve"> </v>
      </c>
      <c r="W404" s="101">
        <f t="shared" si="49"/>
        <v>24</v>
      </c>
      <c r="X404" s="102">
        <f t="shared" si="50"/>
        <v>0</v>
      </c>
      <c r="Y404" s="100" t="str">
        <f t="shared" si="51"/>
        <v xml:space="preserve"> </v>
      </c>
      <c r="Z404" s="100" t="str">
        <f t="shared" si="52"/>
        <v xml:space="preserve"> </v>
      </c>
    </row>
    <row r="405" spans="1:26">
      <c r="A405" s="100"/>
      <c r="B405" s="108" t="str">
        <f>IFERROR(VLOOKUP(Tablo515[[#This Row],[ÜRÜN KODU]],YMKODLARI!$A$1:$K$363,2,0)," ")</f>
        <v xml:space="preserve"> </v>
      </c>
      <c r="C405" s="99"/>
      <c r="D405" s="100"/>
      <c r="E405" s="101"/>
      <c r="F405" s="101"/>
      <c r="G405" s="100" t="str">
        <f>IFERROR(VLOOKUP(Tablo515[[#This Row],[ÜRÜN KODU]],YMKODLARI!$A$1:$K$363,3,0)," ")</f>
        <v xml:space="preserve"> </v>
      </c>
      <c r="H405" s="100" t="str">
        <f>IFERROR(VLOOKUP(Tablo515[[#This Row],[ÜRÜN KODU]],YMKODLARI!$A$1:$K$363,4,0)," ")</f>
        <v xml:space="preserve"> </v>
      </c>
      <c r="I405" s="100"/>
      <c r="J405" s="100" t="str">
        <f>IFERROR(VLOOKUP(Tablo515[[#This Row],[ÜRÜN KODU]],YMKODLARI!$A$1:$K$363,9,0)," ")</f>
        <v xml:space="preserve"> </v>
      </c>
      <c r="K405" s="100" t="str">
        <f>IFERROR(VLOOKUP(Tablo515[[#This Row],[BOYA KODU]],Tablo14[#All],4,0)," ")</f>
        <v xml:space="preserve"> </v>
      </c>
      <c r="L405" s="100" t="str">
        <f>IFERROR(VLOOKUP(Tablo515[[#This Row],[BOYA KODU]],Tablo14[#All],6,0)," ")</f>
        <v xml:space="preserve"> </v>
      </c>
      <c r="M405" s="100" t="str">
        <f t="shared" si="46"/>
        <v xml:space="preserve"> </v>
      </c>
      <c r="N405" s="100" t="str">
        <f>IFERROR(VLOOKUP(Tablo515[[#This Row],[ÜRÜN KODU]],YMKODLARI!$A$1:$K$363,8,0)," ")</f>
        <v xml:space="preserve"> </v>
      </c>
      <c r="O405" s="100" t="str">
        <f>IFERROR(VLOOKUP(Tablo515[[#This Row],[HAMMADDE KODU]],Tablo1[#All],3,0)," ")</f>
        <v xml:space="preserve"> </v>
      </c>
      <c r="P405" s="100" t="str">
        <f>IFERROR(VLOOKUP(Tablo515[[#This Row],[HAMMADDE KODU]],Tablo1[#All],4,0)," ")</f>
        <v xml:space="preserve"> </v>
      </c>
      <c r="Q405" s="100" t="str">
        <f>IFERROR(VLOOKUP(Tablo515[[#This Row],[ÜRÜN KODU]],YMKODLARI!$A$1:$K$363,5,0)," ")</f>
        <v xml:space="preserve"> </v>
      </c>
      <c r="R405" s="100" t="str">
        <f>IFERROR(VLOOKUP(Tablo515[[#This Row],[ÜRÜN KODU]],YMKODLARI!$A$1:$K$363,6,0)," ")</f>
        <v xml:space="preserve"> </v>
      </c>
      <c r="S405" s="100" t="str">
        <f>IFERROR(Tablo515[[#This Row],[YOLLUK HARİÇ BASKI GRAMI]]/Tablo515[[#This Row],[KALIP GÖZ ADEDİ]]," ")</f>
        <v xml:space="preserve"> </v>
      </c>
      <c r="T405" s="100" t="str">
        <f t="shared" si="48"/>
        <v xml:space="preserve"> </v>
      </c>
      <c r="U405" s="100"/>
      <c r="V405" s="100" t="str">
        <f t="shared" si="47"/>
        <v xml:space="preserve"> </v>
      </c>
      <c r="W405" s="101">
        <f t="shared" si="49"/>
        <v>24</v>
      </c>
      <c r="X405" s="102">
        <f t="shared" si="50"/>
        <v>0</v>
      </c>
      <c r="Y405" s="100" t="str">
        <f t="shared" si="51"/>
        <v xml:space="preserve"> </v>
      </c>
      <c r="Z405" s="100" t="str">
        <f t="shared" si="52"/>
        <v xml:space="preserve"> </v>
      </c>
    </row>
    <row r="406" spans="1:26">
      <c r="A406" s="100"/>
      <c r="B406" s="108" t="str">
        <f>IFERROR(VLOOKUP(Tablo515[[#This Row],[ÜRÜN KODU]],YMKODLARI!$A$1:$K$363,2,0)," ")</f>
        <v xml:space="preserve"> </v>
      </c>
      <c r="C406" s="99"/>
      <c r="D406" s="100"/>
      <c r="E406" s="101"/>
      <c r="F406" s="101"/>
      <c r="G406" s="100" t="str">
        <f>IFERROR(VLOOKUP(Tablo515[[#This Row],[ÜRÜN KODU]],YMKODLARI!$A$1:$K$363,3,0)," ")</f>
        <v xml:space="preserve"> </v>
      </c>
      <c r="H406" s="100" t="str">
        <f>IFERROR(VLOOKUP(Tablo515[[#This Row],[ÜRÜN KODU]],YMKODLARI!$A$1:$K$363,4,0)," ")</f>
        <v xml:space="preserve"> </v>
      </c>
      <c r="I406" s="100"/>
      <c r="J406" s="100" t="str">
        <f>IFERROR(VLOOKUP(Tablo515[[#This Row],[ÜRÜN KODU]],YMKODLARI!$A$1:$K$363,9,0)," ")</f>
        <v xml:space="preserve"> </v>
      </c>
      <c r="K406" s="100" t="str">
        <f>IFERROR(VLOOKUP(Tablo515[[#This Row],[BOYA KODU]],Tablo14[#All],4,0)," ")</f>
        <v xml:space="preserve"> </v>
      </c>
      <c r="L406" s="100" t="str">
        <f>IFERROR(VLOOKUP(Tablo515[[#This Row],[BOYA KODU]],Tablo14[#All],6,0)," ")</f>
        <v xml:space="preserve"> </v>
      </c>
      <c r="M406" s="100" t="str">
        <f t="shared" si="46"/>
        <v xml:space="preserve"> </v>
      </c>
      <c r="N406" s="100" t="str">
        <f>IFERROR(VLOOKUP(Tablo515[[#This Row],[ÜRÜN KODU]],YMKODLARI!$A$1:$K$363,8,0)," ")</f>
        <v xml:space="preserve"> </v>
      </c>
      <c r="O406" s="100" t="str">
        <f>IFERROR(VLOOKUP(Tablo515[[#This Row],[HAMMADDE KODU]],Tablo1[#All],3,0)," ")</f>
        <v xml:space="preserve"> </v>
      </c>
      <c r="P406" s="100" t="str">
        <f>IFERROR(VLOOKUP(Tablo515[[#This Row],[HAMMADDE KODU]],Tablo1[#All],4,0)," ")</f>
        <v xml:space="preserve"> </v>
      </c>
      <c r="Q406" s="100" t="str">
        <f>IFERROR(VLOOKUP(Tablo515[[#This Row],[ÜRÜN KODU]],YMKODLARI!$A$1:$K$363,5,0)," ")</f>
        <v xml:space="preserve"> </v>
      </c>
      <c r="R406" s="100" t="str">
        <f>IFERROR(VLOOKUP(Tablo515[[#This Row],[ÜRÜN KODU]],YMKODLARI!$A$1:$K$363,6,0)," ")</f>
        <v xml:space="preserve"> </v>
      </c>
      <c r="S406" s="100" t="str">
        <f>IFERROR(Tablo515[[#This Row],[YOLLUK HARİÇ BASKI GRAMI]]/Tablo515[[#This Row],[KALIP GÖZ ADEDİ]]," ")</f>
        <v xml:space="preserve"> </v>
      </c>
      <c r="T406" s="100" t="str">
        <f t="shared" si="48"/>
        <v xml:space="preserve"> </v>
      </c>
      <c r="U406" s="100"/>
      <c r="V406" s="100" t="str">
        <f t="shared" si="47"/>
        <v xml:space="preserve"> </v>
      </c>
      <c r="W406" s="101">
        <f t="shared" si="49"/>
        <v>24</v>
      </c>
      <c r="X406" s="102">
        <f t="shared" si="50"/>
        <v>0</v>
      </c>
      <c r="Y406" s="100" t="str">
        <f t="shared" si="51"/>
        <v xml:space="preserve"> </v>
      </c>
      <c r="Z406" s="100" t="str">
        <f t="shared" si="52"/>
        <v xml:space="preserve"> </v>
      </c>
    </row>
    <row r="407" spans="1:26">
      <c r="A407" s="100"/>
      <c r="B407" s="108" t="str">
        <f>IFERROR(VLOOKUP(Tablo515[[#This Row],[ÜRÜN KODU]],YMKODLARI!$A$1:$K$363,2,0)," ")</f>
        <v xml:space="preserve"> </v>
      </c>
      <c r="C407" s="99"/>
      <c r="D407" s="100"/>
      <c r="E407" s="101"/>
      <c r="F407" s="101"/>
      <c r="G407" s="100" t="str">
        <f>IFERROR(VLOOKUP(Tablo515[[#This Row],[ÜRÜN KODU]],YMKODLARI!$A$1:$K$363,3,0)," ")</f>
        <v xml:space="preserve"> </v>
      </c>
      <c r="H407" s="100" t="str">
        <f>IFERROR(VLOOKUP(Tablo515[[#This Row],[ÜRÜN KODU]],YMKODLARI!$A$1:$K$363,4,0)," ")</f>
        <v xml:space="preserve"> </v>
      </c>
      <c r="I407" s="100"/>
      <c r="J407" s="100" t="str">
        <f>IFERROR(VLOOKUP(Tablo515[[#This Row],[ÜRÜN KODU]],YMKODLARI!$A$1:$K$363,9,0)," ")</f>
        <v xml:space="preserve"> </v>
      </c>
      <c r="K407" s="100" t="str">
        <f>IFERROR(VLOOKUP(Tablo515[[#This Row],[BOYA KODU]],Tablo14[#All],4,0)," ")</f>
        <v xml:space="preserve"> </v>
      </c>
      <c r="L407" s="100" t="str">
        <f>IFERROR(VLOOKUP(Tablo515[[#This Row],[BOYA KODU]],Tablo14[#All],6,0)," ")</f>
        <v xml:space="preserve"> </v>
      </c>
      <c r="M407" s="100" t="str">
        <f t="shared" si="46"/>
        <v xml:space="preserve"> </v>
      </c>
      <c r="N407" s="100" t="str">
        <f>IFERROR(VLOOKUP(Tablo515[[#This Row],[ÜRÜN KODU]],YMKODLARI!$A$1:$K$363,8,0)," ")</f>
        <v xml:space="preserve"> </v>
      </c>
      <c r="O407" s="100" t="str">
        <f>IFERROR(VLOOKUP(Tablo515[[#This Row],[HAMMADDE KODU]],Tablo1[#All],3,0)," ")</f>
        <v xml:space="preserve"> </v>
      </c>
      <c r="P407" s="100" t="str">
        <f>IFERROR(VLOOKUP(Tablo515[[#This Row],[HAMMADDE KODU]],Tablo1[#All],4,0)," ")</f>
        <v xml:space="preserve"> </v>
      </c>
      <c r="Q407" s="100" t="str">
        <f>IFERROR(VLOOKUP(Tablo515[[#This Row],[ÜRÜN KODU]],YMKODLARI!$A$1:$K$363,5,0)," ")</f>
        <v xml:space="preserve"> </v>
      </c>
      <c r="R407" s="100" t="str">
        <f>IFERROR(VLOOKUP(Tablo515[[#This Row],[ÜRÜN KODU]],YMKODLARI!$A$1:$K$363,6,0)," ")</f>
        <v xml:space="preserve"> </v>
      </c>
      <c r="S407" s="100" t="str">
        <f>IFERROR(Tablo515[[#This Row],[YOLLUK HARİÇ BASKI GRAMI]]/Tablo515[[#This Row],[KALIP GÖZ ADEDİ]]," ")</f>
        <v xml:space="preserve"> </v>
      </c>
      <c r="T407" s="100" t="str">
        <f t="shared" si="48"/>
        <v xml:space="preserve"> </v>
      </c>
      <c r="U407" s="100"/>
      <c r="V407" s="100" t="str">
        <f t="shared" si="47"/>
        <v xml:space="preserve"> </v>
      </c>
      <c r="W407" s="101">
        <f t="shared" si="49"/>
        <v>24</v>
      </c>
      <c r="X407" s="102">
        <f t="shared" si="50"/>
        <v>0</v>
      </c>
      <c r="Y407" s="100" t="str">
        <f t="shared" si="51"/>
        <v xml:space="preserve"> </v>
      </c>
      <c r="Z407" s="100" t="str">
        <f t="shared" si="52"/>
        <v xml:space="preserve"> </v>
      </c>
    </row>
    <row r="408" spans="1:26">
      <c r="A408" s="100"/>
      <c r="B408" s="108" t="str">
        <f>IFERROR(VLOOKUP(Tablo515[[#This Row],[ÜRÜN KODU]],YMKODLARI!$A$1:$K$363,2,0)," ")</f>
        <v xml:space="preserve"> </v>
      </c>
      <c r="C408" s="99"/>
      <c r="D408" s="100"/>
      <c r="E408" s="101"/>
      <c r="F408" s="101"/>
      <c r="G408" s="100" t="str">
        <f>IFERROR(VLOOKUP(Tablo515[[#This Row],[ÜRÜN KODU]],YMKODLARI!$A$1:$K$363,3,0)," ")</f>
        <v xml:space="preserve"> </v>
      </c>
      <c r="H408" s="100" t="str">
        <f>IFERROR(VLOOKUP(Tablo515[[#This Row],[ÜRÜN KODU]],YMKODLARI!$A$1:$K$363,4,0)," ")</f>
        <v xml:space="preserve"> </v>
      </c>
      <c r="I408" s="100"/>
      <c r="J408" s="100" t="str">
        <f>IFERROR(VLOOKUP(Tablo515[[#This Row],[ÜRÜN KODU]],YMKODLARI!$A$1:$K$363,9,0)," ")</f>
        <v xml:space="preserve"> </v>
      </c>
      <c r="K408" s="100" t="str">
        <f>IFERROR(VLOOKUP(Tablo515[[#This Row],[BOYA KODU]],Tablo14[#All],4,0)," ")</f>
        <v xml:space="preserve"> </v>
      </c>
      <c r="L408" s="100" t="str">
        <f>IFERROR(VLOOKUP(Tablo515[[#This Row],[BOYA KODU]],Tablo14[#All],6,0)," ")</f>
        <v xml:space="preserve"> </v>
      </c>
      <c r="M408" s="100" t="str">
        <f t="shared" si="46"/>
        <v xml:space="preserve"> </v>
      </c>
      <c r="N408" s="100" t="str">
        <f>IFERROR(VLOOKUP(Tablo515[[#This Row],[ÜRÜN KODU]],YMKODLARI!$A$1:$K$363,8,0)," ")</f>
        <v xml:space="preserve"> </v>
      </c>
      <c r="O408" s="100" t="str">
        <f>IFERROR(VLOOKUP(Tablo515[[#This Row],[HAMMADDE KODU]],Tablo1[#All],3,0)," ")</f>
        <v xml:space="preserve"> </v>
      </c>
      <c r="P408" s="100" t="str">
        <f>IFERROR(VLOOKUP(Tablo515[[#This Row],[HAMMADDE KODU]],Tablo1[#All],4,0)," ")</f>
        <v xml:space="preserve"> </v>
      </c>
      <c r="Q408" s="100" t="str">
        <f>IFERROR(VLOOKUP(Tablo515[[#This Row],[ÜRÜN KODU]],YMKODLARI!$A$1:$K$363,5,0)," ")</f>
        <v xml:space="preserve"> </v>
      </c>
      <c r="R408" s="100" t="str">
        <f>IFERROR(VLOOKUP(Tablo515[[#This Row],[ÜRÜN KODU]],YMKODLARI!$A$1:$K$363,6,0)," ")</f>
        <v xml:space="preserve"> </v>
      </c>
      <c r="S408" s="100" t="str">
        <f>IFERROR(Tablo515[[#This Row],[YOLLUK HARİÇ BASKI GRAMI]]/Tablo515[[#This Row],[KALIP GÖZ ADEDİ]]," ")</f>
        <v xml:space="preserve"> </v>
      </c>
      <c r="T408" s="100" t="str">
        <f t="shared" si="48"/>
        <v xml:space="preserve"> </v>
      </c>
      <c r="U408" s="100"/>
      <c r="V408" s="100" t="str">
        <f t="shared" si="47"/>
        <v xml:space="preserve"> </v>
      </c>
      <c r="W408" s="101">
        <f t="shared" si="49"/>
        <v>24</v>
      </c>
      <c r="X408" s="102">
        <f t="shared" si="50"/>
        <v>0</v>
      </c>
      <c r="Y408" s="100" t="str">
        <f t="shared" si="51"/>
        <v xml:space="preserve"> </v>
      </c>
      <c r="Z408" s="100" t="str">
        <f t="shared" si="52"/>
        <v xml:space="preserve"> </v>
      </c>
    </row>
    <row r="409" spans="1:26">
      <c r="A409" s="100"/>
      <c r="B409" s="108" t="str">
        <f>IFERROR(VLOOKUP(Tablo515[[#This Row],[ÜRÜN KODU]],YMKODLARI!$A$1:$K$363,2,0)," ")</f>
        <v xml:space="preserve"> </v>
      </c>
      <c r="C409" s="99"/>
      <c r="D409" s="100"/>
      <c r="E409" s="101"/>
      <c r="F409" s="101"/>
      <c r="G409" s="100" t="str">
        <f>IFERROR(VLOOKUP(Tablo515[[#This Row],[ÜRÜN KODU]],YMKODLARI!$A$1:$K$363,3,0)," ")</f>
        <v xml:space="preserve"> </v>
      </c>
      <c r="H409" s="100" t="str">
        <f>IFERROR(VLOOKUP(Tablo515[[#This Row],[ÜRÜN KODU]],YMKODLARI!$A$1:$K$363,4,0)," ")</f>
        <v xml:space="preserve"> </v>
      </c>
      <c r="I409" s="100"/>
      <c r="J409" s="100" t="str">
        <f>IFERROR(VLOOKUP(Tablo515[[#This Row],[ÜRÜN KODU]],YMKODLARI!$A$1:$K$363,9,0)," ")</f>
        <v xml:space="preserve"> </v>
      </c>
      <c r="K409" s="100" t="str">
        <f>IFERROR(VLOOKUP(Tablo515[[#This Row],[BOYA KODU]],Tablo14[#All],4,0)," ")</f>
        <v xml:space="preserve"> </v>
      </c>
      <c r="L409" s="100" t="str">
        <f>IFERROR(VLOOKUP(Tablo515[[#This Row],[BOYA KODU]],Tablo14[#All],6,0)," ")</f>
        <v xml:space="preserve"> </v>
      </c>
      <c r="M409" s="100" t="str">
        <f t="shared" si="46"/>
        <v xml:space="preserve"> </v>
      </c>
      <c r="N409" s="100" t="str">
        <f>IFERROR(VLOOKUP(Tablo515[[#This Row],[ÜRÜN KODU]],YMKODLARI!$A$1:$K$363,8,0)," ")</f>
        <v xml:space="preserve"> </v>
      </c>
      <c r="O409" s="100" t="str">
        <f>IFERROR(VLOOKUP(Tablo515[[#This Row],[HAMMADDE KODU]],Tablo1[#All],3,0)," ")</f>
        <v xml:space="preserve"> </v>
      </c>
      <c r="P409" s="100" t="str">
        <f>IFERROR(VLOOKUP(Tablo515[[#This Row],[HAMMADDE KODU]],Tablo1[#All],4,0)," ")</f>
        <v xml:space="preserve"> </v>
      </c>
      <c r="Q409" s="100" t="str">
        <f>IFERROR(VLOOKUP(Tablo515[[#This Row],[ÜRÜN KODU]],YMKODLARI!$A$1:$K$363,5,0)," ")</f>
        <v xml:space="preserve"> </v>
      </c>
      <c r="R409" s="100" t="str">
        <f>IFERROR(VLOOKUP(Tablo515[[#This Row],[ÜRÜN KODU]],YMKODLARI!$A$1:$K$363,6,0)," ")</f>
        <v xml:space="preserve"> </v>
      </c>
      <c r="S409" s="100" t="str">
        <f>IFERROR(Tablo515[[#This Row],[YOLLUK HARİÇ BASKI GRAMI]]/Tablo515[[#This Row],[KALIP GÖZ ADEDİ]]," ")</f>
        <v xml:space="preserve"> </v>
      </c>
      <c r="T409" s="100" t="str">
        <f t="shared" si="48"/>
        <v xml:space="preserve"> </v>
      </c>
      <c r="U409" s="100"/>
      <c r="V409" s="100" t="str">
        <f t="shared" si="47"/>
        <v xml:space="preserve"> </v>
      </c>
      <c r="W409" s="101">
        <f t="shared" si="49"/>
        <v>24</v>
      </c>
      <c r="X409" s="102">
        <f t="shared" si="50"/>
        <v>0</v>
      </c>
      <c r="Y409" s="100" t="str">
        <f t="shared" si="51"/>
        <v xml:space="preserve"> </v>
      </c>
      <c r="Z409" s="100" t="str">
        <f t="shared" si="52"/>
        <v xml:space="preserve"> </v>
      </c>
    </row>
    <row r="410" spans="1:26">
      <c r="A410" s="100"/>
      <c r="B410" s="108" t="str">
        <f>IFERROR(VLOOKUP(Tablo515[[#This Row],[ÜRÜN KODU]],YMKODLARI!$A$1:$K$363,2,0)," ")</f>
        <v xml:space="preserve"> </v>
      </c>
      <c r="C410" s="99"/>
      <c r="D410" s="100"/>
      <c r="E410" s="101"/>
      <c r="F410" s="101"/>
      <c r="G410" s="100" t="str">
        <f>IFERROR(VLOOKUP(Tablo515[[#This Row],[ÜRÜN KODU]],YMKODLARI!$A$1:$K$363,3,0)," ")</f>
        <v xml:space="preserve"> </v>
      </c>
      <c r="H410" s="100" t="str">
        <f>IFERROR(VLOOKUP(Tablo515[[#This Row],[ÜRÜN KODU]],YMKODLARI!$A$1:$K$363,4,0)," ")</f>
        <v xml:space="preserve"> </v>
      </c>
      <c r="I410" s="100"/>
      <c r="J410" s="100" t="str">
        <f>IFERROR(VLOOKUP(Tablo515[[#This Row],[ÜRÜN KODU]],YMKODLARI!$A$1:$K$363,9,0)," ")</f>
        <v xml:space="preserve"> </v>
      </c>
      <c r="K410" s="100" t="str">
        <f>IFERROR(VLOOKUP(Tablo515[[#This Row],[BOYA KODU]],Tablo14[#All],4,0)," ")</f>
        <v xml:space="preserve"> </v>
      </c>
      <c r="L410" s="100" t="str">
        <f>IFERROR(VLOOKUP(Tablo515[[#This Row],[BOYA KODU]],Tablo14[#All],6,0)," ")</f>
        <v xml:space="preserve"> </v>
      </c>
      <c r="M410" s="100" t="str">
        <f t="shared" si="46"/>
        <v xml:space="preserve"> </v>
      </c>
      <c r="N410" s="100" t="str">
        <f>IFERROR(VLOOKUP(Tablo515[[#This Row],[ÜRÜN KODU]],YMKODLARI!$A$1:$K$363,8,0)," ")</f>
        <v xml:space="preserve"> </v>
      </c>
      <c r="O410" s="100" t="str">
        <f>IFERROR(VLOOKUP(Tablo515[[#This Row],[HAMMADDE KODU]],Tablo1[#All],3,0)," ")</f>
        <v xml:space="preserve"> </v>
      </c>
      <c r="P410" s="100" t="str">
        <f>IFERROR(VLOOKUP(Tablo515[[#This Row],[HAMMADDE KODU]],Tablo1[#All],4,0)," ")</f>
        <v xml:space="preserve"> </v>
      </c>
      <c r="Q410" s="100" t="str">
        <f>IFERROR(VLOOKUP(Tablo515[[#This Row],[ÜRÜN KODU]],YMKODLARI!$A$1:$K$363,5,0)," ")</f>
        <v xml:space="preserve"> </v>
      </c>
      <c r="R410" s="100" t="str">
        <f>IFERROR(VLOOKUP(Tablo515[[#This Row],[ÜRÜN KODU]],YMKODLARI!$A$1:$K$363,6,0)," ")</f>
        <v xml:space="preserve"> </v>
      </c>
      <c r="S410" s="100" t="str">
        <f>IFERROR(Tablo515[[#This Row],[YOLLUK HARİÇ BASKI GRAMI]]/Tablo515[[#This Row],[KALIP GÖZ ADEDİ]]," ")</f>
        <v xml:space="preserve"> </v>
      </c>
      <c r="T410" s="100" t="str">
        <f t="shared" si="48"/>
        <v xml:space="preserve"> </v>
      </c>
      <c r="U410" s="100"/>
      <c r="V410" s="100" t="str">
        <f t="shared" si="47"/>
        <v xml:space="preserve"> </v>
      </c>
      <c r="W410" s="101">
        <f t="shared" si="49"/>
        <v>24</v>
      </c>
      <c r="X410" s="102">
        <f t="shared" si="50"/>
        <v>0</v>
      </c>
      <c r="Y410" s="100" t="str">
        <f t="shared" si="51"/>
        <v xml:space="preserve"> </v>
      </c>
      <c r="Z410" s="100" t="str">
        <f t="shared" si="52"/>
        <v xml:space="preserve"> </v>
      </c>
    </row>
    <row r="411" spans="1:26">
      <c r="A411" s="100"/>
      <c r="B411" s="108" t="str">
        <f>IFERROR(VLOOKUP(Tablo515[[#This Row],[ÜRÜN KODU]],YMKODLARI!$A$1:$K$363,2,0)," ")</f>
        <v xml:space="preserve"> </v>
      </c>
      <c r="C411" s="99"/>
      <c r="D411" s="100"/>
      <c r="E411" s="101"/>
      <c r="F411" s="101"/>
      <c r="G411" s="100" t="str">
        <f>IFERROR(VLOOKUP(Tablo515[[#This Row],[ÜRÜN KODU]],YMKODLARI!$A$1:$K$363,3,0)," ")</f>
        <v xml:space="preserve"> </v>
      </c>
      <c r="H411" s="100" t="str">
        <f>IFERROR(VLOOKUP(Tablo515[[#This Row],[ÜRÜN KODU]],YMKODLARI!$A$1:$K$363,4,0)," ")</f>
        <v xml:space="preserve"> </v>
      </c>
      <c r="I411" s="100"/>
      <c r="J411" s="100" t="str">
        <f>IFERROR(VLOOKUP(Tablo515[[#This Row],[ÜRÜN KODU]],YMKODLARI!$A$1:$K$363,9,0)," ")</f>
        <v xml:space="preserve"> </v>
      </c>
      <c r="K411" s="100" t="str">
        <f>IFERROR(VLOOKUP(Tablo515[[#This Row],[BOYA KODU]],Tablo14[#All],4,0)," ")</f>
        <v xml:space="preserve"> </v>
      </c>
      <c r="L411" s="100" t="str">
        <f>IFERROR(VLOOKUP(Tablo515[[#This Row],[BOYA KODU]],Tablo14[#All],6,0)," ")</f>
        <v xml:space="preserve"> </v>
      </c>
      <c r="M411" s="100" t="str">
        <f t="shared" si="46"/>
        <v xml:space="preserve"> </v>
      </c>
      <c r="N411" s="100" t="str">
        <f>IFERROR(VLOOKUP(Tablo515[[#This Row],[ÜRÜN KODU]],YMKODLARI!$A$1:$K$363,8,0)," ")</f>
        <v xml:space="preserve"> </v>
      </c>
      <c r="O411" s="100" t="str">
        <f>IFERROR(VLOOKUP(Tablo515[[#This Row],[HAMMADDE KODU]],Tablo1[#All],3,0)," ")</f>
        <v xml:space="preserve"> </v>
      </c>
      <c r="P411" s="100" t="str">
        <f>IFERROR(VLOOKUP(Tablo515[[#This Row],[HAMMADDE KODU]],Tablo1[#All],4,0)," ")</f>
        <v xml:space="preserve"> </v>
      </c>
      <c r="Q411" s="100" t="str">
        <f>IFERROR(VLOOKUP(Tablo515[[#This Row],[ÜRÜN KODU]],YMKODLARI!$A$1:$K$363,5,0)," ")</f>
        <v xml:space="preserve"> </v>
      </c>
      <c r="R411" s="100" t="str">
        <f>IFERROR(VLOOKUP(Tablo515[[#This Row],[ÜRÜN KODU]],YMKODLARI!$A$1:$K$363,6,0)," ")</f>
        <v xml:space="preserve"> </v>
      </c>
      <c r="S411" s="100" t="str">
        <f>IFERROR(Tablo515[[#This Row],[YOLLUK HARİÇ BASKI GRAMI]]/Tablo515[[#This Row],[KALIP GÖZ ADEDİ]]," ")</f>
        <v xml:space="preserve"> </v>
      </c>
      <c r="T411" s="100" t="str">
        <f t="shared" si="48"/>
        <v xml:space="preserve"> </v>
      </c>
      <c r="U411" s="100"/>
      <c r="V411" s="100" t="str">
        <f t="shared" si="47"/>
        <v xml:space="preserve"> </v>
      </c>
      <c r="W411" s="101">
        <f t="shared" si="49"/>
        <v>24</v>
      </c>
      <c r="X411" s="102">
        <f t="shared" si="50"/>
        <v>0</v>
      </c>
      <c r="Y411" s="100" t="str">
        <f t="shared" si="51"/>
        <v xml:space="preserve"> </v>
      </c>
      <c r="Z411" s="100" t="str">
        <f t="shared" si="52"/>
        <v xml:space="preserve"> </v>
      </c>
    </row>
    <row r="412" spans="1:26">
      <c r="A412" s="100"/>
      <c r="B412" s="108" t="str">
        <f>IFERROR(VLOOKUP(Tablo515[[#This Row],[ÜRÜN KODU]],YMKODLARI!$A$1:$K$363,2,0)," ")</f>
        <v xml:space="preserve"> </v>
      </c>
      <c r="C412" s="99"/>
      <c r="D412" s="100"/>
      <c r="E412" s="101"/>
      <c r="F412" s="101"/>
      <c r="G412" s="100" t="str">
        <f>IFERROR(VLOOKUP(Tablo515[[#This Row],[ÜRÜN KODU]],YMKODLARI!$A$1:$K$363,3,0)," ")</f>
        <v xml:space="preserve"> </v>
      </c>
      <c r="H412" s="100" t="str">
        <f>IFERROR(VLOOKUP(Tablo515[[#This Row],[ÜRÜN KODU]],YMKODLARI!$A$1:$K$363,4,0)," ")</f>
        <v xml:space="preserve"> </v>
      </c>
      <c r="I412" s="100"/>
      <c r="J412" s="100" t="str">
        <f>IFERROR(VLOOKUP(Tablo515[[#This Row],[ÜRÜN KODU]],YMKODLARI!$A$1:$K$363,9,0)," ")</f>
        <v xml:space="preserve"> </v>
      </c>
      <c r="K412" s="100" t="str">
        <f>IFERROR(VLOOKUP(Tablo515[[#This Row],[BOYA KODU]],Tablo14[#All],4,0)," ")</f>
        <v xml:space="preserve"> </v>
      </c>
      <c r="L412" s="100" t="str">
        <f>IFERROR(VLOOKUP(Tablo515[[#This Row],[BOYA KODU]],Tablo14[#All],6,0)," ")</f>
        <v xml:space="preserve"> </v>
      </c>
      <c r="M412" s="100" t="str">
        <f t="shared" si="46"/>
        <v xml:space="preserve"> </v>
      </c>
      <c r="N412" s="100" t="str">
        <f>IFERROR(VLOOKUP(Tablo515[[#This Row],[ÜRÜN KODU]],YMKODLARI!$A$1:$K$363,8,0)," ")</f>
        <v xml:space="preserve"> </v>
      </c>
      <c r="O412" s="100" t="str">
        <f>IFERROR(VLOOKUP(Tablo515[[#This Row],[HAMMADDE KODU]],Tablo1[#All],3,0)," ")</f>
        <v xml:space="preserve"> </v>
      </c>
      <c r="P412" s="100" t="str">
        <f>IFERROR(VLOOKUP(Tablo515[[#This Row],[HAMMADDE KODU]],Tablo1[#All],4,0)," ")</f>
        <v xml:space="preserve"> </v>
      </c>
      <c r="Q412" s="100" t="str">
        <f>IFERROR(VLOOKUP(Tablo515[[#This Row],[ÜRÜN KODU]],YMKODLARI!$A$1:$K$363,5,0)," ")</f>
        <v xml:space="preserve"> </v>
      </c>
      <c r="R412" s="100" t="str">
        <f>IFERROR(VLOOKUP(Tablo515[[#This Row],[ÜRÜN KODU]],YMKODLARI!$A$1:$K$363,6,0)," ")</f>
        <v xml:space="preserve"> </v>
      </c>
      <c r="S412" s="100" t="str">
        <f>IFERROR(Tablo515[[#This Row],[YOLLUK HARİÇ BASKI GRAMI]]/Tablo515[[#This Row],[KALIP GÖZ ADEDİ]]," ")</f>
        <v xml:space="preserve"> </v>
      </c>
      <c r="T412" s="100" t="str">
        <f t="shared" si="48"/>
        <v xml:space="preserve"> </v>
      </c>
      <c r="U412" s="100"/>
      <c r="V412" s="100" t="str">
        <f t="shared" si="47"/>
        <v xml:space="preserve"> </v>
      </c>
      <c r="W412" s="101">
        <f t="shared" si="49"/>
        <v>24</v>
      </c>
      <c r="X412" s="102">
        <f t="shared" si="50"/>
        <v>0</v>
      </c>
      <c r="Y412" s="100" t="str">
        <f t="shared" si="51"/>
        <v xml:space="preserve"> </v>
      </c>
      <c r="Z412" s="100" t="str">
        <f t="shared" si="52"/>
        <v xml:space="preserve"> </v>
      </c>
    </row>
    <row r="413" spans="1:26">
      <c r="A413" s="100"/>
      <c r="B413" s="108" t="str">
        <f>IFERROR(VLOOKUP(Tablo515[[#This Row],[ÜRÜN KODU]],YMKODLARI!$A$1:$K$363,2,0)," ")</f>
        <v xml:space="preserve"> </v>
      </c>
      <c r="C413" s="99"/>
      <c r="D413" s="100"/>
      <c r="E413" s="101"/>
      <c r="F413" s="101"/>
      <c r="G413" s="100" t="str">
        <f>IFERROR(VLOOKUP(Tablo515[[#This Row],[ÜRÜN KODU]],YMKODLARI!$A$1:$K$363,3,0)," ")</f>
        <v xml:space="preserve"> </v>
      </c>
      <c r="H413" s="100" t="str">
        <f>IFERROR(VLOOKUP(Tablo515[[#This Row],[ÜRÜN KODU]],YMKODLARI!$A$1:$K$363,4,0)," ")</f>
        <v xml:space="preserve"> </v>
      </c>
      <c r="I413" s="100"/>
      <c r="J413" s="100" t="str">
        <f>IFERROR(VLOOKUP(Tablo515[[#This Row],[ÜRÜN KODU]],YMKODLARI!$A$1:$K$363,9,0)," ")</f>
        <v xml:space="preserve"> </v>
      </c>
      <c r="K413" s="100" t="str">
        <f>IFERROR(VLOOKUP(Tablo515[[#This Row],[BOYA KODU]],Tablo14[#All],4,0)," ")</f>
        <v xml:space="preserve"> </v>
      </c>
      <c r="L413" s="100" t="str">
        <f>IFERROR(VLOOKUP(Tablo515[[#This Row],[BOYA KODU]],Tablo14[#All],6,0)," ")</f>
        <v xml:space="preserve"> </v>
      </c>
      <c r="M413" s="100" t="str">
        <f t="shared" si="46"/>
        <v xml:space="preserve"> </v>
      </c>
      <c r="N413" s="100" t="str">
        <f>IFERROR(VLOOKUP(Tablo515[[#This Row],[ÜRÜN KODU]],YMKODLARI!$A$1:$K$363,8,0)," ")</f>
        <v xml:space="preserve"> </v>
      </c>
      <c r="O413" s="100" t="str">
        <f>IFERROR(VLOOKUP(Tablo515[[#This Row],[HAMMADDE KODU]],Tablo1[#All],3,0)," ")</f>
        <v xml:space="preserve"> </v>
      </c>
      <c r="P413" s="100" t="str">
        <f>IFERROR(VLOOKUP(Tablo515[[#This Row],[HAMMADDE KODU]],Tablo1[#All],4,0)," ")</f>
        <v xml:space="preserve"> </v>
      </c>
      <c r="Q413" s="100" t="str">
        <f>IFERROR(VLOOKUP(Tablo515[[#This Row],[ÜRÜN KODU]],YMKODLARI!$A$1:$K$363,5,0)," ")</f>
        <v xml:space="preserve"> </v>
      </c>
      <c r="R413" s="100" t="str">
        <f>IFERROR(VLOOKUP(Tablo515[[#This Row],[ÜRÜN KODU]],YMKODLARI!$A$1:$K$363,6,0)," ")</f>
        <v xml:space="preserve"> </v>
      </c>
      <c r="S413" s="100" t="str">
        <f>IFERROR(Tablo515[[#This Row],[YOLLUK HARİÇ BASKI GRAMI]]/Tablo515[[#This Row],[KALIP GÖZ ADEDİ]]," ")</f>
        <v xml:space="preserve"> </v>
      </c>
      <c r="T413" s="100" t="str">
        <f t="shared" si="48"/>
        <v xml:space="preserve"> </v>
      </c>
      <c r="U413" s="100"/>
      <c r="V413" s="100" t="str">
        <f t="shared" si="47"/>
        <v xml:space="preserve"> </v>
      </c>
      <c r="W413" s="101">
        <f t="shared" si="49"/>
        <v>24</v>
      </c>
      <c r="X413" s="102">
        <f t="shared" si="50"/>
        <v>0</v>
      </c>
      <c r="Y413" s="100" t="str">
        <f t="shared" si="51"/>
        <v xml:space="preserve"> </v>
      </c>
      <c r="Z413" s="100" t="str">
        <f t="shared" si="52"/>
        <v xml:space="preserve"> </v>
      </c>
    </row>
    <row r="414" spans="1:26">
      <c r="A414" s="100"/>
      <c r="B414" s="108" t="str">
        <f>IFERROR(VLOOKUP(Tablo515[[#This Row],[ÜRÜN KODU]],YMKODLARI!$A$1:$K$363,2,0)," ")</f>
        <v xml:space="preserve"> </v>
      </c>
      <c r="C414" s="99"/>
      <c r="D414" s="100"/>
      <c r="E414" s="101"/>
      <c r="F414" s="101"/>
      <c r="G414" s="100" t="str">
        <f>IFERROR(VLOOKUP(Tablo515[[#This Row],[ÜRÜN KODU]],YMKODLARI!$A$1:$K$363,3,0)," ")</f>
        <v xml:space="preserve"> </v>
      </c>
      <c r="H414" s="100" t="str">
        <f>IFERROR(VLOOKUP(Tablo515[[#This Row],[ÜRÜN KODU]],YMKODLARI!$A$1:$K$363,4,0)," ")</f>
        <v xml:space="preserve"> </v>
      </c>
      <c r="I414" s="100"/>
      <c r="J414" s="100" t="str">
        <f>IFERROR(VLOOKUP(Tablo515[[#This Row],[ÜRÜN KODU]],YMKODLARI!$A$1:$K$363,9,0)," ")</f>
        <v xml:space="preserve"> </v>
      </c>
      <c r="K414" s="100" t="str">
        <f>IFERROR(VLOOKUP(Tablo515[[#This Row],[BOYA KODU]],Tablo14[#All],4,0)," ")</f>
        <v xml:space="preserve"> </v>
      </c>
      <c r="L414" s="100" t="str">
        <f>IFERROR(VLOOKUP(Tablo515[[#This Row],[BOYA KODU]],Tablo14[#All],6,0)," ")</f>
        <v xml:space="preserve"> </v>
      </c>
      <c r="M414" s="100" t="str">
        <f t="shared" si="46"/>
        <v xml:space="preserve"> </v>
      </c>
      <c r="N414" s="100" t="str">
        <f>IFERROR(VLOOKUP(Tablo515[[#This Row],[ÜRÜN KODU]],YMKODLARI!$A$1:$K$363,8,0)," ")</f>
        <v xml:space="preserve"> </v>
      </c>
      <c r="O414" s="100" t="str">
        <f>IFERROR(VLOOKUP(Tablo515[[#This Row],[HAMMADDE KODU]],Tablo1[#All],3,0)," ")</f>
        <v xml:space="preserve"> </v>
      </c>
      <c r="P414" s="100" t="str">
        <f>IFERROR(VLOOKUP(Tablo515[[#This Row],[HAMMADDE KODU]],Tablo1[#All],4,0)," ")</f>
        <v xml:space="preserve"> </v>
      </c>
      <c r="Q414" s="100" t="str">
        <f>IFERROR(VLOOKUP(Tablo515[[#This Row],[ÜRÜN KODU]],YMKODLARI!$A$1:$K$363,5,0)," ")</f>
        <v xml:space="preserve"> </v>
      </c>
      <c r="R414" s="100" t="str">
        <f>IFERROR(VLOOKUP(Tablo515[[#This Row],[ÜRÜN KODU]],YMKODLARI!$A$1:$K$363,6,0)," ")</f>
        <v xml:space="preserve"> </v>
      </c>
      <c r="S414" s="100" t="str">
        <f>IFERROR(Tablo515[[#This Row],[YOLLUK HARİÇ BASKI GRAMI]]/Tablo515[[#This Row],[KALIP GÖZ ADEDİ]]," ")</f>
        <v xml:space="preserve"> </v>
      </c>
      <c r="T414" s="100" t="str">
        <f t="shared" si="48"/>
        <v xml:space="preserve"> </v>
      </c>
      <c r="U414" s="100"/>
      <c r="V414" s="100" t="str">
        <f t="shared" si="47"/>
        <v xml:space="preserve"> </v>
      </c>
      <c r="W414" s="101">
        <f t="shared" si="49"/>
        <v>24</v>
      </c>
      <c r="X414" s="102">
        <f t="shared" si="50"/>
        <v>0</v>
      </c>
      <c r="Y414" s="100" t="str">
        <f t="shared" si="51"/>
        <v xml:space="preserve"> </v>
      </c>
      <c r="Z414" s="100" t="str">
        <f t="shared" si="52"/>
        <v xml:space="preserve"> </v>
      </c>
    </row>
    <row r="415" spans="1:26">
      <c r="A415" s="100"/>
      <c r="B415" s="108" t="str">
        <f>IFERROR(VLOOKUP(Tablo515[[#This Row],[ÜRÜN KODU]],YMKODLARI!$A$1:$K$363,2,0)," ")</f>
        <v xml:space="preserve"> </v>
      </c>
      <c r="C415" s="99"/>
      <c r="D415" s="100"/>
      <c r="E415" s="101"/>
      <c r="F415" s="101"/>
      <c r="G415" s="100" t="str">
        <f>IFERROR(VLOOKUP(Tablo515[[#This Row],[ÜRÜN KODU]],YMKODLARI!$A$1:$K$363,3,0)," ")</f>
        <v xml:space="preserve"> </v>
      </c>
      <c r="H415" s="100" t="str">
        <f>IFERROR(VLOOKUP(Tablo515[[#This Row],[ÜRÜN KODU]],YMKODLARI!$A$1:$K$363,4,0)," ")</f>
        <v xml:space="preserve"> </v>
      </c>
      <c r="I415" s="100"/>
      <c r="J415" s="100" t="str">
        <f>IFERROR(VLOOKUP(Tablo515[[#This Row],[ÜRÜN KODU]],YMKODLARI!$A$1:$K$363,9,0)," ")</f>
        <v xml:space="preserve"> </v>
      </c>
      <c r="K415" s="100" t="str">
        <f>IFERROR(VLOOKUP(Tablo515[[#This Row],[BOYA KODU]],Tablo14[#All],4,0)," ")</f>
        <v xml:space="preserve"> </v>
      </c>
      <c r="L415" s="100" t="str">
        <f>IFERROR(VLOOKUP(Tablo515[[#This Row],[BOYA KODU]],Tablo14[#All],6,0)," ")</f>
        <v xml:space="preserve"> </v>
      </c>
      <c r="M415" s="100" t="str">
        <f t="shared" si="46"/>
        <v xml:space="preserve"> </v>
      </c>
      <c r="N415" s="100" t="str">
        <f>IFERROR(VLOOKUP(Tablo515[[#This Row],[ÜRÜN KODU]],YMKODLARI!$A$1:$K$363,8,0)," ")</f>
        <v xml:space="preserve"> </v>
      </c>
      <c r="O415" s="100" t="str">
        <f>IFERROR(VLOOKUP(Tablo515[[#This Row],[HAMMADDE KODU]],Tablo1[#All],3,0)," ")</f>
        <v xml:space="preserve"> </v>
      </c>
      <c r="P415" s="100" t="str">
        <f>IFERROR(VLOOKUP(Tablo515[[#This Row],[HAMMADDE KODU]],Tablo1[#All],4,0)," ")</f>
        <v xml:space="preserve"> </v>
      </c>
      <c r="Q415" s="100" t="str">
        <f>IFERROR(VLOOKUP(Tablo515[[#This Row],[ÜRÜN KODU]],YMKODLARI!$A$1:$K$363,5,0)," ")</f>
        <v xml:space="preserve"> </v>
      </c>
      <c r="R415" s="100" t="str">
        <f>IFERROR(VLOOKUP(Tablo515[[#This Row],[ÜRÜN KODU]],YMKODLARI!$A$1:$K$363,6,0)," ")</f>
        <v xml:space="preserve"> </v>
      </c>
      <c r="S415" s="100" t="str">
        <f>IFERROR(Tablo515[[#This Row],[YOLLUK HARİÇ BASKI GRAMI]]/Tablo515[[#This Row],[KALIP GÖZ ADEDİ]]," ")</f>
        <v xml:space="preserve"> </v>
      </c>
      <c r="T415" s="100" t="str">
        <f t="shared" si="48"/>
        <v xml:space="preserve"> </v>
      </c>
      <c r="U415" s="100"/>
      <c r="V415" s="100" t="str">
        <f t="shared" si="47"/>
        <v xml:space="preserve"> </v>
      </c>
      <c r="W415" s="101">
        <f t="shared" si="49"/>
        <v>24</v>
      </c>
      <c r="X415" s="102">
        <f t="shared" si="50"/>
        <v>0</v>
      </c>
      <c r="Y415" s="100" t="str">
        <f t="shared" si="51"/>
        <v xml:space="preserve"> </v>
      </c>
      <c r="Z415" s="100" t="str">
        <f t="shared" si="52"/>
        <v xml:space="preserve"> </v>
      </c>
    </row>
    <row r="416" spans="1:26">
      <c r="A416" s="100"/>
      <c r="B416" s="108" t="str">
        <f>IFERROR(VLOOKUP(Tablo515[[#This Row],[ÜRÜN KODU]],YMKODLARI!$A$1:$K$363,2,0)," ")</f>
        <v xml:space="preserve"> </v>
      </c>
      <c r="C416" s="99"/>
      <c r="D416" s="100"/>
      <c r="E416" s="101"/>
      <c r="F416" s="101"/>
      <c r="G416" s="100" t="str">
        <f>IFERROR(VLOOKUP(Tablo515[[#This Row],[ÜRÜN KODU]],YMKODLARI!$A$1:$K$363,3,0)," ")</f>
        <v xml:space="preserve"> </v>
      </c>
      <c r="H416" s="100" t="str">
        <f>IFERROR(VLOOKUP(Tablo515[[#This Row],[ÜRÜN KODU]],YMKODLARI!$A$1:$K$363,4,0)," ")</f>
        <v xml:space="preserve"> </v>
      </c>
      <c r="I416" s="100"/>
      <c r="J416" s="100" t="str">
        <f>IFERROR(VLOOKUP(Tablo515[[#This Row],[ÜRÜN KODU]],YMKODLARI!$A$1:$K$363,9,0)," ")</f>
        <v xml:space="preserve"> </v>
      </c>
      <c r="K416" s="100" t="str">
        <f>IFERROR(VLOOKUP(Tablo515[[#This Row],[BOYA KODU]],Tablo14[#All],4,0)," ")</f>
        <v xml:space="preserve"> </v>
      </c>
      <c r="L416" s="100" t="str">
        <f>IFERROR(VLOOKUP(Tablo515[[#This Row],[BOYA KODU]],Tablo14[#All],6,0)," ")</f>
        <v xml:space="preserve"> </v>
      </c>
      <c r="M416" s="100" t="str">
        <f t="shared" si="46"/>
        <v xml:space="preserve"> </v>
      </c>
      <c r="N416" s="100" t="str">
        <f>IFERROR(VLOOKUP(Tablo515[[#This Row],[ÜRÜN KODU]],YMKODLARI!$A$1:$K$363,8,0)," ")</f>
        <v xml:space="preserve"> </v>
      </c>
      <c r="O416" s="100" t="str">
        <f>IFERROR(VLOOKUP(Tablo515[[#This Row],[HAMMADDE KODU]],Tablo1[#All],3,0)," ")</f>
        <v xml:space="preserve"> </v>
      </c>
      <c r="P416" s="100" t="str">
        <f>IFERROR(VLOOKUP(Tablo515[[#This Row],[HAMMADDE KODU]],Tablo1[#All],4,0)," ")</f>
        <v xml:space="preserve"> </v>
      </c>
      <c r="Q416" s="100" t="str">
        <f>IFERROR(VLOOKUP(Tablo515[[#This Row],[ÜRÜN KODU]],YMKODLARI!$A$1:$K$363,5,0)," ")</f>
        <v xml:space="preserve"> </v>
      </c>
      <c r="R416" s="100" t="str">
        <f>IFERROR(VLOOKUP(Tablo515[[#This Row],[ÜRÜN KODU]],YMKODLARI!$A$1:$K$363,6,0)," ")</f>
        <v xml:space="preserve"> </v>
      </c>
      <c r="S416" s="100" t="str">
        <f>IFERROR(Tablo515[[#This Row],[YOLLUK HARİÇ BASKI GRAMI]]/Tablo515[[#This Row],[KALIP GÖZ ADEDİ]]," ")</f>
        <v xml:space="preserve"> </v>
      </c>
      <c r="T416" s="100" t="str">
        <f t="shared" si="48"/>
        <v xml:space="preserve"> </v>
      </c>
      <c r="U416" s="100"/>
      <c r="V416" s="100" t="str">
        <f t="shared" si="47"/>
        <v xml:space="preserve"> </v>
      </c>
      <c r="W416" s="101">
        <f t="shared" si="49"/>
        <v>24</v>
      </c>
      <c r="X416" s="102">
        <f t="shared" si="50"/>
        <v>0</v>
      </c>
      <c r="Y416" s="100" t="str">
        <f t="shared" si="51"/>
        <v xml:space="preserve"> </v>
      </c>
      <c r="Z416" s="100" t="str">
        <f t="shared" si="52"/>
        <v xml:space="preserve"> </v>
      </c>
    </row>
    <row r="417" spans="1:26">
      <c r="A417" s="100"/>
      <c r="B417" s="108" t="str">
        <f>IFERROR(VLOOKUP(Tablo515[[#This Row],[ÜRÜN KODU]],YMKODLARI!$A$1:$K$363,2,0)," ")</f>
        <v xml:space="preserve"> </v>
      </c>
      <c r="C417" s="99"/>
      <c r="D417" s="100"/>
      <c r="E417" s="101"/>
      <c r="F417" s="101"/>
      <c r="G417" s="100" t="str">
        <f>IFERROR(VLOOKUP(Tablo515[[#This Row],[ÜRÜN KODU]],YMKODLARI!$A$1:$K$363,3,0)," ")</f>
        <v xml:space="preserve"> </v>
      </c>
      <c r="H417" s="100" t="str">
        <f>IFERROR(VLOOKUP(Tablo515[[#This Row],[ÜRÜN KODU]],YMKODLARI!$A$1:$K$363,4,0)," ")</f>
        <v xml:space="preserve"> </v>
      </c>
      <c r="I417" s="100"/>
      <c r="J417" s="100" t="str">
        <f>IFERROR(VLOOKUP(Tablo515[[#This Row],[ÜRÜN KODU]],YMKODLARI!$A$1:$K$363,9,0)," ")</f>
        <v xml:space="preserve"> </v>
      </c>
      <c r="K417" s="100" t="str">
        <f>IFERROR(VLOOKUP(Tablo515[[#This Row],[BOYA KODU]],Tablo14[#All],4,0)," ")</f>
        <v xml:space="preserve"> </v>
      </c>
      <c r="L417" s="100" t="str">
        <f>IFERROR(VLOOKUP(Tablo515[[#This Row],[BOYA KODU]],Tablo14[#All],6,0)," ")</f>
        <v xml:space="preserve"> </v>
      </c>
      <c r="M417" s="100" t="str">
        <f t="shared" si="46"/>
        <v xml:space="preserve"> </v>
      </c>
      <c r="N417" s="100" t="str">
        <f>IFERROR(VLOOKUP(Tablo515[[#This Row],[ÜRÜN KODU]],YMKODLARI!$A$1:$K$363,8,0)," ")</f>
        <v xml:space="preserve"> </v>
      </c>
      <c r="O417" s="100" t="str">
        <f>IFERROR(VLOOKUP(Tablo515[[#This Row],[HAMMADDE KODU]],Tablo1[#All],3,0)," ")</f>
        <v xml:space="preserve"> </v>
      </c>
      <c r="P417" s="100" t="str">
        <f>IFERROR(VLOOKUP(Tablo515[[#This Row],[HAMMADDE KODU]],Tablo1[#All],4,0)," ")</f>
        <v xml:space="preserve"> </v>
      </c>
      <c r="Q417" s="100" t="str">
        <f>IFERROR(VLOOKUP(Tablo515[[#This Row],[ÜRÜN KODU]],YMKODLARI!$A$1:$K$363,5,0)," ")</f>
        <v xml:space="preserve"> </v>
      </c>
      <c r="R417" s="100" t="str">
        <f>IFERROR(VLOOKUP(Tablo515[[#This Row],[ÜRÜN KODU]],YMKODLARI!$A$1:$K$363,6,0)," ")</f>
        <v xml:space="preserve"> </v>
      </c>
      <c r="S417" s="100" t="str">
        <f>IFERROR(Tablo515[[#This Row],[YOLLUK HARİÇ BASKI GRAMI]]/Tablo515[[#This Row],[KALIP GÖZ ADEDİ]]," ")</f>
        <v xml:space="preserve"> </v>
      </c>
      <c r="T417" s="100" t="str">
        <f t="shared" si="48"/>
        <v xml:space="preserve"> </v>
      </c>
      <c r="U417" s="100"/>
      <c r="V417" s="100" t="str">
        <f t="shared" si="47"/>
        <v xml:space="preserve"> </v>
      </c>
      <c r="W417" s="101">
        <f t="shared" si="49"/>
        <v>24</v>
      </c>
      <c r="X417" s="102">
        <f t="shared" si="50"/>
        <v>0</v>
      </c>
      <c r="Y417" s="100" t="str">
        <f t="shared" si="51"/>
        <v xml:space="preserve"> </v>
      </c>
      <c r="Z417" s="100" t="str">
        <f t="shared" si="52"/>
        <v xml:space="preserve"> </v>
      </c>
    </row>
    <row r="418" spans="1:26">
      <c r="A418" s="100"/>
      <c r="B418" s="108" t="str">
        <f>IFERROR(VLOOKUP(Tablo515[[#This Row],[ÜRÜN KODU]],YMKODLARI!$A$1:$K$363,2,0)," ")</f>
        <v xml:space="preserve"> </v>
      </c>
      <c r="C418" s="99"/>
      <c r="D418" s="100"/>
      <c r="E418" s="101"/>
      <c r="F418" s="101"/>
      <c r="G418" s="100" t="str">
        <f>IFERROR(VLOOKUP(Tablo515[[#This Row],[ÜRÜN KODU]],YMKODLARI!$A$1:$K$363,3,0)," ")</f>
        <v xml:space="preserve"> </v>
      </c>
      <c r="H418" s="100" t="str">
        <f>IFERROR(VLOOKUP(Tablo515[[#This Row],[ÜRÜN KODU]],YMKODLARI!$A$1:$K$363,4,0)," ")</f>
        <v xml:space="preserve"> </v>
      </c>
      <c r="I418" s="100"/>
      <c r="J418" s="100" t="str">
        <f>IFERROR(VLOOKUP(Tablo515[[#This Row],[ÜRÜN KODU]],YMKODLARI!$A$1:$K$363,9,0)," ")</f>
        <v xml:space="preserve"> </v>
      </c>
      <c r="K418" s="100" t="str">
        <f>IFERROR(VLOOKUP(Tablo515[[#This Row],[BOYA KODU]],Tablo14[#All],4,0)," ")</f>
        <v xml:space="preserve"> </v>
      </c>
      <c r="L418" s="100" t="str">
        <f>IFERROR(VLOOKUP(Tablo515[[#This Row],[BOYA KODU]],Tablo14[#All],6,0)," ")</f>
        <v xml:space="preserve"> </v>
      </c>
      <c r="M418" s="100" t="str">
        <f t="shared" si="46"/>
        <v xml:space="preserve"> </v>
      </c>
      <c r="N418" s="100" t="str">
        <f>IFERROR(VLOOKUP(Tablo515[[#This Row],[ÜRÜN KODU]],YMKODLARI!$A$1:$K$363,8,0)," ")</f>
        <v xml:space="preserve"> </v>
      </c>
      <c r="O418" s="100" t="str">
        <f>IFERROR(VLOOKUP(Tablo515[[#This Row],[HAMMADDE KODU]],Tablo1[#All],3,0)," ")</f>
        <v xml:space="preserve"> </v>
      </c>
      <c r="P418" s="100" t="str">
        <f>IFERROR(VLOOKUP(Tablo515[[#This Row],[HAMMADDE KODU]],Tablo1[#All],4,0)," ")</f>
        <v xml:space="preserve"> </v>
      </c>
      <c r="Q418" s="100" t="str">
        <f>IFERROR(VLOOKUP(Tablo515[[#This Row],[ÜRÜN KODU]],YMKODLARI!$A$1:$K$363,5,0)," ")</f>
        <v xml:space="preserve"> </v>
      </c>
      <c r="R418" s="100" t="str">
        <f>IFERROR(VLOOKUP(Tablo515[[#This Row],[ÜRÜN KODU]],YMKODLARI!$A$1:$K$363,6,0)," ")</f>
        <v xml:space="preserve"> </v>
      </c>
      <c r="S418" s="100" t="str">
        <f>IFERROR(Tablo515[[#This Row],[YOLLUK HARİÇ BASKI GRAMI]]/Tablo515[[#This Row],[KALIP GÖZ ADEDİ]]," ")</f>
        <v xml:space="preserve"> </v>
      </c>
      <c r="T418" s="100" t="str">
        <f t="shared" si="48"/>
        <v xml:space="preserve"> </v>
      </c>
      <c r="U418" s="100"/>
      <c r="V418" s="100" t="str">
        <f t="shared" si="47"/>
        <v xml:space="preserve"> </v>
      </c>
      <c r="W418" s="101">
        <f t="shared" si="49"/>
        <v>24</v>
      </c>
      <c r="X418" s="102">
        <f t="shared" si="50"/>
        <v>0</v>
      </c>
      <c r="Y418" s="100" t="str">
        <f t="shared" si="51"/>
        <v xml:space="preserve"> </v>
      </c>
      <c r="Z418" s="100" t="str">
        <f t="shared" si="52"/>
        <v xml:space="preserve"> </v>
      </c>
    </row>
    <row r="419" spans="1:26">
      <c r="A419" s="100"/>
      <c r="B419" s="108" t="str">
        <f>IFERROR(VLOOKUP(Tablo515[[#This Row],[ÜRÜN KODU]],YMKODLARI!$A$1:$K$363,2,0)," ")</f>
        <v xml:space="preserve"> </v>
      </c>
      <c r="C419" s="99"/>
      <c r="D419" s="100"/>
      <c r="E419" s="101"/>
      <c r="F419" s="101"/>
      <c r="G419" s="100" t="str">
        <f>IFERROR(VLOOKUP(Tablo515[[#This Row],[ÜRÜN KODU]],YMKODLARI!$A$1:$K$363,3,0)," ")</f>
        <v xml:space="preserve"> </v>
      </c>
      <c r="H419" s="100" t="str">
        <f>IFERROR(VLOOKUP(Tablo515[[#This Row],[ÜRÜN KODU]],YMKODLARI!$A$1:$K$363,4,0)," ")</f>
        <v xml:space="preserve"> </v>
      </c>
      <c r="I419" s="100"/>
      <c r="J419" s="100" t="str">
        <f>IFERROR(VLOOKUP(Tablo515[[#This Row],[ÜRÜN KODU]],YMKODLARI!$A$1:$K$363,9,0)," ")</f>
        <v xml:space="preserve"> </v>
      </c>
      <c r="K419" s="100" t="str">
        <f>IFERROR(VLOOKUP(Tablo515[[#This Row],[BOYA KODU]],Tablo14[#All],4,0)," ")</f>
        <v xml:space="preserve"> </v>
      </c>
      <c r="L419" s="100" t="str">
        <f>IFERROR(VLOOKUP(Tablo515[[#This Row],[BOYA KODU]],Tablo14[#All],6,0)," ")</f>
        <v xml:space="preserve"> </v>
      </c>
      <c r="M419" s="100" t="str">
        <f t="shared" si="46"/>
        <v xml:space="preserve"> </v>
      </c>
      <c r="N419" s="100" t="str">
        <f>IFERROR(VLOOKUP(Tablo515[[#This Row],[ÜRÜN KODU]],YMKODLARI!$A$1:$K$363,8,0)," ")</f>
        <v xml:space="preserve"> </v>
      </c>
      <c r="O419" s="100" t="str">
        <f>IFERROR(VLOOKUP(Tablo515[[#This Row],[HAMMADDE KODU]],Tablo1[#All],3,0)," ")</f>
        <v xml:space="preserve"> </v>
      </c>
      <c r="P419" s="100" t="str">
        <f>IFERROR(VLOOKUP(Tablo515[[#This Row],[HAMMADDE KODU]],Tablo1[#All],4,0)," ")</f>
        <v xml:space="preserve"> </v>
      </c>
      <c r="Q419" s="100" t="str">
        <f>IFERROR(VLOOKUP(Tablo515[[#This Row],[ÜRÜN KODU]],YMKODLARI!$A$1:$K$363,5,0)," ")</f>
        <v xml:space="preserve"> </v>
      </c>
      <c r="R419" s="100" t="str">
        <f>IFERROR(VLOOKUP(Tablo515[[#This Row],[ÜRÜN KODU]],YMKODLARI!$A$1:$K$363,6,0)," ")</f>
        <v xml:space="preserve"> </v>
      </c>
      <c r="S419" s="100" t="str">
        <f>IFERROR(Tablo515[[#This Row],[YOLLUK HARİÇ BASKI GRAMI]]/Tablo515[[#This Row],[KALIP GÖZ ADEDİ]]," ")</f>
        <v xml:space="preserve"> </v>
      </c>
      <c r="T419" s="100" t="str">
        <f t="shared" si="48"/>
        <v xml:space="preserve"> </v>
      </c>
      <c r="U419" s="100"/>
      <c r="V419" s="100" t="str">
        <f t="shared" si="47"/>
        <v xml:space="preserve"> </v>
      </c>
      <c r="W419" s="101">
        <f t="shared" si="49"/>
        <v>24</v>
      </c>
      <c r="X419" s="102">
        <f t="shared" si="50"/>
        <v>0</v>
      </c>
      <c r="Y419" s="100" t="str">
        <f t="shared" si="51"/>
        <v xml:space="preserve"> </v>
      </c>
      <c r="Z419" s="100" t="str">
        <f t="shared" si="52"/>
        <v xml:space="preserve"> </v>
      </c>
    </row>
    <row r="420" spans="1:26">
      <c r="A420" s="100"/>
      <c r="B420" s="108" t="str">
        <f>IFERROR(VLOOKUP(Tablo515[[#This Row],[ÜRÜN KODU]],YMKODLARI!$A$1:$K$363,2,0)," ")</f>
        <v xml:space="preserve"> </v>
      </c>
      <c r="C420" s="99"/>
      <c r="D420" s="100"/>
      <c r="E420" s="101"/>
      <c r="F420" s="101"/>
      <c r="G420" s="100" t="str">
        <f>IFERROR(VLOOKUP(Tablo515[[#This Row],[ÜRÜN KODU]],YMKODLARI!$A$1:$K$363,3,0)," ")</f>
        <v xml:space="preserve"> </v>
      </c>
      <c r="H420" s="100" t="str">
        <f>IFERROR(VLOOKUP(Tablo515[[#This Row],[ÜRÜN KODU]],YMKODLARI!$A$1:$K$363,4,0)," ")</f>
        <v xml:space="preserve"> </v>
      </c>
      <c r="I420" s="100"/>
      <c r="J420" s="100" t="str">
        <f>IFERROR(VLOOKUP(Tablo515[[#This Row],[ÜRÜN KODU]],YMKODLARI!$A$1:$K$363,9,0)," ")</f>
        <v xml:space="preserve"> </v>
      </c>
      <c r="K420" s="100" t="str">
        <f>IFERROR(VLOOKUP(Tablo515[[#This Row],[BOYA KODU]],Tablo14[#All],4,0)," ")</f>
        <v xml:space="preserve"> </v>
      </c>
      <c r="L420" s="100" t="str">
        <f>IFERROR(VLOOKUP(Tablo515[[#This Row],[BOYA KODU]],Tablo14[#All],6,0)," ")</f>
        <v xml:space="preserve"> </v>
      </c>
      <c r="M420" s="100" t="str">
        <f t="shared" si="46"/>
        <v xml:space="preserve"> </v>
      </c>
      <c r="N420" s="100" t="str">
        <f>IFERROR(VLOOKUP(Tablo515[[#This Row],[ÜRÜN KODU]],YMKODLARI!$A$1:$K$363,8,0)," ")</f>
        <v xml:space="preserve"> </v>
      </c>
      <c r="O420" s="100" t="str">
        <f>IFERROR(VLOOKUP(Tablo515[[#This Row],[HAMMADDE KODU]],Tablo1[#All],3,0)," ")</f>
        <v xml:space="preserve"> </v>
      </c>
      <c r="P420" s="100" t="str">
        <f>IFERROR(VLOOKUP(Tablo515[[#This Row],[HAMMADDE KODU]],Tablo1[#All],4,0)," ")</f>
        <v xml:space="preserve"> </v>
      </c>
      <c r="Q420" s="100" t="str">
        <f>IFERROR(VLOOKUP(Tablo515[[#This Row],[ÜRÜN KODU]],YMKODLARI!$A$1:$K$363,5,0)," ")</f>
        <v xml:space="preserve"> </v>
      </c>
      <c r="R420" s="100" t="str">
        <f>IFERROR(VLOOKUP(Tablo515[[#This Row],[ÜRÜN KODU]],YMKODLARI!$A$1:$K$363,6,0)," ")</f>
        <v xml:space="preserve"> </v>
      </c>
      <c r="S420" s="100" t="str">
        <f>IFERROR(Tablo515[[#This Row],[YOLLUK HARİÇ BASKI GRAMI]]/Tablo515[[#This Row],[KALIP GÖZ ADEDİ]]," ")</f>
        <v xml:space="preserve"> </v>
      </c>
      <c r="T420" s="100" t="str">
        <f t="shared" si="48"/>
        <v xml:space="preserve"> </v>
      </c>
      <c r="U420" s="100"/>
      <c r="V420" s="100" t="str">
        <f t="shared" si="47"/>
        <v xml:space="preserve"> </v>
      </c>
      <c r="W420" s="101">
        <f t="shared" si="49"/>
        <v>24</v>
      </c>
      <c r="X420" s="102">
        <f t="shared" si="50"/>
        <v>0</v>
      </c>
      <c r="Y420" s="100" t="str">
        <f t="shared" si="51"/>
        <v xml:space="preserve"> </v>
      </c>
      <c r="Z420" s="100" t="str">
        <f t="shared" si="52"/>
        <v xml:space="preserve"> </v>
      </c>
    </row>
    <row r="421" spans="1:26">
      <c r="A421" s="100"/>
      <c r="B421" s="108" t="str">
        <f>IFERROR(VLOOKUP(Tablo515[[#This Row],[ÜRÜN KODU]],YMKODLARI!$A$1:$K$363,2,0)," ")</f>
        <v xml:space="preserve"> </v>
      </c>
      <c r="C421" s="99"/>
      <c r="D421" s="100"/>
      <c r="E421" s="101"/>
      <c r="F421" s="101"/>
      <c r="G421" s="100" t="str">
        <f>IFERROR(VLOOKUP(Tablo515[[#This Row],[ÜRÜN KODU]],YMKODLARI!$A$1:$K$363,3,0)," ")</f>
        <v xml:space="preserve"> </v>
      </c>
      <c r="H421" s="100" t="str">
        <f>IFERROR(VLOOKUP(Tablo515[[#This Row],[ÜRÜN KODU]],YMKODLARI!$A$1:$K$363,4,0)," ")</f>
        <v xml:space="preserve"> </v>
      </c>
      <c r="I421" s="100"/>
      <c r="J421" s="100" t="str">
        <f>IFERROR(VLOOKUP(Tablo515[[#This Row],[ÜRÜN KODU]],YMKODLARI!$A$1:$K$363,9,0)," ")</f>
        <v xml:space="preserve"> </v>
      </c>
      <c r="K421" s="100" t="str">
        <f>IFERROR(VLOOKUP(Tablo515[[#This Row],[BOYA KODU]],Tablo14[#All],4,0)," ")</f>
        <v xml:space="preserve"> </v>
      </c>
      <c r="L421" s="100" t="str">
        <f>IFERROR(VLOOKUP(Tablo515[[#This Row],[BOYA KODU]],Tablo14[#All],6,0)," ")</f>
        <v xml:space="preserve"> </v>
      </c>
      <c r="M421" s="100" t="str">
        <f t="shared" si="46"/>
        <v xml:space="preserve"> </v>
      </c>
      <c r="N421" s="100" t="str">
        <f>IFERROR(VLOOKUP(Tablo515[[#This Row],[ÜRÜN KODU]],YMKODLARI!$A$1:$K$363,8,0)," ")</f>
        <v xml:space="preserve"> </v>
      </c>
      <c r="O421" s="100" t="str">
        <f>IFERROR(VLOOKUP(Tablo515[[#This Row],[HAMMADDE KODU]],Tablo1[#All],3,0)," ")</f>
        <v xml:space="preserve"> </v>
      </c>
      <c r="P421" s="100" t="str">
        <f>IFERROR(VLOOKUP(Tablo515[[#This Row],[HAMMADDE KODU]],Tablo1[#All],4,0)," ")</f>
        <v xml:space="preserve"> </v>
      </c>
      <c r="Q421" s="100" t="str">
        <f>IFERROR(VLOOKUP(Tablo515[[#This Row],[ÜRÜN KODU]],YMKODLARI!$A$1:$K$363,5,0)," ")</f>
        <v xml:space="preserve"> </v>
      </c>
      <c r="R421" s="100" t="str">
        <f>IFERROR(VLOOKUP(Tablo515[[#This Row],[ÜRÜN KODU]],YMKODLARI!$A$1:$K$363,6,0)," ")</f>
        <v xml:space="preserve"> </v>
      </c>
      <c r="S421" s="100" t="str">
        <f>IFERROR(Tablo515[[#This Row],[YOLLUK HARİÇ BASKI GRAMI]]/Tablo515[[#This Row],[KALIP GÖZ ADEDİ]]," ")</f>
        <v xml:space="preserve"> </v>
      </c>
      <c r="T421" s="100" t="str">
        <f t="shared" si="48"/>
        <v xml:space="preserve"> </v>
      </c>
      <c r="U421" s="100"/>
      <c r="V421" s="100" t="str">
        <f t="shared" si="47"/>
        <v xml:space="preserve"> </v>
      </c>
      <c r="W421" s="101">
        <f t="shared" si="49"/>
        <v>24</v>
      </c>
      <c r="X421" s="102">
        <f t="shared" si="50"/>
        <v>0</v>
      </c>
      <c r="Y421" s="100" t="str">
        <f t="shared" si="51"/>
        <v xml:space="preserve"> </v>
      </c>
      <c r="Z421" s="100" t="str">
        <f t="shared" si="52"/>
        <v xml:space="preserve"> </v>
      </c>
    </row>
    <row r="422" spans="1:26">
      <c r="A422" s="100"/>
      <c r="B422" s="108" t="str">
        <f>IFERROR(VLOOKUP(Tablo515[[#This Row],[ÜRÜN KODU]],YMKODLARI!$A$1:$K$363,2,0)," ")</f>
        <v xml:space="preserve"> </v>
      </c>
      <c r="C422" s="99"/>
      <c r="D422" s="100"/>
      <c r="E422" s="101"/>
      <c r="F422" s="101"/>
      <c r="G422" s="100" t="str">
        <f>IFERROR(VLOOKUP(Tablo515[[#This Row],[ÜRÜN KODU]],YMKODLARI!$A$1:$K$363,3,0)," ")</f>
        <v xml:space="preserve"> </v>
      </c>
      <c r="H422" s="100" t="str">
        <f>IFERROR(VLOOKUP(Tablo515[[#This Row],[ÜRÜN KODU]],YMKODLARI!$A$1:$K$363,4,0)," ")</f>
        <v xml:space="preserve"> </v>
      </c>
      <c r="I422" s="100"/>
      <c r="J422" s="100" t="str">
        <f>IFERROR(VLOOKUP(Tablo515[[#This Row],[ÜRÜN KODU]],YMKODLARI!$A$1:$K$363,9,0)," ")</f>
        <v xml:space="preserve"> </v>
      </c>
      <c r="K422" s="100" t="str">
        <f>IFERROR(VLOOKUP(Tablo515[[#This Row],[BOYA KODU]],Tablo14[#All],4,0)," ")</f>
        <v xml:space="preserve"> </v>
      </c>
      <c r="L422" s="100" t="str">
        <f>IFERROR(VLOOKUP(Tablo515[[#This Row],[BOYA KODU]],Tablo14[#All],6,0)," ")</f>
        <v xml:space="preserve"> </v>
      </c>
      <c r="M422" s="100" t="str">
        <f t="shared" si="46"/>
        <v xml:space="preserve"> </v>
      </c>
      <c r="N422" s="100" t="str">
        <f>IFERROR(VLOOKUP(Tablo515[[#This Row],[ÜRÜN KODU]],YMKODLARI!$A$1:$K$363,8,0)," ")</f>
        <v xml:space="preserve"> </v>
      </c>
      <c r="O422" s="100" t="str">
        <f>IFERROR(VLOOKUP(Tablo515[[#This Row],[HAMMADDE KODU]],Tablo1[#All],3,0)," ")</f>
        <v xml:space="preserve"> </v>
      </c>
      <c r="P422" s="100" t="str">
        <f>IFERROR(VLOOKUP(Tablo515[[#This Row],[HAMMADDE KODU]],Tablo1[#All],4,0)," ")</f>
        <v xml:space="preserve"> </v>
      </c>
      <c r="Q422" s="100" t="str">
        <f>IFERROR(VLOOKUP(Tablo515[[#This Row],[ÜRÜN KODU]],YMKODLARI!$A$1:$K$363,5,0)," ")</f>
        <v xml:space="preserve"> </v>
      </c>
      <c r="R422" s="100" t="str">
        <f>IFERROR(VLOOKUP(Tablo515[[#This Row],[ÜRÜN KODU]],YMKODLARI!$A$1:$K$363,6,0)," ")</f>
        <v xml:space="preserve"> </v>
      </c>
      <c r="S422" s="100" t="str">
        <f>IFERROR(Tablo515[[#This Row],[YOLLUK HARİÇ BASKI GRAMI]]/Tablo515[[#This Row],[KALIP GÖZ ADEDİ]]," ")</f>
        <v xml:space="preserve"> </v>
      </c>
      <c r="T422" s="100" t="str">
        <f t="shared" si="48"/>
        <v xml:space="preserve"> </v>
      </c>
      <c r="U422" s="100"/>
      <c r="V422" s="100" t="str">
        <f t="shared" si="47"/>
        <v xml:space="preserve"> </v>
      </c>
      <c r="W422" s="101">
        <f t="shared" si="49"/>
        <v>24</v>
      </c>
      <c r="X422" s="102">
        <f t="shared" si="50"/>
        <v>0</v>
      </c>
      <c r="Y422" s="100" t="str">
        <f t="shared" si="51"/>
        <v xml:space="preserve"> </v>
      </c>
      <c r="Z422" s="100" t="str">
        <f t="shared" si="52"/>
        <v xml:space="preserve"> </v>
      </c>
    </row>
    <row r="423" spans="1:26">
      <c r="A423" s="100"/>
      <c r="B423" s="108" t="str">
        <f>IFERROR(VLOOKUP(Tablo515[[#This Row],[ÜRÜN KODU]],YMKODLARI!$A$1:$K$363,2,0)," ")</f>
        <v xml:space="preserve"> </v>
      </c>
      <c r="C423" s="99"/>
      <c r="D423" s="100"/>
      <c r="E423" s="101"/>
      <c r="F423" s="101"/>
      <c r="G423" s="100" t="str">
        <f>IFERROR(VLOOKUP(Tablo515[[#This Row],[ÜRÜN KODU]],YMKODLARI!$A$1:$K$363,3,0)," ")</f>
        <v xml:space="preserve"> </v>
      </c>
      <c r="H423" s="100" t="str">
        <f>IFERROR(VLOOKUP(Tablo515[[#This Row],[ÜRÜN KODU]],YMKODLARI!$A$1:$K$363,4,0)," ")</f>
        <v xml:space="preserve"> </v>
      </c>
      <c r="I423" s="100"/>
      <c r="J423" s="100" t="str">
        <f>IFERROR(VLOOKUP(Tablo515[[#This Row],[ÜRÜN KODU]],YMKODLARI!$A$1:$K$363,9,0)," ")</f>
        <v xml:space="preserve"> </v>
      </c>
      <c r="K423" s="100" t="str">
        <f>IFERROR(VLOOKUP(Tablo515[[#This Row],[BOYA KODU]],Tablo14[#All],4,0)," ")</f>
        <v xml:space="preserve"> </v>
      </c>
      <c r="L423" s="100" t="str">
        <f>IFERROR(VLOOKUP(Tablo515[[#This Row],[BOYA KODU]],Tablo14[#All],6,0)," ")</f>
        <v xml:space="preserve"> </v>
      </c>
      <c r="M423" s="100" t="str">
        <f t="shared" si="46"/>
        <v xml:space="preserve"> </v>
      </c>
      <c r="N423" s="100" t="str">
        <f>IFERROR(VLOOKUP(Tablo515[[#This Row],[ÜRÜN KODU]],YMKODLARI!$A$1:$K$363,8,0)," ")</f>
        <v xml:space="preserve"> </v>
      </c>
      <c r="O423" s="100" t="str">
        <f>IFERROR(VLOOKUP(Tablo515[[#This Row],[HAMMADDE KODU]],Tablo1[#All],3,0)," ")</f>
        <v xml:space="preserve"> </v>
      </c>
      <c r="P423" s="100" t="str">
        <f>IFERROR(VLOOKUP(Tablo515[[#This Row],[HAMMADDE KODU]],Tablo1[#All],4,0)," ")</f>
        <v xml:space="preserve"> </v>
      </c>
      <c r="Q423" s="100" t="str">
        <f>IFERROR(VLOOKUP(Tablo515[[#This Row],[ÜRÜN KODU]],YMKODLARI!$A$1:$K$363,5,0)," ")</f>
        <v xml:space="preserve"> </v>
      </c>
      <c r="R423" s="100" t="str">
        <f>IFERROR(VLOOKUP(Tablo515[[#This Row],[ÜRÜN KODU]],YMKODLARI!$A$1:$K$363,6,0)," ")</f>
        <v xml:space="preserve"> </v>
      </c>
      <c r="S423" s="100" t="str">
        <f>IFERROR(Tablo515[[#This Row],[YOLLUK HARİÇ BASKI GRAMI]]/Tablo515[[#This Row],[KALIP GÖZ ADEDİ]]," ")</f>
        <v xml:space="preserve"> </v>
      </c>
      <c r="T423" s="100" t="str">
        <f t="shared" si="48"/>
        <v xml:space="preserve"> </v>
      </c>
      <c r="U423" s="100"/>
      <c r="V423" s="100" t="str">
        <f t="shared" si="47"/>
        <v xml:space="preserve"> </v>
      </c>
      <c r="W423" s="101">
        <f t="shared" si="49"/>
        <v>24</v>
      </c>
      <c r="X423" s="102">
        <f t="shared" si="50"/>
        <v>0</v>
      </c>
      <c r="Y423" s="100" t="str">
        <f t="shared" si="51"/>
        <v xml:space="preserve"> </v>
      </c>
      <c r="Z423" s="100" t="str">
        <f t="shared" si="52"/>
        <v xml:space="preserve"> </v>
      </c>
    </row>
    <row r="424" spans="1:26">
      <c r="A424" s="100"/>
      <c r="B424" s="108" t="str">
        <f>IFERROR(VLOOKUP(Tablo515[[#This Row],[ÜRÜN KODU]],YMKODLARI!$A$1:$K$363,2,0)," ")</f>
        <v xml:space="preserve"> </v>
      </c>
      <c r="C424" s="99"/>
      <c r="D424" s="100"/>
      <c r="E424" s="101"/>
      <c r="F424" s="101"/>
      <c r="G424" s="100" t="str">
        <f>IFERROR(VLOOKUP(Tablo515[[#This Row],[ÜRÜN KODU]],YMKODLARI!$A$1:$K$363,3,0)," ")</f>
        <v xml:space="preserve"> </v>
      </c>
      <c r="H424" s="100" t="str">
        <f>IFERROR(VLOOKUP(Tablo515[[#This Row],[ÜRÜN KODU]],YMKODLARI!$A$1:$K$363,4,0)," ")</f>
        <v xml:space="preserve"> </v>
      </c>
      <c r="I424" s="100"/>
      <c r="J424" s="100" t="str">
        <f>IFERROR(VLOOKUP(Tablo515[[#This Row],[ÜRÜN KODU]],YMKODLARI!$A$1:$K$363,9,0)," ")</f>
        <v xml:space="preserve"> </v>
      </c>
      <c r="K424" s="100" t="str">
        <f>IFERROR(VLOOKUP(Tablo515[[#This Row],[BOYA KODU]],Tablo14[#All],4,0)," ")</f>
        <v xml:space="preserve"> </v>
      </c>
      <c r="L424" s="100" t="str">
        <f>IFERROR(VLOOKUP(Tablo515[[#This Row],[BOYA KODU]],Tablo14[#All],6,0)," ")</f>
        <v xml:space="preserve"> </v>
      </c>
      <c r="M424" s="100" t="str">
        <f t="shared" si="46"/>
        <v xml:space="preserve"> </v>
      </c>
      <c r="N424" s="100" t="str">
        <f>IFERROR(VLOOKUP(Tablo515[[#This Row],[ÜRÜN KODU]],YMKODLARI!$A$1:$K$363,8,0)," ")</f>
        <v xml:space="preserve"> </v>
      </c>
      <c r="O424" s="100" t="str">
        <f>IFERROR(VLOOKUP(Tablo515[[#This Row],[HAMMADDE KODU]],Tablo1[#All],3,0)," ")</f>
        <v xml:space="preserve"> </v>
      </c>
      <c r="P424" s="100" t="str">
        <f>IFERROR(VLOOKUP(Tablo515[[#This Row],[HAMMADDE KODU]],Tablo1[#All],4,0)," ")</f>
        <v xml:space="preserve"> </v>
      </c>
      <c r="Q424" s="100" t="str">
        <f>IFERROR(VLOOKUP(Tablo515[[#This Row],[ÜRÜN KODU]],YMKODLARI!$A$1:$K$363,5,0)," ")</f>
        <v xml:space="preserve"> </v>
      </c>
      <c r="R424" s="100" t="str">
        <f>IFERROR(VLOOKUP(Tablo515[[#This Row],[ÜRÜN KODU]],YMKODLARI!$A$1:$K$363,6,0)," ")</f>
        <v xml:space="preserve"> </v>
      </c>
      <c r="S424" s="100" t="str">
        <f>IFERROR(Tablo515[[#This Row],[YOLLUK HARİÇ BASKI GRAMI]]/Tablo515[[#This Row],[KALIP GÖZ ADEDİ]]," ")</f>
        <v xml:space="preserve"> </v>
      </c>
      <c r="T424" s="100" t="str">
        <f t="shared" si="48"/>
        <v xml:space="preserve"> </v>
      </c>
      <c r="U424" s="100"/>
      <c r="V424" s="100" t="str">
        <f t="shared" si="47"/>
        <v xml:space="preserve"> </v>
      </c>
      <c r="W424" s="101">
        <f t="shared" si="49"/>
        <v>24</v>
      </c>
      <c r="X424" s="102">
        <f t="shared" si="50"/>
        <v>0</v>
      </c>
      <c r="Y424" s="100" t="str">
        <f t="shared" si="51"/>
        <v xml:space="preserve"> </v>
      </c>
      <c r="Z424" s="100" t="str">
        <f t="shared" si="52"/>
        <v xml:space="preserve"> </v>
      </c>
    </row>
    <row r="425" spans="1:26">
      <c r="A425" s="100"/>
      <c r="B425" s="108" t="str">
        <f>IFERROR(VLOOKUP(Tablo515[[#This Row],[ÜRÜN KODU]],YMKODLARI!$A$1:$K$363,2,0)," ")</f>
        <v xml:space="preserve"> </v>
      </c>
      <c r="C425" s="99"/>
      <c r="D425" s="100"/>
      <c r="E425" s="101"/>
      <c r="F425" s="101"/>
      <c r="G425" s="100" t="str">
        <f>IFERROR(VLOOKUP(Tablo515[[#This Row],[ÜRÜN KODU]],YMKODLARI!$A$1:$K$363,3,0)," ")</f>
        <v xml:space="preserve"> </v>
      </c>
      <c r="H425" s="100" t="str">
        <f>IFERROR(VLOOKUP(Tablo515[[#This Row],[ÜRÜN KODU]],YMKODLARI!$A$1:$K$363,4,0)," ")</f>
        <v xml:space="preserve"> </v>
      </c>
      <c r="I425" s="100"/>
      <c r="J425" s="100" t="str">
        <f>IFERROR(VLOOKUP(Tablo515[[#This Row],[ÜRÜN KODU]],YMKODLARI!$A$1:$K$363,9,0)," ")</f>
        <v xml:space="preserve"> </v>
      </c>
      <c r="K425" s="100" t="str">
        <f>IFERROR(VLOOKUP(Tablo515[[#This Row],[BOYA KODU]],Tablo14[#All],4,0)," ")</f>
        <v xml:space="preserve"> </v>
      </c>
      <c r="L425" s="100" t="str">
        <f>IFERROR(VLOOKUP(Tablo515[[#This Row],[BOYA KODU]],Tablo14[#All],6,0)," ")</f>
        <v xml:space="preserve"> </v>
      </c>
      <c r="M425" s="100" t="str">
        <f t="shared" si="46"/>
        <v xml:space="preserve"> </v>
      </c>
      <c r="N425" s="100" t="str">
        <f>IFERROR(VLOOKUP(Tablo515[[#This Row],[ÜRÜN KODU]],YMKODLARI!$A$1:$K$363,8,0)," ")</f>
        <v xml:space="preserve"> </v>
      </c>
      <c r="O425" s="100" t="str">
        <f>IFERROR(VLOOKUP(Tablo515[[#This Row],[HAMMADDE KODU]],Tablo1[#All],3,0)," ")</f>
        <v xml:space="preserve"> </v>
      </c>
      <c r="P425" s="100" t="str">
        <f>IFERROR(VLOOKUP(Tablo515[[#This Row],[HAMMADDE KODU]],Tablo1[#All],4,0)," ")</f>
        <v xml:space="preserve"> </v>
      </c>
      <c r="Q425" s="100" t="str">
        <f>IFERROR(VLOOKUP(Tablo515[[#This Row],[ÜRÜN KODU]],YMKODLARI!$A$1:$K$363,5,0)," ")</f>
        <v xml:space="preserve"> </v>
      </c>
      <c r="R425" s="100" t="str">
        <f>IFERROR(VLOOKUP(Tablo515[[#This Row],[ÜRÜN KODU]],YMKODLARI!$A$1:$K$363,6,0)," ")</f>
        <v xml:space="preserve"> </v>
      </c>
      <c r="S425" s="100" t="str">
        <f>IFERROR(Tablo515[[#This Row],[YOLLUK HARİÇ BASKI GRAMI]]/Tablo515[[#This Row],[KALIP GÖZ ADEDİ]]," ")</f>
        <v xml:space="preserve"> </v>
      </c>
      <c r="T425" s="100" t="str">
        <f t="shared" si="48"/>
        <v xml:space="preserve"> </v>
      </c>
      <c r="U425" s="100"/>
      <c r="V425" s="100" t="str">
        <f t="shared" si="47"/>
        <v xml:space="preserve"> </v>
      </c>
      <c r="W425" s="101">
        <f t="shared" si="49"/>
        <v>24</v>
      </c>
      <c r="X425" s="102">
        <f t="shared" si="50"/>
        <v>0</v>
      </c>
      <c r="Y425" s="100" t="str">
        <f t="shared" si="51"/>
        <v xml:space="preserve"> </v>
      </c>
      <c r="Z425" s="100" t="str">
        <f t="shared" si="52"/>
        <v xml:space="preserve"> </v>
      </c>
    </row>
    <row r="426" spans="1:26">
      <c r="A426" s="100"/>
      <c r="B426" s="108" t="str">
        <f>IFERROR(VLOOKUP(Tablo515[[#This Row],[ÜRÜN KODU]],YMKODLARI!$A$1:$K$363,2,0)," ")</f>
        <v xml:space="preserve"> </v>
      </c>
      <c r="C426" s="99"/>
      <c r="D426" s="100"/>
      <c r="E426" s="101"/>
      <c r="F426" s="101"/>
      <c r="G426" s="100" t="str">
        <f>IFERROR(VLOOKUP(Tablo515[[#This Row],[ÜRÜN KODU]],YMKODLARI!$A$1:$K$363,3,0)," ")</f>
        <v xml:space="preserve"> </v>
      </c>
      <c r="H426" s="100" t="str">
        <f>IFERROR(VLOOKUP(Tablo515[[#This Row],[ÜRÜN KODU]],YMKODLARI!$A$1:$K$363,4,0)," ")</f>
        <v xml:space="preserve"> </v>
      </c>
      <c r="I426" s="100"/>
      <c r="J426" s="100" t="str">
        <f>IFERROR(VLOOKUP(Tablo515[[#This Row],[ÜRÜN KODU]],YMKODLARI!$A$1:$K$363,9,0)," ")</f>
        <v xml:space="preserve"> </v>
      </c>
      <c r="K426" s="100" t="str">
        <f>IFERROR(VLOOKUP(Tablo515[[#This Row],[BOYA KODU]],Tablo14[#All],4,0)," ")</f>
        <v xml:space="preserve"> </v>
      </c>
      <c r="L426" s="100" t="str">
        <f>IFERROR(VLOOKUP(Tablo515[[#This Row],[BOYA KODU]],Tablo14[#All],6,0)," ")</f>
        <v xml:space="preserve"> </v>
      </c>
      <c r="M426" s="100" t="str">
        <f t="shared" si="46"/>
        <v xml:space="preserve"> </v>
      </c>
      <c r="N426" s="100" t="str">
        <f>IFERROR(VLOOKUP(Tablo515[[#This Row],[ÜRÜN KODU]],YMKODLARI!$A$1:$K$363,8,0)," ")</f>
        <v xml:space="preserve"> </v>
      </c>
      <c r="O426" s="100" t="str">
        <f>IFERROR(VLOOKUP(Tablo515[[#This Row],[HAMMADDE KODU]],Tablo1[#All],3,0)," ")</f>
        <v xml:space="preserve"> </v>
      </c>
      <c r="P426" s="100" t="str">
        <f>IFERROR(VLOOKUP(Tablo515[[#This Row],[HAMMADDE KODU]],Tablo1[#All],4,0)," ")</f>
        <v xml:space="preserve"> </v>
      </c>
      <c r="Q426" s="100" t="str">
        <f>IFERROR(VLOOKUP(Tablo515[[#This Row],[ÜRÜN KODU]],YMKODLARI!$A$1:$K$363,5,0)," ")</f>
        <v xml:space="preserve"> </v>
      </c>
      <c r="R426" s="100" t="str">
        <f>IFERROR(VLOOKUP(Tablo515[[#This Row],[ÜRÜN KODU]],YMKODLARI!$A$1:$K$363,6,0)," ")</f>
        <v xml:space="preserve"> </v>
      </c>
      <c r="S426" s="100" t="str">
        <f>IFERROR(Tablo515[[#This Row],[YOLLUK HARİÇ BASKI GRAMI]]/Tablo515[[#This Row],[KALIP GÖZ ADEDİ]]," ")</f>
        <v xml:space="preserve"> </v>
      </c>
      <c r="T426" s="100" t="str">
        <f t="shared" si="48"/>
        <v xml:space="preserve"> </v>
      </c>
      <c r="U426" s="100"/>
      <c r="V426" s="100" t="str">
        <f t="shared" si="47"/>
        <v xml:space="preserve"> </v>
      </c>
      <c r="W426" s="101">
        <f t="shared" si="49"/>
        <v>24</v>
      </c>
      <c r="X426" s="102">
        <f t="shared" si="50"/>
        <v>0</v>
      </c>
      <c r="Y426" s="100" t="str">
        <f t="shared" si="51"/>
        <v xml:space="preserve"> </v>
      </c>
      <c r="Z426" s="100" t="str">
        <f t="shared" si="52"/>
        <v xml:space="preserve"> </v>
      </c>
    </row>
    <row r="427" spans="1:26">
      <c r="A427" s="100"/>
      <c r="B427" s="108" t="str">
        <f>IFERROR(VLOOKUP(Tablo515[[#This Row],[ÜRÜN KODU]],YMKODLARI!$A$1:$K$363,2,0)," ")</f>
        <v xml:space="preserve"> </v>
      </c>
      <c r="C427" s="99"/>
      <c r="D427" s="100"/>
      <c r="E427" s="101"/>
      <c r="F427" s="101"/>
      <c r="G427" s="100" t="str">
        <f>IFERROR(VLOOKUP(Tablo515[[#This Row],[ÜRÜN KODU]],YMKODLARI!$A$1:$K$363,3,0)," ")</f>
        <v xml:space="preserve"> </v>
      </c>
      <c r="H427" s="100" t="str">
        <f>IFERROR(VLOOKUP(Tablo515[[#This Row],[ÜRÜN KODU]],YMKODLARI!$A$1:$K$363,4,0)," ")</f>
        <v xml:space="preserve"> </v>
      </c>
      <c r="I427" s="100"/>
      <c r="J427" s="100" t="str">
        <f>IFERROR(VLOOKUP(Tablo515[[#This Row],[ÜRÜN KODU]],YMKODLARI!$A$1:$K$363,9,0)," ")</f>
        <v xml:space="preserve"> </v>
      </c>
      <c r="K427" s="100" t="str">
        <f>IFERROR(VLOOKUP(Tablo515[[#This Row],[BOYA KODU]],Tablo14[#All],4,0)," ")</f>
        <v xml:space="preserve"> </v>
      </c>
      <c r="L427" s="100" t="str">
        <f>IFERROR(VLOOKUP(Tablo515[[#This Row],[BOYA KODU]],Tablo14[#All],6,0)," ")</f>
        <v xml:space="preserve"> </v>
      </c>
      <c r="M427" s="100" t="str">
        <f t="shared" si="46"/>
        <v xml:space="preserve"> </v>
      </c>
      <c r="N427" s="100" t="str">
        <f>IFERROR(VLOOKUP(Tablo515[[#This Row],[ÜRÜN KODU]],YMKODLARI!$A$1:$K$363,8,0)," ")</f>
        <v xml:space="preserve"> </v>
      </c>
      <c r="O427" s="100" t="str">
        <f>IFERROR(VLOOKUP(Tablo515[[#This Row],[HAMMADDE KODU]],Tablo1[#All],3,0)," ")</f>
        <v xml:space="preserve"> </v>
      </c>
      <c r="P427" s="100" t="str">
        <f>IFERROR(VLOOKUP(Tablo515[[#This Row],[HAMMADDE KODU]],Tablo1[#All],4,0)," ")</f>
        <v xml:space="preserve"> </v>
      </c>
      <c r="Q427" s="100" t="str">
        <f>IFERROR(VLOOKUP(Tablo515[[#This Row],[ÜRÜN KODU]],YMKODLARI!$A$1:$K$363,5,0)," ")</f>
        <v xml:space="preserve"> </v>
      </c>
      <c r="R427" s="100" t="str">
        <f>IFERROR(VLOOKUP(Tablo515[[#This Row],[ÜRÜN KODU]],YMKODLARI!$A$1:$K$363,6,0)," ")</f>
        <v xml:space="preserve"> </v>
      </c>
      <c r="S427" s="100" t="str">
        <f>IFERROR(Tablo515[[#This Row],[YOLLUK HARİÇ BASKI GRAMI]]/Tablo515[[#This Row],[KALIP GÖZ ADEDİ]]," ")</f>
        <v xml:space="preserve"> </v>
      </c>
      <c r="T427" s="100" t="str">
        <f t="shared" si="48"/>
        <v xml:space="preserve"> </v>
      </c>
      <c r="U427" s="100"/>
      <c r="V427" s="100" t="str">
        <f t="shared" si="47"/>
        <v xml:space="preserve"> </v>
      </c>
      <c r="W427" s="101">
        <f t="shared" si="49"/>
        <v>24</v>
      </c>
      <c r="X427" s="102">
        <f t="shared" si="50"/>
        <v>0</v>
      </c>
      <c r="Y427" s="100" t="str">
        <f t="shared" si="51"/>
        <v xml:space="preserve"> </v>
      </c>
      <c r="Z427" s="100" t="str">
        <f t="shared" si="52"/>
        <v xml:space="preserve"> </v>
      </c>
    </row>
    <row r="428" spans="1:26">
      <c r="A428" s="100"/>
      <c r="B428" s="108" t="str">
        <f>IFERROR(VLOOKUP(Tablo515[[#This Row],[ÜRÜN KODU]],YMKODLARI!$A$1:$K$363,2,0)," ")</f>
        <v xml:space="preserve"> </v>
      </c>
      <c r="C428" s="99"/>
      <c r="D428" s="100"/>
      <c r="E428" s="101"/>
      <c r="F428" s="101"/>
      <c r="G428" s="100" t="str">
        <f>IFERROR(VLOOKUP(Tablo515[[#This Row],[ÜRÜN KODU]],YMKODLARI!$A$1:$K$363,3,0)," ")</f>
        <v xml:space="preserve"> </v>
      </c>
      <c r="H428" s="100" t="str">
        <f>IFERROR(VLOOKUP(Tablo515[[#This Row],[ÜRÜN KODU]],YMKODLARI!$A$1:$K$363,4,0)," ")</f>
        <v xml:space="preserve"> </v>
      </c>
      <c r="I428" s="100"/>
      <c r="J428" s="100" t="str">
        <f>IFERROR(VLOOKUP(Tablo515[[#This Row],[ÜRÜN KODU]],YMKODLARI!$A$1:$K$363,9,0)," ")</f>
        <v xml:space="preserve"> </v>
      </c>
      <c r="K428" s="100" t="str">
        <f>IFERROR(VLOOKUP(Tablo515[[#This Row],[BOYA KODU]],Tablo14[#All],4,0)," ")</f>
        <v xml:space="preserve"> </v>
      </c>
      <c r="L428" s="100" t="str">
        <f>IFERROR(VLOOKUP(Tablo515[[#This Row],[BOYA KODU]],Tablo14[#All],6,0)," ")</f>
        <v xml:space="preserve"> </v>
      </c>
      <c r="M428" s="100" t="str">
        <f t="shared" si="46"/>
        <v xml:space="preserve"> </v>
      </c>
      <c r="N428" s="100" t="str">
        <f>IFERROR(VLOOKUP(Tablo515[[#This Row],[ÜRÜN KODU]],YMKODLARI!$A$1:$K$363,8,0)," ")</f>
        <v xml:space="preserve"> </v>
      </c>
      <c r="O428" s="100" t="str">
        <f>IFERROR(VLOOKUP(Tablo515[[#This Row],[HAMMADDE KODU]],Tablo1[#All],3,0)," ")</f>
        <v xml:space="preserve"> </v>
      </c>
      <c r="P428" s="100" t="str">
        <f>IFERROR(VLOOKUP(Tablo515[[#This Row],[HAMMADDE KODU]],Tablo1[#All],4,0)," ")</f>
        <v xml:space="preserve"> </v>
      </c>
      <c r="Q428" s="100" t="str">
        <f>IFERROR(VLOOKUP(Tablo515[[#This Row],[ÜRÜN KODU]],YMKODLARI!$A$1:$K$363,5,0)," ")</f>
        <v xml:space="preserve"> </v>
      </c>
      <c r="R428" s="100" t="str">
        <f>IFERROR(VLOOKUP(Tablo515[[#This Row],[ÜRÜN KODU]],YMKODLARI!$A$1:$K$363,6,0)," ")</f>
        <v xml:space="preserve"> </v>
      </c>
      <c r="S428" s="100" t="str">
        <f>IFERROR(Tablo515[[#This Row],[YOLLUK HARİÇ BASKI GRAMI]]/Tablo515[[#This Row],[KALIP GÖZ ADEDİ]]," ")</f>
        <v xml:space="preserve"> </v>
      </c>
      <c r="T428" s="100" t="str">
        <f t="shared" si="48"/>
        <v xml:space="preserve"> </v>
      </c>
      <c r="U428" s="100"/>
      <c r="V428" s="100" t="str">
        <f t="shared" si="47"/>
        <v xml:space="preserve"> </v>
      </c>
      <c r="W428" s="101">
        <f t="shared" si="49"/>
        <v>24</v>
      </c>
      <c r="X428" s="102">
        <f t="shared" si="50"/>
        <v>0</v>
      </c>
      <c r="Y428" s="100" t="str">
        <f t="shared" si="51"/>
        <v xml:space="preserve"> </v>
      </c>
      <c r="Z428" s="100" t="str">
        <f t="shared" si="52"/>
        <v xml:space="preserve"> </v>
      </c>
    </row>
    <row r="429" spans="1:26">
      <c r="A429" s="100"/>
      <c r="B429" s="108" t="str">
        <f>IFERROR(VLOOKUP(Tablo515[[#This Row],[ÜRÜN KODU]],YMKODLARI!$A$1:$K$363,2,0)," ")</f>
        <v xml:space="preserve"> </v>
      </c>
      <c r="C429" s="99"/>
      <c r="D429" s="100"/>
      <c r="E429" s="101"/>
      <c r="F429" s="101"/>
      <c r="G429" s="100" t="str">
        <f>IFERROR(VLOOKUP(Tablo515[[#This Row],[ÜRÜN KODU]],YMKODLARI!$A$1:$K$363,3,0)," ")</f>
        <v xml:space="preserve"> </v>
      </c>
      <c r="H429" s="100" t="str">
        <f>IFERROR(VLOOKUP(Tablo515[[#This Row],[ÜRÜN KODU]],YMKODLARI!$A$1:$K$363,4,0)," ")</f>
        <v xml:space="preserve"> </v>
      </c>
      <c r="I429" s="100"/>
      <c r="J429" s="100" t="str">
        <f>IFERROR(VLOOKUP(Tablo515[[#This Row],[ÜRÜN KODU]],YMKODLARI!$A$1:$K$363,9,0)," ")</f>
        <v xml:space="preserve"> </v>
      </c>
      <c r="K429" s="100" t="str">
        <f>IFERROR(VLOOKUP(Tablo515[[#This Row],[BOYA KODU]],Tablo14[#All],4,0)," ")</f>
        <v xml:space="preserve"> </v>
      </c>
      <c r="L429" s="100" t="str">
        <f>IFERROR(VLOOKUP(Tablo515[[#This Row],[BOYA KODU]],Tablo14[#All],6,0)," ")</f>
        <v xml:space="preserve"> </v>
      </c>
      <c r="M429" s="100" t="str">
        <f t="shared" si="46"/>
        <v xml:space="preserve"> </v>
      </c>
      <c r="N429" s="100" t="str">
        <f>IFERROR(VLOOKUP(Tablo515[[#This Row],[ÜRÜN KODU]],YMKODLARI!$A$1:$K$363,8,0)," ")</f>
        <v xml:space="preserve"> </v>
      </c>
      <c r="O429" s="100" t="str">
        <f>IFERROR(VLOOKUP(Tablo515[[#This Row],[HAMMADDE KODU]],Tablo1[#All],3,0)," ")</f>
        <v xml:space="preserve"> </v>
      </c>
      <c r="P429" s="100" t="str">
        <f>IFERROR(VLOOKUP(Tablo515[[#This Row],[HAMMADDE KODU]],Tablo1[#All],4,0)," ")</f>
        <v xml:space="preserve"> </v>
      </c>
      <c r="Q429" s="100" t="str">
        <f>IFERROR(VLOOKUP(Tablo515[[#This Row],[ÜRÜN KODU]],YMKODLARI!$A$1:$K$363,5,0)," ")</f>
        <v xml:space="preserve"> </v>
      </c>
      <c r="R429" s="100" t="str">
        <f>IFERROR(VLOOKUP(Tablo515[[#This Row],[ÜRÜN KODU]],YMKODLARI!$A$1:$K$363,6,0)," ")</f>
        <v xml:space="preserve"> </v>
      </c>
      <c r="S429" s="100" t="str">
        <f>IFERROR(Tablo515[[#This Row],[YOLLUK HARİÇ BASKI GRAMI]]/Tablo515[[#This Row],[KALIP GÖZ ADEDİ]]," ")</f>
        <v xml:space="preserve"> </v>
      </c>
      <c r="T429" s="100" t="str">
        <f t="shared" si="48"/>
        <v xml:space="preserve"> </v>
      </c>
      <c r="U429" s="100"/>
      <c r="V429" s="100" t="str">
        <f t="shared" si="47"/>
        <v xml:space="preserve"> </v>
      </c>
      <c r="W429" s="101">
        <f t="shared" si="49"/>
        <v>24</v>
      </c>
      <c r="X429" s="102">
        <f t="shared" si="50"/>
        <v>0</v>
      </c>
      <c r="Y429" s="100" t="str">
        <f t="shared" si="51"/>
        <v xml:space="preserve"> </v>
      </c>
      <c r="Z429" s="100" t="str">
        <f t="shared" si="52"/>
        <v xml:space="preserve"> </v>
      </c>
    </row>
    <row r="430" spans="1:26">
      <c r="A430" s="100"/>
      <c r="B430" s="108" t="str">
        <f>IFERROR(VLOOKUP(Tablo515[[#This Row],[ÜRÜN KODU]],YMKODLARI!$A$1:$K$363,2,0)," ")</f>
        <v xml:space="preserve"> </v>
      </c>
      <c r="C430" s="99"/>
      <c r="D430" s="100"/>
      <c r="E430" s="101"/>
      <c r="F430" s="101"/>
      <c r="G430" s="100" t="str">
        <f>IFERROR(VLOOKUP(Tablo515[[#This Row],[ÜRÜN KODU]],YMKODLARI!$A$1:$K$363,3,0)," ")</f>
        <v xml:space="preserve"> </v>
      </c>
      <c r="H430" s="100" t="str">
        <f>IFERROR(VLOOKUP(Tablo515[[#This Row],[ÜRÜN KODU]],YMKODLARI!$A$1:$K$363,4,0)," ")</f>
        <v xml:space="preserve"> </v>
      </c>
      <c r="I430" s="100"/>
      <c r="J430" s="100" t="str">
        <f>IFERROR(VLOOKUP(Tablo515[[#This Row],[ÜRÜN KODU]],YMKODLARI!$A$1:$K$363,9,0)," ")</f>
        <v xml:space="preserve"> </v>
      </c>
      <c r="K430" s="100" t="str">
        <f>IFERROR(VLOOKUP(Tablo515[[#This Row],[BOYA KODU]],Tablo14[#All],4,0)," ")</f>
        <v xml:space="preserve"> </v>
      </c>
      <c r="L430" s="100" t="str">
        <f>IFERROR(VLOOKUP(Tablo515[[#This Row],[BOYA KODU]],Tablo14[#All],6,0)," ")</f>
        <v xml:space="preserve"> </v>
      </c>
      <c r="M430" s="100" t="str">
        <f t="shared" si="46"/>
        <v xml:space="preserve"> </v>
      </c>
      <c r="N430" s="100" t="str">
        <f>IFERROR(VLOOKUP(Tablo515[[#This Row],[ÜRÜN KODU]],YMKODLARI!$A$1:$K$363,8,0)," ")</f>
        <v xml:space="preserve"> </v>
      </c>
      <c r="O430" s="100" t="str">
        <f>IFERROR(VLOOKUP(Tablo515[[#This Row],[HAMMADDE KODU]],Tablo1[#All],3,0)," ")</f>
        <v xml:space="preserve"> </v>
      </c>
      <c r="P430" s="100" t="str">
        <f>IFERROR(VLOOKUP(Tablo515[[#This Row],[HAMMADDE KODU]],Tablo1[#All],4,0)," ")</f>
        <v xml:space="preserve"> </v>
      </c>
      <c r="Q430" s="100" t="str">
        <f>IFERROR(VLOOKUP(Tablo515[[#This Row],[ÜRÜN KODU]],YMKODLARI!$A$1:$K$363,5,0)," ")</f>
        <v xml:space="preserve"> </v>
      </c>
      <c r="R430" s="100" t="str">
        <f>IFERROR(VLOOKUP(Tablo515[[#This Row],[ÜRÜN KODU]],YMKODLARI!$A$1:$K$363,6,0)," ")</f>
        <v xml:space="preserve"> </v>
      </c>
      <c r="S430" s="100" t="str">
        <f>IFERROR(Tablo515[[#This Row],[YOLLUK HARİÇ BASKI GRAMI]]/Tablo515[[#This Row],[KALIP GÖZ ADEDİ]]," ")</f>
        <v xml:space="preserve"> </v>
      </c>
      <c r="T430" s="100" t="str">
        <f t="shared" si="48"/>
        <v xml:space="preserve"> </v>
      </c>
      <c r="U430" s="100"/>
      <c r="V430" s="100" t="str">
        <f t="shared" si="47"/>
        <v xml:space="preserve"> </v>
      </c>
      <c r="W430" s="101">
        <f t="shared" si="49"/>
        <v>24</v>
      </c>
      <c r="X430" s="102">
        <f t="shared" si="50"/>
        <v>0</v>
      </c>
      <c r="Y430" s="100" t="str">
        <f t="shared" si="51"/>
        <v xml:space="preserve"> </v>
      </c>
      <c r="Z430" s="100" t="str">
        <f t="shared" si="52"/>
        <v xml:space="preserve"> </v>
      </c>
    </row>
    <row r="431" spans="1:26">
      <c r="A431" s="100"/>
      <c r="B431" s="108" t="str">
        <f>IFERROR(VLOOKUP(Tablo515[[#This Row],[ÜRÜN KODU]],YMKODLARI!$A$1:$K$363,2,0)," ")</f>
        <v xml:space="preserve"> </v>
      </c>
      <c r="C431" s="99"/>
      <c r="D431" s="100"/>
      <c r="E431" s="101"/>
      <c r="F431" s="101"/>
      <c r="G431" s="100" t="str">
        <f>IFERROR(VLOOKUP(Tablo515[[#This Row],[ÜRÜN KODU]],YMKODLARI!$A$1:$K$363,3,0)," ")</f>
        <v xml:space="preserve"> </v>
      </c>
      <c r="H431" s="100" t="str">
        <f>IFERROR(VLOOKUP(Tablo515[[#This Row],[ÜRÜN KODU]],YMKODLARI!$A$1:$K$363,4,0)," ")</f>
        <v xml:space="preserve"> </v>
      </c>
      <c r="I431" s="100"/>
      <c r="J431" s="100" t="str">
        <f>IFERROR(VLOOKUP(Tablo515[[#This Row],[ÜRÜN KODU]],YMKODLARI!$A$1:$K$363,9,0)," ")</f>
        <v xml:space="preserve"> </v>
      </c>
      <c r="K431" s="100" t="str">
        <f>IFERROR(VLOOKUP(Tablo515[[#This Row],[BOYA KODU]],Tablo14[#All],4,0)," ")</f>
        <v xml:space="preserve"> </v>
      </c>
      <c r="L431" s="100" t="str">
        <f>IFERROR(VLOOKUP(Tablo515[[#This Row],[BOYA KODU]],Tablo14[#All],6,0)," ")</f>
        <v xml:space="preserve"> </v>
      </c>
      <c r="M431" s="100" t="str">
        <f t="shared" si="46"/>
        <v xml:space="preserve"> </v>
      </c>
      <c r="N431" s="100" t="str">
        <f>IFERROR(VLOOKUP(Tablo515[[#This Row],[ÜRÜN KODU]],YMKODLARI!$A$1:$K$363,8,0)," ")</f>
        <v xml:space="preserve"> </v>
      </c>
      <c r="O431" s="100" t="str">
        <f>IFERROR(VLOOKUP(Tablo515[[#This Row],[HAMMADDE KODU]],Tablo1[#All],3,0)," ")</f>
        <v xml:space="preserve"> </v>
      </c>
      <c r="P431" s="100" t="str">
        <f>IFERROR(VLOOKUP(Tablo515[[#This Row],[HAMMADDE KODU]],Tablo1[#All],4,0)," ")</f>
        <v xml:space="preserve"> </v>
      </c>
      <c r="Q431" s="100" t="str">
        <f>IFERROR(VLOOKUP(Tablo515[[#This Row],[ÜRÜN KODU]],YMKODLARI!$A$1:$K$363,5,0)," ")</f>
        <v xml:space="preserve"> </v>
      </c>
      <c r="R431" s="100" t="str">
        <f>IFERROR(VLOOKUP(Tablo515[[#This Row],[ÜRÜN KODU]],YMKODLARI!$A$1:$K$363,6,0)," ")</f>
        <v xml:space="preserve"> </v>
      </c>
      <c r="S431" s="100" t="str">
        <f>IFERROR(Tablo515[[#This Row],[YOLLUK HARİÇ BASKI GRAMI]]/Tablo515[[#This Row],[KALIP GÖZ ADEDİ]]," ")</f>
        <v xml:space="preserve"> </v>
      </c>
      <c r="T431" s="100" t="str">
        <f t="shared" si="48"/>
        <v xml:space="preserve"> </v>
      </c>
      <c r="U431" s="100"/>
      <c r="V431" s="100" t="str">
        <f t="shared" si="47"/>
        <v xml:space="preserve"> </v>
      </c>
      <c r="W431" s="101">
        <f t="shared" si="49"/>
        <v>24</v>
      </c>
      <c r="X431" s="102">
        <f t="shared" si="50"/>
        <v>0</v>
      </c>
      <c r="Y431" s="100" t="str">
        <f t="shared" si="51"/>
        <v xml:space="preserve"> </v>
      </c>
      <c r="Z431" s="100" t="str">
        <f t="shared" si="52"/>
        <v xml:space="preserve"> </v>
      </c>
    </row>
    <row r="432" spans="1:26">
      <c r="A432" s="100"/>
      <c r="B432" s="108" t="str">
        <f>IFERROR(VLOOKUP(Tablo515[[#This Row],[ÜRÜN KODU]],YMKODLARI!$A$1:$K$363,2,0)," ")</f>
        <v xml:space="preserve"> </v>
      </c>
      <c r="C432" s="99"/>
      <c r="D432" s="100"/>
      <c r="E432" s="101"/>
      <c r="F432" s="101"/>
      <c r="G432" s="100" t="str">
        <f>IFERROR(VLOOKUP(Tablo515[[#This Row],[ÜRÜN KODU]],YMKODLARI!$A$1:$K$363,3,0)," ")</f>
        <v xml:space="preserve"> </v>
      </c>
      <c r="H432" s="100" t="str">
        <f>IFERROR(VLOOKUP(Tablo515[[#This Row],[ÜRÜN KODU]],YMKODLARI!$A$1:$K$363,4,0)," ")</f>
        <v xml:space="preserve"> </v>
      </c>
      <c r="I432" s="100"/>
      <c r="J432" s="100" t="str">
        <f>IFERROR(VLOOKUP(Tablo515[[#This Row],[ÜRÜN KODU]],YMKODLARI!$A$1:$K$363,9,0)," ")</f>
        <v xml:space="preserve"> </v>
      </c>
      <c r="K432" s="100" t="str">
        <f>IFERROR(VLOOKUP(Tablo515[[#This Row],[BOYA KODU]],Tablo14[#All],4,0)," ")</f>
        <v xml:space="preserve"> </v>
      </c>
      <c r="L432" s="100" t="str">
        <f>IFERROR(VLOOKUP(Tablo515[[#This Row],[BOYA KODU]],Tablo14[#All],6,0)," ")</f>
        <v xml:space="preserve"> </v>
      </c>
      <c r="M432" s="100" t="str">
        <f t="shared" si="46"/>
        <v xml:space="preserve"> </v>
      </c>
      <c r="N432" s="100" t="str">
        <f>IFERROR(VLOOKUP(Tablo515[[#This Row],[ÜRÜN KODU]],YMKODLARI!$A$1:$K$363,8,0)," ")</f>
        <v xml:space="preserve"> </v>
      </c>
      <c r="O432" s="100" t="str">
        <f>IFERROR(VLOOKUP(Tablo515[[#This Row],[HAMMADDE KODU]],Tablo1[#All],3,0)," ")</f>
        <v xml:space="preserve"> </v>
      </c>
      <c r="P432" s="100" t="str">
        <f>IFERROR(VLOOKUP(Tablo515[[#This Row],[HAMMADDE KODU]],Tablo1[#All],4,0)," ")</f>
        <v xml:space="preserve"> </v>
      </c>
      <c r="Q432" s="100" t="str">
        <f>IFERROR(VLOOKUP(Tablo515[[#This Row],[ÜRÜN KODU]],YMKODLARI!$A$1:$K$363,5,0)," ")</f>
        <v xml:space="preserve"> </v>
      </c>
      <c r="R432" s="100" t="str">
        <f>IFERROR(VLOOKUP(Tablo515[[#This Row],[ÜRÜN KODU]],YMKODLARI!$A$1:$K$363,6,0)," ")</f>
        <v xml:space="preserve"> </v>
      </c>
      <c r="S432" s="100" t="str">
        <f>IFERROR(Tablo515[[#This Row],[YOLLUK HARİÇ BASKI GRAMI]]/Tablo515[[#This Row],[KALIP GÖZ ADEDİ]]," ")</f>
        <v xml:space="preserve"> </v>
      </c>
      <c r="T432" s="100" t="str">
        <f t="shared" si="48"/>
        <v xml:space="preserve"> </v>
      </c>
      <c r="U432" s="100"/>
      <c r="V432" s="100" t="str">
        <f t="shared" si="47"/>
        <v xml:space="preserve"> </v>
      </c>
      <c r="W432" s="101">
        <f t="shared" si="49"/>
        <v>24</v>
      </c>
      <c r="X432" s="102">
        <f t="shared" si="50"/>
        <v>0</v>
      </c>
      <c r="Y432" s="100" t="str">
        <f t="shared" si="51"/>
        <v xml:space="preserve"> </v>
      </c>
      <c r="Z432" s="100" t="str">
        <f t="shared" si="52"/>
        <v xml:space="preserve"> </v>
      </c>
    </row>
    <row r="433" spans="1:26">
      <c r="A433" s="100"/>
      <c r="B433" s="108" t="str">
        <f>IFERROR(VLOOKUP(Tablo515[[#This Row],[ÜRÜN KODU]],YMKODLARI!$A$1:$K$363,2,0)," ")</f>
        <v xml:space="preserve"> </v>
      </c>
      <c r="C433" s="99"/>
      <c r="D433" s="100"/>
      <c r="E433" s="101"/>
      <c r="F433" s="101"/>
      <c r="G433" s="100" t="str">
        <f>IFERROR(VLOOKUP(Tablo515[[#This Row],[ÜRÜN KODU]],YMKODLARI!$A$1:$K$363,3,0)," ")</f>
        <v xml:space="preserve"> </v>
      </c>
      <c r="H433" s="100" t="str">
        <f>IFERROR(VLOOKUP(Tablo515[[#This Row],[ÜRÜN KODU]],YMKODLARI!$A$1:$K$363,4,0)," ")</f>
        <v xml:space="preserve"> </v>
      </c>
      <c r="I433" s="100"/>
      <c r="J433" s="100" t="str">
        <f>IFERROR(VLOOKUP(Tablo515[[#This Row],[ÜRÜN KODU]],YMKODLARI!$A$1:$K$363,9,0)," ")</f>
        <v xml:space="preserve"> </v>
      </c>
      <c r="K433" s="100" t="str">
        <f>IFERROR(VLOOKUP(Tablo515[[#This Row],[BOYA KODU]],Tablo14[#All],4,0)," ")</f>
        <v xml:space="preserve"> </v>
      </c>
      <c r="L433" s="100" t="str">
        <f>IFERROR(VLOOKUP(Tablo515[[#This Row],[BOYA KODU]],Tablo14[#All],6,0)," ")</f>
        <v xml:space="preserve"> </v>
      </c>
      <c r="M433" s="100" t="str">
        <f t="shared" si="46"/>
        <v xml:space="preserve"> </v>
      </c>
      <c r="N433" s="100" t="str">
        <f>IFERROR(VLOOKUP(Tablo515[[#This Row],[ÜRÜN KODU]],YMKODLARI!$A$1:$K$363,8,0)," ")</f>
        <v xml:space="preserve"> </v>
      </c>
      <c r="O433" s="100" t="str">
        <f>IFERROR(VLOOKUP(Tablo515[[#This Row],[HAMMADDE KODU]],Tablo1[#All],3,0)," ")</f>
        <v xml:space="preserve"> </v>
      </c>
      <c r="P433" s="100" t="str">
        <f>IFERROR(VLOOKUP(Tablo515[[#This Row],[HAMMADDE KODU]],Tablo1[#All],4,0)," ")</f>
        <v xml:space="preserve"> </v>
      </c>
      <c r="Q433" s="100" t="str">
        <f>IFERROR(VLOOKUP(Tablo515[[#This Row],[ÜRÜN KODU]],YMKODLARI!$A$1:$K$363,5,0)," ")</f>
        <v xml:space="preserve"> </v>
      </c>
      <c r="R433" s="100" t="str">
        <f>IFERROR(VLOOKUP(Tablo515[[#This Row],[ÜRÜN KODU]],YMKODLARI!$A$1:$K$363,6,0)," ")</f>
        <v xml:space="preserve"> </v>
      </c>
      <c r="S433" s="100" t="str">
        <f>IFERROR(Tablo515[[#This Row],[YOLLUK HARİÇ BASKI GRAMI]]/Tablo515[[#This Row],[KALIP GÖZ ADEDİ]]," ")</f>
        <v xml:space="preserve"> </v>
      </c>
      <c r="T433" s="100" t="str">
        <f t="shared" si="48"/>
        <v xml:space="preserve"> </v>
      </c>
      <c r="U433" s="100"/>
      <c r="V433" s="100" t="str">
        <f t="shared" si="47"/>
        <v xml:space="preserve"> </v>
      </c>
      <c r="W433" s="101">
        <f t="shared" si="49"/>
        <v>24</v>
      </c>
      <c r="X433" s="102">
        <f t="shared" si="50"/>
        <v>0</v>
      </c>
      <c r="Y433" s="100" t="str">
        <f t="shared" si="51"/>
        <v xml:space="preserve"> </v>
      </c>
      <c r="Z433" s="100" t="str">
        <f t="shared" si="52"/>
        <v xml:space="preserve"> </v>
      </c>
    </row>
    <row r="434" spans="1:26">
      <c r="A434" s="100"/>
      <c r="B434" s="108" t="str">
        <f>IFERROR(VLOOKUP(Tablo515[[#This Row],[ÜRÜN KODU]],YMKODLARI!$A$1:$K$363,2,0)," ")</f>
        <v xml:space="preserve"> </v>
      </c>
      <c r="C434" s="99"/>
      <c r="D434" s="100"/>
      <c r="E434" s="101"/>
      <c r="F434" s="101"/>
      <c r="G434" s="100" t="str">
        <f>IFERROR(VLOOKUP(Tablo515[[#This Row],[ÜRÜN KODU]],YMKODLARI!$A$1:$K$363,3,0)," ")</f>
        <v xml:space="preserve"> </v>
      </c>
      <c r="H434" s="100" t="str">
        <f>IFERROR(VLOOKUP(Tablo515[[#This Row],[ÜRÜN KODU]],YMKODLARI!$A$1:$K$363,4,0)," ")</f>
        <v xml:space="preserve"> </v>
      </c>
      <c r="I434" s="100"/>
      <c r="J434" s="100" t="str">
        <f>IFERROR(VLOOKUP(Tablo515[[#This Row],[ÜRÜN KODU]],YMKODLARI!$A$1:$K$363,9,0)," ")</f>
        <v xml:space="preserve"> </v>
      </c>
      <c r="K434" s="100" t="str">
        <f>IFERROR(VLOOKUP(Tablo515[[#This Row],[BOYA KODU]],Tablo14[#All],4,0)," ")</f>
        <v xml:space="preserve"> </v>
      </c>
      <c r="L434" s="100" t="str">
        <f>IFERROR(VLOOKUP(Tablo515[[#This Row],[BOYA KODU]],Tablo14[#All],6,0)," ")</f>
        <v xml:space="preserve"> </v>
      </c>
      <c r="M434" s="100" t="str">
        <f t="shared" si="46"/>
        <v xml:space="preserve"> </v>
      </c>
      <c r="N434" s="100" t="str">
        <f>IFERROR(VLOOKUP(Tablo515[[#This Row],[ÜRÜN KODU]],YMKODLARI!$A$1:$K$363,8,0)," ")</f>
        <v xml:space="preserve"> </v>
      </c>
      <c r="O434" s="100" t="str">
        <f>IFERROR(VLOOKUP(Tablo515[[#This Row],[HAMMADDE KODU]],Tablo1[#All],3,0)," ")</f>
        <v xml:space="preserve"> </v>
      </c>
      <c r="P434" s="100" t="str">
        <f>IFERROR(VLOOKUP(Tablo515[[#This Row],[HAMMADDE KODU]],Tablo1[#All],4,0)," ")</f>
        <v xml:space="preserve"> </v>
      </c>
      <c r="Q434" s="100" t="str">
        <f>IFERROR(VLOOKUP(Tablo515[[#This Row],[ÜRÜN KODU]],YMKODLARI!$A$1:$K$363,5,0)," ")</f>
        <v xml:space="preserve"> </v>
      </c>
      <c r="R434" s="100" t="str">
        <f>IFERROR(VLOOKUP(Tablo515[[#This Row],[ÜRÜN KODU]],YMKODLARI!$A$1:$K$363,6,0)," ")</f>
        <v xml:space="preserve"> </v>
      </c>
      <c r="S434" s="100" t="str">
        <f>IFERROR(Tablo515[[#This Row],[YOLLUK HARİÇ BASKI GRAMI]]/Tablo515[[#This Row],[KALIP GÖZ ADEDİ]]," ")</f>
        <v xml:space="preserve"> </v>
      </c>
      <c r="T434" s="100" t="str">
        <f t="shared" si="48"/>
        <v xml:space="preserve"> </v>
      </c>
      <c r="U434" s="100"/>
      <c r="V434" s="100" t="str">
        <f t="shared" si="47"/>
        <v xml:space="preserve"> </v>
      </c>
      <c r="W434" s="101">
        <f t="shared" si="49"/>
        <v>24</v>
      </c>
      <c r="X434" s="102">
        <f t="shared" si="50"/>
        <v>0</v>
      </c>
      <c r="Y434" s="100" t="str">
        <f t="shared" si="51"/>
        <v xml:space="preserve"> </v>
      </c>
      <c r="Z434" s="100" t="str">
        <f t="shared" si="52"/>
        <v xml:space="preserve"> </v>
      </c>
    </row>
    <row r="435" spans="1:26">
      <c r="A435" s="100"/>
      <c r="B435" s="108" t="str">
        <f>IFERROR(VLOOKUP(Tablo515[[#This Row],[ÜRÜN KODU]],YMKODLARI!$A$1:$K$363,2,0)," ")</f>
        <v xml:space="preserve"> </v>
      </c>
      <c r="C435" s="99"/>
      <c r="D435" s="100"/>
      <c r="E435" s="101"/>
      <c r="F435" s="101"/>
      <c r="G435" s="100" t="str">
        <f>IFERROR(VLOOKUP(Tablo515[[#This Row],[ÜRÜN KODU]],YMKODLARI!$A$1:$K$363,3,0)," ")</f>
        <v xml:space="preserve"> </v>
      </c>
      <c r="H435" s="100" t="str">
        <f>IFERROR(VLOOKUP(Tablo515[[#This Row],[ÜRÜN KODU]],YMKODLARI!$A$1:$K$363,4,0)," ")</f>
        <v xml:space="preserve"> </v>
      </c>
      <c r="I435" s="100"/>
      <c r="J435" s="100" t="str">
        <f>IFERROR(VLOOKUP(Tablo515[[#This Row],[ÜRÜN KODU]],YMKODLARI!$A$1:$K$363,9,0)," ")</f>
        <v xml:space="preserve"> </v>
      </c>
      <c r="K435" s="100" t="str">
        <f>IFERROR(VLOOKUP(Tablo515[[#This Row],[BOYA KODU]],Tablo14[#All],4,0)," ")</f>
        <v xml:space="preserve"> </v>
      </c>
      <c r="L435" s="100" t="str">
        <f>IFERROR(VLOOKUP(Tablo515[[#This Row],[BOYA KODU]],Tablo14[#All],6,0)," ")</f>
        <v xml:space="preserve"> </v>
      </c>
      <c r="M435" s="100" t="str">
        <f t="shared" si="46"/>
        <v xml:space="preserve"> </v>
      </c>
      <c r="N435" s="100" t="str">
        <f>IFERROR(VLOOKUP(Tablo515[[#This Row],[ÜRÜN KODU]],YMKODLARI!$A$1:$K$363,8,0)," ")</f>
        <v xml:space="preserve"> </v>
      </c>
      <c r="O435" s="100" t="str">
        <f>IFERROR(VLOOKUP(Tablo515[[#This Row],[HAMMADDE KODU]],Tablo1[#All],3,0)," ")</f>
        <v xml:space="preserve"> </v>
      </c>
      <c r="P435" s="100" t="str">
        <f>IFERROR(VLOOKUP(Tablo515[[#This Row],[HAMMADDE KODU]],Tablo1[#All],4,0)," ")</f>
        <v xml:space="preserve"> </v>
      </c>
      <c r="Q435" s="100" t="str">
        <f>IFERROR(VLOOKUP(Tablo515[[#This Row],[ÜRÜN KODU]],YMKODLARI!$A$1:$K$363,5,0)," ")</f>
        <v xml:space="preserve"> </v>
      </c>
      <c r="R435" s="100" t="str">
        <f>IFERROR(VLOOKUP(Tablo515[[#This Row],[ÜRÜN KODU]],YMKODLARI!$A$1:$K$363,6,0)," ")</f>
        <v xml:space="preserve"> </v>
      </c>
      <c r="S435" s="100" t="str">
        <f>IFERROR(Tablo515[[#This Row],[YOLLUK HARİÇ BASKI GRAMI]]/Tablo515[[#This Row],[KALIP GÖZ ADEDİ]]," ")</f>
        <v xml:space="preserve"> </v>
      </c>
      <c r="T435" s="100" t="str">
        <f t="shared" si="48"/>
        <v xml:space="preserve"> </v>
      </c>
      <c r="U435" s="100"/>
      <c r="V435" s="100" t="str">
        <f t="shared" si="47"/>
        <v xml:space="preserve"> </v>
      </c>
      <c r="W435" s="101">
        <f t="shared" si="49"/>
        <v>24</v>
      </c>
      <c r="X435" s="102">
        <f t="shared" si="50"/>
        <v>0</v>
      </c>
      <c r="Y435" s="100" t="str">
        <f t="shared" si="51"/>
        <v xml:space="preserve"> </v>
      </c>
      <c r="Z435" s="100" t="str">
        <f t="shared" si="52"/>
        <v xml:space="preserve"> </v>
      </c>
    </row>
    <row r="436" spans="1:26">
      <c r="A436" s="100"/>
      <c r="B436" s="108" t="str">
        <f>IFERROR(VLOOKUP(Tablo515[[#This Row],[ÜRÜN KODU]],YMKODLARI!$A$1:$K$363,2,0)," ")</f>
        <v xml:space="preserve"> </v>
      </c>
      <c r="C436" s="99"/>
      <c r="D436" s="100"/>
      <c r="E436" s="101"/>
      <c r="F436" s="101"/>
      <c r="G436" s="100" t="str">
        <f>IFERROR(VLOOKUP(Tablo515[[#This Row],[ÜRÜN KODU]],YMKODLARI!$A$1:$K$363,3,0)," ")</f>
        <v xml:space="preserve"> </v>
      </c>
      <c r="H436" s="100" t="str">
        <f>IFERROR(VLOOKUP(Tablo515[[#This Row],[ÜRÜN KODU]],YMKODLARI!$A$1:$K$363,4,0)," ")</f>
        <v xml:space="preserve"> </v>
      </c>
      <c r="I436" s="100"/>
      <c r="J436" s="100" t="str">
        <f>IFERROR(VLOOKUP(Tablo515[[#This Row],[ÜRÜN KODU]],YMKODLARI!$A$1:$K$363,9,0)," ")</f>
        <v xml:space="preserve"> </v>
      </c>
      <c r="K436" s="100" t="str">
        <f>IFERROR(VLOOKUP(Tablo515[[#This Row],[BOYA KODU]],Tablo14[#All],4,0)," ")</f>
        <v xml:space="preserve"> </v>
      </c>
      <c r="L436" s="100" t="str">
        <f>IFERROR(VLOOKUP(Tablo515[[#This Row],[BOYA KODU]],Tablo14[#All],6,0)," ")</f>
        <v xml:space="preserve"> </v>
      </c>
      <c r="M436" s="100" t="str">
        <f t="shared" si="46"/>
        <v xml:space="preserve"> </v>
      </c>
      <c r="N436" s="100" t="str">
        <f>IFERROR(VLOOKUP(Tablo515[[#This Row],[ÜRÜN KODU]],YMKODLARI!$A$1:$K$363,8,0)," ")</f>
        <v xml:space="preserve"> </v>
      </c>
      <c r="O436" s="100" t="str">
        <f>IFERROR(VLOOKUP(Tablo515[[#This Row],[HAMMADDE KODU]],Tablo1[#All],3,0)," ")</f>
        <v xml:space="preserve"> </v>
      </c>
      <c r="P436" s="100" t="str">
        <f>IFERROR(VLOOKUP(Tablo515[[#This Row],[HAMMADDE KODU]],Tablo1[#All],4,0)," ")</f>
        <v xml:space="preserve"> </v>
      </c>
      <c r="Q436" s="100" t="str">
        <f>IFERROR(VLOOKUP(Tablo515[[#This Row],[ÜRÜN KODU]],YMKODLARI!$A$1:$K$363,5,0)," ")</f>
        <v xml:space="preserve"> </v>
      </c>
      <c r="R436" s="100" t="str">
        <f>IFERROR(VLOOKUP(Tablo515[[#This Row],[ÜRÜN KODU]],YMKODLARI!$A$1:$K$363,6,0)," ")</f>
        <v xml:space="preserve"> </v>
      </c>
      <c r="S436" s="100" t="str">
        <f>IFERROR(Tablo515[[#This Row],[YOLLUK HARİÇ BASKI GRAMI]]/Tablo515[[#This Row],[KALIP GÖZ ADEDİ]]," ")</f>
        <v xml:space="preserve"> </v>
      </c>
      <c r="T436" s="100" t="str">
        <f t="shared" si="48"/>
        <v xml:space="preserve"> </v>
      </c>
      <c r="U436" s="100"/>
      <c r="V436" s="100" t="str">
        <f t="shared" si="47"/>
        <v xml:space="preserve"> </v>
      </c>
      <c r="W436" s="101">
        <f t="shared" si="49"/>
        <v>24</v>
      </c>
      <c r="X436" s="102">
        <f t="shared" si="50"/>
        <v>0</v>
      </c>
      <c r="Y436" s="100" t="str">
        <f t="shared" si="51"/>
        <v xml:space="preserve"> </v>
      </c>
      <c r="Z436" s="100" t="str">
        <f t="shared" si="52"/>
        <v xml:space="preserve"> </v>
      </c>
    </row>
    <row r="437" spans="1:26">
      <c r="A437" s="100"/>
      <c r="B437" s="108" t="str">
        <f>IFERROR(VLOOKUP(Tablo515[[#This Row],[ÜRÜN KODU]],YMKODLARI!$A$1:$K$363,2,0)," ")</f>
        <v xml:space="preserve"> </v>
      </c>
      <c r="C437" s="99"/>
      <c r="D437" s="100"/>
      <c r="E437" s="101"/>
      <c r="F437" s="101"/>
      <c r="G437" s="100" t="str">
        <f>IFERROR(VLOOKUP(Tablo515[[#This Row],[ÜRÜN KODU]],YMKODLARI!$A$1:$K$363,3,0)," ")</f>
        <v xml:space="preserve"> </v>
      </c>
      <c r="H437" s="100" t="str">
        <f>IFERROR(VLOOKUP(Tablo515[[#This Row],[ÜRÜN KODU]],YMKODLARI!$A$1:$K$363,4,0)," ")</f>
        <v xml:space="preserve"> </v>
      </c>
      <c r="I437" s="100"/>
      <c r="J437" s="100" t="str">
        <f>IFERROR(VLOOKUP(Tablo515[[#This Row],[ÜRÜN KODU]],YMKODLARI!$A$1:$K$363,9,0)," ")</f>
        <v xml:space="preserve"> </v>
      </c>
      <c r="K437" s="100" t="str">
        <f>IFERROR(VLOOKUP(Tablo515[[#This Row],[BOYA KODU]],Tablo14[#All],4,0)," ")</f>
        <v xml:space="preserve"> </v>
      </c>
      <c r="L437" s="100" t="str">
        <f>IFERROR(VLOOKUP(Tablo515[[#This Row],[BOYA KODU]],Tablo14[#All],6,0)," ")</f>
        <v xml:space="preserve"> </v>
      </c>
      <c r="M437" s="100" t="str">
        <f t="shared" si="46"/>
        <v xml:space="preserve"> </v>
      </c>
      <c r="N437" s="100" t="str">
        <f>IFERROR(VLOOKUP(Tablo515[[#This Row],[ÜRÜN KODU]],YMKODLARI!$A$1:$K$363,8,0)," ")</f>
        <v xml:space="preserve"> </v>
      </c>
      <c r="O437" s="100" t="str">
        <f>IFERROR(VLOOKUP(Tablo515[[#This Row],[HAMMADDE KODU]],Tablo1[#All],3,0)," ")</f>
        <v xml:space="preserve"> </v>
      </c>
      <c r="P437" s="100" t="str">
        <f>IFERROR(VLOOKUP(Tablo515[[#This Row],[HAMMADDE KODU]],Tablo1[#All],4,0)," ")</f>
        <v xml:space="preserve"> </v>
      </c>
      <c r="Q437" s="100" t="str">
        <f>IFERROR(VLOOKUP(Tablo515[[#This Row],[ÜRÜN KODU]],YMKODLARI!$A$1:$K$363,5,0)," ")</f>
        <v xml:space="preserve"> </v>
      </c>
      <c r="R437" s="100" t="str">
        <f>IFERROR(VLOOKUP(Tablo515[[#This Row],[ÜRÜN KODU]],YMKODLARI!$A$1:$K$363,6,0)," ")</f>
        <v xml:space="preserve"> </v>
      </c>
      <c r="S437" s="100" t="str">
        <f>IFERROR(Tablo515[[#This Row],[YOLLUK HARİÇ BASKI GRAMI]]/Tablo515[[#This Row],[KALIP GÖZ ADEDİ]]," ")</f>
        <v xml:space="preserve"> </v>
      </c>
      <c r="T437" s="100" t="str">
        <f t="shared" si="48"/>
        <v xml:space="preserve"> </v>
      </c>
      <c r="U437" s="100"/>
      <c r="V437" s="100" t="str">
        <f t="shared" si="47"/>
        <v xml:space="preserve"> </v>
      </c>
      <c r="W437" s="101">
        <f t="shared" si="49"/>
        <v>24</v>
      </c>
      <c r="X437" s="102">
        <f t="shared" si="50"/>
        <v>0</v>
      </c>
      <c r="Y437" s="100" t="str">
        <f t="shared" si="51"/>
        <v xml:space="preserve"> </v>
      </c>
      <c r="Z437" s="100" t="str">
        <f t="shared" si="52"/>
        <v xml:space="preserve"> </v>
      </c>
    </row>
    <row r="438" spans="1:26">
      <c r="A438" s="100"/>
      <c r="B438" s="108" t="str">
        <f>IFERROR(VLOOKUP(Tablo515[[#This Row],[ÜRÜN KODU]],YMKODLARI!$A$1:$K$363,2,0)," ")</f>
        <v xml:space="preserve"> </v>
      </c>
      <c r="C438" s="99"/>
      <c r="D438" s="100"/>
      <c r="E438" s="101"/>
      <c r="F438" s="101"/>
      <c r="G438" s="100" t="str">
        <f>IFERROR(VLOOKUP(Tablo515[[#This Row],[ÜRÜN KODU]],YMKODLARI!$A$1:$K$363,3,0)," ")</f>
        <v xml:space="preserve"> </v>
      </c>
      <c r="H438" s="100" t="str">
        <f>IFERROR(VLOOKUP(Tablo515[[#This Row],[ÜRÜN KODU]],YMKODLARI!$A$1:$K$363,4,0)," ")</f>
        <v xml:space="preserve"> </v>
      </c>
      <c r="I438" s="100"/>
      <c r="J438" s="100" t="str">
        <f>IFERROR(VLOOKUP(Tablo515[[#This Row],[ÜRÜN KODU]],YMKODLARI!$A$1:$K$363,9,0)," ")</f>
        <v xml:space="preserve"> </v>
      </c>
      <c r="K438" s="100" t="str">
        <f>IFERROR(VLOOKUP(Tablo515[[#This Row],[BOYA KODU]],Tablo14[#All],4,0)," ")</f>
        <v xml:space="preserve"> </v>
      </c>
      <c r="L438" s="100" t="str">
        <f>IFERROR(VLOOKUP(Tablo515[[#This Row],[BOYA KODU]],Tablo14[#All],6,0)," ")</f>
        <v xml:space="preserve"> </v>
      </c>
      <c r="M438" s="100" t="str">
        <f t="shared" si="46"/>
        <v xml:space="preserve"> </v>
      </c>
      <c r="N438" s="100" t="str">
        <f>IFERROR(VLOOKUP(Tablo515[[#This Row],[ÜRÜN KODU]],YMKODLARI!$A$1:$K$363,8,0)," ")</f>
        <v xml:space="preserve"> </v>
      </c>
      <c r="O438" s="100" t="str">
        <f>IFERROR(VLOOKUP(Tablo515[[#This Row],[HAMMADDE KODU]],Tablo1[#All],3,0)," ")</f>
        <v xml:space="preserve"> </v>
      </c>
      <c r="P438" s="100" t="str">
        <f>IFERROR(VLOOKUP(Tablo515[[#This Row],[HAMMADDE KODU]],Tablo1[#All],4,0)," ")</f>
        <v xml:space="preserve"> </v>
      </c>
      <c r="Q438" s="100" t="str">
        <f>IFERROR(VLOOKUP(Tablo515[[#This Row],[ÜRÜN KODU]],YMKODLARI!$A$1:$K$363,5,0)," ")</f>
        <v xml:space="preserve"> </v>
      </c>
      <c r="R438" s="100" t="str">
        <f>IFERROR(VLOOKUP(Tablo515[[#This Row],[ÜRÜN KODU]],YMKODLARI!$A$1:$K$363,6,0)," ")</f>
        <v xml:space="preserve"> </v>
      </c>
      <c r="S438" s="100" t="str">
        <f>IFERROR(Tablo515[[#This Row],[YOLLUK HARİÇ BASKI GRAMI]]/Tablo515[[#This Row],[KALIP GÖZ ADEDİ]]," ")</f>
        <v xml:space="preserve"> </v>
      </c>
      <c r="T438" s="100" t="str">
        <f t="shared" si="48"/>
        <v xml:space="preserve"> </v>
      </c>
      <c r="U438" s="100"/>
      <c r="V438" s="100" t="str">
        <f t="shared" si="47"/>
        <v xml:space="preserve"> </v>
      </c>
      <c r="W438" s="101">
        <f t="shared" si="49"/>
        <v>24</v>
      </c>
      <c r="X438" s="102">
        <f t="shared" si="50"/>
        <v>0</v>
      </c>
      <c r="Y438" s="100" t="str">
        <f t="shared" si="51"/>
        <v xml:space="preserve"> </v>
      </c>
      <c r="Z438" s="100" t="str">
        <f t="shared" si="52"/>
        <v xml:space="preserve"> </v>
      </c>
    </row>
    <row r="439" spans="1:26">
      <c r="A439" s="100"/>
      <c r="B439" s="108" t="str">
        <f>IFERROR(VLOOKUP(Tablo515[[#This Row],[ÜRÜN KODU]],YMKODLARI!$A$1:$K$363,2,0)," ")</f>
        <v xml:space="preserve"> </v>
      </c>
      <c r="C439" s="99"/>
      <c r="D439" s="100"/>
      <c r="E439" s="101"/>
      <c r="F439" s="101"/>
      <c r="G439" s="100" t="str">
        <f>IFERROR(VLOOKUP(Tablo515[[#This Row],[ÜRÜN KODU]],YMKODLARI!$A$1:$K$363,3,0)," ")</f>
        <v xml:space="preserve"> </v>
      </c>
      <c r="H439" s="100" t="str">
        <f>IFERROR(VLOOKUP(Tablo515[[#This Row],[ÜRÜN KODU]],YMKODLARI!$A$1:$K$363,4,0)," ")</f>
        <v xml:space="preserve"> </v>
      </c>
      <c r="I439" s="100"/>
      <c r="J439" s="100" t="str">
        <f>IFERROR(VLOOKUP(Tablo515[[#This Row],[ÜRÜN KODU]],YMKODLARI!$A$1:$K$363,9,0)," ")</f>
        <v xml:space="preserve"> </v>
      </c>
      <c r="K439" s="100" t="str">
        <f>IFERROR(VLOOKUP(Tablo515[[#This Row],[BOYA KODU]],Tablo14[#All],4,0)," ")</f>
        <v xml:space="preserve"> </v>
      </c>
      <c r="L439" s="100" t="str">
        <f>IFERROR(VLOOKUP(Tablo515[[#This Row],[BOYA KODU]],Tablo14[#All],6,0)," ")</f>
        <v xml:space="preserve"> </v>
      </c>
      <c r="M439" s="100" t="str">
        <f t="shared" si="46"/>
        <v xml:space="preserve"> </v>
      </c>
      <c r="N439" s="100" t="str">
        <f>IFERROR(VLOOKUP(Tablo515[[#This Row],[ÜRÜN KODU]],YMKODLARI!$A$1:$K$363,8,0)," ")</f>
        <v xml:space="preserve"> </v>
      </c>
      <c r="O439" s="100" t="str">
        <f>IFERROR(VLOOKUP(Tablo515[[#This Row],[HAMMADDE KODU]],Tablo1[#All],3,0)," ")</f>
        <v xml:space="preserve"> </v>
      </c>
      <c r="P439" s="100" t="str">
        <f>IFERROR(VLOOKUP(Tablo515[[#This Row],[HAMMADDE KODU]],Tablo1[#All],4,0)," ")</f>
        <v xml:space="preserve"> </v>
      </c>
      <c r="Q439" s="100" t="str">
        <f>IFERROR(VLOOKUP(Tablo515[[#This Row],[ÜRÜN KODU]],YMKODLARI!$A$1:$K$363,5,0)," ")</f>
        <v xml:space="preserve"> </v>
      </c>
      <c r="R439" s="100" t="str">
        <f>IFERROR(VLOOKUP(Tablo515[[#This Row],[ÜRÜN KODU]],YMKODLARI!$A$1:$K$363,6,0)," ")</f>
        <v xml:space="preserve"> </v>
      </c>
      <c r="S439" s="100" t="str">
        <f>IFERROR(Tablo515[[#This Row],[YOLLUK HARİÇ BASKI GRAMI]]/Tablo515[[#This Row],[KALIP GÖZ ADEDİ]]," ")</f>
        <v xml:space="preserve"> </v>
      </c>
      <c r="T439" s="100" t="str">
        <f t="shared" si="48"/>
        <v xml:space="preserve"> </v>
      </c>
      <c r="U439" s="100"/>
      <c r="V439" s="100" t="str">
        <f t="shared" si="47"/>
        <v xml:space="preserve"> </v>
      </c>
      <c r="W439" s="101">
        <f t="shared" si="49"/>
        <v>24</v>
      </c>
      <c r="X439" s="102">
        <f t="shared" si="50"/>
        <v>0</v>
      </c>
      <c r="Y439" s="100" t="str">
        <f t="shared" si="51"/>
        <v xml:space="preserve"> </v>
      </c>
      <c r="Z439" s="100" t="str">
        <f t="shared" si="52"/>
        <v xml:space="preserve"> </v>
      </c>
    </row>
    <row r="440" spans="1:26">
      <c r="A440" s="100"/>
      <c r="B440" s="108" t="str">
        <f>IFERROR(VLOOKUP(Tablo515[[#This Row],[ÜRÜN KODU]],YMKODLARI!$A$1:$K$363,2,0)," ")</f>
        <v xml:space="preserve"> </v>
      </c>
      <c r="C440" s="99"/>
      <c r="D440" s="100"/>
      <c r="E440" s="101"/>
      <c r="F440" s="101"/>
      <c r="G440" s="100" t="str">
        <f>IFERROR(VLOOKUP(Tablo515[[#This Row],[ÜRÜN KODU]],YMKODLARI!$A$1:$K$363,3,0)," ")</f>
        <v xml:space="preserve"> </v>
      </c>
      <c r="H440" s="100" t="str">
        <f>IFERROR(VLOOKUP(Tablo515[[#This Row],[ÜRÜN KODU]],YMKODLARI!$A$1:$K$363,4,0)," ")</f>
        <v xml:space="preserve"> </v>
      </c>
      <c r="I440" s="100"/>
      <c r="J440" s="100" t="str">
        <f>IFERROR(VLOOKUP(Tablo515[[#This Row],[ÜRÜN KODU]],YMKODLARI!$A$1:$K$363,9,0)," ")</f>
        <v xml:space="preserve"> </v>
      </c>
      <c r="K440" s="100" t="str">
        <f>IFERROR(VLOOKUP(Tablo515[[#This Row],[BOYA KODU]],Tablo14[#All],4,0)," ")</f>
        <v xml:space="preserve"> </v>
      </c>
      <c r="L440" s="100" t="str">
        <f>IFERROR(VLOOKUP(Tablo515[[#This Row],[BOYA KODU]],Tablo14[#All],6,0)," ")</f>
        <v xml:space="preserve"> </v>
      </c>
      <c r="M440" s="100" t="str">
        <f t="shared" si="46"/>
        <v xml:space="preserve"> </v>
      </c>
      <c r="N440" s="100" t="str">
        <f>IFERROR(VLOOKUP(Tablo515[[#This Row],[ÜRÜN KODU]],YMKODLARI!$A$1:$K$363,8,0)," ")</f>
        <v xml:space="preserve"> </v>
      </c>
      <c r="O440" s="100" t="str">
        <f>IFERROR(VLOOKUP(Tablo515[[#This Row],[HAMMADDE KODU]],Tablo1[#All],3,0)," ")</f>
        <v xml:space="preserve"> </v>
      </c>
      <c r="P440" s="100" t="str">
        <f>IFERROR(VLOOKUP(Tablo515[[#This Row],[HAMMADDE KODU]],Tablo1[#All],4,0)," ")</f>
        <v xml:space="preserve"> </v>
      </c>
      <c r="Q440" s="100" t="str">
        <f>IFERROR(VLOOKUP(Tablo515[[#This Row],[ÜRÜN KODU]],YMKODLARI!$A$1:$K$363,5,0)," ")</f>
        <v xml:space="preserve"> </v>
      </c>
      <c r="R440" s="100" t="str">
        <f>IFERROR(VLOOKUP(Tablo515[[#This Row],[ÜRÜN KODU]],YMKODLARI!$A$1:$K$363,6,0)," ")</f>
        <v xml:space="preserve"> </v>
      </c>
      <c r="S440" s="100" t="str">
        <f>IFERROR(Tablo515[[#This Row],[YOLLUK HARİÇ BASKI GRAMI]]/Tablo515[[#This Row],[KALIP GÖZ ADEDİ]]," ")</f>
        <v xml:space="preserve"> </v>
      </c>
      <c r="T440" s="100" t="str">
        <f t="shared" si="48"/>
        <v xml:space="preserve"> </v>
      </c>
      <c r="U440" s="100"/>
      <c r="V440" s="100" t="str">
        <f t="shared" si="47"/>
        <v xml:space="preserve"> </v>
      </c>
      <c r="W440" s="101">
        <f t="shared" si="49"/>
        <v>24</v>
      </c>
      <c r="X440" s="102">
        <f t="shared" si="50"/>
        <v>0</v>
      </c>
      <c r="Y440" s="100" t="str">
        <f t="shared" si="51"/>
        <v xml:space="preserve"> </v>
      </c>
      <c r="Z440" s="100" t="str">
        <f t="shared" si="52"/>
        <v xml:space="preserve"> </v>
      </c>
    </row>
    <row r="441" spans="1:26">
      <c r="A441" s="100"/>
      <c r="B441" s="108" t="str">
        <f>IFERROR(VLOOKUP(Tablo515[[#This Row],[ÜRÜN KODU]],YMKODLARI!$A$1:$K$363,2,0)," ")</f>
        <v xml:space="preserve"> </v>
      </c>
      <c r="C441" s="99"/>
      <c r="D441" s="100"/>
      <c r="E441" s="101"/>
      <c r="F441" s="101"/>
      <c r="G441" s="100" t="str">
        <f>IFERROR(VLOOKUP(Tablo515[[#This Row],[ÜRÜN KODU]],YMKODLARI!$A$1:$K$363,3,0)," ")</f>
        <v xml:space="preserve"> </v>
      </c>
      <c r="H441" s="100" t="str">
        <f>IFERROR(VLOOKUP(Tablo515[[#This Row],[ÜRÜN KODU]],YMKODLARI!$A$1:$K$363,4,0)," ")</f>
        <v xml:space="preserve"> </v>
      </c>
      <c r="I441" s="100"/>
      <c r="J441" s="100" t="str">
        <f>IFERROR(VLOOKUP(Tablo515[[#This Row],[ÜRÜN KODU]],YMKODLARI!$A$1:$K$363,9,0)," ")</f>
        <v xml:space="preserve"> </v>
      </c>
      <c r="K441" s="100" t="str">
        <f>IFERROR(VLOOKUP(Tablo515[[#This Row],[BOYA KODU]],Tablo14[#All],4,0)," ")</f>
        <v xml:space="preserve"> </v>
      </c>
      <c r="L441" s="100" t="str">
        <f>IFERROR(VLOOKUP(Tablo515[[#This Row],[BOYA KODU]],Tablo14[#All],6,0)," ")</f>
        <v xml:space="preserve"> </v>
      </c>
      <c r="M441" s="100" t="str">
        <f t="shared" si="46"/>
        <v xml:space="preserve"> </v>
      </c>
      <c r="N441" s="100" t="str">
        <f>IFERROR(VLOOKUP(Tablo515[[#This Row],[ÜRÜN KODU]],YMKODLARI!$A$1:$K$363,8,0)," ")</f>
        <v xml:space="preserve"> </v>
      </c>
      <c r="O441" s="100" t="str">
        <f>IFERROR(VLOOKUP(Tablo515[[#This Row],[HAMMADDE KODU]],Tablo1[#All],3,0)," ")</f>
        <v xml:space="preserve"> </v>
      </c>
      <c r="P441" s="100" t="str">
        <f>IFERROR(VLOOKUP(Tablo515[[#This Row],[HAMMADDE KODU]],Tablo1[#All],4,0)," ")</f>
        <v xml:space="preserve"> </v>
      </c>
      <c r="Q441" s="100" t="str">
        <f>IFERROR(VLOOKUP(Tablo515[[#This Row],[ÜRÜN KODU]],YMKODLARI!$A$1:$K$363,5,0)," ")</f>
        <v xml:space="preserve"> </v>
      </c>
      <c r="R441" s="100" t="str">
        <f>IFERROR(VLOOKUP(Tablo515[[#This Row],[ÜRÜN KODU]],YMKODLARI!$A$1:$K$363,6,0)," ")</f>
        <v xml:space="preserve"> </v>
      </c>
      <c r="S441" s="100" t="str">
        <f>IFERROR(Tablo515[[#This Row],[YOLLUK HARİÇ BASKI GRAMI]]/Tablo515[[#This Row],[KALIP GÖZ ADEDİ]]," ")</f>
        <v xml:space="preserve"> </v>
      </c>
      <c r="T441" s="100" t="str">
        <f t="shared" si="48"/>
        <v xml:space="preserve"> </v>
      </c>
      <c r="U441" s="100"/>
      <c r="V441" s="100" t="str">
        <f t="shared" si="47"/>
        <v xml:space="preserve"> </v>
      </c>
      <c r="W441" s="101">
        <f t="shared" si="49"/>
        <v>24</v>
      </c>
      <c r="X441" s="102">
        <f t="shared" si="50"/>
        <v>0</v>
      </c>
      <c r="Y441" s="100" t="str">
        <f t="shared" si="51"/>
        <v xml:space="preserve"> </v>
      </c>
      <c r="Z441" s="100" t="str">
        <f t="shared" si="52"/>
        <v xml:space="preserve"> </v>
      </c>
    </row>
    <row r="442" spans="1:26">
      <c r="A442" s="100"/>
      <c r="B442" s="108" t="str">
        <f>IFERROR(VLOOKUP(Tablo515[[#This Row],[ÜRÜN KODU]],YMKODLARI!$A$1:$K$363,2,0)," ")</f>
        <v xml:space="preserve"> </v>
      </c>
      <c r="C442" s="99"/>
      <c r="D442" s="100"/>
      <c r="E442" s="101"/>
      <c r="F442" s="101"/>
      <c r="G442" s="100" t="str">
        <f>IFERROR(VLOOKUP(Tablo515[[#This Row],[ÜRÜN KODU]],YMKODLARI!$A$1:$K$363,3,0)," ")</f>
        <v xml:space="preserve"> </v>
      </c>
      <c r="H442" s="100" t="str">
        <f>IFERROR(VLOOKUP(Tablo515[[#This Row],[ÜRÜN KODU]],YMKODLARI!$A$1:$K$363,4,0)," ")</f>
        <v xml:space="preserve"> </v>
      </c>
      <c r="I442" s="100"/>
      <c r="J442" s="100" t="str">
        <f>IFERROR(VLOOKUP(Tablo515[[#This Row],[ÜRÜN KODU]],YMKODLARI!$A$1:$K$363,9,0)," ")</f>
        <v xml:space="preserve"> </v>
      </c>
      <c r="K442" s="100" t="str">
        <f>IFERROR(VLOOKUP(Tablo515[[#This Row],[BOYA KODU]],Tablo14[#All],4,0)," ")</f>
        <v xml:space="preserve"> </v>
      </c>
      <c r="L442" s="100" t="str">
        <f>IFERROR(VLOOKUP(Tablo515[[#This Row],[BOYA KODU]],Tablo14[#All],6,0)," ")</f>
        <v xml:space="preserve"> </v>
      </c>
      <c r="M442" s="100" t="str">
        <f t="shared" si="46"/>
        <v xml:space="preserve"> </v>
      </c>
      <c r="N442" s="100" t="str">
        <f>IFERROR(VLOOKUP(Tablo515[[#This Row],[ÜRÜN KODU]],YMKODLARI!$A$1:$K$363,8,0)," ")</f>
        <v xml:space="preserve"> </v>
      </c>
      <c r="O442" s="100" t="str">
        <f>IFERROR(VLOOKUP(Tablo515[[#This Row],[HAMMADDE KODU]],Tablo1[#All],3,0)," ")</f>
        <v xml:space="preserve"> </v>
      </c>
      <c r="P442" s="100" t="str">
        <f>IFERROR(VLOOKUP(Tablo515[[#This Row],[HAMMADDE KODU]],Tablo1[#All],4,0)," ")</f>
        <v xml:space="preserve"> </v>
      </c>
      <c r="Q442" s="100" t="str">
        <f>IFERROR(VLOOKUP(Tablo515[[#This Row],[ÜRÜN KODU]],YMKODLARI!$A$1:$K$363,5,0)," ")</f>
        <v xml:space="preserve"> </v>
      </c>
      <c r="R442" s="100" t="str">
        <f>IFERROR(VLOOKUP(Tablo515[[#This Row],[ÜRÜN KODU]],YMKODLARI!$A$1:$K$363,6,0)," ")</f>
        <v xml:space="preserve"> </v>
      </c>
      <c r="S442" s="100" t="str">
        <f>IFERROR(Tablo515[[#This Row],[YOLLUK HARİÇ BASKI GRAMI]]/Tablo515[[#This Row],[KALIP GÖZ ADEDİ]]," ")</f>
        <v xml:space="preserve"> </v>
      </c>
      <c r="T442" s="100" t="str">
        <f t="shared" si="48"/>
        <v xml:space="preserve"> </v>
      </c>
      <c r="U442" s="100"/>
      <c r="V442" s="100" t="str">
        <f t="shared" si="47"/>
        <v xml:space="preserve"> </v>
      </c>
      <c r="W442" s="101">
        <f t="shared" si="49"/>
        <v>24</v>
      </c>
      <c r="X442" s="102">
        <f t="shared" si="50"/>
        <v>0</v>
      </c>
      <c r="Y442" s="100" t="str">
        <f t="shared" si="51"/>
        <v xml:space="preserve"> </v>
      </c>
      <c r="Z442" s="100" t="str">
        <f t="shared" si="52"/>
        <v xml:space="preserve"> </v>
      </c>
    </row>
    <row r="443" spans="1:26">
      <c r="A443" s="100"/>
      <c r="B443" s="108" t="str">
        <f>IFERROR(VLOOKUP(Tablo515[[#This Row],[ÜRÜN KODU]],YMKODLARI!$A$1:$K$363,2,0)," ")</f>
        <v xml:space="preserve"> </v>
      </c>
      <c r="C443" s="99"/>
      <c r="D443" s="100"/>
      <c r="E443" s="101"/>
      <c r="F443" s="101"/>
      <c r="G443" s="100" t="str">
        <f>IFERROR(VLOOKUP(Tablo515[[#This Row],[ÜRÜN KODU]],YMKODLARI!$A$1:$K$363,3,0)," ")</f>
        <v xml:space="preserve"> </v>
      </c>
      <c r="H443" s="100" t="str">
        <f>IFERROR(VLOOKUP(Tablo515[[#This Row],[ÜRÜN KODU]],YMKODLARI!$A$1:$K$363,4,0)," ")</f>
        <v xml:space="preserve"> </v>
      </c>
      <c r="I443" s="100"/>
      <c r="J443" s="100" t="str">
        <f>IFERROR(VLOOKUP(Tablo515[[#This Row],[ÜRÜN KODU]],YMKODLARI!$A$1:$K$363,9,0)," ")</f>
        <v xml:space="preserve"> </v>
      </c>
      <c r="K443" s="100" t="str">
        <f>IFERROR(VLOOKUP(Tablo515[[#This Row],[BOYA KODU]],Tablo14[#All],4,0)," ")</f>
        <v xml:space="preserve"> </v>
      </c>
      <c r="L443" s="100" t="str">
        <f>IFERROR(VLOOKUP(Tablo515[[#This Row],[BOYA KODU]],Tablo14[#All],6,0)," ")</f>
        <v xml:space="preserve"> </v>
      </c>
      <c r="M443" s="100" t="str">
        <f t="shared" si="46"/>
        <v xml:space="preserve"> </v>
      </c>
      <c r="N443" s="100" t="str">
        <f>IFERROR(VLOOKUP(Tablo515[[#This Row],[ÜRÜN KODU]],YMKODLARI!$A$1:$K$363,8,0)," ")</f>
        <v xml:space="preserve"> </v>
      </c>
      <c r="O443" s="100" t="str">
        <f>IFERROR(VLOOKUP(Tablo515[[#This Row],[HAMMADDE KODU]],Tablo1[#All],3,0)," ")</f>
        <v xml:space="preserve"> </v>
      </c>
      <c r="P443" s="100" t="str">
        <f>IFERROR(VLOOKUP(Tablo515[[#This Row],[HAMMADDE KODU]],Tablo1[#All],4,0)," ")</f>
        <v xml:space="preserve"> </v>
      </c>
      <c r="Q443" s="100" t="str">
        <f>IFERROR(VLOOKUP(Tablo515[[#This Row],[ÜRÜN KODU]],YMKODLARI!$A$1:$K$363,5,0)," ")</f>
        <v xml:space="preserve"> </v>
      </c>
      <c r="R443" s="100" t="str">
        <f>IFERROR(VLOOKUP(Tablo515[[#This Row],[ÜRÜN KODU]],YMKODLARI!$A$1:$K$363,6,0)," ")</f>
        <v xml:space="preserve"> </v>
      </c>
      <c r="S443" s="100" t="str">
        <f>IFERROR(Tablo515[[#This Row],[YOLLUK HARİÇ BASKI GRAMI]]/Tablo515[[#This Row],[KALIP GÖZ ADEDİ]]," ")</f>
        <v xml:space="preserve"> </v>
      </c>
      <c r="T443" s="100" t="str">
        <f t="shared" si="48"/>
        <v xml:space="preserve"> </v>
      </c>
      <c r="U443" s="100"/>
      <c r="V443" s="100" t="str">
        <f t="shared" si="47"/>
        <v xml:space="preserve"> </v>
      </c>
      <c r="W443" s="101">
        <f t="shared" si="49"/>
        <v>24</v>
      </c>
      <c r="X443" s="102">
        <f t="shared" si="50"/>
        <v>0</v>
      </c>
      <c r="Y443" s="100" t="str">
        <f t="shared" si="51"/>
        <v xml:space="preserve"> </v>
      </c>
      <c r="Z443" s="100" t="str">
        <f t="shared" si="52"/>
        <v xml:space="preserve"> </v>
      </c>
    </row>
    <row r="444" spans="1:26">
      <c r="A444" s="100"/>
      <c r="B444" s="108" t="str">
        <f>IFERROR(VLOOKUP(Tablo515[[#This Row],[ÜRÜN KODU]],YMKODLARI!$A$1:$K$363,2,0)," ")</f>
        <v xml:space="preserve"> </v>
      </c>
      <c r="C444" s="99"/>
      <c r="D444" s="100"/>
      <c r="E444" s="101"/>
      <c r="F444" s="101"/>
      <c r="G444" s="100" t="str">
        <f>IFERROR(VLOOKUP(Tablo515[[#This Row],[ÜRÜN KODU]],YMKODLARI!$A$1:$K$363,3,0)," ")</f>
        <v xml:space="preserve"> </v>
      </c>
      <c r="H444" s="100" t="str">
        <f>IFERROR(VLOOKUP(Tablo515[[#This Row],[ÜRÜN KODU]],YMKODLARI!$A$1:$K$363,4,0)," ")</f>
        <v xml:space="preserve"> </v>
      </c>
      <c r="I444" s="100"/>
      <c r="J444" s="100" t="str">
        <f>IFERROR(VLOOKUP(Tablo515[[#This Row],[ÜRÜN KODU]],YMKODLARI!$A$1:$K$363,9,0)," ")</f>
        <v xml:space="preserve"> </v>
      </c>
      <c r="K444" s="100" t="str">
        <f>IFERROR(VLOOKUP(Tablo515[[#This Row],[BOYA KODU]],Tablo14[#All],4,0)," ")</f>
        <v xml:space="preserve"> </v>
      </c>
      <c r="L444" s="100" t="str">
        <f>IFERROR(VLOOKUP(Tablo515[[#This Row],[BOYA KODU]],Tablo14[#All],6,0)," ")</f>
        <v xml:space="preserve"> </v>
      </c>
      <c r="M444" s="100" t="str">
        <f t="shared" si="46"/>
        <v xml:space="preserve"> </v>
      </c>
      <c r="N444" s="100" t="str">
        <f>IFERROR(VLOOKUP(Tablo515[[#This Row],[ÜRÜN KODU]],YMKODLARI!$A$1:$K$363,8,0)," ")</f>
        <v xml:space="preserve"> </v>
      </c>
      <c r="O444" s="100" t="str">
        <f>IFERROR(VLOOKUP(Tablo515[[#This Row],[HAMMADDE KODU]],Tablo1[#All],3,0)," ")</f>
        <v xml:space="preserve"> </v>
      </c>
      <c r="P444" s="100" t="str">
        <f>IFERROR(VLOOKUP(Tablo515[[#This Row],[HAMMADDE KODU]],Tablo1[#All],4,0)," ")</f>
        <v xml:space="preserve"> </v>
      </c>
      <c r="Q444" s="100" t="str">
        <f>IFERROR(VLOOKUP(Tablo515[[#This Row],[ÜRÜN KODU]],YMKODLARI!$A$1:$K$363,5,0)," ")</f>
        <v xml:space="preserve"> </v>
      </c>
      <c r="R444" s="100" t="str">
        <f>IFERROR(VLOOKUP(Tablo515[[#This Row],[ÜRÜN KODU]],YMKODLARI!$A$1:$K$363,6,0)," ")</f>
        <v xml:space="preserve"> </v>
      </c>
      <c r="S444" s="100" t="str">
        <f>IFERROR(Tablo515[[#This Row],[YOLLUK HARİÇ BASKI GRAMI]]/Tablo515[[#This Row],[KALIP GÖZ ADEDİ]]," ")</f>
        <v xml:space="preserve"> </v>
      </c>
      <c r="T444" s="100" t="str">
        <f t="shared" si="48"/>
        <v xml:space="preserve"> </v>
      </c>
      <c r="U444" s="100"/>
      <c r="V444" s="100" t="str">
        <f t="shared" si="47"/>
        <v xml:space="preserve"> </v>
      </c>
      <c r="W444" s="101">
        <f t="shared" si="49"/>
        <v>24</v>
      </c>
      <c r="X444" s="102">
        <f t="shared" si="50"/>
        <v>0</v>
      </c>
      <c r="Y444" s="100" t="str">
        <f t="shared" si="51"/>
        <v xml:space="preserve"> </v>
      </c>
      <c r="Z444" s="100" t="str">
        <f t="shared" si="52"/>
        <v xml:space="preserve"> </v>
      </c>
    </row>
    <row r="445" spans="1:26">
      <c r="A445" s="100"/>
      <c r="B445" s="108" t="str">
        <f>IFERROR(VLOOKUP(Tablo515[[#This Row],[ÜRÜN KODU]],YMKODLARI!$A$1:$K$363,2,0)," ")</f>
        <v xml:space="preserve"> </v>
      </c>
      <c r="C445" s="99"/>
      <c r="D445" s="100"/>
      <c r="E445" s="101"/>
      <c r="F445" s="101"/>
      <c r="G445" s="100" t="str">
        <f>IFERROR(VLOOKUP(Tablo515[[#This Row],[ÜRÜN KODU]],YMKODLARI!$A$1:$K$363,3,0)," ")</f>
        <v xml:space="preserve"> </v>
      </c>
      <c r="H445" s="100" t="str">
        <f>IFERROR(VLOOKUP(Tablo515[[#This Row],[ÜRÜN KODU]],YMKODLARI!$A$1:$K$363,4,0)," ")</f>
        <v xml:space="preserve"> </v>
      </c>
      <c r="I445" s="100"/>
      <c r="J445" s="100" t="str">
        <f>IFERROR(VLOOKUP(Tablo515[[#This Row],[ÜRÜN KODU]],YMKODLARI!$A$1:$K$363,9,0)," ")</f>
        <v xml:space="preserve"> </v>
      </c>
      <c r="K445" s="100" t="str">
        <f>IFERROR(VLOOKUP(Tablo515[[#This Row],[BOYA KODU]],Tablo14[#All],4,0)," ")</f>
        <v xml:space="preserve"> </v>
      </c>
      <c r="L445" s="100" t="str">
        <f>IFERROR(VLOOKUP(Tablo515[[#This Row],[BOYA KODU]],Tablo14[#All],6,0)," ")</f>
        <v xml:space="preserve"> </v>
      </c>
      <c r="M445" s="100" t="str">
        <f t="shared" si="46"/>
        <v xml:space="preserve"> </v>
      </c>
      <c r="N445" s="100" t="str">
        <f>IFERROR(VLOOKUP(Tablo515[[#This Row],[ÜRÜN KODU]],YMKODLARI!$A$1:$K$363,8,0)," ")</f>
        <v xml:space="preserve"> </v>
      </c>
      <c r="O445" s="100" t="str">
        <f>IFERROR(VLOOKUP(Tablo515[[#This Row],[HAMMADDE KODU]],Tablo1[#All],3,0)," ")</f>
        <v xml:space="preserve"> </v>
      </c>
      <c r="P445" s="100" t="str">
        <f>IFERROR(VLOOKUP(Tablo515[[#This Row],[HAMMADDE KODU]],Tablo1[#All],4,0)," ")</f>
        <v xml:space="preserve"> </v>
      </c>
      <c r="Q445" s="100" t="str">
        <f>IFERROR(VLOOKUP(Tablo515[[#This Row],[ÜRÜN KODU]],YMKODLARI!$A$1:$K$363,5,0)," ")</f>
        <v xml:space="preserve"> </v>
      </c>
      <c r="R445" s="100" t="str">
        <f>IFERROR(VLOOKUP(Tablo515[[#This Row],[ÜRÜN KODU]],YMKODLARI!$A$1:$K$363,6,0)," ")</f>
        <v xml:space="preserve"> </v>
      </c>
      <c r="S445" s="100" t="str">
        <f>IFERROR(Tablo515[[#This Row],[YOLLUK HARİÇ BASKI GRAMI]]/Tablo515[[#This Row],[KALIP GÖZ ADEDİ]]," ")</f>
        <v xml:space="preserve"> </v>
      </c>
      <c r="T445" s="100" t="str">
        <f t="shared" si="48"/>
        <v xml:space="preserve"> </v>
      </c>
      <c r="U445" s="100"/>
      <c r="V445" s="100" t="str">
        <f t="shared" si="47"/>
        <v xml:space="preserve"> </v>
      </c>
      <c r="W445" s="101">
        <f t="shared" si="49"/>
        <v>24</v>
      </c>
      <c r="X445" s="102">
        <f t="shared" si="50"/>
        <v>0</v>
      </c>
      <c r="Y445" s="100" t="str">
        <f t="shared" si="51"/>
        <v xml:space="preserve"> </v>
      </c>
      <c r="Z445" s="100" t="str">
        <f t="shared" si="52"/>
        <v xml:space="preserve"> </v>
      </c>
    </row>
    <row r="446" spans="1:26">
      <c r="A446" s="100"/>
      <c r="B446" s="108" t="str">
        <f>IFERROR(VLOOKUP(Tablo515[[#This Row],[ÜRÜN KODU]],YMKODLARI!$A$1:$K$363,2,0)," ")</f>
        <v xml:space="preserve"> </v>
      </c>
      <c r="C446" s="99"/>
      <c r="D446" s="100"/>
      <c r="E446" s="101"/>
      <c r="F446" s="101"/>
      <c r="G446" s="100" t="str">
        <f>IFERROR(VLOOKUP(Tablo515[[#This Row],[ÜRÜN KODU]],YMKODLARI!$A$1:$K$363,3,0)," ")</f>
        <v xml:space="preserve"> </v>
      </c>
      <c r="H446" s="100" t="str">
        <f>IFERROR(VLOOKUP(Tablo515[[#This Row],[ÜRÜN KODU]],YMKODLARI!$A$1:$K$363,4,0)," ")</f>
        <v xml:space="preserve"> </v>
      </c>
      <c r="I446" s="100"/>
      <c r="J446" s="100" t="str">
        <f>IFERROR(VLOOKUP(Tablo515[[#This Row],[ÜRÜN KODU]],YMKODLARI!$A$1:$K$363,9,0)," ")</f>
        <v xml:space="preserve"> </v>
      </c>
      <c r="K446" s="100" t="str">
        <f>IFERROR(VLOOKUP(Tablo515[[#This Row],[BOYA KODU]],Tablo14[#All],4,0)," ")</f>
        <v xml:space="preserve"> </v>
      </c>
      <c r="L446" s="100" t="str">
        <f>IFERROR(VLOOKUP(Tablo515[[#This Row],[BOYA KODU]],Tablo14[#All],6,0)," ")</f>
        <v xml:space="preserve"> </v>
      </c>
      <c r="M446" s="100" t="str">
        <f t="shared" si="46"/>
        <v xml:space="preserve"> </v>
      </c>
      <c r="N446" s="100" t="str">
        <f>IFERROR(VLOOKUP(Tablo515[[#This Row],[ÜRÜN KODU]],YMKODLARI!$A$1:$K$363,8,0)," ")</f>
        <v xml:space="preserve"> </v>
      </c>
      <c r="O446" s="100" t="str">
        <f>IFERROR(VLOOKUP(Tablo515[[#This Row],[HAMMADDE KODU]],Tablo1[#All],3,0)," ")</f>
        <v xml:space="preserve"> </v>
      </c>
      <c r="P446" s="100" t="str">
        <f>IFERROR(VLOOKUP(Tablo515[[#This Row],[HAMMADDE KODU]],Tablo1[#All],4,0)," ")</f>
        <v xml:space="preserve"> </v>
      </c>
      <c r="Q446" s="100" t="str">
        <f>IFERROR(VLOOKUP(Tablo515[[#This Row],[ÜRÜN KODU]],YMKODLARI!$A$1:$K$363,5,0)," ")</f>
        <v xml:space="preserve"> </v>
      </c>
      <c r="R446" s="100" t="str">
        <f>IFERROR(VLOOKUP(Tablo515[[#This Row],[ÜRÜN KODU]],YMKODLARI!$A$1:$K$363,6,0)," ")</f>
        <v xml:space="preserve"> </v>
      </c>
      <c r="S446" s="100" t="str">
        <f>IFERROR(Tablo515[[#This Row],[YOLLUK HARİÇ BASKI GRAMI]]/Tablo515[[#This Row],[KALIP GÖZ ADEDİ]]," ")</f>
        <v xml:space="preserve"> </v>
      </c>
      <c r="T446" s="100" t="str">
        <f t="shared" si="48"/>
        <v xml:space="preserve"> </v>
      </c>
      <c r="U446" s="100"/>
      <c r="V446" s="100" t="str">
        <f t="shared" si="47"/>
        <v xml:space="preserve"> </v>
      </c>
      <c r="W446" s="101">
        <f t="shared" si="49"/>
        <v>24</v>
      </c>
      <c r="X446" s="102">
        <f t="shared" si="50"/>
        <v>0</v>
      </c>
      <c r="Y446" s="100" t="str">
        <f t="shared" si="51"/>
        <v xml:space="preserve"> </v>
      </c>
      <c r="Z446" s="100" t="str">
        <f t="shared" si="52"/>
        <v xml:space="preserve"> </v>
      </c>
    </row>
    <row r="447" spans="1:26">
      <c r="A447" s="100"/>
      <c r="B447" s="108" t="str">
        <f>IFERROR(VLOOKUP(Tablo515[[#This Row],[ÜRÜN KODU]],YMKODLARI!$A$1:$K$363,2,0)," ")</f>
        <v xml:space="preserve"> </v>
      </c>
      <c r="C447" s="99"/>
      <c r="D447" s="100"/>
      <c r="E447" s="101"/>
      <c r="F447" s="101"/>
      <c r="G447" s="100" t="str">
        <f>IFERROR(VLOOKUP(Tablo515[[#This Row],[ÜRÜN KODU]],YMKODLARI!$A$1:$K$363,3,0)," ")</f>
        <v xml:space="preserve"> </v>
      </c>
      <c r="H447" s="100" t="str">
        <f>IFERROR(VLOOKUP(Tablo515[[#This Row],[ÜRÜN KODU]],YMKODLARI!$A$1:$K$363,4,0)," ")</f>
        <v xml:space="preserve"> </v>
      </c>
      <c r="I447" s="100"/>
      <c r="J447" s="100" t="str">
        <f>IFERROR(VLOOKUP(Tablo515[[#This Row],[ÜRÜN KODU]],YMKODLARI!$A$1:$K$363,9,0)," ")</f>
        <v xml:space="preserve"> </v>
      </c>
      <c r="K447" s="100" t="str">
        <f>IFERROR(VLOOKUP(Tablo515[[#This Row],[BOYA KODU]],Tablo14[#All],4,0)," ")</f>
        <v xml:space="preserve"> </v>
      </c>
      <c r="L447" s="100" t="str">
        <f>IFERROR(VLOOKUP(Tablo515[[#This Row],[BOYA KODU]],Tablo14[#All],6,0)," ")</f>
        <v xml:space="preserve"> </v>
      </c>
      <c r="M447" s="100" t="str">
        <f t="shared" si="46"/>
        <v xml:space="preserve"> </v>
      </c>
      <c r="N447" s="100" t="str">
        <f>IFERROR(VLOOKUP(Tablo515[[#This Row],[ÜRÜN KODU]],YMKODLARI!$A$1:$K$363,8,0)," ")</f>
        <v xml:space="preserve"> </v>
      </c>
      <c r="O447" s="100" t="str">
        <f>IFERROR(VLOOKUP(Tablo515[[#This Row],[HAMMADDE KODU]],Tablo1[#All],3,0)," ")</f>
        <v xml:space="preserve"> </v>
      </c>
      <c r="P447" s="100" t="str">
        <f>IFERROR(VLOOKUP(Tablo515[[#This Row],[HAMMADDE KODU]],Tablo1[#All],4,0)," ")</f>
        <v xml:space="preserve"> </v>
      </c>
      <c r="Q447" s="100" t="str">
        <f>IFERROR(VLOOKUP(Tablo515[[#This Row],[ÜRÜN KODU]],YMKODLARI!$A$1:$K$363,5,0)," ")</f>
        <v xml:space="preserve"> </v>
      </c>
      <c r="R447" s="100" t="str">
        <f>IFERROR(VLOOKUP(Tablo515[[#This Row],[ÜRÜN KODU]],YMKODLARI!$A$1:$K$363,6,0)," ")</f>
        <v xml:space="preserve"> </v>
      </c>
      <c r="S447" s="100" t="str">
        <f>IFERROR(Tablo515[[#This Row],[YOLLUK HARİÇ BASKI GRAMI]]/Tablo515[[#This Row],[KALIP GÖZ ADEDİ]]," ")</f>
        <v xml:space="preserve"> </v>
      </c>
      <c r="T447" s="100" t="str">
        <f t="shared" si="48"/>
        <v xml:space="preserve"> </v>
      </c>
      <c r="U447" s="100"/>
      <c r="V447" s="100" t="str">
        <f t="shared" si="47"/>
        <v xml:space="preserve"> </v>
      </c>
      <c r="W447" s="101">
        <f t="shared" si="49"/>
        <v>24</v>
      </c>
      <c r="X447" s="102">
        <f t="shared" si="50"/>
        <v>0</v>
      </c>
      <c r="Y447" s="100" t="str">
        <f t="shared" si="51"/>
        <v xml:space="preserve"> </v>
      </c>
      <c r="Z447" s="100" t="str">
        <f t="shared" si="52"/>
        <v xml:space="preserve"> </v>
      </c>
    </row>
    <row r="448" spans="1:26">
      <c r="A448" s="100"/>
      <c r="B448" s="108" t="str">
        <f>IFERROR(VLOOKUP(Tablo515[[#This Row],[ÜRÜN KODU]],YMKODLARI!$A$1:$K$363,2,0)," ")</f>
        <v xml:space="preserve"> </v>
      </c>
      <c r="C448" s="99"/>
      <c r="D448" s="100"/>
      <c r="E448" s="101"/>
      <c r="F448" s="101"/>
      <c r="G448" s="100" t="str">
        <f>IFERROR(VLOOKUP(Tablo515[[#This Row],[ÜRÜN KODU]],YMKODLARI!$A$1:$K$363,3,0)," ")</f>
        <v xml:space="preserve"> </v>
      </c>
      <c r="H448" s="100" t="str">
        <f>IFERROR(VLOOKUP(Tablo515[[#This Row],[ÜRÜN KODU]],YMKODLARI!$A$1:$K$363,4,0)," ")</f>
        <v xml:space="preserve"> </v>
      </c>
      <c r="I448" s="100"/>
      <c r="J448" s="100" t="str">
        <f>IFERROR(VLOOKUP(Tablo515[[#This Row],[ÜRÜN KODU]],YMKODLARI!$A$1:$K$363,9,0)," ")</f>
        <v xml:space="preserve"> </v>
      </c>
      <c r="K448" s="100" t="str">
        <f>IFERROR(VLOOKUP(Tablo515[[#This Row],[BOYA KODU]],Tablo14[#All],4,0)," ")</f>
        <v xml:space="preserve"> </v>
      </c>
      <c r="L448" s="100" t="str">
        <f>IFERROR(VLOOKUP(Tablo515[[#This Row],[BOYA KODU]],Tablo14[#All],6,0)," ")</f>
        <v xml:space="preserve"> </v>
      </c>
      <c r="M448" s="100" t="str">
        <f t="shared" si="46"/>
        <v xml:space="preserve"> </v>
      </c>
      <c r="N448" s="100" t="str">
        <f>IFERROR(VLOOKUP(Tablo515[[#This Row],[ÜRÜN KODU]],YMKODLARI!$A$1:$K$363,8,0)," ")</f>
        <v xml:space="preserve"> </v>
      </c>
      <c r="O448" s="100" t="str">
        <f>IFERROR(VLOOKUP(Tablo515[[#This Row],[HAMMADDE KODU]],Tablo1[#All],3,0)," ")</f>
        <v xml:space="preserve"> </v>
      </c>
      <c r="P448" s="100" t="str">
        <f>IFERROR(VLOOKUP(Tablo515[[#This Row],[HAMMADDE KODU]],Tablo1[#All],4,0)," ")</f>
        <v xml:space="preserve"> </v>
      </c>
      <c r="Q448" s="100" t="str">
        <f>IFERROR(VLOOKUP(Tablo515[[#This Row],[ÜRÜN KODU]],YMKODLARI!$A$1:$K$363,5,0)," ")</f>
        <v xml:space="preserve"> </v>
      </c>
      <c r="R448" s="100" t="str">
        <f>IFERROR(VLOOKUP(Tablo515[[#This Row],[ÜRÜN KODU]],YMKODLARI!$A$1:$K$363,6,0)," ")</f>
        <v xml:space="preserve"> </v>
      </c>
      <c r="S448" s="100" t="str">
        <f>IFERROR(Tablo515[[#This Row],[YOLLUK HARİÇ BASKI GRAMI]]/Tablo515[[#This Row],[KALIP GÖZ ADEDİ]]," ")</f>
        <v xml:space="preserve"> </v>
      </c>
      <c r="T448" s="100" t="str">
        <f t="shared" si="48"/>
        <v xml:space="preserve"> </v>
      </c>
      <c r="U448" s="100"/>
      <c r="V448" s="100" t="str">
        <f t="shared" si="47"/>
        <v xml:space="preserve"> </v>
      </c>
      <c r="W448" s="101">
        <f t="shared" si="49"/>
        <v>24</v>
      </c>
      <c r="X448" s="102">
        <f t="shared" si="50"/>
        <v>0</v>
      </c>
      <c r="Y448" s="100" t="str">
        <f t="shared" si="51"/>
        <v xml:space="preserve"> </v>
      </c>
      <c r="Z448" s="100" t="str">
        <f t="shared" si="52"/>
        <v xml:space="preserve"> </v>
      </c>
    </row>
    <row r="449" spans="1:26">
      <c r="A449" s="100"/>
      <c r="B449" s="108" t="str">
        <f>IFERROR(VLOOKUP(Tablo515[[#This Row],[ÜRÜN KODU]],YMKODLARI!$A$1:$K$363,2,0)," ")</f>
        <v xml:space="preserve"> </v>
      </c>
      <c r="C449" s="99"/>
      <c r="D449" s="100"/>
      <c r="E449" s="101"/>
      <c r="F449" s="101"/>
      <c r="G449" s="100" t="str">
        <f>IFERROR(VLOOKUP(Tablo515[[#This Row],[ÜRÜN KODU]],YMKODLARI!$A$1:$K$363,3,0)," ")</f>
        <v xml:space="preserve"> </v>
      </c>
      <c r="H449" s="100" t="str">
        <f>IFERROR(VLOOKUP(Tablo515[[#This Row],[ÜRÜN KODU]],YMKODLARI!$A$1:$K$363,4,0)," ")</f>
        <v xml:space="preserve"> </v>
      </c>
      <c r="I449" s="100"/>
      <c r="J449" s="100" t="str">
        <f>IFERROR(VLOOKUP(Tablo515[[#This Row],[ÜRÜN KODU]],YMKODLARI!$A$1:$K$363,9,0)," ")</f>
        <v xml:space="preserve"> </v>
      </c>
      <c r="K449" s="100" t="str">
        <f>IFERROR(VLOOKUP(Tablo515[[#This Row],[BOYA KODU]],Tablo14[#All],4,0)," ")</f>
        <v xml:space="preserve"> </v>
      </c>
      <c r="L449" s="100" t="str">
        <f>IFERROR(VLOOKUP(Tablo515[[#This Row],[BOYA KODU]],Tablo14[#All],6,0)," ")</f>
        <v xml:space="preserve"> </v>
      </c>
      <c r="M449" s="100" t="str">
        <f t="shared" si="46"/>
        <v xml:space="preserve"> </v>
      </c>
      <c r="N449" s="100" t="str">
        <f>IFERROR(VLOOKUP(Tablo515[[#This Row],[ÜRÜN KODU]],YMKODLARI!$A$1:$K$363,8,0)," ")</f>
        <v xml:space="preserve"> </v>
      </c>
      <c r="O449" s="100" t="str">
        <f>IFERROR(VLOOKUP(Tablo515[[#This Row],[HAMMADDE KODU]],Tablo1[#All],3,0)," ")</f>
        <v xml:space="preserve"> </v>
      </c>
      <c r="P449" s="100" t="str">
        <f>IFERROR(VLOOKUP(Tablo515[[#This Row],[HAMMADDE KODU]],Tablo1[#All],4,0)," ")</f>
        <v xml:space="preserve"> </v>
      </c>
      <c r="Q449" s="100" t="str">
        <f>IFERROR(VLOOKUP(Tablo515[[#This Row],[ÜRÜN KODU]],YMKODLARI!$A$1:$K$363,5,0)," ")</f>
        <v xml:space="preserve"> </v>
      </c>
      <c r="R449" s="100" t="str">
        <f>IFERROR(VLOOKUP(Tablo515[[#This Row],[ÜRÜN KODU]],YMKODLARI!$A$1:$K$363,6,0)," ")</f>
        <v xml:space="preserve"> </v>
      </c>
      <c r="S449" s="100" t="str">
        <f>IFERROR(Tablo515[[#This Row],[YOLLUK HARİÇ BASKI GRAMI]]/Tablo515[[#This Row],[KALIP GÖZ ADEDİ]]," ")</f>
        <v xml:space="preserve"> </v>
      </c>
      <c r="T449" s="100" t="str">
        <f t="shared" si="48"/>
        <v xml:space="preserve"> </v>
      </c>
      <c r="U449" s="100"/>
      <c r="V449" s="100" t="str">
        <f t="shared" si="47"/>
        <v xml:space="preserve"> </v>
      </c>
      <c r="W449" s="101">
        <f t="shared" si="49"/>
        <v>24</v>
      </c>
      <c r="X449" s="102">
        <f t="shared" si="50"/>
        <v>0</v>
      </c>
      <c r="Y449" s="100" t="str">
        <f t="shared" si="51"/>
        <v xml:space="preserve"> </v>
      </c>
      <c r="Z449" s="100" t="str">
        <f t="shared" si="52"/>
        <v xml:space="preserve"> </v>
      </c>
    </row>
    <row r="450" spans="1:26">
      <c r="A450" s="100"/>
      <c r="B450" s="108" t="str">
        <f>IFERROR(VLOOKUP(Tablo515[[#This Row],[ÜRÜN KODU]],YMKODLARI!$A$1:$K$363,2,0)," ")</f>
        <v xml:space="preserve"> </v>
      </c>
      <c r="C450" s="99"/>
      <c r="D450" s="100"/>
      <c r="E450" s="101"/>
      <c r="F450" s="101"/>
      <c r="G450" s="100" t="str">
        <f>IFERROR(VLOOKUP(Tablo515[[#This Row],[ÜRÜN KODU]],YMKODLARI!$A$1:$K$363,3,0)," ")</f>
        <v xml:space="preserve"> </v>
      </c>
      <c r="H450" s="100" t="str">
        <f>IFERROR(VLOOKUP(Tablo515[[#This Row],[ÜRÜN KODU]],YMKODLARI!$A$1:$K$363,4,0)," ")</f>
        <v xml:space="preserve"> </v>
      </c>
      <c r="I450" s="100"/>
      <c r="J450" s="100" t="str">
        <f>IFERROR(VLOOKUP(Tablo515[[#This Row],[ÜRÜN KODU]],YMKODLARI!$A$1:$K$363,9,0)," ")</f>
        <v xml:space="preserve"> </v>
      </c>
      <c r="K450" s="100" t="str">
        <f>IFERROR(VLOOKUP(Tablo515[[#This Row],[BOYA KODU]],Tablo14[#All],4,0)," ")</f>
        <v xml:space="preserve"> </v>
      </c>
      <c r="L450" s="100" t="str">
        <f>IFERROR(VLOOKUP(Tablo515[[#This Row],[BOYA KODU]],Tablo14[#All],6,0)," ")</f>
        <v xml:space="preserve"> </v>
      </c>
      <c r="M450" s="100" t="str">
        <f t="shared" si="46"/>
        <v xml:space="preserve"> </v>
      </c>
      <c r="N450" s="100" t="str">
        <f>IFERROR(VLOOKUP(Tablo515[[#This Row],[ÜRÜN KODU]],YMKODLARI!$A$1:$K$363,8,0)," ")</f>
        <v xml:space="preserve"> </v>
      </c>
      <c r="O450" s="100" t="str">
        <f>IFERROR(VLOOKUP(Tablo515[[#This Row],[HAMMADDE KODU]],Tablo1[#All],3,0)," ")</f>
        <v xml:space="preserve"> </v>
      </c>
      <c r="P450" s="100" t="str">
        <f>IFERROR(VLOOKUP(Tablo515[[#This Row],[HAMMADDE KODU]],Tablo1[#All],4,0)," ")</f>
        <v xml:space="preserve"> </v>
      </c>
      <c r="Q450" s="100" t="str">
        <f>IFERROR(VLOOKUP(Tablo515[[#This Row],[ÜRÜN KODU]],YMKODLARI!$A$1:$K$363,5,0)," ")</f>
        <v xml:space="preserve"> </v>
      </c>
      <c r="R450" s="100" t="str">
        <f>IFERROR(VLOOKUP(Tablo515[[#This Row],[ÜRÜN KODU]],YMKODLARI!$A$1:$K$363,6,0)," ")</f>
        <v xml:space="preserve"> </v>
      </c>
      <c r="S450" s="100" t="str">
        <f>IFERROR(Tablo515[[#This Row],[YOLLUK HARİÇ BASKI GRAMI]]/Tablo515[[#This Row],[KALIP GÖZ ADEDİ]]," ")</f>
        <v xml:space="preserve"> </v>
      </c>
      <c r="T450" s="100" t="str">
        <f t="shared" si="48"/>
        <v xml:space="preserve"> </v>
      </c>
      <c r="U450" s="100"/>
      <c r="V450" s="100" t="str">
        <f t="shared" si="47"/>
        <v xml:space="preserve"> </v>
      </c>
      <c r="W450" s="101">
        <f t="shared" si="49"/>
        <v>24</v>
      </c>
      <c r="X450" s="102">
        <f t="shared" si="50"/>
        <v>0</v>
      </c>
      <c r="Y450" s="100" t="str">
        <f t="shared" si="51"/>
        <v xml:space="preserve"> </v>
      </c>
      <c r="Z450" s="100" t="str">
        <f t="shared" si="52"/>
        <v xml:space="preserve"> </v>
      </c>
    </row>
    <row r="451" spans="1:26">
      <c r="A451" s="100"/>
      <c r="B451" s="108" t="str">
        <f>IFERROR(VLOOKUP(Tablo515[[#This Row],[ÜRÜN KODU]],YMKODLARI!$A$1:$K$363,2,0)," ")</f>
        <v xml:space="preserve"> </v>
      </c>
      <c r="C451" s="99"/>
      <c r="D451" s="100"/>
      <c r="E451" s="101"/>
      <c r="F451" s="101"/>
      <c r="G451" s="100" t="str">
        <f>IFERROR(VLOOKUP(Tablo515[[#This Row],[ÜRÜN KODU]],YMKODLARI!$A$1:$K$363,3,0)," ")</f>
        <v xml:space="preserve"> </v>
      </c>
      <c r="H451" s="100" t="str">
        <f>IFERROR(VLOOKUP(Tablo515[[#This Row],[ÜRÜN KODU]],YMKODLARI!$A$1:$K$363,4,0)," ")</f>
        <v xml:space="preserve"> </v>
      </c>
      <c r="I451" s="100"/>
      <c r="J451" s="100" t="str">
        <f>IFERROR(VLOOKUP(Tablo515[[#This Row],[ÜRÜN KODU]],YMKODLARI!$A$1:$K$363,9,0)," ")</f>
        <v xml:space="preserve"> </v>
      </c>
      <c r="K451" s="100" t="str">
        <f>IFERROR(VLOOKUP(Tablo515[[#This Row],[BOYA KODU]],Tablo14[#All],4,0)," ")</f>
        <v xml:space="preserve"> </v>
      </c>
      <c r="L451" s="100" t="str">
        <f>IFERROR(VLOOKUP(Tablo515[[#This Row],[BOYA KODU]],Tablo14[#All],6,0)," ")</f>
        <v xml:space="preserve"> </v>
      </c>
      <c r="M451" s="100" t="str">
        <f t="shared" ref="M451:M514" si="53">IFERROR((I451*Q451)*L451," ")</f>
        <v xml:space="preserve"> </v>
      </c>
      <c r="N451" s="100" t="str">
        <f>IFERROR(VLOOKUP(Tablo515[[#This Row],[ÜRÜN KODU]],YMKODLARI!$A$1:$K$363,8,0)," ")</f>
        <v xml:space="preserve"> </v>
      </c>
      <c r="O451" s="100" t="str">
        <f>IFERROR(VLOOKUP(Tablo515[[#This Row],[HAMMADDE KODU]],Tablo1[#All],3,0)," ")</f>
        <v xml:space="preserve"> </v>
      </c>
      <c r="P451" s="100" t="str">
        <f>IFERROR(VLOOKUP(Tablo515[[#This Row],[HAMMADDE KODU]],Tablo1[#All],4,0)," ")</f>
        <v xml:space="preserve"> </v>
      </c>
      <c r="Q451" s="100" t="str">
        <f>IFERROR(VLOOKUP(Tablo515[[#This Row],[ÜRÜN KODU]],YMKODLARI!$A$1:$K$363,5,0)," ")</f>
        <v xml:space="preserve"> </v>
      </c>
      <c r="R451" s="100" t="str">
        <f>IFERROR(VLOOKUP(Tablo515[[#This Row],[ÜRÜN KODU]],YMKODLARI!$A$1:$K$363,6,0)," ")</f>
        <v xml:space="preserve"> </v>
      </c>
      <c r="S451" s="100" t="str">
        <f>IFERROR(Tablo515[[#This Row],[YOLLUK HARİÇ BASKI GRAMI]]/Tablo515[[#This Row],[KALIP GÖZ ADEDİ]]," ")</f>
        <v xml:space="preserve"> </v>
      </c>
      <c r="T451" s="100" t="str">
        <f t="shared" si="48"/>
        <v xml:space="preserve"> </v>
      </c>
      <c r="U451" s="100"/>
      <c r="V451" s="100" t="str">
        <f t="shared" ref="V451:V514" si="54">IFERROR(U451+(R451*I451) /1000," ")</f>
        <v xml:space="preserve"> </v>
      </c>
      <c r="W451" s="101">
        <f t="shared" si="49"/>
        <v>24</v>
      </c>
      <c r="X451" s="102">
        <f t="shared" si="50"/>
        <v>0</v>
      </c>
      <c r="Y451" s="100" t="str">
        <f t="shared" si="51"/>
        <v xml:space="preserve"> </v>
      </c>
      <c r="Z451" s="100" t="str">
        <f t="shared" si="52"/>
        <v xml:space="preserve"> </v>
      </c>
    </row>
    <row r="452" spans="1:26">
      <c r="A452" s="100"/>
      <c r="B452" s="108" t="str">
        <f>IFERROR(VLOOKUP(Tablo515[[#This Row],[ÜRÜN KODU]],YMKODLARI!$A$1:$K$363,2,0)," ")</f>
        <v xml:space="preserve"> </v>
      </c>
      <c r="C452" s="99"/>
      <c r="D452" s="100"/>
      <c r="E452" s="101"/>
      <c r="F452" s="101"/>
      <c r="G452" s="100" t="str">
        <f>IFERROR(VLOOKUP(Tablo515[[#This Row],[ÜRÜN KODU]],YMKODLARI!$A$1:$K$363,3,0)," ")</f>
        <v xml:space="preserve"> </v>
      </c>
      <c r="H452" s="100" t="str">
        <f>IFERROR(VLOOKUP(Tablo515[[#This Row],[ÜRÜN KODU]],YMKODLARI!$A$1:$K$363,4,0)," ")</f>
        <v xml:space="preserve"> </v>
      </c>
      <c r="I452" s="100"/>
      <c r="J452" s="100" t="str">
        <f>IFERROR(VLOOKUP(Tablo515[[#This Row],[ÜRÜN KODU]],YMKODLARI!$A$1:$K$363,9,0)," ")</f>
        <v xml:space="preserve"> </v>
      </c>
      <c r="K452" s="100" t="str">
        <f>IFERROR(VLOOKUP(Tablo515[[#This Row],[BOYA KODU]],Tablo14[#All],4,0)," ")</f>
        <v xml:space="preserve"> </v>
      </c>
      <c r="L452" s="100" t="str">
        <f>IFERROR(VLOOKUP(Tablo515[[#This Row],[BOYA KODU]],Tablo14[#All],6,0)," ")</f>
        <v xml:space="preserve"> </v>
      </c>
      <c r="M452" s="100" t="str">
        <f t="shared" si="53"/>
        <v xml:space="preserve"> </v>
      </c>
      <c r="N452" s="100" t="str">
        <f>IFERROR(VLOOKUP(Tablo515[[#This Row],[ÜRÜN KODU]],YMKODLARI!$A$1:$K$363,8,0)," ")</f>
        <v xml:space="preserve"> </v>
      </c>
      <c r="O452" s="100" t="str">
        <f>IFERROR(VLOOKUP(Tablo515[[#This Row],[HAMMADDE KODU]],Tablo1[#All],3,0)," ")</f>
        <v xml:space="preserve"> </v>
      </c>
      <c r="P452" s="100" t="str">
        <f>IFERROR(VLOOKUP(Tablo515[[#This Row],[HAMMADDE KODU]],Tablo1[#All],4,0)," ")</f>
        <v xml:space="preserve"> </v>
      </c>
      <c r="Q452" s="100" t="str">
        <f>IFERROR(VLOOKUP(Tablo515[[#This Row],[ÜRÜN KODU]],YMKODLARI!$A$1:$K$363,5,0)," ")</f>
        <v xml:space="preserve"> </v>
      </c>
      <c r="R452" s="100" t="str">
        <f>IFERROR(VLOOKUP(Tablo515[[#This Row],[ÜRÜN KODU]],YMKODLARI!$A$1:$K$363,6,0)," ")</f>
        <v xml:space="preserve"> </v>
      </c>
      <c r="S452" s="100" t="str">
        <f>IFERROR(Tablo515[[#This Row],[YOLLUK HARİÇ BASKI GRAMI]]/Tablo515[[#This Row],[KALIP GÖZ ADEDİ]]," ")</f>
        <v xml:space="preserve"> </v>
      </c>
      <c r="T452" s="100" t="str">
        <f t="shared" ref="T452:T515" si="55">IFERROR(Q452-R452," ")</f>
        <v xml:space="preserve"> </v>
      </c>
      <c r="U452" s="100"/>
      <c r="V452" s="100" t="str">
        <f t="shared" si="54"/>
        <v xml:space="preserve"> </v>
      </c>
      <c r="W452" s="101">
        <f t="shared" ref="W452:W515" si="56">IFERROR(24-(E452-F452)," ")</f>
        <v>24</v>
      </c>
      <c r="X452" s="102">
        <f t="shared" ref="X452:X515" si="57">IFERROR((W452-INT(W452))*24," ")</f>
        <v>0</v>
      </c>
      <c r="Y452" s="100" t="str">
        <f t="shared" ref="Y452:Y515" si="58">IFERROR(H452*I452/3600," ")</f>
        <v xml:space="preserve"> </v>
      </c>
      <c r="Z452" s="100" t="str">
        <f t="shared" ref="Z452:Z515" si="59">IFERROR(I452*G452," " )</f>
        <v xml:space="preserve"> </v>
      </c>
    </row>
    <row r="453" spans="1:26">
      <c r="A453" s="100"/>
      <c r="B453" s="108" t="str">
        <f>IFERROR(VLOOKUP(Tablo515[[#This Row],[ÜRÜN KODU]],YMKODLARI!$A$1:$K$363,2,0)," ")</f>
        <v xml:space="preserve"> </v>
      </c>
      <c r="C453" s="99"/>
      <c r="D453" s="100"/>
      <c r="E453" s="101"/>
      <c r="F453" s="101"/>
      <c r="G453" s="100" t="str">
        <f>IFERROR(VLOOKUP(Tablo515[[#This Row],[ÜRÜN KODU]],YMKODLARI!$A$1:$K$363,3,0)," ")</f>
        <v xml:space="preserve"> </v>
      </c>
      <c r="H453" s="100" t="str">
        <f>IFERROR(VLOOKUP(Tablo515[[#This Row],[ÜRÜN KODU]],YMKODLARI!$A$1:$K$363,4,0)," ")</f>
        <v xml:space="preserve"> </v>
      </c>
      <c r="I453" s="100"/>
      <c r="J453" s="100" t="str">
        <f>IFERROR(VLOOKUP(Tablo515[[#This Row],[ÜRÜN KODU]],YMKODLARI!$A$1:$K$363,9,0)," ")</f>
        <v xml:space="preserve"> </v>
      </c>
      <c r="K453" s="100" t="str">
        <f>IFERROR(VLOOKUP(Tablo515[[#This Row],[BOYA KODU]],Tablo14[#All],4,0)," ")</f>
        <v xml:space="preserve"> </v>
      </c>
      <c r="L453" s="100" t="str">
        <f>IFERROR(VLOOKUP(Tablo515[[#This Row],[BOYA KODU]],Tablo14[#All],6,0)," ")</f>
        <v xml:space="preserve"> </v>
      </c>
      <c r="M453" s="100" t="str">
        <f t="shared" si="53"/>
        <v xml:space="preserve"> </v>
      </c>
      <c r="N453" s="100" t="str">
        <f>IFERROR(VLOOKUP(Tablo515[[#This Row],[ÜRÜN KODU]],YMKODLARI!$A$1:$K$363,8,0)," ")</f>
        <v xml:space="preserve"> </v>
      </c>
      <c r="O453" s="100" t="str">
        <f>IFERROR(VLOOKUP(Tablo515[[#This Row],[HAMMADDE KODU]],Tablo1[#All],3,0)," ")</f>
        <v xml:space="preserve"> </v>
      </c>
      <c r="P453" s="100" t="str">
        <f>IFERROR(VLOOKUP(Tablo515[[#This Row],[HAMMADDE KODU]],Tablo1[#All],4,0)," ")</f>
        <v xml:space="preserve"> </v>
      </c>
      <c r="Q453" s="100" t="str">
        <f>IFERROR(VLOOKUP(Tablo515[[#This Row],[ÜRÜN KODU]],YMKODLARI!$A$1:$K$363,5,0)," ")</f>
        <v xml:space="preserve"> </v>
      </c>
      <c r="R453" s="100" t="str">
        <f>IFERROR(VLOOKUP(Tablo515[[#This Row],[ÜRÜN KODU]],YMKODLARI!$A$1:$K$363,6,0)," ")</f>
        <v xml:space="preserve"> </v>
      </c>
      <c r="S453" s="100" t="str">
        <f>IFERROR(Tablo515[[#This Row],[YOLLUK HARİÇ BASKI GRAMI]]/Tablo515[[#This Row],[KALIP GÖZ ADEDİ]]," ")</f>
        <v xml:space="preserve"> </v>
      </c>
      <c r="T453" s="100" t="str">
        <f t="shared" si="55"/>
        <v xml:space="preserve"> </v>
      </c>
      <c r="U453" s="100"/>
      <c r="V453" s="100" t="str">
        <f t="shared" si="54"/>
        <v xml:space="preserve"> </v>
      </c>
      <c r="W453" s="101">
        <f t="shared" si="56"/>
        <v>24</v>
      </c>
      <c r="X453" s="102">
        <f t="shared" si="57"/>
        <v>0</v>
      </c>
      <c r="Y453" s="100" t="str">
        <f t="shared" si="58"/>
        <v xml:space="preserve"> </v>
      </c>
      <c r="Z453" s="100" t="str">
        <f t="shared" si="59"/>
        <v xml:space="preserve"> </v>
      </c>
    </row>
    <row r="454" spans="1:26">
      <c r="A454" s="100"/>
      <c r="B454" s="108" t="str">
        <f>IFERROR(VLOOKUP(Tablo515[[#This Row],[ÜRÜN KODU]],YMKODLARI!$A$1:$K$363,2,0)," ")</f>
        <v xml:space="preserve"> </v>
      </c>
      <c r="C454" s="99"/>
      <c r="D454" s="100"/>
      <c r="E454" s="101"/>
      <c r="F454" s="101"/>
      <c r="G454" s="100" t="str">
        <f>IFERROR(VLOOKUP(Tablo515[[#This Row],[ÜRÜN KODU]],YMKODLARI!$A$1:$K$363,3,0)," ")</f>
        <v xml:space="preserve"> </v>
      </c>
      <c r="H454" s="100" t="str">
        <f>IFERROR(VLOOKUP(Tablo515[[#This Row],[ÜRÜN KODU]],YMKODLARI!$A$1:$K$363,4,0)," ")</f>
        <v xml:space="preserve"> </v>
      </c>
      <c r="I454" s="100"/>
      <c r="J454" s="100" t="str">
        <f>IFERROR(VLOOKUP(Tablo515[[#This Row],[ÜRÜN KODU]],YMKODLARI!$A$1:$K$363,9,0)," ")</f>
        <v xml:space="preserve"> </v>
      </c>
      <c r="K454" s="100" t="str">
        <f>IFERROR(VLOOKUP(Tablo515[[#This Row],[BOYA KODU]],Tablo14[#All],4,0)," ")</f>
        <v xml:space="preserve"> </v>
      </c>
      <c r="L454" s="100" t="str">
        <f>IFERROR(VLOOKUP(Tablo515[[#This Row],[BOYA KODU]],Tablo14[#All],6,0)," ")</f>
        <v xml:space="preserve"> </v>
      </c>
      <c r="M454" s="100" t="str">
        <f t="shared" si="53"/>
        <v xml:space="preserve"> </v>
      </c>
      <c r="N454" s="100" t="str">
        <f>IFERROR(VLOOKUP(Tablo515[[#This Row],[ÜRÜN KODU]],YMKODLARI!$A$1:$K$363,8,0)," ")</f>
        <v xml:space="preserve"> </v>
      </c>
      <c r="O454" s="100" t="str">
        <f>IFERROR(VLOOKUP(Tablo515[[#This Row],[HAMMADDE KODU]],Tablo1[#All],3,0)," ")</f>
        <v xml:space="preserve"> </v>
      </c>
      <c r="P454" s="100" t="str">
        <f>IFERROR(VLOOKUP(Tablo515[[#This Row],[HAMMADDE KODU]],Tablo1[#All],4,0)," ")</f>
        <v xml:space="preserve"> </v>
      </c>
      <c r="Q454" s="100" t="str">
        <f>IFERROR(VLOOKUP(Tablo515[[#This Row],[ÜRÜN KODU]],YMKODLARI!$A$1:$K$363,5,0)," ")</f>
        <v xml:space="preserve"> </v>
      </c>
      <c r="R454" s="100" t="str">
        <f>IFERROR(VLOOKUP(Tablo515[[#This Row],[ÜRÜN KODU]],YMKODLARI!$A$1:$K$363,6,0)," ")</f>
        <v xml:space="preserve"> </v>
      </c>
      <c r="S454" s="100" t="str">
        <f>IFERROR(Tablo515[[#This Row],[YOLLUK HARİÇ BASKI GRAMI]]/Tablo515[[#This Row],[KALIP GÖZ ADEDİ]]," ")</f>
        <v xml:space="preserve"> </v>
      </c>
      <c r="T454" s="100" t="str">
        <f t="shared" si="55"/>
        <v xml:space="preserve"> </v>
      </c>
      <c r="U454" s="100"/>
      <c r="V454" s="100" t="str">
        <f t="shared" si="54"/>
        <v xml:space="preserve"> </v>
      </c>
      <c r="W454" s="101">
        <f t="shared" si="56"/>
        <v>24</v>
      </c>
      <c r="X454" s="102">
        <f t="shared" si="57"/>
        <v>0</v>
      </c>
      <c r="Y454" s="100" t="str">
        <f t="shared" si="58"/>
        <v xml:space="preserve"> </v>
      </c>
      <c r="Z454" s="100" t="str">
        <f t="shared" si="59"/>
        <v xml:space="preserve"> </v>
      </c>
    </row>
    <row r="455" spans="1:26">
      <c r="A455" s="100"/>
      <c r="B455" s="108" t="str">
        <f>IFERROR(VLOOKUP(Tablo515[[#This Row],[ÜRÜN KODU]],YMKODLARI!$A$1:$K$363,2,0)," ")</f>
        <v xml:space="preserve"> </v>
      </c>
      <c r="C455" s="99"/>
      <c r="D455" s="100"/>
      <c r="E455" s="101"/>
      <c r="F455" s="101"/>
      <c r="G455" s="100" t="str">
        <f>IFERROR(VLOOKUP(Tablo515[[#This Row],[ÜRÜN KODU]],YMKODLARI!$A$1:$K$363,3,0)," ")</f>
        <v xml:space="preserve"> </v>
      </c>
      <c r="H455" s="100" t="str">
        <f>IFERROR(VLOOKUP(Tablo515[[#This Row],[ÜRÜN KODU]],YMKODLARI!$A$1:$K$363,4,0)," ")</f>
        <v xml:space="preserve"> </v>
      </c>
      <c r="I455" s="100"/>
      <c r="J455" s="100" t="str">
        <f>IFERROR(VLOOKUP(Tablo515[[#This Row],[ÜRÜN KODU]],YMKODLARI!$A$1:$K$363,9,0)," ")</f>
        <v xml:space="preserve"> </v>
      </c>
      <c r="K455" s="100" t="str">
        <f>IFERROR(VLOOKUP(Tablo515[[#This Row],[BOYA KODU]],Tablo14[#All],4,0)," ")</f>
        <v xml:space="preserve"> </v>
      </c>
      <c r="L455" s="100" t="str">
        <f>IFERROR(VLOOKUP(Tablo515[[#This Row],[BOYA KODU]],Tablo14[#All],6,0)," ")</f>
        <v xml:space="preserve"> </v>
      </c>
      <c r="M455" s="100" t="str">
        <f t="shared" si="53"/>
        <v xml:space="preserve"> </v>
      </c>
      <c r="N455" s="100" t="str">
        <f>IFERROR(VLOOKUP(Tablo515[[#This Row],[ÜRÜN KODU]],YMKODLARI!$A$1:$K$363,8,0)," ")</f>
        <v xml:space="preserve"> </v>
      </c>
      <c r="O455" s="100" t="str">
        <f>IFERROR(VLOOKUP(Tablo515[[#This Row],[HAMMADDE KODU]],Tablo1[#All],3,0)," ")</f>
        <v xml:space="preserve"> </v>
      </c>
      <c r="P455" s="100" t="str">
        <f>IFERROR(VLOOKUP(Tablo515[[#This Row],[HAMMADDE KODU]],Tablo1[#All],4,0)," ")</f>
        <v xml:space="preserve"> </v>
      </c>
      <c r="Q455" s="100" t="str">
        <f>IFERROR(VLOOKUP(Tablo515[[#This Row],[ÜRÜN KODU]],YMKODLARI!$A$1:$K$363,5,0)," ")</f>
        <v xml:space="preserve"> </v>
      </c>
      <c r="R455" s="100" t="str">
        <f>IFERROR(VLOOKUP(Tablo515[[#This Row],[ÜRÜN KODU]],YMKODLARI!$A$1:$K$363,6,0)," ")</f>
        <v xml:space="preserve"> </v>
      </c>
      <c r="S455" s="100" t="str">
        <f>IFERROR(Tablo515[[#This Row],[YOLLUK HARİÇ BASKI GRAMI]]/Tablo515[[#This Row],[KALIP GÖZ ADEDİ]]," ")</f>
        <v xml:space="preserve"> </v>
      </c>
      <c r="T455" s="100" t="str">
        <f t="shared" si="55"/>
        <v xml:space="preserve"> </v>
      </c>
      <c r="U455" s="100"/>
      <c r="V455" s="100" t="str">
        <f t="shared" si="54"/>
        <v xml:space="preserve"> </v>
      </c>
      <c r="W455" s="101">
        <f t="shared" si="56"/>
        <v>24</v>
      </c>
      <c r="X455" s="102">
        <f t="shared" si="57"/>
        <v>0</v>
      </c>
      <c r="Y455" s="100" t="str">
        <f t="shared" si="58"/>
        <v xml:space="preserve"> </v>
      </c>
      <c r="Z455" s="100" t="str">
        <f t="shared" si="59"/>
        <v xml:space="preserve"> </v>
      </c>
    </row>
    <row r="456" spans="1:26">
      <c r="A456" s="100"/>
      <c r="B456" s="108" t="str">
        <f>IFERROR(VLOOKUP(Tablo515[[#This Row],[ÜRÜN KODU]],YMKODLARI!$A$1:$K$363,2,0)," ")</f>
        <v xml:space="preserve"> </v>
      </c>
      <c r="C456" s="99"/>
      <c r="D456" s="100"/>
      <c r="E456" s="101"/>
      <c r="F456" s="101"/>
      <c r="G456" s="100" t="str">
        <f>IFERROR(VLOOKUP(Tablo515[[#This Row],[ÜRÜN KODU]],YMKODLARI!$A$1:$K$363,3,0)," ")</f>
        <v xml:space="preserve"> </v>
      </c>
      <c r="H456" s="100" t="str">
        <f>IFERROR(VLOOKUP(Tablo515[[#This Row],[ÜRÜN KODU]],YMKODLARI!$A$1:$K$363,4,0)," ")</f>
        <v xml:space="preserve"> </v>
      </c>
      <c r="I456" s="100"/>
      <c r="J456" s="100" t="str">
        <f>IFERROR(VLOOKUP(Tablo515[[#This Row],[ÜRÜN KODU]],YMKODLARI!$A$1:$K$363,9,0)," ")</f>
        <v xml:space="preserve"> </v>
      </c>
      <c r="K456" s="100" t="str">
        <f>IFERROR(VLOOKUP(Tablo515[[#This Row],[BOYA KODU]],Tablo14[#All],4,0)," ")</f>
        <v xml:space="preserve"> </v>
      </c>
      <c r="L456" s="100" t="str">
        <f>IFERROR(VLOOKUP(Tablo515[[#This Row],[BOYA KODU]],Tablo14[#All],6,0)," ")</f>
        <v xml:space="preserve"> </v>
      </c>
      <c r="M456" s="100" t="str">
        <f t="shared" si="53"/>
        <v xml:space="preserve"> </v>
      </c>
      <c r="N456" s="100" t="str">
        <f>IFERROR(VLOOKUP(Tablo515[[#This Row],[ÜRÜN KODU]],YMKODLARI!$A$1:$K$363,8,0)," ")</f>
        <v xml:space="preserve"> </v>
      </c>
      <c r="O456" s="100" t="str">
        <f>IFERROR(VLOOKUP(Tablo515[[#This Row],[HAMMADDE KODU]],Tablo1[#All],3,0)," ")</f>
        <v xml:space="preserve"> </v>
      </c>
      <c r="P456" s="100" t="str">
        <f>IFERROR(VLOOKUP(Tablo515[[#This Row],[HAMMADDE KODU]],Tablo1[#All],4,0)," ")</f>
        <v xml:space="preserve"> </v>
      </c>
      <c r="Q456" s="100" t="str">
        <f>IFERROR(VLOOKUP(Tablo515[[#This Row],[ÜRÜN KODU]],YMKODLARI!$A$1:$K$363,5,0)," ")</f>
        <v xml:space="preserve"> </v>
      </c>
      <c r="R456" s="100" t="str">
        <f>IFERROR(VLOOKUP(Tablo515[[#This Row],[ÜRÜN KODU]],YMKODLARI!$A$1:$K$363,6,0)," ")</f>
        <v xml:space="preserve"> </v>
      </c>
      <c r="S456" s="100" t="str">
        <f>IFERROR(Tablo515[[#This Row],[YOLLUK HARİÇ BASKI GRAMI]]/Tablo515[[#This Row],[KALIP GÖZ ADEDİ]]," ")</f>
        <v xml:space="preserve"> </v>
      </c>
      <c r="T456" s="100" t="str">
        <f t="shared" si="55"/>
        <v xml:space="preserve"> </v>
      </c>
      <c r="U456" s="100"/>
      <c r="V456" s="100" t="str">
        <f t="shared" si="54"/>
        <v xml:space="preserve"> </v>
      </c>
      <c r="W456" s="101">
        <f t="shared" si="56"/>
        <v>24</v>
      </c>
      <c r="X456" s="102">
        <f t="shared" si="57"/>
        <v>0</v>
      </c>
      <c r="Y456" s="100" t="str">
        <f t="shared" si="58"/>
        <v xml:space="preserve"> </v>
      </c>
      <c r="Z456" s="100" t="str">
        <f t="shared" si="59"/>
        <v xml:space="preserve"> </v>
      </c>
    </row>
    <row r="457" spans="1:26">
      <c r="A457" s="100"/>
      <c r="B457" s="108" t="str">
        <f>IFERROR(VLOOKUP(Tablo515[[#This Row],[ÜRÜN KODU]],YMKODLARI!$A$1:$K$363,2,0)," ")</f>
        <v xml:space="preserve"> </v>
      </c>
      <c r="C457" s="99"/>
      <c r="D457" s="100"/>
      <c r="E457" s="101"/>
      <c r="F457" s="101"/>
      <c r="G457" s="100" t="str">
        <f>IFERROR(VLOOKUP(Tablo515[[#This Row],[ÜRÜN KODU]],YMKODLARI!$A$1:$K$363,3,0)," ")</f>
        <v xml:space="preserve"> </v>
      </c>
      <c r="H457" s="100" t="str">
        <f>IFERROR(VLOOKUP(Tablo515[[#This Row],[ÜRÜN KODU]],YMKODLARI!$A$1:$K$363,4,0)," ")</f>
        <v xml:space="preserve"> </v>
      </c>
      <c r="I457" s="100"/>
      <c r="J457" s="100" t="str">
        <f>IFERROR(VLOOKUP(Tablo515[[#This Row],[ÜRÜN KODU]],YMKODLARI!$A$1:$K$363,9,0)," ")</f>
        <v xml:space="preserve"> </v>
      </c>
      <c r="K457" s="100" t="str">
        <f>IFERROR(VLOOKUP(Tablo515[[#This Row],[BOYA KODU]],Tablo14[#All],4,0)," ")</f>
        <v xml:space="preserve"> </v>
      </c>
      <c r="L457" s="100" t="str">
        <f>IFERROR(VLOOKUP(Tablo515[[#This Row],[BOYA KODU]],Tablo14[#All],6,0)," ")</f>
        <v xml:space="preserve"> </v>
      </c>
      <c r="M457" s="100" t="str">
        <f t="shared" si="53"/>
        <v xml:space="preserve"> </v>
      </c>
      <c r="N457" s="100" t="str">
        <f>IFERROR(VLOOKUP(Tablo515[[#This Row],[ÜRÜN KODU]],YMKODLARI!$A$1:$K$363,8,0)," ")</f>
        <v xml:space="preserve"> </v>
      </c>
      <c r="O457" s="100" t="str">
        <f>IFERROR(VLOOKUP(Tablo515[[#This Row],[HAMMADDE KODU]],Tablo1[#All],3,0)," ")</f>
        <v xml:space="preserve"> </v>
      </c>
      <c r="P457" s="100" t="str">
        <f>IFERROR(VLOOKUP(Tablo515[[#This Row],[HAMMADDE KODU]],Tablo1[#All],4,0)," ")</f>
        <v xml:space="preserve"> </v>
      </c>
      <c r="Q457" s="100" t="str">
        <f>IFERROR(VLOOKUP(Tablo515[[#This Row],[ÜRÜN KODU]],YMKODLARI!$A$1:$K$363,5,0)," ")</f>
        <v xml:space="preserve"> </v>
      </c>
      <c r="R457" s="100" t="str">
        <f>IFERROR(VLOOKUP(Tablo515[[#This Row],[ÜRÜN KODU]],YMKODLARI!$A$1:$K$363,6,0)," ")</f>
        <v xml:space="preserve"> </v>
      </c>
      <c r="S457" s="100" t="str">
        <f>IFERROR(Tablo515[[#This Row],[YOLLUK HARİÇ BASKI GRAMI]]/Tablo515[[#This Row],[KALIP GÖZ ADEDİ]]," ")</f>
        <v xml:space="preserve"> </v>
      </c>
      <c r="T457" s="100" t="str">
        <f t="shared" si="55"/>
        <v xml:space="preserve"> </v>
      </c>
      <c r="U457" s="100"/>
      <c r="V457" s="100" t="str">
        <f t="shared" si="54"/>
        <v xml:space="preserve"> </v>
      </c>
      <c r="W457" s="101">
        <f t="shared" si="56"/>
        <v>24</v>
      </c>
      <c r="X457" s="102">
        <f t="shared" si="57"/>
        <v>0</v>
      </c>
      <c r="Y457" s="100" t="str">
        <f t="shared" si="58"/>
        <v xml:space="preserve"> </v>
      </c>
      <c r="Z457" s="100" t="str">
        <f t="shared" si="59"/>
        <v xml:space="preserve"> </v>
      </c>
    </row>
    <row r="458" spans="1:26">
      <c r="A458" s="100"/>
      <c r="B458" s="108" t="str">
        <f>IFERROR(VLOOKUP(Tablo515[[#This Row],[ÜRÜN KODU]],YMKODLARI!$A$1:$K$363,2,0)," ")</f>
        <v xml:space="preserve"> </v>
      </c>
      <c r="C458" s="99"/>
      <c r="D458" s="100"/>
      <c r="E458" s="101"/>
      <c r="F458" s="101"/>
      <c r="G458" s="100" t="str">
        <f>IFERROR(VLOOKUP(Tablo515[[#This Row],[ÜRÜN KODU]],YMKODLARI!$A$1:$K$363,3,0)," ")</f>
        <v xml:space="preserve"> </v>
      </c>
      <c r="H458" s="100" t="str">
        <f>IFERROR(VLOOKUP(Tablo515[[#This Row],[ÜRÜN KODU]],YMKODLARI!$A$1:$K$363,4,0)," ")</f>
        <v xml:space="preserve"> </v>
      </c>
      <c r="I458" s="100"/>
      <c r="J458" s="100" t="str">
        <f>IFERROR(VLOOKUP(Tablo515[[#This Row],[ÜRÜN KODU]],YMKODLARI!$A$1:$K$363,9,0)," ")</f>
        <v xml:space="preserve"> </v>
      </c>
      <c r="K458" s="100" t="str">
        <f>IFERROR(VLOOKUP(Tablo515[[#This Row],[BOYA KODU]],Tablo14[#All],4,0)," ")</f>
        <v xml:space="preserve"> </v>
      </c>
      <c r="L458" s="100" t="str">
        <f>IFERROR(VLOOKUP(Tablo515[[#This Row],[BOYA KODU]],Tablo14[#All],6,0)," ")</f>
        <v xml:space="preserve"> </v>
      </c>
      <c r="M458" s="100" t="str">
        <f t="shared" si="53"/>
        <v xml:space="preserve"> </v>
      </c>
      <c r="N458" s="100" t="str">
        <f>IFERROR(VLOOKUP(Tablo515[[#This Row],[ÜRÜN KODU]],YMKODLARI!$A$1:$K$363,8,0)," ")</f>
        <v xml:space="preserve"> </v>
      </c>
      <c r="O458" s="100" t="str">
        <f>IFERROR(VLOOKUP(Tablo515[[#This Row],[HAMMADDE KODU]],Tablo1[#All],3,0)," ")</f>
        <v xml:space="preserve"> </v>
      </c>
      <c r="P458" s="100" t="str">
        <f>IFERROR(VLOOKUP(Tablo515[[#This Row],[HAMMADDE KODU]],Tablo1[#All],4,0)," ")</f>
        <v xml:space="preserve"> </v>
      </c>
      <c r="Q458" s="100" t="str">
        <f>IFERROR(VLOOKUP(Tablo515[[#This Row],[ÜRÜN KODU]],YMKODLARI!$A$1:$K$363,5,0)," ")</f>
        <v xml:space="preserve"> </v>
      </c>
      <c r="R458" s="100" t="str">
        <f>IFERROR(VLOOKUP(Tablo515[[#This Row],[ÜRÜN KODU]],YMKODLARI!$A$1:$K$363,6,0)," ")</f>
        <v xml:space="preserve"> </v>
      </c>
      <c r="S458" s="100" t="str">
        <f>IFERROR(Tablo515[[#This Row],[YOLLUK HARİÇ BASKI GRAMI]]/Tablo515[[#This Row],[KALIP GÖZ ADEDİ]]," ")</f>
        <v xml:space="preserve"> </v>
      </c>
      <c r="T458" s="100" t="str">
        <f t="shared" si="55"/>
        <v xml:space="preserve"> </v>
      </c>
      <c r="U458" s="100"/>
      <c r="V458" s="100" t="str">
        <f t="shared" si="54"/>
        <v xml:space="preserve"> </v>
      </c>
      <c r="W458" s="101">
        <f t="shared" si="56"/>
        <v>24</v>
      </c>
      <c r="X458" s="102">
        <f t="shared" si="57"/>
        <v>0</v>
      </c>
      <c r="Y458" s="100" t="str">
        <f t="shared" si="58"/>
        <v xml:space="preserve"> </v>
      </c>
      <c r="Z458" s="100" t="str">
        <f t="shared" si="59"/>
        <v xml:space="preserve"> </v>
      </c>
    </row>
    <row r="459" spans="1:26">
      <c r="A459" s="100"/>
      <c r="B459" s="108" t="str">
        <f>IFERROR(VLOOKUP(Tablo515[[#This Row],[ÜRÜN KODU]],YMKODLARI!$A$1:$K$363,2,0)," ")</f>
        <v xml:space="preserve"> </v>
      </c>
      <c r="C459" s="99"/>
      <c r="D459" s="100"/>
      <c r="E459" s="101"/>
      <c r="F459" s="101"/>
      <c r="G459" s="100" t="str">
        <f>IFERROR(VLOOKUP(Tablo515[[#This Row],[ÜRÜN KODU]],YMKODLARI!$A$1:$K$363,3,0)," ")</f>
        <v xml:space="preserve"> </v>
      </c>
      <c r="H459" s="100" t="str">
        <f>IFERROR(VLOOKUP(Tablo515[[#This Row],[ÜRÜN KODU]],YMKODLARI!$A$1:$K$363,4,0)," ")</f>
        <v xml:space="preserve"> </v>
      </c>
      <c r="I459" s="100"/>
      <c r="J459" s="100" t="str">
        <f>IFERROR(VLOOKUP(Tablo515[[#This Row],[ÜRÜN KODU]],YMKODLARI!$A$1:$K$363,9,0)," ")</f>
        <v xml:space="preserve"> </v>
      </c>
      <c r="K459" s="100" t="str">
        <f>IFERROR(VLOOKUP(Tablo515[[#This Row],[BOYA KODU]],Tablo14[#All],4,0)," ")</f>
        <v xml:space="preserve"> </v>
      </c>
      <c r="L459" s="100" t="str">
        <f>IFERROR(VLOOKUP(Tablo515[[#This Row],[BOYA KODU]],Tablo14[#All],6,0)," ")</f>
        <v xml:space="preserve"> </v>
      </c>
      <c r="M459" s="100" t="str">
        <f t="shared" si="53"/>
        <v xml:space="preserve"> </v>
      </c>
      <c r="N459" s="100" t="str">
        <f>IFERROR(VLOOKUP(Tablo515[[#This Row],[ÜRÜN KODU]],YMKODLARI!$A$1:$K$363,8,0)," ")</f>
        <v xml:space="preserve"> </v>
      </c>
      <c r="O459" s="100" t="str">
        <f>IFERROR(VLOOKUP(Tablo515[[#This Row],[HAMMADDE KODU]],Tablo1[#All],3,0)," ")</f>
        <v xml:space="preserve"> </v>
      </c>
      <c r="P459" s="100" t="str">
        <f>IFERROR(VLOOKUP(Tablo515[[#This Row],[HAMMADDE KODU]],Tablo1[#All],4,0)," ")</f>
        <v xml:space="preserve"> </v>
      </c>
      <c r="Q459" s="100" t="str">
        <f>IFERROR(VLOOKUP(Tablo515[[#This Row],[ÜRÜN KODU]],YMKODLARI!$A$1:$K$363,5,0)," ")</f>
        <v xml:space="preserve"> </v>
      </c>
      <c r="R459" s="100" t="str">
        <f>IFERROR(VLOOKUP(Tablo515[[#This Row],[ÜRÜN KODU]],YMKODLARI!$A$1:$K$363,6,0)," ")</f>
        <v xml:space="preserve"> </v>
      </c>
      <c r="S459" s="100" t="str">
        <f>IFERROR(Tablo515[[#This Row],[YOLLUK HARİÇ BASKI GRAMI]]/Tablo515[[#This Row],[KALIP GÖZ ADEDİ]]," ")</f>
        <v xml:space="preserve"> </v>
      </c>
      <c r="T459" s="100" t="str">
        <f t="shared" si="55"/>
        <v xml:space="preserve"> </v>
      </c>
      <c r="U459" s="100"/>
      <c r="V459" s="100" t="str">
        <f t="shared" si="54"/>
        <v xml:space="preserve"> </v>
      </c>
      <c r="W459" s="101">
        <f t="shared" si="56"/>
        <v>24</v>
      </c>
      <c r="X459" s="102">
        <f t="shared" si="57"/>
        <v>0</v>
      </c>
      <c r="Y459" s="100" t="str">
        <f t="shared" si="58"/>
        <v xml:space="preserve"> </v>
      </c>
      <c r="Z459" s="100" t="str">
        <f t="shared" si="59"/>
        <v xml:space="preserve"> </v>
      </c>
    </row>
    <row r="460" spans="1:26">
      <c r="A460" s="100"/>
      <c r="B460" s="108" t="str">
        <f>IFERROR(VLOOKUP(Tablo515[[#This Row],[ÜRÜN KODU]],YMKODLARI!$A$1:$K$363,2,0)," ")</f>
        <v xml:space="preserve"> </v>
      </c>
      <c r="C460" s="99"/>
      <c r="D460" s="100"/>
      <c r="E460" s="101"/>
      <c r="F460" s="101"/>
      <c r="G460" s="100" t="str">
        <f>IFERROR(VLOOKUP(Tablo515[[#This Row],[ÜRÜN KODU]],YMKODLARI!$A$1:$K$363,3,0)," ")</f>
        <v xml:space="preserve"> </v>
      </c>
      <c r="H460" s="100" t="str">
        <f>IFERROR(VLOOKUP(Tablo515[[#This Row],[ÜRÜN KODU]],YMKODLARI!$A$1:$K$363,4,0)," ")</f>
        <v xml:space="preserve"> </v>
      </c>
      <c r="I460" s="100"/>
      <c r="J460" s="100" t="str">
        <f>IFERROR(VLOOKUP(Tablo515[[#This Row],[ÜRÜN KODU]],YMKODLARI!$A$1:$K$363,9,0)," ")</f>
        <v xml:space="preserve"> </v>
      </c>
      <c r="K460" s="100" t="str">
        <f>IFERROR(VLOOKUP(Tablo515[[#This Row],[BOYA KODU]],Tablo14[#All],4,0)," ")</f>
        <v xml:space="preserve"> </v>
      </c>
      <c r="L460" s="100" t="str">
        <f>IFERROR(VLOOKUP(Tablo515[[#This Row],[BOYA KODU]],Tablo14[#All],6,0)," ")</f>
        <v xml:space="preserve"> </v>
      </c>
      <c r="M460" s="100" t="str">
        <f t="shared" si="53"/>
        <v xml:space="preserve"> </v>
      </c>
      <c r="N460" s="100" t="str">
        <f>IFERROR(VLOOKUP(Tablo515[[#This Row],[ÜRÜN KODU]],YMKODLARI!$A$1:$K$363,8,0)," ")</f>
        <v xml:space="preserve"> </v>
      </c>
      <c r="O460" s="100" t="str">
        <f>IFERROR(VLOOKUP(Tablo515[[#This Row],[HAMMADDE KODU]],Tablo1[#All],3,0)," ")</f>
        <v xml:space="preserve"> </v>
      </c>
      <c r="P460" s="100" t="str">
        <f>IFERROR(VLOOKUP(Tablo515[[#This Row],[HAMMADDE KODU]],Tablo1[#All],4,0)," ")</f>
        <v xml:space="preserve"> </v>
      </c>
      <c r="Q460" s="100" t="str">
        <f>IFERROR(VLOOKUP(Tablo515[[#This Row],[ÜRÜN KODU]],YMKODLARI!$A$1:$K$363,5,0)," ")</f>
        <v xml:space="preserve"> </v>
      </c>
      <c r="R460" s="100" t="str">
        <f>IFERROR(VLOOKUP(Tablo515[[#This Row],[ÜRÜN KODU]],YMKODLARI!$A$1:$K$363,6,0)," ")</f>
        <v xml:space="preserve"> </v>
      </c>
      <c r="S460" s="100" t="str">
        <f>IFERROR(Tablo515[[#This Row],[YOLLUK HARİÇ BASKI GRAMI]]/Tablo515[[#This Row],[KALIP GÖZ ADEDİ]]," ")</f>
        <v xml:space="preserve"> </v>
      </c>
      <c r="T460" s="100" t="str">
        <f t="shared" si="55"/>
        <v xml:space="preserve"> </v>
      </c>
      <c r="U460" s="100"/>
      <c r="V460" s="100" t="str">
        <f t="shared" si="54"/>
        <v xml:space="preserve"> </v>
      </c>
      <c r="W460" s="101">
        <f t="shared" si="56"/>
        <v>24</v>
      </c>
      <c r="X460" s="102">
        <f t="shared" si="57"/>
        <v>0</v>
      </c>
      <c r="Y460" s="100" t="str">
        <f t="shared" si="58"/>
        <v xml:space="preserve"> </v>
      </c>
      <c r="Z460" s="100" t="str">
        <f t="shared" si="59"/>
        <v xml:space="preserve"> </v>
      </c>
    </row>
    <row r="461" spans="1:26">
      <c r="A461" s="100"/>
      <c r="B461" s="108" t="str">
        <f>IFERROR(VLOOKUP(Tablo515[[#This Row],[ÜRÜN KODU]],YMKODLARI!$A$1:$K$363,2,0)," ")</f>
        <v xml:space="preserve"> </v>
      </c>
      <c r="C461" s="99"/>
      <c r="D461" s="100"/>
      <c r="E461" s="101"/>
      <c r="F461" s="101"/>
      <c r="G461" s="100" t="str">
        <f>IFERROR(VLOOKUP(Tablo515[[#This Row],[ÜRÜN KODU]],YMKODLARI!$A$1:$K$363,3,0)," ")</f>
        <v xml:space="preserve"> </v>
      </c>
      <c r="H461" s="100" t="str">
        <f>IFERROR(VLOOKUP(Tablo515[[#This Row],[ÜRÜN KODU]],YMKODLARI!$A$1:$K$363,4,0)," ")</f>
        <v xml:space="preserve"> </v>
      </c>
      <c r="I461" s="100"/>
      <c r="J461" s="100" t="str">
        <f>IFERROR(VLOOKUP(Tablo515[[#This Row],[ÜRÜN KODU]],YMKODLARI!$A$1:$K$363,9,0)," ")</f>
        <v xml:space="preserve"> </v>
      </c>
      <c r="K461" s="100" t="str">
        <f>IFERROR(VLOOKUP(Tablo515[[#This Row],[BOYA KODU]],Tablo14[#All],4,0)," ")</f>
        <v xml:space="preserve"> </v>
      </c>
      <c r="L461" s="100" t="str">
        <f>IFERROR(VLOOKUP(Tablo515[[#This Row],[BOYA KODU]],Tablo14[#All],6,0)," ")</f>
        <v xml:space="preserve"> </v>
      </c>
      <c r="M461" s="100" t="str">
        <f t="shared" si="53"/>
        <v xml:space="preserve"> </v>
      </c>
      <c r="N461" s="100" t="str">
        <f>IFERROR(VLOOKUP(Tablo515[[#This Row],[ÜRÜN KODU]],YMKODLARI!$A$1:$K$363,8,0)," ")</f>
        <v xml:space="preserve"> </v>
      </c>
      <c r="O461" s="100" t="str">
        <f>IFERROR(VLOOKUP(Tablo515[[#This Row],[HAMMADDE KODU]],Tablo1[#All],3,0)," ")</f>
        <v xml:space="preserve"> </v>
      </c>
      <c r="P461" s="100" t="str">
        <f>IFERROR(VLOOKUP(Tablo515[[#This Row],[HAMMADDE KODU]],Tablo1[#All],4,0)," ")</f>
        <v xml:space="preserve"> </v>
      </c>
      <c r="Q461" s="100" t="str">
        <f>IFERROR(VLOOKUP(Tablo515[[#This Row],[ÜRÜN KODU]],YMKODLARI!$A$1:$K$363,5,0)," ")</f>
        <v xml:space="preserve"> </v>
      </c>
      <c r="R461" s="100" t="str">
        <f>IFERROR(VLOOKUP(Tablo515[[#This Row],[ÜRÜN KODU]],YMKODLARI!$A$1:$K$363,6,0)," ")</f>
        <v xml:space="preserve"> </v>
      </c>
      <c r="S461" s="100" t="str">
        <f>IFERROR(Tablo515[[#This Row],[YOLLUK HARİÇ BASKI GRAMI]]/Tablo515[[#This Row],[KALIP GÖZ ADEDİ]]," ")</f>
        <v xml:space="preserve"> </v>
      </c>
      <c r="T461" s="100" t="str">
        <f t="shared" si="55"/>
        <v xml:space="preserve"> </v>
      </c>
      <c r="U461" s="100"/>
      <c r="V461" s="100" t="str">
        <f t="shared" si="54"/>
        <v xml:space="preserve"> </v>
      </c>
      <c r="W461" s="101">
        <f t="shared" si="56"/>
        <v>24</v>
      </c>
      <c r="X461" s="102">
        <f t="shared" si="57"/>
        <v>0</v>
      </c>
      <c r="Y461" s="100" t="str">
        <f t="shared" si="58"/>
        <v xml:space="preserve"> </v>
      </c>
      <c r="Z461" s="100" t="str">
        <f t="shared" si="59"/>
        <v xml:space="preserve"> </v>
      </c>
    </row>
    <row r="462" spans="1:26">
      <c r="A462" s="100"/>
      <c r="B462" s="108" t="str">
        <f>IFERROR(VLOOKUP(Tablo515[[#This Row],[ÜRÜN KODU]],YMKODLARI!$A$1:$K$363,2,0)," ")</f>
        <v xml:space="preserve"> </v>
      </c>
      <c r="C462" s="99"/>
      <c r="D462" s="100"/>
      <c r="E462" s="101"/>
      <c r="F462" s="101"/>
      <c r="G462" s="100" t="str">
        <f>IFERROR(VLOOKUP(Tablo515[[#This Row],[ÜRÜN KODU]],YMKODLARI!$A$1:$K$363,3,0)," ")</f>
        <v xml:space="preserve"> </v>
      </c>
      <c r="H462" s="100" t="str">
        <f>IFERROR(VLOOKUP(Tablo515[[#This Row],[ÜRÜN KODU]],YMKODLARI!$A$1:$K$363,4,0)," ")</f>
        <v xml:space="preserve"> </v>
      </c>
      <c r="I462" s="100"/>
      <c r="J462" s="100" t="str">
        <f>IFERROR(VLOOKUP(Tablo515[[#This Row],[ÜRÜN KODU]],YMKODLARI!$A$1:$K$363,9,0)," ")</f>
        <v xml:space="preserve"> </v>
      </c>
      <c r="K462" s="100" t="str">
        <f>IFERROR(VLOOKUP(Tablo515[[#This Row],[BOYA KODU]],Tablo14[#All],4,0)," ")</f>
        <v xml:space="preserve"> </v>
      </c>
      <c r="L462" s="100" t="str">
        <f>IFERROR(VLOOKUP(Tablo515[[#This Row],[BOYA KODU]],Tablo14[#All],6,0)," ")</f>
        <v xml:space="preserve"> </v>
      </c>
      <c r="M462" s="100" t="str">
        <f t="shared" si="53"/>
        <v xml:space="preserve"> </v>
      </c>
      <c r="N462" s="100" t="str">
        <f>IFERROR(VLOOKUP(Tablo515[[#This Row],[ÜRÜN KODU]],YMKODLARI!$A$1:$K$363,8,0)," ")</f>
        <v xml:space="preserve"> </v>
      </c>
      <c r="O462" s="100" t="str">
        <f>IFERROR(VLOOKUP(Tablo515[[#This Row],[HAMMADDE KODU]],Tablo1[#All],3,0)," ")</f>
        <v xml:space="preserve"> </v>
      </c>
      <c r="P462" s="100" t="str">
        <f>IFERROR(VLOOKUP(Tablo515[[#This Row],[HAMMADDE KODU]],Tablo1[#All],4,0)," ")</f>
        <v xml:space="preserve"> </v>
      </c>
      <c r="Q462" s="100" t="str">
        <f>IFERROR(VLOOKUP(Tablo515[[#This Row],[ÜRÜN KODU]],YMKODLARI!$A$1:$K$363,5,0)," ")</f>
        <v xml:space="preserve"> </v>
      </c>
      <c r="R462" s="100" t="str">
        <f>IFERROR(VLOOKUP(Tablo515[[#This Row],[ÜRÜN KODU]],YMKODLARI!$A$1:$K$363,6,0)," ")</f>
        <v xml:space="preserve"> </v>
      </c>
      <c r="S462" s="100" t="str">
        <f>IFERROR(Tablo515[[#This Row],[YOLLUK HARİÇ BASKI GRAMI]]/Tablo515[[#This Row],[KALIP GÖZ ADEDİ]]," ")</f>
        <v xml:space="preserve"> </v>
      </c>
      <c r="T462" s="100" t="str">
        <f t="shared" si="55"/>
        <v xml:space="preserve"> </v>
      </c>
      <c r="U462" s="100"/>
      <c r="V462" s="100" t="str">
        <f t="shared" si="54"/>
        <v xml:space="preserve"> </v>
      </c>
      <c r="W462" s="101">
        <f t="shared" si="56"/>
        <v>24</v>
      </c>
      <c r="X462" s="102">
        <f t="shared" si="57"/>
        <v>0</v>
      </c>
      <c r="Y462" s="100" t="str">
        <f t="shared" si="58"/>
        <v xml:space="preserve"> </v>
      </c>
      <c r="Z462" s="100" t="str">
        <f t="shared" si="59"/>
        <v xml:space="preserve"> </v>
      </c>
    </row>
    <row r="463" spans="1:26">
      <c r="A463" s="100"/>
      <c r="B463" s="108" t="str">
        <f>IFERROR(VLOOKUP(Tablo515[[#This Row],[ÜRÜN KODU]],YMKODLARI!$A$1:$K$363,2,0)," ")</f>
        <v xml:space="preserve"> </v>
      </c>
      <c r="C463" s="99"/>
      <c r="D463" s="100"/>
      <c r="E463" s="101"/>
      <c r="F463" s="101"/>
      <c r="G463" s="100" t="str">
        <f>IFERROR(VLOOKUP(Tablo515[[#This Row],[ÜRÜN KODU]],YMKODLARI!$A$1:$K$363,3,0)," ")</f>
        <v xml:space="preserve"> </v>
      </c>
      <c r="H463" s="100" t="str">
        <f>IFERROR(VLOOKUP(Tablo515[[#This Row],[ÜRÜN KODU]],YMKODLARI!$A$1:$K$363,4,0)," ")</f>
        <v xml:space="preserve"> </v>
      </c>
      <c r="I463" s="100"/>
      <c r="J463" s="100" t="str">
        <f>IFERROR(VLOOKUP(Tablo515[[#This Row],[ÜRÜN KODU]],YMKODLARI!$A$1:$K$363,9,0)," ")</f>
        <v xml:space="preserve"> </v>
      </c>
      <c r="K463" s="100" t="str">
        <f>IFERROR(VLOOKUP(Tablo515[[#This Row],[BOYA KODU]],Tablo14[#All],4,0)," ")</f>
        <v xml:space="preserve"> </v>
      </c>
      <c r="L463" s="100" t="str">
        <f>IFERROR(VLOOKUP(Tablo515[[#This Row],[BOYA KODU]],Tablo14[#All],6,0)," ")</f>
        <v xml:space="preserve"> </v>
      </c>
      <c r="M463" s="100" t="str">
        <f t="shared" si="53"/>
        <v xml:space="preserve"> </v>
      </c>
      <c r="N463" s="100" t="str">
        <f>IFERROR(VLOOKUP(Tablo515[[#This Row],[ÜRÜN KODU]],YMKODLARI!$A$1:$K$363,8,0)," ")</f>
        <v xml:space="preserve"> </v>
      </c>
      <c r="O463" s="100" t="str">
        <f>IFERROR(VLOOKUP(Tablo515[[#This Row],[HAMMADDE KODU]],Tablo1[#All],3,0)," ")</f>
        <v xml:space="preserve"> </v>
      </c>
      <c r="P463" s="100" t="str">
        <f>IFERROR(VLOOKUP(Tablo515[[#This Row],[HAMMADDE KODU]],Tablo1[#All],4,0)," ")</f>
        <v xml:space="preserve"> </v>
      </c>
      <c r="Q463" s="100" t="str">
        <f>IFERROR(VLOOKUP(Tablo515[[#This Row],[ÜRÜN KODU]],YMKODLARI!$A$1:$K$363,5,0)," ")</f>
        <v xml:space="preserve"> </v>
      </c>
      <c r="R463" s="100" t="str">
        <f>IFERROR(VLOOKUP(Tablo515[[#This Row],[ÜRÜN KODU]],YMKODLARI!$A$1:$K$363,6,0)," ")</f>
        <v xml:space="preserve"> </v>
      </c>
      <c r="S463" s="100" t="str">
        <f>IFERROR(Tablo515[[#This Row],[YOLLUK HARİÇ BASKI GRAMI]]/Tablo515[[#This Row],[KALIP GÖZ ADEDİ]]," ")</f>
        <v xml:space="preserve"> </v>
      </c>
      <c r="T463" s="100" t="str">
        <f t="shared" si="55"/>
        <v xml:space="preserve"> </v>
      </c>
      <c r="U463" s="100"/>
      <c r="V463" s="100" t="str">
        <f t="shared" si="54"/>
        <v xml:space="preserve"> </v>
      </c>
      <c r="W463" s="101">
        <f t="shared" si="56"/>
        <v>24</v>
      </c>
      <c r="X463" s="102">
        <f t="shared" si="57"/>
        <v>0</v>
      </c>
      <c r="Y463" s="100" t="str">
        <f t="shared" si="58"/>
        <v xml:space="preserve"> </v>
      </c>
      <c r="Z463" s="100" t="str">
        <f t="shared" si="59"/>
        <v xml:space="preserve"> </v>
      </c>
    </row>
    <row r="464" spans="1:26">
      <c r="A464" s="100"/>
      <c r="B464" s="108" t="str">
        <f>IFERROR(VLOOKUP(Tablo515[[#This Row],[ÜRÜN KODU]],YMKODLARI!$A$1:$K$363,2,0)," ")</f>
        <v xml:space="preserve"> </v>
      </c>
      <c r="C464" s="99"/>
      <c r="D464" s="100"/>
      <c r="E464" s="101"/>
      <c r="F464" s="101"/>
      <c r="G464" s="100" t="str">
        <f>IFERROR(VLOOKUP(Tablo515[[#This Row],[ÜRÜN KODU]],YMKODLARI!$A$1:$K$363,3,0)," ")</f>
        <v xml:space="preserve"> </v>
      </c>
      <c r="H464" s="100" t="str">
        <f>IFERROR(VLOOKUP(Tablo515[[#This Row],[ÜRÜN KODU]],YMKODLARI!$A$1:$K$363,4,0)," ")</f>
        <v xml:space="preserve"> </v>
      </c>
      <c r="I464" s="100"/>
      <c r="J464" s="100" t="str">
        <f>IFERROR(VLOOKUP(Tablo515[[#This Row],[ÜRÜN KODU]],YMKODLARI!$A$1:$K$363,9,0)," ")</f>
        <v xml:space="preserve"> </v>
      </c>
      <c r="K464" s="100" t="str">
        <f>IFERROR(VLOOKUP(Tablo515[[#This Row],[BOYA KODU]],Tablo14[#All],4,0)," ")</f>
        <v xml:space="preserve"> </v>
      </c>
      <c r="L464" s="100" t="str">
        <f>IFERROR(VLOOKUP(Tablo515[[#This Row],[BOYA KODU]],Tablo14[#All],6,0)," ")</f>
        <v xml:space="preserve"> </v>
      </c>
      <c r="M464" s="100" t="str">
        <f t="shared" si="53"/>
        <v xml:space="preserve"> </v>
      </c>
      <c r="N464" s="100" t="str">
        <f>IFERROR(VLOOKUP(Tablo515[[#This Row],[ÜRÜN KODU]],YMKODLARI!$A$1:$K$363,8,0)," ")</f>
        <v xml:space="preserve"> </v>
      </c>
      <c r="O464" s="100" t="str">
        <f>IFERROR(VLOOKUP(Tablo515[[#This Row],[HAMMADDE KODU]],Tablo1[#All],3,0)," ")</f>
        <v xml:space="preserve"> </v>
      </c>
      <c r="P464" s="100" t="str">
        <f>IFERROR(VLOOKUP(Tablo515[[#This Row],[HAMMADDE KODU]],Tablo1[#All],4,0)," ")</f>
        <v xml:space="preserve"> </v>
      </c>
      <c r="Q464" s="100" t="str">
        <f>IFERROR(VLOOKUP(Tablo515[[#This Row],[ÜRÜN KODU]],YMKODLARI!$A$1:$K$363,5,0)," ")</f>
        <v xml:space="preserve"> </v>
      </c>
      <c r="R464" s="100" t="str">
        <f>IFERROR(VLOOKUP(Tablo515[[#This Row],[ÜRÜN KODU]],YMKODLARI!$A$1:$K$363,6,0)," ")</f>
        <v xml:space="preserve"> </v>
      </c>
      <c r="S464" s="100" t="str">
        <f>IFERROR(Tablo515[[#This Row],[YOLLUK HARİÇ BASKI GRAMI]]/Tablo515[[#This Row],[KALIP GÖZ ADEDİ]]," ")</f>
        <v xml:space="preserve"> </v>
      </c>
      <c r="T464" s="100" t="str">
        <f t="shared" si="55"/>
        <v xml:space="preserve"> </v>
      </c>
      <c r="U464" s="100"/>
      <c r="V464" s="100" t="str">
        <f t="shared" si="54"/>
        <v xml:space="preserve"> </v>
      </c>
      <c r="W464" s="101">
        <f t="shared" si="56"/>
        <v>24</v>
      </c>
      <c r="X464" s="102">
        <f t="shared" si="57"/>
        <v>0</v>
      </c>
      <c r="Y464" s="100" t="str">
        <f t="shared" si="58"/>
        <v xml:space="preserve"> </v>
      </c>
      <c r="Z464" s="100" t="str">
        <f t="shared" si="59"/>
        <v xml:space="preserve"> </v>
      </c>
    </row>
    <row r="465" spans="1:26">
      <c r="A465" s="100"/>
      <c r="B465" s="108" t="str">
        <f>IFERROR(VLOOKUP(Tablo515[[#This Row],[ÜRÜN KODU]],YMKODLARI!$A$1:$K$363,2,0)," ")</f>
        <v xml:space="preserve"> </v>
      </c>
      <c r="C465" s="99"/>
      <c r="D465" s="100"/>
      <c r="E465" s="101"/>
      <c r="F465" s="101"/>
      <c r="G465" s="100" t="str">
        <f>IFERROR(VLOOKUP(Tablo515[[#This Row],[ÜRÜN KODU]],YMKODLARI!$A$1:$K$363,3,0)," ")</f>
        <v xml:space="preserve"> </v>
      </c>
      <c r="H465" s="100" t="str">
        <f>IFERROR(VLOOKUP(Tablo515[[#This Row],[ÜRÜN KODU]],YMKODLARI!$A$1:$K$363,4,0)," ")</f>
        <v xml:space="preserve"> </v>
      </c>
      <c r="I465" s="100"/>
      <c r="J465" s="100" t="str">
        <f>IFERROR(VLOOKUP(Tablo515[[#This Row],[ÜRÜN KODU]],YMKODLARI!$A$1:$K$363,9,0)," ")</f>
        <v xml:space="preserve"> </v>
      </c>
      <c r="K465" s="100" t="str">
        <f>IFERROR(VLOOKUP(Tablo515[[#This Row],[BOYA KODU]],Tablo14[#All],4,0)," ")</f>
        <v xml:space="preserve"> </v>
      </c>
      <c r="L465" s="100" t="str">
        <f>IFERROR(VLOOKUP(Tablo515[[#This Row],[BOYA KODU]],Tablo14[#All],6,0)," ")</f>
        <v xml:space="preserve"> </v>
      </c>
      <c r="M465" s="100" t="str">
        <f t="shared" si="53"/>
        <v xml:space="preserve"> </v>
      </c>
      <c r="N465" s="100" t="str">
        <f>IFERROR(VLOOKUP(Tablo515[[#This Row],[ÜRÜN KODU]],YMKODLARI!$A$1:$K$363,8,0)," ")</f>
        <v xml:space="preserve"> </v>
      </c>
      <c r="O465" s="100" t="str">
        <f>IFERROR(VLOOKUP(Tablo515[[#This Row],[HAMMADDE KODU]],Tablo1[#All],3,0)," ")</f>
        <v xml:space="preserve"> </v>
      </c>
      <c r="P465" s="100" t="str">
        <f>IFERROR(VLOOKUP(Tablo515[[#This Row],[HAMMADDE KODU]],Tablo1[#All],4,0)," ")</f>
        <v xml:space="preserve"> </v>
      </c>
      <c r="Q465" s="100" t="str">
        <f>IFERROR(VLOOKUP(Tablo515[[#This Row],[ÜRÜN KODU]],YMKODLARI!$A$1:$K$363,5,0)," ")</f>
        <v xml:space="preserve"> </v>
      </c>
      <c r="R465" s="100" t="str">
        <f>IFERROR(VLOOKUP(Tablo515[[#This Row],[ÜRÜN KODU]],YMKODLARI!$A$1:$K$363,6,0)," ")</f>
        <v xml:space="preserve"> </v>
      </c>
      <c r="S465" s="100" t="str">
        <f>IFERROR(Tablo515[[#This Row],[YOLLUK HARİÇ BASKI GRAMI]]/Tablo515[[#This Row],[KALIP GÖZ ADEDİ]]," ")</f>
        <v xml:space="preserve"> </v>
      </c>
      <c r="T465" s="100" t="str">
        <f t="shared" si="55"/>
        <v xml:space="preserve"> </v>
      </c>
      <c r="U465" s="100"/>
      <c r="V465" s="100" t="str">
        <f t="shared" si="54"/>
        <v xml:space="preserve"> </v>
      </c>
      <c r="W465" s="101">
        <f t="shared" si="56"/>
        <v>24</v>
      </c>
      <c r="X465" s="102">
        <f t="shared" si="57"/>
        <v>0</v>
      </c>
      <c r="Y465" s="100" t="str">
        <f t="shared" si="58"/>
        <v xml:space="preserve"> </v>
      </c>
      <c r="Z465" s="100" t="str">
        <f t="shared" si="59"/>
        <v xml:space="preserve"> </v>
      </c>
    </row>
    <row r="466" spans="1:26">
      <c r="A466" s="100"/>
      <c r="B466" s="108" t="str">
        <f>IFERROR(VLOOKUP(Tablo515[[#This Row],[ÜRÜN KODU]],YMKODLARI!$A$1:$K$363,2,0)," ")</f>
        <v xml:space="preserve"> </v>
      </c>
      <c r="C466" s="99"/>
      <c r="D466" s="100"/>
      <c r="E466" s="101"/>
      <c r="F466" s="101"/>
      <c r="G466" s="100" t="str">
        <f>IFERROR(VLOOKUP(Tablo515[[#This Row],[ÜRÜN KODU]],YMKODLARI!$A$1:$K$363,3,0)," ")</f>
        <v xml:space="preserve"> </v>
      </c>
      <c r="H466" s="100" t="str">
        <f>IFERROR(VLOOKUP(Tablo515[[#This Row],[ÜRÜN KODU]],YMKODLARI!$A$1:$K$363,4,0)," ")</f>
        <v xml:space="preserve"> </v>
      </c>
      <c r="I466" s="100"/>
      <c r="J466" s="100" t="str">
        <f>IFERROR(VLOOKUP(Tablo515[[#This Row],[ÜRÜN KODU]],YMKODLARI!$A$1:$K$363,9,0)," ")</f>
        <v xml:space="preserve"> </v>
      </c>
      <c r="K466" s="100" t="str">
        <f>IFERROR(VLOOKUP(Tablo515[[#This Row],[BOYA KODU]],Tablo14[#All],4,0)," ")</f>
        <v xml:space="preserve"> </v>
      </c>
      <c r="L466" s="100" t="str">
        <f>IFERROR(VLOOKUP(Tablo515[[#This Row],[BOYA KODU]],Tablo14[#All],6,0)," ")</f>
        <v xml:space="preserve"> </v>
      </c>
      <c r="M466" s="100" t="str">
        <f t="shared" si="53"/>
        <v xml:space="preserve"> </v>
      </c>
      <c r="N466" s="100" t="str">
        <f>IFERROR(VLOOKUP(Tablo515[[#This Row],[ÜRÜN KODU]],YMKODLARI!$A$1:$K$363,8,0)," ")</f>
        <v xml:space="preserve"> </v>
      </c>
      <c r="O466" s="100" t="str">
        <f>IFERROR(VLOOKUP(Tablo515[[#This Row],[HAMMADDE KODU]],Tablo1[#All],3,0)," ")</f>
        <v xml:space="preserve"> </v>
      </c>
      <c r="P466" s="100" t="str">
        <f>IFERROR(VLOOKUP(Tablo515[[#This Row],[HAMMADDE KODU]],Tablo1[#All],4,0)," ")</f>
        <v xml:space="preserve"> </v>
      </c>
      <c r="Q466" s="100" t="str">
        <f>IFERROR(VLOOKUP(Tablo515[[#This Row],[ÜRÜN KODU]],YMKODLARI!$A$1:$K$363,5,0)," ")</f>
        <v xml:space="preserve"> </v>
      </c>
      <c r="R466" s="100" t="str">
        <f>IFERROR(VLOOKUP(Tablo515[[#This Row],[ÜRÜN KODU]],YMKODLARI!$A$1:$K$363,6,0)," ")</f>
        <v xml:space="preserve"> </v>
      </c>
      <c r="S466" s="100" t="str">
        <f>IFERROR(Tablo515[[#This Row],[YOLLUK HARİÇ BASKI GRAMI]]/Tablo515[[#This Row],[KALIP GÖZ ADEDİ]]," ")</f>
        <v xml:space="preserve"> </v>
      </c>
      <c r="T466" s="100" t="str">
        <f t="shared" si="55"/>
        <v xml:space="preserve"> </v>
      </c>
      <c r="U466" s="100"/>
      <c r="V466" s="100" t="str">
        <f t="shared" si="54"/>
        <v xml:space="preserve"> </v>
      </c>
      <c r="W466" s="101">
        <f t="shared" si="56"/>
        <v>24</v>
      </c>
      <c r="X466" s="102">
        <f t="shared" si="57"/>
        <v>0</v>
      </c>
      <c r="Y466" s="100" t="str">
        <f t="shared" si="58"/>
        <v xml:space="preserve"> </v>
      </c>
      <c r="Z466" s="100" t="str">
        <f t="shared" si="59"/>
        <v xml:space="preserve"> </v>
      </c>
    </row>
    <row r="467" spans="1:26">
      <c r="A467" s="100"/>
      <c r="B467" s="108" t="str">
        <f>IFERROR(VLOOKUP(Tablo515[[#This Row],[ÜRÜN KODU]],YMKODLARI!$A$1:$K$363,2,0)," ")</f>
        <v xml:space="preserve"> </v>
      </c>
      <c r="C467" s="99"/>
      <c r="D467" s="100"/>
      <c r="E467" s="101"/>
      <c r="F467" s="101"/>
      <c r="G467" s="100" t="str">
        <f>IFERROR(VLOOKUP(Tablo515[[#This Row],[ÜRÜN KODU]],YMKODLARI!$A$1:$K$363,3,0)," ")</f>
        <v xml:space="preserve"> </v>
      </c>
      <c r="H467" s="100" t="str">
        <f>IFERROR(VLOOKUP(Tablo515[[#This Row],[ÜRÜN KODU]],YMKODLARI!$A$1:$K$363,4,0)," ")</f>
        <v xml:space="preserve"> </v>
      </c>
      <c r="I467" s="100"/>
      <c r="J467" s="100" t="str">
        <f>IFERROR(VLOOKUP(Tablo515[[#This Row],[ÜRÜN KODU]],YMKODLARI!$A$1:$K$363,9,0)," ")</f>
        <v xml:space="preserve"> </v>
      </c>
      <c r="K467" s="100" t="str">
        <f>IFERROR(VLOOKUP(Tablo515[[#This Row],[BOYA KODU]],Tablo14[#All],4,0)," ")</f>
        <v xml:space="preserve"> </v>
      </c>
      <c r="L467" s="100" t="str">
        <f>IFERROR(VLOOKUP(Tablo515[[#This Row],[BOYA KODU]],Tablo14[#All],6,0)," ")</f>
        <v xml:space="preserve"> </v>
      </c>
      <c r="M467" s="100" t="str">
        <f t="shared" si="53"/>
        <v xml:space="preserve"> </v>
      </c>
      <c r="N467" s="100" t="str">
        <f>IFERROR(VLOOKUP(Tablo515[[#This Row],[ÜRÜN KODU]],YMKODLARI!$A$1:$K$363,8,0)," ")</f>
        <v xml:space="preserve"> </v>
      </c>
      <c r="O467" s="100" t="str">
        <f>IFERROR(VLOOKUP(Tablo515[[#This Row],[HAMMADDE KODU]],Tablo1[#All],3,0)," ")</f>
        <v xml:space="preserve"> </v>
      </c>
      <c r="P467" s="100" t="str">
        <f>IFERROR(VLOOKUP(Tablo515[[#This Row],[HAMMADDE KODU]],Tablo1[#All],4,0)," ")</f>
        <v xml:space="preserve"> </v>
      </c>
      <c r="Q467" s="100" t="str">
        <f>IFERROR(VLOOKUP(Tablo515[[#This Row],[ÜRÜN KODU]],YMKODLARI!$A$1:$K$363,5,0)," ")</f>
        <v xml:space="preserve"> </v>
      </c>
      <c r="R467" s="100" t="str">
        <f>IFERROR(VLOOKUP(Tablo515[[#This Row],[ÜRÜN KODU]],YMKODLARI!$A$1:$K$363,6,0)," ")</f>
        <v xml:space="preserve"> </v>
      </c>
      <c r="S467" s="100" t="str">
        <f>IFERROR(Tablo515[[#This Row],[YOLLUK HARİÇ BASKI GRAMI]]/Tablo515[[#This Row],[KALIP GÖZ ADEDİ]]," ")</f>
        <v xml:space="preserve"> </v>
      </c>
      <c r="T467" s="100" t="str">
        <f t="shared" si="55"/>
        <v xml:space="preserve"> </v>
      </c>
      <c r="U467" s="100"/>
      <c r="V467" s="100" t="str">
        <f t="shared" si="54"/>
        <v xml:space="preserve"> </v>
      </c>
      <c r="W467" s="101">
        <f t="shared" si="56"/>
        <v>24</v>
      </c>
      <c r="X467" s="102">
        <f t="shared" si="57"/>
        <v>0</v>
      </c>
      <c r="Y467" s="100" t="str">
        <f t="shared" si="58"/>
        <v xml:space="preserve"> </v>
      </c>
      <c r="Z467" s="100" t="str">
        <f t="shared" si="59"/>
        <v xml:space="preserve"> </v>
      </c>
    </row>
    <row r="468" spans="1:26">
      <c r="A468" s="100"/>
      <c r="B468" s="108" t="str">
        <f>IFERROR(VLOOKUP(Tablo515[[#This Row],[ÜRÜN KODU]],YMKODLARI!$A$1:$K$363,2,0)," ")</f>
        <v xml:space="preserve"> </v>
      </c>
      <c r="C468" s="99"/>
      <c r="D468" s="100"/>
      <c r="E468" s="101"/>
      <c r="F468" s="101"/>
      <c r="G468" s="100" t="str">
        <f>IFERROR(VLOOKUP(Tablo515[[#This Row],[ÜRÜN KODU]],YMKODLARI!$A$1:$K$363,3,0)," ")</f>
        <v xml:space="preserve"> </v>
      </c>
      <c r="H468" s="100" t="str">
        <f>IFERROR(VLOOKUP(Tablo515[[#This Row],[ÜRÜN KODU]],YMKODLARI!$A$1:$K$363,4,0)," ")</f>
        <v xml:space="preserve"> </v>
      </c>
      <c r="I468" s="100"/>
      <c r="J468" s="100" t="str">
        <f>IFERROR(VLOOKUP(Tablo515[[#This Row],[ÜRÜN KODU]],YMKODLARI!$A$1:$K$363,9,0)," ")</f>
        <v xml:space="preserve"> </v>
      </c>
      <c r="K468" s="100" t="str">
        <f>IFERROR(VLOOKUP(Tablo515[[#This Row],[BOYA KODU]],Tablo14[#All],4,0)," ")</f>
        <v xml:space="preserve"> </v>
      </c>
      <c r="L468" s="100" t="str">
        <f>IFERROR(VLOOKUP(Tablo515[[#This Row],[BOYA KODU]],Tablo14[#All],6,0)," ")</f>
        <v xml:space="preserve"> </v>
      </c>
      <c r="M468" s="100" t="str">
        <f t="shared" si="53"/>
        <v xml:space="preserve"> </v>
      </c>
      <c r="N468" s="100" t="str">
        <f>IFERROR(VLOOKUP(Tablo515[[#This Row],[ÜRÜN KODU]],YMKODLARI!$A$1:$K$363,8,0)," ")</f>
        <v xml:space="preserve"> </v>
      </c>
      <c r="O468" s="100" t="str">
        <f>IFERROR(VLOOKUP(Tablo515[[#This Row],[HAMMADDE KODU]],Tablo1[#All],3,0)," ")</f>
        <v xml:space="preserve"> </v>
      </c>
      <c r="P468" s="100" t="str">
        <f>IFERROR(VLOOKUP(Tablo515[[#This Row],[HAMMADDE KODU]],Tablo1[#All],4,0)," ")</f>
        <v xml:space="preserve"> </v>
      </c>
      <c r="Q468" s="100" t="str">
        <f>IFERROR(VLOOKUP(Tablo515[[#This Row],[ÜRÜN KODU]],YMKODLARI!$A$1:$K$363,5,0)," ")</f>
        <v xml:space="preserve"> </v>
      </c>
      <c r="R468" s="100" t="str">
        <f>IFERROR(VLOOKUP(Tablo515[[#This Row],[ÜRÜN KODU]],YMKODLARI!$A$1:$K$363,6,0)," ")</f>
        <v xml:space="preserve"> </v>
      </c>
      <c r="S468" s="100" t="str">
        <f>IFERROR(Tablo515[[#This Row],[YOLLUK HARİÇ BASKI GRAMI]]/Tablo515[[#This Row],[KALIP GÖZ ADEDİ]]," ")</f>
        <v xml:space="preserve"> </v>
      </c>
      <c r="T468" s="100" t="str">
        <f t="shared" si="55"/>
        <v xml:space="preserve"> </v>
      </c>
      <c r="U468" s="100"/>
      <c r="V468" s="100" t="str">
        <f t="shared" si="54"/>
        <v xml:space="preserve"> </v>
      </c>
      <c r="W468" s="101">
        <f t="shared" si="56"/>
        <v>24</v>
      </c>
      <c r="X468" s="102">
        <f t="shared" si="57"/>
        <v>0</v>
      </c>
      <c r="Y468" s="100" t="str">
        <f t="shared" si="58"/>
        <v xml:space="preserve"> </v>
      </c>
      <c r="Z468" s="100" t="str">
        <f t="shared" si="59"/>
        <v xml:space="preserve"> </v>
      </c>
    </row>
    <row r="469" spans="1:26">
      <c r="A469" s="100"/>
      <c r="B469" s="108" t="str">
        <f>IFERROR(VLOOKUP(Tablo515[[#This Row],[ÜRÜN KODU]],YMKODLARI!$A$1:$K$363,2,0)," ")</f>
        <v xml:space="preserve"> </v>
      </c>
      <c r="C469" s="99"/>
      <c r="D469" s="100"/>
      <c r="E469" s="101"/>
      <c r="F469" s="101"/>
      <c r="G469" s="100" t="str">
        <f>IFERROR(VLOOKUP(Tablo515[[#This Row],[ÜRÜN KODU]],YMKODLARI!$A$1:$K$363,3,0)," ")</f>
        <v xml:space="preserve"> </v>
      </c>
      <c r="H469" s="100" t="str">
        <f>IFERROR(VLOOKUP(Tablo515[[#This Row],[ÜRÜN KODU]],YMKODLARI!$A$1:$K$363,4,0)," ")</f>
        <v xml:space="preserve"> </v>
      </c>
      <c r="I469" s="100"/>
      <c r="J469" s="100" t="str">
        <f>IFERROR(VLOOKUP(Tablo515[[#This Row],[ÜRÜN KODU]],YMKODLARI!$A$1:$K$363,9,0)," ")</f>
        <v xml:space="preserve"> </v>
      </c>
      <c r="K469" s="100" t="str">
        <f>IFERROR(VLOOKUP(Tablo515[[#This Row],[BOYA KODU]],Tablo14[#All],4,0)," ")</f>
        <v xml:space="preserve"> </v>
      </c>
      <c r="L469" s="100" t="str">
        <f>IFERROR(VLOOKUP(Tablo515[[#This Row],[BOYA KODU]],Tablo14[#All],6,0)," ")</f>
        <v xml:space="preserve"> </v>
      </c>
      <c r="M469" s="100" t="str">
        <f t="shared" si="53"/>
        <v xml:space="preserve"> </v>
      </c>
      <c r="N469" s="100" t="str">
        <f>IFERROR(VLOOKUP(Tablo515[[#This Row],[ÜRÜN KODU]],YMKODLARI!$A$1:$K$363,8,0)," ")</f>
        <v xml:space="preserve"> </v>
      </c>
      <c r="O469" s="100" t="str">
        <f>IFERROR(VLOOKUP(Tablo515[[#This Row],[HAMMADDE KODU]],Tablo1[#All],3,0)," ")</f>
        <v xml:space="preserve"> </v>
      </c>
      <c r="P469" s="100" t="str">
        <f>IFERROR(VLOOKUP(Tablo515[[#This Row],[HAMMADDE KODU]],Tablo1[#All],4,0)," ")</f>
        <v xml:space="preserve"> </v>
      </c>
      <c r="Q469" s="100" t="str">
        <f>IFERROR(VLOOKUP(Tablo515[[#This Row],[ÜRÜN KODU]],YMKODLARI!$A$1:$K$363,5,0)," ")</f>
        <v xml:space="preserve"> </v>
      </c>
      <c r="R469" s="100" t="str">
        <f>IFERROR(VLOOKUP(Tablo515[[#This Row],[ÜRÜN KODU]],YMKODLARI!$A$1:$K$363,6,0)," ")</f>
        <v xml:space="preserve"> </v>
      </c>
      <c r="S469" s="100" t="str">
        <f>IFERROR(Tablo515[[#This Row],[YOLLUK HARİÇ BASKI GRAMI]]/Tablo515[[#This Row],[KALIP GÖZ ADEDİ]]," ")</f>
        <v xml:space="preserve"> </v>
      </c>
      <c r="T469" s="100" t="str">
        <f t="shared" si="55"/>
        <v xml:space="preserve"> </v>
      </c>
      <c r="U469" s="100"/>
      <c r="V469" s="100" t="str">
        <f t="shared" si="54"/>
        <v xml:space="preserve"> </v>
      </c>
      <c r="W469" s="101">
        <f t="shared" si="56"/>
        <v>24</v>
      </c>
      <c r="X469" s="102">
        <f t="shared" si="57"/>
        <v>0</v>
      </c>
      <c r="Y469" s="100" t="str">
        <f t="shared" si="58"/>
        <v xml:space="preserve"> </v>
      </c>
      <c r="Z469" s="100" t="str">
        <f t="shared" si="59"/>
        <v xml:space="preserve"> </v>
      </c>
    </row>
    <row r="470" spans="1:26">
      <c r="A470" s="100"/>
      <c r="B470" s="108" t="str">
        <f>IFERROR(VLOOKUP(Tablo515[[#This Row],[ÜRÜN KODU]],YMKODLARI!$A$1:$K$363,2,0)," ")</f>
        <v xml:space="preserve"> </v>
      </c>
      <c r="C470" s="99"/>
      <c r="D470" s="100"/>
      <c r="E470" s="101"/>
      <c r="F470" s="101"/>
      <c r="G470" s="100" t="str">
        <f>IFERROR(VLOOKUP(Tablo515[[#This Row],[ÜRÜN KODU]],YMKODLARI!$A$1:$K$363,3,0)," ")</f>
        <v xml:space="preserve"> </v>
      </c>
      <c r="H470" s="100" t="str">
        <f>IFERROR(VLOOKUP(Tablo515[[#This Row],[ÜRÜN KODU]],YMKODLARI!$A$1:$K$363,4,0)," ")</f>
        <v xml:space="preserve"> </v>
      </c>
      <c r="I470" s="100"/>
      <c r="J470" s="100" t="str">
        <f>IFERROR(VLOOKUP(Tablo515[[#This Row],[ÜRÜN KODU]],YMKODLARI!$A$1:$K$363,9,0)," ")</f>
        <v xml:space="preserve"> </v>
      </c>
      <c r="K470" s="100" t="str">
        <f>IFERROR(VLOOKUP(Tablo515[[#This Row],[BOYA KODU]],Tablo14[#All],4,0)," ")</f>
        <v xml:space="preserve"> </v>
      </c>
      <c r="L470" s="100" t="str">
        <f>IFERROR(VLOOKUP(Tablo515[[#This Row],[BOYA KODU]],Tablo14[#All],6,0)," ")</f>
        <v xml:space="preserve"> </v>
      </c>
      <c r="M470" s="100" t="str">
        <f t="shared" si="53"/>
        <v xml:space="preserve"> </v>
      </c>
      <c r="N470" s="100" t="str">
        <f>IFERROR(VLOOKUP(Tablo515[[#This Row],[ÜRÜN KODU]],YMKODLARI!$A$1:$K$363,8,0)," ")</f>
        <v xml:space="preserve"> </v>
      </c>
      <c r="O470" s="100" t="str">
        <f>IFERROR(VLOOKUP(Tablo515[[#This Row],[HAMMADDE KODU]],Tablo1[#All],3,0)," ")</f>
        <v xml:space="preserve"> </v>
      </c>
      <c r="P470" s="100" t="str">
        <f>IFERROR(VLOOKUP(Tablo515[[#This Row],[HAMMADDE KODU]],Tablo1[#All],4,0)," ")</f>
        <v xml:space="preserve"> </v>
      </c>
      <c r="Q470" s="100" t="str">
        <f>IFERROR(VLOOKUP(Tablo515[[#This Row],[ÜRÜN KODU]],YMKODLARI!$A$1:$K$363,5,0)," ")</f>
        <v xml:space="preserve"> </v>
      </c>
      <c r="R470" s="100" t="str">
        <f>IFERROR(VLOOKUP(Tablo515[[#This Row],[ÜRÜN KODU]],YMKODLARI!$A$1:$K$363,6,0)," ")</f>
        <v xml:space="preserve"> </v>
      </c>
      <c r="S470" s="100" t="str">
        <f>IFERROR(Tablo515[[#This Row],[YOLLUK HARİÇ BASKI GRAMI]]/Tablo515[[#This Row],[KALIP GÖZ ADEDİ]]," ")</f>
        <v xml:space="preserve"> </v>
      </c>
      <c r="T470" s="100" t="str">
        <f t="shared" si="55"/>
        <v xml:space="preserve"> </v>
      </c>
      <c r="U470" s="100"/>
      <c r="V470" s="100" t="str">
        <f t="shared" si="54"/>
        <v xml:space="preserve"> </v>
      </c>
      <c r="W470" s="101">
        <f t="shared" si="56"/>
        <v>24</v>
      </c>
      <c r="X470" s="102">
        <f t="shared" si="57"/>
        <v>0</v>
      </c>
      <c r="Y470" s="100" t="str">
        <f t="shared" si="58"/>
        <v xml:space="preserve"> </v>
      </c>
      <c r="Z470" s="100" t="str">
        <f t="shared" si="59"/>
        <v xml:space="preserve"> </v>
      </c>
    </row>
    <row r="471" spans="1:26">
      <c r="A471" s="100"/>
      <c r="B471" s="108" t="str">
        <f>IFERROR(VLOOKUP(Tablo515[[#This Row],[ÜRÜN KODU]],YMKODLARI!$A$1:$K$363,2,0)," ")</f>
        <v xml:space="preserve"> </v>
      </c>
      <c r="C471" s="99"/>
      <c r="D471" s="100"/>
      <c r="E471" s="101"/>
      <c r="F471" s="101"/>
      <c r="G471" s="100" t="str">
        <f>IFERROR(VLOOKUP(Tablo515[[#This Row],[ÜRÜN KODU]],YMKODLARI!$A$1:$K$363,3,0)," ")</f>
        <v xml:space="preserve"> </v>
      </c>
      <c r="H471" s="100" t="str">
        <f>IFERROR(VLOOKUP(Tablo515[[#This Row],[ÜRÜN KODU]],YMKODLARI!$A$1:$K$363,4,0)," ")</f>
        <v xml:space="preserve"> </v>
      </c>
      <c r="I471" s="100"/>
      <c r="J471" s="100" t="str">
        <f>IFERROR(VLOOKUP(Tablo515[[#This Row],[ÜRÜN KODU]],YMKODLARI!$A$1:$K$363,9,0)," ")</f>
        <v xml:space="preserve"> </v>
      </c>
      <c r="K471" s="100" t="str">
        <f>IFERROR(VLOOKUP(Tablo515[[#This Row],[BOYA KODU]],Tablo14[#All],4,0)," ")</f>
        <v xml:space="preserve"> </v>
      </c>
      <c r="L471" s="100" t="str">
        <f>IFERROR(VLOOKUP(Tablo515[[#This Row],[BOYA KODU]],Tablo14[#All],6,0)," ")</f>
        <v xml:space="preserve"> </v>
      </c>
      <c r="M471" s="100" t="str">
        <f t="shared" si="53"/>
        <v xml:space="preserve"> </v>
      </c>
      <c r="N471" s="100" t="str">
        <f>IFERROR(VLOOKUP(Tablo515[[#This Row],[ÜRÜN KODU]],YMKODLARI!$A$1:$K$363,8,0)," ")</f>
        <v xml:space="preserve"> </v>
      </c>
      <c r="O471" s="100" t="str">
        <f>IFERROR(VLOOKUP(Tablo515[[#This Row],[HAMMADDE KODU]],Tablo1[#All],3,0)," ")</f>
        <v xml:space="preserve"> </v>
      </c>
      <c r="P471" s="100" t="str">
        <f>IFERROR(VLOOKUP(Tablo515[[#This Row],[HAMMADDE KODU]],Tablo1[#All],4,0)," ")</f>
        <v xml:space="preserve"> </v>
      </c>
      <c r="Q471" s="100" t="str">
        <f>IFERROR(VLOOKUP(Tablo515[[#This Row],[ÜRÜN KODU]],YMKODLARI!$A$1:$K$363,5,0)," ")</f>
        <v xml:space="preserve"> </v>
      </c>
      <c r="R471" s="100" t="str">
        <f>IFERROR(VLOOKUP(Tablo515[[#This Row],[ÜRÜN KODU]],YMKODLARI!$A$1:$K$363,6,0)," ")</f>
        <v xml:space="preserve"> </v>
      </c>
      <c r="S471" s="100" t="str">
        <f>IFERROR(Tablo515[[#This Row],[YOLLUK HARİÇ BASKI GRAMI]]/Tablo515[[#This Row],[KALIP GÖZ ADEDİ]]," ")</f>
        <v xml:space="preserve"> </v>
      </c>
      <c r="T471" s="100" t="str">
        <f t="shared" si="55"/>
        <v xml:space="preserve"> </v>
      </c>
      <c r="U471" s="100"/>
      <c r="V471" s="100" t="str">
        <f t="shared" si="54"/>
        <v xml:space="preserve"> </v>
      </c>
      <c r="W471" s="101">
        <f t="shared" si="56"/>
        <v>24</v>
      </c>
      <c r="X471" s="102">
        <f t="shared" si="57"/>
        <v>0</v>
      </c>
      <c r="Y471" s="100" t="str">
        <f t="shared" si="58"/>
        <v xml:space="preserve"> </v>
      </c>
      <c r="Z471" s="100" t="str">
        <f t="shared" si="59"/>
        <v xml:space="preserve"> </v>
      </c>
    </row>
    <row r="472" spans="1:26">
      <c r="A472" s="100"/>
      <c r="B472" s="108" t="str">
        <f>IFERROR(VLOOKUP(Tablo515[[#This Row],[ÜRÜN KODU]],YMKODLARI!$A$1:$K$363,2,0)," ")</f>
        <v xml:space="preserve"> </v>
      </c>
      <c r="C472" s="99"/>
      <c r="D472" s="100"/>
      <c r="E472" s="101"/>
      <c r="F472" s="101"/>
      <c r="G472" s="100" t="str">
        <f>IFERROR(VLOOKUP(Tablo515[[#This Row],[ÜRÜN KODU]],YMKODLARI!$A$1:$K$363,3,0)," ")</f>
        <v xml:space="preserve"> </v>
      </c>
      <c r="H472" s="100" t="str">
        <f>IFERROR(VLOOKUP(Tablo515[[#This Row],[ÜRÜN KODU]],YMKODLARI!$A$1:$K$363,4,0)," ")</f>
        <v xml:space="preserve"> </v>
      </c>
      <c r="I472" s="100"/>
      <c r="J472" s="100" t="str">
        <f>IFERROR(VLOOKUP(Tablo515[[#This Row],[ÜRÜN KODU]],YMKODLARI!$A$1:$K$363,9,0)," ")</f>
        <v xml:space="preserve"> </v>
      </c>
      <c r="K472" s="100" t="str">
        <f>IFERROR(VLOOKUP(Tablo515[[#This Row],[BOYA KODU]],Tablo14[#All],4,0)," ")</f>
        <v xml:space="preserve"> </v>
      </c>
      <c r="L472" s="100" t="str">
        <f>IFERROR(VLOOKUP(Tablo515[[#This Row],[BOYA KODU]],Tablo14[#All],6,0)," ")</f>
        <v xml:space="preserve"> </v>
      </c>
      <c r="M472" s="100" t="str">
        <f t="shared" si="53"/>
        <v xml:space="preserve"> </v>
      </c>
      <c r="N472" s="100" t="str">
        <f>IFERROR(VLOOKUP(Tablo515[[#This Row],[ÜRÜN KODU]],YMKODLARI!$A$1:$K$363,8,0)," ")</f>
        <v xml:space="preserve"> </v>
      </c>
      <c r="O472" s="100" t="str">
        <f>IFERROR(VLOOKUP(Tablo515[[#This Row],[HAMMADDE KODU]],Tablo1[#All],3,0)," ")</f>
        <v xml:space="preserve"> </v>
      </c>
      <c r="P472" s="100" t="str">
        <f>IFERROR(VLOOKUP(Tablo515[[#This Row],[HAMMADDE KODU]],Tablo1[#All],4,0)," ")</f>
        <v xml:space="preserve"> </v>
      </c>
      <c r="Q472" s="100" t="str">
        <f>IFERROR(VLOOKUP(Tablo515[[#This Row],[ÜRÜN KODU]],YMKODLARI!$A$1:$K$363,5,0)," ")</f>
        <v xml:space="preserve"> </v>
      </c>
      <c r="R472" s="100" t="str">
        <f>IFERROR(VLOOKUP(Tablo515[[#This Row],[ÜRÜN KODU]],YMKODLARI!$A$1:$K$363,6,0)," ")</f>
        <v xml:space="preserve"> </v>
      </c>
      <c r="S472" s="100" t="str">
        <f>IFERROR(Tablo515[[#This Row],[YOLLUK HARİÇ BASKI GRAMI]]/Tablo515[[#This Row],[KALIP GÖZ ADEDİ]]," ")</f>
        <v xml:space="preserve"> </v>
      </c>
      <c r="T472" s="100" t="str">
        <f t="shared" si="55"/>
        <v xml:space="preserve"> </v>
      </c>
      <c r="U472" s="100"/>
      <c r="V472" s="100" t="str">
        <f t="shared" si="54"/>
        <v xml:space="preserve"> </v>
      </c>
      <c r="W472" s="101">
        <f t="shared" si="56"/>
        <v>24</v>
      </c>
      <c r="X472" s="102">
        <f t="shared" si="57"/>
        <v>0</v>
      </c>
      <c r="Y472" s="100" t="str">
        <f t="shared" si="58"/>
        <v xml:space="preserve"> </v>
      </c>
      <c r="Z472" s="100" t="str">
        <f t="shared" si="59"/>
        <v xml:space="preserve"> </v>
      </c>
    </row>
    <row r="473" spans="1:26">
      <c r="A473" s="100"/>
      <c r="B473" s="108" t="str">
        <f>IFERROR(VLOOKUP(Tablo515[[#This Row],[ÜRÜN KODU]],YMKODLARI!$A$1:$K$363,2,0)," ")</f>
        <v xml:space="preserve"> </v>
      </c>
      <c r="C473" s="99"/>
      <c r="D473" s="100"/>
      <c r="E473" s="101"/>
      <c r="F473" s="101"/>
      <c r="G473" s="100" t="str">
        <f>IFERROR(VLOOKUP(Tablo515[[#This Row],[ÜRÜN KODU]],YMKODLARI!$A$1:$K$363,3,0)," ")</f>
        <v xml:space="preserve"> </v>
      </c>
      <c r="H473" s="100" t="str">
        <f>IFERROR(VLOOKUP(Tablo515[[#This Row],[ÜRÜN KODU]],YMKODLARI!$A$1:$K$363,4,0)," ")</f>
        <v xml:space="preserve"> </v>
      </c>
      <c r="I473" s="100"/>
      <c r="J473" s="100" t="str">
        <f>IFERROR(VLOOKUP(Tablo515[[#This Row],[ÜRÜN KODU]],YMKODLARI!$A$1:$K$363,9,0)," ")</f>
        <v xml:space="preserve"> </v>
      </c>
      <c r="K473" s="100" t="str">
        <f>IFERROR(VLOOKUP(Tablo515[[#This Row],[BOYA KODU]],Tablo14[#All],4,0)," ")</f>
        <v xml:space="preserve"> </v>
      </c>
      <c r="L473" s="100" t="str">
        <f>IFERROR(VLOOKUP(Tablo515[[#This Row],[BOYA KODU]],Tablo14[#All],6,0)," ")</f>
        <v xml:space="preserve"> </v>
      </c>
      <c r="M473" s="100" t="str">
        <f t="shared" si="53"/>
        <v xml:space="preserve"> </v>
      </c>
      <c r="N473" s="100" t="str">
        <f>IFERROR(VLOOKUP(Tablo515[[#This Row],[ÜRÜN KODU]],YMKODLARI!$A$1:$K$363,8,0)," ")</f>
        <v xml:space="preserve"> </v>
      </c>
      <c r="O473" s="100" t="str">
        <f>IFERROR(VLOOKUP(Tablo515[[#This Row],[HAMMADDE KODU]],Tablo1[#All],3,0)," ")</f>
        <v xml:space="preserve"> </v>
      </c>
      <c r="P473" s="100" t="str">
        <f>IFERROR(VLOOKUP(Tablo515[[#This Row],[HAMMADDE KODU]],Tablo1[#All],4,0)," ")</f>
        <v xml:space="preserve"> </v>
      </c>
      <c r="Q473" s="100" t="str">
        <f>IFERROR(VLOOKUP(Tablo515[[#This Row],[ÜRÜN KODU]],YMKODLARI!$A$1:$K$363,5,0)," ")</f>
        <v xml:space="preserve"> </v>
      </c>
      <c r="R473" s="100" t="str">
        <f>IFERROR(VLOOKUP(Tablo515[[#This Row],[ÜRÜN KODU]],YMKODLARI!$A$1:$K$363,6,0)," ")</f>
        <v xml:space="preserve"> </v>
      </c>
      <c r="S473" s="100" t="str">
        <f>IFERROR(Tablo515[[#This Row],[YOLLUK HARİÇ BASKI GRAMI]]/Tablo515[[#This Row],[KALIP GÖZ ADEDİ]]," ")</f>
        <v xml:space="preserve"> </v>
      </c>
      <c r="T473" s="100" t="str">
        <f t="shared" si="55"/>
        <v xml:space="preserve"> </v>
      </c>
      <c r="U473" s="100"/>
      <c r="V473" s="100" t="str">
        <f t="shared" si="54"/>
        <v xml:space="preserve"> </v>
      </c>
      <c r="W473" s="101">
        <f t="shared" si="56"/>
        <v>24</v>
      </c>
      <c r="X473" s="102">
        <f t="shared" si="57"/>
        <v>0</v>
      </c>
      <c r="Y473" s="100" t="str">
        <f t="shared" si="58"/>
        <v xml:space="preserve"> </v>
      </c>
      <c r="Z473" s="100" t="str">
        <f t="shared" si="59"/>
        <v xml:space="preserve"> </v>
      </c>
    </row>
    <row r="474" spans="1:26">
      <c r="A474" s="100"/>
      <c r="B474" s="108" t="str">
        <f>IFERROR(VLOOKUP(Tablo515[[#This Row],[ÜRÜN KODU]],YMKODLARI!$A$1:$K$363,2,0)," ")</f>
        <v xml:space="preserve"> </v>
      </c>
      <c r="C474" s="99"/>
      <c r="D474" s="100"/>
      <c r="E474" s="101"/>
      <c r="F474" s="101"/>
      <c r="G474" s="100" t="str">
        <f>IFERROR(VLOOKUP(Tablo515[[#This Row],[ÜRÜN KODU]],YMKODLARI!$A$1:$K$363,3,0)," ")</f>
        <v xml:space="preserve"> </v>
      </c>
      <c r="H474" s="100" t="str">
        <f>IFERROR(VLOOKUP(Tablo515[[#This Row],[ÜRÜN KODU]],YMKODLARI!$A$1:$K$363,4,0)," ")</f>
        <v xml:space="preserve"> </v>
      </c>
      <c r="I474" s="100"/>
      <c r="J474" s="100" t="str">
        <f>IFERROR(VLOOKUP(Tablo515[[#This Row],[ÜRÜN KODU]],YMKODLARI!$A$1:$K$363,9,0)," ")</f>
        <v xml:space="preserve"> </v>
      </c>
      <c r="K474" s="100" t="str">
        <f>IFERROR(VLOOKUP(Tablo515[[#This Row],[BOYA KODU]],Tablo14[#All],4,0)," ")</f>
        <v xml:space="preserve"> </v>
      </c>
      <c r="L474" s="100" t="str">
        <f>IFERROR(VLOOKUP(Tablo515[[#This Row],[BOYA KODU]],Tablo14[#All],6,0)," ")</f>
        <v xml:space="preserve"> </v>
      </c>
      <c r="M474" s="100" t="str">
        <f t="shared" si="53"/>
        <v xml:space="preserve"> </v>
      </c>
      <c r="N474" s="100" t="str">
        <f>IFERROR(VLOOKUP(Tablo515[[#This Row],[ÜRÜN KODU]],YMKODLARI!$A$1:$K$363,8,0)," ")</f>
        <v xml:space="preserve"> </v>
      </c>
      <c r="O474" s="100" t="str">
        <f>IFERROR(VLOOKUP(Tablo515[[#This Row],[HAMMADDE KODU]],Tablo1[#All],3,0)," ")</f>
        <v xml:space="preserve"> </v>
      </c>
      <c r="P474" s="100" t="str">
        <f>IFERROR(VLOOKUP(Tablo515[[#This Row],[HAMMADDE KODU]],Tablo1[#All],4,0)," ")</f>
        <v xml:space="preserve"> </v>
      </c>
      <c r="Q474" s="100" t="str">
        <f>IFERROR(VLOOKUP(Tablo515[[#This Row],[ÜRÜN KODU]],YMKODLARI!$A$1:$K$363,5,0)," ")</f>
        <v xml:space="preserve"> </v>
      </c>
      <c r="R474" s="100" t="str">
        <f>IFERROR(VLOOKUP(Tablo515[[#This Row],[ÜRÜN KODU]],YMKODLARI!$A$1:$K$363,6,0)," ")</f>
        <v xml:space="preserve"> </v>
      </c>
      <c r="S474" s="100" t="str">
        <f>IFERROR(Tablo515[[#This Row],[YOLLUK HARİÇ BASKI GRAMI]]/Tablo515[[#This Row],[KALIP GÖZ ADEDİ]]," ")</f>
        <v xml:space="preserve"> </v>
      </c>
      <c r="T474" s="100" t="str">
        <f t="shared" si="55"/>
        <v xml:space="preserve"> </v>
      </c>
      <c r="U474" s="100"/>
      <c r="V474" s="100" t="str">
        <f t="shared" si="54"/>
        <v xml:space="preserve"> </v>
      </c>
      <c r="W474" s="101">
        <f t="shared" si="56"/>
        <v>24</v>
      </c>
      <c r="X474" s="102">
        <f t="shared" si="57"/>
        <v>0</v>
      </c>
      <c r="Y474" s="100" t="str">
        <f t="shared" si="58"/>
        <v xml:space="preserve"> </v>
      </c>
      <c r="Z474" s="100" t="str">
        <f t="shared" si="59"/>
        <v xml:space="preserve"> </v>
      </c>
    </row>
    <row r="475" spans="1:26">
      <c r="A475" s="100"/>
      <c r="B475" s="108" t="str">
        <f>IFERROR(VLOOKUP(Tablo515[[#This Row],[ÜRÜN KODU]],YMKODLARI!$A$1:$K$363,2,0)," ")</f>
        <v xml:space="preserve"> </v>
      </c>
      <c r="C475" s="99"/>
      <c r="D475" s="100"/>
      <c r="E475" s="101"/>
      <c r="F475" s="101"/>
      <c r="G475" s="100" t="str">
        <f>IFERROR(VLOOKUP(Tablo515[[#This Row],[ÜRÜN KODU]],YMKODLARI!$A$1:$K$363,3,0)," ")</f>
        <v xml:space="preserve"> </v>
      </c>
      <c r="H475" s="100" t="str">
        <f>IFERROR(VLOOKUP(Tablo515[[#This Row],[ÜRÜN KODU]],YMKODLARI!$A$1:$K$363,4,0)," ")</f>
        <v xml:space="preserve"> </v>
      </c>
      <c r="I475" s="100"/>
      <c r="J475" s="100" t="str">
        <f>IFERROR(VLOOKUP(Tablo515[[#This Row],[ÜRÜN KODU]],YMKODLARI!$A$1:$K$363,9,0)," ")</f>
        <v xml:space="preserve"> </v>
      </c>
      <c r="K475" s="100" t="str">
        <f>IFERROR(VLOOKUP(Tablo515[[#This Row],[BOYA KODU]],Tablo14[#All],4,0)," ")</f>
        <v xml:space="preserve"> </v>
      </c>
      <c r="L475" s="100" t="str">
        <f>IFERROR(VLOOKUP(Tablo515[[#This Row],[BOYA KODU]],Tablo14[#All],6,0)," ")</f>
        <v xml:space="preserve"> </v>
      </c>
      <c r="M475" s="100" t="str">
        <f t="shared" si="53"/>
        <v xml:space="preserve"> </v>
      </c>
      <c r="N475" s="100" t="str">
        <f>IFERROR(VLOOKUP(Tablo515[[#This Row],[ÜRÜN KODU]],YMKODLARI!$A$1:$K$363,8,0)," ")</f>
        <v xml:space="preserve"> </v>
      </c>
      <c r="O475" s="100" t="str">
        <f>IFERROR(VLOOKUP(Tablo515[[#This Row],[HAMMADDE KODU]],Tablo1[#All],3,0)," ")</f>
        <v xml:space="preserve"> </v>
      </c>
      <c r="P475" s="100" t="str">
        <f>IFERROR(VLOOKUP(Tablo515[[#This Row],[HAMMADDE KODU]],Tablo1[#All],4,0)," ")</f>
        <v xml:space="preserve"> </v>
      </c>
      <c r="Q475" s="100" t="str">
        <f>IFERROR(VLOOKUP(Tablo515[[#This Row],[ÜRÜN KODU]],YMKODLARI!$A$1:$K$363,5,0)," ")</f>
        <v xml:space="preserve"> </v>
      </c>
      <c r="R475" s="100" t="str">
        <f>IFERROR(VLOOKUP(Tablo515[[#This Row],[ÜRÜN KODU]],YMKODLARI!$A$1:$K$363,6,0)," ")</f>
        <v xml:space="preserve"> </v>
      </c>
      <c r="S475" s="100" t="str">
        <f>IFERROR(Tablo515[[#This Row],[YOLLUK HARİÇ BASKI GRAMI]]/Tablo515[[#This Row],[KALIP GÖZ ADEDİ]]," ")</f>
        <v xml:space="preserve"> </v>
      </c>
      <c r="T475" s="100" t="str">
        <f t="shared" si="55"/>
        <v xml:space="preserve"> </v>
      </c>
      <c r="U475" s="100"/>
      <c r="V475" s="100" t="str">
        <f t="shared" si="54"/>
        <v xml:space="preserve"> </v>
      </c>
      <c r="W475" s="101">
        <f t="shared" si="56"/>
        <v>24</v>
      </c>
      <c r="X475" s="102">
        <f t="shared" si="57"/>
        <v>0</v>
      </c>
      <c r="Y475" s="100" t="str">
        <f t="shared" si="58"/>
        <v xml:space="preserve"> </v>
      </c>
      <c r="Z475" s="100" t="str">
        <f t="shared" si="59"/>
        <v xml:space="preserve"> </v>
      </c>
    </row>
    <row r="476" spans="1:26">
      <c r="A476" s="100"/>
      <c r="B476" s="108" t="str">
        <f>IFERROR(VLOOKUP(Tablo515[[#This Row],[ÜRÜN KODU]],YMKODLARI!$A$1:$K$363,2,0)," ")</f>
        <v xml:space="preserve"> </v>
      </c>
      <c r="C476" s="99"/>
      <c r="D476" s="100"/>
      <c r="E476" s="101"/>
      <c r="F476" s="101"/>
      <c r="G476" s="100" t="str">
        <f>IFERROR(VLOOKUP(Tablo515[[#This Row],[ÜRÜN KODU]],YMKODLARI!$A$1:$K$363,3,0)," ")</f>
        <v xml:space="preserve"> </v>
      </c>
      <c r="H476" s="100" t="str">
        <f>IFERROR(VLOOKUP(Tablo515[[#This Row],[ÜRÜN KODU]],YMKODLARI!$A$1:$K$363,4,0)," ")</f>
        <v xml:space="preserve"> </v>
      </c>
      <c r="I476" s="100"/>
      <c r="J476" s="100" t="str">
        <f>IFERROR(VLOOKUP(Tablo515[[#This Row],[ÜRÜN KODU]],YMKODLARI!$A$1:$K$363,9,0)," ")</f>
        <v xml:space="preserve"> </v>
      </c>
      <c r="K476" s="100" t="str">
        <f>IFERROR(VLOOKUP(Tablo515[[#This Row],[BOYA KODU]],Tablo14[#All],4,0)," ")</f>
        <v xml:space="preserve"> </v>
      </c>
      <c r="L476" s="100" t="str">
        <f>IFERROR(VLOOKUP(Tablo515[[#This Row],[BOYA KODU]],Tablo14[#All],6,0)," ")</f>
        <v xml:space="preserve"> </v>
      </c>
      <c r="M476" s="100" t="str">
        <f t="shared" si="53"/>
        <v xml:space="preserve"> </v>
      </c>
      <c r="N476" s="100" t="str">
        <f>IFERROR(VLOOKUP(Tablo515[[#This Row],[ÜRÜN KODU]],YMKODLARI!$A$1:$K$363,8,0)," ")</f>
        <v xml:space="preserve"> </v>
      </c>
      <c r="O476" s="100" t="str">
        <f>IFERROR(VLOOKUP(Tablo515[[#This Row],[HAMMADDE KODU]],Tablo1[#All],3,0)," ")</f>
        <v xml:space="preserve"> </v>
      </c>
      <c r="P476" s="100" t="str">
        <f>IFERROR(VLOOKUP(Tablo515[[#This Row],[HAMMADDE KODU]],Tablo1[#All],4,0)," ")</f>
        <v xml:space="preserve"> </v>
      </c>
      <c r="Q476" s="100" t="str">
        <f>IFERROR(VLOOKUP(Tablo515[[#This Row],[ÜRÜN KODU]],YMKODLARI!$A$1:$K$363,5,0)," ")</f>
        <v xml:space="preserve"> </v>
      </c>
      <c r="R476" s="100" t="str">
        <f>IFERROR(VLOOKUP(Tablo515[[#This Row],[ÜRÜN KODU]],YMKODLARI!$A$1:$K$363,6,0)," ")</f>
        <v xml:space="preserve"> </v>
      </c>
      <c r="S476" s="100" t="str">
        <f>IFERROR(Tablo515[[#This Row],[YOLLUK HARİÇ BASKI GRAMI]]/Tablo515[[#This Row],[KALIP GÖZ ADEDİ]]," ")</f>
        <v xml:space="preserve"> </v>
      </c>
      <c r="T476" s="100" t="str">
        <f t="shared" si="55"/>
        <v xml:space="preserve"> </v>
      </c>
      <c r="U476" s="100"/>
      <c r="V476" s="100" t="str">
        <f t="shared" si="54"/>
        <v xml:space="preserve"> </v>
      </c>
      <c r="W476" s="101">
        <f t="shared" si="56"/>
        <v>24</v>
      </c>
      <c r="X476" s="102">
        <f t="shared" si="57"/>
        <v>0</v>
      </c>
      <c r="Y476" s="100" t="str">
        <f t="shared" si="58"/>
        <v xml:space="preserve"> </v>
      </c>
      <c r="Z476" s="100" t="str">
        <f t="shared" si="59"/>
        <v xml:space="preserve"> </v>
      </c>
    </row>
    <row r="477" spans="1:26">
      <c r="A477" s="100"/>
      <c r="B477" s="108" t="str">
        <f>IFERROR(VLOOKUP(Tablo515[[#This Row],[ÜRÜN KODU]],YMKODLARI!$A$1:$K$363,2,0)," ")</f>
        <v xml:space="preserve"> </v>
      </c>
      <c r="C477" s="99"/>
      <c r="D477" s="100"/>
      <c r="E477" s="101"/>
      <c r="F477" s="101"/>
      <c r="G477" s="100" t="str">
        <f>IFERROR(VLOOKUP(Tablo515[[#This Row],[ÜRÜN KODU]],YMKODLARI!$A$1:$K$363,3,0)," ")</f>
        <v xml:space="preserve"> </v>
      </c>
      <c r="H477" s="100" t="str">
        <f>IFERROR(VLOOKUP(Tablo515[[#This Row],[ÜRÜN KODU]],YMKODLARI!$A$1:$K$363,4,0)," ")</f>
        <v xml:space="preserve"> </v>
      </c>
      <c r="I477" s="100"/>
      <c r="J477" s="100" t="str">
        <f>IFERROR(VLOOKUP(Tablo515[[#This Row],[ÜRÜN KODU]],YMKODLARI!$A$1:$K$363,9,0)," ")</f>
        <v xml:space="preserve"> </v>
      </c>
      <c r="K477" s="100" t="str">
        <f>IFERROR(VLOOKUP(Tablo515[[#This Row],[BOYA KODU]],Tablo14[#All],4,0)," ")</f>
        <v xml:space="preserve"> </v>
      </c>
      <c r="L477" s="100" t="str">
        <f>IFERROR(VLOOKUP(Tablo515[[#This Row],[BOYA KODU]],Tablo14[#All],6,0)," ")</f>
        <v xml:space="preserve"> </v>
      </c>
      <c r="M477" s="100" t="str">
        <f t="shared" si="53"/>
        <v xml:space="preserve"> </v>
      </c>
      <c r="N477" s="100" t="str">
        <f>IFERROR(VLOOKUP(Tablo515[[#This Row],[ÜRÜN KODU]],YMKODLARI!$A$1:$K$363,8,0)," ")</f>
        <v xml:space="preserve"> </v>
      </c>
      <c r="O477" s="100" t="str">
        <f>IFERROR(VLOOKUP(Tablo515[[#This Row],[HAMMADDE KODU]],Tablo1[#All],3,0)," ")</f>
        <v xml:space="preserve"> </v>
      </c>
      <c r="P477" s="100" t="str">
        <f>IFERROR(VLOOKUP(Tablo515[[#This Row],[HAMMADDE KODU]],Tablo1[#All],4,0)," ")</f>
        <v xml:space="preserve"> </v>
      </c>
      <c r="Q477" s="100" t="str">
        <f>IFERROR(VLOOKUP(Tablo515[[#This Row],[ÜRÜN KODU]],YMKODLARI!$A$1:$K$363,5,0)," ")</f>
        <v xml:space="preserve"> </v>
      </c>
      <c r="R477" s="100" t="str">
        <f>IFERROR(VLOOKUP(Tablo515[[#This Row],[ÜRÜN KODU]],YMKODLARI!$A$1:$K$363,6,0)," ")</f>
        <v xml:space="preserve"> </v>
      </c>
      <c r="S477" s="100" t="str">
        <f>IFERROR(Tablo515[[#This Row],[YOLLUK HARİÇ BASKI GRAMI]]/Tablo515[[#This Row],[KALIP GÖZ ADEDİ]]," ")</f>
        <v xml:space="preserve"> </v>
      </c>
      <c r="T477" s="100" t="str">
        <f t="shared" si="55"/>
        <v xml:space="preserve"> </v>
      </c>
      <c r="U477" s="100"/>
      <c r="V477" s="100" t="str">
        <f t="shared" si="54"/>
        <v xml:space="preserve"> </v>
      </c>
      <c r="W477" s="101">
        <f t="shared" si="56"/>
        <v>24</v>
      </c>
      <c r="X477" s="102">
        <f t="shared" si="57"/>
        <v>0</v>
      </c>
      <c r="Y477" s="100" t="str">
        <f t="shared" si="58"/>
        <v xml:space="preserve"> </v>
      </c>
      <c r="Z477" s="100" t="str">
        <f t="shared" si="59"/>
        <v xml:space="preserve"> </v>
      </c>
    </row>
    <row r="478" spans="1:26">
      <c r="A478" s="100"/>
      <c r="B478" s="108" t="str">
        <f>IFERROR(VLOOKUP(Tablo515[[#This Row],[ÜRÜN KODU]],YMKODLARI!$A$1:$K$363,2,0)," ")</f>
        <v xml:space="preserve"> </v>
      </c>
      <c r="C478" s="99"/>
      <c r="D478" s="100"/>
      <c r="E478" s="101"/>
      <c r="F478" s="101"/>
      <c r="G478" s="100" t="str">
        <f>IFERROR(VLOOKUP(Tablo515[[#This Row],[ÜRÜN KODU]],YMKODLARI!$A$1:$K$363,3,0)," ")</f>
        <v xml:space="preserve"> </v>
      </c>
      <c r="H478" s="100" t="str">
        <f>IFERROR(VLOOKUP(Tablo515[[#This Row],[ÜRÜN KODU]],YMKODLARI!$A$1:$K$363,4,0)," ")</f>
        <v xml:space="preserve"> </v>
      </c>
      <c r="I478" s="100"/>
      <c r="J478" s="100" t="str">
        <f>IFERROR(VLOOKUP(Tablo515[[#This Row],[ÜRÜN KODU]],YMKODLARI!$A$1:$K$363,9,0)," ")</f>
        <v xml:space="preserve"> </v>
      </c>
      <c r="K478" s="100" t="str">
        <f>IFERROR(VLOOKUP(Tablo515[[#This Row],[BOYA KODU]],Tablo14[#All],4,0)," ")</f>
        <v xml:space="preserve"> </v>
      </c>
      <c r="L478" s="100" t="str">
        <f>IFERROR(VLOOKUP(Tablo515[[#This Row],[BOYA KODU]],Tablo14[#All],6,0)," ")</f>
        <v xml:space="preserve"> </v>
      </c>
      <c r="M478" s="100" t="str">
        <f t="shared" si="53"/>
        <v xml:space="preserve"> </v>
      </c>
      <c r="N478" s="100" t="str">
        <f>IFERROR(VLOOKUP(Tablo515[[#This Row],[ÜRÜN KODU]],YMKODLARI!$A$1:$K$363,8,0)," ")</f>
        <v xml:space="preserve"> </v>
      </c>
      <c r="O478" s="100" t="str">
        <f>IFERROR(VLOOKUP(Tablo515[[#This Row],[HAMMADDE KODU]],Tablo1[#All],3,0)," ")</f>
        <v xml:space="preserve"> </v>
      </c>
      <c r="P478" s="100" t="str">
        <f>IFERROR(VLOOKUP(Tablo515[[#This Row],[HAMMADDE KODU]],Tablo1[#All],4,0)," ")</f>
        <v xml:space="preserve"> </v>
      </c>
      <c r="Q478" s="100" t="str">
        <f>IFERROR(VLOOKUP(Tablo515[[#This Row],[ÜRÜN KODU]],YMKODLARI!$A$1:$K$363,5,0)," ")</f>
        <v xml:space="preserve"> </v>
      </c>
      <c r="R478" s="100" t="str">
        <f>IFERROR(VLOOKUP(Tablo515[[#This Row],[ÜRÜN KODU]],YMKODLARI!$A$1:$K$363,6,0)," ")</f>
        <v xml:space="preserve"> </v>
      </c>
      <c r="S478" s="100" t="str">
        <f>IFERROR(Tablo515[[#This Row],[YOLLUK HARİÇ BASKI GRAMI]]/Tablo515[[#This Row],[KALIP GÖZ ADEDİ]]," ")</f>
        <v xml:space="preserve"> </v>
      </c>
      <c r="T478" s="100" t="str">
        <f t="shared" si="55"/>
        <v xml:space="preserve"> </v>
      </c>
      <c r="U478" s="100"/>
      <c r="V478" s="100" t="str">
        <f t="shared" si="54"/>
        <v xml:space="preserve"> </v>
      </c>
      <c r="W478" s="101">
        <f t="shared" si="56"/>
        <v>24</v>
      </c>
      <c r="X478" s="102">
        <f t="shared" si="57"/>
        <v>0</v>
      </c>
      <c r="Y478" s="100" t="str">
        <f t="shared" si="58"/>
        <v xml:space="preserve"> </v>
      </c>
      <c r="Z478" s="100" t="str">
        <f t="shared" si="59"/>
        <v xml:space="preserve"> </v>
      </c>
    </row>
    <row r="479" spans="1:26">
      <c r="A479" s="100"/>
      <c r="B479" s="108" t="str">
        <f>IFERROR(VLOOKUP(Tablo515[[#This Row],[ÜRÜN KODU]],YMKODLARI!$A$1:$K$363,2,0)," ")</f>
        <v xml:space="preserve"> </v>
      </c>
      <c r="C479" s="99"/>
      <c r="D479" s="100"/>
      <c r="E479" s="101"/>
      <c r="F479" s="101"/>
      <c r="G479" s="100" t="str">
        <f>IFERROR(VLOOKUP(Tablo515[[#This Row],[ÜRÜN KODU]],YMKODLARI!$A$1:$K$363,3,0)," ")</f>
        <v xml:space="preserve"> </v>
      </c>
      <c r="H479" s="100" t="str">
        <f>IFERROR(VLOOKUP(Tablo515[[#This Row],[ÜRÜN KODU]],YMKODLARI!$A$1:$K$363,4,0)," ")</f>
        <v xml:space="preserve"> </v>
      </c>
      <c r="I479" s="100"/>
      <c r="J479" s="100" t="str">
        <f>IFERROR(VLOOKUP(Tablo515[[#This Row],[ÜRÜN KODU]],YMKODLARI!$A$1:$K$363,9,0)," ")</f>
        <v xml:space="preserve"> </v>
      </c>
      <c r="K479" s="100" t="str">
        <f>IFERROR(VLOOKUP(Tablo515[[#This Row],[BOYA KODU]],Tablo14[#All],4,0)," ")</f>
        <v xml:space="preserve"> </v>
      </c>
      <c r="L479" s="100" t="str">
        <f>IFERROR(VLOOKUP(Tablo515[[#This Row],[BOYA KODU]],Tablo14[#All],6,0)," ")</f>
        <v xml:space="preserve"> </v>
      </c>
      <c r="M479" s="100" t="str">
        <f t="shared" si="53"/>
        <v xml:space="preserve"> </v>
      </c>
      <c r="N479" s="100" t="str">
        <f>IFERROR(VLOOKUP(Tablo515[[#This Row],[ÜRÜN KODU]],YMKODLARI!$A$1:$K$363,8,0)," ")</f>
        <v xml:space="preserve"> </v>
      </c>
      <c r="O479" s="100" t="str">
        <f>IFERROR(VLOOKUP(Tablo515[[#This Row],[HAMMADDE KODU]],Tablo1[#All],3,0)," ")</f>
        <v xml:space="preserve"> </v>
      </c>
      <c r="P479" s="100" t="str">
        <f>IFERROR(VLOOKUP(Tablo515[[#This Row],[HAMMADDE KODU]],Tablo1[#All],4,0)," ")</f>
        <v xml:space="preserve"> </v>
      </c>
      <c r="Q479" s="100" t="str">
        <f>IFERROR(VLOOKUP(Tablo515[[#This Row],[ÜRÜN KODU]],YMKODLARI!$A$1:$K$363,5,0)," ")</f>
        <v xml:space="preserve"> </v>
      </c>
      <c r="R479" s="100" t="str">
        <f>IFERROR(VLOOKUP(Tablo515[[#This Row],[ÜRÜN KODU]],YMKODLARI!$A$1:$K$363,6,0)," ")</f>
        <v xml:space="preserve"> </v>
      </c>
      <c r="S479" s="100" t="str">
        <f>IFERROR(Tablo515[[#This Row],[YOLLUK HARİÇ BASKI GRAMI]]/Tablo515[[#This Row],[KALIP GÖZ ADEDİ]]," ")</f>
        <v xml:space="preserve"> </v>
      </c>
      <c r="T479" s="100" t="str">
        <f t="shared" si="55"/>
        <v xml:space="preserve"> </v>
      </c>
      <c r="U479" s="100"/>
      <c r="V479" s="100" t="str">
        <f t="shared" si="54"/>
        <v xml:space="preserve"> </v>
      </c>
      <c r="W479" s="101">
        <f t="shared" si="56"/>
        <v>24</v>
      </c>
      <c r="X479" s="102">
        <f t="shared" si="57"/>
        <v>0</v>
      </c>
      <c r="Y479" s="100" t="str">
        <f t="shared" si="58"/>
        <v xml:space="preserve"> </v>
      </c>
      <c r="Z479" s="100" t="str">
        <f t="shared" si="59"/>
        <v xml:space="preserve"> </v>
      </c>
    </row>
    <row r="480" spans="1:26">
      <c r="A480" s="100"/>
      <c r="B480" s="108" t="str">
        <f>IFERROR(VLOOKUP(Tablo515[[#This Row],[ÜRÜN KODU]],YMKODLARI!$A$1:$K$363,2,0)," ")</f>
        <v xml:space="preserve"> </v>
      </c>
      <c r="C480" s="99"/>
      <c r="D480" s="100"/>
      <c r="E480" s="101"/>
      <c r="F480" s="101"/>
      <c r="G480" s="100" t="str">
        <f>IFERROR(VLOOKUP(Tablo515[[#This Row],[ÜRÜN KODU]],YMKODLARI!$A$1:$K$363,3,0)," ")</f>
        <v xml:space="preserve"> </v>
      </c>
      <c r="H480" s="100" t="str">
        <f>IFERROR(VLOOKUP(Tablo515[[#This Row],[ÜRÜN KODU]],YMKODLARI!$A$1:$K$363,4,0)," ")</f>
        <v xml:space="preserve"> </v>
      </c>
      <c r="I480" s="100"/>
      <c r="J480" s="100" t="str">
        <f>IFERROR(VLOOKUP(Tablo515[[#This Row],[ÜRÜN KODU]],YMKODLARI!$A$1:$K$363,9,0)," ")</f>
        <v xml:space="preserve"> </v>
      </c>
      <c r="K480" s="100" t="str">
        <f>IFERROR(VLOOKUP(Tablo515[[#This Row],[BOYA KODU]],Tablo14[#All],4,0)," ")</f>
        <v xml:space="preserve"> </v>
      </c>
      <c r="L480" s="100" t="str">
        <f>IFERROR(VLOOKUP(Tablo515[[#This Row],[BOYA KODU]],Tablo14[#All],6,0)," ")</f>
        <v xml:space="preserve"> </v>
      </c>
      <c r="M480" s="100" t="str">
        <f t="shared" si="53"/>
        <v xml:space="preserve"> </v>
      </c>
      <c r="N480" s="100" t="str">
        <f>IFERROR(VLOOKUP(Tablo515[[#This Row],[ÜRÜN KODU]],YMKODLARI!$A$1:$K$363,8,0)," ")</f>
        <v xml:space="preserve"> </v>
      </c>
      <c r="O480" s="100" t="str">
        <f>IFERROR(VLOOKUP(Tablo515[[#This Row],[HAMMADDE KODU]],Tablo1[#All],3,0)," ")</f>
        <v xml:space="preserve"> </v>
      </c>
      <c r="P480" s="100" t="str">
        <f>IFERROR(VLOOKUP(Tablo515[[#This Row],[HAMMADDE KODU]],Tablo1[#All],4,0)," ")</f>
        <v xml:space="preserve"> </v>
      </c>
      <c r="Q480" s="100" t="str">
        <f>IFERROR(VLOOKUP(Tablo515[[#This Row],[ÜRÜN KODU]],YMKODLARI!$A$1:$K$363,5,0)," ")</f>
        <v xml:space="preserve"> </v>
      </c>
      <c r="R480" s="100" t="str">
        <f>IFERROR(VLOOKUP(Tablo515[[#This Row],[ÜRÜN KODU]],YMKODLARI!$A$1:$K$363,6,0)," ")</f>
        <v xml:space="preserve"> </v>
      </c>
      <c r="S480" s="100" t="str">
        <f>IFERROR(Tablo515[[#This Row],[YOLLUK HARİÇ BASKI GRAMI]]/Tablo515[[#This Row],[KALIP GÖZ ADEDİ]]," ")</f>
        <v xml:space="preserve"> </v>
      </c>
      <c r="T480" s="100" t="str">
        <f t="shared" si="55"/>
        <v xml:space="preserve"> </v>
      </c>
      <c r="U480" s="100"/>
      <c r="V480" s="100" t="str">
        <f t="shared" si="54"/>
        <v xml:space="preserve"> </v>
      </c>
      <c r="W480" s="101">
        <f t="shared" si="56"/>
        <v>24</v>
      </c>
      <c r="X480" s="102">
        <f t="shared" si="57"/>
        <v>0</v>
      </c>
      <c r="Y480" s="100" t="str">
        <f t="shared" si="58"/>
        <v xml:space="preserve"> </v>
      </c>
      <c r="Z480" s="100" t="str">
        <f t="shared" si="59"/>
        <v xml:space="preserve"> </v>
      </c>
    </row>
    <row r="481" spans="1:26">
      <c r="A481" s="100"/>
      <c r="B481" s="108" t="str">
        <f>IFERROR(VLOOKUP(Tablo515[[#This Row],[ÜRÜN KODU]],YMKODLARI!$A$1:$K$363,2,0)," ")</f>
        <v xml:space="preserve"> </v>
      </c>
      <c r="C481" s="99"/>
      <c r="D481" s="100"/>
      <c r="E481" s="101"/>
      <c r="F481" s="101"/>
      <c r="G481" s="100" t="str">
        <f>IFERROR(VLOOKUP(Tablo515[[#This Row],[ÜRÜN KODU]],YMKODLARI!$A$1:$K$363,3,0)," ")</f>
        <v xml:space="preserve"> </v>
      </c>
      <c r="H481" s="100" t="str">
        <f>IFERROR(VLOOKUP(Tablo515[[#This Row],[ÜRÜN KODU]],YMKODLARI!$A$1:$K$363,4,0)," ")</f>
        <v xml:space="preserve"> </v>
      </c>
      <c r="I481" s="100"/>
      <c r="J481" s="100" t="str">
        <f>IFERROR(VLOOKUP(Tablo515[[#This Row],[ÜRÜN KODU]],YMKODLARI!$A$1:$K$363,9,0)," ")</f>
        <v xml:space="preserve"> </v>
      </c>
      <c r="K481" s="100" t="str">
        <f>IFERROR(VLOOKUP(Tablo515[[#This Row],[BOYA KODU]],Tablo14[#All],4,0)," ")</f>
        <v xml:space="preserve"> </v>
      </c>
      <c r="L481" s="100" t="str">
        <f>IFERROR(VLOOKUP(Tablo515[[#This Row],[BOYA KODU]],Tablo14[#All],6,0)," ")</f>
        <v xml:space="preserve"> </v>
      </c>
      <c r="M481" s="100" t="str">
        <f t="shared" si="53"/>
        <v xml:space="preserve"> </v>
      </c>
      <c r="N481" s="100" t="str">
        <f>IFERROR(VLOOKUP(Tablo515[[#This Row],[ÜRÜN KODU]],YMKODLARI!$A$1:$K$363,8,0)," ")</f>
        <v xml:space="preserve"> </v>
      </c>
      <c r="O481" s="100" t="str">
        <f>IFERROR(VLOOKUP(Tablo515[[#This Row],[HAMMADDE KODU]],Tablo1[#All],3,0)," ")</f>
        <v xml:space="preserve"> </v>
      </c>
      <c r="P481" s="100" t="str">
        <f>IFERROR(VLOOKUP(Tablo515[[#This Row],[HAMMADDE KODU]],Tablo1[#All],4,0)," ")</f>
        <v xml:space="preserve"> </v>
      </c>
      <c r="Q481" s="100" t="str">
        <f>IFERROR(VLOOKUP(Tablo515[[#This Row],[ÜRÜN KODU]],YMKODLARI!$A$1:$K$363,5,0)," ")</f>
        <v xml:space="preserve"> </v>
      </c>
      <c r="R481" s="100" t="str">
        <f>IFERROR(VLOOKUP(Tablo515[[#This Row],[ÜRÜN KODU]],YMKODLARI!$A$1:$K$363,6,0)," ")</f>
        <v xml:space="preserve"> </v>
      </c>
      <c r="S481" s="100" t="str">
        <f>IFERROR(Tablo515[[#This Row],[YOLLUK HARİÇ BASKI GRAMI]]/Tablo515[[#This Row],[KALIP GÖZ ADEDİ]]," ")</f>
        <v xml:space="preserve"> </v>
      </c>
      <c r="T481" s="100" t="str">
        <f t="shared" si="55"/>
        <v xml:space="preserve"> </v>
      </c>
      <c r="U481" s="100"/>
      <c r="V481" s="100" t="str">
        <f t="shared" si="54"/>
        <v xml:space="preserve"> </v>
      </c>
      <c r="W481" s="101">
        <f t="shared" si="56"/>
        <v>24</v>
      </c>
      <c r="X481" s="102">
        <f t="shared" si="57"/>
        <v>0</v>
      </c>
      <c r="Y481" s="100" t="str">
        <f t="shared" si="58"/>
        <v xml:space="preserve"> </v>
      </c>
      <c r="Z481" s="100" t="str">
        <f t="shared" si="59"/>
        <v xml:space="preserve"> </v>
      </c>
    </row>
    <row r="482" spans="1:26">
      <c r="A482" s="100"/>
      <c r="B482" s="108" t="str">
        <f>IFERROR(VLOOKUP(Tablo515[[#This Row],[ÜRÜN KODU]],YMKODLARI!$A$1:$K$363,2,0)," ")</f>
        <v xml:space="preserve"> </v>
      </c>
      <c r="C482" s="99"/>
      <c r="D482" s="100"/>
      <c r="E482" s="101"/>
      <c r="F482" s="101"/>
      <c r="G482" s="100" t="str">
        <f>IFERROR(VLOOKUP(Tablo515[[#This Row],[ÜRÜN KODU]],YMKODLARI!$A$1:$K$363,3,0)," ")</f>
        <v xml:space="preserve"> </v>
      </c>
      <c r="H482" s="100" t="str">
        <f>IFERROR(VLOOKUP(Tablo515[[#This Row],[ÜRÜN KODU]],YMKODLARI!$A$1:$K$363,4,0)," ")</f>
        <v xml:space="preserve"> </v>
      </c>
      <c r="I482" s="100"/>
      <c r="J482" s="100" t="str">
        <f>IFERROR(VLOOKUP(Tablo515[[#This Row],[ÜRÜN KODU]],YMKODLARI!$A$1:$K$363,9,0)," ")</f>
        <v xml:space="preserve"> </v>
      </c>
      <c r="K482" s="100" t="str">
        <f>IFERROR(VLOOKUP(Tablo515[[#This Row],[BOYA KODU]],Tablo14[#All],4,0)," ")</f>
        <v xml:space="preserve"> </v>
      </c>
      <c r="L482" s="100" t="str">
        <f>IFERROR(VLOOKUP(Tablo515[[#This Row],[BOYA KODU]],Tablo14[#All],6,0)," ")</f>
        <v xml:space="preserve"> </v>
      </c>
      <c r="M482" s="100" t="str">
        <f t="shared" si="53"/>
        <v xml:space="preserve"> </v>
      </c>
      <c r="N482" s="100" t="str">
        <f>IFERROR(VLOOKUP(Tablo515[[#This Row],[ÜRÜN KODU]],YMKODLARI!$A$1:$K$363,8,0)," ")</f>
        <v xml:space="preserve"> </v>
      </c>
      <c r="O482" s="100" t="str">
        <f>IFERROR(VLOOKUP(Tablo515[[#This Row],[HAMMADDE KODU]],Tablo1[#All],3,0)," ")</f>
        <v xml:space="preserve"> </v>
      </c>
      <c r="P482" s="100" t="str">
        <f>IFERROR(VLOOKUP(Tablo515[[#This Row],[HAMMADDE KODU]],Tablo1[#All],4,0)," ")</f>
        <v xml:space="preserve"> </v>
      </c>
      <c r="Q482" s="100" t="str">
        <f>IFERROR(VLOOKUP(Tablo515[[#This Row],[ÜRÜN KODU]],YMKODLARI!$A$1:$K$363,5,0)," ")</f>
        <v xml:space="preserve"> </v>
      </c>
      <c r="R482" s="100" t="str">
        <f>IFERROR(VLOOKUP(Tablo515[[#This Row],[ÜRÜN KODU]],YMKODLARI!$A$1:$K$363,6,0)," ")</f>
        <v xml:space="preserve"> </v>
      </c>
      <c r="S482" s="100" t="str">
        <f>IFERROR(Tablo515[[#This Row],[YOLLUK HARİÇ BASKI GRAMI]]/Tablo515[[#This Row],[KALIP GÖZ ADEDİ]]," ")</f>
        <v xml:space="preserve"> </v>
      </c>
      <c r="T482" s="100" t="str">
        <f t="shared" si="55"/>
        <v xml:space="preserve"> </v>
      </c>
      <c r="U482" s="100"/>
      <c r="V482" s="100" t="str">
        <f t="shared" si="54"/>
        <v xml:space="preserve"> </v>
      </c>
      <c r="W482" s="101">
        <f t="shared" si="56"/>
        <v>24</v>
      </c>
      <c r="X482" s="102">
        <f t="shared" si="57"/>
        <v>0</v>
      </c>
      <c r="Y482" s="100" t="str">
        <f t="shared" si="58"/>
        <v xml:space="preserve"> </v>
      </c>
      <c r="Z482" s="100" t="str">
        <f t="shared" si="59"/>
        <v xml:space="preserve"> </v>
      </c>
    </row>
    <row r="483" spans="1:26">
      <c r="A483" s="100"/>
      <c r="B483" s="108" t="str">
        <f>IFERROR(VLOOKUP(Tablo515[[#This Row],[ÜRÜN KODU]],YMKODLARI!$A$1:$K$363,2,0)," ")</f>
        <v xml:space="preserve"> </v>
      </c>
      <c r="C483" s="99"/>
      <c r="D483" s="100"/>
      <c r="E483" s="101"/>
      <c r="F483" s="101"/>
      <c r="G483" s="100" t="str">
        <f>IFERROR(VLOOKUP(Tablo515[[#This Row],[ÜRÜN KODU]],YMKODLARI!$A$1:$K$363,3,0)," ")</f>
        <v xml:space="preserve"> </v>
      </c>
      <c r="H483" s="100" t="str">
        <f>IFERROR(VLOOKUP(Tablo515[[#This Row],[ÜRÜN KODU]],YMKODLARI!$A$1:$K$363,4,0)," ")</f>
        <v xml:space="preserve"> </v>
      </c>
      <c r="I483" s="100"/>
      <c r="J483" s="100" t="str">
        <f>IFERROR(VLOOKUP(Tablo515[[#This Row],[ÜRÜN KODU]],YMKODLARI!$A$1:$K$363,9,0)," ")</f>
        <v xml:space="preserve"> </v>
      </c>
      <c r="K483" s="100" t="str">
        <f>IFERROR(VLOOKUP(Tablo515[[#This Row],[BOYA KODU]],Tablo14[#All],4,0)," ")</f>
        <v xml:space="preserve"> </v>
      </c>
      <c r="L483" s="100" t="str">
        <f>IFERROR(VLOOKUP(Tablo515[[#This Row],[BOYA KODU]],Tablo14[#All],6,0)," ")</f>
        <v xml:space="preserve"> </v>
      </c>
      <c r="M483" s="100" t="str">
        <f t="shared" si="53"/>
        <v xml:space="preserve"> </v>
      </c>
      <c r="N483" s="100" t="str">
        <f>IFERROR(VLOOKUP(Tablo515[[#This Row],[ÜRÜN KODU]],YMKODLARI!$A$1:$K$363,8,0)," ")</f>
        <v xml:space="preserve"> </v>
      </c>
      <c r="O483" s="100" t="str">
        <f>IFERROR(VLOOKUP(Tablo515[[#This Row],[HAMMADDE KODU]],Tablo1[#All],3,0)," ")</f>
        <v xml:space="preserve"> </v>
      </c>
      <c r="P483" s="100" t="str">
        <f>IFERROR(VLOOKUP(Tablo515[[#This Row],[HAMMADDE KODU]],Tablo1[#All],4,0)," ")</f>
        <v xml:space="preserve"> </v>
      </c>
      <c r="Q483" s="100" t="str">
        <f>IFERROR(VLOOKUP(Tablo515[[#This Row],[ÜRÜN KODU]],YMKODLARI!$A$1:$K$363,5,0)," ")</f>
        <v xml:space="preserve"> </v>
      </c>
      <c r="R483" s="100" t="str">
        <f>IFERROR(VLOOKUP(Tablo515[[#This Row],[ÜRÜN KODU]],YMKODLARI!$A$1:$K$363,6,0)," ")</f>
        <v xml:space="preserve"> </v>
      </c>
      <c r="S483" s="100" t="str">
        <f>IFERROR(Tablo515[[#This Row],[YOLLUK HARİÇ BASKI GRAMI]]/Tablo515[[#This Row],[KALIP GÖZ ADEDİ]]," ")</f>
        <v xml:space="preserve"> </v>
      </c>
      <c r="T483" s="100" t="str">
        <f t="shared" si="55"/>
        <v xml:space="preserve"> </v>
      </c>
      <c r="U483" s="100"/>
      <c r="V483" s="100" t="str">
        <f t="shared" si="54"/>
        <v xml:space="preserve"> </v>
      </c>
      <c r="W483" s="101">
        <f t="shared" si="56"/>
        <v>24</v>
      </c>
      <c r="X483" s="102">
        <f t="shared" si="57"/>
        <v>0</v>
      </c>
      <c r="Y483" s="100" t="str">
        <f t="shared" si="58"/>
        <v xml:space="preserve"> </v>
      </c>
      <c r="Z483" s="100" t="str">
        <f t="shared" si="59"/>
        <v xml:space="preserve"> </v>
      </c>
    </row>
    <row r="484" spans="1:26">
      <c r="A484" s="100"/>
      <c r="B484" s="108" t="str">
        <f>IFERROR(VLOOKUP(Tablo515[[#This Row],[ÜRÜN KODU]],YMKODLARI!$A$1:$K$363,2,0)," ")</f>
        <v xml:space="preserve"> </v>
      </c>
      <c r="C484" s="99"/>
      <c r="D484" s="100"/>
      <c r="E484" s="101"/>
      <c r="F484" s="101"/>
      <c r="G484" s="100" t="str">
        <f>IFERROR(VLOOKUP(Tablo515[[#This Row],[ÜRÜN KODU]],YMKODLARI!$A$1:$K$363,3,0)," ")</f>
        <v xml:space="preserve"> </v>
      </c>
      <c r="H484" s="100" t="str">
        <f>IFERROR(VLOOKUP(Tablo515[[#This Row],[ÜRÜN KODU]],YMKODLARI!$A$1:$K$363,4,0)," ")</f>
        <v xml:space="preserve"> </v>
      </c>
      <c r="I484" s="100"/>
      <c r="J484" s="100" t="str">
        <f>IFERROR(VLOOKUP(Tablo515[[#This Row],[ÜRÜN KODU]],YMKODLARI!$A$1:$K$363,9,0)," ")</f>
        <v xml:space="preserve"> </v>
      </c>
      <c r="K484" s="100" t="str">
        <f>IFERROR(VLOOKUP(Tablo515[[#This Row],[BOYA KODU]],Tablo14[#All],4,0)," ")</f>
        <v xml:space="preserve"> </v>
      </c>
      <c r="L484" s="100" t="str">
        <f>IFERROR(VLOOKUP(Tablo515[[#This Row],[BOYA KODU]],Tablo14[#All],6,0)," ")</f>
        <v xml:space="preserve"> </v>
      </c>
      <c r="M484" s="100" t="str">
        <f t="shared" si="53"/>
        <v xml:space="preserve"> </v>
      </c>
      <c r="N484" s="100" t="str">
        <f>IFERROR(VLOOKUP(Tablo515[[#This Row],[ÜRÜN KODU]],YMKODLARI!$A$1:$K$363,8,0)," ")</f>
        <v xml:space="preserve"> </v>
      </c>
      <c r="O484" s="100" t="str">
        <f>IFERROR(VLOOKUP(Tablo515[[#This Row],[HAMMADDE KODU]],Tablo1[#All],3,0)," ")</f>
        <v xml:space="preserve"> </v>
      </c>
      <c r="P484" s="100" t="str">
        <f>IFERROR(VLOOKUP(Tablo515[[#This Row],[HAMMADDE KODU]],Tablo1[#All],4,0)," ")</f>
        <v xml:space="preserve"> </v>
      </c>
      <c r="Q484" s="100" t="str">
        <f>IFERROR(VLOOKUP(Tablo515[[#This Row],[ÜRÜN KODU]],YMKODLARI!$A$1:$K$363,5,0)," ")</f>
        <v xml:space="preserve"> </v>
      </c>
      <c r="R484" s="100" t="str">
        <f>IFERROR(VLOOKUP(Tablo515[[#This Row],[ÜRÜN KODU]],YMKODLARI!$A$1:$K$363,6,0)," ")</f>
        <v xml:space="preserve"> </v>
      </c>
      <c r="S484" s="100" t="str">
        <f>IFERROR(Tablo515[[#This Row],[YOLLUK HARİÇ BASKI GRAMI]]/Tablo515[[#This Row],[KALIP GÖZ ADEDİ]]," ")</f>
        <v xml:space="preserve"> </v>
      </c>
      <c r="T484" s="100" t="str">
        <f t="shared" si="55"/>
        <v xml:space="preserve"> </v>
      </c>
      <c r="U484" s="100"/>
      <c r="V484" s="100" t="str">
        <f t="shared" si="54"/>
        <v xml:space="preserve"> </v>
      </c>
      <c r="W484" s="101">
        <f t="shared" si="56"/>
        <v>24</v>
      </c>
      <c r="X484" s="102">
        <f t="shared" si="57"/>
        <v>0</v>
      </c>
      <c r="Y484" s="100" t="str">
        <f t="shared" si="58"/>
        <v xml:space="preserve"> </v>
      </c>
      <c r="Z484" s="100" t="str">
        <f t="shared" si="59"/>
        <v xml:space="preserve"> </v>
      </c>
    </row>
    <row r="485" spans="1:26">
      <c r="A485" s="100"/>
      <c r="B485" s="108" t="str">
        <f>IFERROR(VLOOKUP(Tablo515[[#This Row],[ÜRÜN KODU]],YMKODLARI!$A$1:$K$363,2,0)," ")</f>
        <v xml:space="preserve"> </v>
      </c>
      <c r="C485" s="99"/>
      <c r="D485" s="100"/>
      <c r="E485" s="101"/>
      <c r="F485" s="101"/>
      <c r="G485" s="100" t="str">
        <f>IFERROR(VLOOKUP(Tablo515[[#This Row],[ÜRÜN KODU]],YMKODLARI!$A$1:$K$363,3,0)," ")</f>
        <v xml:space="preserve"> </v>
      </c>
      <c r="H485" s="100" t="str">
        <f>IFERROR(VLOOKUP(Tablo515[[#This Row],[ÜRÜN KODU]],YMKODLARI!$A$1:$K$363,4,0)," ")</f>
        <v xml:space="preserve"> </v>
      </c>
      <c r="I485" s="100"/>
      <c r="J485" s="100" t="str">
        <f>IFERROR(VLOOKUP(Tablo515[[#This Row],[ÜRÜN KODU]],YMKODLARI!$A$1:$K$363,9,0)," ")</f>
        <v xml:space="preserve"> </v>
      </c>
      <c r="K485" s="100" t="str">
        <f>IFERROR(VLOOKUP(Tablo515[[#This Row],[BOYA KODU]],Tablo14[#All],4,0)," ")</f>
        <v xml:space="preserve"> </v>
      </c>
      <c r="L485" s="100" t="str">
        <f>IFERROR(VLOOKUP(Tablo515[[#This Row],[BOYA KODU]],Tablo14[#All],6,0)," ")</f>
        <v xml:space="preserve"> </v>
      </c>
      <c r="M485" s="100" t="str">
        <f t="shared" si="53"/>
        <v xml:space="preserve"> </v>
      </c>
      <c r="N485" s="100" t="str">
        <f>IFERROR(VLOOKUP(Tablo515[[#This Row],[ÜRÜN KODU]],YMKODLARI!$A$1:$K$363,8,0)," ")</f>
        <v xml:space="preserve"> </v>
      </c>
      <c r="O485" s="100" t="str">
        <f>IFERROR(VLOOKUP(Tablo515[[#This Row],[HAMMADDE KODU]],Tablo1[#All],3,0)," ")</f>
        <v xml:space="preserve"> </v>
      </c>
      <c r="P485" s="100" t="str">
        <f>IFERROR(VLOOKUP(Tablo515[[#This Row],[HAMMADDE KODU]],Tablo1[#All],4,0)," ")</f>
        <v xml:space="preserve"> </v>
      </c>
      <c r="Q485" s="100" t="str">
        <f>IFERROR(VLOOKUP(Tablo515[[#This Row],[ÜRÜN KODU]],YMKODLARI!$A$1:$K$363,5,0)," ")</f>
        <v xml:space="preserve"> </v>
      </c>
      <c r="R485" s="100" t="str">
        <f>IFERROR(VLOOKUP(Tablo515[[#This Row],[ÜRÜN KODU]],YMKODLARI!$A$1:$K$363,6,0)," ")</f>
        <v xml:space="preserve"> </v>
      </c>
      <c r="S485" s="100" t="str">
        <f>IFERROR(Tablo515[[#This Row],[YOLLUK HARİÇ BASKI GRAMI]]/Tablo515[[#This Row],[KALIP GÖZ ADEDİ]]," ")</f>
        <v xml:space="preserve"> </v>
      </c>
      <c r="T485" s="100" t="str">
        <f t="shared" si="55"/>
        <v xml:space="preserve"> </v>
      </c>
      <c r="U485" s="100"/>
      <c r="V485" s="100" t="str">
        <f t="shared" si="54"/>
        <v xml:space="preserve"> </v>
      </c>
      <c r="W485" s="101">
        <f t="shared" si="56"/>
        <v>24</v>
      </c>
      <c r="X485" s="102">
        <f t="shared" si="57"/>
        <v>0</v>
      </c>
      <c r="Y485" s="100" t="str">
        <f t="shared" si="58"/>
        <v xml:space="preserve"> </v>
      </c>
      <c r="Z485" s="100" t="str">
        <f t="shared" si="59"/>
        <v xml:space="preserve"> </v>
      </c>
    </row>
    <row r="486" spans="1:26">
      <c r="A486" s="100"/>
      <c r="B486" s="108" t="str">
        <f>IFERROR(VLOOKUP(Tablo515[[#This Row],[ÜRÜN KODU]],YMKODLARI!$A$1:$K$363,2,0)," ")</f>
        <v xml:space="preserve"> </v>
      </c>
      <c r="C486" s="99"/>
      <c r="D486" s="100"/>
      <c r="E486" s="101"/>
      <c r="F486" s="101"/>
      <c r="G486" s="100" t="str">
        <f>IFERROR(VLOOKUP(Tablo515[[#This Row],[ÜRÜN KODU]],YMKODLARI!$A$1:$K$363,3,0)," ")</f>
        <v xml:space="preserve"> </v>
      </c>
      <c r="H486" s="100" t="str">
        <f>IFERROR(VLOOKUP(Tablo515[[#This Row],[ÜRÜN KODU]],YMKODLARI!$A$1:$K$363,4,0)," ")</f>
        <v xml:space="preserve"> </v>
      </c>
      <c r="I486" s="100"/>
      <c r="J486" s="100" t="str">
        <f>IFERROR(VLOOKUP(Tablo515[[#This Row],[ÜRÜN KODU]],YMKODLARI!$A$1:$K$363,9,0)," ")</f>
        <v xml:space="preserve"> </v>
      </c>
      <c r="K486" s="100" t="str">
        <f>IFERROR(VLOOKUP(Tablo515[[#This Row],[BOYA KODU]],Tablo14[#All],4,0)," ")</f>
        <v xml:space="preserve"> </v>
      </c>
      <c r="L486" s="100" t="str">
        <f>IFERROR(VLOOKUP(Tablo515[[#This Row],[BOYA KODU]],Tablo14[#All],6,0)," ")</f>
        <v xml:space="preserve"> </v>
      </c>
      <c r="M486" s="100" t="str">
        <f t="shared" si="53"/>
        <v xml:space="preserve"> </v>
      </c>
      <c r="N486" s="100" t="str">
        <f>IFERROR(VLOOKUP(Tablo515[[#This Row],[ÜRÜN KODU]],YMKODLARI!$A$1:$K$363,8,0)," ")</f>
        <v xml:space="preserve"> </v>
      </c>
      <c r="O486" s="100" t="str">
        <f>IFERROR(VLOOKUP(Tablo515[[#This Row],[HAMMADDE KODU]],Tablo1[#All],3,0)," ")</f>
        <v xml:space="preserve"> </v>
      </c>
      <c r="P486" s="100" t="str">
        <f>IFERROR(VLOOKUP(Tablo515[[#This Row],[HAMMADDE KODU]],Tablo1[#All],4,0)," ")</f>
        <v xml:space="preserve"> </v>
      </c>
      <c r="Q486" s="100" t="str">
        <f>IFERROR(VLOOKUP(Tablo515[[#This Row],[ÜRÜN KODU]],YMKODLARI!$A$1:$K$363,5,0)," ")</f>
        <v xml:space="preserve"> </v>
      </c>
      <c r="R486" s="100" t="str">
        <f>IFERROR(VLOOKUP(Tablo515[[#This Row],[ÜRÜN KODU]],YMKODLARI!$A$1:$K$363,6,0)," ")</f>
        <v xml:space="preserve"> </v>
      </c>
      <c r="S486" s="100" t="str">
        <f>IFERROR(Tablo515[[#This Row],[YOLLUK HARİÇ BASKI GRAMI]]/Tablo515[[#This Row],[KALIP GÖZ ADEDİ]]," ")</f>
        <v xml:space="preserve"> </v>
      </c>
      <c r="T486" s="100" t="str">
        <f t="shared" si="55"/>
        <v xml:space="preserve"> </v>
      </c>
      <c r="U486" s="100"/>
      <c r="V486" s="100" t="str">
        <f t="shared" si="54"/>
        <v xml:space="preserve"> </v>
      </c>
      <c r="W486" s="101">
        <f t="shared" si="56"/>
        <v>24</v>
      </c>
      <c r="X486" s="102">
        <f t="shared" si="57"/>
        <v>0</v>
      </c>
      <c r="Y486" s="100" t="str">
        <f t="shared" si="58"/>
        <v xml:space="preserve"> </v>
      </c>
      <c r="Z486" s="100" t="str">
        <f t="shared" si="59"/>
        <v xml:space="preserve"> </v>
      </c>
    </row>
    <row r="487" spans="1:26">
      <c r="A487" s="100"/>
      <c r="B487" s="108" t="str">
        <f>IFERROR(VLOOKUP(Tablo515[[#This Row],[ÜRÜN KODU]],YMKODLARI!$A$1:$K$363,2,0)," ")</f>
        <v xml:space="preserve"> </v>
      </c>
      <c r="C487" s="99"/>
      <c r="D487" s="100"/>
      <c r="E487" s="101"/>
      <c r="F487" s="101"/>
      <c r="G487" s="100" t="str">
        <f>IFERROR(VLOOKUP(Tablo515[[#This Row],[ÜRÜN KODU]],YMKODLARI!$A$1:$K$363,3,0)," ")</f>
        <v xml:space="preserve"> </v>
      </c>
      <c r="H487" s="100" t="str">
        <f>IFERROR(VLOOKUP(Tablo515[[#This Row],[ÜRÜN KODU]],YMKODLARI!$A$1:$K$363,4,0)," ")</f>
        <v xml:space="preserve"> </v>
      </c>
      <c r="I487" s="100"/>
      <c r="J487" s="100" t="str">
        <f>IFERROR(VLOOKUP(Tablo515[[#This Row],[ÜRÜN KODU]],YMKODLARI!$A$1:$K$363,9,0)," ")</f>
        <v xml:space="preserve"> </v>
      </c>
      <c r="K487" s="100" t="str">
        <f>IFERROR(VLOOKUP(Tablo515[[#This Row],[BOYA KODU]],Tablo14[#All],4,0)," ")</f>
        <v xml:space="preserve"> </v>
      </c>
      <c r="L487" s="100" t="str">
        <f>IFERROR(VLOOKUP(Tablo515[[#This Row],[BOYA KODU]],Tablo14[#All],6,0)," ")</f>
        <v xml:space="preserve"> </v>
      </c>
      <c r="M487" s="100" t="str">
        <f t="shared" si="53"/>
        <v xml:space="preserve"> </v>
      </c>
      <c r="N487" s="100" t="str">
        <f>IFERROR(VLOOKUP(Tablo515[[#This Row],[ÜRÜN KODU]],YMKODLARI!$A$1:$K$363,8,0)," ")</f>
        <v xml:space="preserve"> </v>
      </c>
      <c r="O487" s="100" t="str">
        <f>IFERROR(VLOOKUP(Tablo515[[#This Row],[HAMMADDE KODU]],Tablo1[#All],3,0)," ")</f>
        <v xml:space="preserve"> </v>
      </c>
      <c r="P487" s="100" t="str">
        <f>IFERROR(VLOOKUP(Tablo515[[#This Row],[HAMMADDE KODU]],Tablo1[#All],4,0)," ")</f>
        <v xml:space="preserve"> </v>
      </c>
      <c r="Q487" s="100" t="str">
        <f>IFERROR(VLOOKUP(Tablo515[[#This Row],[ÜRÜN KODU]],YMKODLARI!$A$1:$K$363,5,0)," ")</f>
        <v xml:space="preserve"> </v>
      </c>
      <c r="R487" s="100" t="str">
        <f>IFERROR(VLOOKUP(Tablo515[[#This Row],[ÜRÜN KODU]],YMKODLARI!$A$1:$K$363,6,0)," ")</f>
        <v xml:space="preserve"> </v>
      </c>
      <c r="S487" s="100" t="str">
        <f>IFERROR(Tablo515[[#This Row],[YOLLUK HARİÇ BASKI GRAMI]]/Tablo515[[#This Row],[KALIP GÖZ ADEDİ]]," ")</f>
        <v xml:space="preserve"> </v>
      </c>
      <c r="T487" s="100" t="str">
        <f t="shared" si="55"/>
        <v xml:space="preserve"> </v>
      </c>
      <c r="U487" s="100"/>
      <c r="V487" s="100" t="str">
        <f t="shared" si="54"/>
        <v xml:space="preserve"> </v>
      </c>
      <c r="W487" s="101">
        <f t="shared" si="56"/>
        <v>24</v>
      </c>
      <c r="X487" s="102">
        <f t="shared" si="57"/>
        <v>0</v>
      </c>
      <c r="Y487" s="100" t="str">
        <f t="shared" si="58"/>
        <v xml:space="preserve"> </v>
      </c>
      <c r="Z487" s="100" t="str">
        <f t="shared" si="59"/>
        <v xml:space="preserve"> </v>
      </c>
    </row>
    <row r="488" spans="1:26">
      <c r="A488" s="100"/>
      <c r="B488" s="108" t="str">
        <f>IFERROR(VLOOKUP(Tablo515[[#This Row],[ÜRÜN KODU]],YMKODLARI!$A$1:$K$363,2,0)," ")</f>
        <v xml:space="preserve"> </v>
      </c>
      <c r="C488" s="99"/>
      <c r="D488" s="100"/>
      <c r="E488" s="101"/>
      <c r="F488" s="101"/>
      <c r="G488" s="100" t="str">
        <f>IFERROR(VLOOKUP(Tablo515[[#This Row],[ÜRÜN KODU]],YMKODLARI!$A$1:$K$363,3,0)," ")</f>
        <v xml:space="preserve"> </v>
      </c>
      <c r="H488" s="100" t="str">
        <f>IFERROR(VLOOKUP(Tablo515[[#This Row],[ÜRÜN KODU]],YMKODLARI!$A$1:$K$363,4,0)," ")</f>
        <v xml:space="preserve"> </v>
      </c>
      <c r="I488" s="100"/>
      <c r="J488" s="100" t="str">
        <f>IFERROR(VLOOKUP(Tablo515[[#This Row],[ÜRÜN KODU]],YMKODLARI!$A$1:$K$363,9,0)," ")</f>
        <v xml:space="preserve"> </v>
      </c>
      <c r="K488" s="100" t="str">
        <f>IFERROR(VLOOKUP(Tablo515[[#This Row],[BOYA KODU]],Tablo14[#All],4,0)," ")</f>
        <v xml:space="preserve"> </v>
      </c>
      <c r="L488" s="100" t="str">
        <f>IFERROR(VLOOKUP(Tablo515[[#This Row],[BOYA KODU]],Tablo14[#All],6,0)," ")</f>
        <v xml:space="preserve"> </v>
      </c>
      <c r="M488" s="100" t="str">
        <f t="shared" si="53"/>
        <v xml:space="preserve"> </v>
      </c>
      <c r="N488" s="100" t="str">
        <f>IFERROR(VLOOKUP(Tablo515[[#This Row],[ÜRÜN KODU]],YMKODLARI!$A$1:$K$363,8,0)," ")</f>
        <v xml:space="preserve"> </v>
      </c>
      <c r="O488" s="100" t="str">
        <f>IFERROR(VLOOKUP(Tablo515[[#This Row],[HAMMADDE KODU]],Tablo1[#All],3,0)," ")</f>
        <v xml:space="preserve"> </v>
      </c>
      <c r="P488" s="100" t="str">
        <f>IFERROR(VLOOKUP(Tablo515[[#This Row],[HAMMADDE KODU]],Tablo1[#All],4,0)," ")</f>
        <v xml:space="preserve"> </v>
      </c>
      <c r="Q488" s="100" t="str">
        <f>IFERROR(VLOOKUP(Tablo515[[#This Row],[ÜRÜN KODU]],YMKODLARI!$A$1:$K$363,5,0)," ")</f>
        <v xml:space="preserve"> </v>
      </c>
      <c r="R488" s="100" t="str">
        <f>IFERROR(VLOOKUP(Tablo515[[#This Row],[ÜRÜN KODU]],YMKODLARI!$A$1:$K$363,6,0)," ")</f>
        <v xml:space="preserve"> </v>
      </c>
      <c r="S488" s="100" t="str">
        <f>IFERROR(Tablo515[[#This Row],[YOLLUK HARİÇ BASKI GRAMI]]/Tablo515[[#This Row],[KALIP GÖZ ADEDİ]]," ")</f>
        <v xml:space="preserve"> </v>
      </c>
      <c r="T488" s="100" t="str">
        <f t="shared" si="55"/>
        <v xml:space="preserve"> </v>
      </c>
      <c r="U488" s="100"/>
      <c r="V488" s="100" t="str">
        <f t="shared" si="54"/>
        <v xml:space="preserve"> </v>
      </c>
      <c r="W488" s="101">
        <f t="shared" si="56"/>
        <v>24</v>
      </c>
      <c r="X488" s="102">
        <f t="shared" si="57"/>
        <v>0</v>
      </c>
      <c r="Y488" s="100" t="str">
        <f t="shared" si="58"/>
        <v xml:space="preserve"> </v>
      </c>
      <c r="Z488" s="100" t="str">
        <f t="shared" si="59"/>
        <v xml:space="preserve"> </v>
      </c>
    </row>
    <row r="489" spans="1:26">
      <c r="A489" s="100"/>
      <c r="B489" s="108" t="str">
        <f>IFERROR(VLOOKUP(Tablo515[[#This Row],[ÜRÜN KODU]],YMKODLARI!$A$1:$K$363,2,0)," ")</f>
        <v xml:space="preserve"> </v>
      </c>
      <c r="C489" s="99"/>
      <c r="D489" s="100"/>
      <c r="E489" s="101"/>
      <c r="F489" s="101"/>
      <c r="G489" s="100" t="str">
        <f>IFERROR(VLOOKUP(Tablo515[[#This Row],[ÜRÜN KODU]],YMKODLARI!$A$1:$K$363,3,0)," ")</f>
        <v xml:space="preserve"> </v>
      </c>
      <c r="H489" s="100" t="str">
        <f>IFERROR(VLOOKUP(Tablo515[[#This Row],[ÜRÜN KODU]],YMKODLARI!$A$1:$K$363,4,0)," ")</f>
        <v xml:space="preserve"> </v>
      </c>
      <c r="I489" s="100"/>
      <c r="J489" s="100" t="str">
        <f>IFERROR(VLOOKUP(Tablo515[[#This Row],[ÜRÜN KODU]],YMKODLARI!$A$1:$K$363,9,0)," ")</f>
        <v xml:space="preserve"> </v>
      </c>
      <c r="K489" s="100" t="str">
        <f>IFERROR(VLOOKUP(Tablo515[[#This Row],[BOYA KODU]],Tablo14[#All],4,0)," ")</f>
        <v xml:space="preserve"> </v>
      </c>
      <c r="L489" s="100" t="str">
        <f>IFERROR(VLOOKUP(Tablo515[[#This Row],[BOYA KODU]],Tablo14[#All],6,0)," ")</f>
        <v xml:space="preserve"> </v>
      </c>
      <c r="M489" s="100" t="str">
        <f t="shared" si="53"/>
        <v xml:space="preserve"> </v>
      </c>
      <c r="N489" s="100" t="str">
        <f>IFERROR(VLOOKUP(Tablo515[[#This Row],[ÜRÜN KODU]],YMKODLARI!$A$1:$K$363,8,0)," ")</f>
        <v xml:space="preserve"> </v>
      </c>
      <c r="O489" s="100" t="str">
        <f>IFERROR(VLOOKUP(Tablo515[[#This Row],[HAMMADDE KODU]],Tablo1[#All],3,0)," ")</f>
        <v xml:space="preserve"> </v>
      </c>
      <c r="P489" s="100" t="str">
        <f>IFERROR(VLOOKUP(Tablo515[[#This Row],[HAMMADDE KODU]],Tablo1[#All],4,0)," ")</f>
        <v xml:space="preserve"> </v>
      </c>
      <c r="Q489" s="100" t="str">
        <f>IFERROR(VLOOKUP(Tablo515[[#This Row],[ÜRÜN KODU]],YMKODLARI!$A$1:$K$363,5,0)," ")</f>
        <v xml:space="preserve"> </v>
      </c>
      <c r="R489" s="100" t="str">
        <f>IFERROR(VLOOKUP(Tablo515[[#This Row],[ÜRÜN KODU]],YMKODLARI!$A$1:$K$363,6,0)," ")</f>
        <v xml:space="preserve"> </v>
      </c>
      <c r="S489" s="100" t="str">
        <f>IFERROR(Tablo515[[#This Row],[YOLLUK HARİÇ BASKI GRAMI]]/Tablo515[[#This Row],[KALIP GÖZ ADEDİ]]," ")</f>
        <v xml:space="preserve"> </v>
      </c>
      <c r="T489" s="100" t="str">
        <f t="shared" si="55"/>
        <v xml:space="preserve"> </v>
      </c>
      <c r="U489" s="100"/>
      <c r="V489" s="100" t="str">
        <f t="shared" si="54"/>
        <v xml:space="preserve"> </v>
      </c>
      <c r="W489" s="101">
        <f t="shared" si="56"/>
        <v>24</v>
      </c>
      <c r="X489" s="102">
        <f t="shared" si="57"/>
        <v>0</v>
      </c>
      <c r="Y489" s="100" t="str">
        <f t="shared" si="58"/>
        <v xml:space="preserve"> </v>
      </c>
      <c r="Z489" s="100" t="str">
        <f t="shared" si="59"/>
        <v xml:space="preserve"> </v>
      </c>
    </row>
    <row r="490" spans="1:26">
      <c r="A490" s="100"/>
      <c r="B490" s="108" t="str">
        <f>IFERROR(VLOOKUP(Tablo515[[#This Row],[ÜRÜN KODU]],YMKODLARI!$A$1:$K$363,2,0)," ")</f>
        <v xml:space="preserve"> </v>
      </c>
      <c r="C490" s="99"/>
      <c r="D490" s="100"/>
      <c r="E490" s="101"/>
      <c r="F490" s="101"/>
      <c r="G490" s="100" t="str">
        <f>IFERROR(VLOOKUP(Tablo515[[#This Row],[ÜRÜN KODU]],YMKODLARI!$A$1:$K$363,3,0)," ")</f>
        <v xml:space="preserve"> </v>
      </c>
      <c r="H490" s="100" t="str">
        <f>IFERROR(VLOOKUP(Tablo515[[#This Row],[ÜRÜN KODU]],YMKODLARI!$A$1:$K$363,4,0)," ")</f>
        <v xml:space="preserve"> </v>
      </c>
      <c r="I490" s="100"/>
      <c r="J490" s="100" t="str">
        <f>IFERROR(VLOOKUP(Tablo515[[#This Row],[ÜRÜN KODU]],YMKODLARI!$A$1:$K$363,9,0)," ")</f>
        <v xml:space="preserve"> </v>
      </c>
      <c r="K490" s="100" t="str">
        <f>IFERROR(VLOOKUP(Tablo515[[#This Row],[BOYA KODU]],Tablo14[#All],4,0)," ")</f>
        <v xml:space="preserve"> </v>
      </c>
      <c r="L490" s="100" t="str">
        <f>IFERROR(VLOOKUP(Tablo515[[#This Row],[BOYA KODU]],Tablo14[#All],6,0)," ")</f>
        <v xml:space="preserve"> </v>
      </c>
      <c r="M490" s="100" t="str">
        <f t="shared" si="53"/>
        <v xml:space="preserve"> </v>
      </c>
      <c r="N490" s="100" t="str">
        <f>IFERROR(VLOOKUP(Tablo515[[#This Row],[ÜRÜN KODU]],YMKODLARI!$A$1:$K$363,8,0)," ")</f>
        <v xml:space="preserve"> </v>
      </c>
      <c r="O490" s="100" t="str">
        <f>IFERROR(VLOOKUP(Tablo515[[#This Row],[HAMMADDE KODU]],Tablo1[#All],3,0)," ")</f>
        <v xml:space="preserve"> </v>
      </c>
      <c r="P490" s="100" t="str">
        <f>IFERROR(VLOOKUP(Tablo515[[#This Row],[HAMMADDE KODU]],Tablo1[#All],4,0)," ")</f>
        <v xml:space="preserve"> </v>
      </c>
      <c r="Q490" s="100" t="str">
        <f>IFERROR(VLOOKUP(Tablo515[[#This Row],[ÜRÜN KODU]],YMKODLARI!$A$1:$K$363,5,0)," ")</f>
        <v xml:space="preserve"> </v>
      </c>
      <c r="R490" s="100" t="str">
        <f>IFERROR(VLOOKUP(Tablo515[[#This Row],[ÜRÜN KODU]],YMKODLARI!$A$1:$K$363,6,0)," ")</f>
        <v xml:space="preserve"> </v>
      </c>
      <c r="S490" s="100" t="str">
        <f>IFERROR(Tablo515[[#This Row],[YOLLUK HARİÇ BASKI GRAMI]]/Tablo515[[#This Row],[KALIP GÖZ ADEDİ]]," ")</f>
        <v xml:space="preserve"> </v>
      </c>
      <c r="T490" s="100" t="str">
        <f t="shared" si="55"/>
        <v xml:space="preserve"> </v>
      </c>
      <c r="U490" s="100"/>
      <c r="V490" s="100" t="str">
        <f t="shared" si="54"/>
        <v xml:space="preserve"> </v>
      </c>
      <c r="W490" s="101">
        <f t="shared" si="56"/>
        <v>24</v>
      </c>
      <c r="X490" s="102">
        <f t="shared" si="57"/>
        <v>0</v>
      </c>
      <c r="Y490" s="100" t="str">
        <f t="shared" si="58"/>
        <v xml:space="preserve"> </v>
      </c>
      <c r="Z490" s="100" t="str">
        <f t="shared" si="59"/>
        <v xml:space="preserve"> </v>
      </c>
    </row>
    <row r="491" spans="1:26">
      <c r="A491" s="100"/>
      <c r="B491" s="108" t="str">
        <f>IFERROR(VLOOKUP(Tablo515[[#This Row],[ÜRÜN KODU]],YMKODLARI!$A$1:$K$363,2,0)," ")</f>
        <v xml:space="preserve"> </v>
      </c>
      <c r="C491" s="99"/>
      <c r="D491" s="100"/>
      <c r="E491" s="101"/>
      <c r="F491" s="101"/>
      <c r="G491" s="100" t="str">
        <f>IFERROR(VLOOKUP(Tablo515[[#This Row],[ÜRÜN KODU]],YMKODLARI!$A$1:$K$363,3,0)," ")</f>
        <v xml:space="preserve"> </v>
      </c>
      <c r="H491" s="100" t="str">
        <f>IFERROR(VLOOKUP(Tablo515[[#This Row],[ÜRÜN KODU]],YMKODLARI!$A$1:$K$363,4,0)," ")</f>
        <v xml:space="preserve"> </v>
      </c>
      <c r="I491" s="100"/>
      <c r="J491" s="100" t="str">
        <f>IFERROR(VLOOKUP(Tablo515[[#This Row],[ÜRÜN KODU]],YMKODLARI!$A$1:$K$363,9,0)," ")</f>
        <v xml:space="preserve"> </v>
      </c>
      <c r="K491" s="100" t="str">
        <f>IFERROR(VLOOKUP(Tablo515[[#This Row],[BOYA KODU]],Tablo14[#All],4,0)," ")</f>
        <v xml:space="preserve"> </v>
      </c>
      <c r="L491" s="100" t="str">
        <f>IFERROR(VLOOKUP(Tablo515[[#This Row],[BOYA KODU]],Tablo14[#All],6,0)," ")</f>
        <v xml:space="preserve"> </v>
      </c>
      <c r="M491" s="100" t="str">
        <f t="shared" si="53"/>
        <v xml:space="preserve"> </v>
      </c>
      <c r="N491" s="100" t="str">
        <f>IFERROR(VLOOKUP(Tablo515[[#This Row],[ÜRÜN KODU]],YMKODLARI!$A$1:$K$363,8,0)," ")</f>
        <v xml:space="preserve"> </v>
      </c>
      <c r="O491" s="100" t="str">
        <f>IFERROR(VLOOKUP(Tablo515[[#This Row],[HAMMADDE KODU]],Tablo1[#All],3,0)," ")</f>
        <v xml:space="preserve"> </v>
      </c>
      <c r="P491" s="100" t="str">
        <f>IFERROR(VLOOKUP(Tablo515[[#This Row],[HAMMADDE KODU]],Tablo1[#All],4,0)," ")</f>
        <v xml:space="preserve"> </v>
      </c>
      <c r="Q491" s="100" t="str">
        <f>IFERROR(VLOOKUP(Tablo515[[#This Row],[ÜRÜN KODU]],YMKODLARI!$A$1:$K$363,5,0)," ")</f>
        <v xml:space="preserve"> </v>
      </c>
      <c r="R491" s="100" t="str">
        <f>IFERROR(VLOOKUP(Tablo515[[#This Row],[ÜRÜN KODU]],YMKODLARI!$A$1:$K$363,6,0)," ")</f>
        <v xml:space="preserve"> </v>
      </c>
      <c r="S491" s="100" t="str">
        <f>IFERROR(Tablo515[[#This Row],[YOLLUK HARİÇ BASKI GRAMI]]/Tablo515[[#This Row],[KALIP GÖZ ADEDİ]]," ")</f>
        <v xml:space="preserve"> </v>
      </c>
      <c r="T491" s="100" t="str">
        <f t="shared" si="55"/>
        <v xml:space="preserve"> </v>
      </c>
      <c r="U491" s="100"/>
      <c r="V491" s="100" t="str">
        <f t="shared" si="54"/>
        <v xml:space="preserve"> </v>
      </c>
      <c r="W491" s="101">
        <f t="shared" si="56"/>
        <v>24</v>
      </c>
      <c r="X491" s="102">
        <f t="shared" si="57"/>
        <v>0</v>
      </c>
      <c r="Y491" s="100" t="str">
        <f t="shared" si="58"/>
        <v xml:space="preserve"> </v>
      </c>
      <c r="Z491" s="100" t="str">
        <f t="shared" si="59"/>
        <v xml:space="preserve"> </v>
      </c>
    </row>
    <row r="492" spans="1:26">
      <c r="A492" s="100"/>
      <c r="B492" s="108" t="str">
        <f>IFERROR(VLOOKUP(Tablo515[[#This Row],[ÜRÜN KODU]],YMKODLARI!$A$1:$K$363,2,0)," ")</f>
        <v xml:space="preserve"> </v>
      </c>
      <c r="C492" s="99"/>
      <c r="D492" s="100"/>
      <c r="E492" s="101"/>
      <c r="F492" s="101"/>
      <c r="G492" s="100" t="str">
        <f>IFERROR(VLOOKUP(Tablo515[[#This Row],[ÜRÜN KODU]],YMKODLARI!$A$1:$K$363,3,0)," ")</f>
        <v xml:space="preserve"> </v>
      </c>
      <c r="H492" s="100" t="str">
        <f>IFERROR(VLOOKUP(Tablo515[[#This Row],[ÜRÜN KODU]],YMKODLARI!$A$1:$K$363,4,0)," ")</f>
        <v xml:space="preserve"> </v>
      </c>
      <c r="I492" s="100"/>
      <c r="J492" s="100" t="str">
        <f>IFERROR(VLOOKUP(Tablo515[[#This Row],[ÜRÜN KODU]],YMKODLARI!$A$1:$K$363,9,0)," ")</f>
        <v xml:space="preserve"> </v>
      </c>
      <c r="K492" s="100" t="str">
        <f>IFERROR(VLOOKUP(Tablo515[[#This Row],[BOYA KODU]],Tablo14[#All],4,0)," ")</f>
        <v xml:space="preserve"> </v>
      </c>
      <c r="L492" s="100" t="str">
        <f>IFERROR(VLOOKUP(Tablo515[[#This Row],[BOYA KODU]],Tablo14[#All],6,0)," ")</f>
        <v xml:space="preserve"> </v>
      </c>
      <c r="M492" s="100" t="str">
        <f t="shared" si="53"/>
        <v xml:space="preserve"> </v>
      </c>
      <c r="N492" s="100" t="str">
        <f>IFERROR(VLOOKUP(Tablo515[[#This Row],[ÜRÜN KODU]],YMKODLARI!$A$1:$K$363,8,0)," ")</f>
        <v xml:space="preserve"> </v>
      </c>
      <c r="O492" s="100" t="str">
        <f>IFERROR(VLOOKUP(Tablo515[[#This Row],[HAMMADDE KODU]],Tablo1[#All],3,0)," ")</f>
        <v xml:space="preserve"> </v>
      </c>
      <c r="P492" s="100" t="str">
        <f>IFERROR(VLOOKUP(Tablo515[[#This Row],[HAMMADDE KODU]],Tablo1[#All],4,0)," ")</f>
        <v xml:space="preserve"> </v>
      </c>
      <c r="Q492" s="100" t="str">
        <f>IFERROR(VLOOKUP(Tablo515[[#This Row],[ÜRÜN KODU]],YMKODLARI!$A$1:$K$363,5,0)," ")</f>
        <v xml:space="preserve"> </v>
      </c>
      <c r="R492" s="100" t="str">
        <f>IFERROR(VLOOKUP(Tablo515[[#This Row],[ÜRÜN KODU]],YMKODLARI!$A$1:$K$363,6,0)," ")</f>
        <v xml:space="preserve"> </v>
      </c>
      <c r="S492" s="100" t="str">
        <f>IFERROR(Tablo515[[#This Row],[YOLLUK HARİÇ BASKI GRAMI]]/Tablo515[[#This Row],[KALIP GÖZ ADEDİ]]," ")</f>
        <v xml:space="preserve"> </v>
      </c>
      <c r="T492" s="100" t="str">
        <f t="shared" si="55"/>
        <v xml:space="preserve"> </v>
      </c>
      <c r="U492" s="100"/>
      <c r="V492" s="100" t="str">
        <f t="shared" si="54"/>
        <v xml:space="preserve"> </v>
      </c>
      <c r="W492" s="101">
        <f t="shared" si="56"/>
        <v>24</v>
      </c>
      <c r="X492" s="102">
        <f t="shared" si="57"/>
        <v>0</v>
      </c>
      <c r="Y492" s="100" t="str">
        <f t="shared" si="58"/>
        <v xml:space="preserve"> </v>
      </c>
      <c r="Z492" s="100" t="str">
        <f t="shared" si="59"/>
        <v xml:space="preserve"> </v>
      </c>
    </row>
    <row r="493" spans="1:26">
      <c r="A493" s="100"/>
      <c r="B493" s="108" t="str">
        <f>IFERROR(VLOOKUP(Tablo515[[#This Row],[ÜRÜN KODU]],YMKODLARI!$A$1:$K$363,2,0)," ")</f>
        <v xml:space="preserve"> </v>
      </c>
      <c r="C493" s="99"/>
      <c r="D493" s="100"/>
      <c r="E493" s="101"/>
      <c r="F493" s="101"/>
      <c r="G493" s="100" t="str">
        <f>IFERROR(VLOOKUP(Tablo515[[#This Row],[ÜRÜN KODU]],YMKODLARI!$A$1:$K$363,3,0)," ")</f>
        <v xml:space="preserve"> </v>
      </c>
      <c r="H493" s="100" t="str">
        <f>IFERROR(VLOOKUP(Tablo515[[#This Row],[ÜRÜN KODU]],YMKODLARI!$A$1:$K$363,4,0)," ")</f>
        <v xml:space="preserve"> </v>
      </c>
      <c r="I493" s="100"/>
      <c r="J493" s="100" t="str">
        <f>IFERROR(VLOOKUP(Tablo515[[#This Row],[ÜRÜN KODU]],YMKODLARI!$A$1:$K$363,9,0)," ")</f>
        <v xml:space="preserve"> </v>
      </c>
      <c r="K493" s="100" t="str">
        <f>IFERROR(VLOOKUP(Tablo515[[#This Row],[BOYA KODU]],Tablo14[#All],4,0)," ")</f>
        <v xml:space="preserve"> </v>
      </c>
      <c r="L493" s="100" t="str">
        <f>IFERROR(VLOOKUP(Tablo515[[#This Row],[BOYA KODU]],Tablo14[#All],6,0)," ")</f>
        <v xml:space="preserve"> </v>
      </c>
      <c r="M493" s="100" t="str">
        <f t="shared" si="53"/>
        <v xml:space="preserve"> </v>
      </c>
      <c r="N493" s="100" t="str">
        <f>IFERROR(VLOOKUP(Tablo515[[#This Row],[ÜRÜN KODU]],YMKODLARI!$A$1:$K$363,8,0)," ")</f>
        <v xml:space="preserve"> </v>
      </c>
      <c r="O493" s="100" t="str">
        <f>IFERROR(VLOOKUP(Tablo515[[#This Row],[HAMMADDE KODU]],Tablo1[#All],3,0)," ")</f>
        <v xml:space="preserve"> </v>
      </c>
      <c r="P493" s="100" t="str">
        <f>IFERROR(VLOOKUP(Tablo515[[#This Row],[HAMMADDE KODU]],Tablo1[#All],4,0)," ")</f>
        <v xml:space="preserve"> </v>
      </c>
      <c r="Q493" s="100" t="str">
        <f>IFERROR(VLOOKUP(Tablo515[[#This Row],[ÜRÜN KODU]],YMKODLARI!$A$1:$K$363,5,0)," ")</f>
        <v xml:space="preserve"> </v>
      </c>
      <c r="R493" s="100" t="str">
        <f>IFERROR(VLOOKUP(Tablo515[[#This Row],[ÜRÜN KODU]],YMKODLARI!$A$1:$K$363,6,0)," ")</f>
        <v xml:space="preserve"> </v>
      </c>
      <c r="S493" s="100" t="str">
        <f>IFERROR(Tablo515[[#This Row],[YOLLUK HARİÇ BASKI GRAMI]]/Tablo515[[#This Row],[KALIP GÖZ ADEDİ]]," ")</f>
        <v xml:space="preserve"> </v>
      </c>
      <c r="T493" s="100" t="str">
        <f t="shared" si="55"/>
        <v xml:space="preserve"> </v>
      </c>
      <c r="U493" s="100"/>
      <c r="V493" s="100" t="str">
        <f t="shared" si="54"/>
        <v xml:space="preserve"> </v>
      </c>
      <c r="W493" s="101">
        <f t="shared" si="56"/>
        <v>24</v>
      </c>
      <c r="X493" s="102">
        <f t="shared" si="57"/>
        <v>0</v>
      </c>
      <c r="Y493" s="100" t="str">
        <f t="shared" si="58"/>
        <v xml:space="preserve"> </v>
      </c>
      <c r="Z493" s="100" t="str">
        <f t="shared" si="59"/>
        <v xml:space="preserve"> </v>
      </c>
    </row>
    <row r="494" spans="1:26">
      <c r="A494" s="100"/>
      <c r="B494" s="108" t="str">
        <f>IFERROR(VLOOKUP(Tablo515[[#This Row],[ÜRÜN KODU]],YMKODLARI!$A$1:$K$363,2,0)," ")</f>
        <v xml:space="preserve"> </v>
      </c>
      <c r="C494" s="99"/>
      <c r="D494" s="100"/>
      <c r="E494" s="101"/>
      <c r="F494" s="101"/>
      <c r="G494" s="100" t="str">
        <f>IFERROR(VLOOKUP(Tablo515[[#This Row],[ÜRÜN KODU]],YMKODLARI!$A$1:$K$363,3,0)," ")</f>
        <v xml:space="preserve"> </v>
      </c>
      <c r="H494" s="100" t="str">
        <f>IFERROR(VLOOKUP(Tablo515[[#This Row],[ÜRÜN KODU]],YMKODLARI!$A$1:$K$363,4,0)," ")</f>
        <v xml:space="preserve"> </v>
      </c>
      <c r="I494" s="100"/>
      <c r="J494" s="100" t="str">
        <f>IFERROR(VLOOKUP(Tablo515[[#This Row],[ÜRÜN KODU]],YMKODLARI!$A$1:$K$363,9,0)," ")</f>
        <v xml:space="preserve"> </v>
      </c>
      <c r="K494" s="100" t="str">
        <f>IFERROR(VLOOKUP(Tablo515[[#This Row],[BOYA KODU]],Tablo14[#All],4,0)," ")</f>
        <v xml:space="preserve"> </v>
      </c>
      <c r="L494" s="100" t="str">
        <f>IFERROR(VLOOKUP(Tablo515[[#This Row],[BOYA KODU]],Tablo14[#All],6,0)," ")</f>
        <v xml:space="preserve"> </v>
      </c>
      <c r="M494" s="100" t="str">
        <f t="shared" si="53"/>
        <v xml:space="preserve"> </v>
      </c>
      <c r="N494" s="100" t="str">
        <f>IFERROR(VLOOKUP(Tablo515[[#This Row],[ÜRÜN KODU]],YMKODLARI!$A$1:$K$363,8,0)," ")</f>
        <v xml:space="preserve"> </v>
      </c>
      <c r="O494" s="100" t="str">
        <f>IFERROR(VLOOKUP(Tablo515[[#This Row],[HAMMADDE KODU]],Tablo1[#All],3,0)," ")</f>
        <v xml:space="preserve"> </v>
      </c>
      <c r="P494" s="100" t="str">
        <f>IFERROR(VLOOKUP(Tablo515[[#This Row],[HAMMADDE KODU]],Tablo1[#All],4,0)," ")</f>
        <v xml:space="preserve"> </v>
      </c>
      <c r="Q494" s="100" t="str">
        <f>IFERROR(VLOOKUP(Tablo515[[#This Row],[ÜRÜN KODU]],YMKODLARI!$A$1:$K$363,5,0)," ")</f>
        <v xml:space="preserve"> </v>
      </c>
      <c r="R494" s="100" t="str">
        <f>IFERROR(VLOOKUP(Tablo515[[#This Row],[ÜRÜN KODU]],YMKODLARI!$A$1:$K$363,6,0)," ")</f>
        <v xml:space="preserve"> </v>
      </c>
      <c r="S494" s="100" t="str">
        <f>IFERROR(Tablo515[[#This Row],[YOLLUK HARİÇ BASKI GRAMI]]/Tablo515[[#This Row],[KALIP GÖZ ADEDİ]]," ")</f>
        <v xml:space="preserve"> </v>
      </c>
      <c r="T494" s="100" t="str">
        <f t="shared" si="55"/>
        <v xml:space="preserve"> </v>
      </c>
      <c r="U494" s="100"/>
      <c r="V494" s="100" t="str">
        <f t="shared" si="54"/>
        <v xml:space="preserve"> </v>
      </c>
      <c r="W494" s="101">
        <f t="shared" si="56"/>
        <v>24</v>
      </c>
      <c r="X494" s="102">
        <f t="shared" si="57"/>
        <v>0</v>
      </c>
      <c r="Y494" s="100" t="str">
        <f t="shared" si="58"/>
        <v xml:space="preserve"> </v>
      </c>
      <c r="Z494" s="100" t="str">
        <f t="shared" si="59"/>
        <v xml:space="preserve"> </v>
      </c>
    </row>
    <row r="495" spans="1:26">
      <c r="A495" s="100"/>
      <c r="B495" s="108" t="str">
        <f>IFERROR(VLOOKUP(Tablo515[[#This Row],[ÜRÜN KODU]],YMKODLARI!$A$1:$K$363,2,0)," ")</f>
        <v xml:space="preserve"> </v>
      </c>
      <c r="C495" s="99"/>
      <c r="D495" s="100"/>
      <c r="E495" s="101"/>
      <c r="F495" s="101"/>
      <c r="G495" s="100" t="str">
        <f>IFERROR(VLOOKUP(Tablo515[[#This Row],[ÜRÜN KODU]],YMKODLARI!$A$1:$K$363,3,0)," ")</f>
        <v xml:space="preserve"> </v>
      </c>
      <c r="H495" s="100" t="str">
        <f>IFERROR(VLOOKUP(Tablo515[[#This Row],[ÜRÜN KODU]],YMKODLARI!$A$1:$K$363,4,0)," ")</f>
        <v xml:space="preserve"> </v>
      </c>
      <c r="I495" s="100"/>
      <c r="J495" s="100" t="str">
        <f>IFERROR(VLOOKUP(Tablo515[[#This Row],[ÜRÜN KODU]],YMKODLARI!$A$1:$K$363,9,0)," ")</f>
        <v xml:space="preserve"> </v>
      </c>
      <c r="K495" s="100" t="str">
        <f>IFERROR(VLOOKUP(Tablo515[[#This Row],[BOYA KODU]],Tablo14[#All],4,0)," ")</f>
        <v xml:space="preserve"> </v>
      </c>
      <c r="L495" s="100" t="str">
        <f>IFERROR(VLOOKUP(Tablo515[[#This Row],[BOYA KODU]],Tablo14[#All],6,0)," ")</f>
        <v xml:space="preserve"> </v>
      </c>
      <c r="M495" s="100" t="str">
        <f t="shared" si="53"/>
        <v xml:space="preserve"> </v>
      </c>
      <c r="N495" s="100" t="str">
        <f>IFERROR(VLOOKUP(Tablo515[[#This Row],[ÜRÜN KODU]],YMKODLARI!$A$1:$K$363,8,0)," ")</f>
        <v xml:space="preserve"> </v>
      </c>
      <c r="O495" s="100" t="str">
        <f>IFERROR(VLOOKUP(Tablo515[[#This Row],[HAMMADDE KODU]],Tablo1[#All],3,0)," ")</f>
        <v xml:space="preserve"> </v>
      </c>
      <c r="P495" s="100" t="str">
        <f>IFERROR(VLOOKUP(Tablo515[[#This Row],[HAMMADDE KODU]],Tablo1[#All],4,0)," ")</f>
        <v xml:space="preserve"> </v>
      </c>
      <c r="Q495" s="100" t="str">
        <f>IFERROR(VLOOKUP(Tablo515[[#This Row],[ÜRÜN KODU]],YMKODLARI!$A$1:$K$363,5,0)," ")</f>
        <v xml:space="preserve"> </v>
      </c>
      <c r="R495" s="100" t="str">
        <f>IFERROR(VLOOKUP(Tablo515[[#This Row],[ÜRÜN KODU]],YMKODLARI!$A$1:$K$363,6,0)," ")</f>
        <v xml:space="preserve"> </v>
      </c>
      <c r="S495" s="100" t="str">
        <f>IFERROR(Tablo515[[#This Row],[YOLLUK HARİÇ BASKI GRAMI]]/Tablo515[[#This Row],[KALIP GÖZ ADEDİ]]," ")</f>
        <v xml:space="preserve"> </v>
      </c>
      <c r="T495" s="100" t="str">
        <f t="shared" si="55"/>
        <v xml:space="preserve"> </v>
      </c>
      <c r="U495" s="100"/>
      <c r="V495" s="100" t="str">
        <f t="shared" si="54"/>
        <v xml:space="preserve"> </v>
      </c>
      <c r="W495" s="101">
        <f t="shared" si="56"/>
        <v>24</v>
      </c>
      <c r="X495" s="102">
        <f t="shared" si="57"/>
        <v>0</v>
      </c>
      <c r="Y495" s="100" t="str">
        <f t="shared" si="58"/>
        <v xml:space="preserve"> </v>
      </c>
      <c r="Z495" s="100" t="str">
        <f t="shared" si="59"/>
        <v xml:space="preserve"> </v>
      </c>
    </row>
    <row r="496" spans="1:26">
      <c r="A496" s="100"/>
      <c r="B496" s="108" t="str">
        <f>IFERROR(VLOOKUP(Tablo515[[#This Row],[ÜRÜN KODU]],YMKODLARI!$A$1:$K$363,2,0)," ")</f>
        <v xml:space="preserve"> </v>
      </c>
      <c r="C496" s="99"/>
      <c r="D496" s="100"/>
      <c r="E496" s="101"/>
      <c r="F496" s="101"/>
      <c r="G496" s="100" t="str">
        <f>IFERROR(VLOOKUP(Tablo515[[#This Row],[ÜRÜN KODU]],YMKODLARI!$A$1:$K$363,3,0)," ")</f>
        <v xml:space="preserve"> </v>
      </c>
      <c r="H496" s="100" t="str">
        <f>IFERROR(VLOOKUP(Tablo515[[#This Row],[ÜRÜN KODU]],YMKODLARI!$A$1:$K$363,4,0)," ")</f>
        <v xml:space="preserve"> </v>
      </c>
      <c r="I496" s="100"/>
      <c r="J496" s="100" t="str">
        <f>IFERROR(VLOOKUP(Tablo515[[#This Row],[ÜRÜN KODU]],YMKODLARI!$A$1:$K$363,9,0)," ")</f>
        <v xml:space="preserve"> </v>
      </c>
      <c r="K496" s="100" t="str">
        <f>IFERROR(VLOOKUP(Tablo515[[#This Row],[BOYA KODU]],Tablo14[#All],4,0)," ")</f>
        <v xml:space="preserve"> </v>
      </c>
      <c r="L496" s="100" t="str">
        <f>IFERROR(VLOOKUP(Tablo515[[#This Row],[BOYA KODU]],Tablo14[#All],6,0)," ")</f>
        <v xml:space="preserve"> </v>
      </c>
      <c r="M496" s="100" t="str">
        <f t="shared" si="53"/>
        <v xml:space="preserve"> </v>
      </c>
      <c r="N496" s="100" t="str">
        <f>IFERROR(VLOOKUP(Tablo515[[#This Row],[ÜRÜN KODU]],YMKODLARI!$A$1:$K$363,8,0)," ")</f>
        <v xml:space="preserve"> </v>
      </c>
      <c r="O496" s="100" t="str">
        <f>IFERROR(VLOOKUP(Tablo515[[#This Row],[HAMMADDE KODU]],Tablo1[#All],3,0)," ")</f>
        <v xml:space="preserve"> </v>
      </c>
      <c r="P496" s="100" t="str">
        <f>IFERROR(VLOOKUP(Tablo515[[#This Row],[HAMMADDE KODU]],Tablo1[#All],4,0)," ")</f>
        <v xml:space="preserve"> </v>
      </c>
      <c r="Q496" s="100" t="str">
        <f>IFERROR(VLOOKUP(Tablo515[[#This Row],[ÜRÜN KODU]],YMKODLARI!$A$1:$K$363,5,0)," ")</f>
        <v xml:space="preserve"> </v>
      </c>
      <c r="R496" s="100" t="str">
        <f>IFERROR(VLOOKUP(Tablo515[[#This Row],[ÜRÜN KODU]],YMKODLARI!$A$1:$K$363,6,0)," ")</f>
        <v xml:space="preserve"> </v>
      </c>
      <c r="S496" s="100" t="str">
        <f>IFERROR(Tablo515[[#This Row],[YOLLUK HARİÇ BASKI GRAMI]]/Tablo515[[#This Row],[KALIP GÖZ ADEDİ]]," ")</f>
        <v xml:space="preserve"> </v>
      </c>
      <c r="T496" s="100" t="str">
        <f t="shared" si="55"/>
        <v xml:space="preserve"> </v>
      </c>
      <c r="U496" s="100"/>
      <c r="V496" s="100" t="str">
        <f t="shared" si="54"/>
        <v xml:space="preserve"> </v>
      </c>
      <c r="W496" s="101">
        <f t="shared" si="56"/>
        <v>24</v>
      </c>
      <c r="X496" s="102">
        <f t="shared" si="57"/>
        <v>0</v>
      </c>
      <c r="Y496" s="100" t="str">
        <f t="shared" si="58"/>
        <v xml:space="preserve"> </v>
      </c>
      <c r="Z496" s="100" t="str">
        <f t="shared" si="59"/>
        <v xml:space="preserve"> </v>
      </c>
    </row>
    <row r="497" spans="1:26">
      <c r="A497" s="100"/>
      <c r="B497" s="108" t="str">
        <f>IFERROR(VLOOKUP(Tablo515[[#This Row],[ÜRÜN KODU]],YMKODLARI!$A$1:$K$363,2,0)," ")</f>
        <v xml:space="preserve"> </v>
      </c>
      <c r="C497" s="99"/>
      <c r="D497" s="100"/>
      <c r="E497" s="101"/>
      <c r="F497" s="101"/>
      <c r="G497" s="100" t="str">
        <f>IFERROR(VLOOKUP(Tablo515[[#This Row],[ÜRÜN KODU]],YMKODLARI!$A$1:$K$363,3,0)," ")</f>
        <v xml:space="preserve"> </v>
      </c>
      <c r="H497" s="100" t="str">
        <f>IFERROR(VLOOKUP(Tablo515[[#This Row],[ÜRÜN KODU]],YMKODLARI!$A$1:$K$363,4,0)," ")</f>
        <v xml:space="preserve"> </v>
      </c>
      <c r="I497" s="100"/>
      <c r="J497" s="100" t="str">
        <f>IFERROR(VLOOKUP(Tablo515[[#This Row],[ÜRÜN KODU]],YMKODLARI!$A$1:$K$363,9,0)," ")</f>
        <v xml:space="preserve"> </v>
      </c>
      <c r="K497" s="100" t="str">
        <f>IFERROR(VLOOKUP(Tablo515[[#This Row],[BOYA KODU]],Tablo14[#All],4,0)," ")</f>
        <v xml:space="preserve"> </v>
      </c>
      <c r="L497" s="100" t="str">
        <f>IFERROR(VLOOKUP(Tablo515[[#This Row],[BOYA KODU]],Tablo14[#All],6,0)," ")</f>
        <v xml:space="preserve"> </v>
      </c>
      <c r="M497" s="100" t="str">
        <f t="shared" si="53"/>
        <v xml:space="preserve"> </v>
      </c>
      <c r="N497" s="100" t="str">
        <f>IFERROR(VLOOKUP(Tablo515[[#This Row],[ÜRÜN KODU]],YMKODLARI!$A$1:$K$363,8,0)," ")</f>
        <v xml:space="preserve"> </v>
      </c>
      <c r="O497" s="100" t="str">
        <f>IFERROR(VLOOKUP(Tablo515[[#This Row],[HAMMADDE KODU]],Tablo1[#All],3,0)," ")</f>
        <v xml:space="preserve"> </v>
      </c>
      <c r="P497" s="100" t="str">
        <f>IFERROR(VLOOKUP(Tablo515[[#This Row],[HAMMADDE KODU]],Tablo1[#All],4,0)," ")</f>
        <v xml:space="preserve"> </v>
      </c>
      <c r="Q497" s="100" t="str">
        <f>IFERROR(VLOOKUP(Tablo515[[#This Row],[ÜRÜN KODU]],YMKODLARI!$A$1:$K$363,5,0)," ")</f>
        <v xml:space="preserve"> </v>
      </c>
      <c r="R497" s="100" t="str">
        <f>IFERROR(VLOOKUP(Tablo515[[#This Row],[ÜRÜN KODU]],YMKODLARI!$A$1:$K$363,6,0)," ")</f>
        <v xml:space="preserve"> </v>
      </c>
      <c r="S497" s="100" t="str">
        <f>IFERROR(Tablo515[[#This Row],[YOLLUK HARİÇ BASKI GRAMI]]/Tablo515[[#This Row],[KALIP GÖZ ADEDİ]]," ")</f>
        <v xml:space="preserve"> </v>
      </c>
      <c r="T497" s="100" t="str">
        <f t="shared" si="55"/>
        <v xml:space="preserve"> </v>
      </c>
      <c r="U497" s="100"/>
      <c r="V497" s="100" t="str">
        <f t="shared" si="54"/>
        <v xml:space="preserve"> </v>
      </c>
      <c r="W497" s="101">
        <f t="shared" si="56"/>
        <v>24</v>
      </c>
      <c r="X497" s="102">
        <f t="shared" si="57"/>
        <v>0</v>
      </c>
      <c r="Y497" s="100" t="str">
        <f t="shared" si="58"/>
        <v xml:space="preserve"> </v>
      </c>
      <c r="Z497" s="100" t="str">
        <f t="shared" si="59"/>
        <v xml:space="preserve"> </v>
      </c>
    </row>
    <row r="498" spans="1:26">
      <c r="A498" s="100"/>
      <c r="B498" s="108" t="str">
        <f>IFERROR(VLOOKUP(Tablo515[[#This Row],[ÜRÜN KODU]],YMKODLARI!$A$1:$K$363,2,0)," ")</f>
        <v xml:space="preserve"> </v>
      </c>
      <c r="C498" s="99"/>
      <c r="D498" s="100"/>
      <c r="E498" s="101"/>
      <c r="F498" s="101"/>
      <c r="G498" s="100" t="str">
        <f>IFERROR(VLOOKUP(Tablo515[[#This Row],[ÜRÜN KODU]],YMKODLARI!$A$1:$K$363,3,0)," ")</f>
        <v xml:space="preserve"> </v>
      </c>
      <c r="H498" s="100" t="str">
        <f>IFERROR(VLOOKUP(Tablo515[[#This Row],[ÜRÜN KODU]],YMKODLARI!$A$1:$K$363,4,0)," ")</f>
        <v xml:space="preserve"> </v>
      </c>
      <c r="I498" s="100"/>
      <c r="J498" s="100" t="str">
        <f>IFERROR(VLOOKUP(Tablo515[[#This Row],[ÜRÜN KODU]],YMKODLARI!$A$1:$K$363,9,0)," ")</f>
        <v xml:space="preserve"> </v>
      </c>
      <c r="K498" s="100" t="str">
        <f>IFERROR(VLOOKUP(Tablo515[[#This Row],[BOYA KODU]],Tablo14[#All],4,0)," ")</f>
        <v xml:space="preserve"> </v>
      </c>
      <c r="L498" s="100" t="str">
        <f>IFERROR(VLOOKUP(Tablo515[[#This Row],[BOYA KODU]],Tablo14[#All],6,0)," ")</f>
        <v xml:space="preserve"> </v>
      </c>
      <c r="M498" s="100" t="str">
        <f t="shared" si="53"/>
        <v xml:space="preserve"> </v>
      </c>
      <c r="N498" s="100" t="str">
        <f>IFERROR(VLOOKUP(Tablo515[[#This Row],[ÜRÜN KODU]],YMKODLARI!$A$1:$K$363,8,0)," ")</f>
        <v xml:space="preserve"> </v>
      </c>
      <c r="O498" s="100" t="str">
        <f>IFERROR(VLOOKUP(Tablo515[[#This Row],[HAMMADDE KODU]],Tablo1[#All],3,0)," ")</f>
        <v xml:space="preserve"> </v>
      </c>
      <c r="P498" s="100" t="str">
        <f>IFERROR(VLOOKUP(Tablo515[[#This Row],[HAMMADDE KODU]],Tablo1[#All],4,0)," ")</f>
        <v xml:space="preserve"> </v>
      </c>
      <c r="Q498" s="100" t="str">
        <f>IFERROR(VLOOKUP(Tablo515[[#This Row],[ÜRÜN KODU]],YMKODLARI!$A$1:$K$363,5,0)," ")</f>
        <v xml:space="preserve"> </v>
      </c>
      <c r="R498" s="100" t="str">
        <f>IFERROR(VLOOKUP(Tablo515[[#This Row],[ÜRÜN KODU]],YMKODLARI!$A$1:$K$363,6,0)," ")</f>
        <v xml:space="preserve"> </v>
      </c>
      <c r="S498" s="100" t="str">
        <f>IFERROR(Tablo515[[#This Row],[YOLLUK HARİÇ BASKI GRAMI]]/Tablo515[[#This Row],[KALIP GÖZ ADEDİ]]," ")</f>
        <v xml:space="preserve"> </v>
      </c>
      <c r="T498" s="100" t="str">
        <f t="shared" si="55"/>
        <v xml:space="preserve"> </v>
      </c>
      <c r="U498" s="100"/>
      <c r="V498" s="100" t="str">
        <f t="shared" si="54"/>
        <v xml:space="preserve"> </v>
      </c>
      <c r="W498" s="101">
        <f t="shared" si="56"/>
        <v>24</v>
      </c>
      <c r="X498" s="102">
        <f t="shared" si="57"/>
        <v>0</v>
      </c>
      <c r="Y498" s="100" t="str">
        <f t="shared" si="58"/>
        <v xml:space="preserve"> </v>
      </c>
      <c r="Z498" s="100" t="str">
        <f t="shared" si="59"/>
        <v xml:space="preserve"> </v>
      </c>
    </row>
    <row r="499" spans="1:26">
      <c r="A499" s="100"/>
      <c r="B499" s="108" t="str">
        <f>IFERROR(VLOOKUP(Tablo515[[#This Row],[ÜRÜN KODU]],YMKODLARI!$A$1:$K$363,2,0)," ")</f>
        <v xml:space="preserve"> </v>
      </c>
      <c r="C499" s="99"/>
      <c r="D499" s="100"/>
      <c r="E499" s="101"/>
      <c r="F499" s="101"/>
      <c r="G499" s="100" t="str">
        <f>IFERROR(VLOOKUP(Tablo515[[#This Row],[ÜRÜN KODU]],YMKODLARI!$A$1:$K$363,3,0)," ")</f>
        <v xml:space="preserve"> </v>
      </c>
      <c r="H499" s="100" t="str">
        <f>IFERROR(VLOOKUP(Tablo515[[#This Row],[ÜRÜN KODU]],YMKODLARI!$A$1:$K$363,4,0)," ")</f>
        <v xml:space="preserve"> </v>
      </c>
      <c r="I499" s="100"/>
      <c r="J499" s="100" t="str">
        <f>IFERROR(VLOOKUP(Tablo515[[#This Row],[ÜRÜN KODU]],YMKODLARI!$A$1:$K$363,9,0)," ")</f>
        <v xml:space="preserve"> </v>
      </c>
      <c r="K499" s="100" t="str">
        <f>IFERROR(VLOOKUP(Tablo515[[#This Row],[BOYA KODU]],Tablo14[#All],4,0)," ")</f>
        <v xml:space="preserve"> </v>
      </c>
      <c r="L499" s="100" t="str">
        <f>IFERROR(VLOOKUP(Tablo515[[#This Row],[BOYA KODU]],Tablo14[#All],6,0)," ")</f>
        <v xml:space="preserve"> </v>
      </c>
      <c r="M499" s="100" t="str">
        <f t="shared" si="53"/>
        <v xml:space="preserve"> </v>
      </c>
      <c r="N499" s="100" t="str">
        <f>IFERROR(VLOOKUP(Tablo515[[#This Row],[ÜRÜN KODU]],YMKODLARI!$A$1:$K$363,8,0)," ")</f>
        <v xml:space="preserve"> </v>
      </c>
      <c r="O499" s="100" t="str">
        <f>IFERROR(VLOOKUP(Tablo515[[#This Row],[HAMMADDE KODU]],Tablo1[#All],3,0)," ")</f>
        <v xml:space="preserve"> </v>
      </c>
      <c r="P499" s="100" t="str">
        <f>IFERROR(VLOOKUP(Tablo515[[#This Row],[HAMMADDE KODU]],Tablo1[#All],4,0)," ")</f>
        <v xml:space="preserve"> </v>
      </c>
      <c r="Q499" s="100" t="str">
        <f>IFERROR(VLOOKUP(Tablo515[[#This Row],[ÜRÜN KODU]],YMKODLARI!$A$1:$K$363,5,0)," ")</f>
        <v xml:space="preserve"> </v>
      </c>
      <c r="R499" s="100" t="str">
        <f>IFERROR(VLOOKUP(Tablo515[[#This Row],[ÜRÜN KODU]],YMKODLARI!$A$1:$K$363,6,0)," ")</f>
        <v xml:space="preserve"> </v>
      </c>
      <c r="S499" s="100" t="str">
        <f>IFERROR(Tablo515[[#This Row],[YOLLUK HARİÇ BASKI GRAMI]]/Tablo515[[#This Row],[KALIP GÖZ ADEDİ]]," ")</f>
        <v xml:space="preserve"> </v>
      </c>
      <c r="T499" s="100" t="str">
        <f t="shared" si="55"/>
        <v xml:space="preserve"> </v>
      </c>
      <c r="U499" s="100"/>
      <c r="V499" s="100" t="str">
        <f t="shared" si="54"/>
        <v xml:space="preserve"> </v>
      </c>
      <c r="W499" s="101">
        <f t="shared" si="56"/>
        <v>24</v>
      </c>
      <c r="X499" s="102">
        <f t="shared" si="57"/>
        <v>0</v>
      </c>
      <c r="Y499" s="100" t="str">
        <f t="shared" si="58"/>
        <v xml:space="preserve"> </v>
      </c>
      <c r="Z499" s="100" t="str">
        <f t="shared" si="59"/>
        <v xml:space="preserve"> </v>
      </c>
    </row>
    <row r="500" spans="1:26">
      <c r="A500" s="100"/>
      <c r="B500" s="108" t="str">
        <f>IFERROR(VLOOKUP(Tablo515[[#This Row],[ÜRÜN KODU]],YMKODLARI!$A$1:$K$363,2,0)," ")</f>
        <v xml:space="preserve"> </v>
      </c>
      <c r="C500" s="99"/>
      <c r="D500" s="100"/>
      <c r="E500" s="101"/>
      <c r="F500" s="101"/>
      <c r="G500" s="100" t="str">
        <f>IFERROR(VLOOKUP(Tablo515[[#This Row],[ÜRÜN KODU]],YMKODLARI!$A$1:$K$363,3,0)," ")</f>
        <v xml:space="preserve"> </v>
      </c>
      <c r="H500" s="100" t="str">
        <f>IFERROR(VLOOKUP(Tablo515[[#This Row],[ÜRÜN KODU]],YMKODLARI!$A$1:$K$363,4,0)," ")</f>
        <v xml:space="preserve"> </v>
      </c>
      <c r="I500" s="100"/>
      <c r="J500" s="100" t="str">
        <f>IFERROR(VLOOKUP(Tablo515[[#This Row],[ÜRÜN KODU]],YMKODLARI!$A$1:$K$363,9,0)," ")</f>
        <v xml:space="preserve"> </v>
      </c>
      <c r="K500" s="100" t="str">
        <f>IFERROR(VLOOKUP(Tablo515[[#This Row],[BOYA KODU]],Tablo14[#All],4,0)," ")</f>
        <v xml:space="preserve"> </v>
      </c>
      <c r="L500" s="100" t="str">
        <f>IFERROR(VLOOKUP(Tablo515[[#This Row],[BOYA KODU]],Tablo14[#All],6,0)," ")</f>
        <v xml:space="preserve"> </v>
      </c>
      <c r="M500" s="100" t="str">
        <f t="shared" si="53"/>
        <v xml:space="preserve"> </v>
      </c>
      <c r="N500" s="100" t="str">
        <f>IFERROR(VLOOKUP(Tablo515[[#This Row],[ÜRÜN KODU]],YMKODLARI!$A$1:$K$363,8,0)," ")</f>
        <v xml:space="preserve"> </v>
      </c>
      <c r="O500" s="100" t="str">
        <f>IFERROR(VLOOKUP(Tablo515[[#This Row],[HAMMADDE KODU]],Tablo1[#All],3,0)," ")</f>
        <v xml:space="preserve"> </v>
      </c>
      <c r="P500" s="100" t="str">
        <f>IFERROR(VLOOKUP(Tablo515[[#This Row],[HAMMADDE KODU]],Tablo1[#All],4,0)," ")</f>
        <v xml:space="preserve"> </v>
      </c>
      <c r="Q500" s="100" t="str">
        <f>IFERROR(VLOOKUP(Tablo515[[#This Row],[ÜRÜN KODU]],YMKODLARI!$A$1:$K$363,5,0)," ")</f>
        <v xml:space="preserve"> </v>
      </c>
      <c r="R500" s="100" t="str">
        <f>IFERROR(VLOOKUP(Tablo515[[#This Row],[ÜRÜN KODU]],YMKODLARI!$A$1:$K$363,6,0)," ")</f>
        <v xml:space="preserve"> </v>
      </c>
      <c r="S500" s="100" t="str">
        <f>IFERROR(Tablo515[[#This Row],[YOLLUK HARİÇ BASKI GRAMI]]/Tablo515[[#This Row],[KALIP GÖZ ADEDİ]]," ")</f>
        <v xml:space="preserve"> </v>
      </c>
      <c r="T500" s="100" t="str">
        <f t="shared" si="55"/>
        <v xml:space="preserve"> </v>
      </c>
      <c r="U500" s="100"/>
      <c r="V500" s="100" t="str">
        <f t="shared" si="54"/>
        <v xml:space="preserve"> </v>
      </c>
      <c r="W500" s="101">
        <f t="shared" si="56"/>
        <v>24</v>
      </c>
      <c r="X500" s="102">
        <f t="shared" si="57"/>
        <v>0</v>
      </c>
      <c r="Y500" s="100" t="str">
        <f t="shared" si="58"/>
        <v xml:space="preserve"> </v>
      </c>
      <c r="Z500" s="100" t="str">
        <f t="shared" si="59"/>
        <v xml:space="preserve"> </v>
      </c>
    </row>
    <row r="501" spans="1:26">
      <c r="A501" s="100"/>
      <c r="B501" s="108" t="str">
        <f>IFERROR(VLOOKUP(Tablo515[[#This Row],[ÜRÜN KODU]],YMKODLARI!$A$1:$K$363,2,0)," ")</f>
        <v xml:space="preserve"> </v>
      </c>
      <c r="C501" s="99"/>
      <c r="D501" s="100"/>
      <c r="E501" s="101"/>
      <c r="F501" s="101"/>
      <c r="G501" s="100" t="str">
        <f>IFERROR(VLOOKUP(Tablo515[[#This Row],[ÜRÜN KODU]],YMKODLARI!$A$1:$K$363,3,0)," ")</f>
        <v xml:space="preserve"> </v>
      </c>
      <c r="H501" s="100" t="str">
        <f>IFERROR(VLOOKUP(Tablo515[[#This Row],[ÜRÜN KODU]],YMKODLARI!$A$1:$K$363,4,0)," ")</f>
        <v xml:space="preserve"> </v>
      </c>
      <c r="I501" s="100"/>
      <c r="J501" s="100" t="str">
        <f>IFERROR(VLOOKUP(Tablo515[[#This Row],[ÜRÜN KODU]],YMKODLARI!$A$1:$K$363,9,0)," ")</f>
        <v xml:space="preserve"> </v>
      </c>
      <c r="K501" s="100" t="str">
        <f>IFERROR(VLOOKUP(Tablo515[[#This Row],[BOYA KODU]],Tablo14[#All],4,0)," ")</f>
        <v xml:space="preserve"> </v>
      </c>
      <c r="L501" s="100" t="str">
        <f>IFERROR(VLOOKUP(Tablo515[[#This Row],[BOYA KODU]],Tablo14[#All],6,0)," ")</f>
        <v xml:space="preserve"> </v>
      </c>
      <c r="M501" s="100" t="str">
        <f t="shared" si="53"/>
        <v xml:space="preserve"> </v>
      </c>
      <c r="N501" s="100" t="str">
        <f>IFERROR(VLOOKUP(Tablo515[[#This Row],[ÜRÜN KODU]],YMKODLARI!$A$1:$K$363,8,0)," ")</f>
        <v xml:space="preserve"> </v>
      </c>
      <c r="O501" s="100" t="str">
        <f>IFERROR(VLOOKUP(Tablo515[[#This Row],[HAMMADDE KODU]],Tablo1[#All],3,0)," ")</f>
        <v xml:space="preserve"> </v>
      </c>
      <c r="P501" s="100" t="str">
        <f>IFERROR(VLOOKUP(Tablo515[[#This Row],[HAMMADDE KODU]],Tablo1[#All],4,0)," ")</f>
        <v xml:space="preserve"> </v>
      </c>
      <c r="Q501" s="100" t="str">
        <f>IFERROR(VLOOKUP(Tablo515[[#This Row],[ÜRÜN KODU]],YMKODLARI!$A$1:$K$363,5,0)," ")</f>
        <v xml:space="preserve"> </v>
      </c>
      <c r="R501" s="100" t="str">
        <f>IFERROR(VLOOKUP(Tablo515[[#This Row],[ÜRÜN KODU]],YMKODLARI!$A$1:$K$363,6,0)," ")</f>
        <v xml:space="preserve"> </v>
      </c>
      <c r="S501" s="100" t="str">
        <f>IFERROR(Tablo515[[#This Row],[YOLLUK HARİÇ BASKI GRAMI]]/Tablo515[[#This Row],[KALIP GÖZ ADEDİ]]," ")</f>
        <v xml:space="preserve"> </v>
      </c>
      <c r="T501" s="100" t="str">
        <f t="shared" si="55"/>
        <v xml:space="preserve"> </v>
      </c>
      <c r="U501" s="100"/>
      <c r="V501" s="100" t="str">
        <f t="shared" si="54"/>
        <v xml:space="preserve"> </v>
      </c>
      <c r="W501" s="101">
        <f t="shared" si="56"/>
        <v>24</v>
      </c>
      <c r="X501" s="102">
        <f t="shared" si="57"/>
        <v>0</v>
      </c>
      <c r="Y501" s="100" t="str">
        <f t="shared" si="58"/>
        <v xml:space="preserve"> </v>
      </c>
      <c r="Z501" s="100" t="str">
        <f t="shared" si="59"/>
        <v xml:space="preserve"> </v>
      </c>
    </row>
    <row r="502" spans="1:26">
      <c r="A502" s="100"/>
      <c r="B502" s="108" t="str">
        <f>IFERROR(VLOOKUP(Tablo515[[#This Row],[ÜRÜN KODU]],YMKODLARI!$A$1:$K$363,2,0)," ")</f>
        <v xml:space="preserve"> </v>
      </c>
      <c r="C502" s="99"/>
      <c r="D502" s="100"/>
      <c r="E502" s="101"/>
      <c r="F502" s="101"/>
      <c r="G502" s="100" t="str">
        <f>IFERROR(VLOOKUP(Tablo515[[#This Row],[ÜRÜN KODU]],YMKODLARI!$A$1:$K$363,3,0)," ")</f>
        <v xml:space="preserve"> </v>
      </c>
      <c r="H502" s="100" t="str">
        <f>IFERROR(VLOOKUP(Tablo515[[#This Row],[ÜRÜN KODU]],YMKODLARI!$A$1:$K$363,4,0)," ")</f>
        <v xml:space="preserve"> </v>
      </c>
      <c r="I502" s="100"/>
      <c r="J502" s="100" t="str">
        <f>IFERROR(VLOOKUP(Tablo515[[#This Row],[ÜRÜN KODU]],YMKODLARI!$A$1:$K$363,9,0)," ")</f>
        <v xml:space="preserve"> </v>
      </c>
      <c r="K502" s="100" t="str">
        <f>IFERROR(VLOOKUP(Tablo515[[#This Row],[BOYA KODU]],Tablo14[#All],4,0)," ")</f>
        <v xml:space="preserve"> </v>
      </c>
      <c r="L502" s="100" t="str">
        <f>IFERROR(VLOOKUP(Tablo515[[#This Row],[BOYA KODU]],Tablo14[#All],6,0)," ")</f>
        <v xml:space="preserve"> </v>
      </c>
      <c r="M502" s="100" t="str">
        <f t="shared" si="53"/>
        <v xml:space="preserve"> </v>
      </c>
      <c r="N502" s="100" t="str">
        <f>IFERROR(VLOOKUP(Tablo515[[#This Row],[ÜRÜN KODU]],YMKODLARI!$A$1:$K$363,8,0)," ")</f>
        <v xml:space="preserve"> </v>
      </c>
      <c r="O502" s="100" t="str">
        <f>IFERROR(VLOOKUP(Tablo515[[#This Row],[HAMMADDE KODU]],Tablo1[#All],3,0)," ")</f>
        <v xml:space="preserve"> </v>
      </c>
      <c r="P502" s="100" t="str">
        <f>IFERROR(VLOOKUP(Tablo515[[#This Row],[HAMMADDE KODU]],Tablo1[#All],4,0)," ")</f>
        <v xml:space="preserve"> </v>
      </c>
      <c r="Q502" s="100" t="str">
        <f>IFERROR(VLOOKUP(Tablo515[[#This Row],[ÜRÜN KODU]],YMKODLARI!$A$1:$K$363,5,0)," ")</f>
        <v xml:space="preserve"> </v>
      </c>
      <c r="R502" s="100" t="str">
        <f>IFERROR(VLOOKUP(Tablo515[[#This Row],[ÜRÜN KODU]],YMKODLARI!$A$1:$K$363,6,0)," ")</f>
        <v xml:space="preserve"> </v>
      </c>
      <c r="S502" s="100" t="str">
        <f>IFERROR(Tablo515[[#This Row],[YOLLUK HARİÇ BASKI GRAMI]]/Tablo515[[#This Row],[KALIP GÖZ ADEDİ]]," ")</f>
        <v xml:space="preserve"> </v>
      </c>
      <c r="T502" s="100" t="str">
        <f t="shared" si="55"/>
        <v xml:space="preserve"> </v>
      </c>
      <c r="U502" s="100"/>
      <c r="V502" s="100" t="str">
        <f t="shared" si="54"/>
        <v xml:space="preserve"> </v>
      </c>
      <c r="W502" s="101">
        <f t="shared" si="56"/>
        <v>24</v>
      </c>
      <c r="X502" s="102">
        <f t="shared" si="57"/>
        <v>0</v>
      </c>
      <c r="Y502" s="100" t="str">
        <f t="shared" si="58"/>
        <v xml:space="preserve"> </v>
      </c>
      <c r="Z502" s="100" t="str">
        <f t="shared" si="59"/>
        <v xml:space="preserve"> </v>
      </c>
    </row>
    <row r="503" spans="1:26">
      <c r="A503" s="100"/>
      <c r="B503" s="108" t="str">
        <f>IFERROR(VLOOKUP(Tablo515[[#This Row],[ÜRÜN KODU]],YMKODLARI!$A$1:$K$363,2,0)," ")</f>
        <v xml:space="preserve"> </v>
      </c>
      <c r="C503" s="99"/>
      <c r="D503" s="100"/>
      <c r="E503" s="101"/>
      <c r="F503" s="101"/>
      <c r="G503" s="100" t="str">
        <f>IFERROR(VLOOKUP(Tablo515[[#This Row],[ÜRÜN KODU]],YMKODLARI!$A$1:$K$363,3,0)," ")</f>
        <v xml:space="preserve"> </v>
      </c>
      <c r="H503" s="100" t="str">
        <f>IFERROR(VLOOKUP(Tablo515[[#This Row],[ÜRÜN KODU]],YMKODLARI!$A$1:$K$363,4,0)," ")</f>
        <v xml:space="preserve"> </v>
      </c>
      <c r="I503" s="100"/>
      <c r="J503" s="100" t="str">
        <f>IFERROR(VLOOKUP(Tablo515[[#This Row],[ÜRÜN KODU]],YMKODLARI!$A$1:$K$363,9,0)," ")</f>
        <v xml:space="preserve"> </v>
      </c>
      <c r="K503" s="100" t="str">
        <f>IFERROR(VLOOKUP(Tablo515[[#This Row],[BOYA KODU]],Tablo14[#All],4,0)," ")</f>
        <v xml:space="preserve"> </v>
      </c>
      <c r="L503" s="100" t="str">
        <f>IFERROR(VLOOKUP(Tablo515[[#This Row],[BOYA KODU]],Tablo14[#All],6,0)," ")</f>
        <v xml:space="preserve"> </v>
      </c>
      <c r="M503" s="100" t="str">
        <f t="shared" si="53"/>
        <v xml:space="preserve"> </v>
      </c>
      <c r="N503" s="100" t="str">
        <f>IFERROR(VLOOKUP(Tablo515[[#This Row],[ÜRÜN KODU]],YMKODLARI!$A$1:$K$363,8,0)," ")</f>
        <v xml:space="preserve"> </v>
      </c>
      <c r="O503" s="100" t="str">
        <f>IFERROR(VLOOKUP(Tablo515[[#This Row],[HAMMADDE KODU]],Tablo1[#All],3,0)," ")</f>
        <v xml:space="preserve"> </v>
      </c>
      <c r="P503" s="100" t="str">
        <f>IFERROR(VLOOKUP(Tablo515[[#This Row],[HAMMADDE KODU]],Tablo1[#All],4,0)," ")</f>
        <v xml:space="preserve"> </v>
      </c>
      <c r="Q503" s="100" t="str">
        <f>IFERROR(VLOOKUP(Tablo515[[#This Row],[ÜRÜN KODU]],YMKODLARI!$A$1:$K$363,5,0)," ")</f>
        <v xml:space="preserve"> </v>
      </c>
      <c r="R503" s="100" t="str">
        <f>IFERROR(VLOOKUP(Tablo515[[#This Row],[ÜRÜN KODU]],YMKODLARI!$A$1:$K$363,6,0)," ")</f>
        <v xml:space="preserve"> </v>
      </c>
      <c r="S503" s="100" t="str">
        <f>IFERROR(Tablo515[[#This Row],[YOLLUK HARİÇ BASKI GRAMI]]/Tablo515[[#This Row],[KALIP GÖZ ADEDİ]]," ")</f>
        <v xml:space="preserve"> </v>
      </c>
      <c r="T503" s="100" t="str">
        <f t="shared" si="55"/>
        <v xml:space="preserve"> </v>
      </c>
      <c r="U503" s="100"/>
      <c r="V503" s="100" t="str">
        <f t="shared" si="54"/>
        <v xml:space="preserve"> </v>
      </c>
      <c r="W503" s="101">
        <f t="shared" si="56"/>
        <v>24</v>
      </c>
      <c r="X503" s="102">
        <f t="shared" si="57"/>
        <v>0</v>
      </c>
      <c r="Y503" s="100" t="str">
        <f t="shared" si="58"/>
        <v xml:space="preserve"> </v>
      </c>
      <c r="Z503" s="100" t="str">
        <f t="shared" si="59"/>
        <v xml:space="preserve"> </v>
      </c>
    </row>
    <row r="504" spans="1:26">
      <c r="A504" s="100"/>
      <c r="B504" s="108" t="str">
        <f>IFERROR(VLOOKUP(Tablo515[[#This Row],[ÜRÜN KODU]],YMKODLARI!$A$1:$K$363,2,0)," ")</f>
        <v xml:space="preserve"> </v>
      </c>
      <c r="C504" s="99"/>
      <c r="D504" s="100"/>
      <c r="E504" s="101"/>
      <c r="F504" s="101"/>
      <c r="G504" s="100" t="str">
        <f>IFERROR(VLOOKUP(Tablo515[[#This Row],[ÜRÜN KODU]],YMKODLARI!$A$1:$K$363,3,0)," ")</f>
        <v xml:space="preserve"> </v>
      </c>
      <c r="H504" s="100" t="str">
        <f>IFERROR(VLOOKUP(Tablo515[[#This Row],[ÜRÜN KODU]],YMKODLARI!$A$1:$K$363,4,0)," ")</f>
        <v xml:space="preserve"> </v>
      </c>
      <c r="I504" s="100"/>
      <c r="J504" s="100" t="str">
        <f>IFERROR(VLOOKUP(Tablo515[[#This Row],[ÜRÜN KODU]],YMKODLARI!$A$1:$K$363,9,0)," ")</f>
        <v xml:space="preserve"> </v>
      </c>
      <c r="K504" s="100" t="str">
        <f>IFERROR(VLOOKUP(Tablo515[[#This Row],[BOYA KODU]],Tablo14[#All],4,0)," ")</f>
        <v xml:space="preserve"> </v>
      </c>
      <c r="L504" s="100" t="str">
        <f>IFERROR(VLOOKUP(Tablo515[[#This Row],[BOYA KODU]],Tablo14[#All],6,0)," ")</f>
        <v xml:space="preserve"> </v>
      </c>
      <c r="M504" s="100" t="str">
        <f t="shared" si="53"/>
        <v xml:space="preserve"> </v>
      </c>
      <c r="N504" s="100" t="str">
        <f>IFERROR(VLOOKUP(Tablo515[[#This Row],[ÜRÜN KODU]],YMKODLARI!$A$1:$K$363,8,0)," ")</f>
        <v xml:space="preserve"> </v>
      </c>
      <c r="O504" s="100" t="str">
        <f>IFERROR(VLOOKUP(Tablo515[[#This Row],[HAMMADDE KODU]],Tablo1[#All],3,0)," ")</f>
        <v xml:space="preserve"> </v>
      </c>
      <c r="P504" s="100" t="str">
        <f>IFERROR(VLOOKUP(Tablo515[[#This Row],[HAMMADDE KODU]],Tablo1[#All],4,0)," ")</f>
        <v xml:space="preserve"> </v>
      </c>
      <c r="Q504" s="100" t="str">
        <f>IFERROR(VLOOKUP(Tablo515[[#This Row],[ÜRÜN KODU]],YMKODLARI!$A$1:$K$363,5,0)," ")</f>
        <v xml:space="preserve"> </v>
      </c>
      <c r="R504" s="100" t="str">
        <f>IFERROR(VLOOKUP(Tablo515[[#This Row],[ÜRÜN KODU]],YMKODLARI!$A$1:$K$363,6,0)," ")</f>
        <v xml:space="preserve"> </v>
      </c>
      <c r="S504" s="100" t="str">
        <f>IFERROR(Tablo515[[#This Row],[YOLLUK HARİÇ BASKI GRAMI]]/Tablo515[[#This Row],[KALIP GÖZ ADEDİ]]," ")</f>
        <v xml:space="preserve"> </v>
      </c>
      <c r="T504" s="100" t="str">
        <f t="shared" si="55"/>
        <v xml:space="preserve"> </v>
      </c>
      <c r="U504" s="100"/>
      <c r="V504" s="100" t="str">
        <f t="shared" si="54"/>
        <v xml:space="preserve"> </v>
      </c>
      <c r="W504" s="101">
        <f t="shared" si="56"/>
        <v>24</v>
      </c>
      <c r="X504" s="102">
        <f t="shared" si="57"/>
        <v>0</v>
      </c>
      <c r="Y504" s="100" t="str">
        <f t="shared" si="58"/>
        <v xml:space="preserve"> </v>
      </c>
      <c r="Z504" s="100" t="str">
        <f t="shared" si="59"/>
        <v xml:space="preserve"> </v>
      </c>
    </row>
    <row r="505" spans="1:26">
      <c r="A505" s="100"/>
      <c r="B505" s="108" t="str">
        <f>IFERROR(VLOOKUP(Tablo515[[#This Row],[ÜRÜN KODU]],YMKODLARI!$A$1:$K$363,2,0)," ")</f>
        <v xml:space="preserve"> </v>
      </c>
      <c r="C505" s="99"/>
      <c r="D505" s="100"/>
      <c r="E505" s="101"/>
      <c r="F505" s="101"/>
      <c r="G505" s="100" t="str">
        <f>IFERROR(VLOOKUP(Tablo515[[#This Row],[ÜRÜN KODU]],YMKODLARI!$A$1:$K$363,3,0)," ")</f>
        <v xml:space="preserve"> </v>
      </c>
      <c r="H505" s="100" t="str">
        <f>IFERROR(VLOOKUP(Tablo515[[#This Row],[ÜRÜN KODU]],YMKODLARI!$A$1:$K$363,4,0)," ")</f>
        <v xml:space="preserve"> </v>
      </c>
      <c r="I505" s="100"/>
      <c r="J505" s="100" t="str">
        <f>IFERROR(VLOOKUP(Tablo515[[#This Row],[ÜRÜN KODU]],YMKODLARI!$A$1:$K$363,9,0)," ")</f>
        <v xml:space="preserve"> </v>
      </c>
      <c r="K505" s="100" t="str">
        <f>IFERROR(VLOOKUP(Tablo515[[#This Row],[BOYA KODU]],Tablo14[#All],4,0)," ")</f>
        <v xml:space="preserve"> </v>
      </c>
      <c r="L505" s="100" t="str">
        <f>IFERROR(VLOOKUP(Tablo515[[#This Row],[BOYA KODU]],Tablo14[#All],6,0)," ")</f>
        <v xml:space="preserve"> </v>
      </c>
      <c r="M505" s="100" t="str">
        <f t="shared" si="53"/>
        <v xml:space="preserve"> </v>
      </c>
      <c r="N505" s="100" t="str">
        <f>IFERROR(VLOOKUP(Tablo515[[#This Row],[ÜRÜN KODU]],YMKODLARI!$A$1:$K$363,8,0)," ")</f>
        <v xml:space="preserve"> </v>
      </c>
      <c r="O505" s="100" t="str">
        <f>IFERROR(VLOOKUP(Tablo515[[#This Row],[HAMMADDE KODU]],Tablo1[#All],3,0)," ")</f>
        <v xml:space="preserve"> </v>
      </c>
      <c r="P505" s="100" t="str">
        <f>IFERROR(VLOOKUP(Tablo515[[#This Row],[HAMMADDE KODU]],Tablo1[#All],4,0)," ")</f>
        <v xml:space="preserve"> </v>
      </c>
      <c r="Q505" s="100" t="str">
        <f>IFERROR(VLOOKUP(Tablo515[[#This Row],[ÜRÜN KODU]],YMKODLARI!$A$1:$K$363,5,0)," ")</f>
        <v xml:space="preserve"> </v>
      </c>
      <c r="R505" s="100" t="str">
        <f>IFERROR(VLOOKUP(Tablo515[[#This Row],[ÜRÜN KODU]],YMKODLARI!$A$1:$K$363,6,0)," ")</f>
        <v xml:space="preserve"> </v>
      </c>
      <c r="S505" s="100" t="str">
        <f>IFERROR(Tablo515[[#This Row],[YOLLUK HARİÇ BASKI GRAMI]]/Tablo515[[#This Row],[KALIP GÖZ ADEDİ]]," ")</f>
        <v xml:space="preserve"> </v>
      </c>
      <c r="T505" s="100" t="str">
        <f t="shared" si="55"/>
        <v xml:space="preserve"> </v>
      </c>
      <c r="U505" s="100"/>
      <c r="V505" s="100" t="str">
        <f t="shared" si="54"/>
        <v xml:space="preserve"> </v>
      </c>
      <c r="W505" s="101">
        <f t="shared" si="56"/>
        <v>24</v>
      </c>
      <c r="X505" s="102">
        <f t="shared" si="57"/>
        <v>0</v>
      </c>
      <c r="Y505" s="100" t="str">
        <f t="shared" si="58"/>
        <v xml:space="preserve"> </v>
      </c>
      <c r="Z505" s="100" t="str">
        <f t="shared" si="59"/>
        <v xml:space="preserve"> </v>
      </c>
    </row>
    <row r="506" spans="1:26">
      <c r="A506" s="100"/>
      <c r="B506" s="108" t="str">
        <f>IFERROR(VLOOKUP(Tablo515[[#This Row],[ÜRÜN KODU]],YMKODLARI!$A$1:$K$363,2,0)," ")</f>
        <v xml:space="preserve"> </v>
      </c>
      <c r="C506" s="99"/>
      <c r="D506" s="100"/>
      <c r="E506" s="101"/>
      <c r="F506" s="101"/>
      <c r="G506" s="100" t="str">
        <f>IFERROR(VLOOKUP(Tablo515[[#This Row],[ÜRÜN KODU]],YMKODLARI!$A$1:$K$363,3,0)," ")</f>
        <v xml:space="preserve"> </v>
      </c>
      <c r="H506" s="100" t="str">
        <f>IFERROR(VLOOKUP(Tablo515[[#This Row],[ÜRÜN KODU]],YMKODLARI!$A$1:$K$363,4,0)," ")</f>
        <v xml:space="preserve"> </v>
      </c>
      <c r="I506" s="100"/>
      <c r="J506" s="100" t="str">
        <f>IFERROR(VLOOKUP(Tablo515[[#This Row],[ÜRÜN KODU]],YMKODLARI!$A$1:$K$363,9,0)," ")</f>
        <v xml:space="preserve"> </v>
      </c>
      <c r="K506" s="100" t="str">
        <f>IFERROR(VLOOKUP(Tablo515[[#This Row],[BOYA KODU]],Tablo14[#All],4,0)," ")</f>
        <v xml:space="preserve"> </v>
      </c>
      <c r="L506" s="100" t="str">
        <f>IFERROR(VLOOKUP(Tablo515[[#This Row],[BOYA KODU]],Tablo14[#All],6,0)," ")</f>
        <v xml:space="preserve"> </v>
      </c>
      <c r="M506" s="100" t="str">
        <f t="shared" si="53"/>
        <v xml:space="preserve"> </v>
      </c>
      <c r="N506" s="100" t="str">
        <f>IFERROR(VLOOKUP(Tablo515[[#This Row],[ÜRÜN KODU]],YMKODLARI!$A$1:$K$363,8,0)," ")</f>
        <v xml:space="preserve"> </v>
      </c>
      <c r="O506" s="100" t="str">
        <f>IFERROR(VLOOKUP(Tablo515[[#This Row],[HAMMADDE KODU]],Tablo1[#All],3,0)," ")</f>
        <v xml:space="preserve"> </v>
      </c>
      <c r="P506" s="100" t="str">
        <f>IFERROR(VLOOKUP(Tablo515[[#This Row],[HAMMADDE KODU]],Tablo1[#All],4,0)," ")</f>
        <v xml:space="preserve"> </v>
      </c>
      <c r="Q506" s="100" t="str">
        <f>IFERROR(VLOOKUP(Tablo515[[#This Row],[ÜRÜN KODU]],YMKODLARI!$A$1:$K$363,5,0)," ")</f>
        <v xml:space="preserve"> </v>
      </c>
      <c r="R506" s="100" t="str">
        <f>IFERROR(VLOOKUP(Tablo515[[#This Row],[ÜRÜN KODU]],YMKODLARI!$A$1:$K$363,6,0)," ")</f>
        <v xml:space="preserve"> </v>
      </c>
      <c r="S506" s="100" t="str">
        <f>IFERROR(Tablo515[[#This Row],[YOLLUK HARİÇ BASKI GRAMI]]/Tablo515[[#This Row],[KALIP GÖZ ADEDİ]]," ")</f>
        <v xml:space="preserve"> </v>
      </c>
      <c r="T506" s="100" t="str">
        <f t="shared" si="55"/>
        <v xml:space="preserve"> </v>
      </c>
      <c r="U506" s="100"/>
      <c r="V506" s="100" t="str">
        <f t="shared" si="54"/>
        <v xml:space="preserve"> </v>
      </c>
      <c r="W506" s="101">
        <f t="shared" si="56"/>
        <v>24</v>
      </c>
      <c r="X506" s="102">
        <f t="shared" si="57"/>
        <v>0</v>
      </c>
      <c r="Y506" s="100" t="str">
        <f t="shared" si="58"/>
        <v xml:space="preserve"> </v>
      </c>
      <c r="Z506" s="100" t="str">
        <f t="shared" si="59"/>
        <v xml:space="preserve"> </v>
      </c>
    </row>
    <row r="507" spans="1:26">
      <c r="A507" s="100"/>
      <c r="B507" s="108" t="str">
        <f>IFERROR(VLOOKUP(Tablo515[[#This Row],[ÜRÜN KODU]],YMKODLARI!$A$1:$K$363,2,0)," ")</f>
        <v xml:space="preserve"> </v>
      </c>
      <c r="C507" s="99"/>
      <c r="D507" s="100"/>
      <c r="E507" s="101"/>
      <c r="F507" s="101"/>
      <c r="G507" s="100" t="str">
        <f>IFERROR(VLOOKUP(Tablo515[[#This Row],[ÜRÜN KODU]],YMKODLARI!$A$1:$K$363,3,0)," ")</f>
        <v xml:space="preserve"> </v>
      </c>
      <c r="H507" s="100" t="str">
        <f>IFERROR(VLOOKUP(Tablo515[[#This Row],[ÜRÜN KODU]],YMKODLARI!$A$1:$K$363,4,0)," ")</f>
        <v xml:space="preserve"> </v>
      </c>
      <c r="I507" s="100"/>
      <c r="J507" s="100" t="str">
        <f>IFERROR(VLOOKUP(Tablo515[[#This Row],[ÜRÜN KODU]],YMKODLARI!$A$1:$K$363,9,0)," ")</f>
        <v xml:space="preserve"> </v>
      </c>
      <c r="K507" s="100" t="str">
        <f>IFERROR(VLOOKUP(Tablo515[[#This Row],[BOYA KODU]],Tablo14[#All],4,0)," ")</f>
        <v xml:space="preserve"> </v>
      </c>
      <c r="L507" s="100" t="str">
        <f>IFERROR(VLOOKUP(Tablo515[[#This Row],[BOYA KODU]],Tablo14[#All],6,0)," ")</f>
        <v xml:space="preserve"> </v>
      </c>
      <c r="M507" s="100" t="str">
        <f t="shared" si="53"/>
        <v xml:space="preserve"> </v>
      </c>
      <c r="N507" s="100" t="str">
        <f>IFERROR(VLOOKUP(Tablo515[[#This Row],[ÜRÜN KODU]],YMKODLARI!$A$1:$K$363,8,0)," ")</f>
        <v xml:space="preserve"> </v>
      </c>
      <c r="O507" s="100" t="str">
        <f>IFERROR(VLOOKUP(Tablo515[[#This Row],[HAMMADDE KODU]],Tablo1[#All],3,0)," ")</f>
        <v xml:space="preserve"> </v>
      </c>
      <c r="P507" s="100" t="str">
        <f>IFERROR(VLOOKUP(Tablo515[[#This Row],[HAMMADDE KODU]],Tablo1[#All],4,0)," ")</f>
        <v xml:space="preserve"> </v>
      </c>
      <c r="Q507" s="100" t="str">
        <f>IFERROR(VLOOKUP(Tablo515[[#This Row],[ÜRÜN KODU]],YMKODLARI!$A$1:$K$363,5,0)," ")</f>
        <v xml:space="preserve"> </v>
      </c>
      <c r="R507" s="100" t="str">
        <f>IFERROR(VLOOKUP(Tablo515[[#This Row],[ÜRÜN KODU]],YMKODLARI!$A$1:$K$363,6,0)," ")</f>
        <v xml:space="preserve"> </v>
      </c>
      <c r="S507" s="100" t="str">
        <f>IFERROR(Tablo515[[#This Row],[YOLLUK HARİÇ BASKI GRAMI]]/Tablo515[[#This Row],[KALIP GÖZ ADEDİ]]," ")</f>
        <v xml:space="preserve"> </v>
      </c>
      <c r="T507" s="100" t="str">
        <f t="shared" si="55"/>
        <v xml:space="preserve"> </v>
      </c>
      <c r="U507" s="100"/>
      <c r="V507" s="100" t="str">
        <f t="shared" si="54"/>
        <v xml:space="preserve"> </v>
      </c>
      <c r="W507" s="101">
        <f t="shared" si="56"/>
        <v>24</v>
      </c>
      <c r="X507" s="102">
        <f t="shared" si="57"/>
        <v>0</v>
      </c>
      <c r="Y507" s="100" t="str">
        <f t="shared" si="58"/>
        <v xml:space="preserve"> </v>
      </c>
      <c r="Z507" s="100" t="str">
        <f t="shared" si="59"/>
        <v xml:space="preserve"> </v>
      </c>
    </row>
    <row r="508" spans="1:26">
      <c r="A508" s="100"/>
      <c r="B508" s="108" t="str">
        <f>IFERROR(VLOOKUP(Tablo515[[#This Row],[ÜRÜN KODU]],YMKODLARI!$A$1:$K$363,2,0)," ")</f>
        <v xml:space="preserve"> </v>
      </c>
      <c r="C508" s="99"/>
      <c r="D508" s="100"/>
      <c r="E508" s="101"/>
      <c r="F508" s="101"/>
      <c r="G508" s="100" t="str">
        <f>IFERROR(VLOOKUP(Tablo515[[#This Row],[ÜRÜN KODU]],YMKODLARI!$A$1:$K$363,3,0)," ")</f>
        <v xml:space="preserve"> </v>
      </c>
      <c r="H508" s="100" t="str">
        <f>IFERROR(VLOOKUP(Tablo515[[#This Row],[ÜRÜN KODU]],YMKODLARI!$A$1:$K$363,4,0)," ")</f>
        <v xml:space="preserve"> </v>
      </c>
      <c r="I508" s="100"/>
      <c r="J508" s="100" t="str">
        <f>IFERROR(VLOOKUP(Tablo515[[#This Row],[ÜRÜN KODU]],YMKODLARI!$A$1:$K$363,9,0)," ")</f>
        <v xml:space="preserve"> </v>
      </c>
      <c r="K508" s="100" t="str">
        <f>IFERROR(VLOOKUP(Tablo515[[#This Row],[BOYA KODU]],Tablo14[#All],4,0)," ")</f>
        <v xml:space="preserve"> </v>
      </c>
      <c r="L508" s="100" t="str">
        <f>IFERROR(VLOOKUP(Tablo515[[#This Row],[BOYA KODU]],Tablo14[#All],6,0)," ")</f>
        <v xml:space="preserve"> </v>
      </c>
      <c r="M508" s="100" t="str">
        <f t="shared" si="53"/>
        <v xml:space="preserve"> </v>
      </c>
      <c r="N508" s="100" t="str">
        <f>IFERROR(VLOOKUP(Tablo515[[#This Row],[ÜRÜN KODU]],YMKODLARI!$A$1:$K$363,8,0)," ")</f>
        <v xml:space="preserve"> </v>
      </c>
      <c r="O508" s="100" t="str">
        <f>IFERROR(VLOOKUP(Tablo515[[#This Row],[HAMMADDE KODU]],Tablo1[#All],3,0)," ")</f>
        <v xml:space="preserve"> </v>
      </c>
      <c r="P508" s="100" t="str">
        <f>IFERROR(VLOOKUP(Tablo515[[#This Row],[HAMMADDE KODU]],Tablo1[#All],4,0)," ")</f>
        <v xml:space="preserve"> </v>
      </c>
      <c r="Q508" s="100" t="str">
        <f>IFERROR(VLOOKUP(Tablo515[[#This Row],[ÜRÜN KODU]],YMKODLARI!$A$1:$K$363,5,0)," ")</f>
        <v xml:space="preserve"> </v>
      </c>
      <c r="R508" s="100" t="str">
        <f>IFERROR(VLOOKUP(Tablo515[[#This Row],[ÜRÜN KODU]],YMKODLARI!$A$1:$K$363,6,0)," ")</f>
        <v xml:space="preserve"> </v>
      </c>
      <c r="S508" s="100" t="str">
        <f>IFERROR(Tablo515[[#This Row],[YOLLUK HARİÇ BASKI GRAMI]]/Tablo515[[#This Row],[KALIP GÖZ ADEDİ]]," ")</f>
        <v xml:space="preserve"> </v>
      </c>
      <c r="T508" s="100" t="str">
        <f t="shared" si="55"/>
        <v xml:space="preserve"> </v>
      </c>
      <c r="U508" s="100"/>
      <c r="V508" s="100" t="str">
        <f t="shared" si="54"/>
        <v xml:space="preserve"> </v>
      </c>
      <c r="W508" s="101">
        <f t="shared" si="56"/>
        <v>24</v>
      </c>
      <c r="X508" s="102">
        <f t="shared" si="57"/>
        <v>0</v>
      </c>
      <c r="Y508" s="100" t="str">
        <f t="shared" si="58"/>
        <v xml:space="preserve"> </v>
      </c>
      <c r="Z508" s="100" t="str">
        <f t="shared" si="59"/>
        <v xml:space="preserve"> </v>
      </c>
    </row>
    <row r="509" spans="1:26">
      <c r="A509" s="100"/>
      <c r="B509" s="108" t="str">
        <f>IFERROR(VLOOKUP(Tablo515[[#This Row],[ÜRÜN KODU]],YMKODLARI!$A$1:$K$363,2,0)," ")</f>
        <v xml:space="preserve"> </v>
      </c>
      <c r="C509" s="99"/>
      <c r="D509" s="100"/>
      <c r="E509" s="101"/>
      <c r="F509" s="101"/>
      <c r="G509" s="100" t="str">
        <f>IFERROR(VLOOKUP(Tablo515[[#This Row],[ÜRÜN KODU]],YMKODLARI!$A$1:$K$363,3,0)," ")</f>
        <v xml:space="preserve"> </v>
      </c>
      <c r="H509" s="100" t="str">
        <f>IFERROR(VLOOKUP(Tablo515[[#This Row],[ÜRÜN KODU]],YMKODLARI!$A$1:$K$363,4,0)," ")</f>
        <v xml:space="preserve"> </v>
      </c>
      <c r="I509" s="100"/>
      <c r="J509" s="100" t="str">
        <f>IFERROR(VLOOKUP(Tablo515[[#This Row],[ÜRÜN KODU]],YMKODLARI!$A$1:$K$363,9,0)," ")</f>
        <v xml:space="preserve"> </v>
      </c>
      <c r="K509" s="100" t="str">
        <f>IFERROR(VLOOKUP(Tablo515[[#This Row],[BOYA KODU]],Tablo14[#All],4,0)," ")</f>
        <v xml:space="preserve"> </v>
      </c>
      <c r="L509" s="100" t="str">
        <f>IFERROR(VLOOKUP(Tablo515[[#This Row],[BOYA KODU]],Tablo14[#All],6,0)," ")</f>
        <v xml:space="preserve"> </v>
      </c>
      <c r="M509" s="100" t="str">
        <f t="shared" si="53"/>
        <v xml:space="preserve"> </v>
      </c>
      <c r="N509" s="100" t="str">
        <f>IFERROR(VLOOKUP(Tablo515[[#This Row],[ÜRÜN KODU]],YMKODLARI!$A$1:$K$363,8,0)," ")</f>
        <v xml:space="preserve"> </v>
      </c>
      <c r="O509" s="100" t="str">
        <f>IFERROR(VLOOKUP(Tablo515[[#This Row],[HAMMADDE KODU]],Tablo1[#All],3,0)," ")</f>
        <v xml:space="preserve"> </v>
      </c>
      <c r="P509" s="100" t="str">
        <f>IFERROR(VLOOKUP(Tablo515[[#This Row],[HAMMADDE KODU]],Tablo1[#All],4,0)," ")</f>
        <v xml:space="preserve"> </v>
      </c>
      <c r="Q509" s="100" t="str">
        <f>IFERROR(VLOOKUP(Tablo515[[#This Row],[ÜRÜN KODU]],YMKODLARI!$A$1:$K$363,5,0)," ")</f>
        <v xml:space="preserve"> </v>
      </c>
      <c r="R509" s="100" t="str">
        <f>IFERROR(VLOOKUP(Tablo515[[#This Row],[ÜRÜN KODU]],YMKODLARI!$A$1:$K$363,6,0)," ")</f>
        <v xml:space="preserve"> </v>
      </c>
      <c r="S509" s="100" t="str">
        <f>IFERROR(Tablo515[[#This Row],[YOLLUK HARİÇ BASKI GRAMI]]/Tablo515[[#This Row],[KALIP GÖZ ADEDİ]]," ")</f>
        <v xml:space="preserve"> </v>
      </c>
      <c r="T509" s="100" t="str">
        <f t="shared" si="55"/>
        <v xml:space="preserve"> </v>
      </c>
      <c r="U509" s="100"/>
      <c r="V509" s="100" t="str">
        <f t="shared" si="54"/>
        <v xml:space="preserve"> </v>
      </c>
      <c r="W509" s="101">
        <f t="shared" si="56"/>
        <v>24</v>
      </c>
      <c r="X509" s="102">
        <f t="shared" si="57"/>
        <v>0</v>
      </c>
      <c r="Y509" s="100" t="str">
        <f t="shared" si="58"/>
        <v xml:space="preserve"> </v>
      </c>
      <c r="Z509" s="100" t="str">
        <f t="shared" si="59"/>
        <v xml:space="preserve"> </v>
      </c>
    </row>
    <row r="510" spans="1:26">
      <c r="A510" s="100"/>
      <c r="B510" s="108" t="str">
        <f>IFERROR(VLOOKUP(Tablo515[[#This Row],[ÜRÜN KODU]],YMKODLARI!$A$1:$K$363,2,0)," ")</f>
        <v xml:space="preserve"> </v>
      </c>
      <c r="C510" s="99"/>
      <c r="D510" s="100"/>
      <c r="E510" s="101"/>
      <c r="F510" s="101"/>
      <c r="G510" s="100" t="str">
        <f>IFERROR(VLOOKUP(Tablo515[[#This Row],[ÜRÜN KODU]],YMKODLARI!$A$1:$K$363,3,0)," ")</f>
        <v xml:space="preserve"> </v>
      </c>
      <c r="H510" s="100" t="str">
        <f>IFERROR(VLOOKUP(Tablo515[[#This Row],[ÜRÜN KODU]],YMKODLARI!$A$1:$K$363,4,0)," ")</f>
        <v xml:space="preserve"> </v>
      </c>
      <c r="I510" s="100"/>
      <c r="J510" s="100" t="str">
        <f>IFERROR(VLOOKUP(Tablo515[[#This Row],[ÜRÜN KODU]],YMKODLARI!$A$1:$K$363,9,0)," ")</f>
        <v xml:space="preserve"> </v>
      </c>
      <c r="K510" s="100" t="str">
        <f>IFERROR(VLOOKUP(Tablo515[[#This Row],[BOYA KODU]],Tablo14[#All],4,0)," ")</f>
        <v xml:space="preserve"> </v>
      </c>
      <c r="L510" s="100" t="str">
        <f>IFERROR(VLOOKUP(Tablo515[[#This Row],[BOYA KODU]],Tablo14[#All],6,0)," ")</f>
        <v xml:space="preserve"> </v>
      </c>
      <c r="M510" s="100" t="str">
        <f t="shared" si="53"/>
        <v xml:space="preserve"> </v>
      </c>
      <c r="N510" s="100" t="str">
        <f>IFERROR(VLOOKUP(Tablo515[[#This Row],[ÜRÜN KODU]],YMKODLARI!$A$1:$K$363,8,0)," ")</f>
        <v xml:space="preserve"> </v>
      </c>
      <c r="O510" s="100" t="str">
        <f>IFERROR(VLOOKUP(Tablo515[[#This Row],[HAMMADDE KODU]],Tablo1[#All],3,0)," ")</f>
        <v xml:space="preserve"> </v>
      </c>
      <c r="P510" s="100" t="str">
        <f>IFERROR(VLOOKUP(Tablo515[[#This Row],[HAMMADDE KODU]],Tablo1[#All],4,0)," ")</f>
        <v xml:space="preserve"> </v>
      </c>
      <c r="Q510" s="100" t="str">
        <f>IFERROR(VLOOKUP(Tablo515[[#This Row],[ÜRÜN KODU]],YMKODLARI!$A$1:$K$363,5,0)," ")</f>
        <v xml:space="preserve"> </v>
      </c>
      <c r="R510" s="100" t="str">
        <f>IFERROR(VLOOKUP(Tablo515[[#This Row],[ÜRÜN KODU]],YMKODLARI!$A$1:$K$363,6,0)," ")</f>
        <v xml:space="preserve"> </v>
      </c>
      <c r="S510" s="100" t="str">
        <f>IFERROR(Tablo515[[#This Row],[YOLLUK HARİÇ BASKI GRAMI]]/Tablo515[[#This Row],[KALIP GÖZ ADEDİ]]," ")</f>
        <v xml:space="preserve"> </v>
      </c>
      <c r="T510" s="100" t="str">
        <f t="shared" si="55"/>
        <v xml:space="preserve"> </v>
      </c>
      <c r="U510" s="100"/>
      <c r="V510" s="100" t="str">
        <f t="shared" si="54"/>
        <v xml:space="preserve"> </v>
      </c>
      <c r="W510" s="101">
        <f t="shared" si="56"/>
        <v>24</v>
      </c>
      <c r="X510" s="102">
        <f t="shared" si="57"/>
        <v>0</v>
      </c>
      <c r="Y510" s="100" t="str">
        <f t="shared" si="58"/>
        <v xml:space="preserve"> </v>
      </c>
      <c r="Z510" s="100" t="str">
        <f t="shared" si="59"/>
        <v xml:space="preserve"> </v>
      </c>
    </row>
    <row r="511" spans="1:26">
      <c r="A511" s="100"/>
      <c r="B511" s="108" t="str">
        <f>IFERROR(VLOOKUP(Tablo515[[#This Row],[ÜRÜN KODU]],YMKODLARI!$A$1:$K$363,2,0)," ")</f>
        <v xml:space="preserve"> </v>
      </c>
      <c r="C511" s="99"/>
      <c r="D511" s="100"/>
      <c r="E511" s="101"/>
      <c r="F511" s="101"/>
      <c r="G511" s="100" t="str">
        <f>IFERROR(VLOOKUP(Tablo515[[#This Row],[ÜRÜN KODU]],YMKODLARI!$A$1:$K$363,3,0)," ")</f>
        <v xml:space="preserve"> </v>
      </c>
      <c r="H511" s="100" t="str">
        <f>IFERROR(VLOOKUP(Tablo515[[#This Row],[ÜRÜN KODU]],YMKODLARI!$A$1:$K$363,4,0)," ")</f>
        <v xml:space="preserve"> </v>
      </c>
      <c r="I511" s="100"/>
      <c r="J511" s="100" t="str">
        <f>IFERROR(VLOOKUP(Tablo515[[#This Row],[ÜRÜN KODU]],YMKODLARI!$A$1:$K$363,9,0)," ")</f>
        <v xml:space="preserve"> </v>
      </c>
      <c r="K511" s="100" t="str">
        <f>IFERROR(VLOOKUP(Tablo515[[#This Row],[BOYA KODU]],Tablo14[#All],4,0)," ")</f>
        <v xml:space="preserve"> </v>
      </c>
      <c r="L511" s="100" t="str">
        <f>IFERROR(VLOOKUP(Tablo515[[#This Row],[BOYA KODU]],Tablo14[#All],6,0)," ")</f>
        <v xml:space="preserve"> </v>
      </c>
      <c r="M511" s="100" t="str">
        <f t="shared" si="53"/>
        <v xml:space="preserve"> </v>
      </c>
      <c r="N511" s="100" t="str">
        <f>IFERROR(VLOOKUP(Tablo515[[#This Row],[ÜRÜN KODU]],YMKODLARI!$A$1:$K$363,8,0)," ")</f>
        <v xml:space="preserve"> </v>
      </c>
      <c r="O511" s="100" t="str">
        <f>IFERROR(VLOOKUP(Tablo515[[#This Row],[HAMMADDE KODU]],Tablo1[#All],3,0)," ")</f>
        <v xml:space="preserve"> </v>
      </c>
      <c r="P511" s="100" t="str">
        <f>IFERROR(VLOOKUP(Tablo515[[#This Row],[HAMMADDE KODU]],Tablo1[#All],4,0)," ")</f>
        <v xml:space="preserve"> </v>
      </c>
      <c r="Q511" s="100" t="str">
        <f>IFERROR(VLOOKUP(Tablo515[[#This Row],[ÜRÜN KODU]],YMKODLARI!$A$1:$K$363,5,0)," ")</f>
        <v xml:space="preserve"> </v>
      </c>
      <c r="R511" s="100" t="str">
        <f>IFERROR(VLOOKUP(Tablo515[[#This Row],[ÜRÜN KODU]],YMKODLARI!$A$1:$K$363,6,0)," ")</f>
        <v xml:space="preserve"> </v>
      </c>
      <c r="S511" s="100" t="str">
        <f>IFERROR(Tablo515[[#This Row],[YOLLUK HARİÇ BASKI GRAMI]]/Tablo515[[#This Row],[KALIP GÖZ ADEDİ]]," ")</f>
        <v xml:space="preserve"> </v>
      </c>
      <c r="T511" s="100" t="str">
        <f t="shared" si="55"/>
        <v xml:space="preserve"> </v>
      </c>
      <c r="U511" s="100"/>
      <c r="V511" s="100" t="str">
        <f t="shared" si="54"/>
        <v xml:space="preserve"> </v>
      </c>
      <c r="W511" s="101">
        <f t="shared" si="56"/>
        <v>24</v>
      </c>
      <c r="X511" s="102">
        <f t="shared" si="57"/>
        <v>0</v>
      </c>
      <c r="Y511" s="100" t="str">
        <f t="shared" si="58"/>
        <v xml:space="preserve"> </v>
      </c>
      <c r="Z511" s="100" t="str">
        <f t="shared" si="59"/>
        <v xml:space="preserve"> </v>
      </c>
    </row>
    <row r="512" spans="1:26">
      <c r="A512" s="100"/>
      <c r="B512" s="108" t="str">
        <f>IFERROR(VLOOKUP(Tablo515[[#This Row],[ÜRÜN KODU]],YMKODLARI!$A$1:$K$363,2,0)," ")</f>
        <v xml:space="preserve"> </v>
      </c>
      <c r="C512" s="99"/>
      <c r="D512" s="100"/>
      <c r="E512" s="101"/>
      <c r="F512" s="101"/>
      <c r="G512" s="100" t="str">
        <f>IFERROR(VLOOKUP(Tablo515[[#This Row],[ÜRÜN KODU]],YMKODLARI!$A$1:$K$363,3,0)," ")</f>
        <v xml:space="preserve"> </v>
      </c>
      <c r="H512" s="100" t="str">
        <f>IFERROR(VLOOKUP(Tablo515[[#This Row],[ÜRÜN KODU]],YMKODLARI!$A$1:$K$363,4,0)," ")</f>
        <v xml:space="preserve"> </v>
      </c>
      <c r="I512" s="100"/>
      <c r="J512" s="100" t="str">
        <f>IFERROR(VLOOKUP(Tablo515[[#This Row],[ÜRÜN KODU]],YMKODLARI!$A$1:$K$363,9,0)," ")</f>
        <v xml:space="preserve"> </v>
      </c>
      <c r="K512" s="100" t="str">
        <f>IFERROR(VLOOKUP(Tablo515[[#This Row],[BOYA KODU]],Tablo14[#All],4,0)," ")</f>
        <v xml:space="preserve"> </v>
      </c>
      <c r="L512" s="100" t="str">
        <f>IFERROR(VLOOKUP(Tablo515[[#This Row],[BOYA KODU]],Tablo14[#All],6,0)," ")</f>
        <v xml:space="preserve"> </v>
      </c>
      <c r="M512" s="100" t="str">
        <f t="shared" si="53"/>
        <v xml:space="preserve"> </v>
      </c>
      <c r="N512" s="100" t="str">
        <f>IFERROR(VLOOKUP(Tablo515[[#This Row],[ÜRÜN KODU]],YMKODLARI!$A$1:$K$363,8,0)," ")</f>
        <v xml:space="preserve"> </v>
      </c>
      <c r="O512" s="100" t="str">
        <f>IFERROR(VLOOKUP(Tablo515[[#This Row],[HAMMADDE KODU]],Tablo1[#All],3,0)," ")</f>
        <v xml:space="preserve"> </v>
      </c>
      <c r="P512" s="100" t="str">
        <f>IFERROR(VLOOKUP(Tablo515[[#This Row],[HAMMADDE KODU]],Tablo1[#All],4,0)," ")</f>
        <v xml:space="preserve"> </v>
      </c>
      <c r="Q512" s="100" t="str">
        <f>IFERROR(VLOOKUP(Tablo515[[#This Row],[ÜRÜN KODU]],YMKODLARI!$A$1:$K$363,5,0)," ")</f>
        <v xml:space="preserve"> </v>
      </c>
      <c r="R512" s="100" t="str">
        <f>IFERROR(VLOOKUP(Tablo515[[#This Row],[ÜRÜN KODU]],YMKODLARI!$A$1:$K$363,6,0)," ")</f>
        <v xml:space="preserve"> </v>
      </c>
      <c r="S512" s="100" t="str">
        <f>IFERROR(Tablo515[[#This Row],[YOLLUK HARİÇ BASKI GRAMI]]/Tablo515[[#This Row],[KALIP GÖZ ADEDİ]]," ")</f>
        <v xml:space="preserve"> </v>
      </c>
      <c r="T512" s="100" t="str">
        <f t="shared" si="55"/>
        <v xml:space="preserve"> </v>
      </c>
      <c r="U512" s="100"/>
      <c r="V512" s="100" t="str">
        <f t="shared" si="54"/>
        <v xml:space="preserve"> </v>
      </c>
      <c r="W512" s="101">
        <f t="shared" si="56"/>
        <v>24</v>
      </c>
      <c r="X512" s="102">
        <f t="shared" si="57"/>
        <v>0</v>
      </c>
      <c r="Y512" s="100" t="str">
        <f t="shared" si="58"/>
        <v xml:space="preserve"> </v>
      </c>
      <c r="Z512" s="100" t="str">
        <f t="shared" si="59"/>
        <v xml:space="preserve"> </v>
      </c>
    </row>
    <row r="513" spans="1:26">
      <c r="A513" s="100"/>
      <c r="B513" s="108" t="str">
        <f>IFERROR(VLOOKUP(Tablo515[[#This Row],[ÜRÜN KODU]],YMKODLARI!$A$1:$K$363,2,0)," ")</f>
        <v xml:space="preserve"> </v>
      </c>
      <c r="C513" s="99"/>
      <c r="D513" s="100"/>
      <c r="E513" s="101"/>
      <c r="F513" s="101"/>
      <c r="G513" s="100" t="str">
        <f>IFERROR(VLOOKUP(Tablo515[[#This Row],[ÜRÜN KODU]],YMKODLARI!$A$1:$K$363,3,0)," ")</f>
        <v xml:space="preserve"> </v>
      </c>
      <c r="H513" s="100" t="str">
        <f>IFERROR(VLOOKUP(Tablo515[[#This Row],[ÜRÜN KODU]],YMKODLARI!$A$1:$K$363,4,0)," ")</f>
        <v xml:space="preserve"> </v>
      </c>
      <c r="I513" s="100"/>
      <c r="J513" s="100" t="str">
        <f>IFERROR(VLOOKUP(Tablo515[[#This Row],[ÜRÜN KODU]],YMKODLARI!$A$1:$K$363,9,0)," ")</f>
        <v xml:space="preserve"> </v>
      </c>
      <c r="K513" s="100" t="str">
        <f>IFERROR(VLOOKUP(Tablo515[[#This Row],[BOYA KODU]],Tablo14[#All],4,0)," ")</f>
        <v xml:space="preserve"> </v>
      </c>
      <c r="L513" s="100" t="str">
        <f>IFERROR(VLOOKUP(Tablo515[[#This Row],[BOYA KODU]],Tablo14[#All],6,0)," ")</f>
        <v xml:space="preserve"> </v>
      </c>
      <c r="M513" s="100" t="str">
        <f t="shared" si="53"/>
        <v xml:space="preserve"> </v>
      </c>
      <c r="N513" s="100" t="str">
        <f>IFERROR(VLOOKUP(Tablo515[[#This Row],[ÜRÜN KODU]],YMKODLARI!$A$1:$K$363,8,0)," ")</f>
        <v xml:space="preserve"> </v>
      </c>
      <c r="O513" s="100" t="str">
        <f>IFERROR(VLOOKUP(Tablo515[[#This Row],[HAMMADDE KODU]],Tablo1[#All],3,0)," ")</f>
        <v xml:space="preserve"> </v>
      </c>
      <c r="P513" s="100" t="str">
        <f>IFERROR(VLOOKUP(Tablo515[[#This Row],[HAMMADDE KODU]],Tablo1[#All],4,0)," ")</f>
        <v xml:space="preserve"> </v>
      </c>
      <c r="Q513" s="100" t="str">
        <f>IFERROR(VLOOKUP(Tablo515[[#This Row],[ÜRÜN KODU]],YMKODLARI!$A$1:$K$363,5,0)," ")</f>
        <v xml:space="preserve"> </v>
      </c>
      <c r="R513" s="100" t="str">
        <f>IFERROR(VLOOKUP(Tablo515[[#This Row],[ÜRÜN KODU]],YMKODLARI!$A$1:$K$363,6,0)," ")</f>
        <v xml:space="preserve"> </v>
      </c>
      <c r="S513" s="100" t="str">
        <f>IFERROR(Tablo515[[#This Row],[YOLLUK HARİÇ BASKI GRAMI]]/Tablo515[[#This Row],[KALIP GÖZ ADEDİ]]," ")</f>
        <v xml:space="preserve"> </v>
      </c>
      <c r="T513" s="100" t="str">
        <f t="shared" si="55"/>
        <v xml:space="preserve"> </v>
      </c>
      <c r="U513" s="100"/>
      <c r="V513" s="100" t="str">
        <f t="shared" si="54"/>
        <v xml:space="preserve"> </v>
      </c>
      <c r="W513" s="101">
        <f t="shared" si="56"/>
        <v>24</v>
      </c>
      <c r="X513" s="102">
        <f t="shared" si="57"/>
        <v>0</v>
      </c>
      <c r="Y513" s="100" t="str">
        <f t="shared" si="58"/>
        <v xml:space="preserve"> </v>
      </c>
      <c r="Z513" s="100" t="str">
        <f t="shared" si="59"/>
        <v xml:space="preserve"> </v>
      </c>
    </row>
    <row r="514" spans="1:26">
      <c r="A514" s="100"/>
      <c r="B514" s="108" t="str">
        <f>IFERROR(VLOOKUP(Tablo515[[#This Row],[ÜRÜN KODU]],YMKODLARI!$A$1:$K$363,2,0)," ")</f>
        <v xml:space="preserve"> </v>
      </c>
      <c r="C514" s="99"/>
      <c r="D514" s="100"/>
      <c r="E514" s="101"/>
      <c r="F514" s="101"/>
      <c r="G514" s="100" t="str">
        <f>IFERROR(VLOOKUP(Tablo515[[#This Row],[ÜRÜN KODU]],YMKODLARI!$A$1:$K$363,3,0)," ")</f>
        <v xml:space="preserve"> </v>
      </c>
      <c r="H514" s="100" t="str">
        <f>IFERROR(VLOOKUP(Tablo515[[#This Row],[ÜRÜN KODU]],YMKODLARI!$A$1:$K$363,4,0)," ")</f>
        <v xml:space="preserve"> </v>
      </c>
      <c r="I514" s="100"/>
      <c r="J514" s="100" t="str">
        <f>IFERROR(VLOOKUP(Tablo515[[#This Row],[ÜRÜN KODU]],YMKODLARI!$A$1:$K$363,9,0)," ")</f>
        <v xml:space="preserve"> </v>
      </c>
      <c r="K514" s="100" t="str">
        <f>IFERROR(VLOOKUP(Tablo515[[#This Row],[BOYA KODU]],Tablo14[#All],4,0)," ")</f>
        <v xml:space="preserve"> </v>
      </c>
      <c r="L514" s="100" t="str">
        <f>IFERROR(VLOOKUP(Tablo515[[#This Row],[BOYA KODU]],Tablo14[#All],6,0)," ")</f>
        <v xml:space="preserve"> </v>
      </c>
      <c r="M514" s="100" t="str">
        <f t="shared" si="53"/>
        <v xml:space="preserve"> </v>
      </c>
      <c r="N514" s="100" t="str">
        <f>IFERROR(VLOOKUP(Tablo515[[#This Row],[ÜRÜN KODU]],YMKODLARI!$A$1:$K$363,8,0)," ")</f>
        <v xml:space="preserve"> </v>
      </c>
      <c r="O514" s="100" t="str">
        <f>IFERROR(VLOOKUP(Tablo515[[#This Row],[HAMMADDE KODU]],Tablo1[#All],3,0)," ")</f>
        <v xml:space="preserve"> </v>
      </c>
      <c r="P514" s="100" t="str">
        <f>IFERROR(VLOOKUP(Tablo515[[#This Row],[HAMMADDE KODU]],Tablo1[#All],4,0)," ")</f>
        <v xml:space="preserve"> </v>
      </c>
      <c r="Q514" s="100" t="str">
        <f>IFERROR(VLOOKUP(Tablo515[[#This Row],[ÜRÜN KODU]],YMKODLARI!$A$1:$K$363,5,0)," ")</f>
        <v xml:space="preserve"> </v>
      </c>
      <c r="R514" s="100" t="str">
        <f>IFERROR(VLOOKUP(Tablo515[[#This Row],[ÜRÜN KODU]],YMKODLARI!$A$1:$K$363,6,0)," ")</f>
        <v xml:space="preserve"> </v>
      </c>
      <c r="S514" s="100" t="str">
        <f>IFERROR(Tablo515[[#This Row],[YOLLUK HARİÇ BASKI GRAMI]]/Tablo515[[#This Row],[KALIP GÖZ ADEDİ]]," ")</f>
        <v xml:space="preserve"> </v>
      </c>
      <c r="T514" s="100" t="str">
        <f t="shared" si="55"/>
        <v xml:space="preserve"> </v>
      </c>
      <c r="U514" s="100"/>
      <c r="V514" s="100" t="str">
        <f t="shared" si="54"/>
        <v xml:space="preserve"> </v>
      </c>
      <c r="W514" s="101">
        <f t="shared" si="56"/>
        <v>24</v>
      </c>
      <c r="X514" s="102">
        <f t="shared" si="57"/>
        <v>0</v>
      </c>
      <c r="Y514" s="100" t="str">
        <f t="shared" si="58"/>
        <v xml:space="preserve"> </v>
      </c>
      <c r="Z514" s="100" t="str">
        <f t="shared" si="59"/>
        <v xml:space="preserve"> </v>
      </c>
    </row>
    <row r="515" spans="1:26">
      <c r="A515" s="100"/>
      <c r="B515" s="108" t="str">
        <f>IFERROR(VLOOKUP(Tablo515[[#This Row],[ÜRÜN KODU]],YMKODLARI!$A$1:$K$363,2,0)," ")</f>
        <v xml:space="preserve"> </v>
      </c>
      <c r="C515" s="99"/>
      <c r="D515" s="100"/>
      <c r="E515" s="101"/>
      <c r="F515" s="101"/>
      <c r="G515" s="100" t="str">
        <f>IFERROR(VLOOKUP(Tablo515[[#This Row],[ÜRÜN KODU]],YMKODLARI!$A$1:$K$363,3,0)," ")</f>
        <v xml:space="preserve"> </v>
      </c>
      <c r="H515" s="100" t="str">
        <f>IFERROR(VLOOKUP(Tablo515[[#This Row],[ÜRÜN KODU]],YMKODLARI!$A$1:$K$363,4,0)," ")</f>
        <v xml:space="preserve"> </v>
      </c>
      <c r="I515" s="100"/>
      <c r="J515" s="100" t="str">
        <f>IFERROR(VLOOKUP(Tablo515[[#This Row],[ÜRÜN KODU]],YMKODLARI!$A$1:$K$363,9,0)," ")</f>
        <v xml:space="preserve"> </v>
      </c>
      <c r="K515" s="100" t="str">
        <f>IFERROR(VLOOKUP(Tablo515[[#This Row],[BOYA KODU]],Tablo14[#All],4,0)," ")</f>
        <v xml:space="preserve"> </v>
      </c>
      <c r="L515" s="100" t="str">
        <f>IFERROR(VLOOKUP(Tablo515[[#This Row],[BOYA KODU]],Tablo14[#All],6,0)," ")</f>
        <v xml:space="preserve"> </v>
      </c>
      <c r="M515" s="100" t="str">
        <f t="shared" ref="M515:M572" si="60">IFERROR((I515*Q515)*L515," ")</f>
        <v xml:space="preserve"> </v>
      </c>
      <c r="N515" s="100" t="str">
        <f>IFERROR(VLOOKUP(Tablo515[[#This Row],[ÜRÜN KODU]],YMKODLARI!$A$1:$K$363,8,0)," ")</f>
        <v xml:space="preserve"> </v>
      </c>
      <c r="O515" s="100" t="str">
        <f>IFERROR(VLOOKUP(Tablo515[[#This Row],[HAMMADDE KODU]],Tablo1[#All],3,0)," ")</f>
        <v xml:space="preserve"> </v>
      </c>
      <c r="P515" s="100" t="str">
        <f>IFERROR(VLOOKUP(Tablo515[[#This Row],[HAMMADDE KODU]],Tablo1[#All],4,0)," ")</f>
        <v xml:space="preserve"> </v>
      </c>
      <c r="Q515" s="100" t="str">
        <f>IFERROR(VLOOKUP(Tablo515[[#This Row],[ÜRÜN KODU]],YMKODLARI!$A$1:$K$363,5,0)," ")</f>
        <v xml:space="preserve"> </v>
      </c>
      <c r="R515" s="100" t="str">
        <f>IFERROR(VLOOKUP(Tablo515[[#This Row],[ÜRÜN KODU]],YMKODLARI!$A$1:$K$363,6,0)," ")</f>
        <v xml:space="preserve"> </v>
      </c>
      <c r="S515" s="100" t="str">
        <f>IFERROR(Tablo515[[#This Row],[YOLLUK HARİÇ BASKI GRAMI]]/Tablo515[[#This Row],[KALIP GÖZ ADEDİ]]," ")</f>
        <v xml:space="preserve"> </v>
      </c>
      <c r="T515" s="100" t="str">
        <f t="shared" si="55"/>
        <v xml:space="preserve"> </v>
      </c>
      <c r="U515" s="100"/>
      <c r="V515" s="100" t="str">
        <f t="shared" ref="V515:V572" si="61">IFERROR(U515+(R515*I515) /1000," ")</f>
        <v xml:space="preserve"> </v>
      </c>
      <c r="W515" s="101">
        <f t="shared" si="56"/>
        <v>24</v>
      </c>
      <c r="X515" s="102">
        <f t="shared" si="57"/>
        <v>0</v>
      </c>
      <c r="Y515" s="100" t="str">
        <f t="shared" si="58"/>
        <v xml:space="preserve"> </v>
      </c>
      <c r="Z515" s="100" t="str">
        <f t="shared" si="59"/>
        <v xml:space="preserve"> </v>
      </c>
    </row>
    <row r="516" spans="1:26">
      <c r="A516" s="100"/>
      <c r="B516" s="108" t="str">
        <f>IFERROR(VLOOKUP(Tablo515[[#This Row],[ÜRÜN KODU]],YMKODLARI!$A$1:$K$363,2,0)," ")</f>
        <v xml:space="preserve"> </v>
      </c>
      <c r="C516" s="99"/>
      <c r="D516" s="100"/>
      <c r="E516" s="101"/>
      <c r="F516" s="101"/>
      <c r="G516" s="100" t="str">
        <f>IFERROR(VLOOKUP(Tablo515[[#This Row],[ÜRÜN KODU]],YMKODLARI!$A$1:$K$363,3,0)," ")</f>
        <v xml:space="preserve"> </v>
      </c>
      <c r="H516" s="100" t="str">
        <f>IFERROR(VLOOKUP(Tablo515[[#This Row],[ÜRÜN KODU]],YMKODLARI!$A$1:$K$363,4,0)," ")</f>
        <v xml:space="preserve"> </v>
      </c>
      <c r="I516" s="100"/>
      <c r="J516" s="100" t="str">
        <f>IFERROR(VLOOKUP(Tablo515[[#This Row],[ÜRÜN KODU]],YMKODLARI!$A$1:$K$363,9,0)," ")</f>
        <v xml:space="preserve"> </v>
      </c>
      <c r="K516" s="100" t="str">
        <f>IFERROR(VLOOKUP(Tablo515[[#This Row],[BOYA KODU]],Tablo14[#All],4,0)," ")</f>
        <v xml:space="preserve"> </v>
      </c>
      <c r="L516" s="100" t="str">
        <f>IFERROR(VLOOKUP(Tablo515[[#This Row],[BOYA KODU]],Tablo14[#All],6,0)," ")</f>
        <v xml:space="preserve"> </v>
      </c>
      <c r="M516" s="100" t="str">
        <f t="shared" si="60"/>
        <v xml:space="preserve"> </v>
      </c>
      <c r="N516" s="100" t="str">
        <f>IFERROR(VLOOKUP(Tablo515[[#This Row],[ÜRÜN KODU]],YMKODLARI!$A$1:$K$363,8,0)," ")</f>
        <v xml:space="preserve"> </v>
      </c>
      <c r="O516" s="100" t="str">
        <f>IFERROR(VLOOKUP(Tablo515[[#This Row],[HAMMADDE KODU]],Tablo1[#All],3,0)," ")</f>
        <v xml:space="preserve"> </v>
      </c>
      <c r="P516" s="100" t="str">
        <f>IFERROR(VLOOKUP(Tablo515[[#This Row],[HAMMADDE KODU]],Tablo1[#All],4,0)," ")</f>
        <v xml:space="preserve"> </v>
      </c>
      <c r="Q516" s="100" t="str">
        <f>IFERROR(VLOOKUP(Tablo515[[#This Row],[ÜRÜN KODU]],YMKODLARI!$A$1:$K$363,5,0)," ")</f>
        <v xml:space="preserve"> </v>
      </c>
      <c r="R516" s="100" t="str">
        <f>IFERROR(VLOOKUP(Tablo515[[#This Row],[ÜRÜN KODU]],YMKODLARI!$A$1:$K$363,6,0)," ")</f>
        <v xml:space="preserve"> </v>
      </c>
      <c r="S516" s="100" t="str">
        <f>IFERROR(Tablo515[[#This Row],[YOLLUK HARİÇ BASKI GRAMI]]/Tablo515[[#This Row],[KALIP GÖZ ADEDİ]]," ")</f>
        <v xml:space="preserve"> </v>
      </c>
      <c r="T516" s="100" t="str">
        <f t="shared" ref="T516:T572" si="62">IFERROR(Q516-R516," ")</f>
        <v xml:space="preserve"> </v>
      </c>
      <c r="U516" s="100"/>
      <c r="V516" s="100" t="str">
        <f t="shared" si="61"/>
        <v xml:space="preserve"> </v>
      </c>
      <c r="W516" s="101">
        <f t="shared" ref="W516:W572" si="63">IFERROR(24-(E516-F516)," ")</f>
        <v>24</v>
      </c>
      <c r="X516" s="102">
        <f t="shared" ref="X516:X572" si="64">IFERROR((W516-INT(W516))*24," ")</f>
        <v>0</v>
      </c>
      <c r="Y516" s="100" t="str">
        <f t="shared" ref="Y516:Y572" si="65">IFERROR(H516*I516/3600," ")</f>
        <v xml:space="preserve"> </v>
      </c>
      <c r="Z516" s="100" t="str">
        <f t="shared" ref="Z516:Z572" si="66">IFERROR(I516*G516," " )</f>
        <v xml:space="preserve"> </v>
      </c>
    </row>
    <row r="517" spans="1:26">
      <c r="A517" s="100"/>
      <c r="B517" s="108" t="str">
        <f>IFERROR(VLOOKUP(Tablo515[[#This Row],[ÜRÜN KODU]],YMKODLARI!$A$1:$K$363,2,0)," ")</f>
        <v xml:space="preserve"> </v>
      </c>
      <c r="C517" s="99"/>
      <c r="D517" s="100"/>
      <c r="E517" s="101"/>
      <c r="F517" s="101"/>
      <c r="G517" s="100" t="str">
        <f>IFERROR(VLOOKUP(Tablo515[[#This Row],[ÜRÜN KODU]],YMKODLARI!$A$1:$K$363,3,0)," ")</f>
        <v xml:space="preserve"> </v>
      </c>
      <c r="H517" s="100" t="str">
        <f>IFERROR(VLOOKUP(Tablo515[[#This Row],[ÜRÜN KODU]],YMKODLARI!$A$1:$K$363,4,0)," ")</f>
        <v xml:space="preserve"> </v>
      </c>
      <c r="I517" s="100"/>
      <c r="J517" s="100" t="str">
        <f>IFERROR(VLOOKUP(Tablo515[[#This Row],[ÜRÜN KODU]],YMKODLARI!$A$1:$K$363,9,0)," ")</f>
        <v xml:space="preserve"> </v>
      </c>
      <c r="K517" s="100" t="str">
        <f>IFERROR(VLOOKUP(Tablo515[[#This Row],[BOYA KODU]],Tablo14[#All],4,0)," ")</f>
        <v xml:space="preserve"> </v>
      </c>
      <c r="L517" s="100" t="str">
        <f>IFERROR(VLOOKUP(Tablo515[[#This Row],[BOYA KODU]],Tablo14[#All],6,0)," ")</f>
        <v xml:space="preserve"> </v>
      </c>
      <c r="M517" s="100" t="str">
        <f t="shared" si="60"/>
        <v xml:space="preserve"> </v>
      </c>
      <c r="N517" s="100" t="str">
        <f>IFERROR(VLOOKUP(Tablo515[[#This Row],[ÜRÜN KODU]],YMKODLARI!$A$1:$K$363,8,0)," ")</f>
        <v xml:space="preserve"> </v>
      </c>
      <c r="O517" s="100" t="str">
        <f>IFERROR(VLOOKUP(Tablo515[[#This Row],[HAMMADDE KODU]],Tablo1[#All],3,0)," ")</f>
        <v xml:space="preserve"> </v>
      </c>
      <c r="P517" s="100" t="str">
        <f>IFERROR(VLOOKUP(Tablo515[[#This Row],[HAMMADDE KODU]],Tablo1[#All],4,0)," ")</f>
        <v xml:space="preserve"> </v>
      </c>
      <c r="Q517" s="100" t="str">
        <f>IFERROR(VLOOKUP(Tablo515[[#This Row],[ÜRÜN KODU]],YMKODLARI!$A$1:$K$363,5,0)," ")</f>
        <v xml:space="preserve"> </v>
      </c>
      <c r="R517" s="100" t="str">
        <f>IFERROR(VLOOKUP(Tablo515[[#This Row],[ÜRÜN KODU]],YMKODLARI!$A$1:$K$363,6,0)," ")</f>
        <v xml:space="preserve"> </v>
      </c>
      <c r="S517" s="100" t="str">
        <f>IFERROR(Tablo515[[#This Row],[YOLLUK HARİÇ BASKI GRAMI]]/Tablo515[[#This Row],[KALIP GÖZ ADEDİ]]," ")</f>
        <v xml:space="preserve"> </v>
      </c>
      <c r="T517" s="100" t="str">
        <f t="shared" si="62"/>
        <v xml:space="preserve"> </v>
      </c>
      <c r="U517" s="100"/>
      <c r="V517" s="100" t="str">
        <f t="shared" si="61"/>
        <v xml:space="preserve"> </v>
      </c>
      <c r="W517" s="101">
        <f t="shared" si="63"/>
        <v>24</v>
      </c>
      <c r="X517" s="102">
        <f t="shared" si="64"/>
        <v>0</v>
      </c>
      <c r="Y517" s="100" t="str">
        <f t="shared" si="65"/>
        <v xml:space="preserve"> </v>
      </c>
      <c r="Z517" s="100" t="str">
        <f t="shared" si="66"/>
        <v xml:space="preserve"> </v>
      </c>
    </row>
    <row r="518" spans="1:26">
      <c r="A518" s="100"/>
      <c r="B518" s="108" t="str">
        <f>IFERROR(VLOOKUP(Tablo515[[#This Row],[ÜRÜN KODU]],YMKODLARI!$A$1:$K$363,2,0)," ")</f>
        <v xml:space="preserve"> </v>
      </c>
      <c r="C518" s="99"/>
      <c r="D518" s="100"/>
      <c r="E518" s="101"/>
      <c r="F518" s="101"/>
      <c r="G518" s="100" t="str">
        <f>IFERROR(VLOOKUP(Tablo515[[#This Row],[ÜRÜN KODU]],YMKODLARI!$A$1:$K$363,3,0)," ")</f>
        <v xml:space="preserve"> </v>
      </c>
      <c r="H518" s="100" t="str">
        <f>IFERROR(VLOOKUP(Tablo515[[#This Row],[ÜRÜN KODU]],YMKODLARI!$A$1:$K$363,4,0)," ")</f>
        <v xml:space="preserve"> </v>
      </c>
      <c r="I518" s="100"/>
      <c r="J518" s="100" t="str">
        <f>IFERROR(VLOOKUP(Tablo515[[#This Row],[ÜRÜN KODU]],YMKODLARI!$A$1:$K$363,9,0)," ")</f>
        <v xml:space="preserve"> </v>
      </c>
      <c r="K518" s="100" t="str">
        <f>IFERROR(VLOOKUP(Tablo515[[#This Row],[BOYA KODU]],Tablo14[#All],4,0)," ")</f>
        <v xml:space="preserve"> </v>
      </c>
      <c r="L518" s="100" t="str">
        <f>IFERROR(VLOOKUP(Tablo515[[#This Row],[BOYA KODU]],Tablo14[#All],6,0)," ")</f>
        <v xml:space="preserve"> </v>
      </c>
      <c r="M518" s="100" t="str">
        <f t="shared" si="60"/>
        <v xml:space="preserve"> </v>
      </c>
      <c r="N518" s="100" t="str">
        <f>IFERROR(VLOOKUP(Tablo515[[#This Row],[ÜRÜN KODU]],YMKODLARI!$A$1:$K$363,8,0)," ")</f>
        <v xml:space="preserve"> </v>
      </c>
      <c r="O518" s="100" t="str">
        <f>IFERROR(VLOOKUP(Tablo515[[#This Row],[HAMMADDE KODU]],Tablo1[#All],3,0)," ")</f>
        <v xml:space="preserve"> </v>
      </c>
      <c r="P518" s="100" t="str">
        <f>IFERROR(VLOOKUP(Tablo515[[#This Row],[HAMMADDE KODU]],Tablo1[#All],4,0)," ")</f>
        <v xml:space="preserve"> </v>
      </c>
      <c r="Q518" s="100" t="str">
        <f>IFERROR(VLOOKUP(Tablo515[[#This Row],[ÜRÜN KODU]],YMKODLARI!$A$1:$K$363,5,0)," ")</f>
        <v xml:space="preserve"> </v>
      </c>
      <c r="R518" s="100" t="str">
        <f>IFERROR(VLOOKUP(Tablo515[[#This Row],[ÜRÜN KODU]],YMKODLARI!$A$1:$K$363,6,0)," ")</f>
        <v xml:space="preserve"> </v>
      </c>
      <c r="S518" s="100" t="str">
        <f>IFERROR(Tablo515[[#This Row],[YOLLUK HARİÇ BASKI GRAMI]]/Tablo515[[#This Row],[KALIP GÖZ ADEDİ]]," ")</f>
        <v xml:space="preserve"> </v>
      </c>
      <c r="T518" s="100" t="str">
        <f t="shared" si="62"/>
        <v xml:space="preserve"> </v>
      </c>
      <c r="U518" s="100"/>
      <c r="V518" s="100" t="str">
        <f t="shared" si="61"/>
        <v xml:space="preserve"> </v>
      </c>
      <c r="W518" s="101">
        <f t="shared" si="63"/>
        <v>24</v>
      </c>
      <c r="X518" s="102">
        <f t="shared" si="64"/>
        <v>0</v>
      </c>
      <c r="Y518" s="100" t="str">
        <f t="shared" si="65"/>
        <v xml:space="preserve"> </v>
      </c>
      <c r="Z518" s="100" t="str">
        <f t="shared" si="66"/>
        <v xml:space="preserve"> </v>
      </c>
    </row>
    <row r="519" spans="1:26">
      <c r="A519" s="100"/>
      <c r="B519" s="108" t="str">
        <f>IFERROR(VLOOKUP(Tablo515[[#This Row],[ÜRÜN KODU]],YMKODLARI!$A$1:$K$363,2,0)," ")</f>
        <v xml:space="preserve"> </v>
      </c>
      <c r="C519" s="99"/>
      <c r="D519" s="100"/>
      <c r="E519" s="101"/>
      <c r="F519" s="101"/>
      <c r="G519" s="100" t="str">
        <f>IFERROR(VLOOKUP(Tablo515[[#This Row],[ÜRÜN KODU]],YMKODLARI!$A$1:$K$363,3,0)," ")</f>
        <v xml:space="preserve"> </v>
      </c>
      <c r="H519" s="100" t="str">
        <f>IFERROR(VLOOKUP(Tablo515[[#This Row],[ÜRÜN KODU]],YMKODLARI!$A$1:$K$363,4,0)," ")</f>
        <v xml:space="preserve"> </v>
      </c>
      <c r="I519" s="100"/>
      <c r="J519" s="100" t="str">
        <f>IFERROR(VLOOKUP(Tablo515[[#This Row],[ÜRÜN KODU]],YMKODLARI!$A$1:$K$363,9,0)," ")</f>
        <v xml:space="preserve"> </v>
      </c>
      <c r="K519" s="100" t="str">
        <f>IFERROR(VLOOKUP(Tablo515[[#This Row],[BOYA KODU]],Tablo14[#All],4,0)," ")</f>
        <v xml:space="preserve"> </v>
      </c>
      <c r="L519" s="100" t="str">
        <f>IFERROR(VLOOKUP(Tablo515[[#This Row],[BOYA KODU]],Tablo14[#All],6,0)," ")</f>
        <v xml:space="preserve"> </v>
      </c>
      <c r="M519" s="100" t="str">
        <f t="shared" si="60"/>
        <v xml:space="preserve"> </v>
      </c>
      <c r="N519" s="100" t="str">
        <f>IFERROR(VLOOKUP(Tablo515[[#This Row],[ÜRÜN KODU]],YMKODLARI!$A$1:$K$363,8,0)," ")</f>
        <v xml:space="preserve"> </v>
      </c>
      <c r="O519" s="100" t="str">
        <f>IFERROR(VLOOKUP(Tablo515[[#This Row],[HAMMADDE KODU]],Tablo1[#All],3,0)," ")</f>
        <v xml:space="preserve"> </v>
      </c>
      <c r="P519" s="100" t="str">
        <f>IFERROR(VLOOKUP(Tablo515[[#This Row],[HAMMADDE KODU]],Tablo1[#All],4,0)," ")</f>
        <v xml:space="preserve"> </v>
      </c>
      <c r="Q519" s="100" t="str">
        <f>IFERROR(VLOOKUP(Tablo515[[#This Row],[ÜRÜN KODU]],YMKODLARI!$A$1:$K$363,5,0)," ")</f>
        <v xml:space="preserve"> </v>
      </c>
      <c r="R519" s="100" t="str">
        <f>IFERROR(VLOOKUP(Tablo515[[#This Row],[ÜRÜN KODU]],YMKODLARI!$A$1:$K$363,6,0)," ")</f>
        <v xml:space="preserve"> </v>
      </c>
      <c r="S519" s="100" t="str">
        <f>IFERROR(Tablo515[[#This Row],[YOLLUK HARİÇ BASKI GRAMI]]/Tablo515[[#This Row],[KALIP GÖZ ADEDİ]]," ")</f>
        <v xml:space="preserve"> </v>
      </c>
      <c r="T519" s="100" t="str">
        <f t="shared" si="62"/>
        <v xml:space="preserve"> </v>
      </c>
      <c r="U519" s="100"/>
      <c r="V519" s="100" t="str">
        <f t="shared" si="61"/>
        <v xml:space="preserve"> </v>
      </c>
      <c r="W519" s="101">
        <f t="shared" si="63"/>
        <v>24</v>
      </c>
      <c r="X519" s="102">
        <f t="shared" si="64"/>
        <v>0</v>
      </c>
      <c r="Y519" s="100" t="str">
        <f t="shared" si="65"/>
        <v xml:space="preserve"> </v>
      </c>
      <c r="Z519" s="100" t="str">
        <f t="shared" si="66"/>
        <v xml:space="preserve"> </v>
      </c>
    </row>
    <row r="520" spans="1:26">
      <c r="A520" s="100"/>
      <c r="B520" s="108" t="str">
        <f>IFERROR(VLOOKUP(Tablo515[[#This Row],[ÜRÜN KODU]],YMKODLARI!$A$1:$K$363,2,0)," ")</f>
        <v xml:space="preserve"> </v>
      </c>
      <c r="C520" s="99"/>
      <c r="D520" s="100"/>
      <c r="E520" s="101"/>
      <c r="F520" s="101"/>
      <c r="G520" s="100" t="str">
        <f>IFERROR(VLOOKUP(Tablo515[[#This Row],[ÜRÜN KODU]],YMKODLARI!$A$1:$K$363,3,0)," ")</f>
        <v xml:space="preserve"> </v>
      </c>
      <c r="H520" s="100" t="str">
        <f>IFERROR(VLOOKUP(Tablo515[[#This Row],[ÜRÜN KODU]],YMKODLARI!$A$1:$K$363,4,0)," ")</f>
        <v xml:space="preserve"> </v>
      </c>
      <c r="I520" s="100"/>
      <c r="J520" s="100" t="str">
        <f>IFERROR(VLOOKUP(Tablo515[[#This Row],[ÜRÜN KODU]],YMKODLARI!$A$1:$K$363,9,0)," ")</f>
        <v xml:space="preserve"> </v>
      </c>
      <c r="K520" s="100" t="str">
        <f>IFERROR(VLOOKUP(Tablo515[[#This Row],[BOYA KODU]],Tablo14[#All],4,0)," ")</f>
        <v xml:space="preserve"> </v>
      </c>
      <c r="L520" s="100" t="str">
        <f>IFERROR(VLOOKUP(Tablo515[[#This Row],[BOYA KODU]],Tablo14[#All],6,0)," ")</f>
        <v xml:space="preserve"> </v>
      </c>
      <c r="M520" s="100" t="str">
        <f t="shared" si="60"/>
        <v xml:space="preserve"> </v>
      </c>
      <c r="N520" s="100" t="str">
        <f>IFERROR(VLOOKUP(Tablo515[[#This Row],[ÜRÜN KODU]],YMKODLARI!$A$1:$K$363,8,0)," ")</f>
        <v xml:space="preserve"> </v>
      </c>
      <c r="O520" s="100" t="str">
        <f>IFERROR(VLOOKUP(Tablo515[[#This Row],[HAMMADDE KODU]],Tablo1[#All],3,0)," ")</f>
        <v xml:space="preserve"> </v>
      </c>
      <c r="P520" s="100" t="str">
        <f>IFERROR(VLOOKUP(Tablo515[[#This Row],[HAMMADDE KODU]],Tablo1[#All],4,0)," ")</f>
        <v xml:space="preserve"> </v>
      </c>
      <c r="Q520" s="100" t="str">
        <f>IFERROR(VLOOKUP(Tablo515[[#This Row],[ÜRÜN KODU]],YMKODLARI!$A$1:$K$363,5,0)," ")</f>
        <v xml:space="preserve"> </v>
      </c>
      <c r="R520" s="100" t="str">
        <f>IFERROR(VLOOKUP(Tablo515[[#This Row],[ÜRÜN KODU]],YMKODLARI!$A$1:$K$363,6,0)," ")</f>
        <v xml:space="preserve"> </v>
      </c>
      <c r="S520" s="100" t="str">
        <f>IFERROR(Tablo515[[#This Row],[YOLLUK HARİÇ BASKI GRAMI]]/Tablo515[[#This Row],[KALIP GÖZ ADEDİ]]," ")</f>
        <v xml:space="preserve"> </v>
      </c>
      <c r="T520" s="100" t="str">
        <f t="shared" si="62"/>
        <v xml:space="preserve"> </v>
      </c>
      <c r="U520" s="100"/>
      <c r="V520" s="100" t="str">
        <f t="shared" si="61"/>
        <v xml:space="preserve"> </v>
      </c>
      <c r="W520" s="101">
        <f t="shared" si="63"/>
        <v>24</v>
      </c>
      <c r="X520" s="102">
        <f t="shared" si="64"/>
        <v>0</v>
      </c>
      <c r="Y520" s="100" t="str">
        <f t="shared" si="65"/>
        <v xml:space="preserve"> </v>
      </c>
      <c r="Z520" s="100" t="str">
        <f t="shared" si="66"/>
        <v xml:space="preserve"> </v>
      </c>
    </row>
    <row r="521" spans="1:26">
      <c r="A521" s="100"/>
      <c r="B521" s="108" t="str">
        <f>IFERROR(VLOOKUP(Tablo515[[#This Row],[ÜRÜN KODU]],YMKODLARI!$A$1:$K$363,2,0)," ")</f>
        <v xml:space="preserve"> </v>
      </c>
      <c r="C521" s="99"/>
      <c r="D521" s="100"/>
      <c r="E521" s="101"/>
      <c r="F521" s="101"/>
      <c r="G521" s="100" t="str">
        <f>IFERROR(VLOOKUP(Tablo515[[#This Row],[ÜRÜN KODU]],YMKODLARI!$A$1:$K$363,3,0)," ")</f>
        <v xml:space="preserve"> </v>
      </c>
      <c r="H521" s="100" t="str">
        <f>IFERROR(VLOOKUP(Tablo515[[#This Row],[ÜRÜN KODU]],YMKODLARI!$A$1:$K$363,4,0)," ")</f>
        <v xml:space="preserve"> </v>
      </c>
      <c r="I521" s="100"/>
      <c r="J521" s="100" t="str">
        <f>IFERROR(VLOOKUP(Tablo515[[#This Row],[ÜRÜN KODU]],YMKODLARI!$A$1:$K$363,9,0)," ")</f>
        <v xml:space="preserve"> </v>
      </c>
      <c r="K521" s="100" t="str">
        <f>IFERROR(VLOOKUP(Tablo515[[#This Row],[BOYA KODU]],Tablo14[#All],4,0)," ")</f>
        <v xml:space="preserve"> </v>
      </c>
      <c r="L521" s="100" t="str">
        <f>IFERROR(VLOOKUP(Tablo515[[#This Row],[BOYA KODU]],Tablo14[#All],6,0)," ")</f>
        <v xml:space="preserve"> </v>
      </c>
      <c r="M521" s="100" t="str">
        <f t="shared" si="60"/>
        <v xml:space="preserve"> </v>
      </c>
      <c r="N521" s="100" t="str">
        <f>IFERROR(VLOOKUP(Tablo515[[#This Row],[ÜRÜN KODU]],YMKODLARI!$A$1:$K$363,8,0)," ")</f>
        <v xml:space="preserve"> </v>
      </c>
      <c r="O521" s="100" t="str">
        <f>IFERROR(VLOOKUP(Tablo515[[#This Row],[HAMMADDE KODU]],Tablo1[#All],3,0)," ")</f>
        <v xml:space="preserve"> </v>
      </c>
      <c r="P521" s="100" t="str">
        <f>IFERROR(VLOOKUP(Tablo515[[#This Row],[HAMMADDE KODU]],Tablo1[#All],4,0)," ")</f>
        <v xml:space="preserve"> </v>
      </c>
      <c r="Q521" s="100" t="str">
        <f>IFERROR(VLOOKUP(Tablo515[[#This Row],[ÜRÜN KODU]],YMKODLARI!$A$1:$K$363,5,0)," ")</f>
        <v xml:space="preserve"> </v>
      </c>
      <c r="R521" s="100" t="str">
        <f>IFERROR(VLOOKUP(Tablo515[[#This Row],[ÜRÜN KODU]],YMKODLARI!$A$1:$K$363,6,0)," ")</f>
        <v xml:space="preserve"> </v>
      </c>
      <c r="S521" s="100" t="str">
        <f>IFERROR(Tablo515[[#This Row],[YOLLUK HARİÇ BASKI GRAMI]]/Tablo515[[#This Row],[KALIP GÖZ ADEDİ]]," ")</f>
        <v xml:space="preserve"> </v>
      </c>
      <c r="T521" s="100" t="str">
        <f t="shared" si="62"/>
        <v xml:space="preserve"> </v>
      </c>
      <c r="U521" s="100"/>
      <c r="V521" s="100" t="str">
        <f t="shared" si="61"/>
        <v xml:space="preserve"> </v>
      </c>
      <c r="W521" s="101">
        <f t="shared" si="63"/>
        <v>24</v>
      </c>
      <c r="X521" s="102">
        <f t="shared" si="64"/>
        <v>0</v>
      </c>
      <c r="Y521" s="100" t="str">
        <f t="shared" si="65"/>
        <v xml:space="preserve"> </v>
      </c>
      <c r="Z521" s="100" t="str">
        <f t="shared" si="66"/>
        <v xml:space="preserve"> </v>
      </c>
    </row>
    <row r="522" spans="1:26">
      <c r="A522" s="100"/>
      <c r="B522" s="108" t="str">
        <f>IFERROR(VLOOKUP(Tablo515[[#This Row],[ÜRÜN KODU]],YMKODLARI!$A$1:$K$363,2,0)," ")</f>
        <v xml:space="preserve"> </v>
      </c>
      <c r="C522" s="99"/>
      <c r="D522" s="100"/>
      <c r="E522" s="101"/>
      <c r="F522" s="101"/>
      <c r="G522" s="100" t="str">
        <f>IFERROR(VLOOKUP(Tablo515[[#This Row],[ÜRÜN KODU]],YMKODLARI!$A$1:$K$363,3,0)," ")</f>
        <v xml:space="preserve"> </v>
      </c>
      <c r="H522" s="100" t="str">
        <f>IFERROR(VLOOKUP(Tablo515[[#This Row],[ÜRÜN KODU]],YMKODLARI!$A$1:$K$363,4,0)," ")</f>
        <v xml:space="preserve"> </v>
      </c>
      <c r="I522" s="100"/>
      <c r="J522" s="100" t="str">
        <f>IFERROR(VLOOKUP(Tablo515[[#This Row],[ÜRÜN KODU]],YMKODLARI!$A$1:$K$363,9,0)," ")</f>
        <v xml:space="preserve"> </v>
      </c>
      <c r="K522" s="100" t="str">
        <f>IFERROR(VLOOKUP(Tablo515[[#This Row],[BOYA KODU]],Tablo14[#All],4,0)," ")</f>
        <v xml:space="preserve"> </v>
      </c>
      <c r="L522" s="100" t="str">
        <f>IFERROR(VLOOKUP(Tablo515[[#This Row],[BOYA KODU]],Tablo14[#All],6,0)," ")</f>
        <v xml:space="preserve"> </v>
      </c>
      <c r="M522" s="100" t="str">
        <f t="shared" si="60"/>
        <v xml:space="preserve"> </v>
      </c>
      <c r="N522" s="100" t="str">
        <f>IFERROR(VLOOKUP(Tablo515[[#This Row],[ÜRÜN KODU]],YMKODLARI!$A$1:$K$363,8,0)," ")</f>
        <v xml:space="preserve"> </v>
      </c>
      <c r="O522" s="100" t="str">
        <f>IFERROR(VLOOKUP(Tablo515[[#This Row],[HAMMADDE KODU]],Tablo1[#All],3,0)," ")</f>
        <v xml:space="preserve"> </v>
      </c>
      <c r="P522" s="100" t="str">
        <f>IFERROR(VLOOKUP(Tablo515[[#This Row],[HAMMADDE KODU]],Tablo1[#All],4,0)," ")</f>
        <v xml:space="preserve"> </v>
      </c>
      <c r="Q522" s="100" t="str">
        <f>IFERROR(VLOOKUP(Tablo515[[#This Row],[ÜRÜN KODU]],YMKODLARI!$A$1:$K$363,5,0)," ")</f>
        <v xml:space="preserve"> </v>
      </c>
      <c r="R522" s="100" t="str">
        <f>IFERROR(VLOOKUP(Tablo515[[#This Row],[ÜRÜN KODU]],YMKODLARI!$A$1:$K$363,6,0)," ")</f>
        <v xml:space="preserve"> </v>
      </c>
      <c r="S522" s="100" t="str">
        <f>IFERROR(Tablo515[[#This Row],[YOLLUK HARİÇ BASKI GRAMI]]/Tablo515[[#This Row],[KALIP GÖZ ADEDİ]]," ")</f>
        <v xml:space="preserve"> </v>
      </c>
      <c r="T522" s="100" t="str">
        <f t="shared" si="62"/>
        <v xml:space="preserve"> </v>
      </c>
      <c r="U522" s="100"/>
      <c r="V522" s="100" t="str">
        <f t="shared" si="61"/>
        <v xml:space="preserve"> </v>
      </c>
      <c r="W522" s="101">
        <f t="shared" si="63"/>
        <v>24</v>
      </c>
      <c r="X522" s="102">
        <f t="shared" si="64"/>
        <v>0</v>
      </c>
      <c r="Y522" s="100" t="str">
        <f t="shared" si="65"/>
        <v xml:space="preserve"> </v>
      </c>
      <c r="Z522" s="100" t="str">
        <f t="shared" si="66"/>
        <v xml:space="preserve"> </v>
      </c>
    </row>
    <row r="523" spans="1:26">
      <c r="A523" s="100"/>
      <c r="B523" s="108" t="str">
        <f>IFERROR(VLOOKUP(Tablo515[[#This Row],[ÜRÜN KODU]],YMKODLARI!$A$1:$K$363,2,0)," ")</f>
        <v xml:space="preserve"> </v>
      </c>
      <c r="C523" s="99"/>
      <c r="D523" s="100"/>
      <c r="E523" s="101"/>
      <c r="F523" s="101"/>
      <c r="G523" s="100" t="str">
        <f>IFERROR(VLOOKUP(Tablo515[[#This Row],[ÜRÜN KODU]],YMKODLARI!$A$1:$K$363,3,0)," ")</f>
        <v xml:space="preserve"> </v>
      </c>
      <c r="H523" s="100" t="str">
        <f>IFERROR(VLOOKUP(Tablo515[[#This Row],[ÜRÜN KODU]],YMKODLARI!$A$1:$K$363,4,0)," ")</f>
        <v xml:space="preserve"> </v>
      </c>
      <c r="I523" s="100"/>
      <c r="J523" s="100" t="str">
        <f>IFERROR(VLOOKUP(Tablo515[[#This Row],[ÜRÜN KODU]],YMKODLARI!$A$1:$K$363,9,0)," ")</f>
        <v xml:space="preserve"> </v>
      </c>
      <c r="K523" s="100" t="str">
        <f>IFERROR(VLOOKUP(Tablo515[[#This Row],[BOYA KODU]],Tablo14[#All],4,0)," ")</f>
        <v xml:space="preserve"> </v>
      </c>
      <c r="L523" s="100" t="str">
        <f>IFERROR(VLOOKUP(Tablo515[[#This Row],[BOYA KODU]],Tablo14[#All],6,0)," ")</f>
        <v xml:space="preserve"> </v>
      </c>
      <c r="M523" s="100" t="str">
        <f t="shared" si="60"/>
        <v xml:space="preserve"> </v>
      </c>
      <c r="N523" s="100" t="str">
        <f>IFERROR(VLOOKUP(Tablo515[[#This Row],[ÜRÜN KODU]],YMKODLARI!$A$1:$K$363,8,0)," ")</f>
        <v xml:space="preserve"> </v>
      </c>
      <c r="O523" s="100" t="str">
        <f>IFERROR(VLOOKUP(Tablo515[[#This Row],[HAMMADDE KODU]],Tablo1[#All],3,0)," ")</f>
        <v xml:space="preserve"> </v>
      </c>
      <c r="P523" s="100" t="str">
        <f>IFERROR(VLOOKUP(Tablo515[[#This Row],[HAMMADDE KODU]],Tablo1[#All],4,0)," ")</f>
        <v xml:space="preserve"> </v>
      </c>
      <c r="Q523" s="100" t="str">
        <f>IFERROR(VLOOKUP(Tablo515[[#This Row],[ÜRÜN KODU]],YMKODLARI!$A$1:$K$363,5,0)," ")</f>
        <v xml:space="preserve"> </v>
      </c>
      <c r="R523" s="100" t="str">
        <f>IFERROR(VLOOKUP(Tablo515[[#This Row],[ÜRÜN KODU]],YMKODLARI!$A$1:$K$363,6,0)," ")</f>
        <v xml:space="preserve"> </v>
      </c>
      <c r="S523" s="100" t="str">
        <f>IFERROR(Tablo515[[#This Row],[YOLLUK HARİÇ BASKI GRAMI]]/Tablo515[[#This Row],[KALIP GÖZ ADEDİ]]," ")</f>
        <v xml:space="preserve"> </v>
      </c>
      <c r="T523" s="100" t="str">
        <f t="shared" si="62"/>
        <v xml:space="preserve"> </v>
      </c>
      <c r="U523" s="100"/>
      <c r="V523" s="100" t="str">
        <f t="shared" si="61"/>
        <v xml:space="preserve"> </v>
      </c>
      <c r="W523" s="101">
        <f t="shared" si="63"/>
        <v>24</v>
      </c>
      <c r="X523" s="102">
        <f t="shared" si="64"/>
        <v>0</v>
      </c>
      <c r="Y523" s="100" t="str">
        <f t="shared" si="65"/>
        <v xml:space="preserve"> </v>
      </c>
      <c r="Z523" s="100" t="str">
        <f t="shared" si="66"/>
        <v xml:space="preserve"> </v>
      </c>
    </row>
    <row r="524" spans="1:26">
      <c r="A524" s="100"/>
      <c r="B524" s="108" t="str">
        <f>IFERROR(VLOOKUP(Tablo515[[#This Row],[ÜRÜN KODU]],YMKODLARI!$A$1:$K$363,2,0)," ")</f>
        <v xml:space="preserve"> </v>
      </c>
      <c r="C524" s="99"/>
      <c r="D524" s="100"/>
      <c r="E524" s="101"/>
      <c r="F524" s="101"/>
      <c r="G524" s="100" t="str">
        <f>IFERROR(VLOOKUP(Tablo515[[#This Row],[ÜRÜN KODU]],YMKODLARI!$A$1:$K$363,3,0)," ")</f>
        <v xml:space="preserve"> </v>
      </c>
      <c r="H524" s="100" t="str">
        <f>IFERROR(VLOOKUP(Tablo515[[#This Row],[ÜRÜN KODU]],YMKODLARI!$A$1:$K$363,4,0)," ")</f>
        <v xml:space="preserve"> </v>
      </c>
      <c r="I524" s="100"/>
      <c r="J524" s="100" t="str">
        <f>IFERROR(VLOOKUP(Tablo515[[#This Row],[ÜRÜN KODU]],YMKODLARI!$A$1:$K$363,9,0)," ")</f>
        <v xml:space="preserve"> </v>
      </c>
      <c r="K524" s="100" t="str">
        <f>IFERROR(VLOOKUP(Tablo515[[#This Row],[BOYA KODU]],Tablo14[#All],4,0)," ")</f>
        <v xml:space="preserve"> </v>
      </c>
      <c r="L524" s="100" t="str">
        <f>IFERROR(VLOOKUP(Tablo515[[#This Row],[BOYA KODU]],Tablo14[#All],6,0)," ")</f>
        <v xml:space="preserve"> </v>
      </c>
      <c r="M524" s="100" t="str">
        <f t="shared" si="60"/>
        <v xml:space="preserve"> </v>
      </c>
      <c r="N524" s="100" t="str">
        <f>IFERROR(VLOOKUP(Tablo515[[#This Row],[ÜRÜN KODU]],YMKODLARI!$A$1:$K$363,8,0)," ")</f>
        <v xml:space="preserve"> </v>
      </c>
      <c r="O524" s="100" t="str">
        <f>IFERROR(VLOOKUP(Tablo515[[#This Row],[HAMMADDE KODU]],Tablo1[#All],3,0)," ")</f>
        <v xml:space="preserve"> </v>
      </c>
      <c r="P524" s="100" t="str">
        <f>IFERROR(VLOOKUP(Tablo515[[#This Row],[HAMMADDE KODU]],Tablo1[#All],4,0)," ")</f>
        <v xml:space="preserve"> </v>
      </c>
      <c r="Q524" s="100" t="str">
        <f>IFERROR(VLOOKUP(Tablo515[[#This Row],[ÜRÜN KODU]],YMKODLARI!$A$1:$K$363,5,0)," ")</f>
        <v xml:space="preserve"> </v>
      </c>
      <c r="R524" s="100" t="str">
        <f>IFERROR(VLOOKUP(Tablo515[[#This Row],[ÜRÜN KODU]],YMKODLARI!$A$1:$K$363,6,0)," ")</f>
        <v xml:space="preserve"> </v>
      </c>
      <c r="S524" s="100" t="str">
        <f>IFERROR(Tablo515[[#This Row],[YOLLUK HARİÇ BASKI GRAMI]]/Tablo515[[#This Row],[KALIP GÖZ ADEDİ]]," ")</f>
        <v xml:space="preserve"> </v>
      </c>
      <c r="T524" s="100" t="str">
        <f t="shared" si="62"/>
        <v xml:space="preserve"> </v>
      </c>
      <c r="U524" s="100"/>
      <c r="V524" s="100" t="str">
        <f t="shared" si="61"/>
        <v xml:space="preserve"> </v>
      </c>
      <c r="W524" s="101">
        <f t="shared" si="63"/>
        <v>24</v>
      </c>
      <c r="X524" s="102">
        <f t="shared" si="64"/>
        <v>0</v>
      </c>
      <c r="Y524" s="100" t="str">
        <f t="shared" si="65"/>
        <v xml:space="preserve"> </v>
      </c>
      <c r="Z524" s="100" t="str">
        <f t="shared" si="66"/>
        <v xml:space="preserve"> </v>
      </c>
    </row>
    <row r="525" spans="1:26">
      <c r="A525" s="100"/>
      <c r="B525" s="108" t="str">
        <f>IFERROR(VLOOKUP(Tablo515[[#This Row],[ÜRÜN KODU]],YMKODLARI!$A$1:$K$363,2,0)," ")</f>
        <v xml:space="preserve"> </v>
      </c>
      <c r="C525" s="99"/>
      <c r="D525" s="100"/>
      <c r="E525" s="101"/>
      <c r="F525" s="101"/>
      <c r="G525" s="100" t="str">
        <f>IFERROR(VLOOKUP(Tablo515[[#This Row],[ÜRÜN KODU]],YMKODLARI!$A$1:$K$363,3,0)," ")</f>
        <v xml:space="preserve"> </v>
      </c>
      <c r="H525" s="100" t="str">
        <f>IFERROR(VLOOKUP(Tablo515[[#This Row],[ÜRÜN KODU]],YMKODLARI!$A$1:$K$363,4,0)," ")</f>
        <v xml:space="preserve"> </v>
      </c>
      <c r="I525" s="100"/>
      <c r="J525" s="100" t="str">
        <f>IFERROR(VLOOKUP(Tablo515[[#This Row],[ÜRÜN KODU]],YMKODLARI!$A$1:$K$363,9,0)," ")</f>
        <v xml:space="preserve"> </v>
      </c>
      <c r="K525" s="100" t="str">
        <f>IFERROR(VLOOKUP(Tablo515[[#This Row],[BOYA KODU]],Tablo14[#All],4,0)," ")</f>
        <v xml:space="preserve"> </v>
      </c>
      <c r="L525" s="100" t="str">
        <f>IFERROR(VLOOKUP(Tablo515[[#This Row],[BOYA KODU]],Tablo14[#All],6,0)," ")</f>
        <v xml:space="preserve"> </v>
      </c>
      <c r="M525" s="100" t="str">
        <f t="shared" si="60"/>
        <v xml:space="preserve"> </v>
      </c>
      <c r="N525" s="100" t="str">
        <f>IFERROR(VLOOKUP(Tablo515[[#This Row],[ÜRÜN KODU]],YMKODLARI!$A$1:$K$363,8,0)," ")</f>
        <v xml:space="preserve"> </v>
      </c>
      <c r="O525" s="100" t="str">
        <f>IFERROR(VLOOKUP(Tablo515[[#This Row],[HAMMADDE KODU]],Tablo1[#All],3,0)," ")</f>
        <v xml:space="preserve"> </v>
      </c>
      <c r="P525" s="100" t="str">
        <f>IFERROR(VLOOKUP(Tablo515[[#This Row],[HAMMADDE KODU]],Tablo1[#All],4,0)," ")</f>
        <v xml:space="preserve"> </v>
      </c>
      <c r="Q525" s="100" t="str">
        <f>IFERROR(VLOOKUP(Tablo515[[#This Row],[ÜRÜN KODU]],YMKODLARI!$A$1:$K$363,5,0)," ")</f>
        <v xml:space="preserve"> </v>
      </c>
      <c r="R525" s="100" t="str">
        <f>IFERROR(VLOOKUP(Tablo515[[#This Row],[ÜRÜN KODU]],YMKODLARI!$A$1:$K$363,6,0)," ")</f>
        <v xml:space="preserve"> </v>
      </c>
      <c r="S525" s="100" t="str">
        <f>IFERROR(Tablo515[[#This Row],[YOLLUK HARİÇ BASKI GRAMI]]/Tablo515[[#This Row],[KALIP GÖZ ADEDİ]]," ")</f>
        <v xml:space="preserve"> </v>
      </c>
      <c r="T525" s="100" t="str">
        <f t="shared" si="62"/>
        <v xml:space="preserve"> </v>
      </c>
      <c r="U525" s="100"/>
      <c r="V525" s="100" t="str">
        <f t="shared" si="61"/>
        <v xml:space="preserve"> </v>
      </c>
      <c r="W525" s="101">
        <f t="shared" si="63"/>
        <v>24</v>
      </c>
      <c r="X525" s="102">
        <f t="shared" si="64"/>
        <v>0</v>
      </c>
      <c r="Y525" s="100" t="str">
        <f t="shared" si="65"/>
        <v xml:space="preserve"> </v>
      </c>
      <c r="Z525" s="100" t="str">
        <f t="shared" si="66"/>
        <v xml:space="preserve"> </v>
      </c>
    </row>
    <row r="526" spans="1:26">
      <c r="A526" s="100"/>
      <c r="B526" s="108" t="str">
        <f>IFERROR(VLOOKUP(Tablo515[[#This Row],[ÜRÜN KODU]],YMKODLARI!$A$1:$K$363,2,0)," ")</f>
        <v xml:space="preserve"> </v>
      </c>
      <c r="C526" s="99"/>
      <c r="D526" s="100"/>
      <c r="E526" s="101"/>
      <c r="F526" s="101"/>
      <c r="G526" s="100" t="str">
        <f>IFERROR(VLOOKUP(Tablo515[[#This Row],[ÜRÜN KODU]],YMKODLARI!$A$1:$K$363,3,0)," ")</f>
        <v xml:space="preserve"> </v>
      </c>
      <c r="H526" s="100" t="str">
        <f>IFERROR(VLOOKUP(Tablo515[[#This Row],[ÜRÜN KODU]],YMKODLARI!$A$1:$K$363,4,0)," ")</f>
        <v xml:space="preserve"> </v>
      </c>
      <c r="I526" s="100"/>
      <c r="J526" s="100" t="str">
        <f>IFERROR(VLOOKUP(Tablo515[[#This Row],[ÜRÜN KODU]],YMKODLARI!$A$1:$K$363,9,0)," ")</f>
        <v xml:space="preserve"> </v>
      </c>
      <c r="K526" s="100" t="str">
        <f>IFERROR(VLOOKUP(Tablo515[[#This Row],[BOYA KODU]],Tablo14[#All],4,0)," ")</f>
        <v xml:space="preserve"> </v>
      </c>
      <c r="L526" s="100" t="str">
        <f>IFERROR(VLOOKUP(Tablo515[[#This Row],[BOYA KODU]],Tablo14[#All],6,0)," ")</f>
        <v xml:space="preserve"> </v>
      </c>
      <c r="M526" s="100" t="str">
        <f t="shared" si="60"/>
        <v xml:space="preserve"> </v>
      </c>
      <c r="N526" s="100" t="str">
        <f>IFERROR(VLOOKUP(Tablo515[[#This Row],[ÜRÜN KODU]],YMKODLARI!$A$1:$K$363,8,0)," ")</f>
        <v xml:space="preserve"> </v>
      </c>
      <c r="O526" s="100" t="str">
        <f>IFERROR(VLOOKUP(Tablo515[[#This Row],[HAMMADDE KODU]],Tablo1[#All],3,0)," ")</f>
        <v xml:space="preserve"> </v>
      </c>
      <c r="P526" s="100" t="str">
        <f>IFERROR(VLOOKUP(Tablo515[[#This Row],[HAMMADDE KODU]],Tablo1[#All],4,0)," ")</f>
        <v xml:space="preserve"> </v>
      </c>
      <c r="Q526" s="100" t="str">
        <f>IFERROR(VLOOKUP(Tablo515[[#This Row],[ÜRÜN KODU]],YMKODLARI!$A$1:$K$363,5,0)," ")</f>
        <v xml:space="preserve"> </v>
      </c>
      <c r="R526" s="100" t="str">
        <f>IFERROR(VLOOKUP(Tablo515[[#This Row],[ÜRÜN KODU]],YMKODLARI!$A$1:$K$363,6,0)," ")</f>
        <v xml:space="preserve"> </v>
      </c>
      <c r="S526" s="100" t="str">
        <f>IFERROR(Tablo515[[#This Row],[YOLLUK HARİÇ BASKI GRAMI]]/Tablo515[[#This Row],[KALIP GÖZ ADEDİ]]," ")</f>
        <v xml:space="preserve"> </v>
      </c>
      <c r="T526" s="100" t="str">
        <f t="shared" si="62"/>
        <v xml:space="preserve"> </v>
      </c>
      <c r="U526" s="100"/>
      <c r="V526" s="100" t="str">
        <f t="shared" si="61"/>
        <v xml:space="preserve"> </v>
      </c>
      <c r="W526" s="101">
        <f t="shared" si="63"/>
        <v>24</v>
      </c>
      <c r="X526" s="102">
        <f t="shared" si="64"/>
        <v>0</v>
      </c>
      <c r="Y526" s="100" t="str">
        <f t="shared" si="65"/>
        <v xml:space="preserve"> </v>
      </c>
      <c r="Z526" s="100" t="str">
        <f t="shared" si="66"/>
        <v xml:space="preserve"> </v>
      </c>
    </row>
    <row r="527" spans="1:26">
      <c r="A527" s="100"/>
      <c r="B527" s="108" t="str">
        <f>IFERROR(VLOOKUP(Tablo515[[#This Row],[ÜRÜN KODU]],YMKODLARI!$A$1:$K$363,2,0)," ")</f>
        <v xml:space="preserve"> </v>
      </c>
      <c r="C527" s="99"/>
      <c r="D527" s="100"/>
      <c r="E527" s="101"/>
      <c r="F527" s="101"/>
      <c r="G527" s="100" t="str">
        <f>IFERROR(VLOOKUP(Tablo515[[#This Row],[ÜRÜN KODU]],YMKODLARI!$A$1:$K$363,3,0)," ")</f>
        <v xml:space="preserve"> </v>
      </c>
      <c r="H527" s="100" t="str">
        <f>IFERROR(VLOOKUP(Tablo515[[#This Row],[ÜRÜN KODU]],YMKODLARI!$A$1:$K$363,4,0)," ")</f>
        <v xml:space="preserve"> </v>
      </c>
      <c r="I527" s="100"/>
      <c r="J527" s="100" t="str">
        <f>IFERROR(VLOOKUP(Tablo515[[#This Row],[ÜRÜN KODU]],YMKODLARI!$A$1:$K$363,9,0)," ")</f>
        <v xml:space="preserve"> </v>
      </c>
      <c r="K527" s="100" t="str">
        <f>IFERROR(VLOOKUP(Tablo515[[#This Row],[BOYA KODU]],Tablo14[#All],4,0)," ")</f>
        <v xml:space="preserve"> </v>
      </c>
      <c r="L527" s="100" t="str">
        <f>IFERROR(VLOOKUP(Tablo515[[#This Row],[BOYA KODU]],Tablo14[#All],6,0)," ")</f>
        <v xml:space="preserve"> </v>
      </c>
      <c r="M527" s="100" t="str">
        <f t="shared" si="60"/>
        <v xml:space="preserve"> </v>
      </c>
      <c r="N527" s="100" t="str">
        <f>IFERROR(VLOOKUP(Tablo515[[#This Row],[ÜRÜN KODU]],YMKODLARI!$A$1:$K$363,8,0)," ")</f>
        <v xml:space="preserve"> </v>
      </c>
      <c r="O527" s="100" t="str">
        <f>IFERROR(VLOOKUP(Tablo515[[#This Row],[HAMMADDE KODU]],Tablo1[#All],3,0)," ")</f>
        <v xml:space="preserve"> </v>
      </c>
      <c r="P527" s="100" t="str">
        <f>IFERROR(VLOOKUP(Tablo515[[#This Row],[HAMMADDE KODU]],Tablo1[#All],4,0)," ")</f>
        <v xml:space="preserve"> </v>
      </c>
      <c r="Q527" s="100" t="str">
        <f>IFERROR(VLOOKUP(Tablo515[[#This Row],[ÜRÜN KODU]],YMKODLARI!$A$1:$K$363,5,0)," ")</f>
        <v xml:space="preserve"> </v>
      </c>
      <c r="R527" s="100" t="str">
        <f>IFERROR(VLOOKUP(Tablo515[[#This Row],[ÜRÜN KODU]],YMKODLARI!$A$1:$K$363,6,0)," ")</f>
        <v xml:space="preserve"> </v>
      </c>
      <c r="S527" s="100" t="str">
        <f>IFERROR(Tablo515[[#This Row],[YOLLUK HARİÇ BASKI GRAMI]]/Tablo515[[#This Row],[KALIP GÖZ ADEDİ]]," ")</f>
        <v xml:space="preserve"> </v>
      </c>
      <c r="T527" s="100" t="str">
        <f t="shared" si="62"/>
        <v xml:space="preserve"> </v>
      </c>
      <c r="U527" s="100"/>
      <c r="V527" s="100" t="str">
        <f t="shared" si="61"/>
        <v xml:space="preserve"> </v>
      </c>
      <c r="W527" s="101">
        <f t="shared" si="63"/>
        <v>24</v>
      </c>
      <c r="X527" s="102">
        <f t="shared" si="64"/>
        <v>0</v>
      </c>
      <c r="Y527" s="100" t="str">
        <f t="shared" si="65"/>
        <v xml:space="preserve"> </v>
      </c>
      <c r="Z527" s="100" t="str">
        <f t="shared" si="66"/>
        <v xml:space="preserve"> </v>
      </c>
    </row>
    <row r="528" spans="1:26">
      <c r="A528" s="100"/>
      <c r="B528" s="108" t="str">
        <f>IFERROR(VLOOKUP(Tablo515[[#This Row],[ÜRÜN KODU]],YMKODLARI!$A$1:$K$363,2,0)," ")</f>
        <v xml:space="preserve"> </v>
      </c>
      <c r="C528" s="99"/>
      <c r="D528" s="100"/>
      <c r="E528" s="101"/>
      <c r="F528" s="101"/>
      <c r="G528" s="100" t="str">
        <f>IFERROR(VLOOKUP(Tablo515[[#This Row],[ÜRÜN KODU]],YMKODLARI!$A$1:$K$363,3,0)," ")</f>
        <v xml:space="preserve"> </v>
      </c>
      <c r="H528" s="100" t="str">
        <f>IFERROR(VLOOKUP(Tablo515[[#This Row],[ÜRÜN KODU]],YMKODLARI!$A$1:$K$363,4,0)," ")</f>
        <v xml:space="preserve"> </v>
      </c>
      <c r="I528" s="100"/>
      <c r="J528" s="100" t="str">
        <f>IFERROR(VLOOKUP(Tablo515[[#This Row],[ÜRÜN KODU]],YMKODLARI!$A$1:$K$363,9,0)," ")</f>
        <v xml:space="preserve"> </v>
      </c>
      <c r="K528" s="100" t="str">
        <f>IFERROR(VLOOKUP(Tablo515[[#This Row],[BOYA KODU]],Tablo14[#All],4,0)," ")</f>
        <v xml:space="preserve"> </v>
      </c>
      <c r="L528" s="100" t="str">
        <f>IFERROR(VLOOKUP(Tablo515[[#This Row],[BOYA KODU]],Tablo14[#All],6,0)," ")</f>
        <v xml:space="preserve"> </v>
      </c>
      <c r="M528" s="100" t="str">
        <f t="shared" si="60"/>
        <v xml:space="preserve"> </v>
      </c>
      <c r="N528" s="100" t="str">
        <f>IFERROR(VLOOKUP(Tablo515[[#This Row],[ÜRÜN KODU]],YMKODLARI!$A$1:$K$363,8,0)," ")</f>
        <v xml:space="preserve"> </v>
      </c>
      <c r="O528" s="100" t="str">
        <f>IFERROR(VLOOKUP(Tablo515[[#This Row],[HAMMADDE KODU]],Tablo1[#All],3,0)," ")</f>
        <v xml:space="preserve"> </v>
      </c>
      <c r="P528" s="100" t="str">
        <f>IFERROR(VLOOKUP(Tablo515[[#This Row],[HAMMADDE KODU]],Tablo1[#All],4,0)," ")</f>
        <v xml:space="preserve"> </v>
      </c>
      <c r="Q528" s="100" t="str">
        <f>IFERROR(VLOOKUP(Tablo515[[#This Row],[ÜRÜN KODU]],YMKODLARI!$A$1:$K$363,5,0)," ")</f>
        <v xml:space="preserve"> </v>
      </c>
      <c r="R528" s="100" t="str">
        <f>IFERROR(VLOOKUP(Tablo515[[#This Row],[ÜRÜN KODU]],YMKODLARI!$A$1:$K$363,6,0)," ")</f>
        <v xml:space="preserve"> </v>
      </c>
      <c r="S528" s="100" t="str">
        <f>IFERROR(Tablo515[[#This Row],[YOLLUK HARİÇ BASKI GRAMI]]/Tablo515[[#This Row],[KALIP GÖZ ADEDİ]]," ")</f>
        <v xml:space="preserve"> </v>
      </c>
      <c r="T528" s="100" t="str">
        <f t="shared" si="62"/>
        <v xml:space="preserve"> </v>
      </c>
      <c r="U528" s="100"/>
      <c r="V528" s="100" t="str">
        <f t="shared" si="61"/>
        <v xml:space="preserve"> </v>
      </c>
      <c r="W528" s="101">
        <f t="shared" si="63"/>
        <v>24</v>
      </c>
      <c r="X528" s="102">
        <f t="shared" si="64"/>
        <v>0</v>
      </c>
      <c r="Y528" s="100" t="str">
        <f t="shared" si="65"/>
        <v xml:space="preserve"> </v>
      </c>
      <c r="Z528" s="100" t="str">
        <f t="shared" si="66"/>
        <v xml:space="preserve"> </v>
      </c>
    </row>
    <row r="529" spans="1:26">
      <c r="A529" s="100"/>
      <c r="B529" s="108" t="str">
        <f>IFERROR(VLOOKUP(Tablo515[[#This Row],[ÜRÜN KODU]],YMKODLARI!$A$1:$K$363,2,0)," ")</f>
        <v xml:space="preserve"> </v>
      </c>
      <c r="C529" s="99"/>
      <c r="D529" s="100"/>
      <c r="E529" s="101"/>
      <c r="F529" s="101"/>
      <c r="G529" s="100" t="str">
        <f>IFERROR(VLOOKUP(Tablo515[[#This Row],[ÜRÜN KODU]],YMKODLARI!$A$1:$K$363,3,0)," ")</f>
        <v xml:space="preserve"> </v>
      </c>
      <c r="H529" s="100" t="str">
        <f>IFERROR(VLOOKUP(Tablo515[[#This Row],[ÜRÜN KODU]],YMKODLARI!$A$1:$K$363,4,0)," ")</f>
        <v xml:space="preserve"> </v>
      </c>
      <c r="I529" s="100"/>
      <c r="J529" s="100" t="str">
        <f>IFERROR(VLOOKUP(Tablo515[[#This Row],[ÜRÜN KODU]],YMKODLARI!$A$1:$K$363,9,0)," ")</f>
        <v xml:space="preserve"> </v>
      </c>
      <c r="K529" s="100" t="str">
        <f>IFERROR(VLOOKUP(Tablo515[[#This Row],[BOYA KODU]],Tablo14[#All],4,0)," ")</f>
        <v xml:space="preserve"> </v>
      </c>
      <c r="L529" s="100" t="str">
        <f>IFERROR(VLOOKUP(Tablo515[[#This Row],[BOYA KODU]],Tablo14[#All],6,0)," ")</f>
        <v xml:space="preserve"> </v>
      </c>
      <c r="M529" s="100" t="str">
        <f t="shared" si="60"/>
        <v xml:space="preserve"> </v>
      </c>
      <c r="N529" s="100" t="str">
        <f>IFERROR(VLOOKUP(Tablo515[[#This Row],[ÜRÜN KODU]],YMKODLARI!$A$1:$K$363,8,0)," ")</f>
        <v xml:space="preserve"> </v>
      </c>
      <c r="O529" s="100" t="str">
        <f>IFERROR(VLOOKUP(Tablo515[[#This Row],[HAMMADDE KODU]],Tablo1[#All],3,0)," ")</f>
        <v xml:space="preserve"> </v>
      </c>
      <c r="P529" s="100" t="str">
        <f>IFERROR(VLOOKUP(Tablo515[[#This Row],[HAMMADDE KODU]],Tablo1[#All],4,0)," ")</f>
        <v xml:space="preserve"> </v>
      </c>
      <c r="Q529" s="100" t="str">
        <f>IFERROR(VLOOKUP(Tablo515[[#This Row],[ÜRÜN KODU]],YMKODLARI!$A$1:$K$363,5,0)," ")</f>
        <v xml:space="preserve"> </v>
      </c>
      <c r="R529" s="100" t="str">
        <f>IFERROR(VLOOKUP(Tablo515[[#This Row],[ÜRÜN KODU]],YMKODLARI!$A$1:$K$363,6,0)," ")</f>
        <v xml:space="preserve"> </v>
      </c>
      <c r="S529" s="100" t="str">
        <f>IFERROR(Tablo515[[#This Row],[YOLLUK HARİÇ BASKI GRAMI]]/Tablo515[[#This Row],[KALIP GÖZ ADEDİ]]," ")</f>
        <v xml:space="preserve"> </v>
      </c>
      <c r="T529" s="100" t="str">
        <f t="shared" si="62"/>
        <v xml:space="preserve"> </v>
      </c>
      <c r="U529" s="100"/>
      <c r="V529" s="100" t="str">
        <f t="shared" si="61"/>
        <v xml:space="preserve"> </v>
      </c>
      <c r="W529" s="101">
        <f t="shared" si="63"/>
        <v>24</v>
      </c>
      <c r="X529" s="102">
        <f t="shared" si="64"/>
        <v>0</v>
      </c>
      <c r="Y529" s="100" t="str">
        <f t="shared" si="65"/>
        <v xml:space="preserve"> </v>
      </c>
      <c r="Z529" s="100" t="str">
        <f t="shared" si="66"/>
        <v xml:space="preserve"> </v>
      </c>
    </row>
    <row r="530" spans="1:26">
      <c r="A530" s="100"/>
      <c r="B530" s="108" t="str">
        <f>IFERROR(VLOOKUP(Tablo515[[#This Row],[ÜRÜN KODU]],YMKODLARI!$A$1:$K$363,2,0)," ")</f>
        <v xml:space="preserve"> </v>
      </c>
      <c r="C530" s="99"/>
      <c r="D530" s="100"/>
      <c r="E530" s="101"/>
      <c r="F530" s="101"/>
      <c r="G530" s="100" t="str">
        <f>IFERROR(VLOOKUP(Tablo515[[#This Row],[ÜRÜN KODU]],YMKODLARI!$A$1:$K$363,3,0)," ")</f>
        <v xml:space="preserve"> </v>
      </c>
      <c r="H530" s="100" t="str">
        <f>IFERROR(VLOOKUP(Tablo515[[#This Row],[ÜRÜN KODU]],YMKODLARI!$A$1:$K$363,4,0)," ")</f>
        <v xml:space="preserve"> </v>
      </c>
      <c r="I530" s="100"/>
      <c r="J530" s="100" t="str">
        <f>IFERROR(VLOOKUP(Tablo515[[#This Row],[ÜRÜN KODU]],YMKODLARI!$A$1:$K$363,9,0)," ")</f>
        <v xml:space="preserve"> </v>
      </c>
      <c r="K530" s="100" t="str">
        <f>IFERROR(VLOOKUP(Tablo515[[#This Row],[BOYA KODU]],Tablo14[#All],4,0)," ")</f>
        <v xml:space="preserve"> </v>
      </c>
      <c r="L530" s="100" t="str">
        <f>IFERROR(VLOOKUP(Tablo515[[#This Row],[BOYA KODU]],Tablo14[#All],6,0)," ")</f>
        <v xml:space="preserve"> </v>
      </c>
      <c r="M530" s="100" t="str">
        <f t="shared" si="60"/>
        <v xml:space="preserve"> </v>
      </c>
      <c r="N530" s="100" t="str">
        <f>IFERROR(VLOOKUP(Tablo515[[#This Row],[ÜRÜN KODU]],YMKODLARI!$A$1:$K$363,8,0)," ")</f>
        <v xml:space="preserve"> </v>
      </c>
      <c r="O530" s="100" t="str">
        <f>IFERROR(VLOOKUP(Tablo515[[#This Row],[HAMMADDE KODU]],Tablo1[#All],3,0)," ")</f>
        <v xml:space="preserve"> </v>
      </c>
      <c r="P530" s="100" t="str">
        <f>IFERROR(VLOOKUP(Tablo515[[#This Row],[HAMMADDE KODU]],Tablo1[#All],4,0)," ")</f>
        <v xml:space="preserve"> </v>
      </c>
      <c r="Q530" s="100" t="str">
        <f>IFERROR(VLOOKUP(Tablo515[[#This Row],[ÜRÜN KODU]],YMKODLARI!$A$1:$K$363,5,0)," ")</f>
        <v xml:space="preserve"> </v>
      </c>
      <c r="R530" s="100" t="str">
        <f>IFERROR(VLOOKUP(Tablo515[[#This Row],[ÜRÜN KODU]],YMKODLARI!$A$1:$K$363,6,0)," ")</f>
        <v xml:space="preserve"> </v>
      </c>
      <c r="S530" s="100" t="str">
        <f>IFERROR(Tablo515[[#This Row],[YOLLUK HARİÇ BASKI GRAMI]]/Tablo515[[#This Row],[KALIP GÖZ ADEDİ]]," ")</f>
        <v xml:space="preserve"> </v>
      </c>
      <c r="T530" s="100" t="str">
        <f t="shared" si="62"/>
        <v xml:space="preserve"> </v>
      </c>
      <c r="U530" s="100"/>
      <c r="V530" s="100" t="str">
        <f t="shared" si="61"/>
        <v xml:space="preserve"> </v>
      </c>
      <c r="W530" s="101">
        <f t="shared" si="63"/>
        <v>24</v>
      </c>
      <c r="X530" s="102">
        <f t="shared" si="64"/>
        <v>0</v>
      </c>
      <c r="Y530" s="100" t="str">
        <f t="shared" si="65"/>
        <v xml:space="preserve"> </v>
      </c>
      <c r="Z530" s="100" t="str">
        <f t="shared" si="66"/>
        <v xml:space="preserve"> </v>
      </c>
    </row>
    <row r="531" spans="1:26">
      <c r="A531" s="100"/>
      <c r="B531" s="108" t="str">
        <f>IFERROR(VLOOKUP(Tablo515[[#This Row],[ÜRÜN KODU]],YMKODLARI!$A$1:$K$363,2,0)," ")</f>
        <v xml:space="preserve"> </v>
      </c>
      <c r="C531" s="99"/>
      <c r="D531" s="100"/>
      <c r="E531" s="101"/>
      <c r="F531" s="101"/>
      <c r="G531" s="100" t="str">
        <f>IFERROR(VLOOKUP(Tablo515[[#This Row],[ÜRÜN KODU]],YMKODLARI!$A$1:$K$363,3,0)," ")</f>
        <v xml:space="preserve"> </v>
      </c>
      <c r="H531" s="100" t="str">
        <f>IFERROR(VLOOKUP(Tablo515[[#This Row],[ÜRÜN KODU]],YMKODLARI!$A$1:$K$363,4,0)," ")</f>
        <v xml:space="preserve"> </v>
      </c>
      <c r="I531" s="100"/>
      <c r="J531" s="100" t="str">
        <f>IFERROR(VLOOKUP(Tablo515[[#This Row],[ÜRÜN KODU]],YMKODLARI!$A$1:$K$363,9,0)," ")</f>
        <v xml:space="preserve"> </v>
      </c>
      <c r="K531" s="100" t="str">
        <f>IFERROR(VLOOKUP(Tablo515[[#This Row],[BOYA KODU]],Tablo14[#All],4,0)," ")</f>
        <v xml:space="preserve"> </v>
      </c>
      <c r="L531" s="100" t="str">
        <f>IFERROR(VLOOKUP(Tablo515[[#This Row],[BOYA KODU]],Tablo14[#All],6,0)," ")</f>
        <v xml:space="preserve"> </v>
      </c>
      <c r="M531" s="100" t="str">
        <f t="shared" si="60"/>
        <v xml:space="preserve"> </v>
      </c>
      <c r="N531" s="100" t="str">
        <f>IFERROR(VLOOKUP(Tablo515[[#This Row],[ÜRÜN KODU]],YMKODLARI!$A$1:$K$363,8,0)," ")</f>
        <v xml:space="preserve"> </v>
      </c>
      <c r="O531" s="100" t="str">
        <f>IFERROR(VLOOKUP(Tablo515[[#This Row],[HAMMADDE KODU]],Tablo1[#All],3,0)," ")</f>
        <v xml:space="preserve"> </v>
      </c>
      <c r="P531" s="100" t="str">
        <f>IFERROR(VLOOKUP(Tablo515[[#This Row],[HAMMADDE KODU]],Tablo1[#All],4,0)," ")</f>
        <v xml:space="preserve"> </v>
      </c>
      <c r="Q531" s="100" t="str">
        <f>IFERROR(VLOOKUP(Tablo515[[#This Row],[ÜRÜN KODU]],YMKODLARI!$A$1:$K$363,5,0)," ")</f>
        <v xml:space="preserve"> </v>
      </c>
      <c r="R531" s="100" t="str">
        <f>IFERROR(VLOOKUP(Tablo515[[#This Row],[ÜRÜN KODU]],YMKODLARI!$A$1:$K$363,6,0)," ")</f>
        <v xml:space="preserve"> </v>
      </c>
      <c r="S531" s="100" t="str">
        <f>IFERROR(Tablo515[[#This Row],[YOLLUK HARİÇ BASKI GRAMI]]/Tablo515[[#This Row],[KALIP GÖZ ADEDİ]]," ")</f>
        <v xml:space="preserve"> </v>
      </c>
      <c r="T531" s="100" t="str">
        <f t="shared" si="62"/>
        <v xml:space="preserve"> </v>
      </c>
      <c r="U531" s="100"/>
      <c r="V531" s="100" t="str">
        <f t="shared" si="61"/>
        <v xml:space="preserve"> </v>
      </c>
      <c r="W531" s="101">
        <f t="shared" si="63"/>
        <v>24</v>
      </c>
      <c r="X531" s="102">
        <f t="shared" si="64"/>
        <v>0</v>
      </c>
      <c r="Y531" s="100" t="str">
        <f t="shared" si="65"/>
        <v xml:space="preserve"> </v>
      </c>
      <c r="Z531" s="100" t="str">
        <f t="shared" si="66"/>
        <v xml:space="preserve"> </v>
      </c>
    </row>
    <row r="532" spans="1:26">
      <c r="A532" s="100"/>
      <c r="B532" s="108" t="str">
        <f>IFERROR(VLOOKUP(Tablo515[[#This Row],[ÜRÜN KODU]],YMKODLARI!$A$1:$K$363,2,0)," ")</f>
        <v xml:space="preserve"> </v>
      </c>
      <c r="C532" s="99"/>
      <c r="D532" s="100"/>
      <c r="E532" s="101"/>
      <c r="F532" s="101"/>
      <c r="G532" s="100" t="str">
        <f>IFERROR(VLOOKUP(Tablo515[[#This Row],[ÜRÜN KODU]],YMKODLARI!$A$1:$K$363,3,0)," ")</f>
        <v xml:space="preserve"> </v>
      </c>
      <c r="H532" s="100" t="str">
        <f>IFERROR(VLOOKUP(Tablo515[[#This Row],[ÜRÜN KODU]],YMKODLARI!$A$1:$K$363,4,0)," ")</f>
        <v xml:space="preserve"> </v>
      </c>
      <c r="I532" s="100"/>
      <c r="J532" s="100" t="str">
        <f>IFERROR(VLOOKUP(Tablo515[[#This Row],[ÜRÜN KODU]],YMKODLARI!$A$1:$K$363,9,0)," ")</f>
        <v xml:space="preserve"> </v>
      </c>
      <c r="K532" s="100" t="str">
        <f>IFERROR(VLOOKUP(Tablo515[[#This Row],[BOYA KODU]],Tablo14[#All],4,0)," ")</f>
        <v xml:space="preserve"> </v>
      </c>
      <c r="L532" s="100" t="str">
        <f>IFERROR(VLOOKUP(Tablo515[[#This Row],[BOYA KODU]],Tablo14[#All],6,0)," ")</f>
        <v xml:space="preserve"> </v>
      </c>
      <c r="M532" s="100" t="str">
        <f t="shared" si="60"/>
        <v xml:space="preserve"> </v>
      </c>
      <c r="N532" s="100" t="str">
        <f>IFERROR(VLOOKUP(Tablo515[[#This Row],[ÜRÜN KODU]],YMKODLARI!$A$1:$K$363,8,0)," ")</f>
        <v xml:space="preserve"> </v>
      </c>
      <c r="O532" s="100" t="str">
        <f>IFERROR(VLOOKUP(Tablo515[[#This Row],[HAMMADDE KODU]],Tablo1[#All],3,0)," ")</f>
        <v xml:space="preserve"> </v>
      </c>
      <c r="P532" s="100" t="str">
        <f>IFERROR(VLOOKUP(Tablo515[[#This Row],[HAMMADDE KODU]],Tablo1[#All],4,0)," ")</f>
        <v xml:space="preserve"> </v>
      </c>
      <c r="Q532" s="100" t="str">
        <f>IFERROR(VLOOKUP(Tablo515[[#This Row],[ÜRÜN KODU]],YMKODLARI!$A$1:$K$363,5,0)," ")</f>
        <v xml:space="preserve"> </v>
      </c>
      <c r="R532" s="100" t="str">
        <f>IFERROR(VLOOKUP(Tablo515[[#This Row],[ÜRÜN KODU]],YMKODLARI!$A$1:$K$363,6,0)," ")</f>
        <v xml:space="preserve"> </v>
      </c>
      <c r="S532" s="100" t="str">
        <f>IFERROR(Tablo515[[#This Row],[YOLLUK HARİÇ BASKI GRAMI]]/Tablo515[[#This Row],[KALIP GÖZ ADEDİ]]," ")</f>
        <v xml:space="preserve"> </v>
      </c>
      <c r="T532" s="100" t="str">
        <f t="shared" si="62"/>
        <v xml:space="preserve"> </v>
      </c>
      <c r="U532" s="100"/>
      <c r="V532" s="100" t="str">
        <f t="shared" si="61"/>
        <v xml:space="preserve"> </v>
      </c>
      <c r="W532" s="101">
        <f t="shared" si="63"/>
        <v>24</v>
      </c>
      <c r="X532" s="102">
        <f t="shared" si="64"/>
        <v>0</v>
      </c>
      <c r="Y532" s="100" t="str">
        <f t="shared" si="65"/>
        <v xml:space="preserve"> </v>
      </c>
      <c r="Z532" s="100" t="str">
        <f t="shared" si="66"/>
        <v xml:space="preserve"> </v>
      </c>
    </row>
    <row r="533" spans="1:26">
      <c r="A533" s="100"/>
      <c r="B533" s="108" t="str">
        <f>IFERROR(VLOOKUP(Tablo515[[#This Row],[ÜRÜN KODU]],YMKODLARI!$A$1:$K$363,2,0)," ")</f>
        <v xml:space="preserve"> </v>
      </c>
      <c r="C533" s="99"/>
      <c r="D533" s="100"/>
      <c r="E533" s="101"/>
      <c r="F533" s="101"/>
      <c r="G533" s="100" t="str">
        <f>IFERROR(VLOOKUP(Tablo515[[#This Row],[ÜRÜN KODU]],YMKODLARI!$A$1:$K$363,3,0)," ")</f>
        <v xml:space="preserve"> </v>
      </c>
      <c r="H533" s="100" t="str">
        <f>IFERROR(VLOOKUP(Tablo515[[#This Row],[ÜRÜN KODU]],YMKODLARI!$A$1:$K$363,4,0)," ")</f>
        <v xml:space="preserve"> </v>
      </c>
      <c r="I533" s="100"/>
      <c r="J533" s="100" t="str">
        <f>IFERROR(VLOOKUP(Tablo515[[#This Row],[ÜRÜN KODU]],YMKODLARI!$A$1:$K$363,9,0)," ")</f>
        <v xml:space="preserve"> </v>
      </c>
      <c r="K533" s="100" t="str">
        <f>IFERROR(VLOOKUP(Tablo515[[#This Row],[BOYA KODU]],Tablo14[#All],4,0)," ")</f>
        <v xml:space="preserve"> </v>
      </c>
      <c r="L533" s="100" t="str">
        <f>IFERROR(VLOOKUP(Tablo515[[#This Row],[BOYA KODU]],Tablo14[#All],6,0)," ")</f>
        <v xml:space="preserve"> </v>
      </c>
      <c r="M533" s="100" t="str">
        <f t="shared" si="60"/>
        <v xml:space="preserve"> </v>
      </c>
      <c r="N533" s="100" t="str">
        <f>IFERROR(VLOOKUP(Tablo515[[#This Row],[ÜRÜN KODU]],YMKODLARI!$A$1:$K$363,8,0)," ")</f>
        <v xml:space="preserve"> </v>
      </c>
      <c r="O533" s="100" t="str">
        <f>IFERROR(VLOOKUP(Tablo515[[#This Row],[HAMMADDE KODU]],Tablo1[#All],3,0)," ")</f>
        <v xml:space="preserve"> </v>
      </c>
      <c r="P533" s="100" t="str">
        <f>IFERROR(VLOOKUP(Tablo515[[#This Row],[HAMMADDE KODU]],Tablo1[#All],4,0)," ")</f>
        <v xml:space="preserve"> </v>
      </c>
      <c r="Q533" s="100" t="str">
        <f>IFERROR(VLOOKUP(Tablo515[[#This Row],[ÜRÜN KODU]],YMKODLARI!$A$1:$K$363,5,0)," ")</f>
        <v xml:space="preserve"> </v>
      </c>
      <c r="R533" s="100" t="str">
        <f>IFERROR(VLOOKUP(Tablo515[[#This Row],[ÜRÜN KODU]],YMKODLARI!$A$1:$K$363,6,0)," ")</f>
        <v xml:space="preserve"> </v>
      </c>
      <c r="S533" s="100" t="str">
        <f>IFERROR(Tablo515[[#This Row],[YOLLUK HARİÇ BASKI GRAMI]]/Tablo515[[#This Row],[KALIP GÖZ ADEDİ]]," ")</f>
        <v xml:space="preserve"> </v>
      </c>
      <c r="T533" s="100" t="str">
        <f t="shared" si="62"/>
        <v xml:space="preserve"> </v>
      </c>
      <c r="U533" s="100"/>
      <c r="V533" s="100" t="str">
        <f t="shared" si="61"/>
        <v xml:space="preserve"> </v>
      </c>
      <c r="W533" s="101">
        <f t="shared" si="63"/>
        <v>24</v>
      </c>
      <c r="X533" s="102">
        <f t="shared" si="64"/>
        <v>0</v>
      </c>
      <c r="Y533" s="100" t="str">
        <f t="shared" si="65"/>
        <v xml:space="preserve"> </v>
      </c>
      <c r="Z533" s="100" t="str">
        <f t="shared" si="66"/>
        <v xml:space="preserve"> </v>
      </c>
    </row>
    <row r="534" spans="1:26">
      <c r="A534" s="100"/>
      <c r="B534" s="108" t="str">
        <f>IFERROR(VLOOKUP(Tablo515[[#This Row],[ÜRÜN KODU]],YMKODLARI!$A$1:$K$363,2,0)," ")</f>
        <v xml:space="preserve"> </v>
      </c>
      <c r="C534" s="99"/>
      <c r="D534" s="100"/>
      <c r="E534" s="101"/>
      <c r="F534" s="101"/>
      <c r="G534" s="100" t="str">
        <f>IFERROR(VLOOKUP(Tablo515[[#This Row],[ÜRÜN KODU]],YMKODLARI!$A$1:$K$363,3,0)," ")</f>
        <v xml:space="preserve"> </v>
      </c>
      <c r="H534" s="100" t="str">
        <f>IFERROR(VLOOKUP(Tablo515[[#This Row],[ÜRÜN KODU]],YMKODLARI!$A$1:$K$363,4,0)," ")</f>
        <v xml:space="preserve"> </v>
      </c>
      <c r="I534" s="100"/>
      <c r="J534" s="100" t="str">
        <f>IFERROR(VLOOKUP(Tablo515[[#This Row],[ÜRÜN KODU]],YMKODLARI!$A$1:$K$363,9,0)," ")</f>
        <v xml:space="preserve"> </v>
      </c>
      <c r="K534" s="100" t="str">
        <f>IFERROR(VLOOKUP(Tablo515[[#This Row],[BOYA KODU]],Tablo14[#All],4,0)," ")</f>
        <v xml:space="preserve"> </v>
      </c>
      <c r="L534" s="100" t="str">
        <f>IFERROR(VLOOKUP(Tablo515[[#This Row],[BOYA KODU]],Tablo14[#All],6,0)," ")</f>
        <v xml:space="preserve"> </v>
      </c>
      <c r="M534" s="100" t="str">
        <f t="shared" si="60"/>
        <v xml:space="preserve"> </v>
      </c>
      <c r="N534" s="100" t="str">
        <f>IFERROR(VLOOKUP(Tablo515[[#This Row],[ÜRÜN KODU]],YMKODLARI!$A$1:$K$363,8,0)," ")</f>
        <v xml:space="preserve"> </v>
      </c>
      <c r="O534" s="100" t="str">
        <f>IFERROR(VLOOKUP(Tablo515[[#This Row],[HAMMADDE KODU]],Tablo1[#All],3,0)," ")</f>
        <v xml:space="preserve"> </v>
      </c>
      <c r="P534" s="100" t="str">
        <f>IFERROR(VLOOKUP(Tablo515[[#This Row],[HAMMADDE KODU]],Tablo1[#All],4,0)," ")</f>
        <v xml:space="preserve"> </v>
      </c>
      <c r="Q534" s="100" t="str">
        <f>IFERROR(VLOOKUP(Tablo515[[#This Row],[ÜRÜN KODU]],YMKODLARI!$A$1:$K$363,5,0)," ")</f>
        <v xml:space="preserve"> </v>
      </c>
      <c r="R534" s="100" t="str">
        <f>IFERROR(VLOOKUP(Tablo515[[#This Row],[ÜRÜN KODU]],YMKODLARI!$A$1:$K$363,6,0)," ")</f>
        <v xml:space="preserve"> </v>
      </c>
      <c r="S534" s="100" t="str">
        <f>IFERROR(Tablo515[[#This Row],[YOLLUK HARİÇ BASKI GRAMI]]/Tablo515[[#This Row],[KALIP GÖZ ADEDİ]]," ")</f>
        <v xml:space="preserve"> </v>
      </c>
      <c r="T534" s="100" t="str">
        <f t="shared" si="62"/>
        <v xml:space="preserve"> </v>
      </c>
      <c r="U534" s="100"/>
      <c r="V534" s="100" t="str">
        <f t="shared" si="61"/>
        <v xml:space="preserve"> </v>
      </c>
      <c r="W534" s="101">
        <f t="shared" si="63"/>
        <v>24</v>
      </c>
      <c r="X534" s="102">
        <f t="shared" si="64"/>
        <v>0</v>
      </c>
      <c r="Y534" s="100" t="str">
        <f t="shared" si="65"/>
        <v xml:space="preserve"> </v>
      </c>
      <c r="Z534" s="100" t="str">
        <f t="shared" si="66"/>
        <v xml:space="preserve"> </v>
      </c>
    </row>
    <row r="535" spans="1:26">
      <c r="A535" s="100"/>
      <c r="B535" s="108" t="str">
        <f>IFERROR(VLOOKUP(Tablo515[[#This Row],[ÜRÜN KODU]],YMKODLARI!$A$1:$K$363,2,0)," ")</f>
        <v xml:space="preserve"> </v>
      </c>
      <c r="C535" s="99"/>
      <c r="D535" s="100"/>
      <c r="E535" s="101"/>
      <c r="F535" s="101"/>
      <c r="G535" s="100" t="str">
        <f>IFERROR(VLOOKUP(Tablo515[[#This Row],[ÜRÜN KODU]],YMKODLARI!$A$1:$K$363,3,0)," ")</f>
        <v xml:space="preserve"> </v>
      </c>
      <c r="H535" s="100" t="str">
        <f>IFERROR(VLOOKUP(Tablo515[[#This Row],[ÜRÜN KODU]],YMKODLARI!$A$1:$K$363,4,0)," ")</f>
        <v xml:space="preserve"> </v>
      </c>
      <c r="I535" s="100"/>
      <c r="J535" s="100" t="str">
        <f>IFERROR(VLOOKUP(Tablo515[[#This Row],[ÜRÜN KODU]],YMKODLARI!$A$1:$K$363,9,0)," ")</f>
        <v xml:space="preserve"> </v>
      </c>
      <c r="K535" s="100" t="str">
        <f>IFERROR(VLOOKUP(Tablo515[[#This Row],[BOYA KODU]],Tablo14[#All],4,0)," ")</f>
        <v xml:space="preserve"> </v>
      </c>
      <c r="L535" s="100" t="str">
        <f>IFERROR(VLOOKUP(Tablo515[[#This Row],[BOYA KODU]],Tablo14[#All],6,0)," ")</f>
        <v xml:space="preserve"> </v>
      </c>
      <c r="M535" s="100" t="str">
        <f t="shared" si="60"/>
        <v xml:space="preserve"> </v>
      </c>
      <c r="N535" s="100" t="str">
        <f>IFERROR(VLOOKUP(Tablo515[[#This Row],[ÜRÜN KODU]],YMKODLARI!$A$1:$K$363,8,0)," ")</f>
        <v xml:space="preserve"> </v>
      </c>
      <c r="O535" s="100" t="str">
        <f>IFERROR(VLOOKUP(Tablo515[[#This Row],[HAMMADDE KODU]],Tablo1[#All],3,0)," ")</f>
        <v xml:space="preserve"> </v>
      </c>
      <c r="P535" s="100" t="str">
        <f>IFERROR(VLOOKUP(Tablo515[[#This Row],[HAMMADDE KODU]],Tablo1[#All],4,0)," ")</f>
        <v xml:space="preserve"> </v>
      </c>
      <c r="Q535" s="100" t="str">
        <f>IFERROR(VLOOKUP(Tablo515[[#This Row],[ÜRÜN KODU]],YMKODLARI!$A$1:$K$363,5,0)," ")</f>
        <v xml:space="preserve"> </v>
      </c>
      <c r="R535" s="100" t="str">
        <f>IFERROR(VLOOKUP(Tablo515[[#This Row],[ÜRÜN KODU]],YMKODLARI!$A$1:$K$363,6,0)," ")</f>
        <v xml:space="preserve"> </v>
      </c>
      <c r="S535" s="100" t="str">
        <f>IFERROR(Tablo515[[#This Row],[YOLLUK HARİÇ BASKI GRAMI]]/Tablo515[[#This Row],[KALIP GÖZ ADEDİ]]," ")</f>
        <v xml:space="preserve"> </v>
      </c>
      <c r="T535" s="100" t="str">
        <f t="shared" si="62"/>
        <v xml:space="preserve"> </v>
      </c>
      <c r="U535" s="100"/>
      <c r="V535" s="100" t="str">
        <f t="shared" si="61"/>
        <v xml:space="preserve"> </v>
      </c>
      <c r="W535" s="101">
        <f t="shared" si="63"/>
        <v>24</v>
      </c>
      <c r="X535" s="102">
        <f t="shared" si="64"/>
        <v>0</v>
      </c>
      <c r="Y535" s="100" t="str">
        <f t="shared" si="65"/>
        <v xml:space="preserve"> </v>
      </c>
      <c r="Z535" s="100" t="str">
        <f t="shared" si="66"/>
        <v xml:space="preserve"> </v>
      </c>
    </row>
    <row r="536" spans="1:26">
      <c r="A536" s="100"/>
      <c r="B536" s="108" t="str">
        <f>IFERROR(VLOOKUP(Tablo515[[#This Row],[ÜRÜN KODU]],YMKODLARI!$A$1:$K$363,2,0)," ")</f>
        <v xml:space="preserve"> </v>
      </c>
      <c r="C536" s="99"/>
      <c r="D536" s="100"/>
      <c r="E536" s="101"/>
      <c r="F536" s="101"/>
      <c r="G536" s="100" t="str">
        <f>IFERROR(VLOOKUP(Tablo515[[#This Row],[ÜRÜN KODU]],YMKODLARI!$A$1:$K$363,3,0)," ")</f>
        <v xml:space="preserve"> </v>
      </c>
      <c r="H536" s="100" t="str">
        <f>IFERROR(VLOOKUP(Tablo515[[#This Row],[ÜRÜN KODU]],YMKODLARI!$A$1:$K$363,4,0)," ")</f>
        <v xml:space="preserve"> </v>
      </c>
      <c r="I536" s="100"/>
      <c r="J536" s="100" t="str">
        <f>IFERROR(VLOOKUP(Tablo515[[#This Row],[ÜRÜN KODU]],YMKODLARI!$A$1:$K$363,9,0)," ")</f>
        <v xml:space="preserve"> </v>
      </c>
      <c r="K536" s="100" t="str">
        <f>IFERROR(VLOOKUP(Tablo515[[#This Row],[BOYA KODU]],Tablo14[#All],4,0)," ")</f>
        <v xml:space="preserve"> </v>
      </c>
      <c r="L536" s="100" t="str">
        <f>IFERROR(VLOOKUP(Tablo515[[#This Row],[BOYA KODU]],Tablo14[#All],6,0)," ")</f>
        <v xml:space="preserve"> </v>
      </c>
      <c r="M536" s="100" t="str">
        <f t="shared" si="60"/>
        <v xml:space="preserve"> </v>
      </c>
      <c r="N536" s="100" t="str">
        <f>IFERROR(VLOOKUP(Tablo515[[#This Row],[ÜRÜN KODU]],YMKODLARI!$A$1:$K$363,8,0)," ")</f>
        <v xml:space="preserve"> </v>
      </c>
      <c r="O536" s="100" t="str">
        <f>IFERROR(VLOOKUP(Tablo515[[#This Row],[HAMMADDE KODU]],Tablo1[#All],3,0)," ")</f>
        <v xml:space="preserve"> </v>
      </c>
      <c r="P536" s="100" t="str">
        <f>IFERROR(VLOOKUP(Tablo515[[#This Row],[HAMMADDE KODU]],Tablo1[#All],4,0)," ")</f>
        <v xml:space="preserve"> </v>
      </c>
      <c r="Q536" s="100" t="str">
        <f>IFERROR(VLOOKUP(Tablo515[[#This Row],[ÜRÜN KODU]],YMKODLARI!$A$1:$K$363,5,0)," ")</f>
        <v xml:space="preserve"> </v>
      </c>
      <c r="R536" s="100" t="str">
        <f>IFERROR(VLOOKUP(Tablo515[[#This Row],[ÜRÜN KODU]],YMKODLARI!$A$1:$K$363,6,0)," ")</f>
        <v xml:space="preserve"> </v>
      </c>
      <c r="S536" s="100" t="str">
        <f>IFERROR(Tablo515[[#This Row],[YOLLUK HARİÇ BASKI GRAMI]]/Tablo515[[#This Row],[KALIP GÖZ ADEDİ]]," ")</f>
        <v xml:space="preserve"> </v>
      </c>
      <c r="T536" s="100" t="str">
        <f t="shared" si="62"/>
        <v xml:space="preserve"> </v>
      </c>
      <c r="U536" s="100"/>
      <c r="V536" s="100" t="str">
        <f t="shared" si="61"/>
        <v xml:space="preserve"> </v>
      </c>
      <c r="W536" s="101">
        <f t="shared" si="63"/>
        <v>24</v>
      </c>
      <c r="X536" s="102">
        <f t="shared" si="64"/>
        <v>0</v>
      </c>
      <c r="Y536" s="100" t="str">
        <f t="shared" si="65"/>
        <v xml:space="preserve"> </v>
      </c>
      <c r="Z536" s="100" t="str">
        <f t="shared" si="66"/>
        <v xml:space="preserve"> </v>
      </c>
    </row>
    <row r="537" spans="1:26">
      <c r="A537" s="100"/>
      <c r="B537" s="108" t="str">
        <f>IFERROR(VLOOKUP(Tablo515[[#This Row],[ÜRÜN KODU]],YMKODLARI!$A$1:$K$363,2,0)," ")</f>
        <v xml:space="preserve"> </v>
      </c>
      <c r="C537" s="99"/>
      <c r="D537" s="100"/>
      <c r="E537" s="101"/>
      <c r="F537" s="101"/>
      <c r="G537" s="100" t="str">
        <f>IFERROR(VLOOKUP(Tablo515[[#This Row],[ÜRÜN KODU]],YMKODLARI!$A$1:$K$363,3,0)," ")</f>
        <v xml:space="preserve"> </v>
      </c>
      <c r="H537" s="100" t="str">
        <f>IFERROR(VLOOKUP(Tablo515[[#This Row],[ÜRÜN KODU]],YMKODLARI!$A$1:$K$363,4,0)," ")</f>
        <v xml:space="preserve"> </v>
      </c>
      <c r="I537" s="100"/>
      <c r="J537" s="100" t="str">
        <f>IFERROR(VLOOKUP(Tablo515[[#This Row],[ÜRÜN KODU]],YMKODLARI!$A$1:$K$363,9,0)," ")</f>
        <v xml:space="preserve"> </v>
      </c>
      <c r="K537" s="100" t="str">
        <f>IFERROR(VLOOKUP(Tablo515[[#This Row],[BOYA KODU]],Tablo14[#All],4,0)," ")</f>
        <v xml:space="preserve"> </v>
      </c>
      <c r="L537" s="100" t="str">
        <f>IFERROR(VLOOKUP(Tablo515[[#This Row],[BOYA KODU]],Tablo14[#All],6,0)," ")</f>
        <v xml:space="preserve"> </v>
      </c>
      <c r="M537" s="100" t="str">
        <f t="shared" si="60"/>
        <v xml:space="preserve"> </v>
      </c>
      <c r="N537" s="100" t="str">
        <f>IFERROR(VLOOKUP(Tablo515[[#This Row],[ÜRÜN KODU]],YMKODLARI!$A$1:$K$363,8,0)," ")</f>
        <v xml:space="preserve"> </v>
      </c>
      <c r="O537" s="100" t="str">
        <f>IFERROR(VLOOKUP(Tablo515[[#This Row],[HAMMADDE KODU]],Tablo1[#All],3,0)," ")</f>
        <v xml:space="preserve"> </v>
      </c>
      <c r="P537" s="100" t="str">
        <f>IFERROR(VLOOKUP(Tablo515[[#This Row],[HAMMADDE KODU]],Tablo1[#All],4,0)," ")</f>
        <v xml:space="preserve"> </v>
      </c>
      <c r="Q537" s="100" t="str">
        <f>IFERROR(VLOOKUP(Tablo515[[#This Row],[ÜRÜN KODU]],YMKODLARI!$A$1:$K$363,5,0)," ")</f>
        <v xml:space="preserve"> </v>
      </c>
      <c r="R537" s="100" t="str">
        <f>IFERROR(VLOOKUP(Tablo515[[#This Row],[ÜRÜN KODU]],YMKODLARI!$A$1:$K$363,6,0)," ")</f>
        <v xml:space="preserve"> </v>
      </c>
      <c r="S537" s="100" t="str">
        <f>IFERROR(Tablo515[[#This Row],[YOLLUK HARİÇ BASKI GRAMI]]/Tablo515[[#This Row],[KALIP GÖZ ADEDİ]]," ")</f>
        <v xml:space="preserve"> </v>
      </c>
      <c r="T537" s="100" t="str">
        <f t="shared" si="62"/>
        <v xml:space="preserve"> </v>
      </c>
      <c r="U537" s="100"/>
      <c r="V537" s="100" t="str">
        <f t="shared" si="61"/>
        <v xml:space="preserve"> </v>
      </c>
      <c r="W537" s="101">
        <f t="shared" si="63"/>
        <v>24</v>
      </c>
      <c r="X537" s="102">
        <f t="shared" si="64"/>
        <v>0</v>
      </c>
      <c r="Y537" s="100" t="str">
        <f t="shared" si="65"/>
        <v xml:space="preserve"> </v>
      </c>
      <c r="Z537" s="100" t="str">
        <f t="shared" si="66"/>
        <v xml:space="preserve"> </v>
      </c>
    </row>
    <row r="538" spans="1:26">
      <c r="A538" s="100"/>
      <c r="B538" s="108" t="str">
        <f>IFERROR(VLOOKUP(Tablo515[[#This Row],[ÜRÜN KODU]],YMKODLARI!$A$1:$K$363,2,0)," ")</f>
        <v xml:space="preserve"> </v>
      </c>
      <c r="C538" s="99"/>
      <c r="D538" s="100"/>
      <c r="E538" s="101"/>
      <c r="F538" s="101"/>
      <c r="G538" s="100" t="str">
        <f>IFERROR(VLOOKUP(Tablo515[[#This Row],[ÜRÜN KODU]],YMKODLARI!$A$1:$K$363,3,0)," ")</f>
        <v xml:space="preserve"> </v>
      </c>
      <c r="H538" s="100" t="str">
        <f>IFERROR(VLOOKUP(Tablo515[[#This Row],[ÜRÜN KODU]],YMKODLARI!$A$1:$K$363,4,0)," ")</f>
        <v xml:space="preserve"> </v>
      </c>
      <c r="I538" s="100"/>
      <c r="J538" s="100" t="str">
        <f>IFERROR(VLOOKUP(Tablo515[[#This Row],[ÜRÜN KODU]],YMKODLARI!$A$1:$K$363,9,0)," ")</f>
        <v xml:space="preserve"> </v>
      </c>
      <c r="K538" s="100" t="str">
        <f>IFERROR(VLOOKUP(Tablo515[[#This Row],[BOYA KODU]],Tablo14[#All],4,0)," ")</f>
        <v xml:space="preserve"> </v>
      </c>
      <c r="L538" s="100" t="str">
        <f>IFERROR(VLOOKUP(Tablo515[[#This Row],[BOYA KODU]],Tablo14[#All],6,0)," ")</f>
        <v xml:space="preserve"> </v>
      </c>
      <c r="M538" s="100" t="str">
        <f t="shared" si="60"/>
        <v xml:space="preserve"> </v>
      </c>
      <c r="N538" s="100" t="str">
        <f>IFERROR(VLOOKUP(Tablo515[[#This Row],[ÜRÜN KODU]],YMKODLARI!$A$1:$K$363,8,0)," ")</f>
        <v xml:space="preserve"> </v>
      </c>
      <c r="O538" s="100" t="str">
        <f>IFERROR(VLOOKUP(Tablo515[[#This Row],[HAMMADDE KODU]],Tablo1[#All],3,0)," ")</f>
        <v xml:space="preserve"> </v>
      </c>
      <c r="P538" s="100" t="str">
        <f>IFERROR(VLOOKUP(Tablo515[[#This Row],[HAMMADDE KODU]],Tablo1[#All],4,0)," ")</f>
        <v xml:space="preserve"> </v>
      </c>
      <c r="Q538" s="100" t="str">
        <f>IFERROR(VLOOKUP(Tablo515[[#This Row],[ÜRÜN KODU]],YMKODLARI!$A$1:$K$363,5,0)," ")</f>
        <v xml:space="preserve"> </v>
      </c>
      <c r="R538" s="100" t="str">
        <f>IFERROR(VLOOKUP(Tablo515[[#This Row],[ÜRÜN KODU]],YMKODLARI!$A$1:$K$363,6,0)," ")</f>
        <v xml:space="preserve"> </v>
      </c>
      <c r="S538" s="100" t="str">
        <f>IFERROR(Tablo515[[#This Row],[YOLLUK HARİÇ BASKI GRAMI]]/Tablo515[[#This Row],[KALIP GÖZ ADEDİ]]," ")</f>
        <v xml:space="preserve"> </v>
      </c>
      <c r="T538" s="100" t="str">
        <f t="shared" si="62"/>
        <v xml:space="preserve"> </v>
      </c>
      <c r="U538" s="100"/>
      <c r="V538" s="100" t="str">
        <f t="shared" si="61"/>
        <v xml:space="preserve"> </v>
      </c>
      <c r="W538" s="101">
        <f t="shared" si="63"/>
        <v>24</v>
      </c>
      <c r="X538" s="102">
        <f t="shared" si="64"/>
        <v>0</v>
      </c>
      <c r="Y538" s="100" t="str">
        <f t="shared" si="65"/>
        <v xml:space="preserve"> </v>
      </c>
      <c r="Z538" s="100" t="str">
        <f t="shared" si="66"/>
        <v xml:space="preserve"> </v>
      </c>
    </row>
    <row r="539" spans="1:26">
      <c r="A539" s="100"/>
      <c r="B539" s="108" t="str">
        <f>IFERROR(VLOOKUP(Tablo515[[#This Row],[ÜRÜN KODU]],YMKODLARI!$A$1:$K$363,2,0)," ")</f>
        <v xml:space="preserve"> </v>
      </c>
      <c r="C539" s="99"/>
      <c r="D539" s="100"/>
      <c r="E539" s="101"/>
      <c r="F539" s="101"/>
      <c r="G539" s="100" t="str">
        <f>IFERROR(VLOOKUP(Tablo515[[#This Row],[ÜRÜN KODU]],YMKODLARI!$A$1:$K$363,3,0)," ")</f>
        <v xml:space="preserve"> </v>
      </c>
      <c r="H539" s="100" t="str">
        <f>IFERROR(VLOOKUP(Tablo515[[#This Row],[ÜRÜN KODU]],YMKODLARI!$A$1:$K$363,4,0)," ")</f>
        <v xml:space="preserve"> </v>
      </c>
      <c r="I539" s="100"/>
      <c r="J539" s="100" t="str">
        <f>IFERROR(VLOOKUP(Tablo515[[#This Row],[ÜRÜN KODU]],YMKODLARI!$A$1:$K$363,9,0)," ")</f>
        <v xml:space="preserve"> </v>
      </c>
      <c r="K539" s="100" t="str">
        <f>IFERROR(VLOOKUP(Tablo515[[#This Row],[BOYA KODU]],Tablo14[#All],4,0)," ")</f>
        <v xml:space="preserve"> </v>
      </c>
      <c r="L539" s="100" t="str">
        <f>IFERROR(VLOOKUP(Tablo515[[#This Row],[BOYA KODU]],Tablo14[#All],6,0)," ")</f>
        <v xml:space="preserve"> </v>
      </c>
      <c r="M539" s="100" t="str">
        <f t="shared" si="60"/>
        <v xml:space="preserve"> </v>
      </c>
      <c r="N539" s="100" t="str">
        <f>IFERROR(VLOOKUP(Tablo515[[#This Row],[ÜRÜN KODU]],YMKODLARI!$A$1:$K$363,8,0)," ")</f>
        <v xml:space="preserve"> </v>
      </c>
      <c r="O539" s="100" t="str">
        <f>IFERROR(VLOOKUP(Tablo515[[#This Row],[HAMMADDE KODU]],Tablo1[#All],3,0)," ")</f>
        <v xml:space="preserve"> </v>
      </c>
      <c r="P539" s="100" t="str">
        <f>IFERROR(VLOOKUP(Tablo515[[#This Row],[HAMMADDE KODU]],Tablo1[#All],4,0)," ")</f>
        <v xml:space="preserve"> </v>
      </c>
      <c r="Q539" s="100" t="str">
        <f>IFERROR(VLOOKUP(Tablo515[[#This Row],[ÜRÜN KODU]],YMKODLARI!$A$1:$K$363,5,0)," ")</f>
        <v xml:space="preserve"> </v>
      </c>
      <c r="R539" s="100" t="str">
        <f>IFERROR(VLOOKUP(Tablo515[[#This Row],[ÜRÜN KODU]],YMKODLARI!$A$1:$K$363,6,0)," ")</f>
        <v xml:space="preserve"> </v>
      </c>
      <c r="S539" s="100" t="str">
        <f>IFERROR(Tablo515[[#This Row],[YOLLUK HARİÇ BASKI GRAMI]]/Tablo515[[#This Row],[KALIP GÖZ ADEDİ]]," ")</f>
        <v xml:space="preserve"> </v>
      </c>
      <c r="T539" s="100" t="str">
        <f t="shared" si="62"/>
        <v xml:space="preserve"> </v>
      </c>
      <c r="U539" s="100"/>
      <c r="V539" s="100" t="str">
        <f t="shared" si="61"/>
        <v xml:space="preserve"> </v>
      </c>
      <c r="W539" s="101">
        <f t="shared" si="63"/>
        <v>24</v>
      </c>
      <c r="X539" s="102">
        <f t="shared" si="64"/>
        <v>0</v>
      </c>
      <c r="Y539" s="100" t="str">
        <f t="shared" si="65"/>
        <v xml:space="preserve"> </v>
      </c>
      <c r="Z539" s="100" t="str">
        <f t="shared" si="66"/>
        <v xml:space="preserve"> </v>
      </c>
    </row>
    <row r="540" spans="1:26">
      <c r="A540" s="100"/>
      <c r="B540" s="108" t="str">
        <f>IFERROR(VLOOKUP(Tablo515[[#This Row],[ÜRÜN KODU]],YMKODLARI!$A$1:$K$363,2,0)," ")</f>
        <v xml:space="preserve"> </v>
      </c>
      <c r="C540" s="99"/>
      <c r="D540" s="100"/>
      <c r="E540" s="101"/>
      <c r="F540" s="101"/>
      <c r="G540" s="100" t="str">
        <f>IFERROR(VLOOKUP(Tablo515[[#This Row],[ÜRÜN KODU]],YMKODLARI!$A$1:$K$363,3,0)," ")</f>
        <v xml:space="preserve"> </v>
      </c>
      <c r="H540" s="100" t="str">
        <f>IFERROR(VLOOKUP(Tablo515[[#This Row],[ÜRÜN KODU]],YMKODLARI!$A$1:$K$363,4,0)," ")</f>
        <v xml:space="preserve"> </v>
      </c>
      <c r="I540" s="100"/>
      <c r="J540" s="100" t="str">
        <f>IFERROR(VLOOKUP(Tablo515[[#This Row],[ÜRÜN KODU]],YMKODLARI!$A$1:$K$363,9,0)," ")</f>
        <v xml:space="preserve"> </v>
      </c>
      <c r="K540" s="100" t="str">
        <f>IFERROR(VLOOKUP(Tablo515[[#This Row],[BOYA KODU]],Tablo14[#All],4,0)," ")</f>
        <v xml:space="preserve"> </v>
      </c>
      <c r="L540" s="100" t="str">
        <f>IFERROR(VLOOKUP(Tablo515[[#This Row],[BOYA KODU]],Tablo14[#All],6,0)," ")</f>
        <v xml:space="preserve"> </v>
      </c>
      <c r="M540" s="100" t="str">
        <f t="shared" si="60"/>
        <v xml:space="preserve"> </v>
      </c>
      <c r="N540" s="100" t="str">
        <f>IFERROR(VLOOKUP(Tablo515[[#This Row],[ÜRÜN KODU]],YMKODLARI!$A$1:$K$363,8,0)," ")</f>
        <v xml:space="preserve"> </v>
      </c>
      <c r="O540" s="100" t="str">
        <f>IFERROR(VLOOKUP(Tablo515[[#This Row],[HAMMADDE KODU]],Tablo1[#All],3,0)," ")</f>
        <v xml:space="preserve"> </v>
      </c>
      <c r="P540" s="100" t="str">
        <f>IFERROR(VLOOKUP(Tablo515[[#This Row],[HAMMADDE KODU]],Tablo1[#All],4,0)," ")</f>
        <v xml:space="preserve"> </v>
      </c>
      <c r="Q540" s="100" t="str">
        <f>IFERROR(VLOOKUP(Tablo515[[#This Row],[ÜRÜN KODU]],YMKODLARI!$A$1:$K$363,5,0)," ")</f>
        <v xml:space="preserve"> </v>
      </c>
      <c r="R540" s="100" t="str">
        <f>IFERROR(VLOOKUP(Tablo515[[#This Row],[ÜRÜN KODU]],YMKODLARI!$A$1:$K$363,6,0)," ")</f>
        <v xml:space="preserve"> </v>
      </c>
      <c r="S540" s="100" t="str">
        <f>IFERROR(Tablo515[[#This Row],[YOLLUK HARİÇ BASKI GRAMI]]/Tablo515[[#This Row],[KALIP GÖZ ADEDİ]]," ")</f>
        <v xml:space="preserve"> </v>
      </c>
      <c r="T540" s="100" t="str">
        <f t="shared" si="62"/>
        <v xml:space="preserve"> </v>
      </c>
      <c r="U540" s="100"/>
      <c r="V540" s="100" t="str">
        <f t="shared" si="61"/>
        <v xml:space="preserve"> </v>
      </c>
      <c r="W540" s="101">
        <f t="shared" si="63"/>
        <v>24</v>
      </c>
      <c r="X540" s="102">
        <f t="shared" si="64"/>
        <v>0</v>
      </c>
      <c r="Y540" s="100" t="str">
        <f t="shared" si="65"/>
        <v xml:space="preserve"> </v>
      </c>
      <c r="Z540" s="100" t="str">
        <f t="shared" si="66"/>
        <v xml:space="preserve"> </v>
      </c>
    </row>
    <row r="541" spans="1:26">
      <c r="A541" s="100"/>
      <c r="B541" s="108" t="str">
        <f>IFERROR(VLOOKUP(Tablo515[[#This Row],[ÜRÜN KODU]],YMKODLARI!$A$1:$K$363,2,0)," ")</f>
        <v xml:space="preserve"> </v>
      </c>
      <c r="C541" s="99"/>
      <c r="D541" s="100"/>
      <c r="E541" s="101"/>
      <c r="F541" s="101"/>
      <c r="G541" s="100" t="str">
        <f>IFERROR(VLOOKUP(Tablo515[[#This Row],[ÜRÜN KODU]],YMKODLARI!$A$1:$K$363,3,0)," ")</f>
        <v xml:space="preserve"> </v>
      </c>
      <c r="H541" s="100" t="str">
        <f>IFERROR(VLOOKUP(Tablo515[[#This Row],[ÜRÜN KODU]],YMKODLARI!$A$1:$K$363,4,0)," ")</f>
        <v xml:space="preserve"> </v>
      </c>
      <c r="I541" s="100"/>
      <c r="J541" s="100" t="str">
        <f>IFERROR(VLOOKUP(Tablo515[[#This Row],[ÜRÜN KODU]],YMKODLARI!$A$1:$K$363,9,0)," ")</f>
        <v xml:space="preserve"> </v>
      </c>
      <c r="K541" s="100" t="str">
        <f>IFERROR(VLOOKUP(Tablo515[[#This Row],[BOYA KODU]],Tablo14[#All],4,0)," ")</f>
        <v xml:space="preserve"> </v>
      </c>
      <c r="L541" s="100" t="str">
        <f>IFERROR(VLOOKUP(Tablo515[[#This Row],[BOYA KODU]],Tablo14[#All],6,0)," ")</f>
        <v xml:space="preserve"> </v>
      </c>
      <c r="M541" s="100" t="str">
        <f t="shared" si="60"/>
        <v xml:space="preserve"> </v>
      </c>
      <c r="N541" s="100" t="str">
        <f>IFERROR(VLOOKUP(Tablo515[[#This Row],[ÜRÜN KODU]],YMKODLARI!$A$1:$K$363,8,0)," ")</f>
        <v xml:space="preserve"> </v>
      </c>
      <c r="O541" s="100" t="str">
        <f>IFERROR(VLOOKUP(Tablo515[[#This Row],[HAMMADDE KODU]],Tablo1[#All],3,0)," ")</f>
        <v xml:space="preserve"> </v>
      </c>
      <c r="P541" s="100" t="str">
        <f>IFERROR(VLOOKUP(Tablo515[[#This Row],[HAMMADDE KODU]],Tablo1[#All],4,0)," ")</f>
        <v xml:space="preserve"> </v>
      </c>
      <c r="Q541" s="100" t="str">
        <f>IFERROR(VLOOKUP(Tablo515[[#This Row],[ÜRÜN KODU]],YMKODLARI!$A$1:$K$363,5,0)," ")</f>
        <v xml:space="preserve"> </v>
      </c>
      <c r="R541" s="100" t="str">
        <f>IFERROR(VLOOKUP(Tablo515[[#This Row],[ÜRÜN KODU]],YMKODLARI!$A$1:$K$363,6,0)," ")</f>
        <v xml:space="preserve"> </v>
      </c>
      <c r="S541" s="100" t="str">
        <f>IFERROR(Tablo515[[#This Row],[YOLLUK HARİÇ BASKI GRAMI]]/Tablo515[[#This Row],[KALIP GÖZ ADEDİ]]," ")</f>
        <v xml:space="preserve"> </v>
      </c>
      <c r="T541" s="100" t="str">
        <f t="shared" si="62"/>
        <v xml:space="preserve"> </v>
      </c>
      <c r="U541" s="100"/>
      <c r="V541" s="100" t="str">
        <f t="shared" si="61"/>
        <v xml:space="preserve"> </v>
      </c>
      <c r="W541" s="101">
        <f t="shared" si="63"/>
        <v>24</v>
      </c>
      <c r="X541" s="102">
        <f t="shared" si="64"/>
        <v>0</v>
      </c>
      <c r="Y541" s="100" t="str">
        <f t="shared" si="65"/>
        <v xml:space="preserve"> </v>
      </c>
      <c r="Z541" s="100" t="str">
        <f t="shared" si="66"/>
        <v xml:space="preserve"> </v>
      </c>
    </row>
    <row r="542" spans="1:26">
      <c r="A542" s="100"/>
      <c r="B542" s="108" t="str">
        <f>IFERROR(VLOOKUP(Tablo515[[#This Row],[ÜRÜN KODU]],YMKODLARI!$A$1:$K$363,2,0)," ")</f>
        <v xml:space="preserve"> </v>
      </c>
      <c r="C542" s="99"/>
      <c r="D542" s="100"/>
      <c r="E542" s="101"/>
      <c r="F542" s="101"/>
      <c r="G542" s="100" t="str">
        <f>IFERROR(VLOOKUP(Tablo515[[#This Row],[ÜRÜN KODU]],YMKODLARI!$A$1:$K$363,3,0)," ")</f>
        <v xml:space="preserve"> </v>
      </c>
      <c r="H542" s="100" t="str">
        <f>IFERROR(VLOOKUP(Tablo515[[#This Row],[ÜRÜN KODU]],YMKODLARI!$A$1:$K$363,4,0)," ")</f>
        <v xml:space="preserve"> </v>
      </c>
      <c r="I542" s="100"/>
      <c r="J542" s="100" t="str">
        <f>IFERROR(VLOOKUP(Tablo515[[#This Row],[ÜRÜN KODU]],YMKODLARI!$A$1:$K$363,9,0)," ")</f>
        <v xml:space="preserve"> </v>
      </c>
      <c r="K542" s="100" t="str">
        <f>IFERROR(VLOOKUP(Tablo515[[#This Row],[BOYA KODU]],Tablo14[#All],4,0)," ")</f>
        <v xml:space="preserve"> </v>
      </c>
      <c r="L542" s="100" t="str">
        <f>IFERROR(VLOOKUP(Tablo515[[#This Row],[BOYA KODU]],Tablo14[#All],6,0)," ")</f>
        <v xml:space="preserve"> </v>
      </c>
      <c r="M542" s="100" t="str">
        <f t="shared" si="60"/>
        <v xml:space="preserve"> </v>
      </c>
      <c r="N542" s="100" t="str">
        <f>IFERROR(VLOOKUP(Tablo515[[#This Row],[ÜRÜN KODU]],YMKODLARI!$A$1:$K$363,8,0)," ")</f>
        <v xml:space="preserve"> </v>
      </c>
      <c r="O542" s="100" t="str">
        <f>IFERROR(VLOOKUP(Tablo515[[#This Row],[HAMMADDE KODU]],Tablo1[#All],3,0)," ")</f>
        <v xml:space="preserve"> </v>
      </c>
      <c r="P542" s="100" t="str">
        <f>IFERROR(VLOOKUP(Tablo515[[#This Row],[HAMMADDE KODU]],Tablo1[#All],4,0)," ")</f>
        <v xml:space="preserve"> </v>
      </c>
      <c r="Q542" s="100" t="str">
        <f>IFERROR(VLOOKUP(Tablo515[[#This Row],[ÜRÜN KODU]],YMKODLARI!$A$1:$K$363,5,0)," ")</f>
        <v xml:space="preserve"> </v>
      </c>
      <c r="R542" s="100" t="str">
        <f>IFERROR(VLOOKUP(Tablo515[[#This Row],[ÜRÜN KODU]],YMKODLARI!$A$1:$K$363,6,0)," ")</f>
        <v xml:space="preserve"> </v>
      </c>
      <c r="S542" s="100" t="str">
        <f>IFERROR(Tablo515[[#This Row],[YOLLUK HARİÇ BASKI GRAMI]]/Tablo515[[#This Row],[KALIP GÖZ ADEDİ]]," ")</f>
        <v xml:space="preserve"> </v>
      </c>
      <c r="T542" s="100" t="str">
        <f t="shared" si="62"/>
        <v xml:space="preserve"> </v>
      </c>
      <c r="U542" s="100"/>
      <c r="V542" s="100" t="str">
        <f t="shared" si="61"/>
        <v xml:space="preserve"> </v>
      </c>
      <c r="W542" s="101">
        <f t="shared" si="63"/>
        <v>24</v>
      </c>
      <c r="X542" s="102">
        <f t="shared" si="64"/>
        <v>0</v>
      </c>
      <c r="Y542" s="100" t="str">
        <f t="shared" si="65"/>
        <v xml:space="preserve"> </v>
      </c>
      <c r="Z542" s="100" t="str">
        <f t="shared" si="66"/>
        <v xml:space="preserve"> </v>
      </c>
    </row>
    <row r="543" spans="1:26">
      <c r="A543" s="100"/>
      <c r="B543" s="108" t="str">
        <f>IFERROR(VLOOKUP(Tablo515[[#This Row],[ÜRÜN KODU]],YMKODLARI!$A$1:$K$363,2,0)," ")</f>
        <v xml:space="preserve"> </v>
      </c>
      <c r="C543" s="99"/>
      <c r="D543" s="100"/>
      <c r="E543" s="101"/>
      <c r="F543" s="101"/>
      <c r="G543" s="100" t="str">
        <f>IFERROR(VLOOKUP(Tablo515[[#This Row],[ÜRÜN KODU]],YMKODLARI!$A$1:$K$363,3,0)," ")</f>
        <v xml:space="preserve"> </v>
      </c>
      <c r="H543" s="100" t="str">
        <f>IFERROR(VLOOKUP(Tablo515[[#This Row],[ÜRÜN KODU]],YMKODLARI!$A$1:$K$363,4,0)," ")</f>
        <v xml:space="preserve"> </v>
      </c>
      <c r="I543" s="100"/>
      <c r="J543" s="100" t="str">
        <f>IFERROR(VLOOKUP(Tablo515[[#This Row],[ÜRÜN KODU]],YMKODLARI!$A$1:$K$363,9,0)," ")</f>
        <v xml:space="preserve"> </v>
      </c>
      <c r="K543" s="100" t="str">
        <f>IFERROR(VLOOKUP(Tablo515[[#This Row],[BOYA KODU]],Tablo14[#All],4,0)," ")</f>
        <v xml:space="preserve"> </v>
      </c>
      <c r="L543" s="100" t="str">
        <f>IFERROR(VLOOKUP(Tablo515[[#This Row],[BOYA KODU]],Tablo14[#All],6,0)," ")</f>
        <v xml:space="preserve"> </v>
      </c>
      <c r="M543" s="100" t="str">
        <f t="shared" si="60"/>
        <v xml:space="preserve"> </v>
      </c>
      <c r="N543" s="100" t="str">
        <f>IFERROR(VLOOKUP(Tablo515[[#This Row],[ÜRÜN KODU]],YMKODLARI!$A$1:$K$363,8,0)," ")</f>
        <v xml:space="preserve"> </v>
      </c>
      <c r="O543" s="100" t="str">
        <f>IFERROR(VLOOKUP(Tablo515[[#This Row],[HAMMADDE KODU]],Tablo1[#All],3,0)," ")</f>
        <v xml:space="preserve"> </v>
      </c>
      <c r="P543" s="100" t="str">
        <f>IFERROR(VLOOKUP(Tablo515[[#This Row],[HAMMADDE KODU]],Tablo1[#All],4,0)," ")</f>
        <v xml:space="preserve"> </v>
      </c>
      <c r="Q543" s="100" t="str">
        <f>IFERROR(VLOOKUP(Tablo515[[#This Row],[ÜRÜN KODU]],YMKODLARI!$A$1:$K$363,5,0)," ")</f>
        <v xml:space="preserve"> </v>
      </c>
      <c r="R543" s="100" t="str">
        <f>IFERROR(VLOOKUP(Tablo515[[#This Row],[ÜRÜN KODU]],YMKODLARI!$A$1:$K$363,6,0)," ")</f>
        <v xml:space="preserve"> </v>
      </c>
      <c r="S543" s="100" t="str">
        <f>IFERROR(Tablo515[[#This Row],[YOLLUK HARİÇ BASKI GRAMI]]/Tablo515[[#This Row],[KALIP GÖZ ADEDİ]]," ")</f>
        <v xml:space="preserve"> </v>
      </c>
      <c r="T543" s="100" t="str">
        <f t="shared" si="62"/>
        <v xml:space="preserve"> </v>
      </c>
      <c r="U543" s="100"/>
      <c r="V543" s="100" t="str">
        <f t="shared" si="61"/>
        <v xml:space="preserve"> </v>
      </c>
      <c r="W543" s="101">
        <f t="shared" si="63"/>
        <v>24</v>
      </c>
      <c r="X543" s="102">
        <f t="shared" si="64"/>
        <v>0</v>
      </c>
      <c r="Y543" s="100" t="str">
        <f t="shared" si="65"/>
        <v xml:space="preserve"> </v>
      </c>
      <c r="Z543" s="100" t="str">
        <f t="shared" si="66"/>
        <v xml:space="preserve"> </v>
      </c>
    </row>
    <row r="544" spans="1:26">
      <c r="A544" s="100"/>
      <c r="B544" s="108" t="str">
        <f>IFERROR(VLOOKUP(Tablo515[[#This Row],[ÜRÜN KODU]],YMKODLARI!$A$1:$K$363,2,0)," ")</f>
        <v xml:space="preserve"> </v>
      </c>
      <c r="C544" s="99"/>
      <c r="D544" s="100"/>
      <c r="E544" s="101"/>
      <c r="F544" s="101"/>
      <c r="G544" s="100" t="str">
        <f>IFERROR(VLOOKUP(Tablo515[[#This Row],[ÜRÜN KODU]],YMKODLARI!$A$1:$K$363,3,0)," ")</f>
        <v xml:space="preserve"> </v>
      </c>
      <c r="H544" s="100" t="str">
        <f>IFERROR(VLOOKUP(Tablo515[[#This Row],[ÜRÜN KODU]],YMKODLARI!$A$1:$K$363,4,0)," ")</f>
        <v xml:space="preserve"> </v>
      </c>
      <c r="I544" s="100"/>
      <c r="J544" s="100" t="str">
        <f>IFERROR(VLOOKUP(Tablo515[[#This Row],[ÜRÜN KODU]],YMKODLARI!$A$1:$K$363,9,0)," ")</f>
        <v xml:space="preserve"> </v>
      </c>
      <c r="K544" s="100" t="str">
        <f>IFERROR(VLOOKUP(Tablo515[[#This Row],[BOYA KODU]],Tablo14[#All],4,0)," ")</f>
        <v xml:space="preserve"> </v>
      </c>
      <c r="L544" s="100" t="str">
        <f>IFERROR(VLOOKUP(Tablo515[[#This Row],[BOYA KODU]],Tablo14[#All],6,0)," ")</f>
        <v xml:space="preserve"> </v>
      </c>
      <c r="M544" s="100" t="str">
        <f t="shared" si="60"/>
        <v xml:space="preserve"> </v>
      </c>
      <c r="N544" s="100" t="str">
        <f>IFERROR(VLOOKUP(Tablo515[[#This Row],[ÜRÜN KODU]],YMKODLARI!$A$1:$K$363,8,0)," ")</f>
        <v xml:space="preserve"> </v>
      </c>
      <c r="O544" s="100" t="str">
        <f>IFERROR(VLOOKUP(Tablo515[[#This Row],[HAMMADDE KODU]],Tablo1[#All],3,0)," ")</f>
        <v xml:space="preserve"> </v>
      </c>
      <c r="P544" s="100" t="str">
        <f>IFERROR(VLOOKUP(Tablo515[[#This Row],[HAMMADDE KODU]],Tablo1[#All],4,0)," ")</f>
        <v xml:space="preserve"> </v>
      </c>
      <c r="Q544" s="100" t="str">
        <f>IFERROR(VLOOKUP(Tablo515[[#This Row],[ÜRÜN KODU]],YMKODLARI!$A$1:$K$363,5,0)," ")</f>
        <v xml:space="preserve"> </v>
      </c>
      <c r="R544" s="100" t="str">
        <f>IFERROR(VLOOKUP(Tablo515[[#This Row],[ÜRÜN KODU]],YMKODLARI!$A$1:$K$363,6,0)," ")</f>
        <v xml:space="preserve"> </v>
      </c>
      <c r="S544" s="100" t="str">
        <f>IFERROR(Tablo515[[#This Row],[YOLLUK HARİÇ BASKI GRAMI]]/Tablo515[[#This Row],[KALIP GÖZ ADEDİ]]," ")</f>
        <v xml:space="preserve"> </v>
      </c>
      <c r="T544" s="100" t="str">
        <f t="shared" si="62"/>
        <v xml:space="preserve"> </v>
      </c>
      <c r="U544" s="100"/>
      <c r="V544" s="100" t="str">
        <f t="shared" si="61"/>
        <v xml:space="preserve"> </v>
      </c>
      <c r="W544" s="101">
        <f t="shared" si="63"/>
        <v>24</v>
      </c>
      <c r="X544" s="102">
        <f t="shared" si="64"/>
        <v>0</v>
      </c>
      <c r="Y544" s="100" t="str">
        <f t="shared" si="65"/>
        <v xml:space="preserve"> </v>
      </c>
      <c r="Z544" s="100" t="str">
        <f t="shared" si="66"/>
        <v xml:space="preserve"> </v>
      </c>
    </row>
    <row r="545" spans="1:26">
      <c r="A545" s="100"/>
      <c r="B545" s="108" t="str">
        <f>IFERROR(VLOOKUP(Tablo515[[#This Row],[ÜRÜN KODU]],YMKODLARI!$A$1:$K$363,2,0)," ")</f>
        <v xml:space="preserve"> </v>
      </c>
      <c r="C545" s="99"/>
      <c r="D545" s="100"/>
      <c r="E545" s="101"/>
      <c r="F545" s="101"/>
      <c r="G545" s="100" t="str">
        <f>IFERROR(VLOOKUP(Tablo515[[#This Row],[ÜRÜN KODU]],YMKODLARI!$A$1:$K$363,3,0)," ")</f>
        <v xml:space="preserve"> </v>
      </c>
      <c r="H545" s="100" t="str">
        <f>IFERROR(VLOOKUP(Tablo515[[#This Row],[ÜRÜN KODU]],YMKODLARI!$A$1:$K$363,4,0)," ")</f>
        <v xml:space="preserve"> </v>
      </c>
      <c r="I545" s="100"/>
      <c r="J545" s="100" t="str">
        <f>IFERROR(VLOOKUP(Tablo515[[#This Row],[ÜRÜN KODU]],YMKODLARI!$A$1:$K$363,9,0)," ")</f>
        <v xml:space="preserve"> </v>
      </c>
      <c r="K545" s="100" t="str">
        <f>IFERROR(VLOOKUP(Tablo515[[#This Row],[BOYA KODU]],Tablo14[#All],4,0)," ")</f>
        <v xml:space="preserve"> </v>
      </c>
      <c r="L545" s="100" t="str">
        <f>IFERROR(VLOOKUP(Tablo515[[#This Row],[BOYA KODU]],Tablo14[#All],6,0)," ")</f>
        <v xml:space="preserve"> </v>
      </c>
      <c r="M545" s="100" t="str">
        <f t="shared" si="60"/>
        <v xml:space="preserve"> </v>
      </c>
      <c r="N545" s="100" t="str">
        <f>IFERROR(VLOOKUP(Tablo515[[#This Row],[ÜRÜN KODU]],YMKODLARI!$A$1:$K$363,8,0)," ")</f>
        <v xml:space="preserve"> </v>
      </c>
      <c r="O545" s="100" t="str">
        <f>IFERROR(VLOOKUP(Tablo515[[#This Row],[HAMMADDE KODU]],Tablo1[#All],3,0)," ")</f>
        <v xml:space="preserve"> </v>
      </c>
      <c r="P545" s="100" t="str">
        <f>IFERROR(VLOOKUP(Tablo515[[#This Row],[HAMMADDE KODU]],Tablo1[#All],4,0)," ")</f>
        <v xml:space="preserve"> </v>
      </c>
      <c r="Q545" s="100" t="str">
        <f>IFERROR(VLOOKUP(Tablo515[[#This Row],[ÜRÜN KODU]],YMKODLARI!$A$1:$K$363,5,0)," ")</f>
        <v xml:space="preserve"> </v>
      </c>
      <c r="R545" s="100" t="str">
        <f>IFERROR(VLOOKUP(Tablo515[[#This Row],[ÜRÜN KODU]],YMKODLARI!$A$1:$K$363,6,0)," ")</f>
        <v xml:space="preserve"> </v>
      </c>
      <c r="S545" s="100" t="str">
        <f>IFERROR(Tablo515[[#This Row],[YOLLUK HARİÇ BASKI GRAMI]]/Tablo515[[#This Row],[KALIP GÖZ ADEDİ]]," ")</f>
        <v xml:space="preserve"> </v>
      </c>
      <c r="T545" s="100" t="str">
        <f t="shared" si="62"/>
        <v xml:space="preserve"> </v>
      </c>
      <c r="U545" s="100"/>
      <c r="V545" s="100" t="str">
        <f t="shared" si="61"/>
        <v xml:space="preserve"> </v>
      </c>
      <c r="W545" s="101">
        <f t="shared" si="63"/>
        <v>24</v>
      </c>
      <c r="X545" s="102">
        <f t="shared" si="64"/>
        <v>0</v>
      </c>
      <c r="Y545" s="100" t="str">
        <f t="shared" si="65"/>
        <v xml:space="preserve"> </v>
      </c>
      <c r="Z545" s="100" t="str">
        <f t="shared" si="66"/>
        <v xml:space="preserve"> </v>
      </c>
    </row>
    <row r="546" spans="1:26">
      <c r="A546" s="100"/>
      <c r="B546" s="108" t="str">
        <f>IFERROR(VLOOKUP(Tablo515[[#This Row],[ÜRÜN KODU]],YMKODLARI!$A$1:$K$363,2,0)," ")</f>
        <v xml:space="preserve"> </v>
      </c>
      <c r="C546" s="99"/>
      <c r="D546" s="100"/>
      <c r="E546" s="101"/>
      <c r="F546" s="101"/>
      <c r="G546" s="100" t="str">
        <f>IFERROR(VLOOKUP(Tablo515[[#This Row],[ÜRÜN KODU]],YMKODLARI!$A$1:$K$363,3,0)," ")</f>
        <v xml:space="preserve"> </v>
      </c>
      <c r="H546" s="100" t="str">
        <f>IFERROR(VLOOKUP(Tablo515[[#This Row],[ÜRÜN KODU]],YMKODLARI!$A$1:$K$363,4,0)," ")</f>
        <v xml:space="preserve"> </v>
      </c>
      <c r="I546" s="100"/>
      <c r="J546" s="100" t="str">
        <f>IFERROR(VLOOKUP(Tablo515[[#This Row],[ÜRÜN KODU]],YMKODLARI!$A$1:$K$363,9,0)," ")</f>
        <v xml:space="preserve"> </v>
      </c>
      <c r="K546" s="100" t="str">
        <f>IFERROR(VLOOKUP(Tablo515[[#This Row],[BOYA KODU]],Tablo14[#All],4,0)," ")</f>
        <v xml:space="preserve"> </v>
      </c>
      <c r="L546" s="100" t="str">
        <f>IFERROR(VLOOKUP(Tablo515[[#This Row],[BOYA KODU]],Tablo14[#All],6,0)," ")</f>
        <v xml:space="preserve"> </v>
      </c>
      <c r="M546" s="100" t="str">
        <f t="shared" si="60"/>
        <v xml:space="preserve"> </v>
      </c>
      <c r="N546" s="100" t="str">
        <f>IFERROR(VLOOKUP(Tablo515[[#This Row],[ÜRÜN KODU]],YMKODLARI!$A$1:$K$363,8,0)," ")</f>
        <v xml:space="preserve"> </v>
      </c>
      <c r="O546" s="100" t="str">
        <f>IFERROR(VLOOKUP(Tablo515[[#This Row],[HAMMADDE KODU]],Tablo1[#All],3,0)," ")</f>
        <v xml:space="preserve"> </v>
      </c>
      <c r="P546" s="100" t="str">
        <f>IFERROR(VLOOKUP(Tablo515[[#This Row],[HAMMADDE KODU]],Tablo1[#All],4,0)," ")</f>
        <v xml:space="preserve"> </v>
      </c>
      <c r="Q546" s="100" t="str">
        <f>IFERROR(VLOOKUP(Tablo515[[#This Row],[ÜRÜN KODU]],YMKODLARI!$A$1:$K$363,5,0)," ")</f>
        <v xml:space="preserve"> </v>
      </c>
      <c r="R546" s="100" t="str">
        <f>IFERROR(VLOOKUP(Tablo515[[#This Row],[ÜRÜN KODU]],YMKODLARI!$A$1:$K$363,6,0)," ")</f>
        <v xml:space="preserve"> </v>
      </c>
      <c r="S546" s="100" t="str">
        <f>IFERROR(Tablo515[[#This Row],[YOLLUK HARİÇ BASKI GRAMI]]/Tablo515[[#This Row],[KALIP GÖZ ADEDİ]]," ")</f>
        <v xml:space="preserve"> </v>
      </c>
      <c r="T546" s="100" t="str">
        <f t="shared" si="62"/>
        <v xml:space="preserve"> </v>
      </c>
      <c r="U546" s="100"/>
      <c r="V546" s="100" t="str">
        <f t="shared" si="61"/>
        <v xml:space="preserve"> </v>
      </c>
      <c r="W546" s="101">
        <f t="shared" si="63"/>
        <v>24</v>
      </c>
      <c r="X546" s="102">
        <f t="shared" si="64"/>
        <v>0</v>
      </c>
      <c r="Y546" s="100" t="str">
        <f t="shared" si="65"/>
        <v xml:space="preserve"> </v>
      </c>
      <c r="Z546" s="100" t="str">
        <f t="shared" si="66"/>
        <v xml:space="preserve"> </v>
      </c>
    </row>
    <row r="547" spans="1:26">
      <c r="A547" s="100"/>
      <c r="B547" s="108" t="str">
        <f>IFERROR(VLOOKUP(Tablo515[[#This Row],[ÜRÜN KODU]],YMKODLARI!$A$1:$K$363,2,0)," ")</f>
        <v xml:space="preserve"> </v>
      </c>
      <c r="C547" s="99"/>
      <c r="D547" s="100"/>
      <c r="E547" s="101"/>
      <c r="F547" s="101"/>
      <c r="G547" s="100" t="str">
        <f>IFERROR(VLOOKUP(Tablo515[[#This Row],[ÜRÜN KODU]],YMKODLARI!$A$1:$K$363,3,0)," ")</f>
        <v xml:space="preserve"> </v>
      </c>
      <c r="H547" s="100" t="str">
        <f>IFERROR(VLOOKUP(Tablo515[[#This Row],[ÜRÜN KODU]],YMKODLARI!$A$1:$K$363,4,0)," ")</f>
        <v xml:space="preserve"> </v>
      </c>
      <c r="I547" s="100"/>
      <c r="J547" s="100" t="str">
        <f>IFERROR(VLOOKUP(Tablo515[[#This Row],[ÜRÜN KODU]],YMKODLARI!$A$1:$K$363,9,0)," ")</f>
        <v xml:space="preserve"> </v>
      </c>
      <c r="K547" s="100" t="str">
        <f>IFERROR(VLOOKUP(Tablo515[[#This Row],[BOYA KODU]],Tablo14[#All],4,0)," ")</f>
        <v xml:space="preserve"> </v>
      </c>
      <c r="L547" s="100" t="str">
        <f>IFERROR(VLOOKUP(Tablo515[[#This Row],[BOYA KODU]],Tablo14[#All],6,0)," ")</f>
        <v xml:space="preserve"> </v>
      </c>
      <c r="M547" s="100" t="str">
        <f t="shared" si="60"/>
        <v xml:space="preserve"> </v>
      </c>
      <c r="N547" s="100" t="str">
        <f>IFERROR(VLOOKUP(Tablo515[[#This Row],[ÜRÜN KODU]],YMKODLARI!$A$1:$K$363,8,0)," ")</f>
        <v xml:space="preserve"> </v>
      </c>
      <c r="O547" s="100" t="str">
        <f>IFERROR(VLOOKUP(Tablo515[[#This Row],[HAMMADDE KODU]],Tablo1[#All],3,0)," ")</f>
        <v xml:space="preserve"> </v>
      </c>
      <c r="P547" s="100" t="str">
        <f>IFERROR(VLOOKUP(Tablo515[[#This Row],[HAMMADDE KODU]],Tablo1[#All],4,0)," ")</f>
        <v xml:space="preserve"> </v>
      </c>
      <c r="Q547" s="100" t="str">
        <f>IFERROR(VLOOKUP(Tablo515[[#This Row],[ÜRÜN KODU]],YMKODLARI!$A$1:$K$363,5,0)," ")</f>
        <v xml:space="preserve"> </v>
      </c>
      <c r="R547" s="100" t="str">
        <f>IFERROR(VLOOKUP(Tablo515[[#This Row],[ÜRÜN KODU]],YMKODLARI!$A$1:$K$363,6,0)," ")</f>
        <v xml:space="preserve"> </v>
      </c>
      <c r="S547" s="100" t="str">
        <f>IFERROR(Tablo515[[#This Row],[YOLLUK HARİÇ BASKI GRAMI]]/Tablo515[[#This Row],[KALIP GÖZ ADEDİ]]," ")</f>
        <v xml:space="preserve"> </v>
      </c>
      <c r="T547" s="100" t="str">
        <f t="shared" si="62"/>
        <v xml:space="preserve"> </v>
      </c>
      <c r="U547" s="100"/>
      <c r="V547" s="100" t="str">
        <f t="shared" si="61"/>
        <v xml:space="preserve"> </v>
      </c>
      <c r="W547" s="101">
        <f t="shared" si="63"/>
        <v>24</v>
      </c>
      <c r="X547" s="102">
        <f t="shared" si="64"/>
        <v>0</v>
      </c>
      <c r="Y547" s="100" t="str">
        <f t="shared" si="65"/>
        <v xml:space="preserve"> </v>
      </c>
      <c r="Z547" s="100" t="str">
        <f t="shared" si="66"/>
        <v xml:space="preserve"> </v>
      </c>
    </row>
    <row r="548" spans="1:26">
      <c r="A548" s="100"/>
      <c r="B548" s="108" t="str">
        <f>IFERROR(VLOOKUP(Tablo515[[#This Row],[ÜRÜN KODU]],YMKODLARI!$A$1:$K$363,2,0)," ")</f>
        <v xml:space="preserve"> </v>
      </c>
      <c r="C548" s="99"/>
      <c r="D548" s="100"/>
      <c r="E548" s="101"/>
      <c r="F548" s="101"/>
      <c r="G548" s="100" t="str">
        <f>IFERROR(VLOOKUP(Tablo515[[#This Row],[ÜRÜN KODU]],YMKODLARI!$A$1:$K$363,3,0)," ")</f>
        <v xml:space="preserve"> </v>
      </c>
      <c r="H548" s="100" t="str">
        <f>IFERROR(VLOOKUP(Tablo515[[#This Row],[ÜRÜN KODU]],YMKODLARI!$A$1:$K$363,4,0)," ")</f>
        <v xml:space="preserve"> </v>
      </c>
      <c r="I548" s="100"/>
      <c r="J548" s="100" t="str">
        <f>IFERROR(VLOOKUP(Tablo515[[#This Row],[ÜRÜN KODU]],YMKODLARI!$A$1:$K$363,9,0)," ")</f>
        <v xml:space="preserve"> </v>
      </c>
      <c r="K548" s="100" t="str">
        <f>IFERROR(VLOOKUP(Tablo515[[#This Row],[BOYA KODU]],Tablo14[#All],4,0)," ")</f>
        <v xml:space="preserve"> </v>
      </c>
      <c r="L548" s="100" t="str">
        <f>IFERROR(VLOOKUP(Tablo515[[#This Row],[BOYA KODU]],Tablo14[#All],6,0)," ")</f>
        <v xml:space="preserve"> </v>
      </c>
      <c r="M548" s="100" t="str">
        <f t="shared" si="60"/>
        <v xml:space="preserve"> </v>
      </c>
      <c r="N548" s="100" t="str">
        <f>IFERROR(VLOOKUP(Tablo515[[#This Row],[ÜRÜN KODU]],YMKODLARI!$A$1:$K$363,8,0)," ")</f>
        <v xml:space="preserve"> </v>
      </c>
      <c r="O548" s="100" t="str">
        <f>IFERROR(VLOOKUP(Tablo515[[#This Row],[HAMMADDE KODU]],Tablo1[#All],3,0)," ")</f>
        <v xml:space="preserve"> </v>
      </c>
      <c r="P548" s="100" t="str">
        <f>IFERROR(VLOOKUP(Tablo515[[#This Row],[HAMMADDE KODU]],Tablo1[#All],4,0)," ")</f>
        <v xml:space="preserve"> </v>
      </c>
      <c r="Q548" s="100" t="str">
        <f>IFERROR(VLOOKUP(Tablo515[[#This Row],[ÜRÜN KODU]],YMKODLARI!$A$1:$K$363,5,0)," ")</f>
        <v xml:space="preserve"> </v>
      </c>
      <c r="R548" s="100" t="str">
        <f>IFERROR(VLOOKUP(Tablo515[[#This Row],[ÜRÜN KODU]],YMKODLARI!$A$1:$K$363,6,0)," ")</f>
        <v xml:space="preserve"> </v>
      </c>
      <c r="S548" s="100" t="str">
        <f>IFERROR(Tablo515[[#This Row],[YOLLUK HARİÇ BASKI GRAMI]]/Tablo515[[#This Row],[KALIP GÖZ ADEDİ]]," ")</f>
        <v xml:space="preserve"> </v>
      </c>
      <c r="T548" s="100" t="str">
        <f t="shared" si="62"/>
        <v xml:space="preserve"> </v>
      </c>
      <c r="U548" s="100"/>
      <c r="V548" s="100" t="str">
        <f t="shared" si="61"/>
        <v xml:space="preserve"> </v>
      </c>
      <c r="W548" s="101">
        <f t="shared" si="63"/>
        <v>24</v>
      </c>
      <c r="X548" s="102">
        <f t="shared" si="64"/>
        <v>0</v>
      </c>
      <c r="Y548" s="100" t="str">
        <f t="shared" si="65"/>
        <v xml:space="preserve"> </v>
      </c>
      <c r="Z548" s="100" t="str">
        <f t="shared" si="66"/>
        <v xml:space="preserve"> </v>
      </c>
    </row>
    <row r="549" spans="1:26">
      <c r="A549" s="100"/>
      <c r="B549" s="108" t="str">
        <f>IFERROR(VLOOKUP(Tablo515[[#This Row],[ÜRÜN KODU]],YMKODLARI!$A$1:$K$363,2,0)," ")</f>
        <v xml:space="preserve"> </v>
      </c>
      <c r="C549" s="99"/>
      <c r="D549" s="100"/>
      <c r="E549" s="101"/>
      <c r="F549" s="101"/>
      <c r="G549" s="100" t="str">
        <f>IFERROR(VLOOKUP(Tablo515[[#This Row],[ÜRÜN KODU]],YMKODLARI!$A$1:$K$363,3,0)," ")</f>
        <v xml:space="preserve"> </v>
      </c>
      <c r="H549" s="100" t="str">
        <f>IFERROR(VLOOKUP(Tablo515[[#This Row],[ÜRÜN KODU]],YMKODLARI!$A$1:$K$363,4,0)," ")</f>
        <v xml:space="preserve"> </v>
      </c>
      <c r="I549" s="100"/>
      <c r="J549" s="100" t="str">
        <f>IFERROR(VLOOKUP(Tablo515[[#This Row],[ÜRÜN KODU]],YMKODLARI!$A$1:$K$363,9,0)," ")</f>
        <v xml:space="preserve"> </v>
      </c>
      <c r="K549" s="100" t="str">
        <f>IFERROR(VLOOKUP(Tablo515[[#This Row],[BOYA KODU]],Tablo14[#All],4,0)," ")</f>
        <v xml:space="preserve"> </v>
      </c>
      <c r="L549" s="100" t="str">
        <f>IFERROR(VLOOKUP(Tablo515[[#This Row],[BOYA KODU]],Tablo14[#All],6,0)," ")</f>
        <v xml:space="preserve"> </v>
      </c>
      <c r="M549" s="100" t="str">
        <f t="shared" si="60"/>
        <v xml:space="preserve"> </v>
      </c>
      <c r="N549" s="100" t="str">
        <f>IFERROR(VLOOKUP(Tablo515[[#This Row],[ÜRÜN KODU]],YMKODLARI!$A$1:$K$363,8,0)," ")</f>
        <v xml:space="preserve"> </v>
      </c>
      <c r="O549" s="100" t="str">
        <f>IFERROR(VLOOKUP(Tablo515[[#This Row],[HAMMADDE KODU]],Tablo1[#All],3,0)," ")</f>
        <v xml:space="preserve"> </v>
      </c>
      <c r="P549" s="100" t="str">
        <f>IFERROR(VLOOKUP(Tablo515[[#This Row],[HAMMADDE KODU]],Tablo1[#All],4,0)," ")</f>
        <v xml:space="preserve"> </v>
      </c>
      <c r="Q549" s="100" t="str">
        <f>IFERROR(VLOOKUP(Tablo515[[#This Row],[ÜRÜN KODU]],YMKODLARI!$A$1:$K$363,5,0)," ")</f>
        <v xml:space="preserve"> </v>
      </c>
      <c r="R549" s="100" t="str">
        <f>IFERROR(VLOOKUP(Tablo515[[#This Row],[ÜRÜN KODU]],YMKODLARI!$A$1:$K$363,6,0)," ")</f>
        <v xml:space="preserve"> </v>
      </c>
      <c r="S549" s="100" t="str">
        <f>IFERROR(Tablo515[[#This Row],[YOLLUK HARİÇ BASKI GRAMI]]/Tablo515[[#This Row],[KALIP GÖZ ADEDİ]]," ")</f>
        <v xml:space="preserve"> </v>
      </c>
      <c r="T549" s="100" t="str">
        <f t="shared" si="62"/>
        <v xml:space="preserve"> </v>
      </c>
      <c r="U549" s="100"/>
      <c r="V549" s="100" t="str">
        <f t="shared" si="61"/>
        <v xml:space="preserve"> </v>
      </c>
      <c r="W549" s="101">
        <f t="shared" si="63"/>
        <v>24</v>
      </c>
      <c r="X549" s="102">
        <f t="shared" si="64"/>
        <v>0</v>
      </c>
      <c r="Y549" s="100" t="str">
        <f t="shared" si="65"/>
        <v xml:space="preserve"> </v>
      </c>
      <c r="Z549" s="100" t="str">
        <f t="shared" si="66"/>
        <v xml:space="preserve"> </v>
      </c>
    </row>
    <row r="550" spans="1:26">
      <c r="A550" s="100"/>
      <c r="B550" s="108" t="str">
        <f>IFERROR(VLOOKUP(Tablo515[[#This Row],[ÜRÜN KODU]],YMKODLARI!$A$1:$K$363,2,0)," ")</f>
        <v xml:space="preserve"> </v>
      </c>
      <c r="C550" s="99"/>
      <c r="D550" s="100"/>
      <c r="E550" s="101"/>
      <c r="F550" s="101"/>
      <c r="G550" s="100" t="str">
        <f>IFERROR(VLOOKUP(Tablo515[[#This Row],[ÜRÜN KODU]],YMKODLARI!$A$1:$K$363,3,0)," ")</f>
        <v xml:space="preserve"> </v>
      </c>
      <c r="H550" s="100" t="str">
        <f>IFERROR(VLOOKUP(Tablo515[[#This Row],[ÜRÜN KODU]],YMKODLARI!$A$1:$K$363,4,0)," ")</f>
        <v xml:space="preserve"> </v>
      </c>
      <c r="I550" s="100"/>
      <c r="J550" s="100" t="str">
        <f>IFERROR(VLOOKUP(Tablo515[[#This Row],[ÜRÜN KODU]],YMKODLARI!$A$1:$K$363,9,0)," ")</f>
        <v xml:space="preserve"> </v>
      </c>
      <c r="K550" s="100" t="str">
        <f>IFERROR(VLOOKUP(Tablo515[[#This Row],[BOYA KODU]],Tablo14[#All],4,0)," ")</f>
        <v xml:space="preserve"> </v>
      </c>
      <c r="L550" s="100" t="str">
        <f>IFERROR(VLOOKUP(Tablo515[[#This Row],[BOYA KODU]],Tablo14[#All],6,0)," ")</f>
        <v xml:space="preserve"> </v>
      </c>
      <c r="M550" s="100" t="str">
        <f t="shared" si="60"/>
        <v xml:space="preserve"> </v>
      </c>
      <c r="N550" s="100" t="str">
        <f>IFERROR(VLOOKUP(Tablo515[[#This Row],[ÜRÜN KODU]],YMKODLARI!$A$1:$K$363,8,0)," ")</f>
        <v xml:space="preserve"> </v>
      </c>
      <c r="O550" s="100" t="str">
        <f>IFERROR(VLOOKUP(Tablo515[[#This Row],[HAMMADDE KODU]],Tablo1[#All],3,0)," ")</f>
        <v xml:space="preserve"> </v>
      </c>
      <c r="P550" s="100" t="str">
        <f>IFERROR(VLOOKUP(Tablo515[[#This Row],[HAMMADDE KODU]],Tablo1[#All],4,0)," ")</f>
        <v xml:space="preserve"> </v>
      </c>
      <c r="Q550" s="100" t="str">
        <f>IFERROR(VLOOKUP(Tablo515[[#This Row],[ÜRÜN KODU]],YMKODLARI!$A$1:$K$363,5,0)," ")</f>
        <v xml:space="preserve"> </v>
      </c>
      <c r="R550" s="100" t="str">
        <f>IFERROR(VLOOKUP(Tablo515[[#This Row],[ÜRÜN KODU]],YMKODLARI!$A$1:$K$363,6,0)," ")</f>
        <v xml:space="preserve"> </v>
      </c>
      <c r="S550" s="100" t="str">
        <f>IFERROR(Tablo515[[#This Row],[YOLLUK HARİÇ BASKI GRAMI]]/Tablo515[[#This Row],[KALIP GÖZ ADEDİ]]," ")</f>
        <v xml:space="preserve"> </v>
      </c>
      <c r="T550" s="100" t="str">
        <f t="shared" si="62"/>
        <v xml:space="preserve"> </v>
      </c>
      <c r="U550" s="100"/>
      <c r="V550" s="100" t="str">
        <f t="shared" si="61"/>
        <v xml:space="preserve"> </v>
      </c>
      <c r="W550" s="101">
        <f t="shared" si="63"/>
        <v>24</v>
      </c>
      <c r="X550" s="102">
        <f t="shared" si="64"/>
        <v>0</v>
      </c>
      <c r="Y550" s="100" t="str">
        <f t="shared" si="65"/>
        <v xml:space="preserve"> </v>
      </c>
      <c r="Z550" s="100" t="str">
        <f t="shared" si="66"/>
        <v xml:space="preserve"> </v>
      </c>
    </row>
    <row r="551" spans="1:26">
      <c r="A551" s="100"/>
      <c r="B551" s="108" t="str">
        <f>IFERROR(VLOOKUP(Tablo515[[#This Row],[ÜRÜN KODU]],YMKODLARI!$A$1:$K$363,2,0)," ")</f>
        <v xml:space="preserve"> </v>
      </c>
      <c r="C551" s="99"/>
      <c r="D551" s="100"/>
      <c r="E551" s="101"/>
      <c r="F551" s="101"/>
      <c r="G551" s="100" t="str">
        <f>IFERROR(VLOOKUP(Tablo515[[#This Row],[ÜRÜN KODU]],YMKODLARI!$A$1:$K$363,3,0)," ")</f>
        <v xml:space="preserve"> </v>
      </c>
      <c r="H551" s="100" t="str">
        <f>IFERROR(VLOOKUP(Tablo515[[#This Row],[ÜRÜN KODU]],YMKODLARI!$A$1:$K$363,4,0)," ")</f>
        <v xml:space="preserve"> </v>
      </c>
      <c r="I551" s="100"/>
      <c r="J551" s="100" t="str">
        <f>IFERROR(VLOOKUP(Tablo515[[#This Row],[ÜRÜN KODU]],YMKODLARI!$A$1:$K$363,9,0)," ")</f>
        <v xml:space="preserve"> </v>
      </c>
      <c r="K551" s="100" t="str">
        <f>IFERROR(VLOOKUP(Tablo515[[#This Row],[BOYA KODU]],Tablo14[#All],4,0)," ")</f>
        <v xml:space="preserve"> </v>
      </c>
      <c r="L551" s="100" t="str">
        <f>IFERROR(VLOOKUP(Tablo515[[#This Row],[BOYA KODU]],Tablo14[#All],6,0)," ")</f>
        <v xml:space="preserve"> </v>
      </c>
      <c r="M551" s="100" t="str">
        <f t="shared" si="60"/>
        <v xml:space="preserve"> </v>
      </c>
      <c r="N551" s="100" t="str">
        <f>IFERROR(VLOOKUP(Tablo515[[#This Row],[ÜRÜN KODU]],YMKODLARI!$A$1:$K$363,8,0)," ")</f>
        <v xml:space="preserve"> </v>
      </c>
      <c r="O551" s="100" t="str">
        <f>IFERROR(VLOOKUP(Tablo515[[#This Row],[HAMMADDE KODU]],Tablo1[#All],3,0)," ")</f>
        <v xml:space="preserve"> </v>
      </c>
      <c r="P551" s="100" t="str">
        <f>IFERROR(VLOOKUP(Tablo515[[#This Row],[HAMMADDE KODU]],Tablo1[#All],4,0)," ")</f>
        <v xml:space="preserve"> </v>
      </c>
      <c r="Q551" s="100" t="str">
        <f>IFERROR(VLOOKUP(Tablo515[[#This Row],[ÜRÜN KODU]],YMKODLARI!$A$1:$K$363,5,0)," ")</f>
        <v xml:space="preserve"> </v>
      </c>
      <c r="R551" s="100" t="str">
        <f>IFERROR(VLOOKUP(Tablo515[[#This Row],[ÜRÜN KODU]],YMKODLARI!$A$1:$K$363,6,0)," ")</f>
        <v xml:space="preserve"> </v>
      </c>
      <c r="S551" s="100" t="str">
        <f>IFERROR(Tablo515[[#This Row],[YOLLUK HARİÇ BASKI GRAMI]]/Tablo515[[#This Row],[KALIP GÖZ ADEDİ]]," ")</f>
        <v xml:space="preserve"> </v>
      </c>
      <c r="T551" s="100" t="str">
        <f t="shared" si="62"/>
        <v xml:space="preserve"> </v>
      </c>
      <c r="U551" s="100"/>
      <c r="V551" s="100" t="str">
        <f t="shared" si="61"/>
        <v xml:space="preserve"> </v>
      </c>
      <c r="W551" s="101">
        <f t="shared" si="63"/>
        <v>24</v>
      </c>
      <c r="X551" s="102">
        <f t="shared" si="64"/>
        <v>0</v>
      </c>
      <c r="Y551" s="100" t="str">
        <f t="shared" si="65"/>
        <v xml:space="preserve"> </v>
      </c>
      <c r="Z551" s="100" t="str">
        <f t="shared" si="66"/>
        <v xml:space="preserve"> </v>
      </c>
    </row>
    <row r="552" spans="1:26">
      <c r="A552" s="100"/>
      <c r="B552" s="108" t="str">
        <f>IFERROR(VLOOKUP(Tablo515[[#This Row],[ÜRÜN KODU]],YMKODLARI!$A$1:$K$363,2,0)," ")</f>
        <v xml:space="preserve"> </v>
      </c>
      <c r="C552" s="99"/>
      <c r="D552" s="100"/>
      <c r="E552" s="101"/>
      <c r="F552" s="101"/>
      <c r="G552" s="100" t="str">
        <f>IFERROR(VLOOKUP(Tablo515[[#This Row],[ÜRÜN KODU]],YMKODLARI!$A$1:$K$363,3,0)," ")</f>
        <v xml:space="preserve"> </v>
      </c>
      <c r="H552" s="100" t="str">
        <f>IFERROR(VLOOKUP(Tablo515[[#This Row],[ÜRÜN KODU]],YMKODLARI!$A$1:$K$363,4,0)," ")</f>
        <v xml:space="preserve"> </v>
      </c>
      <c r="I552" s="100"/>
      <c r="J552" s="100" t="str">
        <f>IFERROR(VLOOKUP(Tablo515[[#This Row],[ÜRÜN KODU]],YMKODLARI!$A$1:$K$363,9,0)," ")</f>
        <v xml:space="preserve"> </v>
      </c>
      <c r="K552" s="100" t="str">
        <f>IFERROR(VLOOKUP(Tablo515[[#This Row],[BOYA KODU]],Tablo14[#All],4,0)," ")</f>
        <v xml:space="preserve"> </v>
      </c>
      <c r="L552" s="100" t="str">
        <f>IFERROR(VLOOKUP(Tablo515[[#This Row],[BOYA KODU]],Tablo14[#All],6,0)," ")</f>
        <v xml:space="preserve"> </v>
      </c>
      <c r="M552" s="100" t="str">
        <f t="shared" si="60"/>
        <v xml:space="preserve"> </v>
      </c>
      <c r="N552" s="100" t="str">
        <f>IFERROR(VLOOKUP(Tablo515[[#This Row],[ÜRÜN KODU]],YMKODLARI!$A$1:$K$363,8,0)," ")</f>
        <v xml:space="preserve"> </v>
      </c>
      <c r="O552" s="100" t="str">
        <f>IFERROR(VLOOKUP(Tablo515[[#This Row],[HAMMADDE KODU]],Tablo1[#All],3,0)," ")</f>
        <v xml:space="preserve"> </v>
      </c>
      <c r="P552" s="100" t="str">
        <f>IFERROR(VLOOKUP(Tablo515[[#This Row],[HAMMADDE KODU]],Tablo1[#All],4,0)," ")</f>
        <v xml:space="preserve"> </v>
      </c>
      <c r="Q552" s="100" t="str">
        <f>IFERROR(VLOOKUP(Tablo515[[#This Row],[ÜRÜN KODU]],YMKODLARI!$A$1:$K$363,5,0)," ")</f>
        <v xml:space="preserve"> </v>
      </c>
      <c r="R552" s="100" t="str">
        <f>IFERROR(VLOOKUP(Tablo515[[#This Row],[ÜRÜN KODU]],YMKODLARI!$A$1:$K$363,6,0)," ")</f>
        <v xml:space="preserve"> </v>
      </c>
      <c r="S552" s="100" t="str">
        <f>IFERROR(Tablo515[[#This Row],[YOLLUK HARİÇ BASKI GRAMI]]/Tablo515[[#This Row],[KALIP GÖZ ADEDİ]]," ")</f>
        <v xml:space="preserve"> </v>
      </c>
      <c r="T552" s="100" t="str">
        <f t="shared" si="62"/>
        <v xml:space="preserve"> </v>
      </c>
      <c r="U552" s="100"/>
      <c r="V552" s="100" t="str">
        <f t="shared" si="61"/>
        <v xml:space="preserve"> </v>
      </c>
      <c r="W552" s="101">
        <f t="shared" si="63"/>
        <v>24</v>
      </c>
      <c r="X552" s="102">
        <f t="shared" si="64"/>
        <v>0</v>
      </c>
      <c r="Y552" s="100" t="str">
        <f t="shared" si="65"/>
        <v xml:space="preserve"> </v>
      </c>
      <c r="Z552" s="100" t="str">
        <f t="shared" si="66"/>
        <v xml:space="preserve"> </v>
      </c>
    </row>
    <row r="553" spans="1:26">
      <c r="A553" s="100"/>
      <c r="B553" s="108" t="str">
        <f>IFERROR(VLOOKUP(Tablo515[[#This Row],[ÜRÜN KODU]],YMKODLARI!$A$1:$K$363,2,0)," ")</f>
        <v xml:space="preserve"> </v>
      </c>
      <c r="C553" s="99"/>
      <c r="D553" s="100"/>
      <c r="E553" s="101"/>
      <c r="F553" s="101"/>
      <c r="G553" s="100" t="str">
        <f>IFERROR(VLOOKUP(Tablo515[[#This Row],[ÜRÜN KODU]],YMKODLARI!$A$1:$K$363,3,0)," ")</f>
        <v xml:space="preserve"> </v>
      </c>
      <c r="H553" s="100" t="str">
        <f>IFERROR(VLOOKUP(Tablo515[[#This Row],[ÜRÜN KODU]],YMKODLARI!$A$1:$K$363,4,0)," ")</f>
        <v xml:space="preserve"> </v>
      </c>
      <c r="I553" s="100"/>
      <c r="J553" s="100" t="str">
        <f>IFERROR(VLOOKUP(Tablo515[[#This Row],[ÜRÜN KODU]],YMKODLARI!$A$1:$K$363,9,0)," ")</f>
        <v xml:space="preserve"> </v>
      </c>
      <c r="K553" s="100" t="str">
        <f>IFERROR(VLOOKUP(Tablo515[[#This Row],[BOYA KODU]],Tablo14[#All],4,0)," ")</f>
        <v xml:space="preserve"> </v>
      </c>
      <c r="L553" s="100" t="str">
        <f>IFERROR(VLOOKUP(Tablo515[[#This Row],[BOYA KODU]],Tablo14[#All],6,0)," ")</f>
        <v xml:space="preserve"> </v>
      </c>
      <c r="M553" s="100" t="str">
        <f t="shared" si="60"/>
        <v xml:space="preserve"> </v>
      </c>
      <c r="N553" s="100" t="str">
        <f>IFERROR(VLOOKUP(Tablo515[[#This Row],[ÜRÜN KODU]],YMKODLARI!$A$1:$K$363,8,0)," ")</f>
        <v xml:space="preserve"> </v>
      </c>
      <c r="O553" s="100" t="str">
        <f>IFERROR(VLOOKUP(Tablo515[[#This Row],[HAMMADDE KODU]],Tablo1[#All],3,0)," ")</f>
        <v xml:space="preserve"> </v>
      </c>
      <c r="P553" s="100" t="str">
        <f>IFERROR(VLOOKUP(Tablo515[[#This Row],[HAMMADDE KODU]],Tablo1[#All],4,0)," ")</f>
        <v xml:space="preserve"> </v>
      </c>
      <c r="Q553" s="100" t="str">
        <f>IFERROR(VLOOKUP(Tablo515[[#This Row],[ÜRÜN KODU]],YMKODLARI!$A$1:$K$363,5,0)," ")</f>
        <v xml:space="preserve"> </v>
      </c>
      <c r="R553" s="100" t="str">
        <f>IFERROR(VLOOKUP(Tablo515[[#This Row],[ÜRÜN KODU]],YMKODLARI!$A$1:$K$363,6,0)," ")</f>
        <v xml:space="preserve"> </v>
      </c>
      <c r="S553" s="100" t="str">
        <f>IFERROR(Tablo515[[#This Row],[YOLLUK HARİÇ BASKI GRAMI]]/Tablo515[[#This Row],[KALIP GÖZ ADEDİ]]," ")</f>
        <v xml:space="preserve"> </v>
      </c>
      <c r="T553" s="100" t="str">
        <f t="shared" si="62"/>
        <v xml:space="preserve"> </v>
      </c>
      <c r="U553" s="100"/>
      <c r="V553" s="100" t="str">
        <f t="shared" si="61"/>
        <v xml:space="preserve"> </v>
      </c>
      <c r="W553" s="101">
        <f t="shared" si="63"/>
        <v>24</v>
      </c>
      <c r="X553" s="102">
        <f t="shared" si="64"/>
        <v>0</v>
      </c>
      <c r="Y553" s="100" t="str">
        <f t="shared" si="65"/>
        <v xml:space="preserve"> </v>
      </c>
      <c r="Z553" s="100" t="str">
        <f t="shared" si="66"/>
        <v xml:space="preserve"> </v>
      </c>
    </row>
    <row r="554" spans="1:26">
      <c r="A554" s="100"/>
      <c r="B554" s="108" t="str">
        <f>IFERROR(VLOOKUP(Tablo515[[#This Row],[ÜRÜN KODU]],YMKODLARI!$A$1:$K$363,2,0)," ")</f>
        <v xml:space="preserve"> </v>
      </c>
      <c r="C554" s="99"/>
      <c r="D554" s="100"/>
      <c r="E554" s="101"/>
      <c r="F554" s="101"/>
      <c r="G554" s="100" t="str">
        <f>IFERROR(VLOOKUP(Tablo515[[#This Row],[ÜRÜN KODU]],YMKODLARI!$A$1:$K$363,3,0)," ")</f>
        <v xml:space="preserve"> </v>
      </c>
      <c r="H554" s="100" t="str">
        <f>IFERROR(VLOOKUP(Tablo515[[#This Row],[ÜRÜN KODU]],YMKODLARI!$A$1:$K$363,4,0)," ")</f>
        <v xml:space="preserve"> </v>
      </c>
      <c r="I554" s="100"/>
      <c r="J554" s="100" t="str">
        <f>IFERROR(VLOOKUP(Tablo515[[#This Row],[ÜRÜN KODU]],YMKODLARI!$A$1:$K$363,9,0)," ")</f>
        <v xml:space="preserve"> </v>
      </c>
      <c r="K554" s="100" t="str">
        <f>IFERROR(VLOOKUP(Tablo515[[#This Row],[BOYA KODU]],Tablo14[#All],4,0)," ")</f>
        <v xml:space="preserve"> </v>
      </c>
      <c r="L554" s="100" t="str">
        <f>IFERROR(VLOOKUP(Tablo515[[#This Row],[BOYA KODU]],Tablo14[#All],6,0)," ")</f>
        <v xml:space="preserve"> </v>
      </c>
      <c r="M554" s="100" t="str">
        <f t="shared" si="60"/>
        <v xml:space="preserve"> </v>
      </c>
      <c r="N554" s="100" t="str">
        <f>IFERROR(VLOOKUP(Tablo515[[#This Row],[ÜRÜN KODU]],YMKODLARI!$A$1:$K$363,8,0)," ")</f>
        <v xml:space="preserve"> </v>
      </c>
      <c r="O554" s="100" t="str">
        <f>IFERROR(VLOOKUP(Tablo515[[#This Row],[HAMMADDE KODU]],Tablo1[#All],3,0)," ")</f>
        <v xml:space="preserve"> </v>
      </c>
      <c r="P554" s="100" t="str">
        <f>IFERROR(VLOOKUP(Tablo515[[#This Row],[HAMMADDE KODU]],Tablo1[#All],4,0)," ")</f>
        <v xml:space="preserve"> </v>
      </c>
      <c r="Q554" s="100" t="str">
        <f>IFERROR(VLOOKUP(Tablo515[[#This Row],[ÜRÜN KODU]],YMKODLARI!$A$1:$K$363,5,0)," ")</f>
        <v xml:space="preserve"> </v>
      </c>
      <c r="R554" s="100" t="str">
        <f>IFERROR(VLOOKUP(Tablo515[[#This Row],[ÜRÜN KODU]],YMKODLARI!$A$1:$K$363,6,0)," ")</f>
        <v xml:space="preserve"> </v>
      </c>
      <c r="S554" s="100" t="str">
        <f>IFERROR(Tablo515[[#This Row],[YOLLUK HARİÇ BASKI GRAMI]]/Tablo515[[#This Row],[KALIP GÖZ ADEDİ]]," ")</f>
        <v xml:space="preserve"> </v>
      </c>
      <c r="T554" s="100" t="str">
        <f t="shared" si="62"/>
        <v xml:space="preserve"> </v>
      </c>
      <c r="U554" s="100"/>
      <c r="V554" s="100" t="str">
        <f t="shared" si="61"/>
        <v xml:space="preserve"> </v>
      </c>
      <c r="W554" s="101">
        <f t="shared" si="63"/>
        <v>24</v>
      </c>
      <c r="X554" s="102">
        <f t="shared" si="64"/>
        <v>0</v>
      </c>
      <c r="Y554" s="100" t="str">
        <f t="shared" si="65"/>
        <v xml:space="preserve"> </v>
      </c>
      <c r="Z554" s="100" t="str">
        <f t="shared" si="66"/>
        <v xml:space="preserve"> </v>
      </c>
    </row>
    <row r="555" spans="1:26">
      <c r="A555" s="100"/>
      <c r="B555" s="108" t="str">
        <f>IFERROR(VLOOKUP(Tablo515[[#This Row],[ÜRÜN KODU]],YMKODLARI!$A$1:$K$363,2,0)," ")</f>
        <v xml:space="preserve"> </v>
      </c>
      <c r="C555" s="99"/>
      <c r="D555" s="100"/>
      <c r="E555" s="101"/>
      <c r="F555" s="101"/>
      <c r="G555" s="100" t="str">
        <f>IFERROR(VLOOKUP(Tablo515[[#This Row],[ÜRÜN KODU]],YMKODLARI!$A$1:$K$363,3,0)," ")</f>
        <v xml:space="preserve"> </v>
      </c>
      <c r="H555" s="100" t="str">
        <f>IFERROR(VLOOKUP(Tablo515[[#This Row],[ÜRÜN KODU]],YMKODLARI!$A$1:$K$363,4,0)," ")</f>
        <v xml:space="preserve"> </v>
      </c>
      <c r="I555" s="100"/>
      <c r="J555" s="100" t="str">
        <f>IFERROR(VLOOKUP(Tablo515[[#This Row],[ÜRÜN KODU]],YMKODLARI!$A$1:$K$363,9,0)," ")</f>
        <v xml:space="preserve"> </v>
      </c>
      <c r="K555" s="100" t="str">
        <f>IFERROR(VLOOKUP(Tablo515[[#This Row],[BOYA KODU]],Tablo14[#All],4,0)," ")</f>
        <v xml:space="preserve"> </v>
      </c>
      <c r="L555" s="100" t="str">
        <f>IFERROR(VLOOKUP(Tablo515[[#This Row],[BOYA KODU]],Tablo14[#All],6,0)," ")</f>
        <v xml:space="preserve"> </v>
      </c>
      <c r="M555" s="100" t="str">
        <f t="shared" si="60"/>
        <v xml:space="preserve"> </v>
      </c>
      <c r="N555" s="100" t="str">
        <f>IFERROR(VLOOKUP(Tablo515[[#This Row],[ÜRÜN KODU]],YMKODLARI!$A$1:$K$363,8,0)," ")</f>
        <v xml:space="preserve"> </v>
      </c>
      <c r="O555" s="100" t="str">
        <f>IFERROR(VLOOKUP(Tablo515[[#This Row],[HAMMADDE KODU]],Tablo1[#All],3,0)," ")</f>
        <v xml:space="preserve"> </v>
      </c>
      <c r="P555" s="100" t="str">
        <f>IFERROR(VLOOKUP(Tablo515[[#This Row],[HAMMADDE KODU]],Tablo1[#All],4,0)," ")</f>
        <v xml:space="preserve"> </v>
      </c>
      <c r="Q555" s="100" t="str">
        <f>IFERROR(VLOOKUP(Tablo515[[#This Row],[ÜRÜN KODU]],YMKODLARI!$A$1:$K$363,5,0)," ")</f>
        <v xml:space="preserve"> </v>
      </c>
      <c r="R555" s="100" t="str">
        <f>IFERROR(VLOOKUP(Tablo515[[#This Row],[ÜRÜN KODU]],YMKODLARI!$A$1:$K$363,6,0)," ")</f>
        <v xml:space="preserve"> </v>
      </c>
      <c r="S555" s="100" t="str">
        <f>IFERROR(Tablo515[[#This Row],[YOLLUK HARİÇ BASKI GRAMI]]/Tablo515[[#This Row],[KALIP GÖZ ADEDİ]]," ")</f>
        <v xml:space="preserve"> </v>
      </c>
      <c r="T555" s="100" t="str">
        <f t="shared" si="62"/>
        <v xml:space="preserve"> </v>
      </c>
      <c r="U555" s="100"/>
      <c r="V555" s="100" t="str">
        <f t="shared" si="61"/>
        <v xml:space="preserve"> </v>
      </c>
      <c r="W555" s="101">
        <f t="shared" si="63"/>
        <v>24</v>
      </c>
      <c r="X555" s="102">
        <f t="shared" si="64"/>
        <v>0</v>
      </c>
      <c r="Y555" s="100" t="str">
        <f t="shared" si="65"/>
        <v xml:space="preserve"> </v>
      </c>
      <c r="Z555" s="100" t="str">
        <f t="shared" si="66"/>
        <v xml:space="preserve"> </v>
      </c>
    </row>
    <row r="556" spans="1:26">
      <c r="A556" s="100"/>
      <c r="B556" s="108" t="str">
        <f>IFERROR(VLOOKUP(Tablo515[[#This Row],[ÜRÜN KODU]],YMKODLARI!$A$1:$K$363,2,0)," ")</f>
        <v xml:space="preserve"> </v>
      </c>
      <c r="C556" s="99"/>
      <c r="D556" s="100"/>
      <c r="E556" s="101"/>
      <c r="F556" s="101"/>
      <c r="G556" s="100" t="str">
        <f>IFERROR(VLOOKUP(Tablo515[[#This Row],[ÜRÜN KODU]],YMKODLARI!$A$1:$K$363,3,0)," ")</f>
        <v xml:space="preserve"> </v>
      </c>
      <c r="H556" s="100" t="str">
        <f>IFERROR(VLOOKUP(Tablo515[[#This Row],[ÜRÜN KODU]],YMKODLARI!$A$1:$K$363,4,0)," ")</f>
        <v xml:space="preserve"> </v>
      </c>
      <c r="I556" s="100"/>
      <c r="J556" s="100" t="str">
        <f>IFERROR(VLOOKUP(Tablo515[[#This Row],[ÜRÜN KODU]],YMKODLARI!$A$1:$K$363,9,0)," ")</f>
        <v xml:space="preserve"> </v>
      </c>
      <c r="K556" s="100" t="str">
        <f>IFERROR(VLOOKUP(Tablo515[[#This Row],[BOYA KODU]],Tablo14[#All],4,0)," ")</f>
        <v xml:space="preserve"> </v>
      </c>
      <c r="L556" s="100" t="str">
        <f>IFERROR(VLOOKUP(Tablo515[[#This Row],[BOYA KODU]],Tablo14[#All],6,0)," ")</f>
        <v xml:space="preserve"> </v>
      </c>
      <c r="M556" s="100" t="str">
        <f t="shared" si="60"/>
        <v xml:space="preserve"> </v>
      </c>
      <c r="N556" s="100" t="str">
        <f>IFERROR(VLOOKUP(Tablo515[[#This Row],[ÜRÜN KODU]],YMKODLARI!$A$1:$K$363,8,0)," ")</f>
        <v xml:space="preserve"> </v>
      </c>
      <c r="O556" s="100" t="str">
        <f>IFERROR(VLOOKUP(Tablo515[[#This Row],[HAMMADDE KODU]],Tablo1[#All],3,0)," ")</f>
        <v xml:space="preserve"> </v>
      </c>
      <c r="P556" s="100" t="str">
        <f>IFERROR(VLOOKUP(Tablo515[[#This Row],[HAMMADDE KODU]],Tablo1[#All],4,0)," ")</f>
        <v xml:space="preserve"> </v>
      </c>
      <c r="Q556" s="100" t="str">
        <f>IFERROR(VLOOKUP(Tablo515[[#This Row],[ÜRÜN KODU]],YMKODLARI!$A$1:$K$363,5,0)," ")</f>
        <v xml:space="preserve"> </v>
      </c>
      <c r="R556" s="100" t="str">
        <f>IFERROR(VLOOKUP(Tablo515[[#This Row],[ÜRÜN KODU]],YMKODLARI!$A$1:$K$363,6,0)," ")</f>
        <v xml:space="preserve"> </v>
      </c>
      <c r="S556" s="100" t="str">
        <f>IFERROR(Tablo515[[#This Row],[YOLLUK HARİÇ BASKI GRAMI]]/Tablo515[[#This Row],[KALIP GÖZ ADEDİ]]," ")</f>
        <v xml:space="preserve"> </v>
      </c>
      <c r="T556" s="100" t="str">
        <f t="shared" si="62"/>
        <v xml:space="preserve"> </v>
      </c>
      <c r="U556" s="100"/>
      <c r="V556" s="100" t="str">
        <f t="shared" si="61"/>
        <v xml:space="preserve"> </v>
      </c>
      <c r="W556" s="101">
        <f t="shared" si="63"/>
        <v>24</v>
      </c>
      <c r="X556" s="102">
        <f t="shared" si="64"/>
        <v>0</v>
      </c>
      <c r="Y556" s="100" t="str">
        <f t="shared" si="65"/>
        <v xml:space="preserve"> </v>
      </c>
      <c r="Z556" s="100" t="str">
        <f t="shared" si="66"/>
        <v xml:space="preserve"> </v>
      </c>
    </row>
    <row r="557" spans="1:26">
      <c r="A557" s="100"/>
      <c r="B557" s="108" t="str">
        <f>IFERROR(VLOOKUP(Tablo515[[#This Row],[ÜRÜN KODU]],YMKODLARI!$A$1:$K$363,2,0)," ")</f>
        <v xml:space="preserve"> </v>
      </c>
      <c r="C557" s="99"/>
      <c r="D557" s="100"/>
      <c r="E557" s="101"/>
      <c r="F557" s="101"/>
      <c r="G557" s="100" t="str">
        <f>IFERROR(VLOOKUP(Tablo515[[#This Row],[ÜRÜN KODU]],YMKODLARI!$A$1:$K$363,3,0)," ")</f>
        <v xml:space="preserve"> </v>
      </c>
      <c r="H557" s="100" t="str">
        <f>IFERROR(VLOOKUP(Tablo515[[#This Row],[ÜRÜN KODU]],YMKODLARI!$A$1:$K$363,4,0)," ")</f>
        <v xml:space="preserve"> </v>
      </c>
      <c r="I557" s="100"/>
      <c r="J557" s="100" t="str">
        <f>IFERROR(VLOOKUP(Tablo515[[#This Row],[ÜRÜN KODU]],YMKODLARI!$A$1:$K$363,9,0)," ")</f>
        <v xml:space="preserve"> </v>
      </c>
      <c r="K557" s="100" t="str">
        <f>IFERROR(VLOOKUP(Tablo515[[#This Row],[BOYA KODU]],Tablo14[#All],4,0)," ")</f>
        <v xml:space="preserve"> </v>
      </c>
      <c r="L557" s="100" t="str">
        <f>IFERROR(VLOOKUP(Tablo515[[#This Row],[BOYA KODU]],Tablo14[#All],6,0)," ")</f>
        <v xml:space="preserve"> </v>
      </c>
      <c r="M557" s="100" t="str">
        <f t="shared" si="60"/>
        <v xml:space="preserve"> </v>
      </c>
      <c r="N557" s="100" t="str">
        <f>IFERROR(VLOOKUP(Tablo515[[#This Row],[ÜRÜN KODU]],YMKODLARI!$A$1:$K$363,8,0)," ")</f>
        <v xml:space="preserve"> </v>
      </c>
      <c r="O557" s="100" t="str">
        <f>IFERROR(VLOOKUP(Tablo515[[#This Row],[HAMMADDE KODU]],Tablo1[#All],3,0)," ")</f>
        <v xml:space="preserve"> </v>
      </c>
      <c r="P557" s="100" t="str">
        <f>IFERROR(VLOOKUP(Tablo515[[#This Row],[HAMMADDE KODU]],Tablo1[#All],4,0)," ")</f>
        <v xml:space="preserve"> </v>
      </c>
      <c r="Q557" s="100" t="str">
        <f>IFERROR(VLOOKUP(Tablo515[[#This Row],[ÜRÜN KODU]],YMKODLARI!$A$1:$K$363,5,0)," ")</f>
        <v xml:space="preserve"> </v>
      </c>
      <c r="R557" s="100" t="str">
        <f>IFERROR(VLOOKUP(Tablo515[[#This Row],[ÜRÜN KODU]],YMKODLARI!$A$1:$K$363,6,0)," ")</f>
        <v xml:space="preserve"> </v>
      </c>
      <c r="S557" s="100" t="str">
        <f>IFERROR(Tablo515[[#This Row],[YOLLUK HARİÇ BASKI GRAMI]]/Tablo515[[#This Row],[KALIP GÖZ ADEDİ]]," ")</f>
        <v xml:space="preserve"> </v>
      </c>
      <c r="T557" s="100" t="str">
        <f t="shared" si="62"/>
        <v xml:space="preserve"> </v>
      </c>
      <c r="U557" s="100"/>
      <c r="V557" s="100" t="str">
        <f t="shared" si="61"/>
        <v xml:space="preserve"> </v>
      </c>
      <c r="W557" s="101">
        <f t="shared" si="63"/>
        <v>24</v>
      </c>
      <c r="X557" s="102">
        <f t="shared" si="64"/>
        <v>0</v>
      </c>
      <c r="Y557" s="100" t="str">
        <f t="shared" si="65"/>
        <v xml:space="preserve"> </v>
      </c>
      <c r="Z557" s="100" t="str">
        <f t="shared" si="66"/>
        <v xml:space="preserve"> </v>
      </c>
    </row>
    <row r="558" spans="1:26">
      <c r="A558" s="100"/>
      <c r="B558" s="108" t="str">
        <f>IFERROR(VLOOKUP(Tablo515[[#This Row],[ÜRÜN KODU]],YMKODLARI!$A$1:$K$363,2,0)," ")</f>
        <v xml:space="preserve"> </v>
      </c>
      <c r="C558" s="99"/>
      <c r="D558" s="100"/>
      <c r="E558" s="101"/>
      <c r="F558" s="101"/>
      <c r="G558" s="100" t="str">
        <f>IFERROR(VLOOKUP(Tablo515[[#This Row],[ÜRÜN KODU]],YMKODLARI!$A$1:$K$363,3,0)," ")</f>
        <v xml:space="preserve"> </v>
      </c>
      <c r="H558" s="100" t="str">
        <f>IFERROR(VLOOKUP(Tablo515[[#This Row],[ÜRÜN KODU]],YMKODLARI!$A$1:$K$363,4,0)," ")</f>
        <v xml:space="preserve"> </v>
      </c>
      <c r="I558" s="100"/>
      <c r="J558" s="100" t="str">
        <f>IFERROR(VLOOKUP(Tablo515[[#This Row],[ÜRÜN KODU]],YMKODLARI!$A$1:$K$363,9,0)," ")</f>
        <v xml:space="preserve"> </v>
      </c>
      <c r="K558" s="100" t="str">
        <f>IFERROR(VLOOKUP(Tablo515[[#This Row],[BOYA KODU]],Tablo14[#All],4,0)," ")</f>
        <v xml:space="preserve"> </v>
      </c>
      <c r="L558" s="100" t="str">
        <f>IFERROR(VLOOKUP(Tablo515[[#This Row],[BOYA KODU]],Tablo14[#All],6,0)," ")</f>
        <v xml:space="preserve"> </v>
      </c>
      <c r="M558" s="100" t="str">
        <f t="shared" si="60"/>
        <v xml:space="preserve"> </v>
      </c>
      <c r="N558" s="100" t="str">
        <f>IFERROR(VLOOKUP(Tablo515[[#This Row],[ÜRÜN KODU]],YMKODLARI!$A$1:$K$363,8,0)," ")</f>
        <v xml:space="preserve"> </v>
      </c>
      <c r="O558" s="100" t="str">
        <f>IFERROR(VLOOKUP(Tablo515[[#This Row],[HAMMADDE KODU]],Tablo1[#All],3,0)," ")</f>
        <v xml:space="preserve"> </v>
      </c>
      <c r="P558" s="100" t="str">
        <f>IFERROR(VLOOKUP(Tablo515[[#This Row],[HAMMADDE KODU]],Tablo1[#All],4,0)," ")</f>
        <v xml:space="preserve"> </v>
      </c>
      <c r="Q558" s="100" t="str">
        <f>IFERROR(VLOOKUP(Tablo515[[#This Row],[ÜRÜN KODU]],YMKODLARI!$A$1:$K$363,5,0)," ")</f>
        <v xml:space="preserve"> </v>
      </c>
      <c r="R558" s="100" t="str">
        <f>IFERROR(VLOOKUP(Tablo515[[#This Row],[ÜRÜN KODU]],YMKODLARI!$A$1:$K$363,6,0)," ")</f>
        <v xml:space="preserve"> </v>
      </c>
      <c r="S558" s="100" t="str">
        <f>IFERROR(Tablo515[[#This Row],[YOLLUK HARİÇ BASKI GRAMI]]/Tablo515[[#This Row],[KALIP GÖZ ADEDİ]]," ")</f>
        <v xml:space="preserve"> </v>
      </c>
      <c r="T558" s="100" t="str">
        <f t="shared" si="62"/>
        <v xml:space="preserve"> </v>
      </c>
      <c r="U558" s="100"/>
      <c r="V558" s="100" t="str">
        <f t="shared" si="61"/>
        <v xml:space="preserve"> </v>
      </c>
      <c r="W558" s="101">
        <f t="shared" si="63"/>
        <v>24</v>
      </c>
      <c r="X558" s="102">
        <f t="shared" si="64"/>
        <v>0</v>
      </c>
      <c r="Y558" s="100" t="str">
        <f t="shared" si="65"/>
        <v xml:space="preserve"> </v>
      </c>
      <c r="Z558" s="100" t="str">
        <f t="shared" si="66"/>
        <v xml:space="preserve"> </v>
      </c>
    </row>
    <row r="559" spans="1:26">
      <c r="A559" s="100"/>
      <c r="B559" s="108" t="str">
        <f>IFERROR(VLOOKUP(Tablo515[[#This Row],[ÜRÜN KODU]],YMKODLARI!$A$1:$K$363,2,0)," ")</f>
        <v xml:space="preserve"> </v>
      </c>
      <c r="C559" s="99"/>
      <c r="D559" s="100"/>
      <c r="E559" s="101"/>
      <c r="F559" s="101"/>
      <c r="G559" s="100" t="str">
        <f>IFERROR(VLOOKUP(Tablo515[[#This Row],[ÜRÜN KODU]],YMKODLARI!$A$1:$K$363,3,0)," ")</f>
        <v xml:space="preserve"> </v>
      </c>
      <c r="H559" s="100" t="str">
        <f>IFERROR(VLOOKUP(Tablo515[[#This Row],[ÜRÜN KODU]],YMKODLARI!$A$1:$K$363,4,0)," ")</f>
        <v xml:space="preserve"> </v>
      </c>
      <c r="I559" s="100"/>
      <c r="J559" s="100" t="str">
        <f>IFERROR(VLOOKUP(Tablo515[[#This Row],[ÜRÜN KODU]],YMKODLARI!$A$1:$K$363,9,0)," ")</f>
        <v xml:space="preserve"> </v>
      </c>
      <c r="K559" s="100" t="str">
        <f>IFERROR(VLOOKUP(Tablo515[[#This Row],[BOYA KODU]],Tablo14[#All],4,0)," ")</f>
        <v xml:space="preserve"> </v>
      </c>
      <c r="L559" s="100" t="str">
        <f>IFERROR(VLOOKUP(Tablo515[[#This Row],[BOYA KODU]],Tablo14[#All],6,0)," ")</f>
        <v xml:space="preserve"> </v>
      </c>
      <c r="M559" s="100" t="str">
        <f t="shared" si="60"/>
        <v xml:space="preserve"> </v>
      </c>
      <c r="N559" s="100" t="str">
        <f>IFERROR(VLOOKUP(Tablo515[[#This Row],[ÜRÜN KODU]],YMKODLARI!$A$1:$K$363,8,0)," ")</f>
        <v xml:space="preserve"> </v>
      </c>
      <c r="O559" s="100" t="str">
        <f>IFERROR(VLOOKUP(Tablo515[[#This Row],[HAMMADDE KODU]],Tablo1[#All],3,0)," ")</f>
        <v xml:space="preserve"> </v>
      </c>
      <c r="P559" s="100" t="str">
        <f>IFERROR(VLOOKUP(Tablo515[[#This Row],[HAMMADDE KODU]],Tablo1[#All],4,0)," ")</f>
        <v xml:space="preserve"> </v>
      </c>
      <c r="Q559" s="100" t="str">
        <f>IFERROR(VLOOKUP(Tablo515[[#This Row],[ÜRÜN KODU]],YMKODLARI!$A$1:$K$363,5,0)," ")</f>
        <v xml:space="preserve"> </v>
      </c>
      <c r="R559" s="100" t="str">
        <f>IFERROR(VLOOKUP(Tablo515[[#This Row],[ÜRÜN KODU]],YMKODLARI!$A$1:$K$363,6,0)," ")</f>
        <v xml:space="preserve"> </v>
      </c>
      <c r="S559" s="100" t="str">
        <f>IFERROR(Tablo515[[#This Row],[YOLLUK HARİÇ BASKI GRAMI]]/Tablo515[[#This Row],[KALIP GÖZ ADEDİ]]," ")</f>
        <v xml:space="preserve"> </v>
      </c>
      <c r="T559" s="100" t="str">
        <f t="shared" si="62"/>
        <v xml:space="preserve"> </v>
      </c>
      <c r="U559" s="100"/>
      <c r="V559" s="100" t="str">
        <f t="shared" si="61"/>
        <v xml:space="preserve"> </v>
      </c>
      <c r="W559" s="101">
        <f t="shared" si="63"/>
        <v>24</v>
      </c>
      <c r="X559" s="102">
        <f t="shared" si="64"/>
        <v>0</v>
      </c>
      <c r="Y559" s="100" t="str">
        <f t="shared" si="65"/>
        <v xml:space="preserve"> </v>
      </c>
      <c r="Z559" s="100" t="str">
        <f t="shared" si="66"/>
        <v xml:space="preserve"> </v>
      </c>
    </row>
    <row r="560" spans="1:26">
      <c r="A560" s="100"/>
      <c r="B560" s="108" t="str">
        <f>IFERROR(VLOOKUP(Tablo515[[#This Row],[ÜRÜN KODU]],YMKODLARI!$A$1:$K$363,2,0)," ")</f>
        <v xml:space="preserve"> </v>
      </c>
      <c r="C560" s="99"/>
      <c r="D560" s="100"/>
      <c r="E560" s="101"/>
      <c r="F560" s="101"/>
      <c r="G560" s="100" t="str">
        <f>IFERROR(VLOOKUP(Tablo515[[#This Row],[ÜRÜN KODU]],YMKODLARI!$A$1:$K$363,3,0)," ")</f>
        <v xml:space="preserve"> </v>
      </c>
      <c r="H560" s="100" t="str">
        <f>IFERROR(VLOOKUP(Tablo515[[#This Row],[ÜRÜN KODU]],YMKODLARI!$A$1:$K$363,4,0)," ")</f>
        <v xml:space="preserve"> </v>
      </c>
      <c r="I560" s="100"/>
      <c r="J560" s="100" t="str">
        <f>IFERROR(VLOOKUP(Tablo515[[#This Row],[ÜRÜN KODU]],YMKODLARI!$A$1:$K$363,9,0)," ")</f>
        <v xml:space="preserve"> </v>
      </c>
      <c r="K560" s="100" t="str">
        <f>IFERROR(VLOOKUP(Tablo515[[#This Row],[BOYA KODU]],Tablo14[#All],4,0)," ")</f>
        <v xml:space="preserve"> </v>
      </c>
      <c r="L560" s="100" t="str">
        <f>IFERROR(VLOOKUP(Tablo515[[#This Row],[BOYA KODU]],Tablo14[#All],6,0)," ")</f>
        <v xml:space="preserve"> </v>
      </c>
      <c r="M560" s="100" t="str">
        <f t="shared" si="60"/>
        <v xml:space="preserve"> </v>
      </c>
      <c r="N560" s="100" t="str">
        <f>IFERROR(VLOOKUP(Tablo515[[#This Row],[ÜRÜN KODU]],YMKODLARI!$A$1:$K$363,8,0)," ")</f>
        <v xml:space="preserve"> </v>
      </c>
      <c r="O560" s="100" t="str">
        <f>IFERROR(VLOOKUP(Tablo515[[#This Row],[HAMMADDE KODU]],Tablo1[#All],3,0)," ")</f>
        <v xml:space="preserve"> </v>
      </c>
      <c r="P560" s="100" t="str">
        <f>IFERROR(VLOOKUP(Tablo515[[#This Row],[HAMMADDE KODU]],Tablo1[#All],4,0)," ")</f>
        <v xml:space="preserve"> </v>
      </c>
      <c r="Q560" s="100" t="str">
        <f>IFERROR(VLOOKUP(Tablo515[[#This Row],[ÜRÜN KODU]],YMKODLARI!$A$1:$K$363,5,0)," ")</f>
        <v xml:space="preserve"> </v>
      </c>
      <c r="R560" s="100" t="str">
        <f>IFERROR(VLOOKUP(Tablo515[[#This Row],[ÜRÜN KODU]],YMKODLARI!$A$1:$K$363,6,0)," ")</f>
        <v xml:space="preserve"> </v>
      </c>
      <c r="S560" s="100" t="str">
        <f>IFERROR(Tablo515[[#This Row],[YOLLUK HARİÇ BASKI GRAMI]]/Tablo515[[#This Row],[KALIP GÖZ ADEDİ]]," ")</f>
        <v xml:space="preserve"> </v>
      </c>
      <c r="T560" s="100" t="str">
        <f t="shared" si="62"/>
        <v xml:space="preserve"> </v>
      </c>
      <c r="U560" s="100"/>
      <c r="V560" s="100" t="str">
        <f t="shared" si="61"/>
        <v xml:space="preserve"> </v>
      </c>
      <c r="W560" s="101">
        <f t="shared" si="63"/>
        <v>24</v>
      </c>
      <c r="X560" s="102">
        <f t="shared" si="64"/>
        <v>0</v>
      </c>
      <c r="Y560" s="100" t="str">
        <f t="shared" si="65"/>
        <v xml:space="preserve"> </v>
      </c>
      <c r="Z560" s="100" t="str">
        <f t="shared" si="66"/>
        <v xml:space="preserve"> </v>
      </c>
    </row>
    <row r="561" spans="1:26">
      <c r="A561" s="100"/>
      <c r="B561" s="108" t="str">
        <f>IFERROR(VLOOKUP(Tablo515[[#This Row],[ÜRÜN KODU]],YMKODLARI!$A$1:$K$363,2,0)," ")</f>
        <v xml:space="preserve"> </v>
      </c>
      <c r="C561" s="99"/>
      <c r="D561" s="100"/>
      <c r="E561" s="101"/>
      <c r="F561" s="101"/>
      <c r="G561" s="100" t="str">
        <f>IFERROR(VLOOKUP(Tablo515[[#This Row],[ÜRÜN KODU]],YMKODLARI!$A$1:$K$363,3,0)," ")</f>
        <v xml:space="preserve"> </v>
      </c>
      <c r="H561" s="100" t="str">
        <f>IFERROR(VLOOKUP(Tablo515[[#This Row],[ÜRÜN KODU]],YMKODLARI!$A$1:$K$363,4,0)," ")</f>
        <v xml:space="preserve"> </v>
      </c>
      <c r="I561" s="100"/>
      <c r="J561" s="100" t="str">
        <f>IFERROR(VLOOKUP(Tablo515[[#This Row],[ÜRÜN KODU]],YMKODLARI!$A$1:$K$363,9,0)," ")</f>
        <v xml:space="preserve"> </v>
      </c>
      <c r="K561" s="100" t="str">
        <f>IFERROR(VLOOKUP(Tablo515[[#This Row],[BOYA KODU]],Tablo14[#All],4,0)," ")</f>
        <v xml:space="preserve"> </v>
      </c>
      <c r="L561" s="100" t="str">
        <f>IFERROR(VLOOKUP(Tablo515[[#This Row],[BOYA KODU]],Tablo14[#All],6,0)," ")</f>
        <v xml:space="preserve"> </v>
      </c>
      <c r="M561" s="100" t="str">
        <f t="shared" si="60"/>
        <v xml:space="preserve"> </v>
      </c>
      <c r="N561" s="100" t="str">
        <f>IFERROR(VLOOKUP(Tablo515[[#This Row],[ÜRÜN KODU]],YMKODLARI!$A$1:$K$363,8,0)," ")</f>
        <v xml:space="preserve"> </v>
      </c>
      <c r="O561" s="100" t="str">
        <f>IFERROR(VLOOKUP(Tablo515[[#This Row],[HAMMADDE KODU]],Tablo1[#All],3,0)," ")</f>
        <v xml:space="preserve"> </v>
      </c>
      <c r="P561" s="100" t="str">
        <f>IFERROR(VLOOKUP(Tablo515[[#This Row],[HAMMADDE KODU]],Tablo1[#All],4,0)," ")</f>
        <v xml:space="preserve"> </v>
      </c>
      <c r="Q561" s="100" t="str">
        <f>IFERROR(VLOOKUP(Tablo515[[#This Row],[ÜRÜN KODU]],YMKODLARI!$A$1:$K$363,5,0)," ")</f>
        <v xml:space="preserve"> </v>
      </c>
      <c r="R561" s="100" t="str">
        <f>IFERROR(VLOOKUP(Tablo515[[#This Row],[ÜRÜN KODU]],YMKODLARI!$A$1:$K$363,6,0)," ")</f>
        <v xml:space="preserve"> </v>
      </c>
      <c r="S561" s="100" t="str">
        <f>IFERROR(Tablo515[[#This Row],[YOLLUK HARİÇ BASKI GRAMI]]/Tablo515[[#This Row],[KALIP GÖZ ADEDİ]]," ")</f>
        <v xml:space="preserve"> </v>
      </c>
      <c r="T561" s="100" t="str">
        <f t="shared" si="62"/>
        <v xml:space="preserve"> </v>
      </c>
      <c r="U561" s="100"/>
      <c r="V561" s="100" t="str">
        <f t="shared" si="61"/>
        <v xml:space="preserve"> </v>
      </c>
      <c r="W561" s="101">
        <f t="shared" si="63"/>
        <v>24</v>
      </c>
      <c r="X561" s="102">
        <f t="shared" si="64"/>
        <v>0</v>
      </c>
      <c r="Y561" s="100" t="str">
        <f t="shared" si="65"/>
        <v xml:space="preserve"> </v>
      </c>
      <c r="Z561" s="100" t="str">
        <f t="shared" si="66"/>
        <v xml:space="preserve"> </v>
      </c>
    </row>
    <row r="562" spans="1:26">
      <c r="A562" s="100"/>
      <c r="B562" s="108" t="str">
        <f>IFERROR(VLOOKUP(Tablo515[[#This Row],[ÜRÜN KODU]],YMKODLARI!$A$1:$K$363,2,0)," ")</f>
        <v xml:space="preserve"> </v>
      </c>
      <c r="C562" s="99"/>
      <c r="D562" s="100"/>
      <c r="E562" s="101"/>
      <c r="F562" s="101"/>
      <c r="G562" s="100" t="str">
        <f>IFERROR(VLOOKUP(Tablo515[[#This Row],[ÜRÜN KODU]],YMKODLARI!$A$1:$K$363,3,0)," ")</f>
        <v xml:space="preserve"> </v>
      </c>
      <c r="H562" s="100" t="str">
        <f>IFERROR(VLOOKUP(Tablo515[[#This Row],[ÜRÜN KODU]],YMKODLARI!$A$1:$K$363,4,0)," ")</f>
        <v xml:space="preserve"> </v>
      </c>
      <c r="I562" s="100"/>
      <c r="J562" s="100" t="str">
        <f>IFERROR(VLOOKUP(Tablo515[[#This Row],[ÜRÜN KODU]],YMKODLARI!$A$1:$K$363,9,0)," ")</f>
        <v xml:space="preserve"> </v>
      </c>
      <c r="K562" s="100" t="str">
        <f>IFERROR(VLOOKUP(Tablo515[[#This Row],[BOYA KODU]],Tablo14[#All],4,0)," ")</f>
        <v xml:space="preserve"> </v>
      </c>
      <c r="L562" s="100" t="str">
        <f>IFERROR(VLOOKUP(Tablo515[[#This Row],[BOYA KODU]],Tablo14[#All],6,0)," ")</f>
        <v xml:space="preserve"> </v>
      </c>
      <c r="M562" s="100" t="str">
        <f t="shared" si="60"/>
        <v xml:space="preserve"> </v>
      </c>
      <c r="N562" s="100" t="str">
        <f>IFERROR(VLOOKUP(Tablo515[[#This Row],[ÜRÜN KODU]],YMKODLARI!$A$1:$K$363,8,0)," ")</f>
        <v xml:space="preserve"> </v>
      </c>
      <c r="O562" s="100" t="str">
        <f>IFERROR(VLOOKUP(Tablo515[[#This Row],[HAMMADDE KODU]],Tablo1[#All],3,0)," ")</f>
        <v xml:space="preserve"> </v>
      </c>
      <c r="P562" s="100" t="str">
        <f>IFERROR(VLOOKUP(Tablo515[[#This Row],[HAMMADDE KODU]],Tablo1[#All],4,0)," ")</f>
        <v xml:space="preserve"> </v>
      </c>
      <c r="Q562" s="100" t="str">
        <f>IFERROR(VLOOKUP(Tablo515[[#This Row],[ÜRÜN KODU]],YMKODLARI!$A$1:$K$363,5,0)," ")</f>
        <v xml:space="preserve"> </v>
      </c>
      <c r="R562" s="100" t="str">
        <f>IFERROR(VLOOKUP(Tablo515[[#This Row],[ÜRÜN KODU]],YMKODLARI!$A$1:$K$363,6,0)," ")</f>
        <v xml:space="preserve"> </v>
      </c>
      <c r="S562" s="100" t="str">
        <f>IFERROR(Tablo515[[#This Row],[YOLLUK HARİÇ BASKI GRAMI]]/Tablo515[[#This Row],[KALIP GÖZ ADEDİ]]," ")</f>
        <v xml:space="preserve"> </v>
      </c>
      <c r="T562" s="100" t="str">
        <f t="shared" si="62"/>
        <v xml:space="preserve"> </v>
      </c>
      <c r="U562" s="100"/>
      <c r="V562" s="100" t="str">
        <f t="shared" si="61"/>
        <v xml:space="preserve"> </v>
      </c>
      <c r="W562" s="101">
        <f t="shared" si="63"/>
        <v>24</v>
      </c>
      <c r="X562" s="102">
        <f t="shared" si="64"/>
        <v>0</v>
      </c>
      <c r="Y562" s="100" t="str">
        <f t="shared" si="65"/>
        <v xml:space="preserve"> </v>
      </c>
      <c r="Z562" s="100" t="str">
        <f t="shared" si="66"/>
        <v xml:space="preserve"> </v>
      </c>
    </row>
    <row r="563" spans="1:26">
      <c r="A563" s="100"/>
      <c r="B563" s="108" t="str">
        <f>IFERROR(VLOOKUP(Tablo515[[#This Row],[ÜRÜN KODU]],YMKODLARI!$A$1:$K$363,2,0)," ")</f>
        <v xml:space="preserve"> </v>
      </c>
      <c r="C563" s="99"/>
      <c r="D563" s="100"/>
      <c r="E563" s="101"/>
      <c r="F563" s="101"/>
      <c r="G563" s="100" t="str">
        <f>IFERROR(VLOOKUP(Tablo515[[#This Row],[ÜRÜN KODU]],YMKODLARI!$A$1:$K$363,3,0)," ")</f>
        <v xml:space="preserve"> </v>
      </c>
      <c r="H563" s="100" t="str">
        <f>IFERROR(VLOOKUP(Tablo515[[#This Row],[ÜRÜN KODU]],YMKODLARI!$A$1:$K$363,4,0)," ")</f>
        <v xml:space="preserve"> </v>
      </c>
      <c r="I563" s="100"/>
      <c r="J563" s="100" t="str">
        <f>IFERROR(VLOOKUP(Tablo515[[#This Row],[ÜRÜN KODU]],YMKODLARI!$A$1:$K$363,9,0)," ")</f>
        <v xml:space="preserve"> </v>
      </c>
      <c r="K563" s="100" t="str">
        <f>IFERROR(VLOOKUP(Tablo515[[#This Row],[BOYA KODU]],Tablo14[#All],4,0)," ")</f>
        <v xml:space="preserve"> </v>
      </c>
      <c r="L563" s="100" t="str">
        <f>IFERROR(VLOOKUP(Tablo515[[#This Row],[BOYA KODU]],Tablo14[#All],6,0)," ")</f>
        <v xml:space="preserve"> </v>
      </c>
      <c r="M563" s="100" t="str">
        <f t="shared" si="60"/>
        <v xml:space="preserve"> </v>
      </c>
      <c r="N563" s="100" t="str">
        <f>IFERROR(VLOOKUP(Tablo515[[#This Row],[ÜRÜN KODU]],YMKODLARI!$A$1:$K$363,8,0)," ")</f>
        <v xml:space="preserve"> </v>
      </c>
      <c r="O563" s="100" t="str">
        <f>IFERROR(VLOOKUP(Tablo515[[#This Row],[HAMMADDE KODU]],Tablo1[#All],3,0)," ")</f>
        <v xml:space="preserve"> </v>
      </c>
      <c r="P563" s="100" t="str">
        <f>IFERROR(VLOOKUP(Tablo515[[#This Row],[HAMMADDE KODU]],Tablo1[#All],4,0)," ")</f>
        <v xml:space="preserve"> </v>
      </c>
      <c r="Q563" s="100" t="str">
        <f>IFERROR(VLOOKUP(Tablo515[[#This Row],[ÜRÜN KODU]],YMKODLARI!$A$1:$K$363,5,0)," ")</f>
        <v xml:space="preserve"> </v>
      </c>
      <c r="R563" s="100" t="str">
        <f>IFERROR(VLOOKUP(Tablo515[[#This Row],[ÜRÜN KODU]],YMKODLARI!$A$1:$K$363,6,0)," ")</f>
        <v xml:space="preserve"> </v>
      </c>
      <c r="S563" s="100" t="str">
        <f>IFERROR(Tablo515[[#This Row],[YOLLUK HARİÇ BASKI GRAMI]]/Tablo515[[#This Row],[KALIP GÖZ ADEDİ]]," ")</f>
        <v xml:space="preserve"> </v>
      </c>
      <c r="T563" s="100" t="str">
        <f t="shared" si="62"/>
        <v xml:space="preserve"> </v>
      </c>
      <c r="U563" s="100"/>
      <c r="V563" s="100" t="str">
        <f t="shared" si="61"/>
        <v xml:space="preserve"> </v>
      </c>
      <c r="W563" s="101">
        <f t="shared" si="63"/>
        <v>24</v>
      </c>
      <c r="X563" s="102">
        <f t="shared" si="64"/>
        <v>0</v>
      </c>
      <c r="Y563" s="100" t="str">
        <f t="shared" si="65"/>
        <v xml:space="preserve"> </v>
      </c>
      <c r="Z563" s="100" t="str">
        <f t="shared" si="66"/>
        <v xml:space="preserve"> </v>
      </c>
    </row>
    <row r="564" spans="1:26">
      <c r="A564" s="100"/>
      <c r="B564" s="108" t="str">
        <f>IFERROR(VLOOKUP(Tablo515[[#This Row],[ÜRÜN KODU]],YMKODLARI!$A$1:$K$363,2,0)," ")</f>
        <v xml:space="preserve"> </v>
      </c>
      <c r="C564" s="99"/>
      <c r="D564" s="100"/>
      <c r="E564" s="101"/>
      <c r="F564" s="101"/>
      <c r="G564" s="100" t="str">
        <f>IFERROR(VLOOKUP(Tablo515[[#This Row],[ÜRÜN KODU]],YMKODLARI!$A$1:$K$363,3,0)," ")</f>
        <v xml:space="preserve"> </v>
      </c>
      <c r="H564" s="100" t="str">
        <f>IFERROR(VLOOKUP(Tablo515[[#This Row],[ÜRÜN KODU]],YMKODLARI!$A$1:$K$363,4,0)," ")</f>
        <v xml:space="preserve"> </v>
      </c>
      <c r="I564" s="100"/>
      <c r="J564" s="100" t="str">
        <f>IFERROR(VLOOKUP(Tablo515[[#This Row],[ÜRÜN KODU]],YMKODLARI!$A$1:$K$363,9,0)," ")</f>
        <v xml:space="preserve"> </v>
      </c>
      <c r="K564" s="100" t="str">
        <f>IFERROR(VLOOKUP(Tablo515[[#This Row],[BOYA KODU]],Tablo14[#All],4,0)," ")</f>
        <v xml:space="preserve"> </v>
      </c>
      <c r="L564" s="100" t="str">
        <f>IFERROR(VLOOKUP(Tablo515[[#This Row],[BOYA KODU]],Tablo14[#All],6,0)," ")</f>
        <v xml:space="preserve"> </v>
      </c>
      <c r="M564" s="100" t="str">
        <f t="shared" si="60"/>
        <v xml:space="preserve"> </v>
      </c>
      <c r="N564" s="100" t="str">
        <f>IFERROR(VLOOKUP(Tablo515[[#This Row],[ÜRÜN KODU]],YMKODLARI!$A$1:$K$363,8,0)," ")</f>
        <v xml:space="preserve"> </v>
      </c>
      <c r="O564" s="100" t="str">
        <f>IFERROR(VLOOKUP(Tablo515[[#This Row],[HAMMADDE KODU]],Tablo1[#All],3,0)," ")</f>
        <v xml:space="preserve"> </v>
      </c>
      <c r="P564" s="100" t="str">
        <f>IFERROR(VLOOKUP(Tablo515[[#This Row],[HAMMADDE KODU]],Tablo1[#All],4,0)," ")</f>
        <v xml:space="preserve"> </v>
      </c>
      <c r="Q564" s="100" t="str">
        <f>IFERROR(VLOOKUP(Tablo515[[#This Row],[ÜRÜN KODU]],YMKODLARI!$A$1:$K$363,5,0)," ")</f>
        <v xml:space="preserve"> </v>
      </c>
      <c r="R564" s="100" t="str">
        <f>IFERROR(VLOOKUP(Tablo515[[#This Row],[ÜRÜN KODU]],YMKODLARI!$A$1:$K$363,6,0)," ")</f>
        <v xml:space="preserve"> </v>
      </c>
      <c r="S564" s="100" t="str">
        <f>IFERROR(Tablo515[[#This Row],[YOLLUK HARİÇ BASKI GRAMI]]/Tablo515[[#This Row],[KALIP GÖZ ADEDİ]]," ")</f>
        <v xml:space="preserve"> </v>
      </c>
      <c r="T564" s="100" t="str">
        <f t="shared" si="62"/>
        <v xml:space="preserve"> </v>
      </c>
      <c r="U564" s="100"/>
      <c r="V564" s="100" t="str">
        <f t="shared" si="61"/>
        <v xml:space="preserve"> </v>
      </c>
      <c r="W564" s="101">
        <f t="shared" si="63"/>
        <v>24</v>
      </c>
      <c r="X564" s="102">
        <f t="shared" si="64"/>
        <v>0</v>
      </c>
      <c r="Y564" s="100" t="str">
        <f t="shared" si="65"/>
        <v xml:space="preserve"> </v>
      </c>
      <c r="Z564" s="100" t="str">
        <f t="shared" si="66"/>
        <v xml:space="preserve"> </v>
      </c>
    </row>
    <row r="565" spans="1:26">
      <c r="A565" s="100"/>
      <c r="B565" s="108" t="str">
        <f>IFERROR(VLOOKUP(Tablo515[[#This Row],[ÜRÜN KODU]],YMKODLARI!$A$1:$K$363,2,0)," ")</f>
        <v xml:space="preserve"> </v>
      </c>
      <c r="C565" s="99"/>
      <c r="D565" s="100"/>
      <c r="E565" s="101"/>
      <c r="F565" s="101"/>
      <c r="G565" s="100" t="str">
        <f>IFERROR(VLOOKUP(Tablo515[[#This Row],[ÜRÜN KODU]],YMKODLARI!$A$1:$K$363,3,0)," ")</f>
        <v xml:space="preserve"> </v>
      </c>
      <c r="H565" s="100" t="str">
        <f>IFERROR(VLOOKUP(Tablo515[[#This Row],[ÜRÜN KODU]],YMKODLARI!$A$1:$K$363,4,0)," ")</f>
        <v xml:space="preserve"> </v>
      </c>
      <c r="I565" s="100"/>
      <c r="J565" s="100" t="str">
        <f>IFERROR(VLOOKUP(Tablo515[[#This Row],[ÜRÜN KODU]],YMKODLARI!$A$1:$K$363,9,0)," ")</f>
        <v xml:space="preserve"> </v>
      </c>
      <c r="K565" s="100" t="str">
        <f>IFERROR(VLOOKUP(Tablo515[[#This Row],[BOYA KODU]],Tablo14[#All],4,0)," ")</f>
        <v xml:space="preserve"> </v>
      </c>
      <c r="L565" s="100" t="str">
        <f>IFERROR(VLOOKUP(Tablo515[[#This Row],[BOYA KODU]],Tablo14[#All],6,0)," ")</f>
        <v xml:space="preserve"> </v>
      </c>
      <c r="M565" s="100" t="str">
        <f t="shared" si="60"/>
        <v xml:space="preserve"> </v>
      </c>
      <c r="N565" s="100" t="str">
        <f>IFERROR(VLOOKUP(Tablo515[[#This Row],[ÜRÜN KODU]],YMKODLARI!$A$1:$K$363,8,0)," ")</f>
        <v xml:space="preserve"> </v>
      </c>
      <c r="O565" s="100" t="str">
        <f>IFERROR(VLOOKUP(Tablo515[[#This Row],[HAMMADDE KODU]],Tablo1[#All],3,0)," ")</f>
        <v xml:space="preserve"> </v>
      </c>
      <c r="P565" s="100" t="str">
        <f>IFERROR(VLOOKUP(Tablo515[[#This Row],[HAMMADDE KODU]],Tablo1[#All],4,0)," ")</f>
        <v xml:space="preserve"> </v>
      </c>
      <c r="Q565" s="100" t="str">
        <f>IFERROR(VLOOKUP(Tablo515[[#This Row],[ÜRÜN KODU]],YMKODLARI!$A$1:$K$363,5,0)," ")</f>
        <v xml:space="preserve"> </v>
      </c>
      <c r="R565" s="100" t="str">
        <f>IFERROR(VLOOKUP(Tablo515[[#This Row],[ÜRÜN KODU]],YMKODLARI!$A$1:$K$363,6,0)," ")</f>
        <v xml:space="preserve"> </v>
      </c>
      <c r="S565" s="100" t="str">
        <f>IFERROR(Tablo515[[#This Row],[YOLLUK HARİÇ BASKI GRAMI]]/Tablo515[[#This Row],[KALIP GÖZ ADEDİ]]," ")</f>
        <v xml:space="preserve"> </v>
      </c>
      <c r="T565" s="100" t="str">
        <f t="shared" si="62"/>
        <v xml:space="preserve"> </v>
      </c>
      <c r="U565" s="100"/>
      <c r="V565" s="100" t="str">
        <f t="shared" si="61"/>
        <v xml:space="preserve"> </v>
      </c>
      <c r="W565" s="101">
        <f t="shared" si="63"/>
        <v>24</v>
      </c>
      <c r="X565" s="102">
        <f t="shared" si="64"/>
        <v>0</v>
      </c>
      <c r="Y565" s="100" t="str">
        <f t="shared" si="65"/>
        <v xml:space="preserve"> </v>
      </c>
      <c r="Z565" s="100" t="str">
        <f t="shared" si="66"/>
        <v xml:space="preserve"> </v>
      </c>
    </row>
    <row r="566" spans="1:26">
      <c r="A566" s="100"/>
      <c r="B566" s="108" t="str">
        <f>IFERROR(VLOOKUP(Tablo515[[#This Row],[ÜRÜN KODU]],YMKODLARI!$A$1:$K$363,2,0)," ")</f>
        <v xml:space="preserve"> </v>
      </c>
      <c r="C566" s="99"/>
      <c r="D566" s="100"/>
      <c r="E566" s="101"/>
      <c r="F566" s="101"/>
      <c r="G566" s="100" t="str">
        <f>IFERROR(VLOOKUP(Tablo515[[#This Row],[ÜRÜN KODU]],YMKODLARI!$A$1:$K$363,3,0)," ")</f>
        <v xml:space="preserve"> </v>
      </c>
      <c r="H566" s="100" t="str">
        <f>IFERROR(VLOOKUP(Tablo515[[#This Row],[ÜRÜN KODU]],YMKODLARI!$A$1:$K$363,4,0)," ")</f>
        <v xml:space="preserve"> </v>
      </c>
      <c r="I566" s="100"/>
      <c r="J566" s="100" t="str">
        <f>IFERROR(VLOOKUP(Tablo515[[#This Row],[ÜRÜN KODU]],YMKODLARI!$A$1:$K$363,9,0)," ")</f>
        <v xml:space="preserve"> </v>
      </c>
      <c r="K566" s="100" t="str">
        <f>IFERROR(VLOOKUP(Tablo515[[#This Row],[BOYA KODU]],Tablo14[#All],4,0)," ")</f>
        <v xml:space="preserve"> </v>
      </c>
      <c r="L566" s="100" t="str">
        <f>IFERROR(VLOOKUP(Tablo515[[#This Row],[BOYA KODU]],Tablo14[#All],6,0)," ")</f>
        <v xml:space="preserve"> </v>
      </c>
      <c r="M566" s="100" t="str">
        <f t="shared" si="60"/>
        <v xml:space="preserve"> </v>
      </c>
      <c r="N566" s="100" t="str">
        <f>IFERROR(VLOOKUP(Tablo515[[#This Row],[ÜRÜN KODU]],YMKODLARI!$A$1:$K$363,8,0)," ")</f>
        <v xml:space="preserve"> </v>
      </c>
      <c r="O566" s="100" t="str">
        <f>IFERROR(VLOOKUP(Tablo515[[#This Row],[HAMMADDE KODU]],Tablo1[#All],3,0)," ")</f>
        <v xml:space="preserve"> </v>
      </c>
      <c r="P566" s="100" t="str">
        <f>IFERROR(VLOOKUP(Tablo515[[#This Row],[HAMMADDE KODU]],Tablo1[#All],4,0)," ")</f>
        <v xml:space="preserve"> </v>
      </c>
      <c r="Q566" s="100" t="str">
        <f>IFERROR(VLOOKUP(Tablo515[[#This Row],[ÜRÜN KODU]],YMKODLARI!$A$1:$K$363,5,0)," ")</f>
        <v xml:space="preserve"> </v>
      </c>
      <c r="R566" s="100" t="str">
        <f>IFERROR(VLOOKUP(Tablo515[[#This Row],[ÜRÜN KODU]],YMKODLARI!$A$1:$K$363,6,0)," ")</f>
        <v xml:space="preserve"> </v>
      </c>
      <c r="S566" s="100" t="str">
        <f>IFERROR(Tablo515[[#This Row],[YOLLUK HARİÇ BASKI GRAMI]]/Tablo515[[#This Row],[KALIP GÖZ ADEDİ]]," ")</f>
        <v xml:space="preserve"> </v>
      </c>
      <c r="T566" s="100" t="str">
        <f t="shared" si="62"/>
        <v xml:space="preserve"> </v>
      </c>
      <c r="U566" s="100"/>
      <c r="V566" s="100" t="str">
        <f t="shared" si="61"/>
        <v xml:space="preserve"> </v>
      </c>
      <c r="W566" s="101">
        <f t="shared" si="63"/>
        <v>24</v>
      </c>
      <c r="X566" s="102">
        <f t="shared" si="64"/>
        <v>0</v>
      </c>
      <c r="Y566" s="100" t="str">
        <f t="shared" si="65"/>
        <v xml:space="preserve"> </v>
      </c>
      <c r="Z566" s="100" t="str">
        <f t="shared" si="66"/>
        <v xml:space="preserve"> </v>
      </c>
    </row>
    <row r="567" spans="1:26">
      <c r="A567" s="100"/>
      <c r="B567" s="108" t="str">
        <f>IFERROR(VLOOKUP(Tablo515[[#This Row],[ÜRÜN KODU]],YMKODLARI!$A$1:$K$363,2,0)," ")</f>
        <v xml:space="preserve"> </v>
      </c>
      <c r="C567" s="99"/>
      <c r="D567" s="100"/>
      <c r="E567" s="101"/>
      <c r="F567" s="101"/>
      <c r="G567" s="100" t="str">
        <f>IFERROR(VLOOKUP(Tablo515[[#This Row],[ÜRÜN KODU]],YMKODLARI!$A$1:$K$363,3,0)," ")</f>
        <v xml:space="preserve"> </v>
      </c>
      <c r="H567" s="100" t="str">
        <f>IFERROR(VLOOKUP(Tablo515[[#This Row],[ÜRÜN KODU]],YMKODLARI!$A$1:$K$363,4,0)," ")</f>
        <v xml:space="preserve"> </v>
      </c>
      <c r="I567" s="100"/>
      <c r="J567" s="100" t="str">
        <f>IFERROR(VLOOKUP(Tablo515[[#This Row],[ÜRÜN KODU]],YMKODLARI!$A$1:$K$363,9,0)," ")</f>
        <v xml:space="preserve"> </v>
      </c>
      <c r="K567" s="100" t="str">
        <f>IFERROR(VLOOKUP(Tablo515[[#This Row],[BOYA KODU]],Tablo14[#All],4,0)," ")</f>
        <v xml:space="preserve"> </v>
      </c>
      <c r="L567" s="100" t="str">
        <f>IFERROR(VLOOKUP(Tablo515[[#This Row],[BOYA KODU]],Tablo14[#All],6,0)," ")</f>
        <v xml:space="preserve"> </v>
      </c>
      <c r="M567" s="100" t="str">
        <f t="shared" si="60"/>
        <v xml:space="preserve"> </v>
      </c>
      <c r="N567" s="100" t="str">
        <f>IFERROR(VLOOKUP(Tablo515[[#This Row],[ÜRÜN KODU]],YMKODLARI!$A$1:$K$363,8,0)," ")</f>
        <v xml:space="preserve"> </v>
      </c>
      <c r="O567" s="100" t="str">
        <f>IFERROR(VLOOKUP(Tablo515[[#This Row],[HAMMADDE KODU]],Tablo1[#All],3,0)," ")</f>
        <v xml:space="preserve"> </v>
      </c>
      <c r="P567" s="100" t="str">
        <f>IFERROR(VLOOKUP(Tablo515[[#This Row],[HAMMADDE KODU]],Tablo1[#All],4,0)," ")</f>
        <v xml:space="preserve"> </v>
      </c>
      <c r="Q567" s="100" t="str">
        <f>IFERROR(VLOOKUP(Tablo515[[#This Row],[ÜRÜN KODU]],YMKODLARI!$A$1:$K$363,5,0)," ")</f>
        <v xml:space="preserve"> </v>
      </c>
      <c r="R567" s="100" t="str">
        <f>IFERROR(VLOOKUP(Tablo515[[#This Row],[ÜRÜN KODU]],YMKODLARI!$A$1:$K$363,6,0)," ")</f>
        <v xml:space="preserve"> </v>
      </c>
      <c r="S567" s="100" t="str">
        <f>IFERROR(Tablo515[[#This Row],[YOLLUK HARİÇ BASKI GRAMI]]/Tablo515[[#This Row],[KALIP GÖZ ADEDİ]]," ")</f>
        <v xml:space="preserve"> </v>
      </c>
      <c r="T567" s="100" t="str">
        <f t="shared" si="62"/>
        <v xml:space="preserve"> </v>
      </c>
      <c r="U567" s="100"/>
      <c r="V567" s="100" t="str">
        <f t="shared" si="61"/>
        <v xml:space="preserve"> </v>
      </c>
      <c r="W567" s="101">
        <f t="shared" si="63"/>
        <v>24</v>
      </c>
      <c r="X567" s="102">
        <f t="shared" si="64"/>
        <v>0</v>
      </c>
      <c r="Y567" s="100" t="str">
        <f t="shared" si="65"/>
        <v xml:space="preserve"> </v>
      </c>
      <c r="Z567" s="100" t="str">
        <f t="shared" si="66"/>
        <v xml:space="preserve"> </v>
      </c>
    </row>
    <row r="568" spans="1:26">
      <c r="A568" s="100"/>
      <c r="B568" s="108" t="str">
        <f>IFERROR(VLOOKUP(Tablo515[[#This Row],[ÜRÜN KODU]],YMKODLARI!$A$1:$K$363,2,0)," ")</f>
        <v xml:space="preserve"> </v>
      </c>
      <c r="C568" s="99"/>
      <c r="D568" s="100"/>
      <c r="E568" s="101"/>
      <c r="F568" s="101"/>
      <c r="G568" s="100" t="str">
        <f>IFERROR(VLOOKUP(Tablo515[[#This Row],[ÜRÜN KODU]],YMKODLARI!$A$1:$K$363,3,0)," ")</f>
        <v xml:space="preserve"> </v>
      </c>
      <c r="H568" s="100" t="str">
        <f>IFERROR(VLOOKUP(Tablo515[[#This Row],[ÜRÜN KODU]],YMKODLARI!$A$1:$K$363,4,0)," ")</f>
        <v xml:space="preserve"> </v>
      </c>
      <c r="I568" s="100"/>
      <c r="J568" s="100" t="str">
        <f>IFERROR(VLOOKUP(Tablo515[[#This Row],[ÜRÜN KODU]],YMKODLARI!$A$1:$K$363,9,0)," ")</f>
        <v xml:space="preserve"> </v>
      </c>
      <c r="K568" s="100" t="str">
        <f>IFERROR(VLOOKUP(Tablo515[[#This Row],[BOYA KODU]],Tablo14[#All],4,0)," ")</f>
        <v xml:space="preserve"> </v>
      </c>
      <c r="L568" s="100" t="str">
        <f>IFERROR(VLOOKUP(Tablo515[[#This Row],[BOYA KODU]],Tablo14[#All],6,0)," ")</f>
        <v xml:space="preserve"> </v>
      </c>
      <c r="M568" s="100" t="str">
        <f t="shared" si="60"/>
        <v xml:space="preserve"> </v>
      </c>
      <c r="N568" s="100" t="str">
        <f>IFERROR(VLOOKUP(Tablo515[[#This Row],[ÜRÜN KODU]],YMKODLARI!$A$1:$K$363,8,0)," ")</f>
        <v xml:space="preserve"> </v>
      </c>
      <c r="O568" s="100" t="str">
        <f>IFERROR(VLOOKUP(Tablo515[[#This Row],[HAMMADDE KODU]],Tablo1[#All],3,0)," ")</f>
        <v xml:space="preserve"> </v>
      </c>
      <c r="P568" s="100" t="str">
        <f>IFERROR(VLOOKUP(Tablo515[[#This Row],[HAMMADDE KODU]],Tablo1[#All],4,0)," ")</f>
        <v xml:space="preserve"> </v>
      </c>
      <c r="Q568" s="100" t="str">
        <f>IFERROR(VLOOKUP(Tablo515[[#This Row],[ÜRÜN KODU]],YMKODLARI!$A$1:$K$363,5,0)," ")</f>
        <v xml:space="preserve"> </v>
      </c>
      <c r="R568" s="100" t="str">
        <f>IFERROR(VLOOKUP(Tablo515[[#This Row],[ÜRÜN KODU]],YMKODLARI!$A$1:$K$363,6,0)," ")</f>
        <v xml:space="preserve"> </v>
      </c>
      <c r="S568" s="100" t="str">
        <f>IFERROR(Tablo515[[#This Row],[YOLLUK HARİÇ BASKI GRAMI]]/Tablo515[[#This Row],[KALIP GÖZ ADEDİ]]," ")</f>
        <v xml:space="preserve"> </v>
      </c>
      <c r="T568" s="100" t="str">
        <f t="shared" si="62"/>
        <v xml:space="preserve"> </v>
      </c>
      <c r="U568" s="100"/>
      <c r="V568" s="100" t="str">
        <f t="shared" si="61"/>
        <v xml:space="preserve"> </v>
      </c>
      <c r="W568" s="101">
        <f t="shared" si="63"/>
        <v>24</v>
      </c>
      <c r="X568" s="102">
        <f t="shared" si="64"/>
        <v>0</v>
      </c>
      <c r="Y568" s="100" t="str">
        <f t="shared" si="65"/>
        <v xml:space="preserve"> </v>
      </c>
      <c r="Z568" s="100" t="str">
        <f t="shared" si="66"/>
        <v xml:space="preserve"> </v>
      </c>
    </row>
    <row r="569" spans="1:26">
      <c r="A569" s="100"/>
      <c r="B569" s="108" t="str">
        <f>IFERROR(VLOOKUP(Tablo515[[#This Row],[ÜRÜN KODU]],YMKODLARI!$A$1:$K$363,2,0)," ")</f>
        <v xml:space="preserve"> </v>
      </c>
      <c r="C569" s="99"/>
      <c r="D569" s="100"/>
      <c r="E569" s="101"/>
      <c r="F569" s="101"/>
      <c r="G569" s="100" t="str">
        <f>IFERROR(VLOOKUP(Tablo515[[#This Row],[ÜRÜN KODU]],YMKODLARI!$A$1:$K$363,3,0)," ")</f>
        <v xml:space="preserve"> </v>
      </c>
      <c r="H569" s="100" t="str">
        <f>IFERROR(VLOOKUP(Tablo515[[#This Row],[ÜRÜN KODU]],YMKODLARI!$A$1:$K$363,4,0)," ")</f>
        <v xml:space="preserve"> </v>
      </c>
      <c r="I569" s="100"/>
      <c r="J569" s="100" t="str">
        <f>IFERROR(VLOOKUP(Tablo515[[#This Row],[ÜRÜN KODU]],YMKODLARI!$A$1:$K$363,9,0)," ")</f>
        <v xml:space="preserve"> </v>
      </c>
      <c r="K569" s="100" t="str">
        <f>IFERROR(VLOOKUP(Tablo515[[#This Row],[BOYA KODU]],Tablo14[#All],4,0)," ")</f>
        <v xml:space="preserve"> </v>
      </c>
      <c r="L569" s="100" t="str">
        <f>IFERROR(VLOOKUP(Tablo515[[#This Row],[BOYA KODU]],Tablo14[#All],6,0)," ")</f>
        <v xml:space="preserve"> </v>
      </c>
      <c r="M569" s="100" t="str">
        <f t="shared" si="60"/>
        <v xml:space="preserve"> </v>
      </c>
      <c r="N569" s="100" t="str">
        <f>IFERROR(VLOOKUP(Tablo515[[#This Row],[ÜRÜN KODU]],YMKODLARI!$A$1:$K$363,8,0)," ")</f>
        <v xml:space="preserve"> </v>
      </c>
      <c r="O569" s="100" t="str">
        <f>IFERROR(VLOOKUP(Tablo515[[#This Row],[HAMMADDE KODU]],Tablo1[#All],3,0)," ")</f>
        <v xml:space="preserve"> </v>
      </c>
      <c r="P569" s="100" t="str">
        <f>IFERROR(VLOOKUP(Tablo515[[#This Row],[HAMMADDE KODU]],Tablo1[#All],4,0)," ")</f>
        <v xml:space="preserve"> </v>
      </c>
      <c r="Q569" s="100" t="str">
        <f>IFERROR(VLOOKUP(Tablo515[[#This Row],[ÜRÜN KODU]],YMKODLARI!$A$1:$K$363,5,0)," ")</f>
        <v xml:space="preserve"> </v>
      </c>
      <c r="R569" s="100" t="str">
        <f>IFERROR(VLOOKUP(Tablo515[[#This Row],[ÜRÜN KODU]],YMKODLARI!$A$1:$K$363,6,0)," ")</f>
        <v xml:space="preserve"> </v>
      </c>
      <c r="S569" s="100" t="str">
        <f>IFERROR(Tablo515[[#This Row],[YOLLUK HARİÇ BASKI GRAMI]]/Tablo515[[#This Row],[KALIP GÖZ ADEDİ]]," ")</f>
        <v xml:space="preserve"> </v>
      </c>
      <c r="T569" s="100" t="str">
        <f t="shared" si="62"/>
        <v xml:space="preserve"> </v>
      </c>
      <c r="U569" s="100"/>
      <c r="V569" s="100" t="str">
        <f t="shared" si="61"/>
        <v xml:space="preserve"> </v>
      </c>
      <c r="W569" s="101">
        <f t="shared" si="63"/>
        <v>24</v>
      </c>
      <c r="X569" s="102">
        <f t="shared" si="64"/>
        <v>0</v>
      </c>
      <c r="Y569" s="100" t="str">
        <f t="shared" si="65"/>
        <v xml:space="preserve"> </v>
      </c>
      <c r="Z569" s="100" t="str">
        <f t="shared" si="66"/>
        <v xml:space="preserve"> </v>
      </c>
    </row>
    <row r="570" spans="1:26">
      <c r="A570" s="100"/>
      <c r="B570" s="108" t="str">
        <f>IFERROR(VLOOKUP(Tablo515[[#This Row],[ÜRÜN KODU]],YMKODLARI!$A$1:$K$363,2,0)," ")</f>
        <v xml:space="preserve"> </v>
      </c>
      <c r="C570" s="99"/>
      <c r="D570" s="100"/>
      <c r="E570" s="101"/>
      <c r="F570" s="101"/>
      <c r="G570" s="100" t="str">
        <f>IFERROR(VLOOKUP(Tablo515[[#This Row],[ÜRÜN KODU]],YMKODLARI!$A$1:$K$363,3,0)," ")</f>
        <v xml:space="preserve"> </v>
      </c>
      <c r="H570" s="100" t="str">
        <f>IFERROR(VLOOKUP(Tablo515[[#This Row],[ÜRÜN KODU]],YMKODLARI!$A$1:$K$363,4,0)," ")</f>
        <v xml:space="preserve"> </v>
      </c>
      <c r="I570" s="100"/>
      <c r="J570" s="100" t="str">
        <f>IFERROR(VLOOKUP(Tablo515[[#This Row],[ÜRÜN KODU]],YMKODLARI!$A$1:$K$363,9,0)," ")</f>
        <v xml:space="preserve"> </v>
      </c>
      <c r="K570" s="100" t="str">
        <f>IFERROR(VLOOKUP(Tablo515[[#This Row],[BOYA KODU]],Tablo14[#All],4,0)," ")</f>
        <v xml:space="preserve"> </v>
      </c>
      <c r="L570" s="100" t="str">
        <f>IFERROR(VLOOKUP(Tablo515[[#This Row],[BOYA KODU]],Tablo14[#All],6,0)," ")</f>
        <v xml:space="preserve"> </v>
      </c>
      <c r="M570" s="100" t="str">
        <f t="shared" si="60"/>
        <v xml:space="preserve"> </v>
      </c>
      <c r="N570" s="100" t="str">
        <f>IFERROR(VLOOKUP(Tablo515[[#This Row],[ÜRÜN KODU]],YMKODLARI!$A$1:$K$363,8,0)," ")</f>
        <v xml:space="preserve"> </v>
      </c>
      <c r="O570" s="100" t="str">
        <f>IFERROR(VLOOKUP(Tablo515[[#This Row],[HAMMADDE KODU]],Tablo1[#All],3,0)," ")</f>
        <v xml:space="preserve"> </v>
      </c>
      <c r="P570" s="100" t="str">
        <f>IFERROR(VLOOKUP(Tablo515[[#This Row],[HAMMADDE KODU]],Tablo1[#All],4,0)," ")</f>
        <v xml:space="preserve"> </v>
      </c>
      <c r="Q570" s="100" t="str">
        <f>IFERROR(VLOOKUP(Tablo515[[#This Row],[ÜRÜN KODU]],YMKODLARI!$A$1:$K$363,5,0)," ")</f>
        <v xml:space="preserve"> </v>
      </c>
      <c r="R570" s="100" t="str">
        <f>IFERROR(VLOOKUP(Tablo515[[#This Row],[ÜRÜN KODU]],YMKODLARI!$A$1:$K$363,6,0)," ")</f>
        <v xml:space="preserve"> </v>
      </c>
      <c r="S570" s="100" t="str">
        <f>IFERROR(Tablo515[[#This Row],[YOLLUK HARİÇ BASKI GRAMI]]/Tablo515[[#This Row],[KALIP GÖZ ADEDİ]]," ")</f>
        <v xml:space="preserve"> </v>
      </c>
      <c r="T570" s="100" t="str">
        <f t="shared" si="62"/>
        <v xml:space="preserve"> </v>
      </c>
      <c r="U570" s="100"/>
      <c r="V570" s="100" t="str">
        <f t="shared" si="61"/>
        <v xml:space="preserve"> </v>
      </c>
      <c r="W570" s="101">
        <f t="shared" si="63"/>
        <v>24</v>
      </c>
      <c r="X570" s="102">
        <f t="shared" si="64"/>
        <v>0</v>
      </c>
      <c r="Y570" s="100" t="str">
        <f t="shared" si="65"/>
        <v xml:space="preserve"> </v>
      </c>
      <c r="Z570" s="100" t="str">
        <f t="shared" si="66"/>
        <v xml:space="preserve"> </v>
      </c>
    </row>
    <row r="571" spans="1:26">
      <c r="A571" s="100"/>
      <c r="B571" s="108" t="str">
        <f>IFERROR(VLOOKUP(Tablo515[[#This Row],[ÜRÜN KODU]],YMKODLARI!$A$1:$K$363,2,0)," ")</f>
        <v xml:space="preserve"> </v>
      </c>
      <c r="C571" s="99"/>
      <c r="D571" s="100"/>
      <c r="E571" s="101"/>
      <c r="F571" s="101"/>
      <c r="G571" s="100" t="str">
        <f>IFERROR(VLOOKUP(Tablo515[[#This Row],[ÜRÜN KODU]],YMKODLARI!$A$1:$K$363,3,0)," ")</f>
        <v xml:space="preserve"> </v>
      </c>
      <c r="H571" s="100" t="str">
        <f>IFERROR(VLOOKUP(Tablo515[[#This Row],[ÜRÜN KODU]],YMKODLARI!$A$1:$K$363,4,0)," ")</f>
        <v xml:space="preserve"> </v>
      </c>
      <c r="I571" s="100"/>
      <c r="J571" s="100" t="str">
        <f>IFERROR(VLOOKUP(Tablo515[[#This Row],[ÜRÜN KODU]],YMKODLARI!$A$1:$K$363,9,0)," ")</f>
        <v xml:space="preserve"> </v>
      </c>
      <c r="K571" s="100" t="str">
        <f>IFERROR(VLOOKUP(Tablo515[[#This Row],[BOYA KODU]],Tablo14[#All],4,0)," ")</f>
        <v xml:space="preserve"> </v>
      </c>
      <c r="L571" s="100" t="str">
        <f>IFERROR(VLOOKUP(Tablo515[[#This Row],[BOYA KODU]],Tablo14[#All],6,0)," ")</f>
        <v xml:space="preserve"> </v>
      </c>
      <c r="M571" s="100" t="str">
        <f t="shared" si="60"/>
        <v xml:space="preserve"> </v>
      </c>
      <c r="N571" s="100" t="str">
        <f>IFERROR(VLOOKUP(Tablo515[[#This Row],[ÜRÜN KODU]],YMKODLARI!$A$1:$K$363,8,0)," ")</f>
        <v xml:space="preserve"> </v>
      </c>
      <c r="O571" s="100" t="str">
        <f>IFERROR(VLOOKUP(Tablo515[[#This Row],[HAMMADDE KODU]],Tablo1[#All],3,0)," ")</f>
        <v xml:space="preserve"> </v>
      </c>
      <c r="P571" s="100" t="str">
        <f>IFERROR(VLOOKUP(Tablo515[[#This Row],[HAMMADDE KODU]],Tablo1[#All],4,0)," ")</f>
        <v xml:space="preserve"> </v>
      </c>
      <c r="Q571" s="100" t="str">
        <f>IFERROR(VLOOKUP(Tablo515[[#This Row],[ÜRÜN KODU]],YMKODLARI!$A$1:$K$363,5,0)," ")</f>
        <v xml:space="preserve"> </v>
      </c>
      <c r="R571" s="100" t="str">
        <f>IFERROR(VLOOKUP(Tablo515[[#This Row],[ÜRÜN KODU]],YMKODLARI!$A$1:$K$363,6,0)," ")</f>
        <v xml:space="preserve"> </v>
      </c>
      <c r="S571" s="100" t="str">
        <f>IFERROR(Tablo515[[#This Row],[YOLLUK HARİÇ BASKI GRAMI]]/Tablo515[[#This Row],[KALIP GÖZ ADEDİ]]," ")</f>
        <v xml:space="preserve"> </v>
      </c>
      <c r="T571" s="100" t="str">
        <f t="shared" si="62"/>
        <v xml:space="preserve"> </v>
      </c>
      <c r="U571" s="100"/>
      <c r="V571" s="100" t="str">
        <f t="shared" si="61"/>
        <v xml:space="preserve"> </v>
      </c>
      <c r="W571" s="101">
        <f t="shared" si="63"/>
        <v>24</v>
      </c>
      <c r="X571" s="102">
        <f t="shared" si="64"/>
        <v>0</v>
      </c>
      <c r="Y571" s="100" t="str">
        <f t="shared" si="65"/>
        <v xml:space="preserve"> </v>
      </c>
      <c r="Z571" s="100" t="str">
        <f t="shared" si="66"/>
        <v xml:space="preserve"> </v>
      </c>
    </row>
    <row r="572" spans="1:26">
      <c r="A572" s="100"/>
      <c r="B572" s="108" t="str">
        <f>IFERROR(VLOOKUP(Tablo515[[#This Row],[ÜRÜN KODU]],YMKODLARI!$A$1:$K$363,2,0)," ")</f>
        <v xml:space="preserve"> </v>
      </c>
      <c r="C572" s="99"/>
      <c r="D572" s="100"/>
      <c r="E572" s="101"/>
      <c r="F572" s="101"/>
      <c r="G572" s="100" t="str">
        <f>IFERROR(VLOOKUP(Tablo515[[#This Row],[ÜRÜN KODU]],YMKODLARI!$A$1:$K$363,3,0)," ")</f>
        <v xml:space="preserve"> </v>
      </c>
      <c r="H572" s="100" t="str">
        <f>IFERROR(VLOOKUP(Tablo515[[#This Row],[ÜRÜN KODU]],YMKODLARI!$A$1:$K$363,4,0)," ")</f>
        <v xml:space="preserve"> </v>
      </c>
      <c r="I572" s="100"/>
      <c r="J572" s="100" t="str">
        <f>IFERROR(VLOOKUP(Tablo515[[#This Row],[ÜRÜN KODU]],YMKODLARI!$A$1:$K$363,9,0)," ")</f>
        <v xml:space="preserve"> </v>
      </c>
      <c r="K572" s="100" t="str">
        <f>IFERROR(VLOOKUP(Tablo515[[#This Row],[BOYA KODU]],Tablo14[#All],4,0)," ")</f>
        <v xml:space="preserve"> </v>
      </c>
      <c r="L572" s="100" t="str">
        <f>IFERROR(VLOOKUP(Tablo515[[#This Row],[BOYA KODU]],Tablo14[#All],6,0)," ")</f>
        <v xml:space="preserve"> </v>
      </c>
      <c r="M572" s="100" t="str">
        <f t="shared" si="60"/>
        <v xml:space="preserve"> </v>
      </c>
      <c r="N572" s="100" t="str">
        <f>IFERROR(VLOOKUP(Tablo515[[#This Row],[ÜRÜN KODU]],YMKODLARI!$A$1:$K$363,8,0)," ")</f>
        <v xml:space="preserve"> </v>
      </c>
      <c r="O572" s="100" t="str">
        <f>IFERROR(VLOOKUP(Tablo515[[#This Row],[HAMMADDE KODU]],Tablo1[#All],3,0)," ")</f>
        <v xml:space="preserve"> </v>
      </c>
      <c r="P572" s="100" t="str">
        <f>IFERROR(VLOOKUP(Tablo515[[#This Row],[HAMMADDE KODU]],Tablo1[#All],4,0)," ")</f>
        <v xml:space="preserve"> </v>
      </c>
      <c r="Q572" s="100" t="str">
        <f>IFERROR(VLOOKUP(Tablo515[[#This Row],[ÜRÜN KODU]],YMKODLARI!$A$1:$K$363,5,0)," ")</f>
        <v xml:space="preserve"> </v>
      </c>
      <c r="R572" s="100" t="str">
        <f>IFERROR(VLOOKUP(Tablo515[[#This Row],[ÜRÜN KODU]],YMKODLARI!$A$1:$K$363,6,0)," ")</f>
        <v xml:space="preserve"> </v>
      </c>
      <c r="S572" s="100" t="str">
        <f>IFERROR(Tablo515[[#This Row],[YOLLUK HARİÇ BASKI GRAMI]]/Tablo515[[#This Row],[KALIP GÖZ ADEDİ]]," ")</f>
        <v xml:space="preserve"> </v>
      </c>
      <c r="T572" s="100" t="str">
        <f t="shared" si="62"/>
        <v xml:space="preserve"> </v>
      </c>
      <c r="U572" s="100"/>
      <c r="V572" s="100" t="str">
        <f t="shared" si="61"/>
        <v xml:space="preserve"> </v>
      </c>
      <c r="W572" s="101">
        <f t="shared" si="63"/>
        <v>24</v>
      </c>
      <c r="X572" s="102">
        <f t="shared" si="64"/>
        <v>0</v>
      </c>
      <c r="Y572" s="100" t="str">
        <f t="shared" si="65"/>
        <v xml:space="preserve"> </v>
      </c>
      <c r="Z572" s="100" t="str">
        <f t="shared" si="66"/>
        <v xml:space="preserve"> </v>
      </c>
    </row>
  </sheetData>
  <sheetProtection password="CC17" sheet="1" objects="1" scenarios="1" selectLockedCells="1"/>
  <protectedRanges>
    <protectedRange sqref="E93:F196 C1:F90 C573:F1048576 D91:F92 U1:U1048576 I1:I197 I199:I1048576 C91:C572 A1:A1048576 E198:F572" name="girdiler"/>
  </protectedRange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sheetPr codeName="Sayfa7"/>
  <dimension ref="A1:Z571"/>
  <sheetViews>
    <sheetView zoomScale="110" zoomScaleNormal="110" workbookViewId="0">
      <pane ySplit="1" topLeftCell="A73" activePane="bottomLeft" state="frozen"/>
      <selection activeCell="F19" sqref="F19"/>
      <selection pane="bottomLeft" activeCell="C99" sqref="A2:Z571"/>
    </sheetView>
  </sheetViews>
  <sheetFormatPr defaultRowHeight="15"/>
  <cols>
    <col min="1" max="1" width="13.28515625" style="37" customWidth="1"/>
    <col min="2" max="2" width="34.42578125" style="35" customWidth="1"/>
    <col min="3" max="3" width="11.5703125" style="36" bestFit="1" customWidth="1"/>
    <col min="4" max="4" width="15.28515625" style="37" customWidth="1"/>
    <col min="5" max="5" width="12" style="38" customWidth="1"/>
    <col min="6" max="6" width="10.140625" style="38" customWidth="1"/>
    <col min="7" max="7" width="9.140625" style="37" customWidth="1"/>
    <col min="8" max="8" width="9" style="37" customWidth="1"/>
    <col min="9" max="9" width="11.7109375" style="37" customWidth="1"/>
    <col min="10" max="10" width="12.7109375" style="37" bestFit="1" customWidth="1"/>
    <col min="11" max="11" width="11.85546875" style="37" customWidth="1"/>
    <col min="12" max="12" width="10" style="37" customWidth="1"/>
    <col min="13" max="13" width="12.140625" style="37" customWidth="1"/>
    <col min="14" max="16" width="12.42578125" style="37" customWidth="1"/>
    <col min="17" max="17" width="8.5703125" style="37" customWidth="1"/>
    <col min="18" max="18" width="10.5703125" style="37" customWidth="1"/>
    <col min="19" max="19" width="7.5703125" style="37" customWidth="1"/>
    <col min="20" max="20" width="10" style="37" customWidth="1"/>
    <col min="21" max="21" width="9.140625" style="37"/>
    <col min="22" max="22" width="12.140625" style="37" customWidth="1"/>
    <col min="23" max="23" width="11.85546875" style="38" customWidth="1"/>
    <col min="24" max="24" width="11.85546875" style="39" customWidth="1"/>
    <col min="25" max="25" width="9.5703125" style="37" customWidth="1"/>
    <col min="26" max="26" width="10.28515625" style="37" customWidth="1"/>
    <col min="27" max="16384" width="9.140625" style="37"/>
  </cols>
  <sheetData>
    <row r="1" spans="1:26" s="40" customFormat="1" ht="105" customHeight="1">
      <c r="A1" s="40" t="s">
        <v>0</v>
      </c>
      <c r="B1" s="41" t="s">
        <v>1</v>
      </c>
      <c r="C1" s="42" t="s">
        <v>2</v>
      </c>
      <c r="D1" s="40" t="s">
        <v>3</v>
      </c>
      <c r="E1" s="43" t="s">
        <v>4</v>
      </c>
      <c r="F1" s="43" t="s">
        <v>5</v>
      </c>
      <c r="G1" s="40" t="s">
        <v>6</v>
      </c>
      <c r="H1" s="40" t="s">
        <v>7</v>
      </c>
      <c r="I1" s="40" t="s">
        <v>8</v>
      </c>
      <c r="J1" s="40" t="s">
        <v>9</v>
      </c>
      <c r="K1" s="40" t="s">
        <v>10</v>
      </c>
      <c r="L1" s="40" t="s">
        <v>11</v>
      </c>
      <c r="M1" s="40" t="s">
        <v>12</v>
      </c>
      <c r="N1" s="40" t="s">
        <v>13</v>
      </c>
      <c r="O1" s="40" t="s">
        <v>14</v>
      </c>
      <c r="P1" s="40" t="s">
        <v>15</v>
      </c>
      <c r="Q1" s="40" t="s">
        <v>16</v>
      </c>
      <c r="R1" s="40" t="s">
        <v>17</v>
      </c>
      <c r="S1" s="40" t="s">
        <v>18</v>
      </c>
      <c r="T1" s="40" t="s">
        <v>19</v>
      </c>
      <c r="U1" s="40" t="s">
        <v>20</v>
      </c>
      <c r="V1" s="40" t="s">
        <v>21</v>
      </c>
      <c r="W1" s="43" t="s">
        <v>22</v>
      </c>
      <c r="X1" s="44" t="s">
        <v>23</v>
      </c>
      <c r="Y1" s="40" t="s">
        <v>24</v>
      </c>
      <c r="Z1" s="40" t="s">
        <v>25</v>
      </c>
    </row>
    <row r="2" spans="1:26">
      <c r="A2" s="100" t="s">
        <v>34</v>
      </c>
      <c r="B2" s="108" t="str">
        <f>IFERROR(VLOOKUP(Tablo516[[#This Row],[ÜRÜN KODU]],YMKODLARI!$A$1:$K$363,2,0)," ")</f>
        <v>BİBERON KLASİK  UC 1 NO</v>
      </c>
      <c r="C2" s="99">
        <v>43832</v>
      </c>
      <c r="D2" s="100" t="s">
        <v>48</v>
      </c>
      <c r="E2" s="101">
        <v>0.33333333333333331</v>
      </c>
      <c r="F2" s="101">
        <v>0.83333333333333337</v>
      </c>
      <c r="G2" s="100">
        <f>IFERROR(VLOOKUP(Tablo516[[#This Row],[ÜRÜN KODU]],YMKODLARI!$A$1:$K$363,3,0)," ")</f>
        <v>8</v>
      </c>
      <c r="H2" s="100">
        <f>IFERROR(VLOOKUP(Tablo516[[#This Row],[ÜRÜN KODU]],YMKODLARI!$A$1:$K$363,4,0)," ")</f>
        <v>36</v>
      </c>
      <c r="I2" s="100">
        <v>1001</v>
      </c>
      <c r="J2" s="100" t="str">
        <f>IFERROR(VLOOKUP(Tablo516[[#This Row],[ÜRÜN KODU]],YMKODLARI!$A$1:$K$363,9,0)," ")</f>
        <v>Şeffaf</v>
      </c>
      <c r="K2" s="100" t="str">
        <f>IFERROR(VLOOKUP(Tablo516[[#This Row],[BOYA KODU]],Tablo14[#All],4,0)," ")</f>
        <v xml:space="preserve"> </v>
      </c>
      <c r="L2" s="100" t="str">
        <f>IFERROR(VLOOKUP(Tablo516[[#This Row],[BOYA KODU]],Tablo14[#All],6,0)," ")</f>
        <v xml:space="preserve"> </v>
      </c>
      <c r="M2" s="100" t="str">
        <f t="shared" ref="M2:M65" si="0">IFERROR((I2*Q2)*L2," ")</f>
        <v xml:space="preserve"> </v>
      </c>
      <c r="N2" s="100" t="str">
        <f>IFERROR(VLOOKUP(Tablo516[[#This Row],[ÜRÜN KODU]],YMKODLARI!$A$1:$K$363,8,0)," ")</f>
        <v>HM 003</v>
      </c>
      <c r="O2" s="100" t="str">
        <f>IFERROR(VLOOKUP(Tablo516[[#This Row],[HAMMADDE KODU]],Tablo1[#All],3,0)," ")</f>
        <v>LSR 45</v>
      </c>
      <c r="P2" s="100" t="str">
        <f>IFERROR(VLOOKUP(Tablo516[[#This Row],[HAMMADDE KODU]],Tablo1[#All],4,0)," ")</f>
        <v>SETA</v>
      </c>
      <c r="Q2" s="100">
        <f>IFERROR(VLOOKUP(Tablo516[[#This Row],[ÜRÜN KODU]],YMKODLARI!$A$1:$K$363,5,0)," ")</f>
        <v>51.7</v>
      </c>
      <c r="R2" s="100">
        <f>IFERROR(VLOOKUP(Tablo516[[#This Row],[ÜRÜN KODU]],YMKODLARI!$A$1:$K$363,6,0)," ")</f>
        <v>44.5</v>
      </c>
      <c r="S2" s="100">
        <f>IFERROR(Tablo516[[#This Row],[YOLLUK HARİÇ BASKI GRAMI]]/Tablo516[[#This Row],[KALIP GÖZ ADEDİ]]," ")</f>
        <v>5.5625</v>
      </c>
      <c r="T2" s="100">
        <f>IFERROR(Q2-R2," ")</f>
        <v>7.2000000000000028</v>
      </c>
      <c r="U2" s="116">
        <v>7.15</v>
      </c>
      <c r="V2" s="100">
        <f t="shared" ref="V2:V65" si="1">IFERROR(U2+(R2*I2) /1000," ")</f>
        <v>51.694499999999998</v>
      </c>
      <c r="W2" s="101">
        <f>IFERROR(24-(E2-F2)," ")</f>
        <v>24.5</v>
      </c>
      <c r="X2" s="102">
        <f>IFERROR((W2-INT(W2))*24," ")</f>
        <v>12</v>
      </c>
      <c r="Y2" s="100">
        <f>IFERROR(H2*I2/3600," ")</f>
        <v>10.01</v>
      </c>
      <c r="Z2" s="100">
        <f>IFERROR(I2*G2," " )</f>
        <v>8008</v>
      </c>
    </row>
    <row r="3" spans="1:26">
      <c r="A3" s="100" t="s">
        <v>34</v>
      </c>
      <c r="B3" s="108" t="str">
        <f>IFERROR(VLOOKUP(Tablo516[[#This Row],[ÜRÜN KODU]],YMKODLARI!$A$1:$K$363,2,0)," ")</f>
        <v>BİBERON KLASİK  UC 1 NO</v>
      </c>
      <c r="C3" s="99">
        <v>43833</v>
      </c>
      <c r="D3" s="100" t="s">
        <v>48</v>
      </c>
      <c r="E3" s="101">
        <v>0.33333333333333331</v>
      </c>
      <c r="F3" s="101">
        <v>0.83333333333333337</v>
      </c>
      <c r="G3" s="100">
        <f>IFERROR(VLOOKUP(Tablo516[[#This Row],[ÜRÜN KODU]],YMKODLARI!$A$1:$K$363,3,0)," ")</f>
        <v>8</v>
      </c>
      <c r="H3" s="100">
        <f>IFERROR(VLOOKUP(Tablo516[[#This Row],[ÜRÜN KODU]],YMKODLARI!$A$1:$K$363,4,0)," ")</f>
        <v>36</v>
      </c>
      <c r="I3" s="100">
        <v>955</v>
      </c>
      <c r="J3" s="100" t="str">
        <f>IFERROR(VLOOKUP(Tablo516[[#This Row],[ÜRÜN KODU]],YMKODLARI!$A$1:$K$363,9,0)," ")</f>
        <v>Şeffaf</v>
      </c>
      <c r="K3" s="100" t="str">
        <f>IFERROR(VLOOKUP(Tablo516[[#This Row],[BOYA KODU]],Tablo14[#All],4,0)," ")</f>
        <v xml:space="preserve"> </v>
      </c>
      <c r="L3" s="100" t="str">
        <f>IFERROR(VLOOKUP(Tablo516[[#This Row],[BOYA KODU]],Tablo14[#All],6,0)," ")</f>
        <v xml:space="preserve"> </v>
      </c>
      <c r="M3" s="100" t="str">
        <f t="shared" si="0"/>
        <v xml:space="preserve"> </v>
      </c>
      <c r="N3" s="100" t="str">
        <f>IFERROR(VLOOKUP(Tablo516[[#This Row],[ÜRÜN KODU]],YMKODLARI!$A$1:$K$363,8,0)," ")</f>
        <v>HM 003</v>
      </c>
      <c r="O3" s="100" t="str">
        <f>IFERROR(VLOOKUP(Tablo516[[#This Row],[HAMMADDE KODU]],Tablo1[#All],3,0)," ")</f>
        <v>LSR 45</v>
      </c>
      <c r="P3" s="100" t="str">
        <f>IFERROR(VLOOKUP(Tablo516[[#This Row],[HAMMADDE KODU]],Tablo1[#All],4,0)," ")</f>
        <v>SETA</v>
      </c>
      <c r="Q3" s="100">
        <f>IFERROR(VLOOKUP(Tablo516[[#This Row],[ÜRÜN KODU]],YMKODLARI!$A$1:$K$363,5,0)," ")</f>
        <v>51.7</v>
      </c>
      <c r="R3" s="100">
        <f>IFERROR(VLOOKUP(Tablo516[[#This Row],[ÜRÜN KODU]],YMKODLARI!$A$1:$K$363,6,0)," ")</f>
        <v>44.5</v>
      </c>
      <c r="S3" s="100">
        <f>IFERROR(Tablo516[[#This Row],[YOLLUK HARİÇ BASKI GRAMI]]/Tablo516[[#This Row],[KALIP GÖZ ADEDİ]]," ")</f>
        <v>5.5625</v>
      </c>
      <c r="T3" s="100">
        <f t="shared" ref="T3:T66" si="2">IFERROR(Q3-R3," ")</f>
        <v>7.2000000000000028</v>
      </c>
      <c r="U3" s="116">
        <v>6.8</v>
      </c>
      <c r="V3" s="100">
        <f t="shared" si="1"/>
        <v>49.297499999999999</v>
      </c>
      <c r="W3" s="101">
        <f t="shared" ref="W3:W66" si="3">IFERROR(24-(E3-F3)," ")</f>
        <v>24.5</v>
      </c>
      <c r="X3" s="102">
        <f t="shared" ref="X3:X66" si="4">IFERROR((W3-INT(W3))*24," ")</f>
        <v>12</v>
      </c>
      <c r="Y3" s="100">
        <f t="shared" ref="Y3:Y66" si="5">IFERROR(H3*I3/3600," ")</f>
        <v>9.5500000000000007</v>
      </c>
      <c r="Z3" s="100">
        <f t="shared" ref="Z3:Z66" si="6">IFERROR(I3*G3," " )</f>
        <v>7640</v>
      </c>
    </row>
    <row r="4" spans="1:26">
      <c r="A4" s="100" t="s">
        <v>34</v>
      </c>
      <c r="B4" s="108" t="str">
        <f>IFERROR(VLOOKUP(Tablo516[[#This Row],[ÜRÜN KODU]],YMKODLARI!$A$1:$K$363,2,0)," ")</f>
        <v>BİBERON KLASİK  UC 1 NO</v>
      </c>
      <c r="C4" s="99">
        <v>43836</v>
      </c>
      <c r="D4" s="100" t="s">
        <v>36</v>
      </c>
      <c r="E4" s="101">
        <v>0.36458333333333331</v>
      </c>
      <c r="F4" s="101">
        <v>0.83333333333333337</v>
      </c>
      <c r="G4" s="100">
        <f>IFERROR(VLOOKUP(Tablo516[[#This Row],[ÜRÜN KODU]],YMKODLARI!$A$1:$K$363,3,0)," ")</f>
        <v>8</v>
      </c>
      <c r="H4" s="100">
        <f>IFERROR(VLOOKUP(Tablo516[[#This Row],[ÜRÜN KODU]],YMKODLARI!$A$1:$K$363,4,0)," ")</f>
        <v>36</v>
      </c>
      <c r="I4" s="100">
        <v>833</v>
      </c>
      <c r="J4" s="100" t="str">
        <f>IFERROR(VLOOKUP(Tablo516[[#This Row],[ÜRÜN KODU]],YMKODLARI!$A$1:$K$363,9,0)," ")</f>
        <v>Şeffaf</v>
      </c>
      <c r="K4" s="100" t="str">
        <f>IFERROR(VLOOKUP(Tablo516[[#This Row],[BOYA KODU]],Tablo14[#All],4,0)," ")</f>
        <v xml:space="preserve"> </v>
      </c>
      <c r="L4" s="100" t="str">
        <f>IFERROR(VLOOKUP(Tablo516[[#This Row],[BOYA KODU]],Tablo14[#All],6,0)," ")</f>
        <v xml:space="preserve"> </v>
      </c>
      <c r="M4" s="100" t="str">
        <f t="shared" si="0"/>
        <v xml:space="preserve"> </v>
      </c>
      <c r="N4" s="100" t="str">
        <f>IFERROR(VLOOKUP(Tablo516[[#This Row],[ÜRÜN KODU]],YMKODLARI!$A$1:$K$363,8,0)," ")</f>
        <v>HM 003</v>
      </c>
      <c r="O4" s="100" t="str">
        <f>IFERROR(VLOOKUP(Tablo516[[#This Row],[HAMMADDE KODU]],Tablo1[#All],3,0)," ")</f>
        <v>LSR 45</v>
      </c>
      <c r="P4" s="100" t="str">
        <f>IFERROR(VLOOKUP(Tablo516[[#This Row],[HAMMADDE KODU]],Tablo1[#All],4,0)," ")</f>
        <v>SETA</v>
      </c>
      <c r="Q4" s="100">
        <f>IFERROR(VLOOKUP(Tablo516[[#This Row],[ÜRÜN KODU]],YMKODLARI!$A$1:$K$363,5,0)," ")</f>
        <v>51.7</v>
      </c>
      <c r="R4" s="100">
        <f>IFERROR(VLOOKUP(Tablo516[[#This Row],[ÜRÜN KODU]],YMKODLARI!$A$1:$K$363,6,0)," ")</f>
        <v>44.5</v>
      </c>
      <c r="S4" s="100">
        <f>IFERROR(Tablo516[[#This Row],[YOLLUK HARİÇ BASKI GRAMI]]/Tablo516[[#This Row],[KALIP GÖZ ADEDİ]]," ")</f>
        <v>5.5625</v>
      </c>
      <c r="T4" s="100">
        <f t="shared" si="2"/>
        <v>7.2000000000000028</v>
      </c>
      <c r="U4" s="116">
        <v>6.5</v>
      </c>
      <c r="V4" s="100">
        <f t="shared" si="1"/>
        <v>43.5685</v>
      </c>
      <c r="W4" s="101">
        <f t="shared" si="3"/>
        <v>24.46875</v>
      </c>
      <c r="X4" s="102">
        <f t="shared" si="4"/>
        <v>11.25</v>
      </c>
      <c r="Y4" s="100">
        <f t="shared" si="5"/>
        <v>8.33</v>
      </c>
      <c r="Z4" s="100">
        <f t="shared" si="6"/>
        <v>6664</v>
      </c>
    </row>
    <row r="5" spans="1:26">
      <c r="A5" s="100" t="s">
        <v>34</v>
      </c>
      <c r="B5" s="108" t="str">
        <f>IFERROR(VLOOKUP(Tablo516[[#This Row],[ÜRÜN KODU]],YMKODLARI!$A$1:$K$363,2,0)," ")</f>
        <v>BİBERON KLASİK  UC 1 NO</v>
      </c>
      <c r="C5" s="99">
        <v>43836</v>
      </c>
      <c r="D5" s="100" t="s">
        <v>27</v>
      </c>
      <c r="E5" s="101">
        <v>0.83333333333333337</v>
      </c>
      <c r="F5" s="101">
        <v>0.33333333333333331</v>
      </c>
      <c r="G5" s="100">
        <f>IFERROR(VLOOKUP(Tablo516[[#This Row],[ÜRÜN KODU]],YMKODLARI!$A$1:$K$363,3,0)," ")</f>
        <v>8</v>
      </c>
      <c r="H5" s="100">
        <f>IFERROR(VLOOKUP(Tablo516[[#This Row],[ÜRÜN KODU]],YMKODLARI!$A$1:$K$363,4,0)," ")</f>
        <v>36</v>
      </c>
      <c r="I5" s="100">
        <v>1033</v>
      </c>
      <c r="J5" s="100" t="str">
        <f>IFERROR(VLOOKUP(Tablo516[[#This Row],[ÜRÜN KODU]],YMKODLARI!$A$1:$K$363,9,0)," ")</f>
        <v>Şeffaf</v>
      </c>
      <c r="K5" s="100" t="str">
        <f>IFERROR(VLOOKUP(Tablo516[[#This Row],[BOYA KODU]],Tablo14[#All],4,0)," ")</f>
        <v xml:space="preserve"> </v>
      </c>
      <c r="L5" s="100" t="str">
        <f>IFERROR(VLOOKUP(Tablo516[[#This Row],[BOYA KODU]],Tablo14[#All],6,0)," ")</f>
        <v xml:space="preserve"> </v>
      </c>
      <c r="M5" s="100" t="str">
        <f t="shared" si="0"/>
        <v xml:space="preserve"> </v>
      </c>
      <c r="N5" s="100" t="str">
        <f>IFERROR(VLOOKUP(Tablo516[[#This Row],[ÜRÜN KODU]],YMKODLARI!$A$1:$K$363,8,0)," ")</f>
        <v>HM 003</v>
      </c>
      <c r="O5" s="100" t="str">
        <f>IFERROR(VLOOKUP(Tablo516[[#This Row],[HAMMADDE KODU]],Tablo1[#All],3,0)," ")</f>
        <v>LSR 45</v>
      </c>
      <c r="P5" s="100" t="str">
        <f>IFERROR(VLOOKUP(Tablo516[[#This Row],[HAMMADDE KODU]],Tablo1[#All],4,0)," ")</f>
        <v>SETA</v>
      </c>
      <c r="Q5" s="100">
        <f>IFERROR(VLOOKUP(Tablo516[[#This Row],[ÜRÜN KODU]],YMKODLARI!$A$1:$K$363,5,0)," ")</f>
        <v>51.7</v>
      </c>
      <c r="R5" s="100">
        <f>IFERROR(VLOOKUP(Tablo516[[#This Row],[ÜRÜN KODU]],YMKODLARI!$A$1:$K$363,6,0)," ")</f>
        <v>44.5</v>
      </c>
      <c r="S5" s="100">
        <f>IFERROR(Tablo516[[#This Row],[YOLLUK HARİÇ BASKI GRAMI]]/Tablo516[[#This Row],[KALIP GÖZ ADEDİ]]," ")</f>
        <v>5.5625</v>
      </c>
      <c r="T5" s="100">
        <f t="shared" si="2"/>
        <v>7.2000000000000028</v>
      </c>
      <c r="U5" s="116">
        <v>7.57</v>
      </c>
      <c r="V5" s="100">
        <f t="shared" si="1"/>
        <v>53.538499999999999</v>
      </c>
      <c r="W5" s="101">
        <f t="shared" si="3"/>
        <v>23.5</v>
      </c>
      <c r="X5" s="102">
        <f t="shared" si="4"/>
        <v>12</v>
      </c>
      <c r="Y5" s="100">
        <f t="shared" si="5"/>
        <v>10.33</v>
      </c>
      <c r="Z5" s="100">
        <f t="shared" si="6"/>
        <v>8264</v>
      </c>
    </row>
    <row r="6" spans="1:26">
      <c r="A6" s="100" t="s">
        <v>34</v>
      </c>
      <c r="B6" s="108" t="str">
        <f>IFERROR(VLOOKUP(Tablo516[[#This Row],[ÜRÜN KODU]],YMKODLARI!$A$1:$K$363,2,0)," ")</f>
        <v>BİBERON KLASİK  UC 1 NO</v>
      </c>
      <c r="C6" s="99">
        <v>43837</v>
      </c>
      <c r="D6" s="100" t="s">
        <v>36</v>
      </c>
      <c r="E6" s="101">
        <v>0.33333333333333331</v>
      </c>
      <c r="F6" s="101">
        <v>0.83333333333333337</v>
      </c>
      <c r="G6" s="100">
        <f>IFERROR(VLOOKUP(Tablo516[[#This Row],[ÜRÜN KODU]],YMKODLARI!$A$1:$K$363,3,0)," ")</f>
        <v>8</v>
      </c>
      <c r="H6" s="100">
        <f>IFERROR(VLOOKUP(Tablo516[[#This Row],[ÜRÜN KODU]],YMKODLARI!$A$1:$K$363,4,0)," ")</f>
        <v>36</v>
      </c>
      <c r="I6" s="100">
        <v>1015</v>
      </c>
      <c r="J6" s="100" t="str">
        <f>IFERROR(VLOOKUP(Tablo516[[#This Row],[ÜRÜN KODU]],YMKODLARI!$A$1:$K$363,9,0)," ")</f>
        <v>Şeffaf</v>
      </c>
      <c r="K6" s="100" t="str">
        <f>IFERROR(VLOOKUP(Tablo516[[#This Row],[BOYA KODU]],Tablo14[#All],4,0)," ")</f>
        <v xml:space="preserve"> </v>
      </c>
      <c r="L6" s="100" t="str">
        <f>IFERROR(VLOOKUP(Tablo516[[#This Row],[BOYA KODU]],Tablo14[#All],6,0)," ")</f>
        <v xml:space="preserve"> </v>
      </c>
      <c r="M6" s="100" t="str">
        <f t="shared" si="0"/>
        <v xml:space="preserve"> </v>
      </c>
      <c r="N6" s="100" t="str">
        <f>IFERROR(VLOOKUP(Tablo516[[#This Row],[ÜRÜN KODU]],YMKODLARI!$A$1:$K$363,8,0)," ")</f>
        <v>HM 003</v>
      </c>
      <c r="O6" s="100" t="str">
        <f>IFERROR(VLOOKUP(Tablo516[[#This Row],[HAMMADDE KODU]],Tablo1[#All],3,0)," ")</f>
        <v>LSR 45</v>
      </c>
      <c r="P6" s="100" t="str">
        <f>IFERROR(VLOOKUP(Tablo516[[#This Row],[HAMMADDE KODU]],Tablo1[#All],4,0)," ")</f>
        <v>SETA</v>
      </c>
      <c r="Q6" s="100">
        <f>IFERROR(VLOOKUP(Tablo516[[#This Row],[ÜRÜN KODU]],YMKODLARI!$A$1:$K$363,5,0)," ")</f>
        <v>51.7</v>
      </c>
      <c r="R6" s="100">
        <f>IFERROR(VLOOKUP(Tablo516[[#This Row],[ÜRÜN KODU]],YMKODLARI!$A$1:$K$363,6,0)," ")</f>
        <v>44.5</v>
      </c>
      <c r="S6" s="100">
        <f>IFERROR(Tablo516[[#This Row],[YOLLUK HARİÇ BASKI GRAMI]]/Tablo516[[#This Row],[KALIP GÖZ ADEDİ]]," ")</f>
        <v>5.5625</v>
      </c>
      <c r="T6" s="100">
        <f t="shared" si="2"/>
        <v>7.2000000000000028</v>
      </c>
      <c r="U6" s="116">
        <v>7.7</v>
      </c>
      <c r="V6" s="100">
        <f t="shared" si="1"/>
        <v>52.8675</v>
      </c>
      <c r="W6" s="101">
        <f t="shared" si="3"/>
        <v>24.5</v>
      </c>
      <c r="X6" s="102">
        <f t="shared" si="4"/>
        <v>12</v>
      </c>
      <c r="Y6" s="100">
        <f t="shared" si="5"/>
        <v>10.15</v>
      </c>
      <c r="Z6" s="100">
        <f t="shared" si="6"/>
        <v>8120</v>
      </c>
    </row>
    <row r="7" spans="1:26">
      <c r="A7" s="100" t="s">
        <v>34</v>
      </c>
      <c r="B7" s="108" t="str">
        <f>IFERROR(VLOOKUP(Tablo516[[#This Row],[ÜRÜN KODU]],YMKODLARI!$A$1:$K$363,2,0)," ")</f>
        <v>BİBERON KLASİK  UC 1 NO</v>
      </c>
      <c r="C7" s="99">
        <v>43837</v>
      </c>
      <c r="D7" s="100" t="s">
        <v>27</v>
      </c>
      <c r="E7" s="101">
        <v>0.83333333333333337</v>
      </c>
      <c r="F7" s="101">
        <v>0.33333333333333331</v>
      </c>
      <c r="G7" s="100">
        <f>IFERROR(VLOOKUP(Tablo516[[#This Row],[ÜRÜN KODU]],YMKODLARI!$A$1:$K$363,3,0)," ")</f>
        <v>8</v>
      </c>
      <c r="H7" s="100">
        <f>IFERROR(VLOOKUP(Tablo516[[#This Row],[ÜRÜN KODU]],YMKODLARI!$A$1:$K$363,4,0)," ")</f>
        <v>36</v>
      </c>
      <c r="I7" s="100">
        <v>967</v>
      </c>
      <c r="J7" s="100" t="str">
        <f>IFERROR(VLOOKUP(Tablo516[[#This Row],[ÜRÜN KODU]],YMKODLARI!$A$1:$K$363,9,0)," ")</f>
        <v>Şeffaf</v>
      </c>
      <c r="K7" s="100" t="str">
        <f>IFERROR(VLOOKUP(Tablo516[[#This Row],[BOYA KODU]],Tablo14[#All],4,0)," ")</f>
        <v xml:space="preserve"> </v>
      </c>
      <c r="L7" s="100" t="str">
        <f>IFERROR(VLOOKUP(Tablo516[[#This Row],[BOYA KODU]],Tablo14[#All],6,0)," ")</f>
        <v xml:space="preserve"> </v>
      </c>
      <c r="M7" s="100" t="str">
        <f t="shared" si="0"/>
        <v xml:space="preserve"> </v>
      </c>
      <c r="N7" s="100" t="str">
        <f>IFERROR(VLOOKUP(Tablo516[[#This Row],[ÜRÜN KODU]],YMKODLARI!$A$1:$K$363,8,0)," ")</f>
        <v>HM 003</v>
      </c>
      <c r="O7" s="100" t="str">
        <f>IFERROR(VLOOKUP(Tablo516[[#This Row],[HAMMADDE KODU]],Tablo1[#All],3,0)," ")</f>
        <v>LSR 45</v>
      </c>
      <c r="P7" s="100" t="str">
        <f>IFERROR(VLOOKUP(Tablo516[[#This Row],[HAMMADDE KODU]],Tablo1[#All],4,0)," ")</f>
        <v>SETA</v>
      </c>
      <c r="Q7" s="100">
        <f>IFERROR(VLOOKUP(Tablo516[[#This Row],[ÜRÜN KODU]],YMKODLARI!$A$1:$K$363,5,0)," ")</f>
        <v>51.7</v>
      </c>
      <c r="R7" s="100">
        <f>IFERROR(VLOOKUP(Tablo516[[#This Row],[ÜRÜN KODU]],YMKODLARI!$A$1:$K$363,6,0)," ")</f>
        <v>44.5</v>
      </c>
      <c r="S7" s="100">
        <f>IFERROR(Tablo516[[#This Row],[YOLLUK HARİÇ BASKI GRAMI]]/Tablo516[[#This Row],[KALIP GÖZ ADEDİ]]," ")</f>
        <v>5.5625</v>
      </c>
      <c r="T7" s="100">
        <f t="shared" si="2"/>
        <v>7.2000000000000028</v>
      </c>
      <c r="U7" s="116">
        <v>7.37</v>
      </c>
      <c r="V7" s="100">
        <f t="shared" si="1"/>
        <v>50.401499999999999</v>
      </c>
      <c r="W7" s="101">
        <f t="shared" si="3"/>
        <v>23.5</v>
      </c>
      <c r="X7" s="102">
        <f t="shared" si="4"/>
        <v>12</v>
      </c>
      <c r="Y7" s="100">
        <f t="shared" si="5"/>
        <v>9.67</v>
      </c>
      <c r="Z7" s="100">
        <f t="shared" si="6"/>
        <v>7736</v>
      </c>
    </row>
    <row r="8" spans="1:26">
      <c r="A8" s="100" t="s">
        <v>34</v>
      </c>
      <c r="B8" s="108" t="str">
        <f>IFERROR(VLOOKUP(Tablo516[[#This Row],[ÜRÜN KODU]],YMKODLARI!$A$1:$K$363,2,0)," ")</f>
        <v>BİBERON KLASİK  UC 1 NO</v>
      </c>
      <c r="C8" s="99">
        <v>43838</v>
      </c>
      <c r="D8" s="100" t="s">
        <v>49</v>
      </c>
      <c r="E8" s="101">
        <v>0.33333333333333331</v>
      </c>
      <c r="F8" s="101">
        <v>0.83333333333333337</v>
      </c>
      <c r="G8" s="100">
        <f>IFERROR(VLOOKUP(Tablo516[[#This Row],[ÜRÜN KODU]],YMKODLARI!$A$1:$K$363,3,0)," ")</f>
        <v>8</v>
      </c>
      <c r="H8" s="100">
        <f>IFERROR(VLOOKUP(Tablo516[[#This Row],[ÜRÜN KODU]],YMKODLARI!$A$1:$K$363,4,0)," ")</f>
        <v>36</v>
      </c>
      <c r="I8" s="100">
        <v>723</v>
      </c>
      <c r="J8" s="100" t="str">
        <f>IFERROR(VLOOKUP(Tablo516[[#This Row],[ÜRÜN KODU]],YMKODLARI!$A$1:$K$363,9,0)," ")</f>
        <v>Şeffaf</v>
      </c>
      <c r="K8" s="100" t="str">
        <f>IFERROR(VLOOKUP(Tablo516[[#This Row],[BOYA KODU]],Tablo14[#All],4,0)," ")</f>
        <v xml:space="preserve"> </v>
      </c>
      <c r="L8" s="100" t="str">
        <f>IFERROR(VLOOKUP(Tablo516[[#This Row],[BOYA KODU]],Tablo14[#All],6,0)," ")</f>
        <v xml:space="preserve"> </v>
      </c>
      <c r="M8" s="100" t="str">
        <f t="shared" si="0"/>
        <v xml:space="preserve"> </v>
      </c>
      <c r="N8" s="100" t="str">
        <f>IFERROR(VLOOKUP(Tablo516[[#This Row],[ÜRÜN KODU]],YMKODLARI!$A$1:$K$363,8,0)," ")</f>
        <v>HM 003</v>
      </c>
      <c r="O8" s="100" t="str">
        <f>IFERROR(VLOOKUP(Tablo516[[#This Row],[HAMMADDE KODU]],Tablo1[#All],3,0)," ")</f>
        <v>LSR 45</v>
      </c>
      <c r="P8" s="100" t="str">
        <f>IFERROR(VLOOKUP(Tablo516[[#This Row],[HAMMADDE KODU]],Tablo1[#All],4,0)," ")</f>
        <v>SETA</v>
      </c>
      <c r="Q8" s="100">
        <f>IFERROR(VLOOKUP(Tablo516[[#This Row],[ÜRÜN KODU]],YMKODLARI!$A$1:$K$363,5,0)," ")</f>
        <v>51.7</v>
      </c>
      <c r="R8" s="100">
        <f>IFERROR(VLOOKUP(Tablo516[[#This Row],[ÜRÜN KODU]],YMKODLARI!$A$1:$K$363,6,0)," ")</f>
        <v>44.5</v>
      </c>
      <c r="S8" s="100">
        <f>IFERROR(Tablo516[[#This Row],[YOLLUK HARİÇ BASKI GRAMI]]/Tablo516[[#This Row],[KALIP GÖZ ADEDİ]]," ")</f>
        <v>5.5625</v>
      </c>
      <c r="T8" s="100">
        <f t="shared" si="2"/>
        <v>7.2000000000000028</v>
      </c>
      <c r="U8" s="116">
        <v>6.4</v>
      </c>
      <c r="V8" s="100">
        <f t="shared" si="1"/>
        <v>38.573499999999996</v>
      </c>
      <c r="W8" s="101">
        <f t="shared" si="3"/>
        <v>24.5</v>
      </c>
      <c r="X8" s="102">
        <f t="shared" si="4"/>
        <v>12</v>
      </c>
      <c r="Y8" s="100">
        <f t="shared" si="5"/>
        <v>7.23</v>
      </c>
      <c r="Z8" s="100">
        <f t="shared" si="6"/>
        <v>5784</v>
      </c>
    </row>
    <row r="9" spans="1:26">
      <c r="A9" s="100" t="s">
        <v>34</v>
      </c>
      <c r="B9" s="108" t="str">
        <f>IFERROR(VLOOKUP(Tablo516[[#This Row],[ÜRÜN KODU]],YMKODLARI!$A$1:$K$363,2,0)," ")</f>
        <v>BİBERON KLASİK  UC 1 NO</v>
      </c>
      <c r="C9" s="99">
        <v>43838</v>
      </c>
      <c r="D9" s="100" t="s">
        <v>27</v>
      </c>
      <c r="E9" s="101">
        <v>0.83333333333333337</v>
      </c>
      <c r="F9" s="101">
        <v>0.33333333333333331</v>
      </c>
      <c r="G9" s="100">
        <f>IFERROR(VLOOKUP(Tablo516[[#This Row],[ÜRÜN KODU]],YMKODLARI!$A$1:$K$363,3,0)," ")</f>
        <v>8</v>
      </c>
      <c r="H9" s="100">
        <f>IFERROR(VLOOKUP(Tablo516[[#This Row],[ÜRÜN KODU]],YMKODLARI!$A$1:$K$363,4,0)," ")</f>
        <v>36</v>
      </c>
      <c r="I9" s="100">
        <v>1036</v>
      </c>
      <c r="J9" s="100" t="str">
        <f>IFERROR(VLOOKUP(Tablo516[[#This Row],[ÜRÜN KODU]],YMKODLARI!$A$1:$K$363,9,0)," ")</f>
        <v>Şeffaf</v>
      </c>
      <c r="K9" s="100" t="str">
        <f>IFERROR(VLOOKUP(Tablo516[[#This Row],[BOYA KODU]],Tablo14[#All],4,0)," ")</f>
        <v xml:space="preserve"> </v>
      </c>
      <c r="L9" s="100" t="str">
        <f>IFERROR(VLOOKUP(Tablo516[[#This Row],[BOYA KODU]],Tablo14[#All],6,0)," ")</f>
        <v xml:space="preserve"> </v>
      </c>
      <c r="M9" s="100" t="str">
        <f t="shared" si="0"/>
        <v xml:space="preserve"> </v>
      </c>
      <c r="N9" s="100" t="str">
        <f>IFERROR(VLOOKUP(Tablo516[[#This Row],[ÜRÜN KODU]],YMKODLARI!$A$1:$K$363,8,0)," ")</f>
        <v>HM 003</v>
      </c>
      <c r="O9" s="100" t="str">
        <f>IFERROR(VLOOKUP(Tablo516[[#This Row],[HAMMADDE KODU]],Tablo1[#All],3,0)," ")</f>
        <v>LSR 45</v>
      </c>
      <c r="P9" s="100" t="str">
        <f>IFERROR(VLOOKUP(Tablo516[[#This Row],[HAMMADDE KODU]],Tablo1[#All],4,0)," ")</f>
        <v>SETA</v>
      </c>
      <c r="Q9" s="100">
        <f>IFERROR(VLOOKUP(Tablo516[[#This Row],[ÜRÜN KODU]],YMKODLARI!$A$1:$K$363,5,0)," ")</f>
        <v>51.7</v>
      </c>
      <c r="R9" s="100">
        <f>IFERROR(VLOOKUP(Tablo516[[#This Row],[ÜRÜN KODU]],YMKODLARI!$A$1:$K$363,6,0)," ")</f>
        <v>44.5</v>
      </c>
      <c r="S9" s="100">
        <f>IFERROR(Tablo516[[#This Row],[YOLLUK HARİÇ BASKI GRAMI]]/Tablo516[[#This Row],[KALIP GÖZ ADEDİ]]," ")</f>
        <v>5.5625</v>
      </c>
      <c r="T9" s="100">
        <f t="shared" si="2"/>
        <v>7.2000000000000028</v>
      </c>
      <c r="U9" s="116">
        <v>8.6</v>
      </c>
      <c r="V9" s="100">
        <f t="shared" si="1"/>
        <v>54.701999999999998</v>
      </c>
      <c r="W9" s="101">
        <f t="shared" si="3"/>
        <v>23.5</v>
      </c>
      <c r="X9" s="102">
        <f t="shared" si="4"/>
        <v>12</v>
      </c>
      <c r="Y9" s="100">
        <f t="shared" si="5"/>
        <v>10.36</v>
      </c>
      <c r="Z9" s="100">
        <f t="shared" si="6"/>
        <v>8288</v>
      </c>
    </row>
    <row r="10" spans="1:26">
      <c r="A10" s="100" t="s">
        <v>34</v>
      </c>
      <c r="B10" s="108" t="str">
        <f>IFERROR(VLOOKUP(Tablo516[[#This Row],[ÜRÜN KODU]],YMKODLARI!$A$1:$K$363,2,0)," ")</f>
        <v>BİBERON KLASİK  UC 1 NO</v>
      </c>
      <c r="C10" s="99">
        <v>43839</v>
      </c>
      <c r="D10" s="100" t="s">
        <v>37</v>
      </c>
      <c r="E10" s="101">
        <v>0.33333333333333331</v>
      </c>
      <c r="F10" s="101">
        <v>0.83333333333333337</v>
      </c>
      <c r="G10" s="100">
        <f>IFERROR(VLOOKUP(Tablo516[[#This Row],[ÜRÜN KODU]],YMKODLARI!$A$1:$K$363,3,0)," ")</f>
        <v>8</v>
      </c>
      <c r="H10" s="100">
        <f>IFERROR(VLOOKUP(Tablo516[[#This Row],[ÜRÜN KODU]],YMKODLARI!$A$1:$K$363,4,0)," ")</f>
        <v>36</v>
      </c>
      <c r="I10" s="100">
        <v>720</v>
      </c>
      <c r="J10" s="100" t="str">
        <f>IFERROR(VLOOKUP(Tablo516[[#This Row],[ÜRÜN KODU]],YMKODLARI!$A$1:$K$363,9,0)," ")</f>
        <v>Şeffaf</v>
      </c>
      <c r="K10" s="100" t="str">
        <f>IFERROR(VLOOKUP(Tablo516[[#This Row],[BOYA KODU]],Tablo14[#All],4,0)," ")</f>
        <v xml:space="preserve"> </v>
      </c>
      <c r="L10" s="100" t="str">
        <f>IFERROR(VLOOKUP(Tablo516[[#This Row],[BOYA KODU]],Tablo14[#All],6,0)," ")</f>
        <v xml:space="preserve"> </v>
      </c>
      <c r="M10" s="100" t="str">
        <f t="shared" si="0"/>
        <v xml:space="preserve"> </v>
      </c>
      <c r="N10" s="100" t="str">
        <f>IFERROR(VLOOKUP(Tablo516[[#This Row],[ÜRÜN KODU]],YMKODLARI!$A$1:$K$363,8,0)," ")</f>
        <v>HM 003</v>
      </c>
      <c r="O10" s="100" t="str">
        <f>IFERROR(VLOOKUP(Tablo516[[#This Row],[HAMMADDE KODU]],Tablo1[#All],3,0)," ")</f>
        <v>LSR 45</v>
      </c>
      <c r="P10" s="100" t="str">
        <f>IFERROR(VLOOKUP(Tablo516[[#This Row],[HAMMADDE KODU]],Tablo1[#All],4,0)," ")</f>
        <v>SETA</v>
      </c>
      <c r="Q10" s="100">
        <f>IFERROR(VLOOKUP(Tablo516[[#This Row],[ÜRÜN KODU]],YMKODLARI!$A$1:$K$363,5,0)," ")</f>
        <v>51.7</v>
      </c>
      <c r="R10" s="100">
        <f>IFERROR(VLOOKUP(Tablo516[[#This Row],[ÜRÜN KODU]],YMKODLARI!$A$1:$K$363,6,0)," ")</f>
        <v>44.5</v>
      </c>
      <c r="S10" s="100">
        <f>IFERROR(Tablo516[[#This Row],[YOLLUK HARİÇ BASKI GRAMI]]/Tablo516[[#This Row],[KALIP GÖZ ADEDİ]]," ")</f>
        <v>5.5625</v>
      </c>
      <c r="T10" s="100">
        <f t="shared" si="2"/>
        <v>7.2000000000000028</v>
      </c>
      <c r="U10" s="116">
        <v>6.4</v>
      </c>
      <c r="V10" s="100">
        <f t="shared" si="1"/>
        <v>38.44</v>
      </c>
      <c r="W10" s="101">
        <f t="shared" si="3"/>
        <v>24.5</v>
      </c>
      <c r="X10" s="102">
        <f t="shared" si="4"/>
        <v>12</v>
      </c>
      <c r="Y10" s="100">
        <f t="shared" si="5"/>
        <v>7.2</v>
      </c>
      <c r="Z10" s="100">
        <f t="shared" si="6"/>
        <v>5760</v>
      </c>
    </row>
    <row r="11" spans="1:26">
      <c r="A11" s="100" t="s">
        <v>34</v>
      </c>
      <c r="B11" s="108" t="str">
        <f>IFERROR(VLOOKUP(Tablo516[[#This Row],[ÜRÜN KODU]],YMKODLARI!$A$1:$K$363,2,0)," ")</f>
        <v>BİBERON KLASİK  UC 1 NO</v>
      </c>
      <c r="C11" s="99">
        <v>43839</v>
      </c>
      <c r="D11" s="100" t="s">
        <v>27</v>
      </c>
      <c r="E11" s="101">
        <v>0.83333333333333337</v>
      </c>
      <c r="F11" s="101">
        <v>0.20138888888888887</v>
      </c>
      <c r="G11" s="100">
        <f>IFERROR(VLOOKUP(Tablo516[[#This Row],[ÜRÜN KODU]],YMKODLARI!$A$1:$K$363,3,0)," ")</f>
        <v>8</v>
      </c>
      <c r="H11" s="100">
        <f>IFERROR(VLOOKUP(Tablo516[[#This Row],[ÜRÜN KODU]],YMKODLARI!$A$1:$K$363,4,0)," ")</f>
        <v>36</v>
      </c>
      <c r="I11" s="100">
        <v>463</v>
      </c>
      <c r="J11" s="100" t="str">
        <f>IFERROR(VLOOKUP(Tablo516[[#This Row],[ÜRÜN KODU]],YMKODLARI!$A$1:$K$363,9,0)," ")</f>
        <v>Şeffaf</v>
      </c>
      <c r="K11" s="100" t="str">
        <f>IFERROR(VLOOKUP(Tablo516[[#This Row],[BOYA KODU]],Tablo14[#All],4,0)," ")</f>
        <v xml:space="preserve"> </v>
      </c>
      <c r="L11" s="100" t="str">
        <f>IFERROR(VLOOKUP(Tablo516[[#This Row],[BOYA KODU]],Tablo14[#All],6,0)," ")</f>
        <v xml:space="preserve"> </v>
      </c>
      <c r="M11" s="100" t="str">
        <f t="shared" si="0"/>
        <v xml:space="preserve"> </v>
      </c>
      <c r="N11" s="100" t="str">
        <f>IFERROR(VLOOKUP(Tablo516[[#This Row],[ÜRÜN KODU]],YMKODLARI!$A$1:$K$363,8,0)," ")</f>
        <v>HM 003</v>
      </c>
      <c r="O11" s="100" t="str">
        <f>IFERROR(VLOOKUP(Tablo516[[#This Row],[HAMMADDE KODU]],Tablo1[#All],3,0)," ")</f>
        <v>LSR 45</v>
      </c>
      <c r="P11" s="100" t="str">
        <f>IFERROR(VLOOKUP(Tablo516[[#This Row],[HAMMADDE KODU]],Tablo1[#All],4,0)," ")</f>
        <v>SETA</v>
      </c>
      <c r="Q11" s="100">
        <f>IFERROR(VLOOKUP(Tablo516[[#This Row],[ÜRÜN KODU]],YMKODLARI!$A$1:$K$363,5,0)," ")</f>
        <v>51.7</v>
      </c>
      <c r="R11" s="100">
        <f>IFERROR(VLOOKUP(Tablo516[[#This Row],[ÜRÜN KODU]],YMKODLARI!$A$1:$K$363,6,0)," ")</f>
        <v>44.5</v>
      </c>
      <c r="S11" s="100">
        <f>IFERROR(Tablo516[[#This Row],[YOLLUK HARİÇ BASKI GRAMI]]/Tablo516[[#This Row],[KALIP GÖZ ADEDİ]]," ")</f>
        <v>5.5625</v>
      </c>
      <c r="T11" s="100">
        <f t="shared" si="2"/>
        <v>7.2000000000000028</v>
      </c>
      <c r="U11" s="116">
        <v>3.12</v>
      </c>
      <c r="V11" s="100">
        <f t="shared" si="1"/>
        <v>23.723500000000001</v>
      </c>
      <c r="W11" s="101">
        <f t="shared" si="3"/>
        <v>23.368055555555557</v>
      </c>
      <c r="X11" s="102">
        <f t="shared" si="4"/>
        <v>8.8333333333333712</v>
      </c>
      <c r="Y11" s="100">
        <f t="shared" si="5"/>
        <v>4.63</v>
      </c>
      <c r="Z11" s="100">
        <f t="shared" si="6"/>
        <v>3704</v>
      </c>
    </row>
    <row r="12" spans="1:26">
      <c r="A12" s="100" t="s">
        <v>34</v>
      </c>
      <c r="B12" s="108" t="str">
        <f>IFERROR(VLOOKUP(Tablo516[[#This Row],[ÜRÜN KODU]],YMKODLARI!$A$1:$K$363,2,0)," ")</f>
        <v>BİBERON KLASİK  UC 1 NO</v>
      </c>
      <c r="C12" s="99">
        <v>43840</v>
      </c>
      <c r="D12" s="100" t="s">
        <v>37</v>
      </c>
      <c r="E12" s="101">
        <v>0.39583333333333331</v>
      </c>
      <c r="F12" s="101">
        <v>0.83333333333333337</v>
      </c>
      <c r="G12" s="100">
        <f>IFERROR(VLOOKUP(Tablo516[[#This Row],[ÜRÜN KODU]],YMKODLARI!$A$1:$K$363,3,0)," ")</f>
        <v>8</v>
      </c>
      <c r="H12" s="100">
        <f>IFERROR(VLOOKUP(Tablo516[[#This Row],[ÜRÜN KODU]],YMKODLARI!$A$1:$K$363,4,0)," ")</f>
        <v>36</v>
      </c>
      <c r="I12" s="100">
        <v>365</v>
      </c>
      <c r="J12" s="100" t="str">
        <f>IFERROR(VLOOKUP(Tablo516[[#This Row],[ÜRÜN KODU]],YMKODLARI!$A$1:$K$363,9,0)," ")</f>
        <v>Şeffaf</v>
      </c>
      <c r="K12" s="100" t="str">
        <f>IFERROR(VLOOKUP(Tablo516[[#This Row],[BOYA KODU]],Tablo14[#All],4,0)," ")</f>
        <v xml:space="preserve"> </v>
      </c>
      <c r="L12" s="100" t="str">
        <f>IFERROR(VLOOKUP(Tablo516[[#This Row],[BOYA KODU]],Tablo14[#All],6,0)," ")</f>
        <v xml:space="preserve"> </v>
      </c>
      <c r="M12" s="100" t="str">
        <f t="shared" si="0"/>
        <v xml:space="preserve"> </v>
      </c>
      <c r="N12" s="100" t="str">
        <f>IFERROR(VLOOKUP(Tablo516[[#This Row],[ÜRÜN KODU]],YMKODLARI!$A$1:$K$363,8,0)," ")</f>
        <v>HM 003</v>
      </c>
      <c r="O12" s="100" t="str">
        <f>IFERROR(VLOOKUP(Tablo516[[#This Row],[HAMMADDE KODU]],Tablo1[#All],3,0)," ")</f>
        <v>LSR 45</v>
      </c>
      <c r="P12" s="100" t="str">
        <f>IFERROR(VLOOKUP(Tablo516[[#This Row],[HAMMADDE KODU]],Tablo1[#All],4,0)," ")</f>
        <v>SETA</v>
      </c>
      <c r="Q12" s="100">
        <f>IFERROR(VLOOKUP(Tablo516[[#This Row],[ÜRÜN KODU]],YMKODLARI!$A$1:$K$363,5,0)," ")</f>
        <v>51.7</v>
      </c>
      <c r="R12" s="100">
        <f>IFERROR(VLOOKUP(Tablo516[[#This Row],[ÜRÜN KODU]],YMKODLARI!$A$1:$K$363,6,0)," ")</f>
        <v>44.5</v>
      </c>
      <c r="S12" s="100">
        <f>IFERROR(Tablo516[[#This Row],[YOLLUK HARİÇ BASKI GRAMI]]/Tablo516[[#This Row],[KALIP GÖZ ADEDİ]]," ")</f>
        <v>5.5625</v>
      </c>
      <c r="T12" s="100">
        <f t="shared" si="2"/>
        <v>7.2000000000000028</v>
      </c>
      <c r="U12" s="116">
        <v>5</v>
      </c>
      <c r="V12" s="100">
        <f t="shared" si="1"/>
        <v>21.2425</v>
      </c>
      <c r="W12" s="101">
        <f t="shared" si="3"/>
        <v>24.4375</v>
      </c>
      <c r="X12" s="102">
        <f>IFERROR((W12-INT(W12))*24," ")</f>
        <v>10.5</v>
      </c>
      <c r="Y12" s="100">
        <f t="shared" si="5"/>
        <v>3.65</v>
      </c>
      <c r="Z12" s="100">
        <f t="shared" si="6"/>
        <v>2920</v>
      </c>
    </row>
    <row r="13" spans="1:26">
      <c r="A13" s="100" t="s">
        <v>34</v>
      </c>
      <c r="B13" s="108" t="str">
        <f>IFERROR(VLOOKUP(Tablo516[[#This Row],[ÜRÜN KODU]],YMKODLARI!$A$1:$K$363,2,0)," ")</f>
        <v>BİBERON KLASİK  UC 1 NO</v>
      </c>
      <c r="C13" s="99">
        <v>43840</v>
      </c>
      <c r="D13" s="100" t="s">
        <v>27</v>
      </c>
      <c r="E13" s="101">
        <v>0.83333333333333337</v>
      </c>
      <c r="F13" s="101">
        <v>0.29166666666666669</v>
      </c>
      <c r="G13" s="100">
        <f>IFERROR(VLOOKUP(Tablo516[[#This Row],[ÜRÜN KODU]],YMKODLARI!$A$1:$K$363,3,0)," ")</f>
        <v>8</v>
      </c>
      <c r="H13" s="100">
        <f>IFERROR(VLOOKUP(Tablo516[[#This Row],[ÜRÜN KODU]],YMKODLARI!$A$1:$K$363,4,0)," ")</f>
        <v>36</v>
      </c>
      <c r="I13" s="100">
        <v>705</v>
      </c>
      <c r="J13" s="100" t="str">
        <f>IFERROR(VLOOKUP(Tablo516[[#This Row],[ÜRÜN KODU]],YMKODLARI!$A$1:$K$363,9,0)," ")</f>
        <v>Şeffaf</v>
      </c>
      <c r="K13" s="100" t="str">
        <f>IFERROR(VLOOKUP(Tablo516[[#This Row],[BOYA KODU]],Tablo14[#All],4,0)," ")</f>
        <v xml:space="preserve"> </v>
      </c>
      <c r="L13" s="100" t="str">
        <f>IFERROR(VLOOKUP(Tablo516[[#This Row],[BOYA KODU]],Tablo14[#All],6,0)," ")</f>
        <v xml:space="preserve"> </v>
      </c>
      <c r="M13" s="100" t="str">
        <f t="shared" si="0"/>
        <v xml:space="preserve"> </v>
      </c>
      <c r="N13" s="100" t="str">
        <f>IFERROR(VLOOKUP(Tablo516[[#This Row],[ÜRÜN KODU]],YMKODLARI!$A$1:$K$363,8,0)," ")</f>
        <v>HM 003</v>
      </c>
      <c r="O13" s="100" t="str">
        <f>IFERROR(VLOOKUP(Tablo516[[#This Row],[HAMMADDE KODU]],Tablo1[#All],3,0)," ")</f>
        <v>LSR 45</v>
      </c>
      <c r="P13" s="100" t="str">
        <f>IFERROR(VLOOKUP(Tablo516[[#This Row],[HAMMADDE KODU]],Tablo1[#All],4,0)," ")</f>
        <v>SETA</v>
      </c>
      <c r="Q13" s="100">
        <f>IFERROR(VLOOKUP(Tablo516[[#This Row],[ÜRÜN KODU]],YMKODLARI!$A$1:$K$363,5,0)," ")</f>
        <v>51.7</v>
      </c>
      <c r="R13" s="100">
        <f>IFERROR(VLOOKUP(Tablo516[[#This Row],[ÜRÜN KODU]],YMKODLARI!$A$1:$K$363,6,0)," ")</f>
        <v>44.5</v>
      </c>
      <c r="S13" s="100">
        <f>IFERROR(Tablo516[[#This Row],[YOLLUK HARİÇ BASKI GRAMI]]/Tablo516[[#This Row],[KALIP GÖZ ADEDİ]]," ")</f>
        <v>5.5625</v>
      </c>
      <c r="T13" s="100">
        <f t="shared" si="2"/>
        <v>7.2000000000000028</v>
      </c>
      <c r="U13" s="116">
        <v>5.2</v>
      </c>
      <c r="V13" s="100">
        <f t="shared" si="1"/>
        <v>36.572499999999998</v>
      </c>
      <c r="W13" s="101">
        <f t="shared" si="3"/>
        <v>23.458333333333332</v>
      </c>
      <c r="X13" s="102">
        <f t="shared" si="4"/>
        <v>10.999999999999972</v>
      </c>
      <c r="Y13" s="100">
        <f t="shared" si="5"/>
        <v>7.05</v>
      </c>
      <c r="Z13" s="100">
        <f t="shared" si="6"/>
        <v>5640</v>
      </c>
    </row>
    <row r="14" spans="1:26">
      <c r="A14" s="100" t="s">
        <v>34</v>
      </c>
      <c r="B14" s="108" t="str">
        <f>IFERROR(VLOOKUP(Tablo516[[#This Row],[ÜRÜN KODU]],YMKODLARI!$A$1:$K$363,2,0)," ")</f>
        <v>BİBERON KLASİK  UC 1 NO</v>
      </c>
      <c r="C14" s="99">
        <v>43843</v>
      </c>
      <c r="D14" s="100" t="s">
        <v>48</v>
      </c>
      <c r="E14" s="101">
        <v>0.33333333333333331</v>
      </c>
      <c r="F14" s="101">
        <v>0.83333333333333337</v>
      </c>
      <c r="G14" s="100">
        <f>IFERROR(VLOOKUP(Tablo516[[#This Row],[ÜRÜN KODU]],YMKODLARI!$A$1:$K$363,3,0)," ")</f>
        <v>8</v>
      </c>
      <c r="H14" s="100">
        <f>IFERROR(VLOOKUP(Tablo516[[#This Row],[ÜRÜN KODU]],YMKODLARI!$A$1:$K$363,4,0)," ")</f>
        <v>36</v>
      </c>
      <c r="I14" s="100">
        <v>919</v>
      </c>
      <c r="J14" s="100" t="str">
        <f>IFERROR(VLOOKUP(Tablo516[[#This Row],[ÜRÜN KODU]],YMKODLARI!$A$1:$K$363,9,0)," ")</f>
        <v>Şeffaf</v>
      </c>
      <c r="K14" s="100" t="str">
        <f>IFERROR(VLOOKUP(Tablo516[[#This Row],[BOYA KODU]],Tablo14[#All],4,0)," ")</f>
        <v xml:space="preserve"> </v>
      </c>
      <c r="L14" s="100" t="str">
        <f>IFERROR(VLOOKUP(Tablo516[[#This Row],[BOYA KODU]],Tablo14[#All],6,0)," ")</f>
        <v xml:space="preserve"> </v>
      </c>
      <c r="M14" s="100" t="str">
        <f t="shared" si="0"/>
        <v xml:space="preserve"> </v>
      </c>
      <c r="N14" s="100" t="str">
        <f>IFERROR(VLOOKUP(Tablo516[[#This Row],[ÜRÜN KODU]],YMKODLARI!$A$1:$K$363,8,0)," ")</f>
        <v>HM 003</v>
      </c>
      <c r="O14" s="100" t="str">
        <f>IFERROR(VLOOKUP(Tablo516[[#This Row],[HAMMADDE KODU]],Tablo1[#All],3,0)," ")</f>
        <v>LSR 45</v>
      </c>
      <c r="P14" s="100" t="str">
        <f>IFERROR(VLOOKUP(Tablo516[[#This Row],[HAMMADDE KODU]],Tablo1[#All],4,0)," ")</f>
        <v>SETA</v>
      </c>
      <c r="Q14" s="100">
        <f>IFERROR(VLOOKUP(Tablo516[[#This Row],[ÜRÜN KODU]],YMKODLARI!$A$1:$K$363,5,0)," ")</f>
        <v>51.7</v>
      </c>
      <c r="R14" s="100">
        <f>IFERROR(VLOOKUP(Tablo516[[#This Row],[ÜRÜN KODU]],YMKODLARI!$A$1:$K$363,6,0)," ")</f>
        <v>44.5</v>
      </c>
      <c r="S14" s="100">
        <f>IFERROR(Tablo516[[#This Row],[YOLLUK HARİÇ BASKI GRAMI]]/Tablo516[[#This Row],[KALIP GÖZ ADEDİ]]," ")</f>
        <v>5.5625</v>
      </c>
      <c r="T14" s="100">
        <f t="shared" si="2"/>
        <v>7.2000000000000028</v>
      </c>
      <c r="U14" s="116"/>
      <c r="V14" s="100">
        <f t="shared" si="1"/>
        <v>40.895499999999998</v>
      </c>
      <c r="W14" s="101">
        <f t="shared" si="3"/>
        <v>24.5</v>
      </c>
      <c r="X14" s="102">
        <f t="shared" si="4"/>
        <v>12</v>
      </c>
      <c r="Y14" s="100">
        <f t="shared" si="5"/>
        <v>9.19</v>
      </c>
      <c r="Z14" s="100">
        <f t="shared" si="6"/>
        <v>7352</v>
      </c>
    </row>
    <row r="15" spans="1:26">
      <c r="A15" s="100" t="s">
        <v>34</v>
      </c>
      <c r="B15" s="108" t="str">
        <f>IFERROR(VLOOKUP(Tablo516[[#This Row],[ÜRÜN KODU]],YMKODLARI!$A$1:$K$363,2,0)," ")</f>
        <v>BİBERON KLASİK  UC 1 NO</v>
      </c>
      <c r="C15" s="99">
        <v>43844</v>
      </c>
      <c r="D15" s="100" t="s">
        <v>48</v>
      </c>
      <c r="E15" s="101">
        <v>0.33333333333333331</v>
      </c>
      <c r="F15" s="101">
        <v>0.4375</v>
      </c>
      <c r="G15" s="100">
        <f>IFERROR(VLOOKUP(Tablo516[[#This Row],[ÜRÜN KODU]],YMKODLARI!$A$1:$K$363,3,0)," ")</f>
        <v>8</v>
      </c>
      <c r="H15" s="100">
        <f>IFERROR(VLOOKUP(Tablo516[[#This Row],[ÜRÜN KODU]],YMKODLARI!$A$1:$K$363,4,0)," ")</f>
        <v>36</v>
      </c>
      <c r="I15" s="100">
        <v>115</v>
      </c>
      <c r="J15" s="100" t="str">
        <f>IFERROR(VLOOKUP(Tablo516[[#This Row],[ÜRÜN KODU]],YMKODLARI!$A$1:$K$363,9,0)," ")</f>
        <v>Şeffaf</v>
      </c>
      <c r="K15" s="100" t="str">
        <f>IFERROR(VLOOKUP(Tablo516[[#This Row],[BOYA KODU]],Tablo14[#All],4,0)," ")</f>
        <v xml:space="preserve"> </v>
      </c>
      <c r="L15" s="100" t="str">
        <f>IFERROR(VLOOKUP(Tablo516[[#This Row],[BOYA KODU]],Tablo14[#All],6,0)," ")</f>
        <v xml:space="preserve"> </v>
      </c>
      <c r="M15" s="100" t="str">
        <f t="shared" si="0"/>
        <v xml:space="preserve"> </v>
      </c>
      <c r="N15" s="100" t="str">
        <f>IFERROR(VLOOKUP(Tablo516[[#This Row],[ÜRÜN KODU]],YMKODLARI!$A$1:$K$363,8,0)," ")</f>
        <v>HM 003</v>
      </c>
      <c r="O15" s="100" t="str">
        <f>IFERROR(VLOOKUP(Tablo516[[#This Row],[HAMMADDE KODU]],Tablo1[#All],3,0)," ")</f>
        <v>LSR 45</v>
      </c>
      <c r="P15" s="100" t="str">
        <f>IFERROR(VLOOKUP(Tablo516[[#This Row],[HAMMADDE KODU]],Tablo1[#All],4,0)," ")</f>
        <v>SETA</v>
      </c>
      <c r="Q15" s="100">
        <f>IFERROR(VLOOKUP(Tablo516[[#This Row],[ÜRÜN KODU]],YMKODLARI!$A$1:$K$363,5,0)," ")</f>
        <v>51.7</v>
      </c>
      <c r="R15" s="100">
        <f>IFERROR(VLOOKUP(Tablo516[[#This Row],[ÜRÜN KODU]],YMKODLARI!$A$1:$K$363,6,0)," ")</f>
        <v>44.5</v>
      </c>
      <c r="S15" s="100">
        <f>IFERROR(Tablo516[[#This Row],[YOLLUK HARİÇ BASKI GRAMI]]/Tablo516[[#This Row],[KALIP GÖZ ADEDİ]]," ")</f>
        <v>5.5625</v>
      </c>
      <c r="T15" s="100">
        <f t="shared" si="2"/>
        <v>7.2000000000000028</v>
      </c>
      <c r="U15" s="116"/>
      <c r="V15" s="100">
        <f t="shared" si="1"/>
        <v>5.1174999999999997</v>
      </c>
      <c r="W15" s="101">
        <f t="shared" si="3"/>
        <v>24.104166666666668</v>
      </c>
      <c r="X15" s="102">
        <f t="shared" si="4"/>
        <v>2.5000000000000284</v>
      </c>
      <c r="Y15" s="100">
        <f t="shared" si="5"/>
        <v>1.1499999999999999</v>
      </c>
      <c r="Z15" s="100">
        <f t="shared" si="6"/>
        <v>920</v>
      </c>
    </row>
    <row r="16" spans="1:26">
      <c r="A16" s="100" t="s">
        <v>34</v>
      </c>
      <c r="B16" s="108" t="str">
        <f>IFERROR(VLOOKUP(Tablo516[[#This Row],[ÜRÜN KODU]],YMKODLARI!$A$1:$K$363,2,0)," ")</f>
        <v>BİBERON KLASİK  UC 1 NO</v>
      </c>
      <c r="C16" s="99">
        <v>43845</v>
      </c>
      <c r="D16" s="100" t="s">
        <v>48</v>
      </c>
      <c r="E16" s="101">
        <v>0.33333333333333331</v>
      </c>
      <c r="F16" s="101">
        <v>0.83333333333333337</v>
      </c>
      <c r="G16" s="100">
        <f>IFERROR(VLOOKUP(Tablo516[[#This Row],[ÜRÜN KODU]],YMKODLARI!$A$1:$K$363,3,0)," ")</f>
        <v>8</v>
      </c>
      <c r="H16" s="100">
        <f>IFERROR(VLOOKUP(Tablo516[[#This Row],[ÜRÜN KODU]],YMKODLARI!$A$1:$K$363,4,0)," ")</f>
        <v>36</v>
      </c>
      <c r="I16" s="100">
        <v>955</v>
      </c>
      <c r="J16" s="100" t="str">
        <f>IFERROR(VLOOKUP(Tablo516[[#This Row],[ÜRÜN KODU]],YMKODLARI!$A$1:$K$363,9,0)," ")</f>
        <v>Şeffaf</v>
      </c>
      <c r="K16" s="100" t="str">
        <f>IFERROR(VLOOKUP(Tablo516[[#This Row],[BOYA KODU]],Tablo14[#All],4,0)," ")</f>
        <v xml:space="preserve"> </v>
      </c>
      <c r="L16" s="100" t="str">
        <f>IFERROR(VLOOKUP(Tablo516[[#This Row],[BOYA KODU]],Tablo14[#All],6,0)," ")</f>
        <v xml:space="preserve"> </v>
      </c>
      <c r="M16" s="100" t="str">
        <f t="shared" si="0"/>
        <v xml:space="preserve"> </v>
      </c>
      <c r="N16" s="100" t="str">
        <f>IFERROR(VLOOKUP(Tablo516[[#This Row],[ÜRÜN KODU]],YMKODLARI!$A$1:$K$363,8,0)," ")</f>
        <v>HM 003</v>
      </c>
      <c r="O16" s="100" t="str">
        <f>IFERROR(VLOOKUP(Tablo516[[#This Row],[HAMMADDE KODU]],Tablo1[#All],3,0)," ")</f>
        <v>LSR 45</v>
      </c>
      <c r="P16" s="100" t="str">
        <f>IFERROR(VLOOKUP(Tablo516[[#This Row],[HAMMADDE KODU]],Tablo1[#All],4,0)," ")</f>
        <v>SETA</v>
      </c>
      <c r="Q16" s="100">
        <f>IFERROR(VLOOKUP(Tablo516[[#This Row],[ÜRÜN KODU]],YMKODLARI!$A$1:$K$363,5,0)," ")</f>
        <v>51.7</v>
      </c>
      <c r="R16" s="100">
        <f>IFERROR(VLOOKUP(Tablo516[[#This Row],[ÜRÜN KODU]],YMKODLARI!$A$1:$K$363,6,0)," ")</f>
        <v>44.5</v>
      </c>
      <c r="S16" s="100">
        <f>IFERROR(Tablo516[[#This Row],[YOLLUK HARİÇ BASKI GRAMI]]/Tablo516[[#This Row],[KALIP GÖZ ADEDİ]]," ")</f>
        <v>5.5625</v>
      </c>
      <c r="T16" s="100">
        <f t="shared" si="2"/>
        <v>7.2000000000000028</v>
      </c>
      <c r="U16" s="116"/>
      <c r="V16" s="100">
        <f t="shared" si="1"/>
        <v>42.497500000000002</v>
      </c>
      <c r="W16" s="101">
        <f t="shared" si="3"/>
        <v>24.5</v>
      </c>
      <c r="X16" s="102">
        <f t="shared" si="4"/>
        <v>12</v>
      </c>
      <c r="Y16" s="100">
        <f t="shared" si="5"/>
        <v>9.5500000000000007</v>
      </c>
      <c r="Z16" s="100">
        <f t="shared" si="6"/>
        <v>7640</v>
      </c>
    </row>
    <row r="17" spans="1:26">
      <c r="A17" s="100" t="s">
        <v>34</v>
      </c>
      <c r="B17" s="108" t="str">
        <f>IFERROR(VLOOKUP(Tablo516[[#This Row],[ÜRÜN KODU]],YMKODLARI!$A$1:$K$363,2,0)," ")</f>
        <v>BİBERON KLASİK  UC 1 NO</v>
      </c>
      <c r="C17" s="99">
        <v>43846</v>
      </c>
      <c r="D17" s="100" t="s">
        <v>48</v>
      </c>
      <c r="E17" s="101">
        <v>0.33333333333333331</v>
      </c>
      <c r="F17" s="101">
        <v>0.82291666666666663</v>
      </c>
      <c r="G17" s="100">
        <f>IFERROR(VLOOKUP(Tablo516[[#This Row],[ÜRÜN KODU]],YMKODLARI!$A$1:$K$363,3,0)," ")</f>
        <v>8</v>
      </c>
      <c r="H17" s="100">
        <f>IFERROR(VLOOKUP(Tablo516[[#This Row],[ÜRÜN KODU]],YMKODLARI!$A$1:$K$363,4,0)," ")</f>
        <v>36</v>
      </c>
      <c r="I17" s="100">
        <v>881</v>
      </c>
      <c r="J17" s="100" t="str">
        <f>IFERROR(VLOOKUP(Tablo516[[#This Row],[ÜRÜN KODU]],YMKODLARI!$A$1:$K$363,9,0)," ")</f>
        <v>Şeffaf</v>
      </c>
      <c r="K17" s="100" t="str">
        <f>IFERROR(VLOOKUP(Tablo516[[#This Row],[BOYA KODU]],Tablo14[#All],4,0)," ")</f>
        <v xml:space="preserve"> </v>
      </c>
      <c r="L17" s="100" t="str">
        <f>IFERROR(VLOOKUP(Tablo516[[#This Row],[BOYA KODU]],Tablo14[#All],6,0)," ")</f>
        <v xml:space="preserve"> </v>
      </c>
      <c r="M17" s="100" t="str">
        <f t="shared" si="0"/>
        <v xml:space="preserve"> </v>
      </c>
      <c r="N17" s="100" t="str">
        <f>IFERROR(VLOOKUP(Tablo516[[#This Row],[ÜRÜN KODU]],YMKODLARI!$A$1:$K$363,8,0)," ")</f>
        <v>HM 003</v>
      </c>
      <c r="O17" s="100" t="str">
        <f>IFERROR(VLOOKUP(Tablo516[[#This Row],[HAMMADDE KODU]],Tablo1[#All],3,0)," ")</f>
        <v>LSR 45</v>
      </c>
      <c r="P17" s="100" t="str">
        <f>IFERROR(VLOOKUP(Tablo516[[#This Row],[HAMMADDE KODU]],Tablo1[#All],4,0)," ")</f>
        <v>SETA</v>
      </c>
      <c r="Q17" s="100">
        <f>IFERROR(VLOOKUP(Tablo516[[#This Row],[ÜRÜN KODU]],YMKODLARI!$A$1:$K$363,5,0)," ")</f>
        <v>51.7</v>
      </c>
      <c r="R17" s="100">
        <f>IFERROR(VLOOKUP(Tablo516[[#This Row],[ÜRÜN KODU]],YMKODLARI!$A$1:$K$363,6,0)," ")</f>
        <v>44.5</v>
      </c>
      <c r="S17" s="100">
        <f>IFERROR(Tablo516[[#This Row],[YOLLUK HARİÇ BASKI GRAMI]]/Tablo516[[#This Row],[KALIP GÖZ ADEDİ]]," ")</f>
        <v>5.5625</v>
      </c>
      <c r="T17" s="100">
        <f t="shared" si="2"/>
        <v>7.2000000000000028</v>
      </c>
      <c r="U17" s="116"/>
      <c r="V17" s="100">
        <f t="shared" si="1"/>
        <v>39.204500000000003</v>
      </c>
      <c r="W17" s="101">
        <f t="shared" si="3"/>
        <v>24.489583333333332</v>
      </c>
      <c r="X17" s="102">
        <f t="shared" si="4"/>
        <v>11.749999999999972</v>
      </c>
      <c r="Y17" s="100">
        <f t="shared" si="5"/>
        <v>8.81</v>
      </c>
      <c r="Z17" s="100">
        <f t="shared" si="6"/>
        <v>7048</v>
      </c>
    </row>
    <row r="18" spans="1:26">
      <c r="A18" s="100" t="s">
        <v>34</v>
      </c>
      <c r="B18" s="108" t="str">
        <f>IFERROR(VLOOKUP(Tablo516[[#This Row],[ÜRÜN KODU]],YMKODLARI!$A$1:$K$363,2,0)," ")</f>
        <v>BİBERON KLASİK  UC 1 NO</v>
      </c>
      <c r="C18" s="99">
        <v>43847</v>
      </c>
      <c r="D18" s="100" t="s">
        <v>48</v>
      </c>
      <c r="E18" s="101">
        <v>0.33333333333333331</v>
      </c>
      <c r="F18" s="101">
        <v>0.72916666666666663</v>
      </c>
      <c r="G18" s="100">
        <f>IFERROR(VLOOKUP(Tablo516[[#This Row],[ÜRÜN KODU]],YMKODLARI!$A$1:$K$363,3,0)," ")</f>
        <v>8</v>
      </c>
      <c r="H18" s="100">
        <f>IFERROR(VLOOKUP(Tablo516[[#This Row],[ÜRÜN KODU]],YMKODLARI!$A$1:$K$363,4,0)," ")</f>
        <v>36</v>
      </c>
      <c r="I18" s="100">
        <v>650</v>
      </c>
      <c r="J18" s="100" t="str">
        <f>IFERROR(VLOOKUP(Tablo516[[#This Row],[ÜRÜN KODU]],YMKODLARI!$A$1:$K$363,9,0)," ")</f>
        <v>Şeffaf</v>
      </c>
      <c r="K18" s="100" t="str">
        <f>IFERROR(VLOOKUP(Tablo516[[#This Row],[BOYA KODU]],Tablo14[#All],4,0)," ")</f>
        <v xml:space="preserve"> </v>
      </c>
      <c r="L18" s="100" t="str">
        <f>IFERROR(VLOOKUP(Tablo516[[#This Row],[BOYA KODU]],Tablo14[#All],6,0)," ")</f>
        <v xml:space="preserve"> </v>
      </c>
      <c r="M18" s="100" t="str">
        <f t="shared" si="0"/>
        <v xml:space="preserve"> </v>
      </c>
      <c r="N18" s="100" t="str">
        <f>IFERROR(VLOOKUP(Tablo516[[#This Row],[ÜRÜN KODU]],YMKODLARI!$A$1:$K$363,8,0)," ")</f>
        <v>HM 003</v>
      </c>
      <c r="O18" s="100" t="str">
        <f>IFERROR(VLOOKUP(Tablo516[[#This Row],[HAMMADDE KODU]],Tablo1[#All],3,0)," ")</f>
        <v>LSR 45</v>
      </c>
      <c r="P18" s="100" t="str">
        <f>IFERROR(VLOOKUP(Tablo516[[#This Row],[HAMMADDE KODU]],Tablo1[#All],4,0)," ")</f>
        <v>SETA</v>
      </c>
      <c r="Q18" s="100">
        <f>IFERROR(VLOOKUP(Tablo516[[#This Row],[ÜRÜN KODU]],YMKODLARI!$A$1:$K$363,5,0)," ")</f>
        <v>51.7</v>
      </c>
      <c r="R18" s="100">
        <f>IFERROR(VLOOKUP(Tablo516[[#This Row],[ÜRÜN KODU]],YMKODLARI!$A$1:$K$363,6,0)," ")</f>
        <v>44.5</v>
      </c>
      <c r="S18" s="100">
        <f>IFERROR(Tablo516[[#This Row],[YOLLUK HARİÇ BASKI GRAMI]]/Tablo516[[#This Row],[KALIP GÖZ ADEDİ]]," ")</f>
        <v>5.5625</v>
      </c>
      <c r="T18" s="100">
        <f t="shared" si="2"/>
        <v>7.2000000000000028</v>
      </c>
      <c r="U18" s="116">
        <v>5.6</v>
      </c>
      <c r="V18" s="100">
        <f t="shared" si="1"/>
        <v>34.524999999999999</v>
      </c>
      <c r="W18" s="101">
        <f t="shared" si="3"/>
        <v>24.395833333333332</v>
      </c>
      <c r="X18" s="102">
        <f t="shared" si="4"/>
        <v>9.4999999999999716</v>
      </c>
      <c r="Y18" s="100">
        <f t="shared" si="5"/>
        <v>6.5</v>
      </c>
      <c r="Z18" s="100">
        <f t="shared" si="6"/>
        <v>5200</v>
      </c>
    </row>
    <row r="19" spans="1:26">
      <c r="A19" s="100" t="s">
        <v>34</v>
      </c>
      <c r="B19" s="108" t="str">
        <f>IFERROR(VLOOKUP(Tablo516[[#This Row],[ÜRÜN KODU]],YMKODLARI!$A$1:$K$363,2,0)," ")</f>
        <v>BİBERON KLASİK  UC 1 NO</v>
      </c>
      <c r="C19" s="99">
        <v>43850</v>
      </c>
      <c r="D19" s="100" t="s">
        <v>48</v>
      </c>
      <c r="E19" s="101">
        <v>0.33333333333333331</v>
      </c>
      <c r="F19" s="101">
        <v>0.75</v>
      </c>
      <c r="G19" s="100">
        <f>IFERROR(VLOOKUP(Tablo516[[#This Row],[ÜRÜN KODU]],YMKODLARI!$A$1:$K$363,3,0)," ")</f>
        <v>8</v>
      </c>
      <c r="H19" s="100">
        <f>IFERROR(VLOOKUP(Tablo516[[#This Row],[ÜRÜN KODU]],YMKODLARI!$A$1:$K$363,4,0)," ")</f>
        <v>36</v>
      </c>
      <c r="I19" s="100">
        <v>714</v>
      </c>
      <c r="J19" s="100" t="str">
        <f>IFERROR(VLOOKUP(Tablo516[[#This Row],[ÜRÜN KODU]],YMKODLARI!$A$1:$K$363,9,0)," ")</f>
        <v>Şeffaf</v>
      </c>
      <c r="K19" s="100" t="str">
        <f>IFERROR(VLOOKUP(Tablo516[[#This Row],[BOYA KODU]],Tablo14[#All],4,0)," ")</f>
        <v xml:space="preserve"> </v>
      </c>
      <c r="L19" s="100" t="str">
        <f>IFERROR(VLOOKUP(Tablo516[[#This Row],[BOYA KODU]],Tablo14[#All],6,0)," ")</f>
        <v xml:space="preserve"> </v>
      </c>
      <c r="M19" s="100" t="str">
        <f t="shared" si="0"/>
        <v xml:space="preserve"> </v>
      </c>
      <c r="N19" s="100" t="str">
        <f>IFERROR(VLOOKUP(Tablo516[[#This Row],[ÜRÜN KODU]],YMKODLARI!$A$1:$K$363,8,0)," ")</f>
        <v>HM 003</v>
      </c>
      <c r="O19" s="100" t="str">
        <f>IFERROR(VLOOKUP(Tablo516[[#This Row],[HAMMADDE KODU]],Tablo1[#All],3,0)," ")</f>
        <v>LSR 45</v>
      </c>
      <c r="P19" s="100" t="str">
        <f>IFERROR(VLOOKUP(Tablo516[[#This Row],[HAMMADDE KODU]],Tablo1[#All],4,0)," ")</f>
        <v>SETA</v>
      </c>
      <c r="Q19" s="100">
        <f>IFERROR(VLOOKUP(Tablo516[[#This Row],[ÜRÜN KODU]],YMKODLARI!$A$1:$K$363,5,0)," ")</f>
        <v>51.7</v>
      </c>
      <c r="R19" s="100">
        <f>IFERROR(VLOOKUP(Tablo516[[#This Row],[ÜRÜN KODU]],YMKODLARI!$A$1:$K$363,6,0)," ")</f>
        <v>44.5</v>
      </c>
      <c r="S19" s="100">
        <f>IFERROR(Tablo516[[#This Row],[YOLLUK HARİÇ BASKI GRAMI]]/Tablo516[[#This Row],[KALIP GÖZ ADEDİ]]," ")</f>
        <v>5.5625</v>
      </c>
      <c r="T19" s="100">
        <f t="shared" si="2"/>
        <v>7.2000000000000028</v>
      </c>
      <c r="U19" s="116">
        <v>5.9</v>
      </c>
      <c r="V19" s="100">
        <f t="shared" si="1"/>
        <v>37.673000000000002</v>
      </c>
      <c r="W19" s="101">
        <f t="shared" si="3"/>
        <v>24.416666666666668</v>
      </c>
      <c r="X19" s="102">
        <f t="shared" si="4"/>
        <v>10.000000000000028</v>
      </c>
      <c r="Y19" s="100">
        <f t="shared" si="5"/>
        <v>7.14</v>
      </c>
      <c r="Z19" s="100">
        <f t="shared" si="6"/>
        <v>5712</v>
      </c>
    </row>
    <row r="20" spans="1:26">
      <c r="A20" s="100" t="s">
        <v>34</v>
      </c>
      <c r="B20" s="108" t="str">
        <f>IFERROR(VLOOKUP(Tablo516[[#This Row],[ÜRÜN KODU]],YMKODLARI!$A$1:$K$363,2,0)," ")</f>
        <v>BİBERON KLASİK  UC 1 NO</v>
      </c>
      <c r="C20" s="99">
        <v>43851</v>
      </c>
      <c r="D20" s="100" t="s">
        <v>48</v>
      </c>
      <c r="E20" s="101">
        <v>0.33333333333333331</v>
      </c>
      <c r="F20" s="101">
        <v>0.75</v>
      </c>
      <c r="G20" s="100">
        <f>IFERROR(VLOOKUP(Tablo516[[#This Row],[ÜRÜN KODU]],YMKODLARI!$A$1:$K$363,3,0)," ")</f>
        <v>8</v>
      </c>
      <c r="H20" s="100">
        <f>IFERROR(VLOOKUP(Tablo516[[#This Row],[ÜRÜN KODU]],YMKODLARI!$A$1:$K$363,4,0)," ")</f>
        <v>36</v>
      </c>
      <c r="I20" s="100">
        <v>514</v>
      </c>
      <c r="J20" s="100" t="str">
        <f>IFERROR(VLOOKUP(Tablo516[[#This Row],[ÜRÜN KODU]],YMKODLARI!$A$1:$K$363,9,0)," ")</f>
        <v>Şeffaf</v>
      </c>
      <c r="K20" s="100" t="str">
        <f>IFERROR(VLOOKUP(Tablo516[[#This Row],[BOYA KODU]],Tablo14[#All],4,0)," ")</f>
        <v xml:space="preserve"> </v>
      </c>
      <c r="L20" s="100" t="str">
        <f>IFERROR(VLOOKUP(Tablo516[[#This Row],[BOYA KODU]],Tablo14[#All],6,0)," ")</f>
        <v xml:space="preserve"> </v>
      </c>
      <c r="M20" s="100" t="str">
        <f t="shared" si="0"/>
        <v xml:space="preserve"> </v>
      </c>
      <c r="N20" s="100" t="str">
        <f>IFERROR(VLOOKUP(Tablo516[[#This Row],[ÜRÜN KODU]],YMKODLARI!$A$1:$K$363,8,0)," ")</f>
        <v>HM 003</v>
      </c>
      <c r="O20" s="100" t="str">
        <f>IFERROR(VLOOKUP(Tablo516[[#This Row],[HAMMADDE KODU]],Tablo1[#All],3,0)," ")</f>
        <v>LSR 45</v>
      </c>
      <c r="P20" s="100" t="str">
        <f>IFERROR(VLOOKUP(Tablo516[[#This Row],[HAMMADDE KODU]],Tablo1[#All],4,0)," ")</f>
        <v>SETA</v>
      </c>
      <c r="Q20" s="100">
        <f>IFERROR(VLOOKUP(Tablo516[[#This Row],[ÜRÜN KODU]],YMKODLARI!$A$1:$K$363,5,0)," ")</f>
        <v>51.7</v>
      </c>
      <c r="R20" s="100">
        <f>IFERROR(VLOOKUP(Tablo516[[#This Row],[ÜRÜN KODU]],YMKODLARI!$A$1:$K$363,6,0)," ")</f>
        <v>44.5</v>
      </c>
      <c r="S20" s="100">
        <f>IFERROR(Tablo516[[#This Row],[YOLLUK HARİÇ BASKI GRAMI]]/Tablo516[[#This Row],[KALIP GÖZ ADEDİ]]," ")</f>
        <v>5.5625</v>
      </c>
      <c r="T20" s="100">
        <f t="shared" si="2"/>
        <v>7.2000000000000028</v>
      </c>
      <c r="U20" s="116">
        <v>4.0999999999999996</v>
      </c>
      <c r="V20" s="100">
        <f t="shared" si="1"/>
        <v>26.972999999999999</v>
      </c>
      <c r="W20" s="101">
        <f t="shared" si="3"/>
        <v>24.416666666666668</v>
      </c>
      <c r="X20" s="102">
        <f t="shared" si="4"/>
        <v>10.000000000000028</v>
      </c>
      <c r="Y20" s="100">
        <f t="shared" si="5"/>
        <v>5.14</v>
      </c>
      <c r="Z20" s="100">
        <f t="shared" si="6"/>
        <v>4112</v>
      </c>
    </row>
    <row r="21" spans="1:26">
      <c r="A21" s="100" t="s">
        <v>34</v>
      </c>
      <c r="B21" s="108" t="str">
        <f>IFERROR(VLOOKUP(Tablo516[[#This Row],[ÜRÜN KODU]],YMKODLARI!$A$1:$K$363,2,0)," ")</f>
        <v>BİBERON KLASİK  UC 1 NO</v>
      </c>
      <c r="C21" s="99">
        <v>43852</v>
      </c>
      <c r="D21" s="100" t="s">
        <v>48</v>
      </c>
      <c r="E21" s="101">
        <v>0.33333333333333331</v>
      </c>
      <c r="F21" s="101">
        <v>0.75</v>
      </c>
      <c r="G21" s="100">
        <f>IFERROR(VLOOKUP(Tablo516[[#This Row],[ÜRÜN KODU]],YMKODLARI!$A$1:$K$363,3,0)," ")</f>
        <v>8</v>
      </c>
      <c r="H21" s="100">
        <f>IFERROR(VLOOKUP(Tablo516[[#This Row],[ÜRÜN KODU]],YMKODLARI!$A$1:$K$363,4,0)," ")</f>
        <v>36</v>
      </c>
      <c r="I21" s="100">
        <v>763</v>
      </c>
      <c r="J21" s="100" t="str">
        <f>IFERROR(VLOOKUP(Tablo516[[#This Row],[ÜRÜN KODU]],YMKODLARI!$A$1:$K$363,9,0)," ")</f>
        <v>Şeffaf</v>
      </c>
      <c r="K21" s="100" t="str">
        <f>IFERROR(VLOOKUP(Tablo516[[#This Row],[BOYA KODU]],Tablo14[#All],4,0)," ")</f>
        <v xml:space="preserve"> </v>
      </c>
      <c r="L21" s="100" t="str">
        <f>IFERROR(VLOOKUP(Tablo516[[#This Row],[BOYA KODU]],Tablo14[#All],6,0)," ")</f>
        <v xml:space="preserve"> </v>
      </c>
      <c r="M21" s="100" t="str">
        <f t="shared" si="0"/>
        <v xml:space="preserve"> </v>
      </c>
      <c r="N21" s="100" t="str">
        <f>IFERROR(VLOOKUP(Tablo516[[#This Row],[ÜRÜN KODU]],YMKODLARI!$A$1:$K$363,8,0)," ")</f>
        <v>HM 003</v>
      </c>
      <c r="O21" s="100" t="str">
        <f>IFERROR(VLOOKUP(Tablo516[[#This Row],[HAMMADDE KODU]],Tablo1[#All],3,0)," ")</f>
        <v>LSR 45</v>
      </c>
      <c r="P21" s="100" t="str">
        <f>IFERROR(VLOOKUP(Tablo516[[#This Row],[HAMMADDE KODU]],Tablo1[#All],4,0)," ")</f>
        <v>SETA</v>
      </c>
      <c r="Q21" s="100">
        <f>IFERROR(VLOOKUP(Tablo516[[#This Row],[ÜRÜN KODU]],YMKODLARI!$A$1:$K$363,5,0)," ")</f>
        <v>51.7</v>
      </c>
      <c r="R21" s="100">
        <f>IFERROR(VLOOKUP(Tablo516[[#This Row],[ÜRÜN KODU]],YMKODLARI!$A$1:$K$363,6,0)," ")</f>
        <v>44.5</v>
      </c>
      <c r="S21" s="100">
        <f>IFERROR(Tablo516[[#This Row],[YOLLUK HARİÇ BASKI GRAMI]]/Tablo516[[#This Row],[KALIP GÖZ ADEDİ]]," ")</f>
        <v>5.5625</v>
      </c>
      <c r="T21" s="100">
        <f t="shared" si="2"/>
        <v>7.2000000000000028</v>
      </c>
      <c r="U21" s="116">
        <v>5.8</v>
      </c>
      <c r="V21" s="100">
        <f t="shared" si="1"/>
        <v>39.753499999999995</v>
      </c>
      <c r="W21" s="101">
        <f t="shared" si="3"/>
        <v>24.416666666666668</v>
      </c>
      <c r="X21" s="102">
        <f t="shared" si="4"/>
        <v>10.000000000000028</v>
      </c>
      <c r="Y21" s="100">
        <f t="shared" si="5"/>
        <v>7.63</v>
      </c>
      <c r="Z21" s="100">
        <f t="shared" si="6"/>
        <v>6104</v>
      </c>
    </row>
    <row r="22" spans="1:26">
      <c r="A22" s="100" t="s">
        <v>34</v>
      </c>
      <c r="B22" s="108" t="str">
        <f>IFERROR(VLOOKUP(Tablo516[[#This Row],[ÜRÜN KODU]],YMKODLARI!$A$1:$K$363,2,0)," ")</f>
        <v>BİBERON KLASİK  UC 1 NO</v>
      </c>
      <c r="C22" s="99">
        <v>43853</v>
      </c>
      <c r="D22" s="100" t="s">
        <v>48</v>
      </c>
      <c r="E22" s="101">
        <v>0.33333333333333331</v>
      </c>
      <c r="F22" s="101">
        <v>0.75</v>
      </c>
      <c r="G22" s="100">
        <f>IFERROR(VLOOKUP(Tablo516[[#This Row],[ÜRÜN KODU]],YMKODLARI!$A$1:$K$363,3,0)," ")</f>
        <v>8</v>
      </c>
      <c r="H22" s="100">
        <f>IFERROR(VLOOKUP(Tablo516[[#This Row],[ÜRÜN KODU]],YMKODLARI!$A$1:$K$363,4,0)," ")</f>
        <v>36</v>
      </c>
      <c r="I22" s="100">
        <v>786</v>
      </c>
      <c r="J22" s="100" t="str">
        <f>IFERROR(VLOOKUP(Tablo516[[#This Row],[ÜRÜN KODU]],YMKODLARI!$A$1:$K$363,9,0)," ")</f>
        <v>Şeffaf</v>
      </c>
      <c r="K22" s="100" t="str">
        <f>IFERROR(VLOOKUP(Tablo516[[#This Row],[BOYA KODU]],Tablo14[#All],4,0)," ")</f>
        <v xml:space="preserve"> </v>
      </c>
      <c r="L22" s="100" t="str">
        <f>IFERROR(VLOOKUP(Tablo516[[#This Row],[BOYA KODU]],Tablo14[#All],6,0)," ")</f>
        <v xml:space="preserve"> </v>
      </c>
      <c r="M22" s="100" t="str">
        <f t="shared" si="0"/>
        <v xml:space="preserve"> </v>
      </c>
      <c r="N22" s="100" t="str">
        <f>IFERROR(VLOOKUP(Tablo516[[#This Row],[ÜRÜN KODU]],YMKODLARI!$A$1:$K$363,8,0)," ")</f>
        <v>HM 003</v>
      </c>
      <c r="O22" s="100" t="str">
        <f>IFERROR(VLOOKUP(Tablo516[[#This Row],[HAMMADDE KODU]],Tablo1[#All],3,0)," ")</f>
        <v>LSR 45</v>
      </c>
      <c r="P22" s="100" t="str">
        <f>IFERROR(VLOOKUP(Tablo516[[#This Row],[HAMMADDE KODU]],Tablo1[#All],4,0)," ")</f>
        <v>SETA</v>
      </c>
      <c r="Q22" s="100">
        <f>IFERROR(VLOOKUP(Tablo516[[#This Row],[ÜRÜN KODU]],YMKODLARI!$A$1:$K$363,5,0)," ")</f>
        <v>51.7</v>
      </c>
      <c r="R22" s="100">
        <f>IFERROR(VLOOKUP(Tablo516[[#This Row],[ÜRÜN KODU]],YMKODLARI!$A$1:$K$363,6,0)," ")</f>
        <v>44.5</v>
      </c>
      <c r="S22" s="100">
        <f>IFERROR(Tablo516[[#This Row],[YOLLUK HARİÇ BASKI GRAMI]]/Tablo516[[#This Row],[KALIP GÖZ ADEDİ]]," ")</f>
        <v>5.5625</v>
      </c>
      <c r="T22" s="100">
        <f t="shared" si="2"/>
        <v>7.2000000000000028</v>
      </c>
      <c r="U22" s="116">
        <v>6.75</v>
      </c>
      <c r="V22" s="100">
        <f t="shared" si="1"/>
        <v>41.726999999999997</v>
      </c>
      <c r="W22" s="101">
        <f t="shared" si="3"/>
        <v>24.416666666666668</v>
      </c>
      <c r="X22" s="102">
        <f t="shared" si="4"/>
        <v>10.000000000000028</v>
      </c>
      <c r="Y22" s="100">
        <f t="shared" si="5"/>
        <v>7.86</v>
      </c>
      <c r="Z22" s="100">
        <f t="shared" si="6"/>
        <v>6288</v>
      </c>
    </row>
    <row r="23" spans="1:26">
      <c r="A23" s="100" t="s">
        <v>34</v>
      </c>
      <c r="B23" s="108" t="str">
        <f>IFERROR(VLOOKUP(Tablo516[[#This Row],[ÜRÜN KODU]],YMKODLARI!$A$1:$K$363,2,0)," ")</f>
        <v>BİBERON KLASİK  UC 1 NO</v>
      </c>
      <c r="C23" s="99">
        <v>43854</v>
      </c>
      <c r="D23" s="100" t="s">
        <v>48</v>
      </c>
      <c r="E23" s="101">
        <v>0.33333333333333331</v>
      </c>
      <c r="F23" s="101">
        <v>0.75</v>
      </c>
      <c r="G23" s="100">
        <f>IFERROR(VLOOKUP(Tablo516[[#This Row],[ÜRÜN KODU]],YMKODLARI!$A$1:$K$363,3,0)," ")</f>
        <v>8</v>
      </c>
      <c r="H23" s="100">
        <f>IFERROR(VLOOKUP(Tablo516[[#This Row],[ÜRÜN KODU]],YMKODLARI!$A$1:$K$363,4,0)," ")</f>
        <v>36</v>
      </c>
      <c r="I23" s="100">
        <v>561</v>
      </c>
      <c r="J23" s="100" t="str">
        <f>IFERROR(VLOOKUP(Tablo516[[#This Row],[ÜRÜN KODU]],YMKODLARI!$A$1:$K$363,9,0)," ")</f>
        <v>Şeffaf</v>
      </c>
      <c r="K23" s="100" t="str">
        <f>IFERROR(VLOOKUP(Tablo516[[#This Row],[BOYA KODU]],Tablo14[#All],4,0)," ")</f>
        <v xml:space="preserve"> </v>
      </c>
      <c r="L23" s="100" t="str">
        <f>IFERROR(VLOOKUP(Tablo516[[#This Row],[BOYA KODU]],Tablo14[#All],6,0)," ")</f>
        <v xml:space="preserve"> </v>
      </c>
      <c r="M23" s="100" t="str">
        <f t="shared" si="0"/>
        <v xml:space="preserve"> </v>
      </c>
      <c r="N23" s="100" t="str">
        <f>IFERROR(VLOOKUP(Tablo516[[#This Row],[ÜRÜN KODU]],YMKODLARI!$A$1:$K$363,8,0)," ")</f>
        <v>HM 003</v>
      </c>
      <c r="O23" s="100" t="str">
        <f>IFERROR(VLOOKUP(Tablo516[[#This Row],[HAMMADDE KODU]],Tablo1[#All],3,0)," ")</f>
        <v>LSR 45</v>
      </c>
      <c r="P23" s="100" t="str">
        <f>IFERROR(VLOOKUP(Tablo516[[#This Row],[HAMMADDE KODU]],Tablo1[#All],4,0)," ")</f>
        <v>SETA</v>
      </c>
      <c r="Q23" s="100">
        <f>IFERROR(VLOOKUP(Tablo516[[#This Row],[ÜRÜN KODU]],YMKODLARI!$A$1:$K$363,5,0)," ")</f>
        <v>51.7</v>
      </c>
      <c r="R23" s="100">
        <f>IFERROR(VLOOKUP(Tablo516[[#This Row],[ÜRÜN KODU]],YMKODLARI!$A$1:$K$363,6,0)," ")</f>
        <v>44.5</v>
      </c>
      <c r="S23" s="100">
        <f>IFERROR(Tablo516[[#This Row],[YOLLUK HARİÇ BASKI GRAMI]]/Tablo516[[#This Row],[KALIP GÖZ ADEDİ]]," ")</f>
        <v>5.5625</v>
      </c>
      <c r="T23" s="100">
        <f t="shared" si="2"/>
        <v>7.2000000000000028</v>
      </c>
      <c r="U23" s="116">
        <v>5.7</v>
      </c>
      <c r="V23" s="100">
        <f t="shared" si="1"/>
        <v>30.6645</v>
      </c>
      <c r="W23" s="101">
        <f t="shared" si="3"/>
        <v>24.416666666666668</v>
      </c>
      <c r="X23" s="102">
        <f t="shared" si="4"/>
        <v>10.000000000000028</v>
      </c>
      <c r="Y23" s="100">
        <f t="shared" si="5"/>
        <v>5.61</v>
      </c>
      <c r="Z23" s="100">
        <f t="shared" si="6"/>
        <v>4488</v>
      </c>
    </row>
    <row r="24" spans="1:26">
      <c r="A24" s="100" t="s">
        <v>34</v>
      </c>
      <c r="B24" s="108" t="str">
        <f>IFERROR(VLOOKUP(Tablo516[[#This Row],[ÜRÜN KODU]],YMKODLARI!$A$1:$K$363,2,0)," ")</f>
        <v>BİBERON KLASİK  UC 1 NO</v>
      </c>
      <c r="C24" s="99">
        <v>43857</v>
      </c>
      <c r="D24" s="100" t="s">
        <v>48</v>
      </c>
      <c r="E24" s="101">
        <v>0.33333333333333331</v>
      </c>
      <c r="F24" s="101">
        <v>0.75</v>
      </c>
      <c r="G24" s="100">
        <f>IFERROR(VLOOKUP(Tablo516[[#This Row],[ÜRÜN KODU]],YMKODLARI!$A$1:$K$363,3,0)," ")</f>
        <v>8</v>
      </c>
      <c r="H24" s="100">
        <f>IFERROR(VLOOKUP(Tablo516[[#This Row],[ÜRÜN KODU]],YMKODLARI!$A$1:$K$363,4,0)," ")</f>
        <v>36</v>
      </c>
      <c r="I24" s="100">
        <v>810</v>
      </c>
      <c r="J24" s="100" t="str">
        <f>IFERROR(VLOOKUP(Tablo516[[#This Row],[ÜRÜN KODU]],YMKODLARI!$A$1:$K$363,9,0)," ")</f>
        <v>Şeffaf</v>
      </c>
      <c r="K24" s="100" t="str">
        <f>IFERROR(VLOOKUP(Tablo516[[#This Row],[BOYA KODU]],Tablo14[#All],4,0)," ")</f>
        <v xml:space="preserve"> </v>
      </c>
      <c r="L24" s="100" t="str">
        <f>IFERROR(VLOOKUP(Tablo516[[#This Row],[BOYA KODU]],Tablo14[#All],6,0)," ")</f>
        <v xml:space="preserve"> </v>
      </c>
      <c r="M24" s="100" t="str">
        <f t="shared" si="0"/>
        <v xml:space="preserve"> </v>
      </c>
      <c r="N24" s="100" t="str">
        <f>IFERROR(VLOOKUP(Tablo516[[#This Row],[ÜRÜN KODU]],YMKODLARI!$A$1:$K$363,8,0)," ")</f>
        <v>HM 003</v>
      </c>
      <c r="O24" s="100" t="str">
        <f>IFERROR(VLOOKUP(Tablo516[[#This Row],[HAMMADDE KODU]],Tablo1[#All],3,0)," ")</f>
        <v>LSR 45</v>
      </c>
      <c r="P24" s="100" t="str">
        <f>IFERROR(VLOOKUP(Tablo516[[#This Row],[HAMMADDE KODU]],Tablo1[#All],4,0)," ")</f>
        <v>SETA</v>
      </c>
      <c r="Q24" s="100">
        <f>IFERROR(VLOOKUP(Tablo516[[#This Row],[ÜRÜN KODU]],YMKODLARI!$A$1:$K$363,5,0)," ")</f>
        <v>51.7</v>
      </c>
      <c r="R24" s="100">
        <f>IFERROR(VLOOKUP(Tablo516[[#This Row],[ÜRÜN KODU]],YMKODLARI!$A$1:$K$363,6,0)," ")</f>
        <v>44.5</v>
      </c>
      <c r="S24" s="100">
        <f>IFERROR(Tablo516[[#This Row],[YOLLUK HARİÇ BASKI GRAMI]]/Tablo516[[#This Row],[KALIP GÖZ ADEDİ]]," ")</f>
        <v>5.5625</v>
      </c>
      <c r="T24" s="100">
        <f t="shared" si="2"/>
        <v>7.2000000000000028</v>
      </c>
      <c r="U24" s="116">
        <v>6</v>
      </c>
      <c r="V24" s="100">
        <f t="shared" si="1"/>
        <v>42.045000000000002</v>
      </c>
      <c r="W24" s="101">
        <f t="shared" si="3"/>
        <v>24.416666666666668</v>
      </c>
      <c r="X24" s="102">
        <f t="shared" si="4"/>
        <v>10.000000000000028</v>
      </c>
      <c r="Y24" s="100">
        <f t="shared" si="5"/>
        <v>8.1</v>
      </c>
      <c r="Z24" s="100">
        <f t="shared" si="6"/>
        <v>6480</v>
      </c>
    </row>
    <row r="25" spans="1:26">
      <c r="A25" s="100" t="s">
        <v>34</v>
      </c>
      <c r="B25" s="108" t="str">
        <f>IFERROR(VLOOKUP(Tablo516[[#This Row],[ÜRÜN KODU]],YMKODLARI!$A$1:$K$363,2,0)," ")</f>
        <v>BİBERON KLASİK  UC 1 NO</v>
      </c>
      <c r="C25" s="99">
        <v>43858</v>
      </c>
      <c r="D25" s="100" t="s">
        <v>48</v>
      </c>
      <c r="E25" s="101">
        <v>0.33333333333333331</v>
      </c>
      <c r="F25" s="101">
        <v>0.75</v>
      </c>
      <c r="G25" s="100">
        <f>IFERROR(VLOOKUP(Tablo516[[#This Row],[ÜRÜN KODU]],YMKODLARI!$A$1:$K$363,3,0)," ")</f>
        <v>8</v>
      </c>
      <c r="H25" s="100">
        <f>IFERROR(VLOOKUP(Tablo516[[#This Row],[ÜRÜN KODU]],YMKODLARI!$A$1:$K$363,4,0)," ")</f>
        <v>36</v>
      </c>
      <c r="I25" s="100">
        <v>823</v>
      </c>
      <c r="J25" s="100" t="str">
        <f>IFERROR(VLOOKUP(Tablo516[[#This Row],[ÜRÜN KODU]],YMKODLARI!$A$1:$K$363,9,0)," ")</f>
        <v>Şeffaf</v>
      </c>
      <c r="K25" s="100" t="str">
        <f>IFERROR(VLOOKUP(Tablo516[[#This Row],[BOYA KODU]],Tablo14[#All],4,0)," ")</f>
        <v xml:space="preserve"> </v>
      </c>
      <c r="L25" s="100" t="str">
        <f>IFERROR(VLOOKUP(Tablo516[[#This Row],[BOYA KODU]],Tablo14[#All],6,0)," ")</f>
        <v xml:space="preserve"> </v>
      </c>
      <c r="M25" s="100" t="str">
        <f t="shared" si="0"/>
        <v xml:space="preserve"> </v>
      </c>
      <c r="N25" s="100" t="str">
        <f>IFERROR(VLOOKUP(Tablo516[[#This Row],[ÜRÜN KODU]],YMKODLARI!$A$1:$K$363,8,0)," ")</f>
        <v>HM 003</v>
      </c>
      <c r="O25" s="100" t="str">
        <f>IFERROR(VLOOKUP(Tablo516[[#This Row],[HAMMADDE KODU]],Tablo1[#All],3,0)," ")</f>
        <v>LSR 45</v>
      </c>
      <c r="P25" s="100" t="str">
        <f>IFERROR(VLOOKUP(Tablo516[[#This Row],[HAMMADDE KODU]],Tablo1[#All],4,0)," ")</f>
        <v>SETA</v>
      </c>
      <c r="Q25" s="100">
        <f>IFERROR(VLOOKUP(Tablo516[[#This Row],[ÜRÜN KODU]],YMKODLARI!$A$1:$K$363,5,0)," ")</f>
        <v>51.7</v>
      </c>
      <c r="R25" s="100">
        <f>IFERROR(VLOOKUP(Tablo516[[#This Row],[ÜRÜN KODU]],YMKODLARI!$A$1:$K$363,6,0)," ")</f>
        <v>44.5</v>
      </c>
      <c r="S25" s="100">
        <f>IFERROR(Tablo516[[#This Row],[YOLLUK HARİÇ BASKI GRAMI]]/Tablo516[[#This Row],[KALIP GÖZ ADEDİ]]," ")</f>
        <v>5.5625</v>
      </c>
      <c r="T25" s="100">
        <f t="shared" si="2"/>
        <v>7.2000000000000028</v>
      </c>
      <c r="U25" s="116">
        <v>6.7</v>
      </c>
      <c r="V25" s="100">
        <f t="shared" si="1"/>
        <v>43.323500000000003</v>
      </c>
      <c r="W25" s="101">
        <f t="shared" si="3"/>
        <v>24.416666666666668</v>
      </c>
      <c r="X25" s="102">
        <f t="shared" si="4"/>
        <v>10.000000000000028</v>
      </c>
      <c r="Y25" s="100">
        <f t="shared" si="5"/>
        <v>8.23</v>
      </c>
      <c r="Z25" s="100">
        <f t="shared" si="6"/>
        <v>6584</v>
      </c>
    </row>
    <row r="26" spans="1:26">
      <c r="A26" s="100" t="s">
        <v>34</v>
      </c>
      <c r="B26" s="108" t="str">
        <f>IFERROR(VLOOKUP(Tablo516[[#This Row],[ÜRÜN KODU]],YMKODLARI!$A$1:$K$363,2,0)," ")</f>
        <v>BİBERON KLASİK  UC 1 NO</v>
      </c>
      <c r="C26" s="99">
        <v>43859</v>
      </c>
      <c r="D26" s="100" t="s">
        <v>48</v>
      </c>
      <c r="E26" s="101">
        <v>0.33333333333333331</v>
      </c>
      <c r="F26" s="101">
        <v>0.75</v>
      </c>
      <c r="G26" s="100">
        <f>IFERROR(VLOOKUP(Tablo516[[#This Row],[ÜRÜN KODU]],YMKODLARI!$A$1:$K$363,3,0)," ")</f>
        <v>8</v>
      </c>
      <c r="H26" s="100">
        <f>IFERROR(VLOOKUP(Tablo516[[#This Row],[ÜRÜN KODU]],YMKODLARI!$A$1:$K$363,4,0)," ")</f>
        <v>36</v>
      </c>
      <c r="I26" s="100">
        <v>783</v>
      </c>
      <c r="J26" s="100" t="str">
        <f>IFERROR(VLOOKUP(Tablo516[[#This Row],[ÜRÜN KODU]],YMKODLARI!$A$1:$K$363,9,0)," ")</f>
        <v>Şeffaf</v>
      </c>
      <c r="K26" s="100" t="str">
        <f>IFERROR(VLOOKUP(Tablo516[[#This Row],[BOYA KODU]],Tablo14[#All],4,0)," ")</f>
        <v xml:space="preserve"> </v>
      </c>
      <c r="L26" s="100" t="str">
        <f>IFERROR(VLOOKUP(Tablo516[[#This Row],[BOYA KODU]],Tablo14[#All],6,0)," ")</f>
        <v xml:space="preserve"> </v>
      </c>
      <c r="M26" s="100" t="str">
        <f t="shared" si="0"/>
        <v xml:space="preserve"> </v>
      </c>
      <c r="N26" s="100" t="str">
        <f>IFERROR(VLOOKUP(Tablo516[[#This Row],[ÜRÜN KODU]],YMKODLARI!$A$1:$K$363,8,0)," ")</f>
        <v>HM 003</v>
      </c>
      <c r="O26" s="100" t="str">
        <f>IFERROR(VLOOKUP(Tablo516[[#This Row],[HAMMADDE KODU]],Tablo1[#All],3,0)," ")</f>
        <v>LSR 45</v>
      </c>
      <c r="P26" s="100" t="str">
        <f>IFERROR(VLOOKUP(Tablo516[[#This Row],[HAMMADDE KODU]],Tablo1[#All],4,0)," ")</f>
        <v>SETA</v>
      </c>
      <c r="Q26" s="100">
        <f>IFERROR(VLOOKUP(Tablo516[[#This Row],[ÜRÜN KODU]],YMKODLARI!$A$1:$K$363,5,0)," ")</f>
        <v>51.7</v>
      </c>
      <c r="R26" s="100">
        <f>IFERROR(VLOOKUP(Tablo516[[#This Row],[ÜRÜN KODU]],YMKODLARI!$A$1:$K$363,6,0)," ")</f>
        <v>44.5</v>
      </c>
      <c r="S26" s="100">
        <f>IFERROR(Tablo516[[#This Row],[YOLLUK HARİÇ BASKI GRAMI]]/Tablo516[[#This Row],[KALIP GÖZ ADEDİ]]," ")</f>
        <v>5.5625</v>
      </c>
      <c r="T26" s="100">
        <f t="shared" si="2"/>
        <v>7.2000000000000028</v>
      </c>
      <c r="U26" s="116">
        <v>6.09</v>
      </c>
      <c r="V26" s="100">
        <f t="shared" si="1"/>
        <v>40.933499999999995</v>
      </c>
      <c r="W26" s="101">
        <f t="shared" si="3"/>
        <v>24.416666666666668</v>
      </c>
      <c r="X26" s="102">
        <f t="shared" si="4"/>
        <v>10.000000000000028</v>
      </c>
      <c r="Y26" s="100">
        <f t="shared" si="5"/>
        <v>7.83</v>
      </c>
      <c r="Z26" s="100">
        <f t="shared" si="6"/>
        <v>6264</v>
      </c>
    </row>
    <row r="27" spans="1:26">
      <c r="A27" s="100" t="s">
        <v>34</v>
      </c>
      <c r="B27" s="108" t="str">
        <f>IFERROR(VLOOKUP(Tablo516[[#This Row],[ÜRÜN KODU]],YMKODLARI!$A$1:$K$363,2,0)," ")</f>
        <v>BİBERON KLASİK  UC 1 NO</v>
      </c>
      <c r="C27" s="99">
        <v>43860</v>
      </c>
      <c r="D27" s="100" t="s">
        <v>48</v>
      </c>
      <c r="E27" s="101">
        <v>0.33333333333333331</v>
      </c>
      <c r="F27" s="101">
        <v>0.79166666666666663</v>
      </c>
      <c r="G27" s="100">
        <f>IFERROR(VLOOKUP(Tablo516[[#This Row],[ÜRÜN KODU]],YMKODLARI!$A$1:$K$363,3,0)," ")</f>
        <v>8</v>
      </c>
      <c r="H27" s="100">
        <f>IFERROR(VLOOKUP(Tablo516[[#This Row],[ÜRÜN KODU]],YMKODLARI!$A$1:$K$363,4,0)," ")</f>
        <v>36</v>
      </c>
      <c r="I27" s="100">
        <v>780</v>
      </c>
      <c r="J27" s="100" t="str">
        <f>IFERROR(VLOOKUP(Tablo516[[#This Row],[ÜRÜN KODU]],YMKODLARI!$A$1:$K$363,9,0)," ")</f>
        <v>Şeffaf</v>
      </c>
      <c r="K27" s="100" t="str">
        <f>IFERROR(VLOOKUP(Tablo516[[#This Row],[BOYA KODU]],Tablo14[#All],4,0)," ")</f>
        <v xml:space="preserve"> </v>
      </c>
      <c r="L27" s="100" t="str">
        <f>IFERROR(VLOOKUP(Tablo516[[#This Row],[BOYA KODU]],Tablo14[#All],6,0)," ")</f>
        <v xml:space="preserve"> </v>
      </c>
      <c r="M27" s="100" t="str">
        <f t="shared" si="0"/>
        <v xml:space="preserve"> </v>
      </c>
      <c r="N27" s="100" t="str">
        <f>IFERROR(VLOOKUP(Tablo516[[#This Row],[ÜRÜN KODU]],YMKODLARI!$A$1:$K$363,8,0)," ")</f>
        <v>HM 003</v>
      </c>
      <c r="O27" s="100" t="str">
        <f>IFERROR(VLOOKUP(Tablo516[[#This Row],[HAMMADDE KODU]],Tablo1[#All],3,0)," ")</f>
        <v>LSR 45</v>
      </c>
      <c r="P27" s="100" t="str">
        <f>IFERROR(VLOOKUP(Tablo516[[#This Row],[HAMMADDE KODU]],Tablo1[#All],4,0)," ")</f>
        <v>SETA</v>
      </c>
      <c r="Q27" s="100">
        <f>IFERROR(VLOOKUP(Tablo516[[#This Row],[ÜRÜN KODU]],YMKODLARI!$A$1:$K$363,5,0)," ")</f>
        <v>51.7</v>
      </c>
      <c r="R27" s="100">
        <f>IFERROR(VLOOKUP(Tablo516[[#This Row],[ÜRÜN KODU]],YMKODLARI!$A$1:$K$363,6,0)," ")</f>
        <v>44.5</v>
      </c>
      <c r="S27" s="100">
        <f>IFERROR(Tablo516[[#This Row],[YOLLUK HARİÇ BASKI GRAMI]]/Tablo516[[#This Row],[KALIP GÖZ ADEDİ]]," ")</f>
        <v>5.5625</v>
      </c>
      <c r="T27" s="100">
        <f t="shared" si="2"/>
        <v>7.2000000000000028</v>
      </c>
      <c r="U27" s="116">
        <v>5.9</v>
      </c>
      <c r="V27" s="100">
        <f t="shared" si="1"/>
        <v>40.61</v>
      </c>
      <c r="W27" s="101">
        <f t="shared" si="3"/>
        <v>24.458333333333332</v>
      </c>
      <c r="X27" s="102">
        <f t="shared" si="4"/>
        <v>10.999999999999972</v>
      </c>
      <c r="Y27" s="100">
        <f t="shared" si="5"/>
        <v>7.8</v>
      </c>
      <c r="Z27" s="100">
        <f t="shared" si="6"/>
        <v>6240</v>
      </c>
    </row>
    <row r="28" spans="1:26">
      <c r="A28" s="100" t="s">
        <v>34</v>
      </c>
      <c r="B28" s="108" t="str">
        <f>IFERROR(VLOOKUP(Tablo516[[#This Row],[ÜRÜN KODU]],YMKODLARI!$A$1:$K$363,2,0)," ")</f>
        <v>BİBERON KLASİK  UC 1 NO</v>
      </c>
      <c r="C28" s="99">
        <v>43861</v>
      </c>
      <c r="D28" s="100" t="s">
        <v>48</v>
      </c>
      <c r="E28" s="101">
        <v>0.33333333333333331</v>
      </c>
      <c r="F28" s="101">
        <v>0.72916666666666663</v>
      </c>
      <c r="G28" s="100">
        <f>IFERROR(VLOOKUP(Tablo516[[#This Row],[ÜRÜN KODU]],YMKODLARI!$A$1:$K$363,3,0)," ")</f>
        <v>8</v>
      </c>
      <c r="H28" s="100">
        <f>IFERROR(VLOOKUP(Tablo516[[#This Row],[ÜRÜN KODU]],YMKODLARI!$A$1:$K$363,4,0)," ")</f>
        <v>36</v>
      </c>
      <c r="I28" s="100">
        <v>690</v>
      </c>
      <c r="J28" s="100" t="str">
        <f>IFERROR(VLOOKUP(Tablo516[[#This Row],[ÜRÜN KODU]],YMKODLARI!$A$1:$K$363,9,0)," ")</f>
        <v>Şeffaf</v>
      </c>
      <c r="K28" s="100" t="str">
        <f>IFERROR(VLOOKUP(Tablo516[[#This Row],[BOYA KODU]],Tablo14[#All],4,0)," ")</f>
        <v xml:space="preserve"> </v>
      </c>
      <c r="L28" s="100" t="str">
        <f>IFERROR(VLOOKUP(Tablo516[[#This Row],[BOYA KODU]],Tablo14[#All],6,0)," ")</f>
        <v xml:space="preserve"> </v>
      </c>
      <c r="M28" s="100" t="str">
        <f t="shared" si="0"/>
        <v xml:space="preserve"> </v>
      </c>
      <c r="N28" s="100" t="str">
        <f>IFERROR(VLOOKUP(Tablo516[[#This Row],[ÜRÜN KODU]],YMKODLARI!$A$1:$K$363,8,0)," ")</f>
        <v>HM 003</v>
      </c>
      <c r="O28" s="100" t="str">
        <f>IFERROR(VLOOKUP(Tablo516[[#This Row],[HAMMADDE KODU]],Tablo1[#All],3,0)," ")</f>
        <v>LSR 45</v>
      </c>
      <c r="P28" s="100" t="str">
        <f>IFERROR(VLOOKUP(Tablo516[[#This Row],[HAMMADDE KODU]],Tablo1[#All],4,0)," ")</f>
        <v>SETA</v>
      </c>
      <c r="Q28" s="100">
        <f>IFERROR(VLOOKUP(Tablo516[[#This Row],[ÜRÜN KODU]],YMKODLARI!$A$1:$K$363,5,0)," ")</f>
        <v>51.7</v>
      </c>
      <c r="R28" s="100">
        <f>IFERROR(VLOOKUP(Tablo516[[#This Row],[ÜRÜN KODU]],YMKODLARI!$A$1:$K$363,6,0)," ")</f>
        <v>44.5</v>
      </c>
      <c r="S28" s="100">
        <f>IFERROR(Tablo516[[#This Row],[YOLLUK HARİÇ BASKI GRAMI]]/Tablo516[[#This Row],[KALIP GÖZ ADEDİ]]," ")</f>
        <v>5.5625</v>
      </c>
      <c r="T28" s="100">
        <f t="shared" si="2"/>
        <v>7.2000000000000028</v>
      </c>
      <c r="U28" s="116">
        <v>5.53</v>
      </c>
      <c r="V28" s="100">
        <f t="shared" si="1"/>
        <v>36.234999999999999</v>
      </c>
      <c r="W28" s="101">
        <f t="shared" si="3"/>
        <v>24.395833333333332</v>
      </c>
      <c r="X28" s="102">
        <f t="shared" si="4"/>
        <v>9.4999999999999716</v>
      </c>
      <c r="Y28" s="100">
        <f t="shared" si="5"/>
        <v>6.9</v>
      </c>
      <c r="Z28" s="100">
        <f t="shared" si="6"/>
        <v>5520</v>
      </c>
    </row>
    <row r="29" spans="1:26">
      <c r="A29" s="100" t="s">
        <v>34</v>
      </c>
      <c r="B29" s="108" t="str">
        <f>IFERROR(VLOOKUP(Tablo516[[#This Row],[ÜRÜN KODU]],YMKODLARI!$A$1:$K$363,2,0)," ")</f>
        <v>BİBERON KLASİK  UC 1 NO</v>
      </c>
      <c r="C29" s="99">
        <v>43864</v>
      </c>
      <c r="D29" s="100" t="s">
        <v>48</v>
      </c>
      <c r="E29" s="101">
        <v>0.33333333333333331</v>
      </c>
      <c r="F29" s="101">
        <v>0.75</v>
      </c>
      <c r="G29" s="100">
        <f>IFERROR(VLOOKUP(Tablo516[[#This Row],[ÜRÜN KODU]],YMKODLARI!$A$1:$K$363,3,0)," ")</f>
        <v>8</v>
      </c>
      <c r="H29" s="100">
        <f>IFERROR(VLOOKUP(Tablo516[[#This Row],[ÜRÜN KODU]],YMKODLARI!$A$1:$K$363,4,0)," ")</f>
        <v>36</v>
      </c>
      <c r="I29" s="109">
        <v>797</v>
      </c>
      <c r="J29" s="100" t="str">
        <f>IFERROR(VLOOKUP(Tablo516[[#This Row],[ÜRÜN KODU]],YMKODLARI!$A$1:$K$363,9,0)," ")</f>
        <v>Şeffaf</v>
      </c>
      <c r="K29" s="100" t="str">
        <f>IFERROR(VLOOKUP(Tablo516[[#This Row],[BOYA KODU]],Tablo14[#All],4,0)," ")</f>
        <v xml:space="preserve"> </v>
      </c>
      <c r="L29" s="100" t="str">
        <f>IFERROR(VLOOKUP(Tablo516[[#This Row],[BOYA KODU]],Tablo14[#All],6,0)," ")</f>
        <v xml:space="preserve"> </v>
      </c>
      <c r="M29" s="100" t="str">
        <f t="shared" si="0"/>
        <v xml:space="preserve"> </v>
      </c>
      <c r="N29" s="100" t="str">
        <f>IFERROR(VLOOKUP(Tablo516[[#This Row],[ÜRÜN KODU]],YMKODLARI!$A$1:$K$363,8,0)," ")</f>
        <v>HM 003</v>
      </c>
      <c r="O29" s="100" t="str">
        <f>IFERROR(VLOOKUP(Tablo516[[#This Row],[HAMMADDE KODU]],Tablo1[#All],3,0)," ")</f>
        <v>LSR 45</v>
      </c>
      <c r="P29" s="100" t="str">
        <f>IFERROR(VLOOKUP(Tablo516[[#This Row],[HAMMADDE KODU]],Tablo1[#All],4,0)," ")</f>
        <v>SETA</v>
      </c>
      <c r="Q29" s="100">
        <f>IFERROR(VLOOKUP(Tablo516[[#This Row],[ÜRÜN KODU]],YMKODLARI!$A$1:$K$363,5,0)," ")</f>
        <v>51.7</v>
      </c>
      <c r="R29" s="100">
        <f>IFERROR(VLOOKUP(Tablo516[[#This Row],[ÜRÜN KODU]],YMKODLARI!$A$1:$K$363,6,0)," ")</f>
        <v>44.5</v>
      </c>
      <c r="S29" s="100">
        <f>IFERROR(Tablo516[[#This Row],[YOLLUK HARİÇ BASKI GRAMI]]/Tablo516[[#This Row],[KALIP GÖZ ADEDİ]]," ")</f>
        <v>5.5625</v>
      </c>
      <c r="T29" s="100">
        <f t="shared" si="2"/>
        <v>7.2000000000000028</v>
      </c>
      <c r="U29" s="117">
        <v>6.67</v>
      </c>
      <c r="V29" s="100">
        <f t="shared" si="1"/>
        <v>42.136500000000005</v>
      </c>
      <c r="W29" s="101">
        <f t="shared" si="3"/>
        <v>24.416666666666668</v>
      </c>
      <c r="X29" s="102">
        <f t="shared" si="4"/>
        <v>10.000000000000028</v>
      </c>
      <c r="Y29" s="100">
        <f t="shared" si="5"/>
        <v>7.97</v>
      </c>
      <c r="Z29" s="100">
        <f t="shared" si="6"/>
        <v>6376</v>
      </c>
    </row>
    <row r="30" spans="1:26">
      <c r="A30" s="100" t="s">
        <v>34</v>
      </c>
      <c r="B30" s="108" t="str">
        <f>IFERROR(VLOOKUP(Tablo516[[#This Row],[ÜRÜN KODU]],YMKODLARI!$A$1:$K$363,2,0)," ")</f>
        <v>BİBERON KLASİK  UC 1 NO</v>
      </c>
      <c r="C30" s="99">
        <v>43865</v>
      </c>
      <c r="D30" s="100" t="s">
        <v>48</v>
      </c>
      <c r="E30" s="101">
        <v>0.33333333333333331</v>
      </c>
      <c r="F30" s="101">
        <v>0.75</v>
      </c>
      <c r="G30" s="100">
        <f>IFERROR(VLOOKUP(Tablo516[[#This Row],[ÜRÜN KODU]],YMKODLARI!$A$1:$K$363,3,0)," ")</f>
        <v>8</v>
      </c>
      <c r="H30" s="100">
        <f>IFERROR(VLOOKUP(Tablo516[[#This Row],[ÜRÜN KODU]],YMKODLARI!$A$1:$K$363,4,0)," ")</f>
        <v>36</v>
      </c>
      <c r="I30" s="109">
        <v>823</v>
      </c>
      <c r="J30" s="100" t="str">
        <f>IFERROR(VLOOKUP(Tablo516[[#This Row],[ÜRÜN KODU]],YMKODLARI!$A$1:$K$363,9,0)," ")</f>
        <v>Şeffaf</v>
      </c>
      <c r="K30" s="100" t="str">
        <f>IFERROR(VLOOKUP(Tablo516[[#This Row],[BOYA KODU]],Tablo14[#All],4,0)," ")</f>
        <v xml:space="preserve"> </v>
      </c>
      <c r="L30" s="100" t="str">
        <f>IFERROR(VLOOKUP(Tablo516[[#This Row],[BOYA KODU]],Tablo14[#All],6,0)," ")</f>
        <v xml:space="preserve"> </v>
      </c>
      <c r="M30" s="100" t="str">
        <f t="shared" si="0"/>
        <v xml:space="preserve"> </v>
      </c>
      <c r="N30" s="100" t="str">
        <f>IFERROR(VLOOKUP(Tablo516[[#This Row],[ÜRÜN KODU]],YMKODLARI!$A$1:$K$363,8,0)," ")</f>
        <v>HM 003</v>
      </c>
      <c r="O30" s="100" t="str">
        <f>IFERROR(VLOOKUP(Tablo516[[#This Row],[HAMMADDE KODU]],Tablo1[#All],3,0)," ")</f>
        <v>LSR 45</v>
      </c>
      <c r="P30" s="100" t="str">
        <f>IFERROR(VLOOKUP(Tablo516[[#This Row],[HAMMADDE KODU]],Tablo1[#All],4,0)," ")</f>
        <v>SETA</v>
      </c>
      <c r="Q30" s="100">
        <f>IFERROR(VLOOKUP(Tablo516[[#This Row],[ÜRÜN KODU]],YMKODLARI!$A$1:$K$363,5,0)," ")</f>
        <v>51.7</v>
      </c>
      <c r="R30" s="100">
        <f>IFERROR(VLOOKUP(Tablo516[[#This Row],[ÜRÜN KODU]],YMKODLARI!$A$1:$K$363,6,0)," ")</f>
        <v>44.5</v>
      </c>
      <c r="S30" s="100">
        <f>IFERROR(Tablo516[[#This Row],[YOLLUK HARİÇ BASKI GRAMI]]/Tablo516[[#This Row],[KALIP GÖZ ADEDİ]]," ")</f>
        <v>5.5625</v>
      </c>
      <c r="T30" s="100">
        <f t="shared" si="2"/>
        <v>7.2000000000000028</v>
      </c>
      <c r="U30" s="117">
        <v>6.5</v>
      </c>
      <c r="V30" s="100">
        <f t="shared" si="1"/>
        <v>43.1235</v>
      </c>
      <c r="W30" s="101">
        <f t="shared" si="3"/>
        <v>24.416666666666668</v>
      </c>
      <c r="X30" s="102">
        <f t="shared" si="4"/>
        <v>10.000000000000028</v>
      </c>
      <c r="Y30" s="100">
        <f t="shared" si="5"/>
        <v>8.23</v>
      </c>
      <c r="Z30" s="100">
        <f t="shared" si="6"/>
        <v>6584</v>
      </c>
    </row>
    <row r="31" spans="1:26">
      <c r="A31" s="100" t="s">
        <v>34</v>
      </c>
      <c r="B31" s="108" t="str">
        <f>IFERROR(VLOOKUP(Tablo516[[#This Row],[ÜRÜN KODU]],YMKODLARI!$A$1:$K$363,2,0)," ")</f>
        <v>BİBERON KLASİK  UC 1 NO</v>
      </c>
      <c r="C31" s="99">
        <v>43866</v>
      </c>
      <c r="D31" s="100" t="s">
        <v>48</v>
      </c>
      <c r="E31" s="101">
        <v>0.33333333333333331</v>
      </c>
      <c r="F31" s="101">
        <v>0.67152777777777783</v>
      </c>
      <c r="G31" s="100">
        <f>IFERROR(VLOOKUP(Tablo516[[#This Row],[ÜRÜN KODU]],YMKODLARI!$A$1:$K$363,3,0)," ")</f>
        <v>8</v>
      </c>
      <c r="H31" s="100">
        <f>IFERROR(VLOOKUP(Tablo516[[#This Row],[ÜRÜN KODU]],YMKODLARI!$A$1:$K$363,4,0)," ")</f>
        <v>36</v>
      </c>
      <c r="I31" s="109">
        <v>492</v>
      </c>
      <c r="J31" s="100" t="str">
        <f>IFERROR(VLOOKUP(Tablo516[[#This Row],[ÜRÜN KODU]],YMKODLARI!$A$1:$K$363,9,0)," ")</f>
        <v>Şeffaf</v>
      </c>
      <c r="K31" s="100" t="str">
        <f>IFERROR(VLOOKUP(Tablo516[[#This Row],[BOYA KODU]],Tablo14[#All],4,0)," ")</f>
        <v xml:space="preserve"> </v>
      </c>
      <c r="L31" s="100" t="str">
        <f>IFERROR(VLOOKUP(Tablo516[[#This Row],[BOYA KODU]],Tablo14[#All],6,0)," ")</f>
        <v xml:space="preserve"> </v>
      </c>
      <c r="M31" s="100" t="str">
        <f t="shared" si="0"/>
        <v xml:space="preserve"> </v>
      </c>
      <c r="N31" s="100" t="str">
        <f>IFERROR(VLOOKUP(Tablo516[[#This Row],[ÜRÜN KODU]],YMKODLARI!$A$1:$K$363,8,0)," ")</f>
        <v>HM 003</v>
      </c>
      <c r="O31" s="100" t="str">
        <f>IFERROR(VLOOKUP(Tablo516[[#This Row],[HAMMADDE KODU]],Tablo1[#All],3,0)," ")</f>
        <v>LSR 45</v>
      </c>
      <c r="P31" s="100" t="str">
        <f>IFERROR(VLOOKUP(Tablo516[[#This Row],[HAMMADDE KODU]],Tablo1[#All],4,0)," ")</f>
        <v>SETA</v>
      </c>
      <c r="Q31" s="100">
        <f>IFERROR(VLOOKUP(Tablo516[[#This Row],[ÜRÜN KODU]],YMKODLARI!$A$1:$K$363,5,0)," ")</f>
        <v>51.7</v>
      </c>
      <c r="R31" s="100">
        <f>IFERROR(VLOOKUP(Tablo516[[#This Row],[ÜRÜN KODU]],YMKODLARI!$A$1:$K$363,6,0)," ")</f>
        <v>44.5</v>
      </c>
      <c r="S31" s="100">
        <f>IFERROR(Tablo516[[#This Row],[YOLLUK HARİÇ BASKI GRAMI]]/Tablo516[[#This Row],[KALIP GÖZ ADEDİ]]," ")</f>
        <v>5.5625</v>
      </c>
      <c r="T31" s="100">
        <f t="shared" si="2"/>
        <v>7.2000000000000028</v>
      </c>
      <c r="U31" s="117">
        <v>4.5999999999999996</v>
      </c>
      <c r="V31" s="100">
        <f t="shared" si="1"/>
        <v>26.494</v>
      </c>
      <c r="W31" s="101">
        <f t="shared" si="3"/>
        <v>24.338194444444444</v>
      </c>
      <c r="X31" s="102">
        <f t="shared" si="4"/>
        <v>8.1166666666666458</v>
      </c>
      <c r="Y31" s="100">
        <f t="shared" si="5"/>
        <v>4.92</v>
      </c>
      <c r="Z31" s="100">
        <f t="shared" si="6"/>
        <v>3936</v>
      </c>
    </row>
    <row r="32" spans="1:26">
      <c r="A32" s="100" t="s">
        <v>34</v>
      </c>
      <c r="B32" s="108" t="str">
        <f>IFERROR(VLOOKUP(Tablo516[[#This Row],[ÜRÜN KODU]],YMKODLARI!$A$1:$K$363,2,0)," ")</f>
        <v>BİBERON KLASİK  UC 1 NO</v>
      </c>
      <c r="C32" s="99">
        <v>43867</v>
      </c>
      <c r="D32" s="100" t="s">
        <v>48</v>
      </c>
      <c r="E32" s="101">
        <v>0.33333333333333331</v>
      </c>
      <c r="F32" s="101">
        <v>0.75</v>
      </c>
      <c r="G32" s="100">
        <f>IFERROR(VLOOKUP(Tablo516[[#This Row],[ÜRÜN KODU]],YMKODLARI!$A$1:$K$363,3,0)," ")</f>
        <v>8</v>
      </c>
      <c r="H32" s="100">
        <f>IFERROR(VLOOKUP(Tablo516[[#This Row],[ÜRÜN KODU]],YMKODLARI!$A$1:$K$363,4,0)," ")</f>
        <v>36</v>
      </c>
      <c r="I32" s="109">
        <v>478</v>
      </c>
      <c r="J32" s="100" t="str">
        <f>IFERROR(VLOOKUP(Tablo516[[#This Row],[ÜRÜN KODU]],YMKODLARI!$A$1:$K$363,9,0)," ")</f>
        <v>Şeffaf</v>
      </c>
      <c r="K32" s="100" t="str">
        <f>IFERROR(VLOOKUP(Tablo516[[#This Row],[BOYA KODU]],Tablo14[#All],4,0)," ")</f>
        <v xml:space="preserve"> </v>
      </c>
      <c r="L32" s="100" t="str">
        <f>IFERROR(VLOOKUP(Tablo516[[#This Row],[BOYA KODU]],Tablo14[#All],6,0)," ")</f>
        <v xml:space="preserve"> </v>
      </c>
      <c r="M32" s="100" t="str">
        <f t="shared" si="0"/>
        <v xml:space="preserve"> </v>
      </c>
      <c r="N32" s="100" t="str">
        <f>IFERROR(VLOOKUP(Tablo516[[#This Row],[ÜRÜN KODU]],YMKODLARI!$A$1:$K$363,8,0)," ")</f>
        <v>HM 003</v>
      </c>
      <c r="O32" s="100" t="str">
        <f>IFERROR(VLOOKUP(Tablo516[[#This Row],[HAMMADDE KODU]],Tablo1[#All],3,0)," ")</f>
        <v>LSR 45</v>
      </c>
      <c r="P32" s="100" t="str">
        <f>IFERROR(VLOOKUP(Tablo516[[#This Row],[HAMMADDE KODU]],Tablo1[#All],4,0)," ")</f>
        <v>SETA</v>
      </c>
      <c r="Q32" s="100">
        <f>IFERROR(VLOOKUP(Tablo516[[#This Row],[ÜRÜN KODU]],YMKODLARI!$A$1:$K$363,5,0)," ")</f>
        <v>51.7</v>
      </c>
      <c r="R32" s="100">
        <f>IFERROR(VLOOKUP(Tablo516[[#This Row],[ÜRÜN KODU]],YMKODLARI!$A$1:$K$363,6,0)," ")</f>
        <v>44.5</v>
      </c>
      <c r="S32" s="100">
        <f>IFERROR(Tablo516[[#This Row],[YOLLUK HARİÇ BASKI GRAMI]]/Tablo516[[#This Row],[KALIP GÖZ ADEDİ]]," ")</f>
        <v>5.5625</v>
      </c>
      <c r="T32" s="100">
        <f t="shared" si="2"/>
        <v>7.2000000000000028</v>
      </c>
      <c r="U32" s="117">
        <v>3.6</v>
      </c>
      <c r="V32" s="100">
        <f t="shared" si="1"/>
        <v>24.871000000000002</v>
      </c>
      <c r="W32" s="101">
        <f t="shared" si="3"/>
        <v>24.416666666666668</v>
      </c>
      <c r="X32" s="102">
        <f t="shared" si="4"/>
        <v>10.000000000000028</v>
      </c>
      <c r="Y32" s="100">
        <f t="shared" si="5"/>
        <v>4.78</v>
      </c>
      <c r="Z32" s="100">
        <f t="shared" si="6"/>
        <v>3824</v>
      </c>
    </row>
    <row r="33" spans="1:26">
      <c r="A33" s="100" t="s">
        <v>34</v>
      </c>
      <c r="B33" s="108" t="str">
        <f>IFERROR(VLOOKUP(Tablo516[[#This Row],[ÜRÜN KODU]],YMKODLARI!$A$1:$K$363,2,0)," ")</f>
        <v>BİBERON KLASİK  UC 1 NO</v>
      </c>
      <c r="C33" s="99">
        <v>43868</v>
      </c>
      <c r="D33" s="100" t="s">
        <v>48</v>
      </c>
      <c r="E33" s="101">
        <v>0.33333333333333331</v>
      </c>
      <c r="F33" s="101">
        <v>0.75</v>
      </c>
      <c r="G33" s="100">
        <f>IFERROR(VLOOKUP(Tablo516[[#This Row],[ÜRÜN KODU]],YMKODLARI!$A$1:$K$363,3,0)," ")</f>
        <v>8</v>
      </c>
      <c r="H33" s="100">
        <f>IFERROR(VLOOKUP(Tablo516[[#This Row],[ÜRÜN KODU]],YMKODLARI!$A$1:$K$363,4,0)," ")</f>
        <v>36</v>
      </c>
      <c r="I33" s="109">
        <v>722</v>
      </c>
      <c r="J33" s="100" t="str">
        <f>IFERROR(VLOOKUP(Tablo516[[#This Row],[ÜRÜN KODU]],YMKODLARI!$A$1:$K$363,9,0)," ")</f>
        <v>Şeffaf</v>
      </c>
      <c r="K33" s="100" t="str">
        <f>IFERROR(VLOOKUP(Tablo516[[#This Row],[BOYA KODU]],Tablo14[#All],4,0)," ")</f>
        <v xml:space="preserve"> </v>
      </c>
      <c r="L33" s="100" t="str">
        <f>IFERROR(VLOOKUP(Tablo516[[#This Row],[BOYA KODU]],Tablo14[#All],6,0)," ")</f>
        <v xml:space="preserve"> </v>
      </c>
      <c r="M33" s="100" t="str">
        <f t="shared" si="0"/>
        <v xml:space="preserve"> </v>
      </c>
      <c r="N33" s="100" t="str">
        <f>IFERROR(VLOOKUP(Tablo516[[#This Row],[ÜRÜN KODU]],YMKODLARI!$A$1:$K$363,8,0)," ")</f>
        <v>HM 003</v>
      </c>
      <c r="O33" s="100" t="str">
        <f>IFERROR(VLOOKUP(Tablo516[[#This Row],[HAMMADDE KODU]],Tablo1[#All],3,0)," ")</f>
        <v>LSR 45</v>
      </c>
      <c r="P33" s="100" t="str">
        <f>IFERROR(VLOOKUP(Tablo516[[#This Row],[HAMMADDE KODU]],Tablo1[#All],4,0)," ")</f>
        <v>SETA</v>
      </c>
      <c r="Q33" s="100">
        <f>IFERROR(VLOOKUP(Tablo516[[#This Row],[ÜRÜN KODU]],YMKODLARI!$A$1:$K$363,5,0)," ")</f>
        <v>51.7</v>
      </c>
      <c r="R33" s="100">
        <f>IFERROR(VLOOKUP(Tablo516[[#This Row],[ÜRÜN KODU]],YMKODLARI!$A$1:$K$363,6,0)," ")</f>
        <v>44.5</v>
      </c>
      <c r="S33" s="100">
        <f>IFERROR(Tablo516[[#This Row],[YOLLUK HARİÇ BASKI GRAMI]]/Tablo516[[#This Row],[KALIP GÖZ ADEDİ]]," ")</f>
        <v>5.5625</v>
      </c>
      <c r="T33" s="100">
        <f t="shared" si="2"/>
        <v>7.2000000000000028</v>
      </c>
      <c r="U33" s="117">
        <v>5.67</v>
      </c>
      <c r="V33" s="100">
        <f t="shared" si="1"/>
        <v>37.798999999999999</v>
      </c>
      <c r="W33" s="101">
        <f t="shared" si="3"/>
        <v>24.416666666666668</v>
      </c>
      <c r="X33" s="102">
        <f t="shared" si="4"/>
        <v>10.000000000000028</v>
      </c>
      <c r="Y33" s="100">
        <f t="shared" si="5"/>
        <v>7.22</v>
      </c>
      <c r="Z33" s="100">
        <f t="shared" si="6"/>
        <v>5776</v>
      </c>
    </row>
    <row r="34" spans="1:26">
      <c r="A34" s="100" t="s">
        <v>34</v>
      </c>
      <c r="B34" s="108" t="str">
        <f>IFERROR(VLOOKUP(Tablo516[[#This Row],[ÜRÜN KODU]],YMKODLARI!$A$1:$K$363,2,0)," ")</f>
        <v>BİBERON KLASİK  UC 1 NO</v>
      </c>
      <c r="C34" s="99">
        <v>43871</v>
      </c>
      <c r="D34" s="100" t="s">
        <v>48</v>
      </c>
      <c r="E34" s="101">
        <v>0.33333333333333331</v>
      </c>
      <c r="F34" s="101">
        <v>0.75</v>
      </c>
      <c r="G34" s="100">
        <f>IFERROR(VLOOKUP(Tablo516[[#This Row],[ÜRÜN KODU]],YMKODLARI!$A$1:$K$363,3,0)," ")</f>
        <v>8</v>
      </c>
      <c r="H34" s="100">
        <f>IFERROR(VLOOKUP(Tablo516[[#This Row],[ÜRÜN KODU]],YMKODLARI!$A$1:$K$363,4,0)," ")</f>
        <v>36</v>
      </c>
      <c r="I34" s="109">
        <v>714</v>
      </c>
      <c r="J34" s="100" t="str">
        <f>IFERROR(VLOOKUP(Tablo516[[#This Row],[ÜRÜN KODU]],YMKODLARI!$A$1:$K$363,9,0)," ")</f>
        <v>Şeffaf</v>
      </c>
      <c r="K34" s="100" t="str">
        <f>IFERROR(VLOOKUP(Tablo516[[#This Row],[BOYA KODU]],Tablo14[#All],4,0)," ")</f>
        <v xml:space="preserve"> </v>
      </c>
      <c r="L34" s="100" t="str">
        <f>IFERROR(VLOOKUP(Tablo516[[#This Row],[BOYA KODU]],Tablo14[#All],6,0)," ")</f>
        <v xml:space="preserve"> </v>
      </c>
      <c r="M34" s="100" t="str">
        <f t="shared" si="0"/>
        <v xml:space="preserve"> </v>
      </c>
      <c r="N34" s="100" t="str">
        <f>IFERROR(VLOOKUP(Tablo516[[#This Row],[ÜRÜN KODU]],YMKODLARI!$A$1:$K$363,8,0)," ")</f>
        <v>HM 003</v>
      </c>
      <c r="O34" s="100" t="str">
        <f>IFERROR(VLOOKUP(Tablo516[[#This Row],[HAMMADDE KODU]],Tablo1[#All],3,0)," ")</f>
        <v>LSR 45</v>
      </c>
      <c r="P34" s="100" t="str">
        <f>IFERROR(VLOOKUP(Tablo516[[#This Row],[HAMMADDE KODU]],Tablo1[#All],4,0)," ")</f>
        <v>SETA</v>
      </c>
      <c r="Q34" s="100">
        <f>IFERROR(VLOOKUP(Tablo516[[#This Row],[ÜRÜN KODU]],YMKODLARI!$A$1:$K$363,5,0)," ")</f>
        <v>51.7</v>
      </c>
      <c r="R34" s="100">
        <f>IFERROR(VLOOKUP(Tablo516[[#This Row],[ÜRÜN KODU]],YMKODLARI!$A$1:$K$363,6,0)," ")</f>
        <v>44.5</v>
      </c>
      <c r="S34" s="100">
        <f>IFERROR(Tablo516[[#This Row],[YOLLUK HARİÇ BASKI GRAMI]]/Tablo516[[#This Row],[KALIP GÖZ ADEDİ]]," ")</f>
        <v>5.5625</v>
      </c>
      <c r="T34" s="100">
        <f t="shared" si="2"/>
        <v>7.2000000000000028</v>
      </c>
      <c r="U34" s="117">
        <v>5.65</v>
      </c>
      <c r="V34" s="100">
        <f t="shared" si="1"/>
        <v>37.423000000000002</v>
      </c>
      <c r="W34" s="101">
        <f t="shared" si="3"/>
        <v>24.416666666666668</v>
      </c>
      <c r="X34" s="102">
        <f t="shared" si="4"/>
        <v>10.000000000000028</v>
      </c>
      <c r="Y34" s="100">
        <f t="shared" si="5"/>
        <v>7.14</v>
      </c>
      <c r="Z34" s="100">
        <f t="shared" si="6"/>
        <v>5712</v>
      </c>
    </row>
    <row r="35" spans="1:26">
      <c r="A35" s="100" t="s">
        <v>34</v>
      </c>
      <c r="B35" s="108" t="str">
        <f>IFERROR(VLOOKUP(Tablo516[[#This Row],[ÜRÜN KODU]],YMKODLARI!$A$1:$K$363,2,0)," ")</f>
        <v>BİBERON KLASİK  UC 1 NO</v>
      </c>
      <c r="C35" s="99">
        <v>43872</v>
      </c>
      <c r="D35" s="100" t="s">
        <v>48</v>
      </c>
      <c r="E35" s="101">
        <v>0.33333333333333331</v>
      </c>
      <c r="F35" s="101">
        <v>0.75</v>
      </c>
      <c r="G35" s="100">
        <f>IFERROR(VLOOKUP(Tablo516[[#This Row],[ÜRÜN KODU]],YMKODLARI!$A$1:$K$363,3,0)," ")</f>
        <v>8</v>
      </c>
      <c r="H35" s="100">
        <f>IFERROR(VLOOKUP(Tablo516[[#This Row],[ÜRÜN KODU]],YMKODLARI!$A$1:$K$363,4,0)," ")</f>
        <v>36</v>
      </c>
      <c r="I35" s="109">
        <v>744</v>
      </c>
      <c r="J35" s="100" t="str">
        <f>IFERROR(VLOOKUP(Tablo516[[#This Row],[ÜRÜN KODU]],YMKODLARI!$A$1:$K$363,9,0)," ")</f>
        <v>Şeffaf</v>
      </c>
      <c r="K35" s="100" t="str">
        <f>IFERROR(VLOOKUP(Tablo516[[#This Row],[BOYA KODU]],Tablo14[#All],4,0)," ")</f>
        <v xml:space="preserve"> </v>
      </c>
      <c r="L35" s="100" t="str">
        <f>IFERROR(VLOOKUP(Tablo516[[#This Row],[BOYA KODU]],Tablo14[#All],6,0)," ")</f>
        <v xml:space="preserve"> </v>
      </c>
      <c r="M35" s="100" t="str">
        <f t="shared" si="0"/>
        <v xml:space="preserve"> </v>
      </c>
      <c r="N35" s="100" t="str">
        <f>IFERROR(VLOOKUP(Tablo516[[#This Row],[ÜRÜN KODU]],YMKODLARI!$A$1:$K$363,8,0)," ")</f>
        <v>HM 003</v>
      </c>
      <c r="O35" s="100" t="str">
        <f>IFERROR(VLOOKUP(Tablo516[[#This Row],[HAMMADDE KODU]],Tablo1[#All],3,0)," ")</f>
        <v>LSR 45</v>
      </c>
      <c r="P35" s="100" t="str">
        <f>IFERROR(VLOOKUP(Tablo516[[#This Row],[HAMMADDE KODU]],Tablo1[#All],4,0)," ")</f>
        <v>SETA</v>
      </c>
      <c r="Q35" s="100">
        <f>IFERROR(VLOOKUP(Tablo516[[#This Row],[ÜRÜN KODU]],YMKODLARI!$A$1:$K$363,5,0)," ")</f>
        <v>51.7</v>
      </c>
      <c r="R35" s="100">
        <f>IFERROR(VLOOKUP(Tablo516[[#This Row],[ÜRÜN KODU]],YMKODLARI!$A$1:$K$363,6,0)," ")</f>
        <v>44.5</v>
      </c>
      <c r="S35" s="100">
        <f>IFERROR(Tablo516[[#This Row],[YOLLUK HARİÇ BASKI GRAMI]]/Tablo516[[#This Row],[KALIP GÖZ ADEDİ]]," ")</f>
        <v>5.5625</v>
      </c>
      <c r="T35" s="100">
        <f t="shared" si="2"/>
        <v>7.2000000000000028</v>
      </c>
      <c r="U35" s="117">
        <v>6.41</v>
      </c>
      <c r="V35" s="100">
        <f t="shared" si="1"/>
        <v>39.518000000000001</v>
      </c>
      <c r="W35" s="101">
        <f t="shared" si="3"/>
        <v>24.416666666666668</v>
      </c>
      <c r="X35" s="102">
        <f t="shared" si="4"/>
        <v>10.000000000000028</v>
      </c>
      <c r="Y35" s="100">
        <f t="shared" si="5"/>
        <v>7.44</v>
      </c>
      <c r="Z35" s="100">
        <f t="shared" si="6"/>
        <v>5952</v>
      </c>
    </row>
    <row r="36" spans="1:26">
      <c r="A36" s="100" t="s">
        <v>34</v>
      </c>
      <c r="B36" s="108" t="str">
        <f>IFERROR(VLOOKUP(Tablo516[[#This Row],[ÜRÜN KODU]],YMKODLARI!$A$1:$K$363,2,0)," ")</f>
        <v>BİBERON KLASİK  UC 1 NO</v>
      </c>
      <c r="C36" s="99">
        <v>43873</v>
      </c>
      <c r="D36" s="100" t="s">
        <v>48</v>
      </c>
      <c r="E36" s="101">
        <v>0.33333333333333331</v>
      </c>
      <c r="F36" s="101">
        <v>0.75</v>
      </c>
      <c r="G36" s="100">
        <f>IFERROR(VLOOKUP(Tablo516[[#This Row],[ÜRÜN KODU]],YMKODLARI!$A$1:$K$363,3,0)," ")</f>
        <v>8</v>
      </c>
      <c r="H36" s="100">
        <f>IFERROR(VLOOKUP(Tablo516[[#This Row],[ÜRÜN KODU]],YMKODLARI!$A$1:$K$363,4,0)," ")</f>
        <v>36</v>
      </c>
      <c r="I36" s="109">
        <v>815</v>
      </c>
      <c r="J36" s="100" t="str">
        <f>IFERROR(VLOOKUP(Tablo516[[#This Row],[ÜRÜN KODU]],YMKODLARI!$A$1:$K$363,9,0)," ")</f>
        <v>Şeffaf</v>
      </c>
      <c r="K36" s="100" t="str">
        <f>IFERROR(VLOOKUP(Tablo516[[#This Row],[BOYA KODU]],Tablo14[#All],4,0)," ")</f>
        <v xml:space="preserve"> </v>
      </c>
      <c r="L36" s="100" t="str">
        <f>IFERROR(VLOOKUP(Tablo516[[#This Row],[BOYA KODU]],Tablo14[#All],6,0)," ")</f>
        <v xml:space="preserve"> </v>
      </c>
      <c r="M36" s="100" t="str">
        <f t="shared" si="0"/>
        <v xml:space="preserve"> </v>
      </c>
      <c r="N36" s="100" t="str">
        <f>IFERROR(VLOOKUP(Tablo516[[#This Row],[ÜRÜN KODU]],YMKODLARI!$A$1:$K$363,8,0)," ")</f>
        <v>HM 003</v>
      </c>
      <c r="O36" s="100" t="str">
        <f>IFERROR(VLOOKUP(Tablo516[[#This Row],[HAMMADDE KODU]],Tablo1[#All],3,0)," ")</f>
        <v>LSR 45</v>
      </c>
      <c r="P36" s="100" t="str">
        <f>IFERROR(VLOOKUP(Tablo516[[#This Row],[HAMMADDE KODU]],Tablo1[#All],4,0)," ")</f>
        <v>SETA</v>
      </c>
      <c r="Q36" s="100">
        <f>IFERROR(VLOOKUP(Tablo516[[#This Row],[ÜRÜN KODU]],YMKODLARI!$A$1:$K$363,5,0)," ")</f>
        <v>51.7</v>
      </c>
      <c r="R36" s="100">
        <f>IFERROR(VLOOKUP(Tablo516[[#This Row],[ÜRÜN KODU]],YMKODLARI!$A$1:$K$363,6,0)," ")</f>
        <v>44.5</v>
      </c>
      <c r="S36" s="100">
        <f>IFERROR(Tablo516[[#This Row],[YOLLUK HARİÇ BASKI GRAMI]]/Tablo516[[#This Row],[KALIP GÖZ ADEDİ]]," ")</f>
        <v>5.5625</v>
      </c>
      <c r="T36" s="100">
        <f t="shared" si="2"/>
        <v>7.2000000000000028</v>
      </c>
      <c r="U36" s="117">
        <v>6.21</v>
      </c>
      <c r="V36" s="100">
        <f t="shared" si="1"/>
        <v>42.477499999999999</v>
      </c>
      <c r="W36" s="101">
        <f t="shared" si="3"/>
        <v>24.416666666666668</v>
      </c>
      <c r="X36" s="102">
        <f t="shared" si="4"/>
        <v>10.000000000000028</v>
      </c>
      <c r="Y36" s="100">
        <f t="shared" si="5"/>
        <v>8.15</v>
      </c>
      <c r="Z36" s="100">
        <f t="shared" si="6"/>
        <v>6520</v>
      </c>
    </row>
    <row r="37" spans="1:26">
      <c r="A37" s="100" t="s">
        <v>34</v>
      </c>
      <c r="B37" s="108" t="str">
        <f>IFERROR(VLOOKUP(Tablo516[[#This Row],[ÜRÜN KODU]],YMKODLARI!$A$1:$K$363,2,0)," ")</f>
        <v>BİBERON KLASİK  UC 1 NO</v>
      </c>
      <c r="C37" s="99">
        <v>43874</v>
      </c>
      <c r="D37" s="100" t="s">
        <v>48</v>
      </c>
      <c r="E37" s="101">
        <v>0.33333333333333331</v>
      </c>
      <c r="F37" s="101">
        <v>0.75</v>
      </c>
      <c r="G37" s="100">
        <f>IFERROR(VLOOKUP(Tablo516[[#This Row],[ÜRÜN KODU]],YMKODLARI!$A$1:$K$363,3,0)," ")</f>
        <v>8</v>
      </c>
      <c r="H37" s="100">
        <f>IFERROR(VLOOKUP(Tablo516[[#This Row],[ÜRÜN KODU]],YMKODLARI!$A$1:$K$363,4,0)," ")</f>
        <v>36</v>
      </c>
      <c r="I37" s="109">
        <v>771</v>
      </c>
      <c r="J37" s="100" t="str">
        <f>IFERROR(VLOOKUP(Tablo516[[#This Row],[ÜRÜN KODU]],YMKODLARI!$A$1:$K$363,9,0)," ")</f>
        <v>Şeffaf</v>
      </c>
      <c r="K37" s="100" t="str">
        <f>IFERROR(VLOOKUP(Tablo516[[#This Row],[BOYA KODU]],Tablo14[#All],4,0)," ")</f>
        <v xml:space="preserve"> </v>
      </c>
      <c r="L37" s="100" t="str">
        <f>IFERROR(VLOOKUP(Tablo516[[#This Row],[BOYA KODU]],Tablo14[#All],6,0)," ")</f>
        <v xml:space="preserve"> </v>
      </c>
      <c r="M37" s="100" t="str">
        <f t="shared" si="0"/>
        <v xml:space="preserve"> </v>
      </c>
      <c r="N37" s="100" t="str">
        <f>IFERROR(VLOOKUP(Tablo516[[#This Row],[ÜRÜN KODU]],YMKODLARI!$A$1:$K$363,8,0)," ")</f>
        <v>HM 003</v>
      </c>
      <c r="O37" s="100" t="str">
        <f>IFERROR(VLOOKUP(Tablo516[[#This Row],[HAMMADDE KODU]],Tablo1[#All],3,0)," ")</f>
        <v>LSR 45</v>
      </c>
      <c r="P37" s="100" t="str">
        <f>IFERROR(VLOOKUP(Tablo516[[#This Row],[HAMMADDE KODU]],Tablo1[#All],4,0)," ")</f>
        <v>SETA</v>
      </c>
      <c r="Q37" s="100">
        <f>IFERROR(VLOOKUP(Tablo516[[#This Row],[ÜRÜN KODU]],YMKODLARI!$A$1:$K$363,5,0)," ")</f>
        <v>51.7</v>
      </c>
      <c r="R37" s="100">
        <f>IFERROR(VLOOKUP(Tablo516[[#This Row],[ÜRÜN KODU]],YMKODLARI!$A$1:$K$363,6,0)," ")</f>
        <v>44.5</v>
      </c>
      <c r="S37" s="100">
        <f>IFERROR(Tablo516[[#This Row],[YOLLUK HARİÇ BASKI GRAMI]]/Tablo516[[#This Row],[KALIP GÖZ ADEDİ]]," ")</f>
        <v>5.5625</v>
      </c>
      <c r="T37" s="100">
        <f t="shared" si="2"/>
        <v>7.2000000000000028</v>
      </c>
      <c r="U37" s="117">
        <v>5.34</v>
      </c>
      <c r="V37" s="100">
        <f t="shared" si="1"/>
        <v>39.649500000000003</v>
      </c>
      <c r="W37" s="101">
        <f t="shared" si="3"/>
        <v>24.416666666666668</v>
      </c>
      <c r="X37" s="102">
        <f t="shared" si="4"/>
        <v>10.000000000000028</v>
      </c>
      <c r="Y37" s="100">
        <f t="shared" si="5"/>
        <v>7.71</v>
      </c>
      <c r="Z37" s="100">
        <f t="shared" si="6"/>
        <v>6168</v>
      </c>
    </row>
    <row r="38" spans="1:26">
      <c r="A38" s="100" t="s">
        <v>34</v>
      </c>
      <c r="B38" s="108" t="str">
        <f>IFERROR(VLOOKUP(Tablo516[[#This Row],[ÜRÜN KODU]],YMKODLARI!$A$1:$K$363,2,0)," ")</f>
        <v>BİBERON KLASİK  UC 1 NO</v>
      </c>
      <c r="C38" s="99">
        <v>43875</v>
      </c>
      <c r="D38" s="100" t="s">
        <v>48</v>
      </c>
      <c r="E38" s="101">
        <v>0.33333333333333331</v>
      </c>
      <c r="F38" s="101">
        <v>0.72916666666666663</v>
      </c>
      <c r="G38" s="100">
        <f>IFERROR(VLOOKUP(Tablo516[[#This Row],[ÜRÜN KODU]],YMKODLARI!$A$1:$K$363,3,0)," ")</f>
        <v>8</v>
      </c>
      <c r="H38" s="100">
        <f>IFERROR(VLOOKUP(Tablo516[[#This Row],[ÜRÜN KODU]],YMKODLARI!$A$1:$K$363,4,0)," ")</f>
        <v>36</v>
      </c>
      <c r="I38" s="109">
        <v>615</v>
      </c>
      <c r="J38" s="100" t="str">
        <f>IFERROR(VLOOKUP(Tablo516[[#This Row],[ÜRÜN KODU]],YMKODLARI!$A$1:$K$363,9,0)," ")</f>
        <v>Şeffaf</v>
      </c>
      <c r="K38" s="100" t="str">
        <f>IFERROR(VLOOKUP(Tablo516[[#This Row],[BOYA KODU]],Tablo14[#All],4,0)," ")</f>
        <v xml:space="preserve"> </v>
      </c>
      <c r="L38" s="100" t="str">
        <f>IFERROR(VLOOKUP(Tablo516[[#This Row],[BOYA KODU]],Tablo14[#All],6,0)," ")</f>
        <v xml:space="preserve"> </v>
      </c>
      <c r="M38" s="100" t="str">
        <f t="shared" si="0"/>
        <v xml:space="preserve"> </v>
      </c>
      <c r="N38" s="100" t="str">
        <f>IFERROR(VLOOKUP(Tablo516[[#This Row],[ÜRÜN KODU]],YMKODLARI!$A$1:$K$363,8,0)," ")</f>
        <v>HM 003</v>
      </c>
      <c r="O38" s="100" t="str">
        <f>IFERROR(VLOOKUP(Tablo516[[#This Row],[HAMMADDE KODU]],Tablo1[#All],3,0)," ")</f>
        <v>LSR 45</v>
      </c>
      <c r="P38" s="100" t="str">
        <f>IFERROR(VLOOKUP(Tablo516[[#This Row],[HAMMADDE KODU]],Tablo1[#All],4,0)," ")</f>
        <v>SETA</v>
      </c>
      <c r="Q38" s="100">
        <f>IFERROR(VLOOKUP(Tablo516[[#This Row],[ÜRÜN KODU]],YMKODLARI!$A$1:$K$363,5,0)," ")</f>
        <v>51.7</v>
      </c>
      <c r="R38" s="100">
        <f>IFERROR(VLOOKUP(Tablo516[[#This Row],[ÜRÜN KODU]],YMKODLARI!$A$1:$K$363,6,0)," ")</f>
        <v>44.5</v>
      </c>
      <c r="S38" s="100">
        <f>IFERROR(Tablo516[[#This Row],[YOLLUK HARİÇ BASKI GRAMI]]/Tablo516[[#This Row],[KALIP GÖZ ADEDİ]]," ")</f>
        <v>5.5625</v>
      </c>
      <c r="T38" s="100">
        <f t="shared" si="2"/>
        <v>7.2000000000000028</v>
      </c>
      <c r="U38" s="117">
        <v>5.2</v>
      </c>
      <c r="V38" s="100">
        <f t="shared" si="1"/>
        <v>32.567500000000003</v>
      </c>
      <c r="W38" s="101">
        <f t="shared" si="3"/>
        <v>24.395833333333332</v>
      </c>
      <c r="X38" s="102">
        <f t="shared" si="4"/>
        <v>9.4999999999999716</v>
      </c>
      <c r="Y38" s="100">
        <f t="shared" si="5"/>
        <v>6.15</v>
      </c>
      <c r="Z38" s="100">
        <f t="shared" si="6"/>
        <v>4920</v>
      </c>
    </row>
    <row r="39" spans="1:26">
      <c r="A39" s="100" t="s">
        <v>34</v>
      </c>
      <c r="B39" s="108" t="str">
        <f>IFERROR(VLOOKUP(Tablo516[[#This Row],[ÜRÜN KODU]],YMKODLARI!$A$1:$K$363,2,0)," ")</f>
        <v>BİBERON KLASİK  UC 1 NO</v>
      </c>
      <c r="C39" s="99">
        <v>43878</v>
      </c>
      <c r="D39" s="100" t="s">
        <v>48</v>
      </c>
      <c r="E39" s="101">
        <v>0.33333333333333331</v>
      </c>
      <c r="F39" s="101">
        <v>0.75</v>
      </c>
      <c r="G39" s="100">
        <f>IFERROR(VLOOKUP(Tablo516[[#This Row],[ÜRÜN KODU]],YMKODLARI!$A$1:$K$363,3,0)," ")</f>
        <v>8</v>
      </c>
      <c r="H39" s="100">
        <f>IFERROR(VLOOKUP(Tablo516[[#This Row],[ÜRÜN KODU]],YMKODLARI!$A$1:$K$363,4,0)," ")</f>
        <v>36</v>
      </c>
      <c r="I39" s="109">
        <v>666</v>
      </c>
      <c r="J39" s="100" t="str">
        <f>IFERROR(VLOOKUP(Tablo516[[#This Row],[ÜRÜN KODU]],YMKODLARI!$A$1:$K$363,9,0)," ")</f>
        <v>Şeffaf</v>
      </c>
      <c r="K39" s="100" t="str">
        <f>IFERROR(VLOOKUP(Tablo516[[#This Row],[BOYA KODU]],Tablo14[#All],4,0)," ")</f>
        <v xml:space="preserve"> </v>
      </c>
      <c r="L39" s="100" t="str">
        <f>IFERROR(VLOOKUP(Tablo516[[#This Row],[BOYA KODU]],Tablo14[#All],6,0)," ")</f>
        <v xml:space="preserve"> </v>
      </c>
      <c r="M39" s="100" t="str">
        <f t="shared" si="0"/>
        <v xml:space="preserve"> </v>
      </c>
      <c r="N39" s="100" t="str">
        <f>IFERROR(VLOOKUP(Tablo516[[#This Row],[ÜRÜN KODU]],YMKODLARI!$A$1:$K$363,8,0)," ")</f>
        <v>HM 003</v>
      </c>
      <c r="O39" s="100" t="str">
        <f>IFERROR(VLOOKUP(Tablo516[[#This Row],[HAMMADDE KODU]],Tablo1[#All],3,0)," ")</f>
        <v>LSR 45</v>
      </c>
      <c r="P39" s="100" t="str">
        <f>IFERROR(VLOOKUP(Tablo516[[#This Row],[HAMMADDE KODU]],Tablo1[#All],4,0)," ")</f>
        <v>SETA</v>
      </c>
      <c r="Q39" s="100">
        <f>IFERROR(VLOOKUP(Tablo516[[#This Row],[ÜRÜN KODU]],YMKODLARI!$A$1:$K$363,5,0)," ")</f>
        <v>51.7</v>
      </c>
      <c r="R39" s="100">
        <f>IFERROR(VLOOKUP(Tablo516[[#This Row],[ÜRÜN KODU]],YMKODLARI!$A$1:$K$363,6,0)," ")</f>
        <v>44.5</v>
      </c>
      <c r="S39" s="100">
        <f>IFERROR(Tablo516[[#This Row],[YOLLUK HARİÇ BASKI GRAMI]]/Tablo516[[#This Row],[KALIP GÖZ ADEDİ]]," ")</f>
        <v>5.5625</v>
      </c>
      <c r="T39" s="100">
        <f t="shared" si="2"/>
        <v>7.2000000000000028</v>
      </c>
      <c r="U39" s="117">
        <v>6.75</v>
      </c>
      <c r="V39" s="100">
        <f t="shared" si="1"/>
        <v>36.387</v>
      </c>
      <c r="W39" s="101">
        <f t="shared" si="3"/>
        <v>24.416666666666668</v>
      </c>
      <c r="X39" s="102">
        <f t="shared" si="4"/>
        <v>10.000000000000028</v>
      </c>
      <c r="Y39" s="100">
        <f t="shared" si="5"/>
        <v>6.66</v>
      </c>
      <c r="Z39" s="100">
        <f t="shared" si="6"/>
        <v>5328</v>
      </c>
    </row>
    <row r="40" spans="1:26">
      <c r="A40" s="100" t="s">
        <v>34</v>
      </c>
      <c r="B40" s="108" t="str">
        <f>IFERROR(VLOOKUP(Tablo516[[#This Row],[ÜRÜN KODU]],YMKODLARI!$A$1:$K$363,2,0)," ")</f>
        <v>BİBERON KLASİK  UC 1 NO</v>
      </c>
      <c r="C40" s="99">
        <v>43879</v>
      </c>
      <c r="D40" s="100" t="s">
        <v>48</v>
      </c>
      <c r="E40" s="101">
        <v>0.33333333333333331</v>
      </c>
      <c r="F40" s="101">
        <v>0.75</v>
      </c>
      <c r="G40" s="100">
        <f>IFERROR(VLOOKUP(Tablo516[[#This Row],[ÜRÜN KODU]],YMKODLARI!$A$1:$K$363,3,0)," ")</f>
        <v>8</v>
      </c>
      <c r="H40" s="100">
        <f>IFERROR(VLOOKUP(Tablo516[[#This Row],[ÜRÜN KODU]],YMKODLARI!$A$1:$K$363,4,0)," ")</f>
        <v>36</v>
      </c>
      <c r="I40" s="109">
        <v>769</v>
      </c>
      <c r="J40" s="100" t="str">
        <f>IFERROR(VLOOKUP(Tablo516[[#This Row],[ÜRÜN KODU]],YMKODLARI!$A$1:$K$363,9,0)," ")</f>
        <v>Şeffaf</v>
      </c>
      <c r="K40" s="100" t="str">
        <f>IFERROR(VLOOKUP(Tablo516[[#This Row],[BOYA KODU]],Tablo14[#All],4,0)," ")</f>
        <v xml:space="preserve"> </v>
      </c>
      <c r="L40" s="100" t="str">
        <f>IFERROR(VLOOKUP(Tablo516[[#This Row],[BOYA KODU]],Tablo14[#All],6,0)," ")</f>
        <v xml:space="preserve"> </v>
      </c>
      <c r="M40" s="100" t="str">
        <f t="shared" si="0"/>
        <v xml:space="preserve"> </v>
      </c>
      <c r="N40" s="100" t="str">
        <f>IFERROR(VLOOKUP(Tablo516[[#This Row],[ÜRÜN KODU]],YMKODLARI!$A$1:$K$363,8,0)," ")</f>
        <v>HM 003</v>
      </c>
      <c r="O40" s="100" t="str">
        <f>IFERROR(VLOOKUP(Tablo516[[#This Row],[HAMMADDE KODU]],Tablo1[#All],3,0)," ")</f>
        <v>LSR 45</v>
      </c>
      <c r="P40" s="100" t="str">
        <f>IFERROR(VLOOKUP(Tablo516[[#This Row],[HAMMADDE KODU]],Tablo1[#All],4,0)," ")</f>
        <v>SETA</v>
      </c>
      <c r="Q40" s="100">
        <f>IFERROR(VLOOKUP(Tablo516[[#This Row],[ÜRÜN KODU]],YMKODLARI!$A$1:$K$363,5,0)," ")</f>
        <v>51.7</v>
      </c>
      <c r="R40" s="100">
        <f>IFERROR(VLOOKUP(Tablo516[[#This Row],[ÜRÜN KODU]],YMKODLARI!$A$1:$K$363,6,0)," ")</f>
        <v>44.5</v>
      </c>
      <c r="S40" s="100">
        <f>IFERROR(Tablo516[[#This Row],[YOLLUK HARİÇ BASKI GRAMI]]/Tablo516[[#This Row],[KALIP GÖZ ADEDİ]]," ")</f>
        <v>5.5625</v>
      </c>
      <c r="T40" s="100">
        <f t="shared" si="2"/>
        <v>7.2000000000000028</v>
      </c>
      <c r="U40" s="117">
        <v>6.3</v>
      </c>
      <c r="V40" s="100">
        <f t="shared" si="1"/>
        <v>40.520499999999998</v>
      </c>
      <c r="W40" s="101">
        <f t="shared" si="3"/>
        <v>24.416666666666668</v>
      </c>
      <c r="X40" s="102">
        <f t="shared" si="4"/>
        <v>10.000000000000028</v>
      </c>
      <c r="Y40" s="100">
        <f t="shared" si="5"/>
        <v>7.69</v>
      </c>
      <c r="Z40" s="100">
        <f t="shared" si="6"/>
        <v>6152</v>
      </c>
    </row>
    <row r="41" spans="1:26">
      <c r="A41" s="100" t="s">
        <v>34</v>
      </c>
      <c r="B41" s="108" t="str">
        <f>IFERROR(VLOOKUP(Tablo516[[#This Row],[ÜRÜN KODU]],YMKODLARI!$A$1:$K$363,2,0)," ")</f>
        <v>BİBERON KLASİK  UC 1 NO</v>
      </c>
      <c r="C41" s="99">
        <v>43880</v>
      </c>
      <c r="D41" s="100" t="s">
        <v>48</v>
      </c>
      <c r="E41" s="101">
        <v>0.33333333333333331</v>
      </c>
      <c r="F41" s="101">
        <v>0.75</v>
      </c>
      <c r="G41" s="100">
        <f>IFERROR(VLOOKUP(Tablo516[[#This Row],[ÜRÜN KODU]],YMKODLARI!$A$1:$K$363,3,0)," ")</f>
        <v>8</v>
      </c>
      <c r="H41" s="100">
        <f>IFERROR(VLOOKUP(Tablo516[[#This Row],[ÜRÜN KODU]],YMKODLARI!$A$1:$K$363,4,0)," ")</f>
        <v>36</v>
      </c>
      <c r="I41" s="109">
        <v>766</v>
      </c>
      <c r="J41" s="100" t="str">
        <f>IFERROR(VLOOKUP(Tablo516[[#This Row],[ÜRÜN KODU]],YMKODLARI!$A$1:$K$363,9,0)," ")</f>
        <v>Şeffaf</v>
      </c>
      <c r="K41" s="100" t="str">
        <f>IFERROR(VLOOKUP(Tablo516[[#This Row],[BOYA KODU]],Tablo14[#All],4,0)," ")</f>
        <v xml:space="preserve"> </v>
      </c>
      <c r="L41" s="100" t="str">
        <f>IFERROR(VLOOKUP(Tablo516[[#This Row],[BOYA KODU]],Tablo14[#All],6,0)," ")</f>
        <v xml:space="preserve"> </v>
      </c>
      <c r="M41" s="100" t="str">
        <f t="shared" si="0"/>
        <v xml:space="preserve"> </v>
      </c>
      <c r="N41" s="100" t="str">
        <f>IFERROR(VLOOKUP(Tablo516[[#This Row],[ÜRÜN KODU]],YMKODLARI!$A$1:$K$363,8,0)," ")</f>
        <v>HM 003</v>
      </c>
      <c r="O41" s="100" t="str">
        <f>IFERROR(VLOOKUP(Tablo516[[#This Row],[HAMMADDE KODU]],Tablo1[#All],3,0)," ")</f>
        <v>LSR 45</v>
      </c>
      <c r="P41" s="100" t="str">
        <f>IFERROR(VLOOKUP(Tablo516[[#This Row],[HAMMADDE KODU]],Tablo1[#All],4,0)," ")</f>
        <v>SETA</v>
      </c>
      <c r="Q41" s="100">
        <f>IFERROR(VLOOKUP(Tablo516[[#This Row],[ÜRÜN KODU]],YMKODLARI!$A$1:$K$363,5,0)," ")</f>
        <v>51.7</v>
      </c>
      <c r="R41" s="100">
        <f>IFERROR(VLOOKUP(Tablo516[[#This Row],[ÜRÜN KODU]],YMKODLARI!$A$1:$K$363,6,0)," ")</f>
        <v>44.5</v>
      </c>
      <c r="S41" s="100">
        <f>IFERROR(Tablo516[[#This Row],[YOLLUK HARİÇ BASKI GRAMI]]/Tablo516[[#This Row],[KALIP GÖZ ADEDİ]]," ")</f>
        <v>5.5625</v>
      </c>
      <c r="T41" s="100">
        <f t="shared" si="2"/>
        <v>7.2000000000000028</v>
      </c>
      <c r="U41" s="117">
        <v>7.22</v>
      </c>
      <c r="V41" s="100">
        <f t="shared" si="1"/>
        <v>41.307000000000002</v>
      </c>
      <c r="W41" s="101">
        <f t="shared" si="3"/>
        <v>24.416666666666668</v>
      </c>
      <c r="X41" s="102">
        <f t="shared" si="4"/>
        <v>10.000000000000028</v>
      </c>
      <c r="Y41" s="100">
        <f t="shared" si="5"/>
        <v>7.66</v>
      </c>
      <c r="Z41" s="100">
        <f t="shared" si="6"/>
        <v>6128</v>
      </c>
    </row>
    <row r="42" spans="1:26">
      <c r="A42" s="100" t="s">
        <v>34</v>
      </c>
      <c r="B42" s="108" t="str">
        <f>IFERROR(VLOOKUP(Tablo516[[#This Row],[ÜRÜN KODU]],YMKODLARI!$A$1:$K$363,2,0)," ")</f>
        <v>BİBERON KLASİK  UC 1 NO</v>
      </c>
      <c r="C42" s="99">
        <v>43881</v>
      </c>
      <c r="D42" s="100" t="s">
        <v>48</v>
      </c>
      <c r="E42" s="101">
        <v>0.33333333333333331</v>
      </c>
      <c r="F42" s="101">
        <v>0.75</v>
      </c>
      <c r="G42" s="100">
        <f>IFERROR(VLOOKUP(Tablo516[[#This Row],[ÜRÜN KODU]],YMKODLARI!$A$1:$K$363,3,0)," ")</f>
        <v>8</v>
      </c>
      <c r="H42" s="100">
        <f>IFERROR(VLOOKUP(Tablo516[[#This Row],[ÜRÜN KODU]],YMKODLARI!$A$1:$K$363,4,0)," ")</f>
        <v>36</v>
      </c>
      <c r="I42" s="109">
        <v>785</v>
      </c>
      <c r="J42" s="100" t="str">
        <f>IFERROR(VLOOKUP(Tablo516[[#This Row],[ÜRÜN KODU]],YMKODLARI!$A$1:$K$363,9,0)," ")</f>
        <v>Şeffaf</v>
      </c>
      <c r="K42" s="100" t="str">
        <f>IFERROR(VLOOKUP(Tablo516[[#This Row],[BOYA KODU]],Tablo14[#All],4,0)," ")</f>
        <v xml:space="preserve"> </v>
      </c>
      <c r="L42" s="100" t="str">
        <f>IFERROR(VLOOKUP(Tablo516[[#This Row],[BOYA KODU]],Tablo14[#All],6,0)," ")</f>
        <v xml:space="preserve"> </v>
      </c>
      <c r="M42" s="100" t="str">
        <f t="shared" si="0"/>
        <v xml:space="preserve"> </v>
      </c>
      <c r="N42" s="100" t="str">
        <f>IFERROR(VLOOKUP(Tablo516[[#This Row],[ÜRÜN KODU]],YMKODLARI!$A$1:$K$363,8,0)," ")</f>
        <v>HM 003</v>
      </c>
      <c r="O42" s="100" t="str">
        <f>IFERROR(VLOOKUP(Tablo516[[#This Row],[HAMMADDE KODU]],Tablo1[#All],3,0)," ")</f>
        <v>LSR 45</v>
      </c>
      <c r="P42" s="100" t="str">
        <f>IFERROR(VLOOKUP(Tablo516[[#This Row],[HAMMADDE KODU]],Tablo1[#All],4,0)," ")</f>
        <v>SETA</v>
      </c>
      <c r="Q42" s="100">
        <f>IFERROR(VLOOKUP(Tablo516[[#This Row],[ÜRÜN KODU]],YMKODLARI!$A$1:$K$363,5,0)," ")</f>
        <v>51.7</v>
      </c>
      <c r="R42" s="100">
        <f>IFERROR(VLOOKUP(Tablo516[[#This Row],[ÜRÜN KODU]],YMKODLARI!$A$1:$K$363,6,0)," ")</f>
        <v>44.5</v>
      </c>
      <c r="S42" s="100">
        <f>IFERROR(Tablo516[[#This Row],[YOLLUK HARİÇ BASKI GRAMI]]/Tablo516[[#This Row],[KALIP GÖZ ADEDİ]]," ")</f>
        <v>5.5625</v>
      </c>
      <c r="T42" s="100">
        <f t="shared" si="2"/>
        <v>7.2000000000000028</v>
      </c>
      <c r="U42" s="117">
        <v>6.7</v>
      </c>
      <c r="V42" s="100">
        <f t="shared" si="1"/>
        <v>41.6325</v>
      </c>
      <c r="W42" s="101">
        <f t="shared" si="3"/>
        <v>24.416666666666668</v>
      </c>
      <c r="X42" s="102">
        <f t="shared" si="4"/>
        <v>10.000000000000028</v>
      </c>
      <c r="Y42" s="100">
        <f t="shared" si="5"/>
        <v>7.85</v>
      </c>
      <c r="Z42" s="100">
        <f t="shared" si="6"/>
        <v>6280</v>
      </c>
    </row>
    <row r="43" spans="1:26">
      <c r="A43" s="100" t="s">
        <v>34</v>
      </c>
      <c r="B43" s="108" t="str">
        <f>IFERROR(VLOOKUP(Tablo516[[#This Row],[ÜRÜN KODU]],YMKODLARI!$A$1:$K$363,2,0)," ")</f>
        <v>BİBERON KLASİK  UC 1 NO</v>
      </c>
      <c r="C43" s="99">
        <v>43882</v>
      </c>
      <c r="D43" s="100" t="s">
        <v>48</v>
      </c>
      <c r="E43" s="101">
        <v>0.33333333333333331</v>
      </c>
      <c r="F43" s="101">
        <v>0.72916666666666663</v>
      </c>
      <c r="G43" s="100">
        <f>IFERROR(VLOOKUP(Tablo516[[#This Row],[ÜRÜN KODU]],YMKODLARI!$A$1:$K$363,3,0)," ")</f>
        <v>8</v>
      </c>
      <c r="H43" s="100">
        <f>IFERROR(VLOOKUP(Tablo516[[#This Row],[ÜRÜN KODU]],YMKODLARI!$A$1:$K$363,4,0)," ")</f>
        <v>36</v>
      </c>
      <c r="I43" s="109">
        <v>716</v>
      </c>
      <c r="J43" s="100" t="str">
        <f>IFERROR(VLOOKUP(Tablo516[[#This Row],[ÜRÜN KODU]],YMKODLARI!$A$1:$K$363,9,0)," ")</f>
        <v>Şeffaf</v>
      </c>
      <c r="K43" s="100" t="str">
        <f>IFERROR(VLOOKUP(Tablo516[[#This Row],[BOYA KODU]],Tablo14[#All],4,0)," ")</f>
        <v xml:space="preserve"> </v>
      </c>
      <c r="L43" s="100" t="str">
        <f>IFERROR(VLOOKUP(Tablo516[[#This Row],[BOYA KODU]],Tablo14[#All],6,0)," ")</f>
        <v xml:space="preserve"> </v>
      </c>
      <c r="M43" s="100" t="str">
        <f t="shared" si="0"/>
        <v xml:space="preserve"> </v>
      </c>
      <c r="N43" s="100" t="str">
        <f>IFERROR(VLOOKUP(Tablo516[[#This Row],[ÜRÜN KODU]],YMKODLARI!$A$1:$K$363,8,0)," ")</f>
        <v>HM 003</v>
      </c>
      <c r="O43" s="100" t="str">
        <f>IFERROR(VLOOKUP(Tablo516[[#This Row],[HAMMADDE KODU]],Tablo1[#All],3,0)," ")</f>
        <v>LSR 45</v>
      </c>
      <c r="P43" s="100" t="str">
        <f>IFERROR(VLOOKUP(Tablo516[[#This Row],[HAMMADDE KODU]],Tablo1[#All],4,0)," ")</f>
        <v>SETA</v>
      </c>
      <c r="Q43" s="100">
        <f>IFERROR(VLOOKUP(Tablo516[[#This Row],[ÜRÜN KODU]],YMKODLARI!$A$1:$K$363,5,0)," ")</f>
        <v>51.7</v>
      </c>
      <c r="R43" s="100">
        <f>IFERROR(VLOOKUP(Tablo516[[#This Row],[ÜRÜN KODU]],YMKODLARI!$A$1:$K$363,6,0)," ")</f>
        <v>44.5</v>
      </c>
      <c r="S43" s="100">
        <f>IFERROR(Tablo516[[#This Row],[YOLLUK HARİÇ BASKI GRAMI]]/Tablo516[[#This Row],[KALIP GÖZ ADEDİ]]," ")</f>
        <v>5.5625</v>
      </c>
      <c r="T43" s="100">
        <f t="shared" si="2"/>
        <v>7.2000000000000028</v>
      </c>
      <c r="U43" s="117">
        <v>5.7</v>
      </c>
      <c r="V43" s="100">
        <f t="shared" si="1"/>
        <v>37.561999999999998</v>
      </c>
      <c r="W43" s="101">
        <f t="shared" si="3"/>
        <v>24.395833333333332</v>
      </c>
      <c r="X43" s="102">
        <f t="shared" si="4"/>
        <v>9.4999999999999716</v>
      </c>
      <c r="Y43" s="100">
        <f t="shared" si="5"/>
        <v>7.16</v>
      </c>
      <c r="Z43" s="100">
        <f t="shared" si="6"/>
        <v>5728</v>
      </c>
    </row>
    <row r="44" spans="1:26">
      <c r="A44" s="100" t="s">
        <v>34</v>
      </c>
      <c r="B44" s="108" t="str">
        <f>IFERROR(VLOOKUP(Tablo516[[#This Row],[ÜRÜN KODU]],YMKODLARI!$A$1:$K$363,2,0)," ")</f>
        <v>BİBERON KLASİK  UC 1 NO</v>
      </c>
      <c r="C44" s="99">
        <v>43885</v>
      </c>
      <c r="D44" s="100" t="s">
        <v>48</v>
      </c>
      <c r="E44" s="101">
        <v>0.33333333333333331</v>
      </c>
      <c r="F44" s="101">
        <v>0.75</v>
      </c>
      <c r="G44" s="100">
        <f>IFERROR(VLOOKUP(Tablo516[[#This Row],[ÜRÜN KODU]],YMKODLARI!$A$1:$K$363,3,0)," ")</f>
        <v>8</v>
      </c>
      <c r="H44" s="100">
        <f>IFERROR(VLOOKUP(Tablo516[[#This Row],[ÜRÜN KODU]],YMKODLARI!$A$1:$K$363,4,0)," ")</f>
        <v>36</v>
      </c>
      <c r="I44" s="109">
        <v>715</v>
      </c>
      <c r="J44" s="100" t="str">
        <f>IFERROR(VLOOKUP(Tablo516[[#This Row],[ÜRÜN KODU]],YMKODLARI!$A$1:$K$363,9,0)," ")</f>
        <v>Şeffaf</v>
      </c>
      <c r="K44" s="100" t="str">
        <f>IFERROR(VLOOKUP(Tablo516[[#This Row],[BOYA KODU]],Tablo14[#All],4,0)," ")</f>
        <v xml:space="preserve"> </v>
      </c>
      <c r="L44" s="100" t="str">
        <f>IFERROR(VLOOKUP(Tablo516[[#This Row],[BOYA KODU]],Tablo14[#All],6,0)," ")</f>
        <v xml:space="preserve"> </v>
      </c>
      <c r="M44" s="100" t="str">
        <f t="shared" si="0"/>
        <v xml:space="preserve"> </v>
      </c>
      <c r="N44" s="100" t="str">
        <f>IFERROR(VLOOKUP(Tablo516[[#This Row],[ÜRÜN KODU]],YMKODLARI!$A$1:$K$363,8,0)," ")</f>
        <v>HM 003</v>
      </c>
      <c r="O44" s="100" t="str">
        <f>IFERROR(VLOOKUP(Tablo516[[#This Row],[HAMMADDE KODU]],Tablo1[#All],3,0)," ")</f>
        <v>LSR 45</v>
      </c>
      <c r="P44" s="100" t="str">
        <f>IFERROR(VLOOKUP(Tablo516[[#This Row],[HAMMADDE KODU]],Tablo1[#All],4,0)," ")</f>
        <v>SETA</v>
      </c>
      <c r="Q44" s="100">
        <f>IFERROR(VLOOKUP(Tablo516[[#This Row],[ÜRÜN KODU]],YMKODLARI!$A$1:$K$363,5,0)," ")</f>
        <v>51.7</v>
      </c>
      <c r="R44" s="100">
        <f>IFERROR(VLOOKUP(Tablo516[[#This Row],[ÜRÜN KODU]],YMKODLARI!$A$1:$K$363,6,0)," ")</f>
        <v>44.5</v>
      </c>
      <c r="S44" s="100">
        <f>IFERROR(Tablo516[[#This Row],[YOLLUK HARİÇ BASKI GRAMI]]/Tablo516[[#This Row],[KALIP GÖZ ADEDİ]]," ")</f>
        <v>5.5625</v>
      </c>
      <c r="T44" s="100">
        <f t="shared" si="2"/>
        <v>7.2000000000000028</v>
      </c>
      <c r="U44" s="117">
        <v>6.36</v>
      </c>
      <c r="V44" s="100">
        <f t="shared" si="1"/>
        <v>38.177500000000002</v>
      </c>
      <c r="W44" s="101">
        <f t="shared" si="3"/>
        <v>24.416666666666668</v>
      </c>
      <c r="X44" s="102">
        <f t="shared" si="4"/>
        <v>10.000000000000028</v>
      </c>
      <c r="Y44" s="100">
        <f t="shared" si="5"/>
        <v>7.15</v>
      </c>
      <c r="Z44" s="100">
        <f t="shared" si="6"/>
        <v>5720</v>
      </c>
    </row>
    <row r="45" spans="1:26">
      <c r="A45" s="100" t="s">
        <v>34</v>
      </c>
      <c r="B45" s="108" t="str">
        <f>IFERROR(VLOOKUP(Tablo516[[#This Row],[ÜRÜN KODU]],YMKODLARI!$A$1:$K$363,2,0)," ")</f>
        <v>BİBERON KLASİK  UC 1 NO</v>
      </c>
      <c r="C45" s="99">
        <v>43886</v>
      </c>
      <c r="D45" s="100" t="s">
        <v>48</v>
      </c>
      <c r="E45" s="101">
        <v>0.33333333333333331</v>
      </c>
      <c r="F45" s="101">
        <v>0.78472222222222221</v>
      </c>
      <c r="G45" s="100">
        <f>IFERROR(VLOOKUP(Tablo516[[#This Row],[ÜRÜN KODU]],YMKODLARI!$A$1:$K$363,3,0)," ")</f>
        <v>8</v>
      </c>
      <c r="H45" s="100">
        <f>IFERROR(VLOOKUP(Tablo516[[#This Row],[ÜRÜN KODU]],YMKODLARI!$A$1:$K$363,4,0)," ")</f>
        <v>36</v>
      </c>
      <c r="I45" s="109">
        <v>692</v>
      </c>
      <c r="J45" s="100" t="str">
        <f>IFERROR(VLOOKUP(Tablo516[[#This Row],[ÜRÜN KODU]],YMKODLARI!$A$1:$K$363,9,0)," ")</f>
        <v>Şeffaf</v>
      </c>
      <c r="K45" s="100" t="str">
        <f>IFERROR(VLOOKUP(Tablo516[[#This Row],[BOYA KODU]],Tablo14[#All],4,0)," ")</f>
        <v xml:space="preserve"> </v>
      </c>
      <c r="L45" s="100" t="str">
        <f>IFERROR(VLOOKUP(Tablo516[[#This Row],[BOYA KODU]],Tablo14[#All],6,0)," ")</f>
        <v xml:space="preserve"> </v>
      </c>
      <c r="M45" s="100" t="str">
        <f t="shared" si="0"/>
        <v xml:space="preserve"> </v>
      </c>
      <c r="N45" s="100" t="str">
        <f>IFERROR(VLOOKUP(Tablo516[[#This Row],[ÜRÜN KODU]],YMKODLARI!$A$1:$K$363,8,0)," ")</f>
        <v>HM 003</v>
      </c>
      <c r="O45" s="100" t="str">
        <f>IFERROR(VLOOKUP(Tablo516[[#This Row],[HAMMADDE KODU]],Tablo1[#All],3,0)," ")</f>
        <v>LSR 45</v>
      </c>
      <c r="P45" s="100" t="str">
        <f>IFERROR(VLOOKUP(Tablo516[[#This Row],[HAMMADDE KODU]],Tablo1[#All],4,0)," ")</f>
        <v>SETA</v>
      </c>
      <c r="Q45" s="100">
        <f>IFERROR(VLOOKUP(Tablo516[[#This Row],[ÜRÜN KODU]],YMKODLARI!$A$1:$K$363,5,0)," ")</f>
        <v>51.7</v>
      </c>
      <c r="R45" s="100">
        <f>IFERROR(VLOOKUP(Tablo516[[#This Row],[ÜRÜN KODU]],YMKODLARI!$A$1:$K$363,6,0)," ")</f>
        <v>44.5</v>
      </c>
      <c r="S45" s="100">
        <f>IFERROR(Tablo516[[#This Row],[YOLLUK HARİÇ BASKI GRAMI]]/Tablo516[[#This Row],[KALIP GÖZ ADEDİ]]," ")</f>
        <v>5.5625</v>
      </c>
      <c r="T45" s="100">
        <f t="shared" si="2"/>
        <v>7.2000000000000028</v>
      </c>
      <c r="U45" s="117">
        <v>5.69</v>
      </c>
      <c r="V45" s="100">
        <f t="shared" si="1"/>
        <v>36.484000000000002</v>
      </c>
      <c r="W45" s="101">
        <f t="shared" si="3"/>
        <v>24.451388888888889</v>
      </c>
      <c r="X45" s="102">
        <f t="shared" si="4"/>
        <v>10.833333333333343</v>
      </c>
      <c r="Y45" s="100">
        <f t="shared" si="5"/>
        <v>6.92</v>
      </c>
      <c r="Z45" s="100">
        <f t="shared" si="6"/>
        <v>5536</v>
      </c>
    </row>
    <row r="46" spans="1:26">
      <c r="A46" s="100" t="s">
        <v>50</v>
      </c>
      <c r="B46" s="108" t="str">
        <f>IFERROR(VLOOKUP(Tablo516[[#This Row],[ÜRÜN KODU]],YMKODLARI!$A$1:$K$363,2,0)," ")</f>
        <v>BURUN POMPASI</v>
      </c>
      <c r="C46" s="99">
        <v>43887</v>
      </c>
      <c r="D46" s="100" t="s">
        <v>48</v>
      </c>
      <c r="E46" s="101">
        <v>0.64583333333333337</v>
      </c>
      <c r="F46" s="101">
        <v>0.75</v>
      </c>
      <c r="G46" s="100">
        <f>IFERROR(VLOOKUP(Tablo516[[#This Row],[ÜRÜN KODU]],YMKODLARI!$A$1:$K$363,3,0)," ")</f>
        <v>4</v>
      </c>
      <c r="H46" s="100">
        <f>IFERROR(VLOOKUP(Tablo516[[#This Row],[ÜRÜN KODU]],YMKODLARI!$A$1:$K$363,4,0)," ")</f>
        <v>40</v>
      </c>
      <c r="I46" s="100">
        <v>175</v>
      </c>
      <c r="J46" s="100" t="str">
        <f>IFERROR(VLOOKUP(Tablo516[[#This Row],[ÜRÜN KODU]],YMKODLARI!$A$1:$K$363,9,0)," ")</f>
        <v>281-6059</v>
      </c>
      <c r="K46" s="100" t="str">
        <f>IFERROR(VLOOKUP(Tablo516[[#This Row],[BOYA KODU]],Tablo14[#All],4,0)," ")</f>
        <v>ORANJ</v>
      </c>
      <c r="L46" s="100">
        <f>IFERROR(VLOOKUP(Tablo516[[#This Row],[BOYA KODU]],Tablo14[#All],6,0)," ")</f>
        <v>2.2000000000000001E-3</v>
      </c>
      <c r="M46" s="100">
        <f t="shared" si="0"/>
        <v>34.188000000000002</v>
      </c>
      <c r="N46" s="100" t="str">
        <f>IFERROR(VLOOKUP(Tablo516[[#This Row],[ÜRÜN KODU]],YMKODLARI!$A$1:$K$363,8,0)," ")</f>
        <v>HM 005</v>
      </c>
      <c r="O46" s="100" t="str">
        <f>IFERROR(VLOOKUP(Tablo516[[#This Row],[HAMMADDE KODU]],Tablo1[#All],3,0)," ")</f>
        <v>LSR 70</v>
      </c>
      <c r="P46" s="100" t="str">
        <f>IFERROR(VLOOKUP(Tablo516[[#This Row],[HAMMADDE KODU]],Tablo1[#All],4,0)," ")</f>
        <v>TERRA</v>
      </c>
      <c r="Q46" s="100">
        <f>IFERROR(VLOOKUP(Tablo516[[#This Row],[ÜRÜN KODU]],YMKODLARI!$A$1:$K$363,5,0)," ")</f>
        <v>88.8</v>
      </c>
      <c r="R46" s="100">
        <f>IFERROR(VLOOKUP(Tablo516[[#This Row],[ÜRÜN KODU]],YMKODLARI!$A$1:$K$363,6,0)," ")</f>
        <v>85.2</v>
      </c>
      <c r="S46" s="100">
        <f>IFERROR(Tablo516[[#This Row],[YOLLUK HARİÇ BASKI GRAMI]]/Tablo516[[#This Row],[KALIP GÖZ ADEDİ]]," ")</f>
        <v>21.3</v>
      </c>
      <c r="T46" s="100">
        <f t="shared" si="2"/>
        <v>3.5999999999999943</v>
      </c>
      <c r="U46" s="100">
        <v>2.59</v>
      </c>
      <c r="V46" s="100">
        <f t="shared" si="1"/>
        <v>17.5</v>
      </c>
      <c r="W46" s="101">
        <f t="shared" si="3"/>
        <v>24.104166666666668</v>
      </c>
      <c r="X46" s="102">
        <f t="shared" si="4"/>
        <v>2.5000000000000284</v>
      </c>
      <c r="Y46" s="100">
        <f t="shared" si="5"/>
        <v>1.9444444444444444</v>
      </c>
      <c r="Z46" s="100">
        <f t="shared" si="6"/>
        <v>700</v>
      </c>
    </row>
    <row r="47" spans="1:26">
      <c r="A47" s="100" t="s">
        <v>50</v>
      </c>
      <c r="B47" s="108" t="str">
        <f>IFERROR(VLOOKUP(Tablo516[[#This Row],[ÜRÜN KODU]],YMKODLARI!$A$1:$K$363,2,0)," ")</f>
        <v>BURUN POMPASI</v>
      </c>
      <c r="C47" s="99">
        <v>43888</v>
      </c>
      <c r="D47" s="100" t="s">
        <v>48</v>
      </c>
      <c r="E47" s="101">
        <v>0.46319444444444446</v>
      </c>
      <c r="F47" s="101">
        <v>0.52083333333333337</v>
      </c>
      <c r="G47" s="100">
        <f>IFERROR(VLOOKUP(Tablo516[[#This Row],[ÜRÜN KODU]],YMKODLARI!$A$1:$K$363,3,0)," ")</f>
        <v>4</v>
      </c>
      <c r="H47" s="100">
        <f>IFERROR(VLOOKUP(Tablo516[[#This Row],[ÜRÜN KODU]],YMKODLARI!$A$1:$K$363,4,0)," ")</f>
        <v>40</v>
      </c>
      <c r="I47" s="100">
        <v>175</v>
      </c>
      <c r="J47" s="100" t="str">
        <f>IFERROR(VLOOKUP(Tablo516[[#This Row],[ÜRÜN KODU]],YMKODLARI!$A$1:$K$363,9,0)," ")</f>
        <v>281-6059</v>
      </c>
      <c r="K47" s="100" t="str">
        <f>IFERROR(VLOOKUP(Tablo516[[#This Row],[BOYA KODU]],Tablo14[#All],4,0)," ")</f>
        <v>ORANJ</v>
      </c>
      <c r="L47" s="100">
        <f>IFERROR(VLOOKUP(Tablo516[[#This Row],[BOYA KODU]],Tablo14[#All],6,0)," ")</f>
        <v>2.2000000000000001E-3</v>
      </c>
      <c r="M47" s="100">
        <f t="shared" si="0"/>
        <v>34.188000000000002</v>
      </c>
      <c r="N47" s="100" t="str">
        <f>IFERROR(VLOOKUP(Tablo516[[#This Row],[ÜRÜN KODU]],YMKODLARI!$A$1:$K$363,8,0)," ")</f>
        <v>HM 005</v>
      </c>
      <c r="O47" s="100" t="str">
        <f>IFERROR(VLOOKUP(Tablo516[[#This Row],[HAMMADDE KODU]],Tablo1[#All],3,0)," ")</f>
        <v>LSR 70</v>
      </c>
      <c r="P47" s="100" t="str">
        <f>IFERROR(VLOOKUP(Tablo516[[#This Row],[HAMMADDE KODU]],Tablo1[#All],4,0)," ")</f>
        <v>TERRA</v>
      </c>
      <c r="Q47" s="100">
        <f>IFERROR(VLOOKUP(Tablo516[[#This Row],[ÜRÜN KODU]],YMKODLARI!$A$1:$K$363,5,0)," ")</f>
        <v>88.8</v>
      </c>
      <c r="R47" s="100">
        <f>IFERROR(VLOOKUP(Tablo516[[#This Row],[ÜRÜN KODU]],YMKODLARI!$A$1:$K$363,6,0)," ")</f>
        <v>85.2</v>
      </c>
      <c r="S47" s="100">
        <f>IFERROR(Tablo516[[#This Row],[YOLLUK HARİÇ BASKI GRAMI]]/Tablo516[[#This Row],[KALIP GÖZ ADEDİ]]," ")</f>
        <v>21.3</v>
      </c>
      <c r="T47" s="100">
        <f t="shared" si="2"/>
        <v>3.5999999999999943</v>
      </c>
      <c r="U47" s="100">
        <v>2</v>
      </c>
      <c r="V47" s="100">
        <f t="shared" si="1"/>
        <v>16.91</v>
      </c>
      <c r="W47" s="101">
        <f t="shared" si="3"/>
        <v>24.057638888888889</v>
      </c>
      <c r="X47" s="102">
        <f t="shared" si="4"/>
        <v>1.3833333333333258</v>
      </c>
      <c r="Y47" s="100">
        <f t="shared" si="5"/>
        <v>1.9444444444444444</v>
      </c>
      <c r="Z47" s="100">
        <f t="shared" si="6"/>
        <v>700</v>
      </c>
    </row>
    <row r="48" spans="1:26">
      <c r="A48" s="100" t="s">
        <v>50</v>
      </c>
      <c r="B48" s="108" t="str">
        <f>IFERROR(VLOOKUP(Tablo516[[#This Row],[ÜRÜN KODU]],YMKODLARI!$A$1:$K$363,2,0)," ")</f>
        <v>BURUN POMPASI</v>
      </c>
      <c r="C48" s="99">
        <v>43893</v>
      </c>
      <c r="D48" s="100" t="s">
        <v>48</v>
      </c>
      <c r="E48" s="101">
        <v>0.47222222222222227</v>
      </c>
      <c r="F48" s="101">
        <v>0.66666666666666663</v>
      </c>
      <c r="G48" s="100">
        <f>IFERROR(VLOOKUP(Tablo516[[#This Row],[ÜRÜN KODU]],YMKODLARI!$A$1:$K$363,3,0)," ")</f>
        <v>4</v>
      </c>
      <c r="H48" s="100">
        <f>IFERROR(VLOOKUP(Tablo516[[#This Row],[ÜRÜN KODU]],YMKODLARI!$A$1:$K$363,4,0)," ")</f>
        <v>40</v>
      </c>
      <c r="I48" s="100">
        <v>323</v>
      </c>
      <c r="J48" s="100" t="str">
        <f>IFERROR(VLOOKUP(Tablo516[[#This Row],[ÜRÜN KODU]],YMKODLARI!$A$1:$K$363,9,0)," ")</f>
        <v>281-6059</v>
      </c>
      <c r="K48" s="100" t="str">
        <f>IFERROR(VLOOKUP(Tablo516[[#This Row],[BOYA KODU]],Tablo14[#All],4,0)," ")</f>
        <v>ORANJ</v>
      </c>
      <c r="L48" s="100">
        <f>IFERROR(VLOOKUP(Tablo516[[#This Row],[BOYA KODU]],Tablo14[#All],6,0)," ")</f>
        <v>2.2000000000000001E-3</v>
      </c>
      <c r="M48" s="100">
        <f t="shared" si="0"/>
        <v>63.101279999999996</v>
      </c>
      <c r="N48" s="100" t="str">
        <f>IFERROR(VLOOKUP(Tablo516[[#This Row],[ÜRÜN KODU]],YMKODLARI!$A$1:$K$363,8,0)," ")</f>
        <v>HM 005</v>
      </c>
      <c r="O48" s="100" t="str">
        <f>IFERROR(VLOOKUP(Tablo516[[#This Row],[HAMMADDE KODU]],Tablo1[#All],3,0)," ")</f>
        <v>LSR 70</v>
      </c>
      <c r="P48" s="100" t="str">
        <f>IFERROR(VLOOKUP(Tablo516[[#This Row],[HAMMADDE KODU]],Tablo1[#All],4,0)," ")</f>
        <v>TERRA</v>
      </c>
      <c r="Q48" s="100">
        <f>IFERROR(VLOOKUP(Tablo516[[#This Row],[ÜRÜN KODU]],YMKODLARI!$A$1:$K$363,5,0)," ")</f>
        <v>88.8</v>
      </c>
      <c r="R48" s="100">
        <f>IFERROR(VLOOKUP(Tablo516[[#This Row],[ÜRÜN KODU]],YMKODLARI!$A$1:$K$363,6,0)," ")</f>
        <v>85.2</v>
      </c>
      <c r="S48" s="100">
        <f>IFERROR(Tablo516[[#This Row],[YOLLUK HARİÇ BASKI GRAMI]]/Tablo516[[#This Row],[KALIP GÖZ ADEDİ]]," ")</f>
        <v>21.3</v>
      </c>
      <c r="T48" s="100">
        <f t="shared" si="2"/>
        <v>3.5999999999999943</v>
      </c>
      <c r="U48" s="100">
        <v>8</v>
      </c>
      <c r="V48" s="100">
        <f t="shared" si="1"/>
        <v>35.519599999999997</v>
      </c>
      <c r="W48" s="101">
        <f t="shared" si="3"/>
        <v>24.194444444444443</v>
      </c>
      <c r="X48" s="102">
        <f t="shared" si="4"/>
        <v>4.6666666666666288</v>
      </c>
      <c r="Y48" s="100">
        <f t="shared" si="5"/>
        <v>3.588888888888889</v>
      </c>
      <c r="Z48" s="100">
        <f t="shared" si="6"/>
        <v>1292</v>
      </c>
    </row>
    <row r="49" spans="1:26">
      <c r="A49" s="100" t="s">
        <v>51</v>
      </c>
      <c r="B49" s="108" t="str">
        <f>IFERROR(VLOOKUP(Tablo516[[#This Row],[ÜRÜN KODU]],YMKODLARI!$A$1:$K$363,2,0)," ")</f>
        <v>BURUN POMPASI</v>
      </c>
      <c r="C49" s="99">
        <v>43894</v>
      </c>
      <c r="D49" s="100" t="s">
        <v>48</v>
      </c>
      <c r="E49" s="101">
        <v>0.66666666666666663</v>
      </c>
      <c r="F49" s="101">
        <v>0.70833333333333337</v>
      </c>
      <c r="G49" s="100">
        <f>IFERROR(VLOOKUP(Tablo516[[#This Row],[ÜRÜN KODU]],YMKODLARI!$A$1:$K$363,3,0)," ")</f>
        <v>4</v>
      </c>
      <c r="H49" s="100">
        <f>IFERROR(VLOOKUP(Tablo516[[#This Row],[ÜRÜN KODU]],YMKODLARI!$A$1:$K$363,4,0)," ")</f>
        <v>40</v>
      </c>
      <c r="I49" s="100">
        <v>50</v>
      </c>
      <c r="J49" s="100" t="str">
        <f>IFERROR(VLOOKUP(Tablo516[[#This Row],[ÜRÜN KODU]],YMKODLARI!$A$1:$K$363,9,0)," ")</f>
        <v>REDF 3565A</v>
      </c>
      <c r="K49" s="100" t="str">
        <f>IFERROR(VLOOKUP(Tablo516[[#This Row],[BOYA KODU]],Tablo14[#All],4,0)," ")</f>
        <v>PEMBE</v>
      </c>
      <c r="L49" s="100">
        <f>IFERROR(VLOOKUP(Tablo516[[#This Row],[BOYA KODU]],Tablo14[#All],6,0)," ")</f>
        <v>2E-3</v>
      </c>
      <c r="M49" s="100">
        <f t="shared" si="0"/>
        <v>8.9600000000000009</v>
      </c>
      <c r="N49" s="100" t="str">
        <f>IFERROR(VLOOKUP(Tablo516[[#This Row],[ÜRÜN KODU]],YMKODLARI!$A$1:$K$363,8,0)," ")</f>
        <v>HM 005</v>
      </c>
      <c r="O49" s="100" t="str">
        <f>IFERROR(VLOOKUP(Tablo516[[#This Row],[HAMMADDE KODU]],Tablo1[#All],3,0)," ")</f>
        <v>LSR 70</v>
      </c>
      <c r="P49" s="100" t="str">
        <f>IFERROR(VLOOKUP(Tablo516[[#This Row],[HAMMADDE KODU]],Tablo1[#All],4,0)," ")</f>
        <v>TERRA</v>
      </c>
      <c r="Q49" s="100">
        <f>IFERROR(VLOOKUP(Tablo516[[#This Row],[ÜRÜN KODU]],YMKODLARI!$A$1:$K$363,5,0)," ")</f>
        <v>89.6</v>
      </c>
      <c r="R49" s="100">
        <f>IFERROR(VLOOKUP(Tablo516[[#This Row],[ÜRÜN KODU]],YMKODLARI!$A$1:$K$363,6,0)," ")</f>
        <v>86</v>
      </c>
      <c r="S49" s="100">
        <f>IFERROR(Tablo516[[#This Row],[YOLLUK HARİÇ BASKI GRAMI]]/Tablo516[[#This Row],[KALIP GÖZ ADEDİ]]," ")</f>
        <v>21.5</v>
      </c>
      <c r="T49" s="100">
        <f t="shared" si="2"/>
        <v>3.5999999999999943</v>
      </c>
      <c r="U49" s="100">
        <v>4.5</v>
      </c>
      <c r="V49" s="100">
        <f t="shared" si="1"/>
        <v>8.8000000000000007</v>
      </c>
      <c r="W49" s="101">
        <f t="shared" si="3"/>
        <v>24.041666666666668</v>
      </c>
      <c r="X49" s="102">
        <f t="shared" si="4"/>
        <v>1.0000000000000284</v>
      </c>
      <c r="Y49" s="100">
        <f t="shared" si="5"/>
        <v>0.55555555555555558</v>
      </c>
      <c r="Z49" s="100">
        <f t="shared" si="6"/>
        <v>200</v>
      </c>
    </row>
    <row r="50" spans="1:26">
      <c r="A50" s="100" t="s">
        <v>52</v>
      </c>
      <c r="B50" s="108" t="str">
        <f>IFERROR(VLOOKUP(Tablo516[[#This Row],[ÜRÜN KODU]],YMKODLARI!$A$1:$K$363,2,0)," ")</f>
        <v>BURUN POMPASI</v>
      </c>
      <c r="C50" s="99">
        <v>43895</v>
      </c>
      <c r="D50" s="100" t="s">
        <v>48</v>
      </c>
      <c r="E50" s="101">
        <v>0.45833333333333331</v>
      </c>
      <c r="F50" s="101">
        <v>0.49027777777777781</v>
      </c>
      <c r="G50" s="100">
        <f>IFERROR(VLOOKUP(Tablo516[[#This Row],[ÜRÜN KODU]],YMKODLARI!$A$1:$K$363,3,0)," ")</f>
        <v>4</v>
      </c>
      <c r="H50" s="100">
        <f>IFERROR(VLOOKUP(Tablo516[[#This Row],[ÜRÜN KODU]],YMKODLARI!$A$1:$K$363,4,0)," ")</f>
        <v>40</v>
      </c>
      <c r="I50" s="100">
        <v>66</v>
      </c>
      <c r="J50" s="100" t="str">
        <f>IFERROR(VLOOKUP(Tablo516[[#This Row],[ÜRÜN KODU]],YMKODLARI!$A$1:$K$363,9,0)," ")</f>
        <v>BLUEF 5386A</v>
      </c>
      <c r="K50" s="100" t="str">
        <f>IFERROR(VLOOKUP(Tablo516[[#This Row],[BOYA KODU]],Tablo14[#All],4,0)," ")</f>
        <v>MAVİ</v>
      </c>
      <c r="L50" s="100">
        <f>IFERROR(VLOOKUP(Tablo516[[#This Row],[BOYA KODU]],Tablo14[#All],6,0)," ")</f>
        <v>2E-3</v>
      </c>
      <c r="M50" s="100">
        <f t="shared" si="0"/>
        <v>11.7216</v>
      </c>
      <c r="N50" s="100" t="str">
        <f>IFERROR(VLOOKUP(Tablo516[[#This Row],[ÜRÜN KODU]],YMKODLARI!$A$1:$K$363,8,0)," ")</f>
        <v>HM 005</v>
      </c>
      <c r="O50" s="100" t="str">
        <f>IFERROR(VLOOKUP(Tablo516[[#This Row],[HAMMADDE KODU]],Tablo1[#All],3,0)," ")</f>
        <v>LSR 70</v>
      </c>
      <c r="P50" s="100" t="str">
        <f>IFERROR(VLOOKUP(Tablo516[[#This Row],[HAMMADDE KODU]],Tablo1[#All],4,0)," ")</f>
        <v>TERRA</v>
      </c>
      <c r="Q50" s="100">
        <f>IFERROR(VLOOKUP(Tablo516[[#This Row],[ÜRÜN KODU]],YMKODLARI!$A$1:$K$363,5,0)," ")</f>
        <v>88.8</v>
      </c>
      <c r="R50" s="100">
        <f>IFERROR(VLOOKUP(Tablo516[[#This Row],[ÜRÜN KODU]],YMKODLARI!$A$1:$K$363,6,0)," ")</f>
        <v>85.2</v>
      </c>
      <c r="S50" s="100">
        <f>IFERROR(Tablo516[[#This Row],[YOLLUK HARİÇ BASKI GRAMI]]/Tablo516[[#This Row],[KALIP GÖZ ADEDİ]]," ")</f>
        <v>21.3</v>
      </c>
      <c r="T50" s="100">
        <f t="shared" si="2"/>
        <v>3.5999999999999943</v>
      </c>
      <c r="U50" s="100">
        <v>4.7</v>
      </c>
      <c r="V50" s="100">
        <f t="shared" si="1"/>
        <v>10.3232</v>
      </c>
      <c r="W50" s="101">
        <f t="shared" si="3"/>
        <v>24.031944444444445</v>
      </c>
      <c r="X50" s="102">
        <f t="shared" si="4"/>
        <v>0.76666666666667993</v>
      </c>
      <c r="Y50" s="100">
        <f t="shared" si="5"/>
        <v>0.73333333333333328</v>
      </c>
      <c r="Z50" s="100">
        <f t="shared" si="6"/>
        <v>264</v>
      </c>
    </row>
    <row r="51" spans="1:26">
      <c r="A51" s="100" t="s">
        <v>34</v>
      </c>
      <c r="B51" s="108" t="str">
        <f>IFERROR(VLOOKUP(Tablo516[[#This Row],[ÜRÜN KODU]],YMKODLARI!$A$1:$K$363,2,0)," ")</f>
        <v>BİBERON KLASİK  UC 1 NO</v>
      </c>
      <c r="C51" s="99">
        <v>43896</v>
      </c>
      <c r="D51" s="100" t="s">
        <v>48</v>
      </c>
      <c r="E51" s="101">
        <v>0.4375</v>
      </c>
      <c r="F51" s="101">
        <v>0.72916666666666663</v>
      </c>
      <c r="G51" s="100">
        <f>IFERROR(VLOOKUP(Tablo516[[#This Row],[ÜRÜN KODU]],YMKODLARI!$A$1:$K$363,3,0)," ")</f>
        <v>8</v>
      </c>
      <c r="H51" s="100">
        <f>IFERROR(VLOOKUP(Tablo516[[#This Row],[ÜRÜN KODU]],YMKODLARI!$A$1:$K$363,4,0)," ")</f>
        <v>36</v>
      </c>
      <c r="I51" s="100">
        <v>448</v>
      </c>
      <c r="J51" s="100" t="str">
        <f>IFERROR(VLOOKUP(Tablo516[[#This Row],[ÜRÜN KODU]],YMKODLARI!$A$1:$K$363,9,0)," ")</f>
        <v>Şeffaf</v>
      </c>
      <c r="K51" s="100" t="str">
        <f>IFERROR(VLOOKUP(Tablo516[[#This Row],[BOYA KODU]],Tablo14[#All],4,0)," ")</f>
        <v xml:space="preserve"> </v>
      </c>
      <c r="L51" s="100" t="str">
        <f>IFERROR(VLOOKUP(Tablo516[[#This Row],[BOYA KODU]],Tablo14[#All],6,0)," ")</f>
        <v xml:space="preserve"> </v>
      </c>
      <c r="M51" s="100" t="str">
        <f t="shared" si="0"/>
        <v xml:space="preserve"> </v>
      </c>
      <c r="N51" s="100" t="str">
        <f>IFERROR(VLOOKUP(Tablo516[[#This Row],[ÜRÜN KODU]],YMKODLARI!$A$1:$K$363,8,0)," ")</f>
        <v>HM 003</v>
      </c>
      <c r="O51" s="100" t="str">
        <f>IFERROR(VLOOKUP(Tablo516[[#This Row],[HAMMADDE KODU]],Tablo1[#All],3,0)," ")</f>
        <v>LSR 45</v>
      </c>
      <c r="P51" s="100" t="str">
        <f>IFERROR(VLOOKUP(Tablo516[[#This Row],[HAMMADDE KODU]],Tablo1[#All],4,0)," ")</f>
        <v>SETA</v>
      </c>
      <c r="Q51" s="100">
        <f>IFERROR(VLOOKUP(Tablo516[[#This Row],[ÜRÜN KODU]],YMKODLARI!$A$1:$K$363,5,0)," ")</f>
        <v>51.7</v>
      </c>
      <c r="R51" s="100">
        <f>IFERROR(VLOOKUP(Tablo516[[#This Row],[ÜRÜN KODU]],YMKODLARI!$A$1:$K$363,6,0)," ")</f>
        <v>44.5</v>
      </c>
      <c r="S51" s="100">
        <f>IFERROR(Tablo516[[#This Row],[YOLLUK HARİÇ BASKI GRAMI]]/Tablo516[[#This Row],[KALIP GÖZ ADEDİ]]," ")</f>
        <v>5.5625</v>
      </c>
      <c r="T51" s="100">
        <f t="shared" si="2"/>
        <v>7.2000000000000028</v>
      </c>
      <c r="U51" s="100">
        <v>9.6</v>
      </c>
      <c r="V51" s="100">
        <f t="shared" si="1"/>
        <v>29.536000000000001</v>
      </c>
      <c r="W51" s="101">
        <f t="shared" si="3"/>
        <v>24.291666666666668</v>
      </c>
      <c r="X51" s="102">
        <f t="shared" si="4"/>
        <v>7.0000000000000284</v>
      </c>
      <c r="Y51" s="100">
        <f t="shared" si="5"/>
        <v>4.4800000000000004</v>
      </c>
      <c r="Z51" s="100">
        <f t="shared" si="6"/>
        <v>3584</v>
      </c>
    </row>
    <row r="52" spans="1:26">
      <c r="A52" s="100" t="s">
        <v>34</v>
      </c>
      <c r="B52" s="108" t="str">
        <f>IFERROR(VLOOKUP(Tablo516[[#This Row],[ÜRÜN KODU]],YMKODLARI!$A$1:$K$363,2,0)," ")</f>
        <v>BİBERON KLASİK  UC 1 NO</v>
      </c>
      <c r="C52" s="99">
        <v>43899</v>
      </c>
      <c r="D52" s="100" t="s">
        <v>48</v>
      </c>
      <c r="E52" s="101">
        <v>0.33333333333333331</v>
      </c>
      <c r="F52" s="101">
        <v>0.83333333333333337</v>
      </c>
      <c r="G52" s="100">
        <f>IFERROR(VLOOKUP(Tablo516[[#This Row],[ÜRÜN KODU]],YMKODLARI!$A$1:$K$363,3,0)," ")</f>
        <v>8</v>
      </c>
      <c r="H52" s="100">
        <f>IFERROR(VLOOKUP(Tablo516[[#This Row],[ÜRÜN KODU]],YMKODLARI!$A$1:$K$363,4,0)," ")</f>
        <v>36</v>
      </c>
      <c r="I52" s="100">
        <v>893</v>
      </c>
      <c r="J52" s="100" t="str">
        <f>IFERROR(VLOOKUP(Tablo516[[#This Row],[ÜRÜN KODU]],YMKODLARI!$A$1:$K$363,9,0)," ")</f>
        <v>Şeffaf</v>
      </c>
      <c r="K52" s="100" t="str">
        <f>IFERROR(VLOOKUP(Tablo516[[#This Row],[BOYA KODU]],Tablo14[#All],4,0)," ")</f>
        <v xml:space="preserve"> </v>
      </c>
      <c r="L52" s="100" t="str">
        <f>IFERROR(VLOOKUP(Tablo516[[#This Row],[BOYA KODU]],Tablo14[#All],6,0)," ")</f>
        <v xml:space="preserve"> </v>
      </c>
      <c r="M52" s="100" t="str">
        <f t="shared" si="0"/>
        <v xml:space="preserve"> </v>
      </c>
      <c r="N52" s="100" t="str">
        <f>IFERROR(VLOOKUP(Tablo516[[#This Row],[ÜRÜN KODU]],YMKODLARI!$A$1:$K$363,8,0)," ")</f>
        <v>HM 003</v>
      </c>
      <c r="O52" s="100" t="str">
        <f>IFERROR(VLOOKUP(Tablo516[[#This Row],[HAMMADDE KODU]],Tablo1[#All],3,0)," ")</f>
        <v>LSR 45</v>
      </c>
      <c r="P52" s="100" t="str">
        <f>IFERROR(VLOOKUP(Tablo516[[#This Row],[HAMMADDE KODU]],Tablo1[#All],4,0)," ")</f>
        <v>SETA</v>
      </c>
      <c r="Q52" s="100">
        <f>IFERROR(VLOOKUP(Tablo516[[#This Row],[ÜRÜN KODU]],YMKODLARI!$A$1:$K$363,5,0)," ")</f>
        <v>51.7</v>
      </c>
      <c r="R52" s="100">
        <f>IFERROR(VLOOKUP(Tablo516[[#This Row],[ÜRÜN KODU]],YMKODLARI!$A$1:$K$363,6,0)," ")</f>
        <v>44.5</v>
      </c>
      <c r="S52" s="100">
        <f>IFERROR(Tablo516[[#This Row],[YOLLUK HARİÇ BASKI GRAMI]]/Tablo516[[#This Row],[KALIP GÖZ ADEDİ]]," ")</f>
        <v>5.5625</v>
      </c>
      <c r="T52" s="100">
        <f t="shared" si="2"/>
        <v>7.2000000000000028</v>
      </c>
      <c r="U52" s="100">
        <v>6</v>
      </c>
      <c r="V52" s="100">
        <f t="shared" si="1"/>
        <v>45.738500000000002</v>
      </c>
      <c r="W52" s="101">
        <f t="shared" si="3"/>
        <v>24.5</v>
      </c>
      <c r="X52" s="102">
        <f t="shared" si="4"/>
        <v>12</v>
      </c>
      <c r="Y52" s="100">
        <f t="shared" si="5"/>
        <v>8.93</v>
      </c>
      <c r="Z52" s="100">
        <f t="shared" si="6"/>
        <v>7144</v>
      </c>
    </row>
    <row r="53" spans="1:26">
      <c r="A53" s="100" t="s">
        <v>34</v>
      </c>
      <c r="B53" s="108" t="str">
        <f>IFERROR(VLOOKUP(Tablo516[[#This Row],[ÜRÜN KODU]],YMKODLARI!$A$1:$K$363,2,0)," ")</f>
        <v>BİBERON KLASİK  UC 1 NO</v>
      </c>
      <c r="C53" s="99">
        <v>43899</v>
      </c>
      <c r="D53" s="100" t="s">
        <v>35</v>
      </c>
      <c r="E53" s="101">
        <v>0.83333333333333337</v>
      </c>
      <c r="F53" s="101">
        <v>0.33333333333333331</v>
      </c>
      <c r="G53" s="100">
        <f>IFERROR(VLOOKUP(Tablo516[[#This Row],[ÜRÜN KODU]],YMKODLARI!$A$1:$K$363,3,0)," ")</f>
        <v>8</v>
      </c>
      <c r="H53" s="100">
        <f>IFERROR(VLOOKUP(Tablo516[[#This Row],[ÜRÜN KODU]],YMKODLARI!$A$1:$K$363,4,0)," ")</f>
        <v>36</v>
      </c>
      <c r="I53" s="100">
        <v>676</v>
      </c>
      <c r="J53" s="100" t="str">
        <f>IFERROR(VLOOKUP(Tablo516[[#This Row],[ÜRÜN KODU]],YMKODLARI!$A$1:$K$363,9,0)," ")</f>
        <v>Şeffaf</v>
      </c>
      <c r="K53" s="100" t="str">
        <f>IFERROR(VLOOKUP(Tablo516[[#This Row],[BOYA KODU]],Tablo14[#All],4,0)," ")</f>
        <v xml:space="preserve"> </v>
      </c>
      <c r="L53" s="100" t="str">
        <f>IFERROR(VLOOKUP(Tablo516[[#This Row],[BOYA KODU]],Tablo14[#All],6,0)," ")</f>
        <v xml:space="preserve"> </v>
      </c>
      <c r="M53" s="100" t="str">
        <f t="shared" si="0"/>
        <v xml:space="preserve"> </v>
      </c>
      <c r="N53" s="100" t="str">
        <f>IFERROR(VLOOKUP(Tablo516[[#This Row],[ÜRÜN KODU]],YMKODLARI!$A$1:$K$363,8,0)," ")</f>
        <v>HM 003</v>
      </c>
      <c r="O53" s="100" t="str">
        <f>IFERROR(VLOOKUP(Tablo516[[#This Row],[HAMMADDE KODU]],Tablo1[#All],3,0)," ")</f>
        <v>LSR 45</v>
      </c>
      <c r="P53" s="100" t="str">
        <f>IFERROR(VLOOKUP(Tablo516[[#This Row],[HAMMADDE KODU]],Tablo1[#All],4,0)," ")</f>
        <v>SETA</v>
      </c>
      <c r="Q53" s="100">
        <f>IFERROR(VLOOKUP(Tablo516[[#This Row],[ÜRÜN KODU]],YMKODLARI!$A$1:$K$363,5,0)," ")</f>
        <v>51.7</v>
      </c>
      <c r="R53" s="100">
        <f>IFERROR(VLOOKUP(Tablo516[[#This Row],[ÜRÜN KODU]],YMKODLARI!$A$1:$K$363,6,0)," ")</f>
        <v>44.5</v>
      </c>
      <c r="S53" s="100">
        <f>IFERROR(Tablo516[[#This Row],[YOLLUK HARİÇ BASKI GRAMI]]/Tablo516[[#This Row],[KALIP GÖZ ADEDİ]]," ")</f>
        <v>5.5625</v>
      </c>
      <c r="T53" s="100">
        <f t="shared" si="2"/>
        <v>7.2000000000000028</v>
      </c>
      <c r="U53" s="100">
        <v>5.16</v>
      </c>
      <c r="V53" s="100">
        <f t="shared" si="1"/>
        <v>35.242000000000004</v>
      </c>
      <c r="W53" s="101">
        <f t="shared" si="3"/>
        <v>23.5</v>
      </c>
      <c r="X53" s="102">
        <f t="shared" si="4"/>
        <v>12</v>
      </c>
      <c r="Y53" s="100">
        <f t="shared" si="5"/>
        <v>6.76</v>
      </c>
      <c r="Z53" s="100">
        <f t="shared" si="6"/>
        <v>5408</v>
      </c>
    </row>
    <row r="54" spans="1:26">
      <c r="A54" s="100" t="s">
        <v>34</v>
      </c>
      <c r="B54" s="108" t="str">
        <f>IFERROR(VLOOKUP(Tablo516[[#This Row],[ÜRÜN KODU]],YMKODLARI!$A$1:$K$363,2,0)," ")</f>
        <v>BİBERON KLASİK  UC 1 NO</v>
      </c>
      <c r="C54" s="99">
        <v>43900</v>
      </c>
      <c r="D54" s="100" t="s">
        <v>48</v>
      </c>
      <c r="E54" s="101">
        <v>0.33333333333333331</v>
      </c>
      <c r="F54" s="101">
        <v>0.83333333333333337</v>
      </c>
      <c r="G54" s="100">
        <f>IFERROR(VLOOKUP(Tablo516[[#This Row],[ÜRÜN KODU]],YMKODLARI!$A$1:$K$363,3,0)," ")</f>
        <v>8</v>
      </c>
      <c r="H54" s="100">
        <f>IFERROR(VLOOKUP(Tablo516[[#This Row],[ÜRÜN KODU]],YMKODLARI!$A$1:$K$363,4,0)," ")</f>
        <v>36</v>
      </c>
      <c r="I54" s="100">
        <v>872</v>
      </c>
      <c r="J54" s="100" t="str">
        <f>IFERROR(VLOOKUP(Tablo516[[#This Row],[ÜRÜN KODU]],YMKODLARI!$A$1:$K$363,9,0)," ")</f>
        <v>Şeffaf</v>
      </c>
      <c r="K54" s="100" t="str">
        <f>IFERROR(VLOOKUP(Tablo516[[#This Row],[BOYA KODU]],Tablo14[#All],4,0)," ")</f>
        <v xml:space="preserve"> </v>
      </c>
      <c r="L54" s="100" t="str">
        <f>IFERROR(VLOOKUP(Tablo516[[#This Row],[BOYA KODU]],Tablo14[#All],6,0)," ")</f>
        <v xml:space="preserve"> </v>
      </c>
      <c r="M54" s="100" t="str">
        <f t="shared" si="0"/>
        <v xml:space="preserve"> </v>
      </c>
      <c r="N54" s="100" t="str">
        <f>IFERROR(VLOOKUP(Tablo516[[#This Row],[ÜRÜN KODU]],YMKODLARI!$A$1:$K$363,8,0)," ")</f>
        <v>HM 003</v>
      </c>
      <c r="O54" s="100" t="str">
        <f>IFERROR(VLOOKUP(Tablo516[[#This Row],[HAMMADDE KODU]],Tablo1[#All],3,0)," ")</f>
        <v>LSR 45</v>
      </c>
      <c r="P54" s="100" t="str">
        <f>IFERROR(VLOOKUP(Tablo516[[#This Row],[HAMMADDE KODU]],Tablo1[#All],4,0)," ")</f>
        <v>SETA</v>
      </c>
      <c r="Q54" s="100">
        <f>IFERROR(VLOOKUP(Tablo516[[#This Row],[ÜRÜN KODU]],YMKODLARI!$A$1:$K$363,5,0)," ")</f>
        <v>51.7</v>
      </c>
      <c r="R54" s="100">
        <f>IFERROR(VLOOKUP(Tablo516[[#This Row],[ÜRÜN KODU]],YMKODLARI!$A$1:$K$363,6,0)," ")</f>
        <v>44.5</v>
      </c>
      <c r="S54" s="100">
        <f>IFERROR(Tablo516[[#This Row],[YOLLUK HARİÇ BASKI GRAMI]]/Tablo516[[#This Row],[KALIP GÖZ ADEDİ]]," ")</f>
        <v>5.5625</v>
      </c>
      <c r="T54" s="100">
        <f t="shared" si="2"/>
        <v>7.2000000000000028</v>
      </c>
      <c r="U54" s="100">
        <v>7.81</v>
      </c>
      <c r="V54" s="100">
        <f t="shared" si="1"/>
        <v>46.614000000000004</v>
      </c>
      <c r="W54" s="101">
        <f t="shared" si="3"/>
        <v>24.5</v>
      </c>
      <c r="X54" s="102">
        <f t="shared" si="4"/>
        <v>12</v>
      </c>
      <c r="Y54" s="100">
        <f t="shared" si="5"/>
        <v>8.7200000000000006</v>
      </c>
      <c r="Z54" s="100">
        <f t="shared" si="6"/>
        <v>6976</v>
      </c>
    </row>
    <row r="55" spans="1:26">
      <c r="A55" s="100" t="s">
        <v>34</v>
      </c>
      <c r="B55" s="108" t="str">
        <f>IFERROR(VLOOKUP(Tablo516[[#This Row],[ÜRÜN KODU]],YMKODLARI!$A$1:$K$363,2,0)," ")</f>
        <v>BİBERON KLASİK  UC 1 NO</v>
      </c>
      <c r="C55" s="99">
        <v>43900</v>
      </c>
      <c r="D55" s="100" t="s">
        <v>35</v>
      </c>
      <c r="E55" s="101">
        <v>0.83333333333333337</v>
      </c>
      <c r="F55" s="101">
        <v>0.33333333333333331</v>
      </c>
      <c r="G55" s="100">
        <f>IFERROR(VLOOKUP(Tablo516[[#This Row],[ÜRÜN KODU]],YMKODLARI!$A$1:$K$363,3,0)," ")</f>
        <v>8</v>
      </c>
      <c r="H55" s="100">
        <f>IFERROR(VLOOKUP(Tablo516[[#This Row],[ÜRÜN KODU]],YMKODLARI!$A$1:$K$363,4,0)," ")</f>
        <v>36</v>
      </c>
      <c r="I55" s="100">
        <v>768</v>
      </c>
      <c r="J55" s="100" t="str">
        <f>IFERROR(VLOOKUP(Tablo516[[#This Row],[ÜRÜN KODU]],YMKODLARI!$A$1:$K$363,9,0)," ")</f>
        <v>Şeffaf</v>
      </c>
      <c r="K55" s="100" t="str">
        <f>IFERROR(VLOOKUP(Tablo516[[#This Row],[BOYA KODU]],Tablo14[#All],4,0)," ")</f>
        <v xml:space="preserve"> </v>
      </c>
      <c r="L55" s="100" t="str">
        <f>IFERROR(VLOOKUP(Tablo516[[#This Row],[BOYA KODU]],Tablo14[#All],6,0)," ")</f>
        <v xml:space="preserve"> </v>
      </c>
      <c r="M55" s="100" t="str">
        <f t="shared" si="0"/>
        <v xml:space="preserve"> </v>
      </c>
      <c r="N55" s="100" t="str">
        <f>IFERROR(VLOOKUP(Tablo516[[#This Row],[ÜRÜN KODU]],YMKODLARI!$A$1:$K$363,8,0)," ")</f>
        <v>HM 003</v>
      </c>
      <c r="O55" s="100" t="str">
        <f>IFERROR(VLOOKUP(Tablo516[[#This Row],[HAMMADDE KODU]],Tablo1[#All],3,0)," ")</f>
        <v>LSR 45</v>
      </c>
      <c r="P55" s="100" t="str">
        <f>IFERROR(VLOOKUP(Tablo516[[#This Row],[HAMMADDE KODU]],Tablo1[#All],4,0)," ")</f>
        <v>SETA</v>
      </c>
      <c r="Q55" s="100">
        <f>IFERROR(VLOOKUP(Tablo516[[#This Row],[ÜRÜN KODU]],YMKODLARI!$A$1:$K$363,5,0)," ")</f>
        <v>51.7</v>
      </c>
      <c r="R55" s="100">
        <f>IFERROR(VLOOKUP(Tablo516[[#This Row],[ÜRÜN KODU]],YMKODLARI!$A$1:$K$363,6,0)," ")</f>
        <v>44.5</v>
      </c>
      <c r="S55" s="100">
        <f>IFERROR(Tablo516[[#This Row],[YOLLUK HARİÇ BASKI GRAMI]]/Tablo516[[#This Row],[KALIP GÖZ ADEDİ]]," ")</f>
        <v>5.5625</v>
      </c>
      <c r="T55" s="100">
        <f t="shared" si="2"/>
        <v>7.2000000000000028</v>
      </c>
      <c r="U55" s="100">
        <v>5.41</v>
      </c>
      <c r="V55" s="100">
        <f t="shared" si="1"/>
        <v>39.585999999999999</v>
      </c>
      <c r="W55" s="101">
        <f t="shared" si="3"/>
        <v>23.5</v>
      </c>
      <c r="X55" s="102">
        <f t="shared" si="4"/>
        <v>12</v>
      </c>
      <c r="Y55" s="100">
        <f t="shared" si="5"/>
        <v>7.68</v>
      </c>
      <c r="Z55" s="100">
        <f t="shared" si="6"/>
        <v>6144</v>
      </c>
    </row>
    <row r="56" spans="1:26">
      <c r="A56" s="100" t="s">
        <v>34</v>
      </c>
      <c r="B56" s="108" t="str">
        <f>IFERROR(VLOOKUP(Tablo516[[#This Row],[ÜRÜN KODU]],YMKODLARI!$A$1:$K$363,2,0)," ")</f>
        <v>BİBERON KLASİK  UC 1 NO</v>
      </c>
      <c r="C56" s="99">
        <v>43901</v>
      </c>
      <c r="D56" s="100" t="s">
        <v>48</v>
      </c>
      <c r="E56" s="101">
        <v>0.33333333333333331</v>
      </c>
      <c r="F56" s="101">
        <v>0.83333333333333337</v>
      </c>
      <c r="G56" s="100">
        <f>IFERROR(VLOOKUP(Tablo516[[#This Row],[ÜRÜN KODU]],YMKODLARI!$A$1:$K$363,3,0)," ")</f>
        <v>8</v>
      </c>
      <c r="H56" s="100">
        <f>IFERROR(VLOOKUP(Tablo516[[#This Row],[ÜRÜN KODU]],YMKODLARI!$A$1:$K$363,4,0)," ")</f>
        <v>36</v>
      </c>
      <c r="I56" s="100">
        <v>869</v>
      </c>
      <c r="J56" s="100" t="str">
        <f>IFERROR(VLOOKUP(Tablo516[[#This Row],[ÜRÜN KODU]],YMKODLARI!$A$1:$K$363,9,0)," ")</f>
        <v>Şeffaf</v>
      </c>
      <c r="K56" s="100" t="str">
        <f>IFERROR(VLOOKUP(Tablo516[[#This Row],[BOYA KODU]],Tablo14[#All],4,0)," ")</f>
        <v xml:space="preserve"> </v>
      </c>
      <c r="L56" s="100" t="str">
        <f>IFERROR(VLOOKUP(Tablo516[[#This Row],[BOYA KODU]],Tablo14[#All],6,0)," ")</f>
        <v xml:space="preserve"> </v>
      </c>
      <c r="M56" s="100" t="str">
        <f t="shared" si="0"/>
        <v xml:space="preserve"> </v>
      </c>
      <c r="N56" s="100" t="str">
        <f>IFERROR(VLOOKUP(Tablo516[[#This Row],[ÜRÜN KODU]],YMKODLARI!$A$1:$K$363,8,0)," ")</f>
        <v>HM 003</v>
      </c>
      <c r="O56" s="100" t="str">
        <f>IFERROR(VLOOKUP(Tablo516[[#This Row],[HAMMADDE KODU]],Tablo1[#All],3,0)," ")</f>
        <v>LSR 45</v>
      </c>
      <c r="P56" s="100" t="str">
        <f>IFERROR(VLOOKUP(Tablo516[[#This Row],[HAMMADDE KODU]],Tablo1[#All],4,0)," ")</f>
        <v>SETA</v>
      </c>
      <c r="Q56" s="100">
        <f>IFERROR(VLOOKUP(Tablo516[[#This Row],[ÜRÜN KODU]],YMKODLARI!$A$1:$K$363,5,0)," ")</f>
        <v>51.7</v>
      </c>
      <c r="R56" s="100">
        <f>IFERROR(VLOOKUP(Tablo516[[#This Row],[ÜRÜN KODU]],YMKODLARI!$A$1:$K$363,6,0)," ")</f>
        <v>44.5</v>
      </c>
      <c r="S56" s="100">
        <f>IFERROR(Tablo516[[#This Row],[YOLLUK HARİÇ BASKI GRAMI]]/Tablo516[[#This Row],[KALIP GÖZ ADEDİ]]," ")</f>
        <v>5.5625</v>
      </c>
      <c r="T56" s="100">
        <f t="shared" si="2"/>
        <v>7.2000000000000028</v>
      </c>
      <c r="U56" s="100">
        <v>7.45</v>
      </c>
      <c r="V56" s="100">
        <f t="shared" si="1"/>
        <v>46.1205</v>
      </c>
      <c r="W56" s="101">
        <f t="shared" si="3"/>
        <v>24.5</v>
      </c>
      <c r="X56" s="102">
        <f t="shared" si="4"/>
        <v>12</v>
      </c>
      <c r="Y56" s="100">
        <f t="shared" si="5"/>
        <v>8.69</v>
      </c>
      <c r="Z56" s="100">
        <f t="shared" si="6"/>
        <v>6952</v>
      </c>
    </row>
    <row r="57" spans="1:26">
      <c r="A57" s="100" t="s">
        <v>34</v>
      </c>
      <c r="B57" s="108" t="str">
        <f>IFERROR(VLOOKUP(Tablo516[[#This Row],[ÜRÜN KODU]],YMKODLARI!$A$1:$K$363,2,0)," ")</f>
        <v>BİBERON KLASİK  UC 1 NO</v>
      </c>
      <c r="C57" s="99">
        <v>43901</v>
      </c>
      <c r="D57" s="100" t="s">
        <v>35</v>
      </c>
      <c r="E57" s="101">
        <v>0.83333333333333337</v>
      </c>
      <c r="F57" s="101">
        <v>0.33333333333333331</v>
      </c>
      <c r="G57" s="100">
        <f>IFERROR(VLOOKUP(Tablo516[[#This Row],[ÜRÜN KODU]],YMKODLARI!$A$1:$K$363,3,0)," ")</f>
        <v>8</v>
      </c>
      <c r="H57" s="100">
        <f>IFERROR(VLOOKUP(Tablo516[[#This Row],[ÜRÜN KODU]],YMKODLARI!$A$1:$K$363,4,0)," ")</f>
        <v>36</v>
      </c>
      <c r="I57" s="100">
        <v>709</v>
      </c>
      <c r="J57" s="100" t="str">
        <f>IFERROR(VLOOKUP(Tablo516[[#This Row],[ÜRÜN KODU]],YMKODLARI!$A$1:$K$363,9,0)," ")</f>
        <v>Şeffaf</v>
      </c>
      <c r="K57" s="100" t="str">
        <f>IFERROR(VLOOKUP(Tablo516[[#This Row],[BOYA KODU]],Tablo14[#All],4,0)," ")</f>
        <v xml:space="preserve"> </v>
      </c>
      <c r="L57" s="100" t="str">
        <f>IFERROR(VLOOKUP(Tablo516[[#This Row],[BOYA KODU]],Tablo14[#All],6,0)," ")</f>
        <v xml:space="preserve"> </v>
      </c>
      <c r="M57" s="100" t="str">
        <f t="shared" si="0"/>
        <v xml:space="preserve"> </v>
      </c>
      <c r="N57" s="100" t="str">
        <f>IFERROR(VLOOKUP(Tablo516[[#This Row],[ÜRÜN KODU]],YMKODLARI!$A$1:$K$363,8,0)," ")</f>
        <v>HM 003</v>
      </c>
      <c r="O57" s="100" t="str">
        <f>IFERROR(VLOOKUP(Tablo516[[#This Row],[HAMMADDE KODU]],Tablo1[#All],3,0)," ")</f>
        <v>LSR 45</v>
      </c>
      <c r="P57" s="100" t="str">
        <f>IFERROR(VLOOKUP(Tablo516[[#This Row],[HAMMADDE KODU]],Tablo1[#All],4,0)," ")</f>
        <v>SETA</v>
      </c>
      <c r="Q57" s="100">
        <f>IFERROR(VLOOKUP(Tablo516[[#This Row],[ÜRÜN KODU]],YMKODLARI!$A$1:$K$363,5,0)," ")</f>
        <v>51.7</v>
      </c>
      <c r="R57" s="100">
        <f>IFERROR(VLOOKUP(Tablo516[[#This Row],[ÜRÜN KODU]],YMKODLARI!$A$1:$K$363,6,0)," ")</f>
        <v>44.5</v>
      </c>
      <c r="S57" s="100">
        <f>IFERROR(Tablo516[[#This Row],[YOLLUK HARİÇ BASKI GRAMI]]/Tablo516[[#This Row],[KALIP GÖZ ADEDİ]]," ")</f>
        <v>5.5625</v>
      </c>
      <c r="T57" s="100">
        <f t="shared" si="2"/>
        <v>7.2000000000000028</v>
      </c>
      <c r="U57" s="100">
        <v>5.2</v>
      </c>
      <c r="V57" s="100">
        <f t="shared" si="1"/>
        <v>36.750500000000002</v>
      </c>
      <c r="W57" s="101">
        <f t="shared" si="3"/>
        <v>23.5</v>
      </c>
      <c r="X57" s="102">
        <f t="shared" si="4"/>
        <v>12</v>
      </c>
      <c r="Y57" s="100">
        <f t="shared" si="5"/>
        <v>7.09</v>
      </c>
      <c r="Z57" s="100">
        <f t="shared" si="6"/>
        <v>5672</v>
      </c>
    </row>
    <row r="58" spans="1:26">
      <c r="A58" s="100" t="s">
        <v>34</v>
      </c>
      <c r="B58" s="108" t="str">
        <f>IFERROR(VLOOKUP(Tablo516[[#This Row],[ÜRÜN KODU]],YMKODLARI!$A$1:$K$363,2,0)," ")</f>
        <v>BİBERON KLASİK  UC 1 NO</v>
      </c>
      <c r="C58" s="99">
        <v>43902</v>
      </c>
      <c r="D58" s="100" t="s">
        <v>48</v>
      </c>
      <c r="E58" s="101">
        <v>0.33333333333333331</v>
      </c>
      <c r="F58" s="101">
        <v>0.83333333333333337</v>
      </c>
      <c r="G58" s="100">
        <f>IFERROR(VLOOKUP(Tablo516[[#This Row],[ÜRÜN KODU]],YMKODLARI!$A$1:$K$363,3,0)," ")</f>
        <v>8</v>
      </c>
      <c r="H58" s="100">
        <f>IFERROR(VLOOKUP(Tablo516[[#This Row],[ÜRÜN KODU]],YMKODLARI!$A$1:$K$363,4,0)," ")</f>
        <v>36</v>
      </c>
      <c r="I58" s="100">
        <v>854</v>
      </c>
      <c r="J58" s="100" t="str">
        <f>IFERROR(VLOOKUP(Tablo516[[#This Row],[ÜRÜN KODU]],YMKODLARI!$A$1:$K$363,9,0)," ")</f>
        <v>Şeffaf</v>
      </c>
      <c r="K58" s="100" t="str">
        <f>IFERROR(VLOOKUP(Tablo516[[#This Row],[BOYA KODU]],Tablo14[#All],4,0)," ")</f>
        <v xml:space="preserve"> </v>
      </c>
      <c r="L58" s="100" t="str">
        <f>IFERROR(VLOOKUP(Tablo516[[#This Row],[BOYA KODU]],Tablo14[#All],6,0)," ")</f>
        <v xml:space="preserve"> </v>
      </c>
      <c r="M58" s="100" t="str">
        <f t="shared" si="0"/>
        <v xml:space="preserve"> </v>
      </c>
      <c r="N58" s="100" t="str">
        <f>IFERROR(VLOOKUP(Tablo516[[#This Row],[ÜRÜN KODU]],YMKODLARI!$A$1:$K$363,8,0)," ")</f>
        <v>HM 003</v>
      </c>
      <c r="O58" s="100" t="str">
        <f>IFERROR(VLOOKUP(Tablo516[[#This Row],[HAMMADDE KODU]],Tablo1[#All],3,0)," ")</f>
        <v>LSR 45</v>
      </c>
      <c r="P58" s="100" t="str">
        <f>IFERROR(VLOOKUP(Tablo516[[#This Row],[HAMMADDE KODU]],Tablo1[#All],4,0)," ")</f>
        <v>SETA</v>
      </c>
      <c r="Q58" s="100">
        <f>IFERROR(VLOOKUP(Tablo516[[#This Row],[ÜRÜN KODU]],YMKODLARI!$A$1:$K$363,5,0)," ")</f>
        <v>51.7</v>
      </c>
      <c r="R58" s="100">
        <f>IFERROR(VLOOKUP(Tablo516[[#This Row],[ÜRÜN KODU]],YMKODLARI!$A$1:$K$363,6,0)," ")</f>
        <v>44.5</v>
      </c>
      <c r="S58" s="100">
        <f>IFERROR(Tablo516[[#This Row],[YOLLUK HARİÇ BASKI GRAMI]]/Tablo516[[#This Row],[KALIP GÖZ ADEDİ]]," ")</f>
        <v>5.5625</v>
      </c>
      <c r="T58" s="100">
        <f t="shared" si="2"/>
        <v>7.2000000000000028</v>
      </c>
      <c r="U58" s="100">
        <v>7.45</v>
      </c>
      <c r="V58" s="100">
        <f t="shared" si="1"/>
        <v>45.453000000000003</v>
      </c>
      <c r="W58" s="101">
        <f t="shared" si="3"/>
        <v>24.5</v>
      </c>
      <c r="X58" s="102">
        <f t="shared" si="4"/>
        <v>12</v>
      </c>
      <c r="Y58" s="100">
        <f t="shared" si="5"/>
        <v>8.5399999999999991</v>
      </c>
      <c r="Z58" s="100">
        <f t="shared" si="6"/>
        <v>6832</v>
      </c>
    </row>
    <row r="59" spans="1:26">
      <c r="A59" s="100" t="s">
        <v>34</v>
      </c>
      <c r="B59" s="108" t="str">
        <f>IFERROR(VLOOKUP(Tablo516[[#This Row],[ÜRÜN KODU]],YMKODLARI!$A$1:$K$363,2,0)," ")</f>
        <v>BİBERON KLASİK  UC 1 NO</v>
      </c>
      <c r="C59" s="99">
        <v>43902</v>
      </c>
      <c r="D59" s="100" t="s">
        <v>35</v>
      </c>
      <c r="E59" s="101">
        <v>0.83333333333333337</v>
      </c>
      <c r="F59" s="101">
        <v>0.33333333333333331</v>
      </c>
      <c r="G59" s="100">
        <f>IFERROR(VLOOKUP(Tablo516[[#This Row],[ÜRÜN KODU]],YMKODLARI!$A$1:$K$363,3,0)," ")</f>
        <v>8</v>
      </c>
      <c r="H59" s="100">
        <f>IFERROR(VLOOKUP(Tablo516[[#This Row],[ÜRÜN KODU]],YMKODLARI!$A$1:$K$363,4,0)," ")</f>
        <v>36</v>
      </c>
      <c r="I59" s="100">
        <v>762</v>
      </c>
      <c r="J59" s="100" t="str">
        <f>IFERROR(VLOOKUP(Tablo516[[#This Row],[ÜRÜN KODU]],YMKODLARI!$A$1:$K$363,9,0)," ")</f>
        <v>Şeffaf</v>
      </c>
      <c r="K59" s="100" t="str">
        <f>IFERROR(VLOOKUP(Tablo516[[#This Row],[BOYA KODU]],Tablo14[#All],4,0)," ")</f>
        <v xml:space="preserve"> </v>
      </c>
      <c r="L59" s="100" t="str">
        <f>IFERROR(VLOOKUP(Tablo516[[#This Row],[BOYA KODU]],Tablo14[#All],6,0)," ")</f>
        <v xml:space="preserve"> </v>
      </c>
      <c r="M59" s="100" t="str">
        <f t="shared" si="0"/>
        <v xml:space="preserve"> </v>
      </c>
      <c r="N59" s="100" t="str">
        <f>IFERROR(VLOOKUP(Tablo516[[#This Row],[ÜRÜN KODU]],YMKODLARI!$A$1:$K$363,8,0)," ")</f>
        <v>HM 003</v>
      </c>
      <c r="O59" s="100" t="str">
        <f>IFERROR(VLOOKUP(Tablo516[[#This Row],[HAMMADDE KODU]],Tablo1[#All],3,0)," ")</f>
        <v>LSR 45</v>
      </c>
      <c r="P59" s="100" t="str">
        <f>IFERROR(VLOOKUP(Tablo516[[#This Row],[HAMMADDE KODU]],Tablo1[#All],4,0)," ")</f>
        <v>SETA</v>
      </c>
      <c r="Q59" s="100">
        <f>IFERROR(VLOOKUP(Tablo516[[#This Row],[ÜRÜN KODU]],YMKODLARI!$A$1:$K$363,5,0)," ")</f>
        <v>51.7</v>
      </c>
      <c r="R59" s="100">
        <f>IFERROR(VLOOKUP(Tablo516[[#This Row],[ÜRÜN KODU]],YMKODLARI!$A$1:$K$363,6,0)," ")</f>
        <v>44.5</v>
      </c>
      <c r="S59" s="100">
        <f>IFERROR(Tablo516[[#This Row],[YOLLUK HARİÇ BASKI GRAMI]]/Tablo516[[#This Row],[KALIP GÖZ ADEDİ]]," ")</f>
        <v>5.5625</v>
      </c>
      <c r="T59" s="100">
        <f t="shared" si="2"/>
        <v>7.2000000000000028</v>
      </c>
      <c r="U59" s="100">
        <v>5.2</v>
      </c>
      <c r="V59" s="100">
        <f t="shared" si="1"/>
        <v>39.109000000000002</v>
      </c>
      <c r="W59" s="101">
        <f t="shared" si="3"/>
        <v>23.5</v>
      </c>
      <c r="X59" s="102">
        <f t="shared" si="4"/>
        <v>12</v>
      </c>
      <c r="Y59" s="100">
        <f t="shared" si="5"/>
        <v>7.62</v>
      </c>
      <c r="Z59" s="100">
        <f t="shared" si="6"/>
        <v>6096</v>
      </c>
    </row>
    <row r="60" spans="1:26">
      <c r="A60" s="100" t="s">
        <v>34</v>
      </c>
      <c r="B60" s="108" t="str">
        <f>IFERROR(VLOOKUP(Tablo516[[#This Row],[ÜRÜN KODU]],YMKODLARI!$A$1:$K$363,2,0)," ")</f>
        <v>BİBERON KLASİK  UC 1 NO</v>
      </c>
      <c r="C60" s="99">
        <v>43903</v>
      </c>
      <c r="D60" s="100" t="s">
        <v>48</v>
      </c>
      <c r="E60" s="101">
        <v>0.33333333333333331</v>
      </c>
      <c r="F60" s="101">
        <v>0.83333333333333337</v>
      </c>
      <c r="G60" s="100">
        <f>IFERROR(VLOOKUP(Tablo516[[#This Row],[ÜRÜN KODU]],YMKODLARI!$A$1:$K$363,3,0)," ")</f>
        <v>8</v>
      </c>
      <c r="H60" s="100">
        <f>IFERROR(VLOOKUP(Tablo516[[#This Row],[ÜRÜN KODU]],YMKODLARI!$A$1:$K$363,4,0)," ")</f>
        <v>36</v>
      </c>
      <c r="I60" s="100">
        <v>724</v>
      </c>
      <c r="J60" s="100" t="str">
        <f>IFERROR(VLOOKUP(Tablo516[[#This Row],[ÜRÜN KODU]],YMKODLARI!$A$1:$K$363,9,0)," ")</f>
        <v>Şeffaf</v>
      </c>
      <c r="K60" s="100" t="str">
        <f>IFERROR(VLOOKUP(Tablo516[[#This Row],[BOYA KODU]],Tablo14[#All],4,0)," ")</f>
        <v xml:space="preserve"> </v>
      </c>
      <c r="L60" s="100" t="str">
        <f>IFERROR(VLOOKUP(Tablo516[[#This Row],[BOYA KODU]],Tablo14[#All],6,0)," ")</f>
        <v xml:space="preserve"> </v>
      </c>
      <c r="M60" s="100" t="str">
        <f t="shared" si="0"/>
        <v xml:space="preserve"> </v>
      </c>
      <c r="N60" s="100" t="str">
        <f>IFERROR(VLOOKUP(Tablo516[[#This Row],[ÜRÜN KODU]],YMKODLARI!$A$1:$K$363,8,0)," ")</f>
        <v>HM 003</v>
      </c>
      <c r="O60" s="100" t="str">
        <f>IFERROR(VLOOKUP(Tablo516[[#This Row],[HAMMADDE KODU]],Tablo1[#All],3,0)," ")</f>
        <v>LSR 45</v>
      </c>
      <c r="P60" s="100" t="str">
        <f>IFERROR(VLOOKUP(Tablo516[[#This Row],[HAMMADDE KODU]],Tablo1[#All],4,0)," ")</f>
        <v>SETA</v>
      </c>
      <c r="Q60" s="100">
        <f>IFERROR(VLOOKUP(Tablo516[[#This Row],[ÜRÜN KODU]],YMKODLARI!$A$1:$K$363,5,0)," ")</f>
        <v>51.7</v>
      </c>
      <c r="R60" s="100">
        <f>IFERROR(VLOOKUP(Tablo516[[#This Row],[ÜRÜN KODU]],YMKODLARI!$A$1:$K$363,6,0)," ")</f>
        <v>44.5</v>
      </c>
      <c r="S60" s="100">
        <f>IFERROR(Tablo516[[#This Row],[YOLLUK HARİÇ BASKI GRAMI]]/Tablo516[[#This Row],[KALIP GÖZ ADEDİ]]," ")</f>
        <v>5.5625</v>
      </c>
      <c r="T60" s="100">
        <f t="shared" si="2"/>
        <v>7.2000000000000028</v>
      </c>
      <c r="U60" s="100">
        <v>5.8</v>
      </c>
      <c r="V60" s="100">
        <f t="shared" si="1"/>
        <v>38.018000000000001</v>
      </c>
      <c r="W60" s="101">
        <f t="shared" si="3"/>
        <v>24.5</v>
      </c>
      <c r="X60" s="102">
        <f t="shared" si="4"/>
        <v>12</v>
      </c>
      <c r="Y60" s="100">
        <f t="shared" si="5"/>
        <v>7.24</v>
      </c>
      <c r="Z60" s="100">
        <f t="shared" si="6"/>
        <v>5792</v>
      </c>
    </row>
    <row r="61" spans="1:26">
      <c r="A61" s="100" t="s">
        <v>34</v>
      </c>
      <c r="B61" s="108" t="str">
        <f>IFERROR(VLOOKUP(Tablo516[[#This Row],[ÜRÜN KODU]],YMKODLARI!$A$1:$K$363,2,0)," ")</f>
        <v>BİBERON KLASİK  UC 1 NO</v>
      </c>
      <c r="C61" s="99">
        <v>43903</v>
      </c>
      <c r="D61" s="100" t="s">
        <v>35</v>
      </c>
      <c r="E61" s="101">
        <v>0.83333333333333337</v>
      </c>
      <c r="F61" s="101">
        <v>0.33333333333333331</v>
      </c>
      <c r="G61" s="100">
        <f>IFERROR(VLOOKUP(Tablo516[[#This Row],[ÜRÜN KODU]],YMKODLARI!$A$1:$K$363,3,0)," ")</f>
        <v>8</v>
      </c>
      <c r="H61" s="100">
        <f>IFERROR(VLOOKUP(Tablo516[[#This Row],[ÜRÜN KODU]],YMKODLARI!$A$1:$K$363,4,0)," ")</f>
        <v>36</v>
      </c>
      <c r="I61" s="100">
        <v>79</v>
      </c>
      <c r="J61" s="100" t="str">
        <f>IFERROR(VLOOKUP(Tablo516[[#This Row],[ÜRÜN KODU]],YMKODLARI!$A$1:$K$363,9,0)," ")</f>
        <v>Şeffaf</v>
      </c>
      <c r="K61" s="100" t="str">
        <f>IFERROR(VLOOKUP(Tablo516[[#This Row],[BOYA KODU]],Tablo14[#All],4,0)," ")</f>
        <v xml:space="preserve"> </v>
      </c>
      <c r="L61" s="100" t="str">
        <f>IFERROR(VLOOKUP(Tablo516[[#This Row],[BOYA KODU]],Tablo14[#All],6,0)," ")</f>
        <v xml:space="preserve"> </v>
      </c>
      <c r="M61" s="100" t="str">
        <f t="shared" si="0"/>
        <v xml:space="preserve"> </v>
      </c>
      <c r="N61" s="100" t="str">
        <f>IFERROR(VLOOKUP(Tablo516[[#This Row],[ÜRÜN KODU]],YMKODLARI!$A$1:$K$363,8,0)," ")</f>
        <v>HM 003</v>
      </c>
      <c r="O61" s="100" t="str">
        <f>IFERROR(VLOOKUP(Tablo516[[#This Row],[HAMMADDE KODU]],Tablo1[#All],3,0)," ")</f>
        <v>LSR 45</v>
      </c>
      <c r="P61" s="100" t="str">
        <f>IFERROR(VLOOKUP(Tablo516[[#This Row],[HAMMADDE KODU]],Tablo1[#All],4,0)," ")</f>
        <v>SETA</v>
      </c>
      <c r="Q61" s="100">
        <f>IFERROR(VLOOKUP(Tablo516[[#This Row],[ÜRÜN KODU]],YMKODLARI!$A$1:$K$363,5,0)," ")</f>
        <v>51.7</v>
      </c>
      <c r="R61" s="100">
        <f>IFERROR(VLOOKUP(Tablo516[[#This Row],[ÜRÜN KODU]],YMKODLARI!$A$1:$K$363,6,0)," ")</f>
        <v>44.5</v>
      </c>
      <c r="S61" s="100">
        <f>IFERROR(Tablo516[[#This Row],[YOLLUK HARİÇ BASKI GRAMI]]/Tablo516[[#This Row],[KALIP GÖZ ADEDİ]]," ")</f>
        <v>5.5625</v>
      </c>
      <c r="T61" s="100">
        <f t="shared" si="2"/>
        <v>7.2000000000000028</v>
      </c>
      <c r="U61" s="100">
        <v>5</v>
      </c>
      <c r="V61" s="100">
        <f t="shared" si="1"/>
        <v>8.5154999999999994</v>
      </c>
      <c r="W61" s="101">
        <f t="shared" si="3"/>
        <v>23.5</v>
      </c>
      <c r="X61" s="102">
        <f t="shared" si="4"/>
        <v>12</v>
      </c>
      <c r="Y61" s="100">
        <f t="shared" si="5"/>
        <v>0.79</v>
      </c>
      <c r="Z61" s="100">
        <f t="shared" si="6"/>
        <v>632</v>
      </c>
    </row>
    <row r="62" spans="1:26">
      <c r="A62" s="100" t="s">
        <v>34</v>
      </c>
      <c r="B62" s="108" t="str">
        <f>IFERROR(VLOOKUP(Tablo516[[#This Row],[ÜRÜN KODU]],YMKODLARI!$A$1:$K$363,2,0)," ")</f>
        <v>BİBERON KLASİK  UC 1 NO</v>
      </c>
      <c r="C62" s="99">
        <v>43906</v>
      </c>
      <c r="D62" s="100" t="s">
        <v>48</v>
      </c>
      <c r="E62" s="101">
        <v>0.33333333333333331</v>
      </c>
      <c r="F62" s="101">
        <v>0.83333333333333337</v>
      </c>
      <c r="G62" s="100">
        <f>IFERROR(VLOOKUP(Tablo516[[#This Row],[ÜRÜN KODU]],YMKODLARI!$A$1:$K$363,3,0)," ")</f>
        <v>8</v>
      </c>
      <c r="H62" s="100">
        <f>IFERROR(VLOOKUP(Tablo516[[#This Row],[ÜRÜN KODU]],YMKODLARI!$A$1:$K$363,4,0)," ")</f>
        <v>36</v>
      </c>
      <c r="I62" s="100">
        <v>859</v>
      </c>
      <c r="J62" s="100" t="str">
        <f>IFERROR(VLOOKUP(Tablo516[[#This Row],[ÜRÜN KODU]],YMKODLARI!$A$1:$K$363,9,0)," ")</f>
        <v>Şeffaf</v>
      </c>
      <c r="K62" s="100" t="str">
        <f>IFERROR(VLOOKUP(Tablo516[[#This Row],[BOYA KODU]],Tablo14[#All],4,0)," ")</f>
        <v xml:space="preserve"> </v>
      </c>
      <c r="L62" s="100" t="str">
        <f>IFERROR(VLOOKUP(Tablo516[[#This Row],[BOYA KODU]],Tablo14[#All],6,0)," ")</f>
        <v xml:space="preserve"> </v>
      </c>
      <c r="M62" s="100" t="str">
        <f t="shared" si="0"/>
        <v xml:space="preserve"> </v>
      </c>
      <c r="N62" s="100" t="str">
        <f>IFERROR(VLOOKUP(Tablo516[[#This Row],[ÜRÜN KODU]],YMKODLARI!$A$1:$K$363,8,0)," ")</f>
        <v>HM 003</v>
      </c>
      <c r="O62" s="100" t="str">
        <f>IFERROR(VLOOKUP(Tablo516[[#This Row],[HAMMADDE KODU]],Tablo1[#All],3,0)," ")</f>
        <v>LSR 45</v>
      </c>
      <c r="P62" s="100" t="str">
        <f>IFERROR(VLOOKUP(Tablo516[[#This Row],[HAMMADDE KODU]],Tablo1[#All],4,0)," ")</f>
        <v>SETA</v>
      </c>
      <c r="Q62" s="100">
        <f>IFERROR(VLOOKUP(Tablo516[[#This Row],[ÜRÜN KODU]],YMKODLARI!$A$1:$K$363,5,0)," ")</f>
        <v>51.7</v>
      </c>
      <c r="R62" s="100">
        <f>IFERROR(VLOOKUP(Tablo516[[#This Row],[ÜRÜN KODU]],YMKODLARI!$A$1:$K$363,6,0)," ")</f>
        <v>44.5</v>
      </c>
      <c r="S62" s="100">
        <f>IFERROR(Tablo516[[#This Row],[YOLLUK HARİÇ BASKI GRAMI]]/Tablo516[[#This Row],[KALIP GÖZ ADEDİ]]," ")</f>
        <v>5.5625</v>
      </c>
      <c r="T62" s="100">
        <f t="shared" si="2"/>
        <v>7.2000000000000028</v>
      </c>
      <c r="U62" s="100">
        <v>7.7</v>
      </c>
      <c r="V62" s="100">
        <f t="shared" si="1"/>
        <v>45.9255</v>
      </c>
      <c r="W62" s="101">
        <f t="shared" si="3"/>
        <v>24.5</v>
      </c>
      <c r="X62" s="102">
        <f t="shared" si="4"/>
        <v>12</v>
      </c>
      <c r="Y62" s="100">
        <f t="shared" si="5"/>
        <v>8.59</v>
      </c>
      <c r="Z62" s="100">
        <f t="shared" si="6"/>
        <v>6872</v>
      </c>
    </row>
    <row r="63" spans="1:26">
      <c r="A63" s="100" t="s">
        <v>34</v>
      </c>
      <c r="B63" s="108" t="str">
        <f>IFERROR(VLOOKUP(Tablo516[[#This Row],[ÜRÜN KODU]],YMKODLARI!$A$1:$K$363,2,0)," ")</f>
        <v>BİBERON KLASİK  UC 1 NO</v>
      </c>
      <c r="C63" s="99">
        <v>43907</v>
      </c>
      <c r="D63" s="100" t="s">
        <v>48</v>
      </c>
      <c r="E63" s="101">
        <v>0.33333333333333331</v>
      </c>
      <c r="F63" s="101">
        <v>0.83333333333333337</v>
      </c>
      <c r="G63" s="100">
        <f>IFERROR(VLOOKUP(Tablo516[[#This Row],[ÜRÜN KODU]],YMKODLARI!$A$1:$K$363,3,0)," ")</f>
        <v>8</v>
      </c>
      <c r="H63" s="100">
        <f>IFERROR(VLOOKUP(Tablo516[[#This Row],[ÜRÜN KODU]],YMKODLARI!$A$1:$K$363,4,0)," ")</f>
        <v>36</v>
      </c>
      <c r="I63" s="100">
        <v>973</v>
      </c>
      <c r="J63" s="100" t="str">
        <f>IFERROR(VLOOKUP(Tablo516[[#This Row],[ÜRÜN KODU]],YMKODLARI!$A$1:$K$363,9,0)," ")</f>
        <v>Şeffaf</v>
      </c>
      <c r="K63" s="100" t="str">
        <f>IFERROR(VLOOKUP(Tablo516[[#This Row],[BOYA KODU]],Tablo14[#All],4,0)," ")</f>
        <v xml:space="preserve"> </v>
      </c>
      <c r="L63" s="100" t="str">
        <f>IFERROR(VLOOKUP(Tablo516[[#This Row],[BOYA KODU]],Tablo14[#All],6,0)," ")</f>
        <v xml:space="preserve"> </v>
      </c>
      <c r="M63" s="100" t="str">
        <f t="shared" si="0"/>
        <v xml:space="preserve"> </v>
      </c>
      <c r="N63" s="100" t="str">
        <f>IFERROR(VLOOKUP(Tablo516[[#This Row],[ÜRÜN KODU]],YMKODLARI!$A$1:$K$363,8,0)," ")</f>
        <v>HM 003</v>
      </c>
      <c r="O63" s="100" t="str">
        <f>IFERROR(VLOOKUP(Tablo516[[#This Row],[HAMMADDE KODU]],Tablo1[#All],3,0)," ")</f>
        <v>LSR 45</v>
      </c>
      <c r="P63" s="100" t="str">
        <f>IFERROR(VLOOKUP(Tablo516[[#This Row],[HAMMADDE KODU]],Tablo1[#All],4,0)," ")</f>
        <v>SETA</v>
      </c>
      <c r="Q63" s="100">
        <f>IFERROR(VLOOKUP(Tablo516[[#This Row],[ÜRÜN KODU]],YMKODLARI!$A$1:$K$363,5,0)," ")</f>
        <v>51.7</v>
      </c>
      <c r="R63" s="100">
        <f>IFERROR(VLOOKUP(Tablo516[[#This Row],[ÜRÜN KODU]],YMKODLARI!$A$1:$K$363,6,0)," ")</f>
        <v>44.5</v>
      </c>
      <c r="S63" s="100">
        <f>IFERROR(Tablo516[[#This Row],[YOLLUK HARİÇ BASKI GRAMI]]/Tablo516[[#This Row],[KALIP GÖZ ADEDİ]]," ")</f>
        <v>5.5625</v>
      </c>
      <c r="T63" s="100">
        <f t="shared" si="2"/>
        <v>7.2000000000000028</v>
      </c>
      <c r="U63" s="100">
        <v>8.1999999999999993</v>
      </c>
      <c r="V63" s="100">
        <f t="shared" si="1"/>
        <v>51.498499999999993</v>
      </c>
      <c r="W63" s="101">
        <f t="shared" si="3"/>
        <v>24.5</v>
      </c>
      <c r="X63" s="102">
        <f t="shared" si="4"/>
        <v>12</v>
      </c>
      <c r="Y63" s="100">
        <f t="shared" si="5"/>
        <v>9.73</v>
      </c>
      <c r="Z63" s="100">
        <f t="shared" si="6"/>
        <v>7784</v>
      </c>
    </row>
    <row r="64" spans="1:26">
      <c r="A64" s="100" t="s">
        <v>34</v>
      </c>
      <c r="B64" s="108" t="str">
        <f>IFERROR(VLOOKUP(Tablo516[[#This Row],[ÜRÜN KODU]],YMKODLARI!$A$1:$K$363,2,0)," ")</f>
        <v>BİBERON KLASİK  UC 1 NO</v>
      </c>
      <c r="C64" s="99">
        <v>43907</v>
      </c>
      <c r="D64" s="100" t="s">
        <v>35</v>
      </c>
      <c r="E64" s="101">
        <v>0.83333333333333337</v>
      </c>
      <c r="F64" s="101">
        <v>0.33333333333333331</v>
      </c>
      <c r="G64" s="100">
        <f>IFERROR(VLOOKUP(Tablo516[[#This Row],[ÜRÜN KODU]],YMKODLARI!$A$1:$K$363,3,0)," ")</f>
        <v>8</v>
      </c>
      <c r="H64" s="100">
        <f>IFERROR(VLOOKUP(Tablo516[[#This Row],[ÜRÜN KODU]],YMKODLARI!$A$1:$K$363,4,0)," ")</f>
        <v>36</v>
      </c>
      <c r="I64" s="100">
        <v>744</v>
      </c>
      <c r="J64" s="100" t="str">
        <f>IFERROR(VLOOKUP(Tablo516[[#This Row],[ÜRÜN KODU]],YMKODLARI!$A$1:$K$363,9,0)," ")</f>
        <v>Şeffaf</v>
      </c>
      <c r="K64" s="100" t="str">
        <f>IFERROR(VLOOKUP(Tablo516[[#This Row],[BOYA KODU]],Tablo14[#All],4,0)," ")</f>
        <v xml:space="preserve"> </v>
      </c>
      <c r="L64" s="100" t="str">
        <f>IFERROR(VLOOKUP(Tablo516[[#This Row],[BOYA KODU]],Tablo14[#All],6,0)," ")</f>
        <v xml:space="preserve"> </v>
      </c>
      <c r="M64" s="100" t="str">
        <f t="shared" si="0"/>
        <v xml:space="preserve"> </v>
      </c>
      <c r="N64" s="100" t="str">
        <f>IFERROR(VLOOKUP(Tablo516[[#This Row],[ÜRÜN KODU]],YMKODLARI!$A$1:$K$363,8,0)," ")</f>
        <v>HM 003</v>
      </c>
      <c r="O64" s="100" t="str">
        <f>IFERROR(VLOOKUP(Tablo516[[#This Row],[HAMMADDE KODU]],Tablo1[#All],3,0)," ")</f>
        <v>LSR 45</v>
      </c>
      <c r="P64" s="100" t="str">
        <f>IFERROR(VLOOKUP(Tablo516[[#This Row],[HAMMADDE KODU]],Tablo1[#All],4,0)," ")</f>
        <v>SETA</v>
      </c>
      <c r="Q64" s="100">
        <f>IFERROR(VLOOKUP(Tablo516[[#This Row],[ÜRÜN KODU]],YMKODLARI!$A$1:$K$363,5,0)," ")</f>
        <v>51.7</v>
      </c>
      <c r="R64" s="100">
        <f>IFERROR(VLOOKUP(Tablo516[[#This Row],[ÜRÜN KODU]],YMKODLARI!$A$1:$K$363,6,0)," ")</f>
        <v>44.5</v>
      </c>
      <c r="S64" s="100">
        <f>IFERROR(Tablo516[[#This Row],[YOLLUK HARİÇ BASKI GRAMI]]/Tablo516[[#This Row],[KALIP GÖZ ADEDİ]]," ")</f>
        <v>5.5625</v>
      </c>
      <c r="T64" s="100">
        <f t="shared" si="2"/>
        <v>7.2000000000000028</v>
      </c>
      <c r="U64" s="100">
        <v>5.2</v>
      </c>
      <c r="V64" s="100">
        <f t="shared" si="1"/>
        <v>38.308</v>
      </c>
      <c r="W64" s="101">
        <f t="shared" si="3"/>
        <v>23.5</v>
      </c>
      <c r="X64" s="102">
        <f t="shared" si="4"/>
        <v>12</v>
      </c>
      <c r="Y64" s="100">
        <f t="shared" si="5"/>
        <v>7.44</v>
      </c>
      <c r="Z64" s="100">
        <f t="shared" si="6"/>
        <v>5952</v>
      </c>
    </row>
    <row r="65" spans="1:26">
      <c r="A65" s="100" t="s">
        <v>34</v>
      </c>
      <c r="B65" s="108" t="str">
        <f>IFERROR(VLOOKUP(Tablo516[[#This Row],[ÜRÜN KODU]],YMKODLARI!$A$1:$K$363,2,0)," ")</f>
        <v>BİBERON KLASİK  UC 1 NO</v>
      </c>
      <c r="C65" s="99">
        <v>43908</v>
      </c>
      <c r="D65" s="100" t="s">
        <v>48</v>
      </c>
      <c r="E65" s="101">
        <v>0.33333333333333331</v>
      </c>
      <c r="F65" s="101">
        <v>0.63888888888888895</v>
      </c>
      <c r="G65" s="100">
        <f>IFERROR(VLOOKUP(Tablo516[[#This Row],[ÜRÜN KODU]],YMKODLARI!$A$1:$K$363,3,0)," ")</f>
        <v>8</v>
      </c>
      <c r="H65" s="100">
        <f>IFERROR(VLOOKUP(Tablo516[[#This Row],[ÜRÜN KODU]],YMKODLARI!$A$1:$K$363,4,0)," ")</f>
        <v>36</v>
      </c>
      <c r="I65" s="100">
        <v>751</v>
      </c>
      <c r="J65" s="100" t="str">
        <f>IFERROR(VLOOKUP(Tablo516[[#This Row],[ÜRÜN KODU]],YMKODLARI!$A$1:$K$363,9,0)," ")</f>
        <v>Şeffaf</v>
      </c>
      <c r="K65" s="100" t="str">
        <f>IFERROR(VLOOKUP(Tablo516[[#This Row],[BOYA KODU]],Tablo14[#All],4,0)," ")</f>
        <v xml:space="preserve"> </v>
      </c>
      <c r="L65" s="100" t="str">
        <f>IFERROR(VLOOKUP(Tablo516[[#This Row],[BOYA KODU]],Tablo14[#All],6,0)," ")</f>
        <v xml:space="preserve"> </v>
      </c>
      <c r="M65" s="100" t="str">
        <f t="shared" si="0"/>
        <v xml:space="preserve"> </v>
      </c>
      <c r="N65" s="100" t="str">
        <f>IFERROR(VLOOKUP(Tablo516[[#This Row],[ÜRÜN KODU]],YMKODLARI!$A$1:$K$363,8,0)," ")</f>
        <v>HM 003</v>
      </c>
      <c r="O65" s="100" t="str">
        <f>IFERROR(VLOOKUP(Tablo516[[#This Row],[HAMMADDE KODU]],Tablo1[#All],3,0)," ")</f>
        <v>LSR 45</v>
      </c>
      <c r="P65" s="100" t="str">
        <f>IFERROR(VLOOKUP(Tablo516[[#This Row],[HAMMADDE KODU]],Tablo1[#All],4,0)," ")</f>
        <v>SETA</v>
      </c>
      <c r="Q65" s="100">
        <f>IFERROR(VLOOKUP(Tablo516[[#This Row],[ÜRÜN KODU]],YMKODLARI!$A$1:$K$363,5,0)," ")</f>
        <v>51.7</v>
      </c>
      <c r="R65" s="100">
        <f>IFERROR(VLOOKUP(Tablo516[[#This Row],[ÜRÜN KODU]],YMKODLARI!$A$1:$K$363,6,0)," ")</f>
        <v>44.5</v>
      </c>
      <c r="S65" s="100">
        <f>IFERROR(Tablo516[[#This Row],[YOLLUK HARİÇ BASKI GRAMI]]/Tablo516[[#This Row],[KALIP GÖZ ADEDİ]]," ")</f>
        <v>5.5625</v>
      </c>
      <c r="T65" s="100">
        <f t="shared" si="2"/>
        <v>7.2000000000000028</v>
      </c>
      <c r="U65" s="100">
        <v>6.8</v>
      </c>
      <c r="V65" s="100">
        <f t="shared" si="1"/>
        <v>40.219499999999996</v>
      </c>
      <c r="W65" s="101">
        <f t="shared" si="3"/>
        <v>24.305555555555557</v>
      </c>
      <c r="X65" s="102">
        <f t="shared" si="4"/>
        <v>7.3333333333333712</v>
      </c>
      <c r="Y65" s="100">
        <f t="shared" si="5"/>
        <v>7.51</v>
      </c>
      <c r="Z65" s="100">
        <f t="shared" si="6"/>
        <v>6008</v>
      </c>
    </row>
    <row r="66" spans="1:26">
      <c r="A66" s="100" t="s">
        <v>53</v>
      </c>
      <c r="B66" s="108" t="str">
        <f>IFERROR(VLOOKUP(Tablo516[[#This Row],[ÜRÜN KODU]],YMKODLARI!$A$1:$K$363,2,0)," ")</f>
        <v xml:space="preserve">SİLİKON MAMA KAŞIĞI UCU </v>
      </c>
      <c r="C66" s="99">
        <v>43909</v>
      </c>
      <c r="D66" s="100" t="s">
        <v>48</v>
      </c>
      <c r="E66" s="101">
        <v>0.4375</v>
      </c>
      <c r="F66" s="101">
        <v>0.77777777777777779</v>
      </c>
      <c r="G66" s="100">
        <f>IFERROR(VLOOKUP(Tablo516[[#This Row],[ÜRÜN KODU]],YMKODLARI!$A$1:$K$363,3,0)," ")</f>
        <v>8</v>
      </c>
      <c r="H66" s="100">
        <f>IFERROR(VLOOKUP(Tablo516[[#This Row],[ÜRÜN KODU]],YMKODLARI!$A$1:$K$363,4,0)," ")</f>
        <v>22</v>
      </c>
      <c r="I66" s="100">
        <v>901</v>
      </c>
      <c r="J66" s="100" t="str">
        <f>IFERROR(VLOOKUP(Tablo516[[#This Row],[ÜRÜN KODU]],YMKODLARI!$A$1:$K$363,9,0)," ")</f>
        <v>Şeffaf</v>
      </c>
      <c r="K66" s="100" t="str">
        <f>IFERROR(VLOOKUP(Tablo516[[#This Row],[BOYA KODU]],Tablo14[#All],4,0)," ")</f>
        <v xml:space="preserve"> </v>
      </c>
      <c r="L66" s="100" t="str">
        <f>IFERROR(VLOOKUP(Tablo516[[#This Row],[BOYA KODU]],Tablo14[#All],6,0)," ")</f>
        <v xml:space="preserve"> </v>
      </c>
      <c r="M66" s="100" t="str">
        <f t="shared" ref="M66:M129" si="7">IFERROR((I66*Q66)*L66," ")</f>
        <v xml:space="preserve"> </v>
      </c>
      <c r="N66" s="100" t="str">
        <f>IFERROR(VLOOKUP(Tablo516[[#This Row],[ÜRÜN KODU]],YMKODLARI!$A$1:$K$363,8,0)," ")</f>
        <v>HM 005</v>
      </c>
      <c r="O66" s="100" t="str">
        <f>IFERROR(VLOOKUP(Tablo516[[#This Row],[HAMMADDE KODU]],Tablo1[#All],3,0)," ")</f>
        <v>LSR 70</v>
      </c>
      <c r="P66" s="100" t="str">
        <f>IFERROR(VLOOKUP(Tablo516[[#This Row],[HAMMADDE KODU]],Tablo1[#All],4,0)," ")</f>
        <v>TERRA</v>
      </c>
      <c r="Q66" s="100">
        <f>IFERROR(VLOOKUP(Tablo516[[#This Row],[ÜRÜN KODU]],YMKODLARI!$A$1:$K$363,5,0)," ")</f>
        <v>42.8</v>
      </c>
      <c r="R66" s="100">
        <f>IFERROR(VLOOKUP(Tablo516[[#This Row],[ÜRÜN KODU]],YMKODLARI!$A$1:$K$363,6,0)," ")</f>
        <v>42</v>
      </c>
      <c r="S66" s="100">
        <f>IFERROR(Tablo516[[#This Row],[YOLLUK HARİÇ BASKI GRAMI]]/Tablo516[[#This Row],[KALIP GÖZ ADEDİ]]," ")</f>
        <v>5.25</v>
      </c>
      <c r="T66" s="100">
        <f t="shared" si="2"/>
        <v>0.79999999999999716</v>
      </c>
      <c r="U66" s="100">
        <v>3</v>
      </c>
      <c r="V66" s="100">
        <f t="shared" ref="V66:V129" si="8">IFERROR(U66+(R66*I66) /1000," ")</f>
        <v>40.841999999999999</v>
      </c>
      <c r="W66" s="101">
        <f t="shared" si="3"/>
        <v>24.340277777777779</v>
      </c>
      <c r="X66" s="102">
        <f t="shared" si="4"/>
        <v>8.1666666666666856</v>
      </c>
      <c r="Y66" s="100">
        <f t="shared" si="5"/>
        <v>5.5061111111111112</v>
      </c>
      <c r="Z66" s="100">
        <f t="shared" si="6"/>
        <v>7208</v>
      </c>
    </row>
    <row r="67" spans="1:26">
      <c r="A67" s="100" t="s">
        <v>53</v>
      </c>
      <c r="B67" s="108" t="str">
        <f>IFERROR(VLOOKUP(Tablo516[[#This Row],[ÜRÜN KODU]],YMKODLARI!$A$1:$K$363,2,0)," ")</f>
        <v xml:space="preserve">SİLİKON MAMA KAŞIĞI UCU </v>
      </c>
      <c r="C67" s="99">
        <v>43913</v>
      </c>
      <c r="D67" s="100" t="s">
        <v>48</v>
      </c>
      <c r="E67" s="101">
        <v>0.45833333333333331</v>
      </c>
      <c r="F67" s="101">
        <v>0.83333333333333337</v>
      </c>
      <c r="G67" s="100">
        <f>IFERROR(VLOOKUP(Tablo516[[#This Row],[ÜRÜN KODU]],YMKODLARI!$A$1:$K$363,3,0)," ")</f>
        <v>8</v>
      </c>
      <c r="H67" s="100">
        <f>IFERROR(VLOOKUP(Tablo516[[#This Row],[ÜRÜN KODU]],YMKODLARI!$A$1:$K$363,4,0)," ")</f>
        <v>22</v>
      </c>
      <c r="I67" s="100">
        <v>1049</v>
      </c>
      <c r="J67" s="100" t="str">
        <f>IFERROR(VLOOKUP(Tablo516[[#This Row],[ÜRÜN KODU]],YMKODLARI!$A$1:$K$363,9,0)," ")</f>
        <v>Şeffaf</v>
      </c>
      <c r="K67" s="100" t="str">
        <f>IFERROR(VLOOKUP(Tablo516[[#This Row],[BOYA KODU]],Tablo14[#All],4,0)," ")</f>
        <v xml:space="preserve"> </v>
      </c>
      <c r="L67" s="100" t="str">
        <f>IFERROR(VLOOKUP(Tablo516[[#This Row],[BOYA KODU]],Tablo14[#All],6,0)," ")</f>
        <v xml:space="preserve"> </v>
      </c>
      <c r="M67" s="100" t="str">
        <f t="shared" si="7"/>
        <v xml:space="preserve"> </v>
      </c>
      <c r="N67" s="100" t="str">
        <f>IFERROR(VLOOKUP(Tablo516[[#This Row],[ÜRÜN KODU]],YMKODLARI!$A$1:$K$363,8,0)," ")</f>
        <v>HM 005</v>
      </c>
      <c r="O67" s="100" t="str">
        <f>IFERROR(VLOOKUP(Tablo516[[#This Row],[HAMMADDE KODU]],Tablo1[#All],3,0)," ")</f>
        <v>LSR 70</v>
      </c>
      <c r="P67" s="100" t="str">
        <f>IFERROR(VLOOKUP(Tablo516[[#This Row],[HAMMADDE KODU]],Tablo1[#All],4,0)," ")</f>
        <v>TERRA</v>
      </c>
      <c r="Q67" s="100">
        <f>IFERROR(VLOOKUP(Tablo516[[#This Row],[ÜRÜN KODU]],YMKODLARI!$A$1:$K$363,5,0)," ")</f>
        <v>42.8</v>
      </c>
      <c r="R67" s="100">
        <f>IFERROR(VLOOKUP(Tablo516[[#This Row],[ÜRÜN KODU]],YMKODLARI!$A$1:$K$363,6,0)," ")</f>
        <v>42</v>
      </c>
      <c r="S67" s="100">
        <f>IFERROR(Tablo516[[#This Row],[YOLLUK HARİÇ BASKI GRAMI]]/Tablo516[[#This Row],[KALIP GÖZ ADEDİ]]," ")</f>
        <v>5.25</v>
      </c>
      <c r="T67" s="100">
        <f t="shared" ref="T67:T130" si="9">IFERROR(Q67-R67," ")</f>
        <v>0.79999999999999716</v>
      </c>
      <c r="U67" s="100">
        <v>1.5</v>
      </c>
      <c r="V67" s="100">
        <f t="shared" si="8"/>
        <v>45.558</v>
      </c>
      <c r="W67" s="101">
        <f t="shared" ref="W67:W130" si="10">IFERROR(24-(E67-F67)," ")</f>
        <v>24.375</v>
      </c>
      <c r="X67" s="102">
        <f t="shared" ref="X67:X130" si="11">IFERROR((W67-INT(W67))*24," ")</f>
        <v>9</v>
      </c>
      <c r="Y67" s="100">
        <f t="shared" ref="Y67:Y130" si="12">IFERROR(H67*I67/3600," ")</f>
        <v>6.4105555555555558</v>
      </c>
      <c r="Z67" s="100">
        <f t="shared" ref="Z67:Z130" si="13">IFERROR(I67*G67," " )</f>
        <v>8392</v>
      </c>
    </row>
    <row r="68" spans="1:26">
      <c r="A68" s="100" t="s">
        <v>53</v>
      </c>
      <c r="B68" s="108" t="str">
        <f>IFERROR(VLOOKUP(Tablo516[[#This Row],[ÜRÜN KODU]],YMKODLARI!$A$1:$K$363,2,0)," ")</f>
        <v xml:space="preserve">SİLİKON MAMA KAŞIĞI UCU </v>
      </c>
      <c r="C68" s="99">
        <v>43913</v>
      </c>
      <c r="D68" s="100" t="s">
        <v>37</v>
      </c>
      <c r="E68" s="101">
        <v>0.83333333333333337</v>
      </c>
      <c r="F68" s="101">
        <v>2.0833333333333332E-2</v>
      </c>
      <c r="G68" s="100">
        <f>IFERROR(VLOOKUP(Tablo516[[#This Row],[ÜRÜN KODU]],YMKODLARI!$A$1:$K$363,3,0)," ")</f>
        <v>8</v>
      </c>
      <c r="H68" s="100">
        <f>IFERROR(VLOOKUP(Tablo516[[#This Row],[ÜRÜN KODU]],YMKODLARI!$A$1:$K$363,4,0)," ")</f>
        <v>22</v>
      </c>
      <c r="I68" s="100">
        <v>611</v>
      </c>
      <c r="J68" s="100" t="str">
        <f>IFERROR(VLOOKUP(Tablo516[[#This Row],[ÜRÜN KODU]],YMKODLARI!$A$1:$K$363,9,0)," ")</f>
        <v>Şeffaf</v>
      </c>
      <c r="K68" s="100" t="str">
        <f>IFERROR(VLOOKUP(Tablo516[[#This Row],[BOYA KODU]],Tablo14[#All],4,0)," ")</f>
        <v xml:space="preserve"> </v>
      </c>
      <c r="L68" s="100" t="str">
        <f>IFERROR(VLOOKUP(Tablo516[[#This Row],[BOYA KODU]],Tablo14[#All],6,0)," ")</f>
        <v xml:space="preserve"> </v>
      </c>
      <c r="M68" s="100" t="str">
        <f t="shared" si="7"/>
        <v xml:space="preserve"> </v>
      </c>
      <c r="N68" s="100" t="str">
        <f>IFERROR(VLOOKUP(Tablo516[[#This Row],[ÜRÜN KODU]],YMKODLARI!$A$1:$K$363,8,0)," ")</f>
        <v>HM 005</v>
      </c>
      <c r="O68" s="100" t="str">
        <f>IFERROR(VLOOKUP(Tablo516[[#This Row],[HAMMADDE KODU]],Tablo1[#All],3,0)," ")</f>
        <v>LSR 70</v>
      </c>
      <c r="P68" s="100" t="str">
        <f>IFERROR(VLOOKUP(Tablo516[[#This Row],[HAMMADDE KODU]],Tablo1[#All],4,0)," ")</f>
        <v>TERRA</v>
      </c>
      <c r="Q68" s="100">
        <f>IFERROR(VLOOKUP(Tablo516[[#This Row],[ÜRÜN KODU]],YMKODLARI!$A$1:$K$363,5,0)," ")</f>
        <v>42.8</v>
      </c>
      <c r="R68" s="100">
        <f>IFERROR(VLOOKUP(Tablo516[[#This Row],[ÜRÜN KODU]],YMKODLARI!$A$1:$K$363,6,0)," ")</f>
        <v>42</v>
      </c>
      <c r="S68" s="100">
        <f>IFERROR(Tablo516[[#This Row],[YOLLUK HARİÇ BASKI GRAMI]]/Tablo516[[#This Row],[KALIP GÖZ ADEDİ]]," ")</f>
        <v>5.25</v>
      </c>
      <c r="T68" s="100">
        <f t="shared" si="9"/>
        <v>0.79999999999999716</v>
      </c>
      <c r="U68" s="100">
        <v>0.88</v>
      </c>
      <c r="V68" s="100">
        <f t="shared" si="8"/>
        <v>26.541999999999998</v>
      </c>
      <c r="W68" s="101">
        <f t="shared" si="10"/>
        <v>23.1875</v>
      </c>
      <c r="X68" s="102">
        <f t="shared" si="11"/>
        <v>4.5</v>
      </c>
      <c r="Y68" s="100">
        <f t="shared" si="12"/>
        <v>3.733888888888889</v>
      </c>
      <c r="Z68" s="100">
        <f t="shared" si="13"/>
        <v>4888</v>
      </c>
    </row>
    <row r="69" spans="1:26">
      <c r="A69" s="100" t="s">
        <v>53</v>
      </c>
      <c r="B69" s="108" t="str">
        <f>IFERROR(VLOOKUP(Tablo516[[#This Row],[ÜRÜN KODU]],YMKODLARI!$A$1:$K$363,2,0)," ")</f>
        <v xml:space="preserve">SİLİKON MAMA KAŞIĞI UCU </v>
      </c>
      <c r="C69" s="99">
        <v>43991</v>
      </c>
      <c r="D69" s="100" t="s">
        <v>33</v>
      </c>
      <c r="E69" s="101">
        <v>0.58333333333333337</v>
      </c>
      <c r="F69" s="101">
        <v>0.75</v>
      </c>
      <c r="G69" s="100">
        <f>IFERROR(VLOOKUP(Tablo516[[#This Row],[ÜRÜN KODU]],YMKODLARI!$A$1:$K$363,3,0)," ")</f>
        <v>8</v>
      </c>
      <c r="H69" s="100">
        <f>IFERROR(VLOOKUP(Tablo516[[#This Row],[ÜRÜN KODU]],YMKODLARI!$A$1:$K$363,4,0)," ")</f>
        <v>22</v>
      </c>
      <c r="I69" s="100">
        <v>603</v>
      </c>
      <c r="J69" s="100" t="str">
        <f>IFERROR(VLOOKUP(Tablo516[[#This Row],[ÜRÜN KODU]],YMKODLARI!$A$1:$K$363,9,0)," ")</f>
        <v>Şeffaf</v>
      </c>
      <c r="K69" s="100" t="str">
        <f>IFERROR(VLOOKUP(Tablo516[[#This Row],[BOYA KODU]],Tablo14[#All],4,0)," ")</f>
        <v xml:space="preserve"> </v>
      </c>
      <c r="L69" s="100" t="str">
        <f>IFERROR(VLOOKUP(Tablo516[[#This Row],[BOYA KODU]],Tablo14[#All],6,0)," ")</f>
        <v xml:space="preserve"> </v>
      </c>
      <c r="M69" s="100" t="str">
        <f t="shared" si="7"/>
        <v xml:space="preserve"> </v>
      </c>
      <c r="N69" s="100" t="str">
        <f>IFERROR(VLOOKUP(Tablo516[[#This Row],[ÜRÜN KODU]],YMKODLARI!$A$1:$K$363,8,0)," ")</f>
        <v>HM 005</v>
      </c>
      <c r="O69" s="100" t="str">
        <f>IFERROR(VLOOKUP(Tablo516[[#This Row],[HAMMADDE KODU]],Tablo1[#All],3,0)," ")</f>
        <v>LSR 70</v>
      </c>
      <c r="P69" s="100" t="str">
        <f>IFERROR(VLOOKUP(Tablo516[[#This Row],[HAMMADDE KODU]],Tablo1[#All],4,0)," ")</f>
        <v>TERRA</v>
      </c>
      <c r="Q69" s="100">
        <f>IFERROR(VLOOKUP(Tablo516[[#This Row],[ÜRÜN KODU]],YMKODLARI!$A$1:$K$363,5,0)," ")</f>
        <v>42.8</v>
      </c>
      <c r="R69" s="100">
        <f>IFERROR(VLOOKUP(Tablo516[[#This Row],[ÜRÜN KODU]],YMKODLARI!$A$1:$K$363,6,0)," ")</f>
        <v>42</v>
      </c>
      <c r="S69" s="100">
        <f>IFERROR(Tablo516[[#This Row],[YOLLUK HARİÇ BASKI GRAMI]]/Tablo516[[#This Row],[KALIP GÖZ ADEDİ]]," ")</f>
        <v>5.25</v>
      </c>
      <c r="T69" s="100">
        <f t="shared" si="9"/>
        <v>0.79999999999999716</v>
      </c>
      <c r="U69" s="100">
        <v>3</v>
      </c>
      <c r="V69" s="100">
        <f t="shared" si="8"/>
        <v>28.326000000000001</v>
      </c>
      <c r="W69" s="101">
        <f t="shared" si="10"/>
        <v>24.166666666666668</v>
      </c>
      <c r="X69" s="102">
        <f t="shared" si="11"/>
        <v>4.0000000000000284</v>
      </c>
      <c r="Y69" s="100">
        <f t="shared" si="12"/>
        <v>3.6850000000000001</v>
      </c>
      <c r="Z69" s="100">
        <f t="shared" si="13"/>
        <v>4824</v>
      </c>
    </row>
    <row r="70" spans="1:26">
      <c r="A70" s="100" t="s">
        <v>53</v>
      </c>
      <c r="B70" s="108" t="str">
        <f>IFERROR(VLOOKUP(Tablo516[[#This Row],[ÜRÜN KODU]],YMKODLARI!$A$1:$K$363,2,0)," ")</f>
        <v xml:space="preserve">SİLİKON MAMA KAŞIĞI UCU </v>
      </c>
      <c r="C70" s="99">
        <v>43992</v>
      </c>
      <c r="D70" s="100" t="s">
        <v>33</v>
      </c>
      <c r="E70" s="101">
        <v>0.33333333333333331</v>
      </c>
      <c r="F70" s="101">
        <v>0.75</v>
      </c>
      <c r="G70" s="100">
        <f>IFERROR(VLOOKUP(Tablo516[[#This Row],[ÜRÜN KODU]],YMKODLARI!$A$1:$K$363,3,0)," ")</f>
        <v>8</v>
      </c>
      <c r="H70" s="100">
        <f>IFERROR(VLOOKUP(Tablo516[[#This Row],[ÜRÜN KODU]],YMKODLARI!$A$1:$K$363,4,0)," ")</f>
        <v>22</v>
      </c>
      <c r="I70" s="100">
        <v>1400</v>
      </c>
      <c r="J70" s="100" t="str">
        <f>IFERROR(VLOOKUP(Tablo516[[#This Row],[ÜRÜN KODU]],YMKODLARI!$A$1:$K$363,9,0)," ")</f>
        <v>Şeffaf</v>
      </c>
      <c r="K70" s="100" t="str">
        <f>IFERROR(VLOOKUP(Tablo516[[#This Row],[BOYA KODU]],Tablo14[#All],4,0)," ")</f>
        <v xml:space="preserve"> </v>
      </c>
      <c r="L70" s="100" t="str">
        <f>IFERROR(VLOOKUP(Tablo516[[#This Row],[BOYA KODU]],Tablo14[#All],6,0)," ")</f>
        <v xml:space="preserve"> </v>
      </c>
      <c r="M70" s="100" t="str">
        <f t="shared" si="7"/>
        <v xml:space="preserve"> </v>
      </c>
      <c r="N70" s="100" t="str">
        <f>IFERROR(VLOOKUP(Tablo516[[#This Row],[ÜRÜN KODU]],YMKODLARI!$A$1:$K$363,8,0)," ")</f>
        <v>HM 005</v>
      </c>
      <c r="O70" s="100" t="str">
        <f>IFERROR(VLOOKUP(Tablo516[[#This Row],[HAMMADDE KODU]],Tablo1[#All],3,0)," ")</f>
        <v>LSR 70</v>
      </c>
      <c r="P70" s="100" t="str">
        <f>IFERROR(VLOOKUP(Tablo516[[#This Row],[HAMMADDE KODU]],Tablo1[#All],4,0)," ")</f>
        <v>TERRA</v>
      </c>
      <c r="Q70" s="100">
        <f>IFERROR(VLOOKUP(Tablo516[[#This Row],[ÜRÜN KODU]],YMKODLARI!$A$1:$K$363,5,0)," ")</f>
        <v>42.8</v>
      </c>
      <c r="R70" s="100">
        <f>IFERROR(VLOOKUP(Tablo516[[#This Row],[ÜRÜN KODU]],YMKODLARI!$A$1:$K$363,6,0)," ")</f>
        <v>42</v>
      </c>
      <c r="S70" s="100">
        <f>IFERROR(Tablo516[[#This Row],[YOLLUK HARİÇ BASKI GRAMI]]/Tablo516[[#This Row],[KALIP GÖZ ADEDİ]]," ")</f>
        <v>5.25</v>
      </c>
      <c r="T70" s="100">
        <f t="shared" si="9"/>
        <v>0.79999999999999716</v>
      </c>
      <c r="U70" s="100">
        <v>1.7</v>
      </c>
      <c r="V70" s="100">
        <f t="shared" si="8"/>
        <v>60.5</v>
      </c>
      <c r="W70" s="101">
        <f t="shared" si="10"/>
        <v>24.416666666666668</v>
      </c>
      <c r="X70" s="102">
        <f t="shared" si="11"/>
        <v>10.000000000000028</v>
      </c>
      <c r="Y70" s="100">
        <f t="shared" si="12"/>
        <v>8.5555555555555554</v>
      </c>
      <c r="Z70" s="100">
        <f t="shared" si="13"/>
        <v>11200</v>
      </c>
    </row>
    <row r="71" spans="1:26">
      <c r="A71" s="100" t="s">
        <v>53</v>
      </c>
      <c r="B71" s="108" t="str">
        <f>IFERROR(VLOOKUP(Tablo516[[#This Row],[ÜRÜN KODU]],YMKODLARI!$A$1:$K$363,2,0)," ")</f>
        <v xml:space="preserve">SİLİKON MAMA KAŞIĞI UCU </v>
      </c>
      <c r="C71" s="99">
        <v>43993</v>
      </c>
      <c r="D71" s="100" t="s">
        <v>33</v>
      </c>
      <c r="E71" s="101">
        <v>0.33333333333333331</v>
      </c>
      <c r="F71" s="101">
        <v>0.5</v>
      </c>
      <c r="G71" s="100">
        <f>IFERROR(VLOOKUP(Tablo516[[#This Row],[ÜRÜN KODU]],YMKODLARI!$A$1:$K$363,3,0)," ")</f>
        <v>8</v>
      </c>
      <c r="H71" s="100">
        <f>IFERROR(VLOOKUP(Tablo516[[#This Row],[ÜRÜN KODU]],YMKODLARI!$A$1:$K$363,4,0)," ")</f>
        <v>22</v>
      </c>
      <c r="I71" s="100">
        <v>540</v>
      </c>
      <c r="J71" s="100" t="str">
        <f>IFERROR(VLOOKUP(Tablo516[[#This Row],[ÜRÜN KODU]],YMKODLARI!$A$1:$K$363,9,0)," ")</f>
        <v>Şeffaf</v>
      </c>
      <c r="K71" s="100" t="str">
        <f>IFERROR(VLOOKUP(Tablo516[[#This Row],[BOYA KODU]],Tablo14[#All],4,0)," ")</f>
        <v xml:space="preserve"> </v>
      </c>
      <c r="L71" s="100" t="str">
        <f>IFERROR(VLOOKUP(Tablo516[[#This Row],[BOYA KODU]],Tablo14[#All],6,0)," ")</f>
        <v xml:space="preserve"> </v>
      </c>
      <c r="M71" s="100" t="str">
        <f t="shared" si="7"/>
        <v xml:space="preserve"> </v>
      </c>
      <c r="N71" s="100" t="str">
        <f>IFERROR(VLOOKUP(Tablo516[[#This Row],[ÜRÜN KODU]],YMKODLARI!$A$1:$K$363,8,0)," ")</f>
        <v>HM 005</v>
      </c>
      <c r="O71" s="100" t="str">
        <f>IFERROR(VLOOKUP(Tablo516[[#This Row],[HAMMADDE KODU]],Tablo1[#All],3,0)," ")</f>
        <v>LSR 70</v>
      </c>
      <c r="P71" s="100" t="str">
        <f>IFERROR(VLOOKUP(Tablo516[[#This Row],[HAMMADDE KODU]],Tablo1[#All],4,0)," ")</f>
        <v>TERRA</v>
      </c>
      <c r="Q71" s="100">
        <f>IFERROR(VLOOKUP(Tablo516[[#This Row],[ÜRÜN KODU]],YMKODLARI!$A$1:$K$363,5,0)," ")</f>
        <v>42.8</v>
      </c>
      <c r="R71" s="100">
        <f>IFERROR(VLOOKUP(Tablo516[[#This Row],[ÜRÜN KODU]],YMKODLARI!$A$1:$K$363,6,0)," ")</f>
        <v>42</v>
      </c>
      <c r="S71" s="100">
        <f>IFERROR(Tablo516[[#This Row],[YOLLUK HARİÇ BASKI GRAMI]]/Tablo516[[#This Row],[KALIP GÖZ ADEDİ]]," ")</f>
        <v>5.25</v>
      </c>
      <c r="T71" s="100">
        <f t="shared" si="9"/>
        <v>0.79999999999999716</v>
      </c>
      <c r="U71" s="100">
        <v>1.8</v>
      </c>
      <c r="V71" s="100">
        <f t="shared" si="8"/>
        <v>24.48</v>
      </c>
      <c r="W71" s="101">
        <f t="shared" si="10"/>
        <v>24.166666666666668</v>
      </c>
      <c r="X71" s="102">
        <f t="shared" si="11"/>
        <v>4.0000000000000284</v>
      </c>
      <c r="Y71" s="100">
        <f t="shared" si="12"/>
        <v>3.3</v>
      </c>
      <c r="Z71" s="100">
        <f t="shared" si="13"/>
        <v>4320</v>
      </c>
    </row>
    <row r="72" spans="1:26">
      <c r="A72" s="100" t="s">
        <v>52</v>
      </c>
      <c r="B72" s="108" t="str">
        <f>IFERROR(VLOOKUP(Tablo516[[#This Row],[ÜRÜN KODU]],YMKODLARI!$A$1:$K$363,2,0)," ")</f>
        <v>BURUN POMPASI</v>
      </c>
      <c r="C72" s="99">
        <v>43994</v>
      </c>
      <c r="D72" s="100" t="s">
        <v>48</v>
      </c>
      <c r="E72" s="101">
        <v>0.70833333333333337</v>
      </c>
      <c r="F72" s="101">
        <v>0.72916666666666663</v>
      </c>
      <c r="G72" s="100">
        <f>IFERROR(VLOOKUP(Tablo516[[#This Row],[ÜRÜN KODU]],YMKODLARI!$A$1:$K$363,3,0)," ")</f>
        <v>4</v>
      </c>
      <c r="H72" s="100">
        <f>IFERROR(VLOOKUP(Tablo516[[#This Row],[ÜRÜN KODU]],YMKODLARI!$A$1:$K$363,4,0)," ")</f>
        <v>40</v>
      </c>
      <c r="I72" s="100">
        <v>59</v>
      </c>
      <c r="J72" s="100" t="str">
        <f>IFERROR(VLOOKUP(Tablo516[[#This Row],[ÜRÜN KODU]],YMKODLARI!$A$1:$K$363,9,0)," ")</f>
        <v>BLUEF 5386A</v>
      </c>
      <c r="K72" s="100" t="str">
        <f>IFERROR(VLOOKUP(Tablo516[[#This Row],[BOYA KODU]],Tablo14[#All],4,0)," ")</f>
        <v>MAVİ</v>
      </c>
      <c r="L72" s="100">
        <f>IFERROR(VLOOKUP(Tablo516[[#This Row],[BOYA KODU]],Tablo14[#All],6,0)," ")</f>
        <v>2E-3</v>
      </c>
      <c r="M72" s="100">
        <f t="shared" si="7"/>
        <v>10.478400000000001</v>
      </c>
      <c r="N72" s="100" t="str">
        <f>IFERROR(VLOOKUP(Tablo516[[#This Row],[ÜRÜN KODU]],YMKODLARI!$A$1:$K$363,8,0)," ")</f>
        <v>HM 005</v>
      </c>
      <c r="O72" s="100" t="str">
        <f>IFERROR(VLOOKUP(Tablo516[[#This Row],[HAMMADDE KODU]],Tablo1[#All],3,0)," ")</f>
        <v>LSR 70</v>
      </c>
      <c r="P72" s="100" t="str">
        <f>IFERROR(VLOOKUP(Tablo516[[#This Row],[HAMMADDE KODU]],Tablo1[#All],4,0)," ")</f>
        <v>TERRA</v>
      </c>
      <c r="Q72" s="100">
        <f>IFERROR(VLOOKUP(Tablo516[[#This Row],[ÜRÜN KODU]],YMKODLARI!$A$1:$K$363,5,0)," ")</f>
        <v>88.8</v>
      </c>
      <c r="R72" s="100">
        <f>IFERROR(VLOOKUP(Tablo516[[#This Row],[ÜRÜN KODU]],YMKODLARI!$A$1:$K$363,6,0)," ")</f>
        <v>85.2</v>
      </c>
      <c r="S72" s="100">
        <f>IFERROR(Tablo516[[#This Row],[YOLLUK HARİÇ BASKI GRAMI]]/Tablo516[[#This Row],[KALIP GÖZ ADEDİ]]," ")</f>
        <v>21.3</v>
      </c>
      <c r="T72" s="100">
        <f t="shared" si="9"/>
        <v>3.5999999999999943</v>
      </c>
      <c r="U72" s="100">
        <v>5</v>
      </c>
      <c r="V72" s="100">
        <f t="shared" si="8"/>
        <v>10.026800000000001</v>
      </c>
      <c r="W72" s="101">
        <f t="shared" si="10"/>
        <v>24.020833333333332</v>
      </c>
      <c r="X72" s="102">
        <f t="shared" si="11"/>
        <v>0.49999999999997158</v>
      </c>
      <c r="Y72" s="100">
        <f t="shared" si="12"/>
        <v>0.65555555555555556</v>
      </c>
      <c r="Z72" s="100">
        <f t="shared" si="13"/>
        <v>236</v>
      </c>
    </row>
    <row r="73" spans="1:26">
      <c r="A73" s="100" t="s">
        <v>52</v>
      </c>
      <c r="B73" s="108" t="str">
        <f>IFERROR(VLOOKUP(Tablo516[[#This Row],[ÜRÜN KODU]],YMKODLARI!$A$1:$K$363,2,0)," ")</f>
        <v>BURUN POMPASI</v>
      </c>
      <c r="C73" s="99">
        <v>43998</v>
      </c>
      <c r="D73" s="100" t="s">
        <v>48</v>
      </c>
      <c r="E73" s="101">
        <v>0.41666666666666669</v>
      </c>
      <c r="F73" s="101">
        <v>0.61111111111111105</v>
      </c>
      <c r="G73" s="100">
        <f>IFERROR(VLOOKUP(Tablo516[[#This Row],[ÜRÜN KODU]],YMKODLARI!$A$1:$K$363,3,0)," ")</f>
        <v>4</v>
      </c>
      <c r="H73" s="100">
        <f>IFERROR(VLOOKUP(Tablo516[[#This Row],[ÜRÜN KODU]],YMKODLARI!$A$1:$K$363,4,0)," ")</f>
        <v>40</v>
      </c>
      <c r="I73" s="100">
        <v>103</v>
      </c>
      <c r="J73" s="100" t="str">
        <f>IFERROR(VLOOKUP(Tablo516[[#This Row],[ÜRÜN KODU]],YMKODLARI!$A$1:$K$363,9,0)," ")</f>
        <v>BLUEF 5386A</v>
      </c>
      <c r="K73" s="100" t="str">
        <f>IFERROR(VLOOKUP(Tablo516[[#This Row],[BOYA KODU]],Tablo14[#All],4,0)," ")</f>
        <v>MAVİ</v>
      </c>
      <c r="L73" s="100">
        <f>IFERROR(VLOOKUP(Tablo516[[#This Row],[BOYA KODU]],Tablo14[#All],6,0)," ")</f>
        <v>2E-3</v>
      </c>
      <c r="M73" s="100">
        <f t="shared" si="7"/>
        <v>18.2928</v>
      </c>
      <c r="N73" s="100" t="str">
        <f>IFERROR(VLOOKUP(Tablo516[[#This Row],[ÜRÜN KODU]],YMKODLARI!$A$1:$K$363,8,0)," ")</f>
        <v>HM 005</v>
      </c>
      <c r="O73" s="100" t="str">
        <f>IFERROR(VLOOKUP(Tablo516[[#This Row],[HAMMADDE KODU]],Tablo1[#All],3,0)," ")</f>
        <v>LSR 70</v>
      </c>
      <c r="P73" s="100" t="str">
        <f>IFERROR(VLOOKUP(Tablo516[[#This Row],[HAMMADDE KODU]],Tablo1[#All],4,0)," ")</f>
        <v>TERRA</v>
      </c>
      <c r="Q73" s="100">
        <f>IFERROR(VLOOKUP(Tablo516[[#This Row],[ÜRÜN KODU]],YMKODLARI!$A$1:$K$363,5,0)," ")</f>
        <v>88.8</v>
      </c>
      <c r="R73" s="100">
        <f>IFERROR(VLOOKUP(Tablo516[[#This Row],[ÜRÜN KODU]],YMKODLARI!$A$1:$K$363,6,0)," ")</f>
        <v>85.2</v>
      </c>
      <c r="S73" s="100">
        <f>IFERROR(Tablo516[[#This Row],[YOLLUK HARİÇ BASKI GRAMI]]/Tablo516[[#This Row],[KALIP GÖZ ADEDİ]]," ")</f>
        <v>21.3</v>
      </c>
      <c r="T73" s="100">
        <f t="shared" si="9"/>
        <v>3.5999999999999943</v>
      </c>
      <c r="U73" s="100">
        <v>6</v>
      </c>
      <c r="V73" s="100">
        <f t="shared" si="8"/>
        <v>14.775600000000001</v>
      </c>
      <c r="W73" s="101">
        <f t="shared" si="10"/>
        <v>24.194444444444443</v>
      </c>
      <c r="X73" s="102">
        <f t="shared" si="11"/>
        <v>4.6666666666666288</v>
      </c>
      <c r="Y73" s="100">
        <f t="shared" si="12"/>
        <v>1.1444444444444444</v>
      </c>
      <c r="Z73" s="100">
        <f t="shared" si="13"/>
        <v>412</v>
      </c>
    </row>
    <row r="74" spans="1:26">
      <c r="A74" s="100" t="s">
        <v>52</v>
      </c>
      <c r="B74" s="108" t="str">
        <f>IFERROR(VLOOKUP(Tablo516[[#This Row],[ÜRÜN KODU]],YMKODLARI!$A$1:$K$363,2,0)," ")</f>
        <v>BURUN POMPASI</v>
      </c>
      <c r="C74" s="99">
        <v>44013</v>
      </c>
      <c r="D74" s="100" t="s">
        <v>37</v>
      </c>
      <c r="E74" s="101">
        <v>0.60416666666666663</v>
      </c>
      <c r="F74" s="101">
        <v>0.68263888888888891</v>
      </c>
      <c r="G74" s="100">
        <f>IFERROR(VLOOKUP(Tablo516[[#This Row],[ÜRÜN KODU]],YMKODLARI!$A$1:$K$363,3,0)," ")</f>
        <v>4</v>
      </c>
      <c r="H74" s="100">
        <f>IFERROR(VLOOKUP(Tablo516[[#This Row],[ÜRÜN KODU]],YMKODLARI!$A$1:$K$363,4,0)," ")</f>
        <v>40</v>
      </c>
      <c r="I74" s="100">
        <v>323</v>
      </c>
      <c r="J74" s="100" t="str">
        <f>IFERROR(VLOOKUP(Tablo516[[#This Row],[ÜRÜN KODU]],YMKODLARI!$A$1:$K$363,9,0)," ")</f>
        <v>BLUEF 5386A</v>
      </c>
      <c r="K74" s="100" t="str">
        <f>IFERROR(VLOOKUP(Tablo516[[#This Row],[BOYA KODU]],Tablo14[#All],4,0)," ")</f>
        <v>MAVİ</v>
      </c>
      <c r="L74" s="100">
        <f>IFERROR(VLOOKUP(Tablo516[[#This Row],[BOYA KODU]],Tablo14[#All],6,0)," ")</f>
        <v>2E-3</v>
      </c>
      <c r="M74" s="100">
        <f t="shared" si="7"/>
        <v>57.364799999999995</v>
      </c>
      <c r="N74" s="100" t="str">
        <f>IFERROR(VLOOKUP(Tablo516[[#This Row],[ÜRÜN KODU]],YMKODLARI!$A$1:$K$363,8,0)," ")</f>
        <v>HM 005</v>
      </c>
      <c r="O74" s="100" t="str">
        <f>IFERROR(VLOOKUP(Tablo516[[#This Row],[HAMMADDE KODU]],Tablo1[#All],3,0)," ")</f>
        <v>LSR 70</v>
      </c>
      <c r="P74" s="100" t="str">
        <f>IFERROR(VLOOKUP(Tablo516[[#This Row],[HAMMADDE KODU]],Tablo1[#All],4,0)," ")</f>
        <v>TERRA</v>
      </c>
      <c r="Q74" s="100">
        <f>IFERROR(VLOOKUP(Tablo516[[#This Row],[ÜRÜN KODU]],YMKODLARI!$A$1:$K$363,5,0)," ")</f>
        <v>88.8</v>
      </c>
      <c r="R74" s="100">
        <f>IFERROR(VLOOKUP(Tablo516[[#This Row],[ÜRÜN KODU]],YMKODLARI!$A$1:$K$363,6,0)," ")</f>
        <v>85.2</v>
      </c>
      <c r="S74" s="100">
        <f>IFERROR(Tablo516[[#This Row],[YOLLUK HARİÇ BASKI GRAMI]]/Tablo516[[#This Row],[KALIP GÖZ ADEDİ]]," ")</f>
        <v>21.3</v>
      </c>
      <c r="T74" s="100">
        <f t="shared" si="9"/>
        <v>3.5999999999999943</v>
      </c>
      <c r="U74" s="100">
        <v>3.5</v>
      </c>
      <c r="V74" s="100">
        <f t="shared" si="8"/>
        <v>31.019600000000001</v>
      </c>
      <c r="W74" s="101">
        <f t="shared" si="10"/>
        <v>24.078472222222221</v>
      </c>
      <c r="X74" s="102">
        <f t="shared" si="11"/>
        <v>1.8833333333332973</v>
      </c>
      <c r="Y74" s="100">
        <f t="shared" si="12"/>
        <v>3.588888888888889</v>
      </c>
      <c r="Z74" s="100">
        <f t="shared" si="13"/>
        <v>1292</v>
      </c>
    </row>
    <row r="75" spans="1:26">
      <c r="A75" s="100" t="s">
        <v>52</v>
      </c>
      <c r="B75" s="108" t="str">
        <f>IFERROR(VLOOKUP(Tablo516[[#This Row],[ÜRÜN KODU]],YMKODLARI!$A$1:$K$363,2,0)," ")</f>
        <v>BURUN POMPASI</v>
      </c>
      <c r="C75" s="99">
        <v>44020</v>
      </c>
      <c r="D75" s="100" t="s">
        <v>37</v>
      </c>
      <c r="E75" s="101">
        <v>0.58333333333333337</v>
      </c>
      <c r="F75" s="101">
        <v>0.70833333333333337</v>
      </c>
      <c r="G75" s="100">
        <f>IFERROR(VLOOKUP(Tablo516[[#This Row],[ÜRÜN KODU]],YMKODLARI!$A$1:$K$363,3,0)," ")</f>
        <v>4</v>
      </c>
      <c r="H75" s="100">
        <f>IFERROR(VLOOKUP(Tablo516[[#This Row],[ÜRÜN KODU]],YMKODLARI!$A$1:$K$363,4,0)," ")</f>
        <v>40</v>
      </c>
      <c r="I75" s="100">
        <v>55</v>
      </c>
      <c r="J75" s="100" t="str">
        <f>IFERROR(VLOOKUP(Tablo516[[#This Row],[ÜRÜN KODU]],YMKODLARI!$A$1:$K$363,9,0)," ")</f>
        <v>BLUEF 5386A</v>
      </c>
      <c r="K75" s="100" t="str">
        <f>IFERROR(VLOOKUP(Tablo516[[#This Row],[BOYA KODU]],Tablo14[#All],4,0)," ")</f>
        <v>MAVİ</v>
      </c>
      <c r="L75" s="100">
        <f>IFERROR(VLOOKUP(Tablo516[[#This Row],[BOYA KODU]],Tablo14[#All],6,0)," ")</f>
        <v>2E-3</v>
      </c>
      <c r="M75" s="100">
        <f t="shared" si="7"/>
        <v>9.7680000000000007</v>
      </c>
      <c r="N75" s="100" t="str">
        <f>IFERROR(VLOOKUP(Tablo516[[#This Row],[ÜRÜN KODU]],YMKODLARI!$A$1:$K$363,8,0)," ")</f>
        <v>HM 005</v>
      </c>
      <c r="O75" s="100" t="str">
        <f>IFERROR(VLOOKUP(Tablo516[[#This Row],[HAMMADDE KODU]],Tablo1[#All],3,0)," ")</f>
        <v>LSR 70</v>
      </c>
      <c r="P75" s="100" t="str">
        <f>IFERROR(VLOOKUP(Tablo516[[#This Row],[HAMMADDE KODU]],Tablo1[#All],4,0)," ")</f>
        <v>TERRA</v>
      </c>
      <c r="Q75" s="100">
        <f>IFERROR(VLOOKUP(Tablo516[[#This Row],[ÜRÜN KODU]],YMKODLARI!$A$1:$K$363,5,0)," ")</f>
        <v>88.8</v>
      </c>
      <c r="R75" s="100">
        <f>IFERROR(VLOOKUP(Tablo516[[#This Row],[ÜRÜN KODU]],YMKODLARI!$A$1:$K$363,6,0)," ")</f>
        <v>85.2</v>
      </c>
      <c r="S75" s="100">
        <f>IFERROR(Tablo516[[#This Row],[YOLLUK HARİÇ BASKI GRAMI]]/Tablo516[[#This Row],[KALIP GÖZ ADEDİ]]," ")</f>
        <v>21.3</v>
      </c>
      <c r="T75" s="100">
        <f t="shared" si="9"/>
        <v>3.5999999999999943</v>
      </c>
      <c r="U75" s="100">
        <v>5</v>
      </c>
      <c r="V75" s="100">
        <f t="shared" si="8"/>
        <v>9.6859999999999999</v>
      </c>
      <c r="W75" s="101">
        <f t="shared" si="10"/>
        <v>24.125</v>
      </c>
      <c r="X75" s="102">
        <f t="shared" si="11"/>
        <v>3</v>
      </c>
      <c r="Y75" s="100">
        <f t="shared" si="12"/>
        <v>0.61111111111111116</v>
      </c>
      <c r="Z75" s="100">
        <f t="shared" si="13"/>
        <v>220</v>
      </c>
    </row>
    <row r="76" spans="1:26">
      <c r="A76" s="100" t="s">
        <v>52</v>
      </c>
      <c r="B76" s="108" t="str">
        <f>IFERROR(VLOOKUP(Tablo516[[#This Row],[ÜRÜN KODU]],YMKODLARI!$A$1:$K$363,2,0)," ")</f>
        <v>BURUN POMPASI</v>
      </c>
      <c r="C76" s="99">
        <v>44021</v>
      </c>
      <c r="D76" s="100" t="s">
        <v>37</v>
      </c>
      <c r="E76" s="101">
        <v>0.58333333333333337</v>
      </c>
      <c r="F76" s="101">
        <v>0.70833333333333337</v>
      </c>
      <c r="G76" s="100">
        <f>IFERROR(VLOOKUP(Tablo516[[#This Row],[ÜRÜN KODU]],YMKODLARI!$A$1:$K$363,3,0)," ")</f>
        <v>4</v>
      </c>
      <c r="H76" s="100">
        <f>IFERROR(VLOOKUP(Tablo516[[#This Row],[ÜRÜN KODU]],YMKODLARI!$A$1:$K$363,4,0)," ")</f>
        <v>40</v>
      </c>
      <c r="I76" s="100">
        <v>24</v>
      </c>
      <c r="J76" s="100" t="str">
        <f>IFERROR(VLOOKUP(Tablo516[[#This Row],[ÜRÜN KODU]],YMKODLARI!$A$1:$K$363,9,0)," ")</f>
        <v>BLUEF 5386A</v>
      </c>
      <c r="K76" s="100" t="str">
        <f>IFERROR(VLOOKUP(Tablo516[[#This Row],[BOYA KODU]],Tablo14[#All],4,0)," ")</f>
        <v>MAVİ</v>
      </c>
      <c r="L76" s="100">
        <f>IFERROR(VLOOKUP(Tablo516[[#This Row],[BOYA KODU]],Tablo14[#All],6,0)," ")</f>
        <v>2E-3</v>
      </c>
      <c r="M76" s="100">
        <f t="shared" si="7"/>
        <v>4.2623999999999995</v>
      </c>
      <c r="N76" s="100" t="str">
        <f>IFERROR(VLOOKUP(Tablo516[[#This Row],[ÜRÜN KODU]],YMKODLARI!$A$1:$K$363,8,0)," ")</f>
        <v>HM 005</v>
      </c>
      <c r="O76" s="100" t="str">
        <f>IFERROR(VLOOKUP(Tablo516[[#This Row],[HAMMADDE KODU]],Tablo1[#All],3,0)," ")</f>
        <v>LSR 70</v>
      </c>
      <c r="P76" s="100" t="str">
        <f>IFERROR(VLOOKUP(Tablo516[[#This Row],[HAMMADDE KODU]],Tablo1[#All],4,0)," ")</f>
        <v>TERRA</v>
      </c>
      <c r="Q76" s="100">
        <f>IFERROR(VLOOKUP(Tablo516[[#This Row],[ÜRÜN KODU]],YMKODLARI!$A$1:$K$363,5,0)," ")</f>
        <v>88.8</v>
      </c>
      <c r="R76" s="100">
        <f>IFERROR(VLOOKUP(Tablo516[[#This Row],[ÜRÜN KODU]],YMKODLARI!$A$1:$K$363,6,0)," ")</f>
        <v>85.2</v>
      </c>
      <c r="S76" s="100">
        <f>IFERROR(Tablo516[[#This Row],[YOLLUK HARİÇ BASKI GRAMI]]/Tablo516[[#This Row],[KALIP GÖZ ADEDİ]]," ")</f>
        <v>21.3</v>
      </c>
      <c r="T76" s="100">
        <f t="shared" si="9"/>
        <v>3.5999999999999943</v>
      </c>
      <c r="U76" s="100">
        <v>2.5</v>
      </c>
      <c r="V76" s="100">
        <f t="shared" si="8"/>
        <v>4.5448000000000004</v>
      </c>
      <c r="W76" s="101">
        <f t="shared" si="10"/>
        <v>24.125</v>
      </c>
      <c r="X76" s="102">
        <f t="shared" si="11"/>
        <v>3</v>
      </c>
      <c r="Y76" s="100">
        <f t="shared" si="12"/>
        <v>0.26666666666666666</v>
      </c>
      <c r="Z76" s="100">
        <f t="shared" si="13"/>
        <v>96</v>
      </c>
    </row>
    <row r="77" spans="1:26">
      <c r="A77" s="100" t="s">
        <v>52</v>
      </c>
      <c r="B77" s="108" t="str">
        <f>IFERROR(VLOOKUP(Tablo516[[#This Row],[ÜRÜN KODU]],YMKODLARI!$A$1:$K$363,2,0)," ")</f>
        <v>BURUN POMPASI</v>
      </c>
      <c r="C77" s="99">
        <v>44022</v>
      </c>
      <c r="D77" s="100" t="s">
        <v>37</v>
      </c>
      <c r="E77" s="101">
        <v>0.58333333333333337</v>
      </c>
      <c r="F77" s="101">
        <v>0.75</v>
      </c>
      <c r="G77" s="100">
        <f>IFERROR(VLOOKUP(Tablo516[[#This Row],[ÜRÜN KODU]],YMKODLARI!$A$1:$K$363,3,0)," ")</f>
        <v>4</v>
      </c>
      <c r="H77" s="100">
        <f>IFERROR(VLOOKUP(Tablo516[[#This Row],[ÜRÜN KODU]],YMKODLARI!$A$1:$K$363,4,0)," ")</f>
        <v>40</v>
      </c>
      <c r="I77" s="100">
        <v>342</v>
      </c>
      <c r="J77" s="100" t="str">
        <f>IFERROR(VLOOKUP(Tablo516[[#This Row],[ÜRÜN KODU]],YMKODLARI!$A$1:$K$363,9,0)," ")</f>
        <v>BLUEF 5386A</v>
      </c>
      <c r="K77" s="100" t="str">
        <f>IFERROR(VLOOKUP(Tablo516[[#This Row],[BOYA KODU]],Tablo14[#All],4,0)," ")</f>
        <v>MAVİ</v>
      </c>
      <c r="L77" s="100">
        <f>IFERROR(VLOOKUP(Tablo516[[#This Row],[BOYA KODU]],Tablo14[#All],6,0)," ")</f>
        <v>2E-3</v>
      </c>
      <c r="M77" s="100">
        <f t="shared" si="7"/>
        <v>60.739199999999997</v>
      </c>
      <c r="N77" s="100" t="str">
        <f>IFERROR(VLOOKUP(Tablo516[[#This Row],[ÜRÜN KODU]],YMKODLARI!$A$1:$K$363,8,0)," ")</f>
        <v>HM 005</v>
      </c>
      <c r="O77" s="100" t="str">
        <f>IFERROR(VLOOKUP(Tablo516[[#This Row],[HAMMADDE KODU]],Tablo1[#All],3,0)," ")</f>
        <v>LSR 70</v>
      </c>
      <c r="P77" s="100" t="str">
        <f>IFERROR(VLOOKUP(Tablo516[[#This Row],[HAMMADDE KODU]],Tablo1[#All],4,0)," ")</f>
        <v>TERRA</v>
      </c>
      <c r="Q77" s="100">
        <f>IFERROR(VLOOKUP(Tablo516[[#This Row],[ÜRÜN KODU]],YMKODLARI!$A$1:$K$363,5,0)," ")</f>
        <v>88.8</v>
      </c>
      <c r="R77" s="100">
        <f>IFERROR(VLOOKUP(Tablo516[[#This Row],[ÜRÜN KODU]],YMKODLARI!$A$1:$K$363,6,0)," ")</f>
        <v>85.2</v>
      </c>
      <c r="S77" s="100">
        <f>IFERROR(Tablo516[[#This Row],[YOLLUK HARİÇ BASKI GRAMI]]/Tablo516[[#This Row],[KALIP GÖZ ADEDİ]]," ")</f>
        <v>21.3</v>
      </c>
      <c r="T77" s="100">
        <f t="shared" si="9"/>
        <v>3.5999999999999943</v>
      </c>
      <c r="U77" s="100">
        <v>6</v>
      </c>
      <c r="V77" s="100">
        <f t="shared" si="8"/>
        <v>35.138400000000004</v>
      </c>
      <c r="W77" s="101">
        <f t="shared" si="10"/>
        <v>24.166666666666668</v>
      </c>
      <c r="X77" s="102">
        <f t="shared" si="11"/>
        <v>4.0000000000000284</v>
      </c>
      <c r="Y77" s="100">
        <f t="shared" si="12"/>
        <v>3.8</v>
      </c>
      <c r="Z77" s="100">
        <f t="shared" si="13"/>
        <v>1368</v>
      </c>
    </row>
    <row r="78" spans="1:26">
      <c r="A78" s="100" t="s">
        <v>52</v>
      </c>
      <c r="B78" s="108" t="str">
        <f>IFERROR(VLOOKUP(Tablo516[[#This Row],[ÜRÜN KODU]],YMKODLARI!$A$1:$K$363,2,0)," ")</f>
        <v>BURUN POMPASI</v>
      </c>
      <c r="C78" s="99">
        <v>44025</v>
      </c>
      <c r="D78" s="100" t="s">
        <v>37</v>
      </c>
      <c r="E78" s="101">
        <v>0.33333333333333331</v>
      </c>
      <c r="F78" s="101">
        <v>0.70833333333333337</v>
      </c>
      <c r="G78" s="100">
        <f>IFERROR(VLOOKUP(Tablo516[[#This Row],[ÜRÜN KODU]],YMKODLARI!$A$1:$K$363,3,0)," ")</f>
        <v>4</v>
      </c>
      <c r="H78" s="100">
        <f>IFERROR(VLOOKUP(Tablo516[[#This Row],[ÜRÜN KODU]],YMKODLARI!$A$1:$K$363,4,0)," ")</f>
        <v>40</v>
      </c>
      <c r="I78" s="100">
        <v>646</v>
      </c>
      <c r="J78" s="100" t="str">
        <f>IFERROR(VLOOKUP(Tablo516[[#This Row],[ÜRÜN KODU]],YMKODLARI!$A$1:$K$363,9,0)," ")</f>
        <v>BLUEF 5386A</v>
      </c>
      <c r="K78" s="100" t="str">
        <f>IFERROR(VLOOKUP(Tablo516[[#This Row],[BOYA KODU]],Tablo14[#All],4,0)," ")</f>
        <v>MAVİ</v>
      </c>
      <c r="L78" s="100">
        <f>IFERROR(VLOOKUP(Tablo516[[#This Row],[BOYA KODU]],Tablo14[#All],6,0)," ")</f>
        <v>2E-3</v>
      </c>
      <c r="M78" s="100">
        <f t="shared" si="7"/>
        <v>114.72959999999999</v>
      </c>
      <c r="N78" s="100" t="str">
        <f>IFERROR(VLOOKUP(Tablo516[[#This Row],[ÜRÜN KODU]],YMKODLARI!$A$1:$K$363,8,0)," ")</f>
        <v>HM 005</v>
      </c>
      <c r="O78" s="100" t="str">
        <f>IFERROR(VLOOKUP(Tablo516[[#This Row],[HAMMADDE KODU]],Tablo1[#All],3,0)," ")</f>
        <v>LSR 70</v>
      </c>
      <c r="P78" s="100" t="str">
        <f>IFERROR(VLOOKUP(Tablo516[[#This Row],[HAMMADDE KODU]],Tablo1[#All],4,0)," ")</f>
        <v>TERRA</v>
      </c>
      <c r="Q78" s="100">
        <f>IFERROR(VLOOKUP(Tablo516[[#This Row],[ÜRÜN KODU]],YMKODLARI!$A$1:$K$363,5,0)," ")</f>
        <v>88.8</v>
      </c>
      <c r="R78" s="100">
        <f>IFERROR(VLOOKUP(Tablo516[[#This Row],[ÜRÜN KODU]],YMKODLARI!$A$1:$K$363,6,0)," ")</f>
        <v>85.2</v>
      </c>
      <c r="S78" s="100">
        <f>IFERROR(Tablo516[[#This Row],[YOLLUK HARİÇ BASKI GRAMI]]/Tablo516[[#This Row],[KALIP GÖZ ADEDİ]]," ")</f>
        <v>21.3</v>
      </c>
      <c r="T78" s="100">
        <f t="shared" si="9"/>
        <v>3.5999999999999943</v>
      </c>
      <c r="U78" s="100">
        <v>9.8000000000000007</v>
      </c>
      <c r="V78" s="100">
        <f t="shared" si="8"/>
        <v>64.839200000000005</v>
      </c>
      <c r="W78" s="101">
        <f t="shared" si="10"/>
        <v>24.375</v>
      </c>
      <c r="X78" s="102">
        <f t="shared" si="11"/>
        <v>9</v>
      </c>
      <c r="Y78" s="100">
        <f t="shared" si="12"/>
        <v>7.177777777777778</v>
      </c>
      <c r="Z78" s="100">
        <f t="shared" si="13"/>
        <v>2584</v>
      </c>
    </row>
    <row r="79" spans="1:26">
      <c r="A79" s="100" t="s">
        <v>51</v>
      </c>
      <c r="B79" s="108" t="str">
        <f>IFERROR(VLOOKUP(Tablo516[[#This Row],[ÜRÜN KODU]],YMKODLARI!$A$1:$K$363,2,0)," ")</f>
        <v>BURUN POMPASI</v>
      </c>
      <c r="C79" s="99">
        <v>44026</v>
      </c>
      <c r="D79" s="100" t="s">
        <v>33</v>
      </c>
      <c r="E79" s="101">
        <v>0.66666666666666663</v>
      </c>
      <c r="F79" s="101">
        <v>0.70833333333333337</v>
      </c>
      <c r="G79" s="100">
        <f>IFERROR(VLOOKUP(Tablo516[[#This Row],[ÜRÜN KODU]],YMKODLARI!$A$1:$K$363,3,0)," ")</f>
        <v>4</v>
      </c>
      <c r="H79" s="100">
        <f>IFERROR(VLOOKUP(Tablo516[[#This Row],[ÜRÜN KODU]],YMKODLARI!$A$1:$K$363,4,0)," ")</f>
        <v>40</v>
      </c>
      <c r="I79" s="100">
        <v>59</v>
      </c>
      <c r="J79" s="100" t="str">
        <f>IFERROR(VLOOKUP(Tablo516[[#This Row],[ÜRÜN KODU]],YMKODLARI!$A$1:$K$363,9,0)," ")</f>
        <v>REDF 3565A</v>
      </c>
      <c r="K79" s="100" t="str">
        <f>IFERROR(VLOOKUP(Tablo516[[#This Row],[BOYA KODU]],Tablo14[#All],4,0)," ")</f>
        <v>PEMBE</v>
      </c>
      <c r="L79" s="100">
        <f>IFERROR(VLOOKUP(Tablo516[[#This Row],[BOYA KODU]],Tablo14[#All],6,0)," ")</f>
        <v>2E-3</v>
      </c>
      <c r="M79" s="100">
        <f t="shared" si="7"/>
        <v>10.572799999999999</v>
      </c>
      <c r="N79" s="100" t="str">
        <f>IFERROR(VLOOKUP(Tablo516[[#This Row],[ÜRÜN KODU]],YMKODLARI!$A$1:$K$363,8,0)," ")</f>
        <v>HM 005</v>
      </c>
      <c r="O79" s="100" t="str">
        <f>IFERROR(VLOOKUP(Tablo516[[#This Row],[HAMMADDE KODU]],Tablo1[#All],3,0)," ")</f>
        <v>LSR 70</v>
      </c>
      <c r="P79" s="100" t="str">
        <f>IFERROR(VLOOKUP(Tablo516[[#This Row],[HAMMADDE KODU]],Tablo1[#All],4,0)," ")</f>
        <v>TERRA</v>
      </c>
      <c r="Q79" s="100">
        <f>IFERROR(VLOOKUP(Tablo516[[#This Row],[ÜRÜN KODU]],YMKODLARI!$A$1:$K$363,5,0)," ")</f>
        <v>89.6</v>
      </c>
      <c r="R79" s="100">
        <f>IFERROR(VLOOKUP(Tablo516[[#This Row],[ÜRÜN KODU]],YMKODLARI!$A$1:$K$363,6,0)," ")</f>
        <v>86</v>
      </c>
      <c r="S79" s="100">
        <f>IFERROR(Tablo516[[#This Row],[YOLLUK HARİÇ BASKI GRAMI]]/Tablo516[[#This Row],[KALIP GÖZ ADEDİ]]," ")</f>
        <v>21.5</v>
      </c>
      <c r="T79" s="100">
        <f t="shared" si="9"/>
        <v>3.5999999999999943</v>
      </c>
      <c r="U79" s="100">
        <v>5.2</v>
      </c>
      <c r="V79" s="100">
        <f t="shared" si="8"/>
        <v>10.274000000000001</v>
      </c>
      <c r="W79" s="101">
        <f t="shared" si="10"/>
        <v>24.041666666666668</v>
      </c>
      <c r="X79" s="102">
        <f t="shared" si="11"/>
        <v>1.0000000000000284</v>
      </c>
      <c r="Y79" s="100">
        <f t="shared" si="12"/>
        <v>0.65555555555555556</v>
      </c>
      <c r="Z79" s="100">
        <f t="shared" si="13"/>
        <v>236</v>
      </c>
    </row>
    <row r="80" spans="1:26">
      <c r="A80" s="100" t="s">
        <v>51</v>
      </c>
      <c r="B80" s="108" t="str">
        <f>IFERROR(VLOOKUP(Tablo516[[#This Row],[ÜRÜN KODU]],YMKODLARI!$A$1:$K$363,2,0)," ")</f>
        <v>BURUN POMPASI</v>
      </c>
      <c r="C80" s="99">
        <v>44034</v>
      </c>
      <c r="D80" s="100" t="s">
        <v>40</v>
      </c>
      <c r="E80" s="101">
        <v>0.35416666666666669</v>
      </c>
      <c r="F80" s="101">
        <v>0.45833333333333331</v>
      </c>
      <c r="G80" s="100">
        <f>IFERROR(VLOOKUP(Tablo516[[#This Row],[ÜRÜN KODU]],YMKODLARI!$A$1:$K$363,3,0)," ")</f>
        <v>4</v>
      </c>
      <c r="H80" s="100">
        <f>IFERROR(VLOOKUP(Tablo516[[#This Row],[ÜRÜN KODU]],YMKODLARI!$A$1:$K$363,4,0)," ")</f>
        <v>40</v>
      </c>
      <c r="I80" s="100">
        <v>106</v>
      </c>
      <c r="J80" s="100" t="str">
        <f>IFERROR(VLOOKUP(Tablo516[[#This Row],[ÜRÜN KODU]],YMKODLARI!$A$1:$K$363,9,0)," ")</f>
        <v>REDF 3565A</v>
      </c>
      <c r="K80" s="100" t="str">
        <f>IFERROR(VLOOKUP(Tablo516[[#This Row],[BOYA KODU]],Tablo14[#All],4,0)," ")</f>
        <v>PEMBE</v>
      </c>
      <c r="L80" s="100">
        <f>IFERROR(VLOOKUP(Tablo516[[#This Row],[BOYA KODU]],Tablo14[#All],6,0)," ")</f>
        <v>2E-3</v>
      </c>
      <c r="M80" s="100">
        <f t="shared" si="7"/>
        <v>18.995199999999997</v>
      </c>
      <c r="N80" s="100" t="str">
        <f>IFERROR(VLOOKUP(Tablo516[[#This Row],[ÜRÜN KODU]],YMKODLARI!$A$1:$K$363,8,0)," ")</f>
        <v>HM 005</v>
      </c>
      <c r="O80" s="100" t="str">
        <f>IFERROR(VLOOKUP(Tablo516[[#This Row],[HAMMADDE KODU]],Tablo1[#All],3,0)," ")</f>
        <v>LSR 70</v>
      </c>
      <c r="P80" s="100" t="str">
        <f>IFERROR(VLOOKUP(Tablo516[[#This Row],[HAMMADDE KODU]],Tablo1[#All],4,0)," ")</f>
        <v>TERRA</v>
      </c>
      <c r="Q80" s="100">
        <f>IFERROR(VLOOKUP(Tablo516[[#This Row],[ÜRÜN KODU]],YMKODLARI!$A$1:$K$363,5,0)," ")</f>
        <v>89.6</v>
      </c>
      <c r="R80" s="100">
        <f>IFERROR(VLOOKUP(Tablo516[[#This Row],[ÜRÜN KODU]],YMKODLARI!$A$1:$K$363,6,0)," ")</f>
        <v>86</v>
      </c>
      <c r="S80" s="100">
        <f>IFERROR(Tablo516[[#This Row],[YOLLUK HARİÇ BASKI GRAMI]]/Tablo516[[#This Row],[KALIP GÖZ ADEDİ]]," ")</f>
        <v>21.5</v>
      </c>
      <c r="T80" s="100">
        <f t="shared" si="9"/>
        <v>3.5999999999999943</v>
      </c>
      <c r="U80" s="100">
        <v>8.4</v>
      </c>
      <c r="V80" s="100">
        <f t="shared" si="8"/>
        <v>17.515999999999998</v>
      </c>
      <c r="W80" s="101">
        <f t="shared" si="10"/>
        <v>24.104166666666668</v>
      </c>
      <c r="X80" s="102">
        <f t="shared" si="11"/>
        <v>2.5000000000000284</v>
      </c>
      <c r="Y80" s="100">
        <f t="shared" si="12"/>
        <v>1.1777777777777778</v>
      </c>
      <c r="Z80" s="100">
        <f t="shared" si="13"/>
        <v>424</v>
      </c>
    </row>
    <row r="81" spans="1:26">
      <c r="A81" s="100" t="s">
        <v>51</v>
      </c>
      <c r="B81" s="108" t="str">
        <f>IFERROR(VLOOKUP(Tablo516[[#This Row],[ÜRÜN KODU]],YMKODLARI!$A$1:$K$363,2,0)," ")</f>
        <v>BURUN POMPASI</v>
      </c>
      <c r="C81" s="99">
        <v>44035</v>
      </c>
      <c r="D81" s="100" t="s">
        <v>36</v>
      </c>
      <c r="E81" s="101">
        <v>0.6875</v>
      </c>
      <c r="F81" s="101">
        <v>0.83333333333333337</v>
      </c>
      <c r="G81" s="100">
        <f>IFERROR(VLOOKUP(Tablo516[[#This Row],[ÜRÜN KODU]],YMKODLARI!$A$1:$K$363,3,0)," ")</f>
        <v>4</v>
      </c>
      <c r="H81" s="100">
        <f>IFERROR(VLOOKUP(Tablo516[[#This Row],[ÜRÜN KODU]],YMKODLARI!$A$1:$K$363,4,0)," ")</f>
        <v>40</v>
      </c>
      <c r="I81" s="100">
        <v>216</v>
      </c>
      <c r="J81" s="100" t="str">
        <f>IFERROR(VLOOKUP(Tablo516[[#This Row],[ÜRÜN KODU]],YMKODLARI!$A$1:$K$363,9,0)," ")</f>
        <v>REDF 3565A</v>
      </c>
      <c r="K81" s="100" t="str">
        <f>IFERROR(VLOOKUP(Tablo516[[#This Row],[BOYA KODU]],Tablo14[#All],4,0)," ")</f>
        <v>PEMBE</v>
      </c>
      <c r="L81" s="100">
        <f>IFERROR(VLOOKUP(Tablo516[[#This Row],[BOYA KODU]],Tablo14[#All],6,0)," ")</f>
        <v>2E-3</v>
      </c>
      <c r="M81" s="100">
        <f t="shared" si="7"/>
        <v>38.7072</v>
      </c>
      <c r="N81" s="100" t="str">
        <f>IFERROR(VLOOKUP(Tablo516[[#This Row],[ÜRÜN KODU]],YMKODLARI!$A$1:$K$363,8,0)," ")</f>
        <v>HM 005</v>
      </c>
      <c r="O81" s="100" t="str">
        <f>IFERROR(VLOOKUP(Tablo516[[#This Row],[HAMMADDE KODU]],Tablo1[#All],3,0)," ")</f>
        <v>LSR 70</v>
      </c>
      <c r="P81" s="100" t="str">
        <f>IFERROR(VLOOKUP(Tablo516[[#This Row],[HAMMADDE KODU]],Tablo1[#All],4,0)," ")</f>
        <v>TERRA</v>
      </c>
      <c r="Q81" s="100">
        <f>IFERROR(VLOOKUP(Tablo516[[#This Row],[ÜRÜN KODU]],YMKODLARI!$A$1:$K$363,5,0)," ")</f>
        <v>89.6</v>
      </c>
      <c r="R81" s="100">
        <f>IFERROR(VLOOKUP(Tablo516[[#This Row],[ÜRÜN KODU]],YMKODLARI!$A$1:$K$363,6,0)," ")</f>
        <v>86</v>
      </c>
      <c r="S81" s="100">
        <f>IFERROR(Tablo516[[#This Row],[YOLLUK HARİÇ BASKI GRAMI]]/Tablo516[[#This Row],[KALIP GÖZ ADEDİ]]," ")</f>
        <v>21.5</v>
      </c>
      <c r="T81" s="100">
        <f t="shared" si="9"/>
        <v>3.5999999999999943</v>
      </c>
      <c r="U81" s="100">
        <v>3.6</v>
      </c>
      <c r="V81" s="100">
        <f t="shared" si="8"/>
        <v>22.176000000000002</v>
      </c>
      <c r="W81" s="101">
        <f t="shared" si="10"/>
        <v>24.145833333333332</v>
      </c>
      <c r="X81" s="102">
        <f t="shared" si="11"/>
        <v>3.4999999999999716</v>
      </c>
      <c r="Y81" s="100">
        <f t="shared" si="12"/>
        <v>2.4</v>
      </c>
      <c r="Z81" s="100">
        <f t="shared" si="13"/>
        <v>864</v>
      </c>
    </row>
    <row r="82" spans="1:26">
      <c r="A82" s="100" t="s">
        <v>51</v>
      </c>
      <c r="B82" s="108" t="str">
        <f>IFERROR(VLOOKUP(Tablo516[[#This Row],[ÜRÜN KODU]],YMKODLARI!$A$1:$K$363,2,0)," ")</f>
        <v>BURUN POMPASI</v>
      </c>
      <c r="C82" s="99">
        <v>44036</v>
      </c>
      <c r="D82" s="100" t="s">
        <v>36</v>
      </c>
      <c r="E82" s="101">
        <v>0.35416666666666669</v>
      </c>
      <c r="F82" s="101">
        <v>0.47916666666666669</v>
      </c>
      <c r="G82" s="100">
        <f>IFERROR(VLOOKUP(Tablo516[[#This Row],[ÜRÜN KODU]],YMKODLARI!$A$1:$K$363,3,0)," ")</f>
        <v>4</v>
      </c>
      <c r="H82" s="100">
        <f>IFERROR(VLOOKUP(Tablo516[[#This Row],[ÜRÜN KODU]],YMKODLARI!$A$1:$K$363,4,0)," ")</f>
        <v>40</v>
      </c>
      <c r="I82" s="100">
        <v>210</v>
      </c>
      <c r="J82" s="100" t="str">
        <f>IFERROR(VLOOKUP(Tablo516[[#This Row],[ÜRÜN KODU]],YMKODLARI!$A$1:$K$363,9,0)," ")</f>
        <v>REDF 3565A</v>
      </c>
      <c r="K82" s="100" t="str">
        <f>IFERROR(VLOOKUP(Tablo516[[#This Row],[BOYA KODU]],Tablo14[#All],4,0)," ")</f>
        <v>PEMBE</v>
      </c>
      <c r="L82" s="100">
        <f>IFERROR(VLOOKUP(Tablo516[[#This Row],[BOYA KODU]],Tablo14[#All],6,0)," ")</f>
        <v>2E-3</v>
      </c>
      <c r="M82" s="100">
        <f t="shared" si="7"/>
        <v>37.631999999999998</v>
      </c>
      <c r="N82" s="100" t="str">
        <f>IFERROR(VLOOKUP(Tablo516[[#This Row],[ÜRÜN KODU]],YMKODLARI!$A$1:$K$363,8,0)," ")</f>
        <v>HM 005</v>
      </c>
      <c r="O82" s="100" t="str">
        <f>IFERROR(VLOOKUP(Tablo516[[#This Row],[HAMMADDE KODU]],Tablo1[#All],3,0)," ")</f>
        <v>LSR 70</v>
      </c>
      <c r="P82" s="100" t="str">
        <f>IFERROR(VLOOKUP(Tablo516[[#This Row],[HAMMADDE KODU]],Tablo1[#All],4,0)," ")</f>
        <v>TERRA</v>
      </c>
      <c r="Q82" s="100">
        <f>IFERROR(VLOOKUP(Tablo516[[#This Row],[ÜRÜN KODU]],YMKODLARI!$A$1:$K$363,5,0)," ")</f>
        <v>89.6</v>
      </c>
      <c r="R82" s="100">
        <f>IFERROR(VLOOKUP(Tablo516[[#This Row],[ÜRÜN KODU]],YMKODLARI!$A$1:$K$363,6,0)," ")</f>
        <v>86</v>
      </c>
      <c r="S82" s="100">
        <f>IFERROR(Tablo516[[#This Row],[YOLLUK HARİÇ BASKI GRAMI]]/Tablo516[[#This Row],[KALIP GÖZ ADEDİ]]," ")</f>
        <v>21.5</v>
      </c>
      <c r="T82" s="100">
        <f t="shared" si="9"/>
        <v>3.5999999999999943</v>
      </c>
      <c r="U82" s="100">
        <v>1.7</v>
      </c>
      <c r="V82" s="100">
        <f t="shared" si="8"/>
        <v>19.759999999999998</v>
      </c>
      <c r="W82" s="101">
        <f t="shared" si="10"/>
        <v>24.125</v>
      </c>
      <c r="X82" s="102">
        <f t="shared" si="11"/>
        <v>3</v>
      </c>
      <c r="Y82" s="100">
        <f t="shared" si="12"/>
        <v>2.3333333333333335</v>
      </c>
      <c r="Z82" s="100">
        <f t="shared" si="13"/>
        <v>840</v>
      </c>
    </row>
    <row r="83" spans="1:26">
      <c r="A83" s="100" t="s">
        <v>51</v>
      </c>
      <c r="B83" s="108" t="str">
        <f>IFERROR(VLOOKUP(Tablo516[[#This Row],[ÜRÜN KODU]],YMKODLARI!$A$1:$K$363,2,0)," ")</f>
        <v>BURUN POMPASI</v>
      </c>
      <c r="C83" s="99">
        <v>44039</v>
      </c>
      <c r="D83" s="100" t="s">
        <v>36</v>
      </c>
      <c r="E83" s="101">
        <v>0.34027777777777773</v>
      </c>
      <c r="F83" s="101">
        <v>0.73263888888888884</v>
      </c>
      <c r="G83" s="100">
        <f>IFERROR(VLOOKUP(Tablo516[[#This Row],[ÜRÜN KODU]],YMKODLARI!$A$1:$K$363,3,0)," ")</f>
        <v>4</v>
      </c>
      <c r="H83" s="100">
        <f>IFERROR(VLOOKUP(Tablo516[[#This Row],[ÜRÜN KODU]],YMKODLARI!$A$1:$K$363,4,0)," ")</f>
        <v>40</v>
      </c>
      <c r="I83" s="100">
        <v>579</v>
      </c>
      <c r="J83" s="100" t="str">
        <f>IFERROR(VLOOKUP(Tablo516[[#This Row],[ÜRÜN KODU]],YMKODLARI!$A$1:$K$363,9,0)," ")</f>
        <v>REDF 3565A</v>
      </c>
      <c r="K83" s="100" t="str">
        <f>IFERROR(VLOOKUP(Tablo516[[#This Row],[BOYA KODU]],Tablo14[#All],4,0)," ")</f>
        <v>PEMBE</v>
      </c>
      <c r="L83" s="100">
        <f>IFERROR(VLOOKUP(Tablo516[[#This Row],[BOYA KODU]],Tablo14[#All],6,0)," ")</f>
        <v>2E-3</v>
      </c>
      <c r="M83" s="100">
        <f t="shared" si="7"/>
        <v>103.75679999999998</v>
      </c>
      <c r="N83" s="100" t="str">
        <f>IFERROR(VLOOKUP(Tablo516[[#This Row],[ÜRÜN KODU]],YMKODLARI!$A$1:$K$363,8,0)," ")</f>
        <v>HM 005</v>
      </c>
      <c r="O83" s="100" t="str">
        <f>IFERROR(VLOOKUP(Tablo516[[#This Row],[HAMMADDE KODU]],Tablo1[#All],3,0)," ")</f>
        <v>LSR 70</v>
      </c>
      <c r="P83" s="100" t="str">
        <f>IFERROR(VLOOKUP(Tablo516[[#This Row],[HAMMADDE KODU]],Tablo1[#All],4,0)," ")</f>
        <v>TERRA</v>
      </c>
      <c r="Q83" s="100">
        <f>IFERROR(VLOOKUP(Tablo516[[#This Row],[ÜRÜN KODU]],YMKODLARI!$A$1:$K$363,5,0)," ")</f>
        <v>89.6</v>
      </c>
      <c r="R83" s="100">
        <f>IFERROR(VLOOKUP(Tablo516[[#This Row],[ÜRÜN KODU]],YMKODLARI!$A$1:$K$363,6,0)," ")</f>
        <v>86</v>
      </c>
      <c r="S83" s="100">
        <f>IFERROR(Tablo516[[#This Row],[YOLLUK HARİÇ BASKI GRAMI]]/Tablo516[[#This Row],[KALIP GÖZ ADEDİ]]," ")</f>
        <v>21.5</v>
      </c>
      <c r="T83" s="100">
        <f t="shared" si="9"/>
        <v>3.5999999999999943</v>
      </c>
      <c r="U83" s="100">
        <v>7.7</v>
      </c>
      <c r="V83" s="100">
        <f t="shared" si="8"/>
        <v>57.494</v>
      </c>
      <c r="W83" s="101">
        <f t="shared" si="10"/>
        <v>24.392361111111111</v>
      </c>
      <c r="X83" s="102">
        <f t="shared" si="11"/>
        <v>9.4166666666666572</v>
      </c>
      <c r="Y83" s="100">
        <f t="shared" si="12"/>
        <v>6.4333333333333336</v>
      </c>
      <c r="Z83" s="100">
        <f t="shared" si="13"/>
        <v>2316</v>
      </c>
    </row>
    <row r="84" spans="1:26">
      <c r="A84" s="100" t="s">
        <v>53</v>
      </c>
      <c r="B84" s="108" t="str">
        <f>IFERROR(VLOOKUP(Tablo516[[#This Row],[ÜRÜN KODU]],YMKODLARI!$A$1:$K$363,2,0)," ")</f>
        <v xml:space="preserve">SİLİKON MAMA KAŞIĞI UCU </v>
      </c>
      <c r="C84" s="99">
        <v>44040</v>
      </c>
      <c r="D84" s="100" t="s">
        <v>36</v>
      </c>
      <c r="E84" s="101">
        <v>0.4916666666666667</v>
      </c>
      <c r="F84" s="101">
        <v>0.75</v>
      </c>
      <c r="G84" s="100">
        <f>IFERROR(VLOOKUP(Tablo516[[#This Row],[ÜRÜN KODU]],YMKODLARI!$A$1:$K$363,3,0)," ")</f>
        <v>8</v>
      </c>
      <c r="H84" s="100">
        <f>IFERROR(VLOOKUP(Tablo516[[#This Row],[ÜRÜN KODU]],YMKODLARI!$A$1:$K$363,4,0)," ")</f>
        <v>22</v>
      </c>
      <c r="I84" s="100">
        <v>827</v>
      </c>
      <c r="J84" s="100" t="str">
        <f>IFERROR(VLOOKUP(Tablo516[[#This Row],[ÜRÜN KODU]],YMKODLARI!$A$1:$K$363,9,0)," ")</f>
        <v>Şeffaf</v>
      </c>
      <c r="K84" s="100" t="str">
        <f>IFERROR(VLOOKUP(Tablo516[[#This Row],[BOYA KODU]],Tablo14[#All],4,0)," ")</f>
        <v xml:space="preserve"> </v>
      </c>
      <c r="L84" s="100" t="str">
        <f>IFERROR(VLOOKUP(Tablo516[[#This Row],[BOYA KODU]],Tablo14[#All],6,0)," ")</f>
        <v xml:space="preserve"> </v>
      </c>
      <c r="M84" s="100" t="str">
        <f t="shared" si="7"/>
        <v xml:space="preserve"> </v>
      </c>
      <c r="N84" s="100" t="str">
        <f>IFERROR(VLOOKUP(Tablo516[[#This Row],[ÜRÜN KODU]],YMKODLARI!$A$1:$K$363,8,0)," ")</f>
        <v>HM 005</v>
      </c>
      <c r="O84" s="100" t="str">
        <f>IFERROR(VLOOKUP(Tablo516[[#This Row],[HAMMADDE KODU]],Tablo1[#All],3,0)," ")</f>
        <v>LSR 70</v>
      </c>
      <c r="P84" s="100" t="str">
        <f>IFERROR(VLOOKUP(Tablo516[[#This Row],[HAMMADDE KODU]],Tablo1[#All],4,0)," ")</f>
        <v>TERRA</v>
      </c>
      <c r="Q84" s="100">
        <f>IFERROR(VLOOKUP(Tablo516[[#This Row],[ÜRÜN KODU]],YMKODLARI!$A$1:$K$363,5,0)," ")</f>
        <v>42.8</v>
      </c>
      <c r="R84" s="100">
        <f>IFERROR(VLOOKUP(Tablo516[[#This Row],[ÜRÜN KODU]],YMKODLARI!$A$1:$K$363,6,0)," ")</f>
        <v>42</v>
      </c>
      <c r="S84" s="100">
        <f>IFERROR(Tablo516[[#This Row],[YOLLUK HARİÇ BASKI GRAMI]]/Tablo516[[#This Row],[KALIP GÖZ ADEDİ]]," ")</f>
        <v>5.25</v>
      </c>
      <c r="T84" s="100">
        <f t="shared" si="9"/>
        <v>0.79999999999999716</v>
      </c>
      <c r="U84" s="100">
        <v>4.3</v>
      </c>
      <c r="V84" s="100">
        <f t="shared" si="8"/>
        <v>39.033999999999999</v>
      </c>
      <c r="W84" s="101">
        <f t="shared" si="10"/>
        <v>24.258333333333333</v>
      </c>
      <c r="X84" s="102">
        <f t="shared" si="11"/>
        <v>6.1999999999999886</v>
      </c>
      <c r="Y84" s="100">
        <f t="shared" si="12"/>
        <v>5.0538888888888893</v>
      </c>
      <c r="Z84" s="100">
        <f t="shared" si="13"/>
        <v>6616</v>
      </c>
    </row>
    <row r="85" spans="1:26">
      <c r="A85" s="100" t="s">
        <v>53</v>
      </c>
      <c r="B85" s="108" t="str">
        <f>IFERROR(VLOOKUP(Tablo516[[#This Row],[ÜRÜN KODU]],YMKODLARI!$A$1:$K$363,2,0)," ")</f>
        <v xml:space="preserve">SİLİKON MAMA KAŞIĞI UCU </v>
      </c>
      <c r="C85" s="99">
        <v>44041</v>
      </c>
      <c r="D85" s="100" t="s">
        <v>36</v>
      </c>
      <c r="E85" s="101">
        <v>0.34375</v>
      </c>
      <c r="F85" s="101">
        <v>0.72222222222222221</v>
      </c>
      <c r="G85" s="100">
        <f>IFERROR(VLOOKUP(Tablo516[[#This Row],[ÜRÜN KODU]],YMKODLARI!$A$1:$K$363,3,0)," ")</f>
        <v>8</v>
      </c>
      <c r="H85" s="100">
        <f>IFERROR(VLOOKUP(Tablo516[[#This Row],[ÜRÜN KODU]],YMKODLARI!$A$1:$K$363,4,0)," ")</f>
        <v>22</v>
      </c>
      <c r="I85" s="100">
        <v>1164</v>
      </c>
      <c r="J85" s="100" t="str">
        <f>IFERROR(VLOOKUP(Tablo516[[#This Row],[ÜRÜN KODU]],YMKODLARI!$A$1:$K$363,9,0)," ")</f>
        <v>Şeffaf</v>
      </c>
      <c r="K85" s="100" t="str">
        <f>IFERROR(VLOOKUP(Tablo516[[#This Row],[BOYA KODU]],Tablo14[#All],4,0)," ")</f>
        <v xml:space="preserve"> </v>
      </c>
      <c r="L85" s="100" t="str">
        <f>IFERROR(VLOOKUP(Tablo516[[#This Row],[BOYA KODU]],Tablo14[#All],6,0)," ")</f>
        <v xml:space="preserve"> </v>
      </c>
      <c r="M85" s="100" t="str">
        <f t="shared" si="7"/>
        <v xml:space="preserve"> </v>
      </c>
      <c r="N85" s="100" t="str">
        <f>IFERROR(VLOOKUP(Tablo516[[#This Row],[ÜRÜN KODU]],YMKODLARI!$A$1:$K$363,8,0)," ")</f>
        <v>HM 005</v>
      </c>
      <c r="O85" s="100" t="str">
        <f>IFERROR(VLOOKUP(Tablo516[[#This Row],[HAMMADDE KODU]],Tablo1[#All],3,0)," ")</f>
        <v>LSR 70</v>
      </c>
      <c r="P85" s="100" t="str">
        <f>IFERROR(VLOOKUP(Tablo516[[#This Row],[HAMMADDE KODU]],Tablo1[#All],4,0)," ")</f>
        <v>TERRA</v>
      </c>
      <c r="Q85" s="100">
        <f>IFERROR(VLOOKUP(Tablo516[[#This Row],[ÜRÜN KODU]],YMKODLARI!$A$1:$K$363,5,0)," ")</f>
        <v>42.8</v>
      </c>
      <c r="R85" s="100">
        <f>IFERROR(VLOOKUP(Tablo516[[#This Row],[ÜRÜN KODU]],YMKODLARI!$A$1:$K$363,6,0)," ")</f>
        <v>42</v>
      </c>
      <c r="S85" s="100">
        <f>IFERROR(Tablo516[[#This Row],[YOLLUK HARİÇ BASKI GRAMI]]/Tablo516[[#This Row],[KALIP GÖZ ADEDİ]]," ")</f>
        <v>5.25</v>
      </c>
      <c r="T85" s="100">
        <f t="shared" si="9"/>
        <v>0.79999999999999716</v>
      </c>
      <c r="U85" s="100">
        <v>4.5</v>
      </c>
      <c r="V85" s="100">
        <f t="shared" si="8"/>
        <v>53.387999999999998</v>
      </c>
      <c r="W85" s="101">
        <f t="shared" si="10"/>
        <v>24.378472222222221</v>
      </c>
      <c r="X85" s="102">
        <f t="shared" si="11"/>
        <v>9.0833333333333144</v>
      </c>
      <c r="Y85" s="100">
        <f t="shared" si="12"/>
        <v>7.1133333333333333</v>
      </c>
      <c r="Z85" s="100">
        <f t="shared" si="13"/>
        <v>9312</v>
      </c>
    </row>
    <row r="86" spans="1:26">
      <c r="A86" s="100" t="s">
        <v>53</v>
      </c>
      <c r="B86" s="108" t="str">
        <f>IFERROR(VLOOKUP(Tablo516[[#This Row],[ÜRÜN KODU]],YMKODLARI!$A$1:$K$363,2,0)," ")</f>
        <v xml:space="preserve">SİLİKON MAMA KAŞIĞI UCU </v>
      </c>
      <c r="C86" s="99">
        <v>44104</v>
      </c>
      <c r="D86" s="100" t="s">
        <v>33</v>
      </c>
      <c r="E86" s="101">
        <v>0.375</v>
      </c>
      <c r="F86" s="101">
        <v>0.75</v>
      </c>
      <c r="G86" s="100">
        <f>IFERROR(VLOOKUP(Tablo516[[#This Row],[ÜRÜN KODU]],YMKODLARI!$A$1:$K$363,3,0)," ")</f>
        <v>8</v>
      </c>
      <c r="H86" s="100">
        <f>IFERROR(VLOOKUP(Tablo516[[#This Row],[ÜRÜN KODU]],YMKODLARI!$A$1:$K$363,4,0)," ")</f>
        <v>22</v>
      </c>
      <c r="I86" s="100">
        <v>1170</v>
      </c>
      <c r="J86" s="100" t="str">
        <f>IFERROR(VLOOKUP(Tablo516[[#This Row],[ÜRÜN KODU]],YMKODLARI!$A$1:$K$363,9,0)," ")</f>
        <v>Şeffaf</v>
      </c>
      <c r="K86" s="100" t="str">
        <f>IFERROR(VLOOKUP(Tablo516[[#This Row],[BOYA KODU]],Tablo14[#All],4,0)," ")</f>
        <v xml:space="preserve"> </v>
      </c>
      <c r="L86" s="100" t="str">
        <f>IFERROR(VLOOKUP(Tablo516[[#This Row],[BOYA KODU]],Tablo14[#All],6,0)," ")</f>
        <v xml:space="preserve"> </v>
      </c>
      <c r="M86" s="100" t="str">
        <f t="shared" si="7"/>
        <v xml:space="preserve"> </v>
      </c>
      <c r="N86" s="100" t="str">
        <f>IFERROR(VLOOKUP(Tablo516[[#This Row],[ÜRÜN KODU]],YMKODLARI!$A$1:$K$363,8,0)," ")</f>
        <v>HM 005</v>
      </c>
      <c r="O86" s="100" t="str">
        <f>IFERROR(VLOOKUP(Tablo516[[#This Row],[HAMMADDE KODU]],Tablo1[#All],3,0)," ")</f>
        <v>LSR 70</v>
      </c>
      <c r="P86" s="100" t="str">
        <f>IFERROR(VLOOKUP(Tablo516[[#This Row],[HAMMADDE KODU]],Tablo1[#All],4,0)," ")</f>
        <v>TERRA</v>
      </c>
      <c r="Q86" s="100">
        <f>IFERROR(VLOOKUP(Tablo516[[#This Row],[ÜRÜN KODU]],YMKODLARI!$A$1:$K$363,5,0)," ")</f>
        <v>42.8</v>
      </c>
      <c r="R86" s="100">
        <f>IFERROR(VLOOKUP(Tablo516[[#This Row],[ÜRÜN KODU]],YMKODLARI!$A$1:$K$363,6,0)," ")</f>
        <v>42</v>
      </c>
      <c r="S86" s="100">
        <f>IFERROR(Tablo516[[#This Row],[YOLLUK HARİÇ BASKI GRAMI]]/Tablo516[[#This Row],[KALIP GÖZ ADEDİ]]," ")</f>
        <v>5.25</v>
      </c>
      <c r="T86" s="100">
        <f t="shared" si="9"/>
        <v>0.79999999999999716</v>
      </c>
      <c r="U86" s="100">
        <v>2</v>
      </c>
      <c r="V86" s="100">
        <f t="shared" si="8"/>
        <v>51.14</v>
      </c>
      <c r="W86" s="101">
        <f t="shared" si="10"/>
        <v>24.375</v>
      </c>
      <c r="X86" s="102">
        <f t="shared" si="11"/>
        <v>9</v>
      </c>
      <c r="Y86" s="100">
        <f t="shared" si="12"/>
        <v>7.15</v>
      </c>
      <c r="Z86" s="100">
        <f t="shared" si="13"/>
        <v>9360</v>
      </c>
    </row>
    <row r="87" spans="1:26">
      <c r="A87" s="100" t="s">
        <v>53</v>
      </c>
      <c r="B87" s="108" t="str">
        <f>IFERROR(VLOOKUP(Tablo516[[#This Row],[ÜRÜN KODU]],YMKODLARI!$A$1:$K$363,2,0)," ")</f>
        <v xml:space="preserve">SİLİKON MAMA KAŞIĞI UCU </v>
      </c>
      <c r="C87" s="99">
        <v>44105</v>
      </c>
      <c r="D87" s="100" t="s">
        <v>33</v>
      </c>
      <c r="E87" s="101">
        <v>0.33333333333333331</v>
      </c>
      <c r="F87" s="101">
        <v>0.4513888888888889</v>
      </c>
      <c r="G87" s="100">
        <f>IFERROR(VLOOKUP(Tablo516[[#This Row],[ÜRÜN KODU]],YMKODLARI!$A$1:$K$383,3,0)," ")</f>
        <v>8</v>
      </c>
      <c r="H87" s="100">
        <f>IFERROR(VLOOKUP(Tablo516[[#This Row],[ÜRÜN KODU]],YMKODLARI!$A$1:$K$383,4,0)," ")</f>
        <v>22</v>
      </c>
      <c r="I87" s="100">
        <v>409</v>
      </c>
      <c r="J87" s="100" t="str">
        <f>IFERROR(VLOOKUP(Tablo516[[#This Row],[ÜRÜN KODU]],YMKODLARI!$A$1:$K$383,9,0)," ")</f>
        <v>Şeffaf</v>
      </c>
      <c r="K87" s="100" t="str">
        <f>IFERROR(VLOOKUP(Tablo516[[#This Row],[BOYA KODU]],Tablo14[#All],4,0)," ")</f>
        <v xml:space="preserve"> </v>
      </c>
      <c r="L87" s="100" t="str">
        <f>IFERROR(VLOOKUP(Tablo516[[#This Row],[BOYA KODU]],Tablo14[#All],6,0)," ")</f>
        <v xml:space="preserve"> </v>
      </c>
      <c r="M87" s="100" t="str">
        <f t="shared" si="7"/>
        <v xml:space="preserve"> </v>
      </c>
      <c r="N87" s="100" t="str">
        <f>IFERROR(VLOOKUP(Tablo516[[#This Row],[ÜRÜN KODU]],YMKODLARI!$A$1:$K$383,8,0)," ")</f>
        <v>HM 005</v>
      </c>
      <c r="O87" s="100" t="str">
        <f>IFERROR(VLOOKUP(Tablo516[[#This Row],[HAMMADDE KODU]],Tablo1[#All],3,0)," ")</f>
        <v>LSR 70</v>
      </c>
      <c r="P87" s="100" t="str">
        <f>IFERROR(VLOOKUP(Tablo516[[#This Row],[HAMMADDE KODU]],Tablo1[#All],4,0)," ")</f>
        <v>TERRA</v>
      </c>
      <c r="Q87" s="100">
        <f>IFERROR(VLOOKUP(Tablo516[[#This Row],[ÜRÜN KODU]],YMKODLARI!$A$1:$K$383,5,0)," ")</f>
        <v>42.8</v>
      </c>
      <c r="R87" s="100">
        <f>IFERROR(VLOOKUP(Tablo516[[#This Row],[ÜRÜN KODU]],YMKODLARI!$A$1:$K$383,6,0)," ")</f>
        <v>42</v>
      </c>
      <c r="S87" s="100">
        <f>IFERROR(Tablo516[[#This Row],[YOLLUK HARİÇ BASKI GRAMI]]/Tablo516[[#This Row],[KALIP GÖZ ADEDİ]]," ")</f>
        <v>5.25</v>
      </c>
      <c r="T87" s="100">
        <f t="shared" si="9"/>
        <v>0.79999999999999716</v>
      </c>
      <c r="U87" s="100">
        <v>1.5</v>
      </c>
      <c r="V87" s="100">
        <f t="shared" si="8"/>
        <v>18.678000000000001</v>
      </c>
      <c r="W87" s="101">
        <f t="shared" si="10"/>
        <v>24.118055555555557</v>
      </c>
      <c r="X87" s="102">
        <f t="shared" si="11"/>
        <v>2.8333333333333712</v>
      </c>
      <c r="Y87" s="100">
        <f t="shared" si="12"/>
        <v>2.4994444444444444</v>
      </c>
      <c r="Z87" s="100">
        <f t="shared" si="13"/>
        <v>3272</v>
      </c>
    </row>
    <row r="88" spans="1:26">
      <c r="A88" s="100" t="s">
        <v>54</v>
      </c>
      <c r="B88" s="108" t="str">
        <f>IFERROR(VLOOKUP(Tablo516[[#This Row],[ÜRÜN KODU]],YMKODLARI!$A$1:$K$383,2,0)," ")</f>
        <v>KARE SAKLAMA KAPAĞI CONTASI</v>
      </c>
      <c r="C88" s="99">
        <v>44109</v>
      </c>
      <c r="D88" s="100" t="s">
        <v>33</v>
      </c>
      <c r="E88" s="101">
        <v>0.60416666666666663</v>
      </c>
      <c r="F88" s="101">
        <v>0.75</v>
      </c>
      <c r="G88" s="100">
        <f>IFERROR(VLOOKUP(Tablo516[[#This Row],[ÜRÜN KODU]],YMKODLARI!$A$1:$K$383,3,0)," ")</f>
        <v>4</v>
      </c>
      <c r="H88" s="100">
        <f>IFERROR(VLOOKUP(Tablo516[[#This Row],[ÜRÜN KODU]],YMKODLARI!$A$1:$K$383,4,0)," ")</f>
        <v>45</v>
      </c>
      <c r="I88" s="100">
        <v>193</v>
      </c>
      <c r="J88" s="100" t="str">
        <f>IFERROR(VLOOKUP(Tablo516[[#This Row],[ÜRÜN KODU]],YMKODLARI!$A$1:$K$383,9,0)," ")</f>
        <v>281-6059</v>
      </c>
      <c r="K88" s="100" t="str">
        <f>IFERROR(VLOOKUP(Tablo516[[#This Row],[BOYA KODU]],Tablo14[#All],4,0)," ")</f>
        <v>ORANJ</v>
      </c>
      <c r="L88" s="100">
        <f>IFERROR(VLOOKUP(Tablo516[[#This Row],[BOYA KODU]],Tablo14[#All],6,0)," ")</f>
        <v>2.2000000000000001E-3</v>
      </c>
      <c r="M88" s="100">
        <f t="shared" si="7"/>
        <v>0</v>
      </c>
      <c r="N88" s="100">
        <f>IFERROR(VLOOKUP(Tablo516[[#This Row],[ÜRÜN KODU]],YMKODLARI!$A$1:$K$383,8,0)," ")</f>
        <v>0</v>
      </c>
      <c r="O88" s="100" t="str">
        <f>IFERROR(VLOOKUP(Tablo516[[#This Row],[HAMMADDE KODU]],Tablo1[#All],3,0)," ")</f>
        <v xml:space="preserve"> </v>
      </c>
      <c r="P88" s="100" t="str">
        <f>IFERROR(VLOOKUP(Tablo516[[#This Row],[HAMMADDE KODU]],Tablo1[#All],4,0)," ")</f>
        <v xml:space="preserve"> </v>
      </c>
      <c r="Q88" s="100">
        <f>IFERROR(VLOOKUP(Tablo516[[#This Row],[ÜRÜN KODU]],YMKODLARI!$A$1:$K$383,5,0)," ")</f>
        <v>0</v>
      </c>
      <c r="R88" s="100">
        <f>IFERROR(VLOOKUP(Tablo516[[#This Row],[ÜRÜN KODU]],YMKODLARI!$A$1:$K$383,6,0)," ")</f>
        <v>0</v>
      </c>
      <c r="S88" s="100">
        <f>IFERROR(Tablo516[[#This Row],[YOLLUK HARİÇ BASKI GRAMI]]/Tablo516[[#This Row],[KALIP GÖZ ADEDİ]]," ")</f>
        <v>0</v>
      </c>
      <c r="T88" s="100">
        <f t="shared" si="9"/>
        <v>0</v>
      </c>
      <c r="U88" s="100">
        <v>4</v>
      </c>
      <c r="V88" s="100">
        <f t="shared" si="8"/>
        <v>4</v>
      </c>
      <c r="W88" s="101">
        <f t="shared" si="10"/>
        <v>24.145833333333332</v>
      </c>
      <c r="X88" s="102">
        <f t="shared" si="11"/>
        <v>3.4999999999999716</v>
      </c>
      <c r="Y88" s="100">
        <f t="shared" si="12"/>
        <v>2.4125000000000001</v>
      </c>
      <c r="Z88" s="100">
        <f t="shared" si="13"/>
        <v>772</v>
      </c>
    </row>
    <row r="89" spans="1:26">
      <c r="A89" s="100" t="s">
        <v>54</v>
      </c>
      <c r="B89" s="108" t="str">
        <f>IFERROR(VLOOKUP(Tablo516[[#This Row],[ÜRÜN KODU]],YMKODLARI!$A$1:$K$383,2,0)," ")</f>
        <v>KARE SAKLAMA KAPAĞI CONTASI</v>
      </c>
      <c r="C89" s="99">
        <v>44110</v>
      </c>
      <c r="D89" s="100" t="s">
        <v>33</v>
      </c>
      <c r="E89" s="101">
        <v>0.34375</v>
      </c>
      <c r="F89" s="101">
        <v>0.75</v>
      </c>
      <c r="G89" s="100">
        <f>IFERROR(VLOOKUP(Tablo516[[#This Row],[ÜRÜN KODU]],YMKODLARI!$A$1:$K$383,3,0)," ")</f>
        <v>4</v>
      </c>
      <c r="H89" s="100">
        <f>IFERROR(VLOOKUP(Tablo516[[#This Row],[ÜRÜN KODU]],YMKODLARI!$A$1:$K$383,4,0)," ")</f>
        <v>45</v>
      </c>
      <c r="I89" s="100">
        <v>492</v>
      </c>
      <c r="J89" s="100" t="str">
        <f>IFERROR(VLOOKUP(Tablo516[[#This Row],[ÜRÜN KODU]],YMKODLARI!$A$1:$K$383,9,0)," ")</f>
        <v>281-6059</v>
      </c>
      <c r="K89" s="100" t="str">
        <f>IFERROR(VLOOKUP(Tablo516[[#This Row],[BOYA KODU]],Tablo14[#All],4,0)," ")</f>
        <v>ORANJ</v>
      </c>
      <c r="L89" s="100">
        <f>IFERROR(VLOOKUP(Tablo516[[#This Row],[BOYA KODU]],Tablo14[#All],6,0)," ")</f>
        <v>2.2000000000000001E-3</v>
      </c>
      <c r="M89" s="100">
        <f t="shared" si="7"/>
        <v>0</v>
      </c>
      <c r="N89" s="100">
        <f>IFERROR(VLOOKUP(Tablo516[[#This Row],[ÜRÜN KODU]],YMKODLARI!$A$1:$K$383,8,0)," ")</f>
        <v>0</v>
      </c>
      <c r="O89" s="100" t="str">
        <f>IFERROR(VLOOKUP(Tablo516[[#This Row],[HAMMADDE KODU]],Tablo1[#All],3,0)," ")</f>
        <v xml:space="preserve"> </v>
      </c>
      <c r="P89" s="100" t="str">
        <f>IFERROR(VLOOKUP(Tablo516[[#This Row],[HAMMADDE KODU]],Tablo1[#All],4,0)," ")</f>
        <v xml:space="preserve"> </v>
      </c>
      <c r="Q89" s="100">
        <f>IFERROR(VLOOKUP(Tablo516[[#This Row],[ÜRÜN KODU]],YMKODLARI!$A$1:$K$383,5,0)," ")</f>
        <v>0</v>
      </c>
      <c r="R89" s="100">
        <f>IFERROR(VLOOKUP(Tablo516[[#This Row],[ÜRÜN KODU]],YMKODLARI!$A$1:$K$383,6,0)," ")</f>
        <v>0</v>
      </c>
      <c r="S89" s="100">
        <f>IFERROR(Tablo516[[#This Row],[YOLLUK HARİÇ BASKI GRAMI]]/Tablo516[[#This Row],[KALIP GÖZ ADEDİ]]," ")</f>
        <v>0</v>
      </c>
      <c r="T89" s="100">
        <f t="shared" si="9"/>
        <v>0</v>
      </c>
      <c r="U89" s="100">
        <v>4</v>
      </c>
      <c r="V89" s="100">
        <f t="shared" si="8"/>
        <v>4</v>
      </c>
      <c r="W89" s="101">
        <f t="shared" si="10"/>
        <v>24.40625</v>
      </c>
      <c r="X89" s="102">
        <f t="shared" si="11"/>
        <v>9.75</v>
      </c>
      <c r="Y89" s="100">
        <f t="shared" si="12"/>
        <v>6.15</v>
      </c>
      <c r="Z89" s="100">
        <f t="shared" si="13"/>
        <v>1968</v>
      </c>
    </row>
    <row r="90" spans="1:26">
      <c r="A90" s="100" t="s">
        <v>54</v>
      </c>
      <c r="B90" s="108" t="str">
        <f>IFERROR(VLOOKUP(Tablo516[[#This Row],[ÜRÜN KODU]],YMKODLARI!$A$1:$K$383,2,0)," ")</f>
        <v>KARE SAKLAMA KAPAĞI CONTASI</v>
      </c>
      <c r="C90" s="99">
        <v>44111</v>
      </c>
      <c r="D90" s="100" t="s">
        <v>48</v>
      </c>
      <c r="E90" s="101">
        <v>0.33333333333333331</v>
      </c>
      <c r="F90" s="101">
        <v>0.75</v>
      </c>
      <c r="G90" s="100">
        <f>IFERROR(VLOOKUP(Tablo516[[#This Row],[ÜRÜN KODU]],YMKODLARI!$A$1:$K$383,3,0)," ")</f>
        <v>4</v>
      </c>
      <c r="H90" s="100">
        <f>IFERROR(VLOOKUP(Tablo516[[#This Row],[ÜRÜN KODU]],YMKODLARI!$A$1:$K$383,4,0)," ")</f>
        <v>45</v>
      </c>
      <c r="I90" s="100">
        <v>444</v>
      </c>
      <c r="J90" s="100" t="str">
        <f>IFERROR(VLOOKUP(Tablo516[[#This Row],[ÜRÜN KODU]],YMKODLARI!$A$1:$K$383,9,0)," ")</f>
        <v>281-6059</v>
      </c>
      <c r="K90" s="100" t="str">
        <f>IFERROR(VLOOKUP(Tablo516[[#This Row],[BOYA KODU]],Tablo14[#All],4,0)," ")</f>
        <v>ORANJ</v>
      </c>
      <c r="L90" s="100">
        <f>IFERROR(VLOOKUP(Tablo516[[#This Row],[BOYA KODU]],Tablo14[#All],6,0)," ")</f>
        <v>2.2000000000000001E-3</v>
      </c>
      <c r="M90" s="100">
        <f t="shared" si="7"/>
        <v>0</v>
      </c>
      <c r="N90" s="100">
        <f>IFERROR(VLOOKUP(Tablo516[[#This Row],[ÜRÜN KODU]],YMKODLARI!$A$1:$K$383,8,0)," ")</f>
        <v>0</v>
      </c>
      <c r="O90" s="100" t="str">
        <f>IFERROR(VLOOKUP(Tablo516[[#This Row],[HAMMADDE KODU]],Tablo1[#All],3,0)," ")</f>
        <v xml:space="preserve"> </v>
      </c>
      <c r="P90" s="100" t="str">
        <f>IFERROR(VLOOKUP(Tablo516[[#This Row],[HAMMADDE KODU]],Tablo1[#All],4,0)," ")</f>
        <v xml:space="preserve"> </v>
      </c>
      <c r="Q90" s="100">
        <f>IFERROR(VLOOKUP(Tablo516[[#This Row],[ÜRÜN KODU]],YMKODLARI!$A$1:$K$383,5,0)," ")</f>
        <v>0</v>
      </c>
      <c r="R90" s="100">
        <f>IFERROR(VLOOKUP(Tablo516[[#This Row],[ÜRÜN KODU]],YMKODLARI!$A$1:$K$383,6,0)," ")</f>
        <v>0</v>
      </c>
      <c r="S90" s="100">
        <f>IFERROR(Tablo516[[#This Row],[YOLLUK HARİÇ BASKI GRAMI]]/Tablo516[[#This Row],[KALIP GÖZ ADEDİ]]," ")</f>
        <v>0</v>
      </c>
      <c r="T90" s="100">
        <f t="shared" si="9"/>
        <v>0</v>
      </c>
      <c r="U90" s="100"/>
      <c r="V90" s="100">
        <f t="shared" si="8"/>
        <v>0</v>
      </c>
      <c r="W90" s="101">
        <f t="shared" si="10"/>
        <v>24.416666666666668</v>
      </c>
      <c r="X90" s="102">
        <f t="shared" si="11"/>
        <v>10.000000000000028</v>
      </c>
      <c r="Y90" s="100">
        <f t="shared" si="12"/>
        <v>5.55</v>
      </c>
      <c r="Z90" s="100">
        <f t="shared" si="13"/>
        <v>1776</v>
      </c>
    </row>
    <row r="91" spans="1:26">
      <c r="A91" s="100" t="s">
        <v>54</v>
      </c>
      <c r="B91" s="108" t="str">
        <f>IFERROR(VLOOKUP(Tablo516[[#This Row],[ÜRÜN KODU]],YMKODLARI!$A$1:$K$383,2,0)," ")</f>
        <v>KARE SAKLAMA KAPAĞI CONTASI</v>
      </c>
      <c r="C91" s="99">
        <v>44112</v>
      </c>
      <c r="D91" s="100" t="s">
        <v>48</v>
      </c>
      <c r="E91" s="101">
        <v>0.33333333333333331</v>
      </c>
      <c r="F91" s="101">
        <v>0.75</v>
      </c>
      <c r="G91" s="100">
        <f>IFERROR(VLOOKUP(Tablo516[[#This Row],[ÜRÜN KODU]],YMKODLARI!$A$1:$K$383,3,0)," ")</f>
        <v>4</v>
      </c>
      <c r="H91" s="100">
        <f>IFERROR(VLOOKUP(Tablo516[[#This Row],[ÜRÜN KODU]],YMKODLARI!$A$1:$K$383,4,0)," ")</f>
        <v>45</v>
      </c>
      <c r="I91" s="100">
        <v>405</v>
      </c>
      <c r="J91" s="100" t="str">
        <f>IFERROR(VLOOKUP(Tablo516[[#This Row],[ÜRÜN KODU]],YMKODLARI!$A$1:$K$383,9,0)," ")</f>
        <v>281-6059</v>
      </c>
      <c r="K91" s="100" t="str">
        <f>IFERROR(VLOOKUP(Tablo516[[#This Row],[BOYA KODU]],Tablo14[#All],4,0)," ")</f>
        <v>ORANJ</v>
      </c>
      <c r="L91" s="100">
        <f>IFERROR(VLOOKUP(Tablo516[[#This Row],[BOYA KODU]],Tablo14[#All],6,0)," ")</f>
        <v>2.2000000000000001E-3</v>
      </c>
      <c r="M91" s="100">
        <f t="shared" si="7"/>
        <v>0</v>
      </c>
      <c r="N91" s="100">
        <f>IFERROR(VLOOKUP(Tablo516[[#This Row],[ÜRÜN KODU]],YMKODLARI!$A$1:$K$383,8,0)," ")</f>
        <v>0</v>
      </c>
      <c r="O91" s="100" t="str">
        <f>IFERROR(VLOOKUP(Tablo516[[#This Row],[HAMMADDE KODU]],Tablo1[#All],3,0)," ")</f>
        <v xml:space="preserve"> </v>
      </c>
      <c r="P91" s="100" t="str">
        <f>IFERROR(VLOOKUP(Tablo516[[#This Row],[HAMMADDE KODU]],Tablo1[#All],4,0)," ")</f>
        <v xml:space="preserve"> </v>
      </c>
      <c r="Q91" s="100">
        <f>IFERROR(VLOOKUP(Tablo516[[#This Row],[ÜRÜN KODU]],YMKODLARI!$A$1:$K$383,5,0)," ")</f>
        <v>0</v>
      </c>
      <c r="R91" s="100">
        <f>IFERROR(VLOOKUP(Tablo516[[#This Row],[ÜRÜN KODU]],YMKODLARI!$A$1:$K$383,6,0)," ")</f>
        <v>0</v>
      </c>
      <c r="S91" s="100">
        <f>IFERROR(Tablo516[[#This Row],[YOLLUK HARİÇ BASKI GRAMI]]/Tablo516[[#This Row],[KALIP GÖZ ADEDİ]]," ")</f>
        <v>0</v>
      </c>
      <c r="T91" s="100">
        <f t="shared" si="9"/>
        <v>0</v>
      </c>
      <c r="U91" s="100"/>
      <c r="V91" s="100">
        <f t="shared" si="8"/>
        <v>0</v>
      </c>
      <c r="W91" s="101">
        <f t="shared" si="10"/>
        <v>24.416666666666668</v>
      </c>
      <c r="X91" s="102">
        <f t="shared" si="11"/>
        <v>10.000000000000028</v>
      </c>
      <c r="Y91" s="100">
        <f t="shared" si="12"/>
        <v>5.0625</v>
      </c>
      <c r="Z91" s="100">
        <f t="shared" si="13"/>
        <v>1620</v>
      </c>
    </row>
    <row r="92" spans="1:26">
      <c r="A92" s="100" t="s">
        <v>54</v>
      </c>
      <c r="B92" s="108" t="str">
        <f>IFERROR(VLOOKUP(Tablo516[[#This Row],[ÜRÜN KODU]],YMKODLARI!$A$1:$K$383,2,0)," ")</f>
        <v>KARE SAKLAMA KAPAĞI CONTASI</v>
      </c>
      <c r="C92" s="99">
        <v>44113</v>
      </c>
      <c r="D92" s="100" t="s">
        <v>48</v>
      </c>
      <c r="E92" s="101">
        <v>0.33333333333333331</v>
      </c>
      <c r="F92" s="101">
        <v>0.5</v>
      </c>
      <c r="G92" s="100">
        <f>IFERROR(VLOOKUP(Tablo516[[#This Row],[ÜRÜN KODU]],YMKODLARI!$A$1:$K$383,3,0)," ")</f>
        <v>4</v>
      </c>
      <c r="H92" s="100">
        <f>IFERROR(VLOOKUP(Tablo516[[#This Row],[ÜRÜN KODU]],YMKODLARI!$A$1:$K$383,4,0)," ")</f>
        <v>45</v>
      </c>
      <c r="I92" s="100">
        <v>110</v>
      </c>
      <c r="J92" s="100" t="str">
        <f>IFERROR(VLOOKUP(Tablo516[[#This Row],[ÜRÜN KODU]],YMKODLARI!$A$1:$K$383,9,0)," ")</f>
        <v>281-6059</v>
      </c>
      <c r="K92" s="100" t="str">
        <f>IFERROR(VLOOKUP(Tablo516[[#This Row],[BOYA KODU]],Tablo14[#All],4,0)," ")</f>
        <v>ORANJ</v>
      </c>
      <c r="L92" s="100">
        <f>IFERROR(VLOOKUP(Tablo516[[#This Row],[BOYA KODU]],Tablo14[#All],6,0)," ")</f>
        <v>2.2000000000000001E-3</v>
      </c>
      <c r="M92" s="100">
        <f t="shared" si="7"/>
        <v>0</v>
      </c>
      <c r="N92" s="100">
        <f>IFERROR(VLOOKUP(Tablo516[[#This Row],[ÜRÜN KODU]],YMKODLARI!$A$1:$K$383,8,0)," ")</f>
        <v>0</v>
      </c>
      <c r="O92" s="100" t="str">
        <f>IFERROR(VLOOKUP(Tablo516[[#This Row],[HAMMADDE KODU]],Tablo1[#All],3,0)," ")</f>
        <v xml:space="preserve"> </v>
      </c>
      <c r="P92" s="100" t="str">
        <f>IFERROR(VLOOKUP(Tablo516[[#This Row],[HAMMADDE KODU]],Tablo1[#All],4,0)," ")</f>
        <v xml:space="preserve"> </v>
      </c>
      <c r="Q92" s="100">
        <f>IFERROR(VLOOKUP(Tablo516[[#This Row],[ÜRÜN KODU]],YMKODLARI!$A$1:$K$383,5,0)," ")</f>
        <v>0</v>
      </c>
      <c r="R92" s="100">
        <f>IFERROR(VLOOKUP(Tablo516[[#This Row],[ÜRÜN KODU]],YMKODLARI!$A$1:$K$383,6,0)," ")</f>
        <v>0</v>
      </c>
      <c r="S92" s="100">
        <f>IFERROR(Tablo516[[#This Row],[YOLLUK HARİÇ BASKI GRAMI]]/Tablo516[[#This Row],[KALIP GÖZ ADEDİ]]," ")</f>
        <v>0</v>
      </c>
      <c r="T92" s="100">
        <f t="shared" si="9"/>
        <v>0</v>
      </c>
      <c r="U92" s="100">
        <v>6.3</v>
      </c>
      <c r="V92" s="100">
        <f t="shared" si="8"/>
        <v>6.3</v>
      </c>
      <c r="W92" s="101">
        <f t="shared" si="10"/>
        <v>24.166666666666668</v>
      </c>
      <c r="X92" s="102">
        <f t="shared" si="11"/>
        <v>4.0000000000000284</v>
      </c>
      <c r="Y92" s="100">
        <f t="shared" si="12"/>
        <v>1.375</v>
      </c>
      <c r="Z92" s="100">
        <f t="shared" si="13"/>
        <v>440</v>
      </c>
    </row>
    <row r="93" spans="1:26">
      <c r="A93" s="100" t="s">
        <v>585</v>
      </c>
      <c r="B93" s="108" t="str">
        <f>IFERROR(VLOOKUP(Tablo516[[#This Row],[ÜRÜN KODU]],YMKODLARI!$A$1:$K$383,2,0)," ")</f>
        <v xml:space="preserve"> </v>
      </c>
      <c r="C93" s="99">
        <v>44141</v>
      </c>
      <c r="D93" s="100" t="s">
        <v>33</v>
      </c>
      <c r="E93" s="101">
        <v>0.47916666666666669</v>
      </c>
      <c r="F93" s="101">
        <v>0.70833333333333337</v>
      </c>
      <c r="G93" s="100" t="str">
        <f>IFERROR(VLOOKUP(Tablo516[[#This Row],[ÜRÜN KODU]],YMKODLARI!$A$1:$K$383,3,0)," ")</f>
        <v xml:space="preserve"> </v>
      </c>
      <c r="H93" s="100" t="str">
        <f>IFERROR(VLOOKUP(Tablo516[[#This Row],[ÜRÜN KODU]],YMKODLARI!$A$1:$K$383,4,0)," ")</f>
        <v xml:space="preserve"> </v>
      </c>
      <c r="I93" s="100">
        <v>196</v>
      </c>
      <c r="J93" s="100" t="str">
        <f>IFERROR(VLOOKUP(Tablo516[[#This Row],[ÜRÜN KODU]],YMKODLARI!$A$1:$K$383,9,0)," ")</f>
        <v xml:space="preserve"> </v>
      </c>
      <c r="K93" s="100" t="str">
        <f>IFERROR(VLOOKUP(Tablo516[[#This Row],[BOYA KODU]],Tablo14[#All],4,0)," ")</f>
        <v xml:space="preserve"> </v>
      </c>
      <c r="L93" s="100" t="str">
        <f>IFERROR(VLOOKUP(Tablo516[[#This Row],[BOYA KODU]],Tablo14[#All],6,0)," ")</f>
        <v xml:space="preserve"> </v>
      </c>
      <c r="M93" s="100" t="str">
        <f t="shared" si="7"/>
        <v xml:space="preserve"> </v>
      </c>
      <c r="N93" s="100" t="str">
        <f>IFERROR(VLOOKUP(Tablo516[[#This Row],[ÜRÜN KODU]],YMKODLARI!$A$1:$K$383,8,0)," ")</f>
        <v xml:space="preserve"> </v>
      </c>
      <c r="O93" s="100" t="str">
        <f>IFERROR(VLOOKUP(Tablo516[[#This Row],[HAMMADDE KODU]],Tablo1[#All],3,0)," ")</f>
        <v xml:space="preserve"> </v>
      </c>
      <c r="P93" s="100" t="str">
        <f>IFERROR(VLOOKUP(Tablo516[[#This Row],[HAMMADDE KODU]],Tablo1[#All],4,0)," ")</f>
        <v xml:space="preserve"> </v>
      </c>
      <c r="Q93" s="100" t="str">
        <f>IFERROR(VLOOKUP(Tablo516[[#This Row],[ÜRÜN KODU]],YMKODLARI!$A$1:$K$383,5,0)," ")</f>
        <v xml:space="preserve"> </v>
      </c>
      <c r="R93" s="100" t="str">
        <f>IFERROR(VLOOKUP(Tablo516[[#This Row],[ÜRÜN KODU]],YMKODLARI!$A$1:$K$383,6,0)," ")</f>
        <v xml:space="preserve"> </v>
      </c>
      <c r="S93" s="100" t="str">
        <f>IFERROR(Tablo516[[#This Row],[YOLLUK HARİÇ BASKI GRAMI]]/Tablo516[[#This Row],[KALIP GÖZ ADEDİ]]," ")</f>
        <v xml:space="preserve"> </v>
      </c>
      <c r="T93" s="100" t="str">
        <f t="shared" si="9"/>
        <v xml:space="preserve"> </v>
      </c>
      <c r="U93" s="100"/>
      <c r="V93" s="100" t="str">
        <f t="shared" si="8"/>
        <v xml:space="preserve"> </v>
      </c>
      <c r="W93" s="101">
        <f t="shared" si="10"/>
        <v>24.229166666666668</v>
      </c>
      <c r="X93" s="102">
        <f t="shared" si="11"/>
        <v>5.5000000000000284</v>
      </c>
      <c r="Y93" s="100" t="str">
        <f t="shared" si="12"/>
        <v xml:space="preserve"> </v>
      </c>
      <c r="Z93" s="100" t="str">
        <f t="shared" si="13"/>
        <v xml:space="preserve"> </v>
      </c>
    </row>
    <row r="94" spans="1:26">
      <c r="A94" s="100" t="s">
        <v>54</v>
      </c>
      <c r="B94" s="108" t="str">
        <f>IFERROR(VLOOKUP(Tablo516[[#This Row],[ÜRÜN KODU]],YMKODLARI!$A$1:$K$383,2,0)," ")</f>
        <v>KARE SAKLAMA KAPAĞI CONTASI</v>
      </c>
      <c r="C94" s="99">
        <v>44148</v>
      </c>
      <c r="D94" s="100" t="s">
        <v>48</v>
      </c>
      <c r="E94" s="101">
        <v>0.4375</v>
      </c>
      <c r="F94" s="101">
        <v>0.65277777777777779</v>
      </c>
      <c r="G94" s="100">
        <f>IFERROR(VLOOKUP(Tablo516[[#This Row],[ÜRÜN KODU]],YMKODLARI!$A$1:$K$383,3,0)," ")</f>
        <v>4</v>
      </c>
      <c r="H94" s="100">
        <f>IFERROR(VLOOKUP(Tablo516[[#This Row],[ÜRÜN KODU]],YMKODLARI!$A$1:$K$383,4,0)," ")</f>
        <v>45</v>
      </c>
      <c r="I94" s="100">
        <v>219</v>
      </c>
      <c r="J94" s="100" t="str">
        <f>IFERROR(VLOOKUP(Tablo516[[#This Row],[ÜRÜN KODU]],YMKODLARI!$A$1:$K$383,9,0)," ")</f>
        <v>281-6059</v>
      </c>
      <c r="K94" s="100" t="str">
        <f>IFERROR(VLOOKUP(Tablo516[[#This Row],[BOYA KODU]],Tablo14[#All],4,0)," ")</f>
        <v>ORANJ</v>
      </c>
      <c r="L94" s="100">
        <f>IFERROR(VLOOKUP(Tablo516[[#This Row],[BOYA KODU]],Tablo14[#All],6,0)," ")</f>
        <v>2.2000000000000001E-3</v>
      </c>
      <c r="M94" s="100">
        <f t="shared" si="7"/>
        <v>0</v>
      </c>
      <c r="N94" s="100">
        <f>IFERROR(VLOOKUP(Tablo516[[#This Row],[ÜRÜN KODU]],YMKODLARI!$A$1:$K$383,8,0)," ")</f>
        <v>0</v>
      </c>
      <c r="O94" s="100" t="str">
        <f>IFERROR(VLOOKUP(Tablo516[[#This Row],[HAMMADDE KODU]],Tablo1[#All],3,0)," ")</f>
        <v xml:space="preserve"> </v>
      </c>
      <c r="P94" s="100" t="str">
        <f>IFERROR(VLOOKUP(Tablo516[[#This Row],[HAMMADDE KODU]],Tablo1[#All],4,0)," ")</f>
        <v xml:space="preserve"> </v>
      </c>
      <c r="Q94" s="100">
        <f>IFERROR(VLOOKUP(Tablo516[[#This Row],[ÜRÜN KODU]],YMKODLARI!$A$1:$K$383,5,0)," ")</f>
        <v>0</v>
      </c>
      <c r="R94" s="100">
        <f>IFERROR(VLOOKUP(Tablo516[[#This Row],[ÜRÜN KODU]],YMKODLARI!$A$1:$K$383,6,0)," ")</f>
        <v>0</v>
      </c>
      <c r="S94" s="100">
        <f>IFERROR(Tablo516[[#This Row],[YOLLUK HARİÇ BASKI GRAMI]]/Tablo516[[#This Row],[KALIP GÖZ ADEDİ]]," ")</f>
        <v>0</v>
      </c>
      <c r="T94" s="100">
        <f t="shared" si="9"/>
        <v>0</v>
      </c>
      <c r="U94" s="100"/>
      <c r="V94" s="100">
        <f t="shared" si="8"/>
        <v>0</v>
      </c>
      <c r="W94" s="101">
        <f t="shared" si="10"/>
        <v>24.215277777777779</v>
      </c>
      <c r="X94" s="102">
        <f t="shared" si="11"/>
        <v>5.1666666666666856</v>
      </c>
      <c r="Y94" s="100">
        <f t="shared" si="12"/>
        <v>2.7374999999999998</v>
      </c>
      <c r="Z94" s="100">
        <f t="shared" si="13"/>
        <v>876</v>
      </c>
    </row>
    <row r="95" spans="1:26">
      <c r="A95" s="100" t="s">
        <v>54</v>
      </c>
      <c r="B95" s="108" t="str">
        <f>IFERROR(VLOOKUP(Tablo516[[#This Row],[ÜRÜN KODU]],YMKODLARI!$A$1:$K$383,2,0)," ")</f>
        <v>KARE SAKLAMA KAPAĞI CONTASI</v>
      </c>
      <c r="C95" s="99">
        <v>44151</v>
      </c>
      <c r="D95" s="100" t="s">
        <v>48</v>
      </c>
      <c r="E95" s="101">
        <v>0.5625</v>
      </c>
      <c r="F95" s="101">
        <v>0.75</v>
      </c>
      <c r="G95" s="100">
        <f>IFERROR(VLOOKUP(Tablo516[[#This Row],[ÜRÜN KODU]],YMKODLARI!$A$1:$K$383,3,0)," ")</f>
        <v>4</v>
      </c>
      <c r="H95" s="100">
        <f>IFERROR(VLOOKUP(Tablo516[[#This Row],[ÜRÜN KODU]],YMKODLARI!$A$1:$K$383,4,0)," ")</f>
        <v>45</v>
      </c>
      <c r="I95" s="100">
        <v>360</v>
      </c>
      <c r="J95" s="100" t="str">
        <f>IFERROR(VLOOKUP(Tablo516[[#This Row],[ÜRÜN KODU]],YMKODLARI!$A$1:$K$383,9,0)," ")</f>
        <v>281-6059</v>
      </c>
      <c r="K95" s="100" t="str">
        <f>IFERROR(VLOOKUP(Tablo516[[#This Row],[BOYA KODU]],Tablo14[#All],4,0)," ")</f>
        <v>ORANJ</v>
      </c>
      <c r="L95" s="100">
        <f>IFERROR(VLOOKUP(Tablo516[[#This Row],[BOYA KODU]],Tablo14[#All],6,0)," ")</f>
        <v>2.2000000000000001E-3</v>
      </c>
      <c r="M95" s="100">
        <f t="shared" si="7"/>
        <v>0</v>
      </c>
      <c r="N95" s="100">
        <f>IFERROR(VLOOKUP(Tablo516[[#This Row],[ÜRÜN KODU]],YMKODLARI!$A$1:$K$383,8,0)," ")</f>
        <v>0</v>
      </c>
      <c r="O95" s="100" t="str">
        <f>IFERROR(VLOOKUP(Tablo516[[#This Row],[HAMMADDE KODU]],Tablo1[#All],3,0)," ")</f>
        <v xml:space="preserve"> </v>
      </c>
      <c r="P95" s="100" t="str">
        <f>IFERROR(VLOOKUP(Tablo516[[#This Row],[HAMMADDE KODU]],Tablo1[#All],4,0)," ")</f>
        <v xml:space="preserve"> </v>
      </c>
      <c r="Q95" s="100">
        <f>IFERROR(VLOOKUP(Tablo516[[#This Row],[ÜRÜN KODU]],YMKODLARI!$A$1:$K$383,5,0)," ")</f>
        <v>0</v>
      </c>
      <c r="R95" s="100">
        <f>IFERROR(VLOOKUP(Tablo516[[#This Row],[ÜRÜN KODU]],YMKODLARI!$A$1:$K$383,6,0)," ")</f>
        <v>0</v>
      </c>
      <c r="S95" s="100">
        <f>IFERROR(Tablo516[[#This Row],[YOLLUK HARİÇ BASKI GRAMI]]/Tablo516[[#This Row],[KALIP GÖZ ADEDİ]]," ")</f>
        <v>0</v>
      </c>
      <c r="T95" s="100">
        <f t="shared" si="9"/>
        <v>0</v>
      </c>
      <c r="U95" s="100">
        <v>7.5</v>
      </c>
      <c r="V95" s="100">
        <f t="shared" si="8"/>
        <v>7.5</v>
      </c>
      <c r="W95" s="101">
        <f t="shared" si="10"/>
        <v>24.1875</v>
      </c>
      <c r="X95" s="102">
        <f t="shared" si="11"/>
        <v>4.5</v>
      </c>
      <c r="Y95" s="100">
        <f t="shared" si="12"/>
        <v>4.5</v>
      </c>
      <c r="Z95" s="100">
        <f t="shared" si="13"/>
        <v>1440</v>
      </c>
    </row>
    <row r="96" spans="1:26">
      <c r="A96" s="100" t="s">
        <v>54</v>
      </c>
      <c r="B96" s="108" t="str">
        <f>IFERROR(VLOOKUP(Tablo516[[#This Row],[ÜRÜN KODU]],YMKODLARI!$A$1:$K$383,2,0)," ")</f>
        <v>KARE SAKLAMA KAPAĞI CONTASI</v>
      </c>
      <c r="C96" s="99">
        <v>44152</v>
      </c>
      <c r="D96" s="100" t="s">
        <v>48</v>
      </c>
      <c r="E96" s="101">
        <v>0.47916666666666669</v>
      </c>
      <c r="F96" s="101">
        <v>0.53472222222222221</v>
      </c>
      <c r="G96" s="100">
        <f>IFERROR(VLOOKUP(Tablo516[[#This Row],[ÜRÜN KODU]],YMKODLARI!$A$1:$K$383,3,0)," ")</f>
        <v>4</v>
      </c>
      <c r="H96" s="100">
        <f>IFERROR(VLOOKUP(Tablo516[[#This Row],[ÜRÜN KODU]],YMKODLARI!$A$1:$K$383,4,0)," ")</f>
        <v>45</v>
      </c>
      <c r="I96" s="100">
        <v>80</v>
      </c>
      <c r="J96" s="100" t="str">
        <f>IFERROR(VLOOKUP(Tablo516[[#This Row],[ÜRÜN KODU]],YMKODLARI!$A$1:$K$383,9,0)," ")</f>
        <v>281-6059</v>
      </c>
      <c r="K96" s="100" t="str">
        <f>IFERROR(VLOOKUP(Tablo516[[#This Row],[BOYA KODU]],Tablo14[#All],4,0)," ")</f>
        <v>ORANJ</v>
      </c>
      <c r="L96" s="100">
        <f>IFERROR(VLOOKUP(Tablo516[[#This Row],[BOYA KODU]],Tablo14[#All],6,0)," ")</f>
        <v>2.2000000000000001E-3</v>
      </c>
      <c r="M96" s="100">
        <f t="shared" si="7"/>
        <v>0</v>
      </c>
      <c r="N96" s="100">
        <f>IFERROR(VLOOKUP(Tablo516[[#This Row],[ÜRÜN KODU]],YMKODLARI!$A$1:$K$383,8,0)," ")</f>
        <v>0</v>
      </c>
      <c r="O96" s="100" t="str">
        <f>IFERROR(VLOOKUP(Tablo516[[#This Row],[HAMMADDE KODU]],Tablo1[#All],3,0)," ")</f>
        <v xml:space="preserve"> </v>
      </c>
      <c r="P96" s="100" t="str">
        <f>IFERROR(VLOOKUP(Tablo516[[#This Row],[HAMMADDE KODU]],Tablo1[#All],4,0)," ")</f>
        <v xml:space="preserve"> </v>
      </c>
      <c r="Q96" s="100">
        <f>IFERROR(VLOOKUP(Tablo516[[#This Row],[ÜRÜN KODU]],YMKODLARI!$A$1:$K$383,5,0)," ")</f>
        <v>0</v>
      </c>
      <c r="R96" s="100">
        <f>IFERROR(VLOOKUP(Tablo516[[#This Row],[ÜRÜN KODU]],YMKODLARI!$A$1:$K$383,6,0)," ")</f>
        <v>0</v>
      </c>
      <c r="S96" s="100">
        <f>IFERROR(Tablo516[[#This Row],[YOLLUK HARİÇ BASKI GRAMI]]/Tablo516[[#This Row],[KALIP GÖZ ADEDİ]]," ")</f>
        <v>0</v>
      </c>
      <c r="T96" s="100">
        <f t="shared" si="9"/>
        <v>0</v>
      </c>
      <c r="U96" s="100">
        <v>6</v>
      </c>
      <c r="V96" s="100">
        <f t="shared" si="8"/>
        <v>6</v>
      </c>
      <c r="W96" s="101">
        <f t="shared" si="10"/>
        <v>24.055555555555557</v>
      </c>
      <c r="X96" s="102">
        <f t="shared" si="11"/>
        <v>1.3333333333333712</v>
      </c>
      <c r="Y96" s="100">
        <f t="shared" si="12"/>
        <v>1</v>
      </c>
      <c r="Z96" s="100">
        <f t="shared" si="13"/>
        <v>320</v>
      </c>
    </row>
    <row r="97" spans="1:26">
      <c r="A97" s="100"/>
      <c r="B97" s="108" t="str">
        <f>IFERROR(VLOOKUP(Tablo516[[#This Row],[ÜRÜN KODU]],YMKODLARI!$A$1:$K$383,2,0)," ")</f>
        <v xml:space="preserve"> </v>
      </c>
      <c r="C97" s="99"/>
      <c r="D97" s="100"/>
      <c r="E97" s="101"/>
      <c r="F97" s="101"/>
      <c r="G97" s="100" t="str">
        <f>IFERROR(VLOOKUP(Tablo516[[#This Row],[ÜRÜN KODU]],YMKODLARI!$A$1:$K$383,3,0)," ")</f>
        <v xml:space="preserve"> </v>
      </c>
      <c r="H97" s="100" t="str">
        <f>IFERROR(VLOOKUP(Tablo516[[#This Row],[ÜRÜN KODU]],YMKODLARI!$A$1:$K$383,4,0)," ")</f>
        <v xml:space="preserve"> </v>
      </c>
      <c r="I97" s="100"/>
      <c r="J97" s="100" t="str">
        <f>IFERROR(VLOOKUP(Tablo516[[#This Row],[ÜRÜN KODU]],YMKODLARI!$A$1:$K$383,9,0)," ")</f>
        <v xml:space="preserve"> </v>
      </c>
      <c r="K97" s="100" t="str">
        <f>IFERROR(VLOOKUP(Tablo516[[#This Row],[BOYA KODU]],Tablo14[#All],4,0)," ")</f>
        <v xml:space="preserve"> </v>
      </c>
      <c r="L97" s="100" t="str">
        <f>IFERROR(VLOOKUP(Tablo516[[#This Row],[BOYA KODU]],Tablo14[#All],6,0)," ")</f>
        <v xml:space="preserve"> </v>
      </c>
      <c r="M97" s="100" t="str">
        <f t="shared" si="7"/>
        <v xml:space="preserve"> </v>
      </c>
      <c r="N97" s="100" t="str">
        <f>IFERROR(VLOOKUP(Tablo516[[#This Row],[ÜRÜN KODU]],YMKODLARI!$A$1:$K$383,8,0)," ")</f>
        <v xml:space="preserve"> </v>
      </c>
      <c r="O97" s="100" t="str">
        <f>IFERROR(VLOOKUP(Tablo516[[#This Row],[HAMMADDE KODU]],Tablo1[#All],3,0)," ")</f>
        <v xml:space="preserve"> </v>
      </c>
      <c r="P97" s="100" t="str">
        <f>IFERROR(VLOOKUP(Tablo516[[#This Row],[HAMMADDE KODU]],Tablo1[#All],4,0)," ")</f>
        <v xml:space="preserve"> </v>
      </c>
      <c r="Q97" s="100" t="str">
        <f>IFERROR(VLOOKUP(Tablo516[[#This Row],[ÜRÜN KODU]],YMKODLARI!$A$1:$K$383,5,0)," ")</f>
        <v xml:space="preserve"> </v>
      </c>
      <c r="R97" s="100" t="str">
        <f>IFERROR(VLOOKUP(Tablo516[[#This Row],[ÜRÜN KODU]],YMKODLARI!$A$1:$K$383,6,0)," ")</f>
        <v xml:space="preserve"> </v>
      </c>
      <c r="S97" s="100" t="str">
        <f>IFERROR(Tablo516[[#This Row],[YOLLUK HARİÇ BASKI GRAMI]]/Tablo516[[#This Row],[KALIP GÖZ ADEDİ]]," ")</f>
        <v xml:space="preserve"> </v>
      </c>
      <c r="T97" s="100" t="str">
        <f t="shared" si="9"/>
        <v xml:space="preserve"> </v>
      </c>
      <c r="U97" s="100"/>
      <c r="V97" s="100" t="str">
        <f t="shared" si="8"/>
        <v xml:space="preserve"> </v>
      </c>
      <c r="W97" s="101">
        <f t="shared" si="10"/>
        <v>24</v>
      </c>
      <c r="X97" s="102">
        <f t="shared" si="11"/>
        <v>0</v>
      </c>
      <c r="Y97" s="100" t="str">
        <f t="shared" si="12"/>
        <v xml:space="preserve"> </v>
      </c>
      <c r="Z97" s="100" t="str">
        <f t="shared" si="13"/>
        <v xml:space="preserve"> </v>
      </c>
    </row>
    <row r="98" spans="1:26">
      <c r="A98" s="100"/>
      <c r="B98" s="108" t="str">
        <f>IFERROR(VLOOKUP(Tablo516[[#This Row],[ÜRÜN KODU]],YMKODLARI!$A$1:$K$383,2,0)," ")</f>
        <v xml:space="preserve"> </v>
      </c>
      <c r="C98" s="99"/>
      <c r="D98" s="100"/>
      <c r="E98" s="101"/>
      <c r="F98" s="101"/>
      <c r="G98" s="100" t="str">
        <f>IFERROR(VLOOKUP(Tablo516[[#This Row],[ÜRÜN KODU]],YMKODLARI!$A$1:$K$383,3,0)," ")</f>
        <v xml:space="preserve"> </v>
      </c>
      <c r="H98" s="100" t="str">
        <f>IFERROR(VLOOKUP(Tablo516[[#This Row],[ÜRÜN KODU]],YMKODLARI!$A$1:$K$383,4,0)," ")</f>
        <v xml:space="preserve"> </v>
      </c>
      <c r="I98" s="100"/>
      <c r="J98" s="100" t="str">
        <f>IFERROR(VLOOKUP(Tablo516[[#This Row],[ÜRÜN KODU]],YMKODLARI!$A$1:$K$383,9,0)," ")</f>
        <v xml:space="preserve"> </v>
      </c>
      <c r="K98" s="100" t="str">
        <f>IFERROR(VLOOKUP(Tablo516[[#This Row],[BOYA KODU]],Tablo14[#All],4,0)," ")</f>
        <v xml:space="preserve"> </v>
      </c>
      <c r="L98" s="100" t="str">
        <f>IFERROR(VLOOKUP(Tablo516[[#This Row],[BOYA KODU]],Tablo14[#All],6,0)," ")</f>
        <v xml:space="preserve"> </v>
      </c>
      <c r="M98" s="100" t="str">
        <f t="shared" si="7"/>
        <v xml:space="preserve"> </v>
      </c>
      <c r="N98" s="100" t="str">
        <f>IFERROR(VLOOKUP(Tablo516[[#This Row],[ÜRÜN KODU]],YMKODLARI!$A$1:$K$383,8,0)," ")</f>
        <v xml:space="preserve"> </v>
      </c>
      <c r="O98" s="100" t="str">
        <f>IFERROR(VLOOKUP(Tablo516[[#This Row],[HAMMADDE KODU]],Tablo1[#All],3,0)," ")</f>
        <v xml:space="preserve"> </v>
      </c>
      <c r="P98" s="100" t="str">
        <f>IFERROR(VLOOKUP(Tablo516[[#This Row],[HAMMADDE KODU]],Tablo1[#All],4,0)," ")</f>
        <v xml:space="preserve"> </v>
      </c>
      <c r="Q98" s="100" t="str">
        <f>IFERROR(VLOOKUP(Tablo516[[#This Row],[ÜRÜN KODU]],YMKODLARI!$A$1:$K$383,5,0)," ")</f>
        <v xml:space="preserve"> </v>
      </c>
      <c r="R98" s="100" t="str">
        <f>IFERROR(VLOOKUP(Tablo516[[#This Row],[ÜRÜN KODU]],YMKODLARI!$A$1:$K$383,6,0)," ")</f>
        <v xml:space="preserve"> </v>
      </c>
      <c r="S98" s="100" t="str">
        <f>IFERROR(Tablo516[[#This Row],[YOLLUK HARİÇ BASKI GRAMI]]/Tablo516[[#This Row],[KALIP GÖZ ADEDİ]]," ")</f>
        <v xml:space="preserve"> </v>
      </c>
      <c r="T98" s="100" t="str">
        <f t="shared" si="9"/>
        <v xml:space="preserve"> </v>
      </c>
      <c r="U98" s="100"/>
      <c r="V98" s="100" t="str">
        <f t="shared" si="8"/>
        <v xml:space="preserve"> </v>
      </c>
      <c r="W98" s="101">
        <f t="shared" si="10"/>
        <v>24</v>
      </c>
      <c r="X98" s="102">
        <f t="shared" si="11"/>
        <v>0</v>
      </c>
      <c r="Y98" s="100" t="str">
        <f t="shared" si="12"/>
        <v xml:space="preserve"> </v>
      </c>
      <c r="Z98" s="100" t="str">
        <f t="shared" si="13"/>
        <v xml:space="preserve"> </v>
      </c>
    </row>
    <row r="99" spans="1:26">
      <c r="A99" s="100"/>
      <c r="B99" s="108" t="str">
        <f>IFERROR(VLOOKUP(Tablo516[[#This Row],[ÜRÜN KODU]],YMKODLARI!$A$1:$K$383,2,0)," ")</f>
        <v xml:space="preserve"> </v>
      </c>
      <c r="C99" s="99"/>
      <c r="D99" s="100"/>
      <c r="E99" s="101"/>
      <c r="F99" s="101"/>
      <c r="G99" s="100" t="str">
        <f>IFERROR(VLOOKUP(Tablo516[[#This Row],[ÜRÜN KODU]],YMKODLARI!$A$1:$K$383,3,0)," ")</f>
        <v xml:space="preserve"> </v>
      </c>
      <c r="H99" s="100" t="str">
        <f>IFERROR(VLOOKUP(Tablo516[[#This Row],[ÜRÜN KODU]],YMKODLARI!$A$1:$K$383,4,0)," ")</f>
        <v xml:space="preserve"> </v>
      </c>
      <c r="I99" s="100"/>
      <c r="J99" s="100" t="str">
        <f>IFERROR(VLOOKUP(Tablo516[[#This Row],[ÜRÜN KODU]],YMKODLARI!$A$1:$K$383,9,0)," ")</f>
        <v xml:space="preserve"> </v>
      </c>
      <c r="K99" s="100" t="str">
        <f>IFERROR(VLOOKUP(Tablo516[[#This Row],[BOYA KODU]],Tablo14[#All],4,0)," ")</f>
        <v xml:space="preserve"> </v>
      </c>
      <c r="L99" s="100" t="str">
        <f>IFERROR(VLOOKUP(Tablo516[[#This Row],[BOYA KODU]],Tablo14[#All],6,0)," ")</f>
        <v xml:space="preserve"> </v>
      </c>
      <c r="M99" s="100" t="str">
        <f t="shared" si="7"/>
        <v xml:space="preserve"> </v>
      </c>
      <c r="N99" s="100" t="str">
        <f>IFERROR(VLOOKUP(Tablo516[[#This Row],[ÜRÜN KODU]],YMKODLARI!$A$1:$K$383,8,0)," ")</f>
        <v xml:space="preserve"> </v>
      </c>
      <c r="O99" s="100" t="str">
        <f>IFERROR(VLOOKUP(Tablo516[[#This Row],[HAMMADDE KODU]],Tablo1[#All],3,0)," ")</f>
        <v xml:space="preserve"> </v>
      </c>
      <c r="P99" s="100" t="str">
        <f>IFERROR(VLOOKUP(Tablo516[[#This Row],[HAMMADDE KODU]],Tablo1[#All],4,0)," ")</f>
        <v xml:space="preserve"> </v>
      </c>
      <c r="Q99" s="100" t="str">
        <f>IFERROR(VLOOKUP(Tablo516[[#This Row],[ÜRÜN KODU]],YMKODLARI!$A$1:$K$383,5,0)," ")</f>
        <v xml:space="preserve"> </v>
      </c>
      <c r="R99" s="100" t="str">
        <f>IFERROR(VLOOKUP(Tablo516[[#This Row],[ÜRÜN KODU]],YMKODLARI!$A$1:$K$383,6,0)," ")</f>
        <v xml:space="preserve"> </v>
      </c>
      <c r="S99" s="100" t="str">
        <f>IFERROR(Tablo516[[#This Row],[YOLLUK HARİÇ BASKI GRAMI]]/Tablo516[[#This Row],[KALIP GÖZ ADEDİ]]," ")</f>
        <v xml:space="preserve"> </v>
      </c>
      <c r="T99" s="100" t="str">
        <f t="shared" si="9"/>
        <v xml:space="preserve"> </v>
      </c>
      <c r="U99" s="100"/>
      <c r="V99" s="100" t="str">
        <f t="shared" si="8"/>
        <v xml:space="preserve"> </v>
      </c>
      <c r="W99" s="101">
        <f t="shared" si="10"/>
        <v>24</v>
      </c>
      <c r="X99" s="102">
        <f t="shared" si="11"/>
        <v>0</v>
      </c>
      <c r="Y99" s="100" t="str">
        <f t="shared" si="12"/>
        <v xml:space="preserve"> </v>
      </c>
      <c r="Z99" s="100" t="str">
        <f t="shared" si="13"/>
        <v xml:space="preserve"> </v>
      </c>
    </row>
    <row r="100" spans="1:26">
      <c r="A100" s="100"/>
      <c r="B100" s="108" t="str">
        <f>IFERROR(VLOOKUP(Tablo516[[#This Row],[ÜRÜN KODU]],YMKODLARI!$A$1:$K$383,2,0)," ")</f>
        <v xml:space="preserve"> </v>
      </c>
      <c r="C100" s="99"/>
      <c r="D100" s="100"/>
      <c r="E100" s="101"/>
      <c r="F100" s="101"/>
      <c r="G100" s="100" t="str">
        <f>IFERROR(VLOOKUP(Tablo516[[#This Row],[ÜRÜN KODU]],YMKODLARI!$A$1:$K$383,3,0)," ")</f>
        <v xml:space="preserve"> </v>
      </c>
      <c r="H100" s="100" t="str">
        <f>IFERROR(VLOOKUP(Tablo516[[#This Row],[ÜRÜN KODU]],YMKODLARI!$A$1:$K$383,4,0)," ")</f>
        <v xml:space="preserve"> </v>
      </c>
      <c r="I100" s="100"/>
      <c r="J100" s="100" t="str">
        <f>IFERROR(VLOOKUP(Tablo516[[#This Row],[ÜRÜN KODU]],YMKODLARI!$A$1:$K$383,9,0)," ")</f>
        <v xml:space="preserve"> </v>
      </c>
      <c r="K100" s="100" t="str">
        <f>IFERROR(VLOOKUP(Tablo516[[#This Row],[BOYA KODU]],Tablo14[#All],4,0)," ")</f>
        <v xml:space="preserve"> </v>
      </c>
      <c r="L100" s="100" t="str">
        <f>IFERROR(VLOOKUP(Tablo516[[#This Row],[BOYA KODU]],Tablo14[#All],6,0)," ")</f>
        <v xml:space="preserve"> </v>
      </c>
      <c r="M100" s="100" t="str">
        <f t="shared" si="7"/>
        <v xml:space="preserve"> </v>
      </c>
      <c r="N100" s="100" t="str">
        <f>IFERROR(VLOOKUP(Tablo516[[#This Row],[ÜRÜN KODU]],YMKODLARI!$A$1:$K$383,8,0)," ")</f>
        <v xml:space="preserve"> </v>
      </c>
      <c r="O100" s="100" t="str">
        <f>IFERROR(VLOOKUP(Tablo516[[#This Row],[HAMMADDE KODU]],Tablo1[#All],3,0)," ")</f>
        <v xml:space="preserve"> </v>
      </c>
      <c r="P100" s="100" t="str">
        <f>IFERROR(VLOOKUP(Tablo516[[#This Row],[HAMMADDE KODU]],Tablo1[#All],4,0)," ")</f>
        <v xml:space="preserve"> </v>
      </c>
      <c r="Q100" s="100" t="str">
        <f>IFERROR(VLOOKUP(Tablo516[[#This Row],[ÜRÜN KODU]],YMKODLARI!$A$1:$K$383,5,0)," ")</f>
        <v xml:space="preserve"> </v>
      </c>
      <c r="R100" s="100" t="str">
        <f>IFERROR(VLOOKUP(Tablo516[[#This Row],[ÜRÜN KODU]],YMKODLARI!$A$1:$K$383,6,0)," ")</f>
        <v xml:space="preserve"> </v>
      </c>
      <c r="S100" s="100" t="str">
        <f>IFERROR(Tablo516[[#This Row],[YOLLUK HARİÇ BASKI GRAMI]]/Tablo516[[#This Row],[KALIP GÖZ ADEDİ]]," ")</f>
        <v xml:space="preserve"> </v>
      </c>
      <c r="T100" s="100" t="str">
        <f t="shared" si="9"/>
        <v xml:space="preserve"> </v>
      </c>
      <c r="U100" s="100"/>
      <c r="V100" s="100" t="str">
        <f t="shared" si="8"/>
        <v xml:space="preserve"> </v>
      </c>
      <c r="W100" s="101">
        <f t="shared" si="10"/>
        <v>24</v>
      </c>
      <c r="X100" s="102">
        <f t="shared" si="11"/>
        <v>0</v>
      </c>
      <c r="Y100" s="100" t="str">
        <f t="shared" si="12"/>
        <v xml:space="preserve"> </v>
      </c>
      <c r="Z100" s="100" t="str">
        <f t="shared" si="13"/>
        <v xml:space="preserve"> </v>
      </c>
    </row>
    <row r="101" spans="1:26">
      <c r="A101" s="100"/>
      <c r="B101" s="108" t="str">
        <f>IFERROR(VLOOKUP(Tablo516[[#This Row],[ÜRÜN KODU]],YMKODLARI!$A$1:$K$383,2,0)," ")</f>
        <v xml:space="preserve"> </v>
      </c>
      <c r="C101" s="99"/>
      <c r="D101" s="100"/>
      <c r="E101" s="101"/>
      <c r="F101" s="101"/>
      <c r="G101" s="100" t="str">
        <f>IFERROR(VLOOKUP(Tablo516[[#This Row],[ÜRÜN KODU]],YMKODLARI!$A$1:$K$383,3,0)," ")</f>
        <v xml:space="preserve"> </v>
      </c>
      <c r="H101" s="100" t="str">
        <f>IFERROR(VLOOKUP(Tablo516[[#This Row],[ÜRÜN KODU]],YMKODLARI!$A$1:$K$383,4,0)," ")</f>
        <v xml:space="preserve"> </v>
      </c>
      <c r="I101" s="100"/>
      <c r="J101" s="100" t="str">
        <f>IFERROR(VLOOKUP(Tablo516[[#This Row],[ÜRÜN KODU]],YMKODLARI!$A$1:$K$383,9,0)," ")</f>
        <v xml:space="preserve"> </v>
      </c>
      <c r="K101" s="100" t="str">
        <f>IFERROR(VLOOKUP(Tablo516[[#This Row],[BOYA KODU]],Tablo14[#All],4,0)," ")</f>
        <v xml:space="preserve"> </v>
      </c>
      <c r="L101" s="100" t="str">
        <f>IFERROR(VLOOKUP(Tablo516[[#This Row],[BOYA KODU]],Tablo14[#All],6,0)," ")</f>
        <v xml:space="preserve"> </v>
      </c>
      <c r="M101" s="100" t="str">
        <f t="shared" si="7"/>
        <v xml:space="preserve"> </v>
      </c>
      <c r="N101" s="100" t="str">
        <f>IFERROR(VLOOKUP(Tablo516[[#This Row],[ÜRÜN KODU]],YMKODLARI!$A$1:$K$383,8,0)," ")</f>
        <v xml:space="preserve"> </v>
      </c>
      <c r="O101" s="100" t="str">
        <f>IFERROR(VLOOKUP(Tablo516[[#This Row],[HAMMADDE KODU]],Tablo1[#All],3,0)," ")</f>
        <v xml:space="preserve"> </v>
      </c>
      <c r="P101" s="100" t="str">
        <f>IFERROR(VLOOKUP(Tablo516[[#This Row],[HAMMADDE KODU]],Tablo1[#All],4,0)," ")</f>
        <v xml:space="preserve"> </v>
      </c>
      <c r="Q101" s="100" t="str">
        <f>IFERROR(VLOOKUP(Tablo516[[#This Row],[ÜRÜN KODU]],YMKODLARI!$A$1:$K$383,5,0)," ")</f>
        <v xml:space="preserve"> </v>
      </c>
      <c r="R101" s="100" t="str">
        <f>IFERROR(VLOOKUP(Tablo516[[#This Row],[ÜRÜN KODU]],YMKODLARI!$A$1:$K$383,6,0)," ")</f>
        <v xml:space="preserve"> </v>
      </c>
      <c r="S101" s="100" t="str">
        <f>IFERROR(Tablo516[[#This Row],[YOLLUK HARİÇ BASKI GRAMI]]/Tablo516[[#This Row],[KALIP GÖZ ADEDİ]]," ")</f>
        <v xml:space="preserve"> </v>
      </c>
      <c r="T101" s="100" t="str">
        <f t="shared" si="9"/>
        <v xml:space="preserve"> </v>
      </c>
      <c r="U101" s="100"/>
      <c r="V101" s="100" t="str">
        <f t="shared" si="8"/>
        <v xml:space="preserve"> </v>
      </c>
      <c r="W101" s="101">
        <f t="shared" si="10"/>
        <v>24</v>
      </c>
      <c r="X101" s="102">
        <f t="shared" si="11"/>
        <v>0</v>
      </c>
      <c r="Y101" s="100" t="str">
        <f t="shared" si="12"/>
        <v xml:space="preserve"> </v>
      </c>
      <c r="Z101" s="100" t="str">
        <f t="shared" si="13"/>
        <v xml:space="preserve"> </v>
      </c>
    </row>
    <row r="102" spans="1:26">
      <c r="A102" s="100"/>
      <c r="B102" s="108" t="str">
        <f>IFERROR(VLOOKUP(Tablo516[[#This Row],[ÜRÜN KODU]],YMKODLARI!$A$1:$K$383,2,0)," ")</f>
        <v xml:space="preserve"> </v>
      </c>
      <c r="C102" s="99"/>
      <c r="D102" s="100"/>
      <c r="E102" s="101"/>
      <c r="F102" s="101"/>
      <c r="G102" s="100" t="str">
        <f>IFERROR(VLOOKUP(Tablo516[[#This Row],[ÜRÜN KODU]],YMKODLARI!$A$1:$K$383,3,0)," ")</f>
        <v xml:space="preserve"> </v>
      </c>
      <c r="H102" s="100" t="str">
        <f>IFERROR(VLOOKUP(Tablo516[[#This Row],[ÜRÜN KODU]],YMKODLARI!$A$1:$K$383,4,0)," ")</f>
        <v xml:space="preserve"> </v>
      </c>
      <c r="I102" s="100"/>
      <c r="J102" s="100" t="str">
        <f>IFERROR(VLOOKUP(Tablo516[[#This Row],[ÜRÜN KODU]],YMKODLARI!$A$1:$K$383,9,0)," ")</f>
        <v xml:space="preserve"> </v>
      </c>
      <c r="K102" s="100" t="str">
        <f>IFERROR(VLOOKUP(Tablo516[[#This Row],[BOYA KODU]],Tablo14[#All],4,0)," ")</f>
        <v xml:space="preserve"> </v>
      </c>
      <c r="L102" s="100" t="str">
        <f>IFERROR(VLOOKUP(Tablo516[[#This Row],[BOYA KODU]],Tablo14[#All],6,0)," ")</f>
        <v xml:space="preserve"> </v>
      </c>
      <c r="M102" s="100" t="str">
        <f t="shared" si="7"/>
        <v xml:space="preserve"> </v>
      </c>
      <c r="N102" s="100" t="str">
        <f>IFERROR(VLOOKUP(Tablo516[[#This Row],[ÜRÜN KODU]],YMKODLARI!$A$1:$K$383,8,0)," ")</f>
        <v xml:space="preserve"> </v>
      </c>
      <c r="O102" s="100" t="str">
        <f>IFERROR(VLOOKUP(Tablo516[[#This Row],[HAMMADDE KODU]],Tablo1[#All],3,0)," ")</f>
        <v xml:space="preserve"> </v>
      </c>
      <c r="P102" s="100" t="str">
        <f>IFERROR(VLOOKUP(Tablo516[[#This Row],[HAMMADDE KODU]],Tablo1[#All],4,0)," ")</f>
        <v xml:space="preserve"> </v>
      </c>
      <c r="Q102" s="100" t="str">
        <f>IFERROR(VLOOKUP(Tablo516[[#This Row],[ÜRÜN KODU]],YMKODLARI!$A$1:$K$383,5,0)," ")</f>
        <v xml:space="preserve"> </v>
      </c>
      <c r="R102" s="100" t="str">
        <f>IFERROR(VLOOKUP(Tablo516[[#This Row],[ÜRÜN KODU]],YMKODLARI!$A$1:$K$383,6,0)," ")</f>
        <v xml:space="preserve"> </v>
      </c>
      <c r="S102" s="100" t="str">
        <f>IFERROR(Tablo516[[#This Row],[YOLLUK HARİÇ BASKI GRAMI]]/Tablo516[[#This Row],[KALIP GÖZ ADEDİ]]," ")</f>
        <v xml:space="preserve"> </v>
      </c>
      <c r="T102" s="100" t="str">
        <f t="shared" si="9"/>
        <v xml:space="preserve"> </v>
      </c>
      <c r="U102" s="100"/>
      <c r="V102" s="100" t="str">
        <f t="shared" si="8"/>
        <v xml:space="preserve"> </v>
      </c>
      <c r="W102" s="101">
        <f t="shared" si="10"/>
        <v>24</v>
      </c>
      <c r="X102" s="102">
        <f t="shared" si="11"/>
        <v>0</v>
      </c>
      <c r="Y102" s="100" t="str">
        <f t="shared" si="12"/>
        <v xml:space="preserve"> </v>
      </c>
      <c r="Z102" s="100" t="str">
        <f t="shared" si="13"/>
        <v xml:space="preserve"> </v>
      </c>
    </row>
    <row r="103" spans="1:26">
      <c r="A103" s="100"/>
      <c r="B103" s="108" t="str">
        <f>IFERROR(VLOOKUP(Tablo516[[#This Row],[ÜRÜN KODU]],YMKODLARI!$A$1:$K$383,2,0)," ")</f>
        <v xml:space="preserve"> </v>
      </c>
      <c r="C103" s="99"/>
      <c r="D103" s="100"/>
      <c r="E103" s="101"/>
      <c r="F103" s="101"/>
      <c r="G103" s="100" t="str">
        <f>IFERROR(VLOOKUP(Tablo516[[#This Row],[ÜRÜN KODU]],YMKODLARI!$A$1:$K$383,3,0)," ")</f>
        <v xml:space="preserve"> </v>
      </c>
      <c r="H103" s="100" t="str">
        <f>IFERROR(VLOOKUP(Tablo516[[#This Row],[ÜRÜN KODU]],YMKODLARI!$A$1:$K$383,4,0)," ")</f>
        <v xml:space="preserve"> </v>
      </c>
      <c r="I103" s="100"/>
      <c r="J103" s="100" t="str">
        <f>IFERROR(VLOOKUP(Tablo516[[#This Row],[ÜRÜN KODU]],YMKODLARI!$A$1:$K$383,9,0)," ")</f>
        <v xml:space="preserve"> </v>
      </c>
      <c r="K103" s="100" t="str">
        <f>IFERROR(VLOOKUP(Tablo516[[#This Row],[BOYA KODU]],Tablo14[#All],4,0)," ")</f>
        <v xml:space="preserve"> </v>
      </c>
      <c r="L103" s="100" t="str">
        <f>IFERROR(VLOOKUP(Tablo516[[#This Row],[BOYA KODU]],Tablo14[#All],6,0)," ")</f>
        <v xml:space="preserve"> </v>
      </c>
      <c r="M103" s="100" t="str">
        <f t="shared" si="7"/>
        <v xml:space="preserve"> </v>
      </c>
      <c r="N103" s="100" t="str">
        <f>IFERROR(VLOOKUP(Tablo516[[#This Row],[ÜRÜN KODU]],YMKODLARI!$A$1:$K$383,8,0)," ")</f>
        <v xml:space="preserve"> </v>
      </c>
      <c r="O103" s="100" t="str">
        <f>IFERROR(VLOOKUP(Tablo516[[#This Row],[HAMMADDE KODU]],Tablo1[#All],3,0)," ")</f>
        <v xml:space="preserve"> </v>
      </c>
      <c r="P103" s="100" t="str">
        <f>IFERROR(VLOOKUP(Tablo516[[#This Row],[HAMMADDE KODU]],Tablo1[#All],4,0)," ")</f>
        <v xml:space="preserve"> </v>
      </c>
      <c r="Q103" s="100" t="str">
        <f>IFERROR(VLOOKUP(Tablo516[[#This Row],[ÜRÜN KODU]],YMKODLARI!$A$1:$K$383,5,0)," ")</f>
        <v xml:space="preserve"> </v>
      </c>
      <c r="R103" s="100" t="str">
        <f>IFERROR(VLOOKUP(Tablo516[[#This Row],[ÜRÜN KODU]],YMKODLARI!$A$1:$K$383,6,0)," ")</f>
        <v xml:space="preserve"> </v>
      </c>
      <c r="S103" s="100" t="str">
        <f>IFERROR(Tablo516[[#This Row],[YOLLUK HARİÇ BASKI GRAMI]]/Tablo516[[#This Row],[KALIP GÖZ ADEDİ]]," ")</f>
        <v xml:space="preserve"> </v>
      </c>
      <c r="T103" s="100" t="str">
        <f t="shared" si="9"/>
        <v xml:space="preserve"> </v>
      </c>
      <c r="U103" s="100"/>
      <c r="V103" s="100" t="str">
        <f t="shared" si="8"/>
        <v xml:space="preserve"> </v>
      </c>
      <c r="W103" s="101">
        <f t="shared" si="10"/>
        <v>24</v>
      </c>
      <c r="X103" s="102">
        <f t="shared" si="11"/>
        <v>0</v>
      </c>
      <c r="Y103" s="100" t="str">
        <f t="shared" si="12"/>
        <v xml:space="preserve"> </v>
      </c>
      <c r="Z103" s="100" t="str">
        <f t="shared" si="13"/>
        <v xml:space="preserve"> </v>
      </c>
    </row>
    <row r="104" spans="1:26">
      <c r="A104" s="100"/>
      <c r="B104" s="108" t="str">
        <f>IFERROR(VLOOKUP(Tablo516[[#This Row],[ÜRÜN KODU]],YMKODLARI!$A$1:$K$383,2,0)," ")</f>
        <v xml:space="preserve"> </v>
      </c>
      <c r="C104" s="99"/>
      <c r="D104" s="100"/>
      <c r="E104" s="101"/>
      <c r="F104" s="101"/>
      <c r="G104" s="100" t="str">
        <f>IFERROR(VLOOKUP(Tablo516[[#This Row],[ÜRÜN KODU]],YMKODLARI!$A$1:$K$383,3,0)," ")</f>
        <v xml:space="preserve"> </v>
      </c>
      <c r="H104" s="100" t="str">
        <f>IFERROR(VLOOKUP(Tablo516[[#This Row],[ÜRÜN KODU]],YMKODLARI!$A$1:$K$383,4,0)," ")</f>
        <v xml:space="preserve"> </v>
      </c>
      <c r="I104" s="100"/>
      <c r="J104" s="100" t="str">
        <f>IFERROR(VLOOKUP(Tablo516[[#This Row],[ÜRÜN KODU]],YMKODLARI!$A$1:$K$383,9,0)," ")</f>
        <v xml:space="preserve"> </v>
      </c>
      <c r="K104" s="100" t="str">
        <f>IFERROR(VLOOKUP(Tablo516[[#This Row],[BOYA KODU]],Tablo14[#All],4,0)," ")</f>
        <v xml:space="preserve"> </v>
      </c>
      <c r="L104" s="100" t="str">
        <f>IFERROR(VLOOKUP(Tablo516[[#This Row],[BOYA KODU]],Tablo14[#All],6,0)," ")</f>
        <v xml:space="preserve"> </v>
      </c>
      <c r="M104" s="100" t="str">
        <f t="shared" si="7"/>
        <v xml:space="preserve"> </v>
      </c>
      <c r="N104" s="100" t="str">
        <f>IFERROR(VLOOKUP(Tablo516[[#This Row],[ÜRÜN KODU]],YMKODLARI!$A$1:$K$383,8,0)," ")</f>
        <v xml:space="preserve"> </v>
      </c>
      <c r="O104" s="100" t="str">
        <f>IFERROR(VLOOKUP(Tablo516[[#This Row],[HAMMADDE KODU]],Tablo1[#All],3,0)," ")</f>
        <v xml:space="preserve"> </v>
      </c>
      <c r="P104" s="100" t="str">
        <f>IFERROR(VLOOKUP(Tablo516[[#This Row],[HAMMADDE KODU]],Tablo1[#All],4,0)," ")</f>
        <v xml:space="preserve"> </v>
      </c>
      <c r="Q104" s="100" t="str">
        <f>IFERROR(VLOOKUP(Tablo516[[#This Row],[ÜRÜN KODU]],YMKODLARI!$A$1:$K$383,5,0)," ")</f>
        <v xml:space="preserve"> </v>
      </c>
      <c r="R104" s="100" t="str">
        <f>IFERROR(VLOOKUP(Tablo516[[#This Row],[ÜRÜN KODU]],YMKODLARI!$A$1:$K$383,6,0)," ")</f>
        <v xml:space="preserve"> </v>
      </c>
      <c r="S104" s="100" t="str">
        <f>IFERROR(Tablo516[[#This Row],[YOLLUK HARİÇ BASKI GRAMI]]/Tablo516[[#This Row],[KALIP GÖZ ADEDİ]]," ")</f>
        <v xml:space="preserve"> </v>
      </c>
      <c r="T104" s="100" t="str">
        <f t="shared" si="9"/>
        <v xml:space="preserve"> </v>
      </c>
      <c r="U104" s="100"/>
      <c r="V104" s="100" t="str">
        <f t="shared" si="8"/>
        <v xml:space="preserve"> </v>
      </c>
      <c r="W104" s="101">
        <f t="shared" si="10"/>
        <v>24</v>
      </c>
      <c r="X104" s="102">
        <f t="shared" si="11"/>
        <v>0</v>
      </c>
      <c r="Y104" s="100" t="str">
        <f t="shared" si="12"/>
        <v xml:space="preserve"> </v>
      </c>
      <c r="Z104" s="100" t="str">
        <f t="shared" si="13"/>
        <v xml:space="preserve"> </v>
      </c>
    </row>
    <row r="105" spans="1:26">
      <c r="A105" s="100"/>
      <c r="B105" s="108" t="str">
        <f>IFERROR(VLOOKUP(Tablo516[[#This Row],[ÜRÜN KODU]],YMKODLARI!$A$1:$K$383,2,0)," ")</f>
        <v xml:space="preserve"> </v>
      </c>
      <c r="C105" s="99"/>
      <c r="D105" s="100"/>
      <c r="E105" s="101"/>
      <c r="F105" s="101"/>
      <c r="G105" s="100" t="str">
        <f>IFERROR(VLOOKUP(Tablo516[[#This Row],[ÜRÜN KODU]],YMKODLARI!$A$1:$K$383,3,0)," ")</f>
        <v xml:space="preserve"> </v>
      </c>
      <c r="H105" s="100" t="str">
        <f>IFERROR(VLOOKUP(Tablo516[[#This Row],[ÜRÜN KODU]],YMKODLARI!$A$1:$K$383,4,0)," ")</f>
        <v xml:space="preserve"> </v>
      </c>
      <c r="I105" s="100"/>
      <c r="J105" s="100" t="str">
        <f>IFERROR(VLOOKUP(Tablo516[[#This Row],[ÜRÜN KODU]],YMKODLARI!$A$1:$K$383,9,0)," ")</f>
        <v xml:space="preserve"> </v>
      </c>
      <c r="K105" s="100" t="str">
        <f>IFERROR(VLOOKUP(Tablo516[[#This Row],[BOYA KODU]],Tablo14[#All],4,0)," ")</f>
        <v xml:space="preserve"> </v>
      </c>
      <c r="L105" s="100" t="str">
        <f>IFERROR(VLOOKUP(Tablo516[[#This Row],[BOYA KODU]],Tablo14[#All],6,0)," ")</f>
        <v xml:space="preserve"> </v>
      </c>
      <c r="M105" s="100" t="str">
        <f t="shared" si="7"/>
        <v xml:space="preserve"> </v>
      </c>
      <c r="N105" s="100" t="str">
        <f>IFERROR(VLOOKUP(Tablo516[[#This Row],[ÜRÜN KODU]],YMKODLARI!$A$1:$K$383,8,0)," ")</f>
        <v xml:space="preserve"> </v>
      </c>
      <c r="O105" s="100" t="str">
        <f>IFERROR(VLOOKUP(Tablo516[[#This Row],[HAMMADDE KODU]],Tablo1[#All],3,0)," ")</f>
        <v xml:space="preserve"> </v>
      </c>
      <c r="P105" s="100" t="str">
        <f>IFERROR(VLOOKUP(Tablo516[[#This Row],[HAMMADDE KODU]],Tablo1[#All],4,0)," ")</f>
        <v xml:space="preserve"> </v>
      </c>
      <c r="Q105" s="100" t="str">
        <f>IFERROR(VLOOKUP(Tablo516[[#This Row],[ÜRÜN KODU]],YMKODLARI!$A$1:$K$383,5,0)," ")</f>
        <v xml:space="preserve"> </v>
      </c>
      <c r="R105" s="100" t="str">
        <f>IFERROR(VLOOKUP(Tablo516[[#This Row],[ÜRÜN KODU]],YMKODLARI!$A$1:$K$383,6,0)," ")</f>
        <v xml:space="preserve"> </v>
      </c>
      <c r="S105" s="100" t="str">
        <f>IFERROR(Tablo516[[#This Row],[YOLLUK HARİÇ BASKI GRAMI]]/Tablo516[[#This Row],[KALIP GÖZ ADEDİ]]," ")</f>
        <v xml:space="preserve"> </v>
      </c>
      <c r="T105" s="100" t="str">
        <f t="shared" si="9"/>
        <v xml:space="preserve"> </v>
      </c>
      <c r="U105" s="100"/>
      <c r="V105" s="100" t="str">
        <f t="shared" si="8"/>
        <v xml:space="preserve"> </v>
      </c>
      <c r="W105" s="101">
        <f t="shared" si="10"/>
        <v>24</v>
      </c>
      <c r="X105" s="102">
        <f t="shared" si="11"/>
        <v>0</v>
      </c>
      <c r="Y105" s="100" t="str">
        <f t="shared" si="12"/>
        <v xml:space="preserve"> </v>
      </c>
      <c r="Z105" s="100" t="str">
        <f t="shared" si="13"/>
        <v xml:space="preserve"> </v>
      </c>
    </row>
    <row r="106" spans="1:26">
      <c r="A106" s="100"/>
      <c r="B106" s="108" t="str">
        <f>IFERROR(VLOOKUP(Tablo516[[#This Row],[ÜRÜN KODU]],YMKODLARI!$A$1:$K$383,2,0)," ")</f>
        <v xml:space="preserve"> </v>
      </c>
      <c r="C106" s="99"/>
      <c r="D106" s="100"/>
      <c r="E106" s="101"/>
      <c r="F106" s="101"/>
      <c r="G106" s="100" t="str">
        <f>IFERROR(VLOOKUP(Tablo516[[#This Row],[ÜRÜN KODU]],YMKODLARI!$A$1:$K$383,3,0)," ")</f>
        <v xml:space="preserve"> </v>
      </c>
      <c r="H106" s="100" t="str">
        <f>IFERROR(VLOOKUP(Tablo516[[#This Row],[ÜRÜN KODU]],YMKODLARI!$A$1:$K$383,4,0)," ")</f>
        <v xml:space="preserve"> </v>
      </c>
      <c r="I106" s="100"/>
      <c r="J106" s="100" t="str">
        <f>IFERROR(VLOOKUP(Tablo516[[#This Row],[ÜRÜN KODU]],YMKODLARI!$A$1:$K$383,9,0)," ")</f>
        <v xml:space="preserve"> </v>
      </c>
      <c r="K106" s="100" t="str">
        <f>IFERROR(VLOOKUP(Tablo516[[#This Row],[BOYA KODU]],Tablo14[#All],4,0)," ")</f>
        <v xml:space="preserve"> </v>
      </c>
      <c r="L106" s="100" t="str">
        <f>IFERROR(VLOOKUP(Tablo516[[#This Row],[BOYA KODU]],Tablo14[#All],6,0)," ")</f>
        <v xml:space="preserve"> </v>
      </c>
      <c r="M106" s="100" t="str">
        <f t="shared" si="7"/>
        <v xml:space="preserve"> </v>
      </c>
      <c r="N106" s="100" t="str">
        <f>IFERROR(VLOOKUP(Tablo516[[#This Row],[ÜRÜN KODU]],YMKODLARI!$A$1:$K$383,8,0)," ")</f>
        <v xml:space="preserve"> </v>
      </c>
      <c r="O106" s="100" t="str">
        <f>IFERROR(VLOOKUP(Tablo516[[#This Row],[HAMMADDE KODU]],Tablo1[#All],3,0)," ")</f>
        <v xml:space="preserve"> </v>
      </c>
      <c r="P106" s="100" t="str">
        <f>IFERROR(VLOOKUP(Tablo516[[#This Row],[HAMMADDE KODU]],Tablo1[#All],4,0)," ")</f>
        <v xml:space="preserve"> </v>
      </c>
      <c r="Q106" s="100" t="str">
        <f>IFERROR(VLOOKUP(Tablo516[[#This Row],[ÜRÜN KODU]],YMKODLARI!$A$1:$K$383,5,0)," ")</f>
        <v xml:space="preserve"> </v>
      </c>
      <c r="R106" s="100" t="str">
        <f>IFERROR(VLOOKUP(Tablo516[[#This Row],[ÜRÜN KODU]],YMKODLARI!$A$1:$K$383,6,0)," ")</f>
        <v xml:space="preserve"> </v>
      </c>
      <c r="S106" s="100" t="str">
        <f>IFERROR(Tablo516[[#This Row],[YOLLUK HARİÇ BASKI GRAMI]]/Tablo516[[#This Row],[KALIP GÖZ ADEDİ]]," ")</f>
        <v xml:space="preserve"> </v>
      </c>
      <c r="T106" s="100" t="str">
        <f t="shared" si="9"/>
        <v xml:space="preserve"> </v>
      </c>
      <c r="U106" s="100"/>
      <c r="V106" s="100" t="str">
        <f t="shared" si="8"/>
        <v xml:space="preserve"> </v>
      </c>
      <c r="W106" s="101">
        <f t="shared" si="10"/>
        <v>24</v>
      </c>
      <c r="X106" s="102">
        <f t="shared" si="11"/>
        <v>0</v>
      </c>
      <c r="Y106" s="100" t="str">
        <f t="shared" si="12"/>
        <v xml:space="preserve"> </v>
      </c>
      <c r="Z106" s="100" t="str">
        <f t="shared" si="13"/>
        <v xml:space="preserve"> </v>
      </c>
    </row>
    <row r="107" spans="1:26">
      <c r="A107" s="100"/>
      <c r="B107" s="108" t="str">
        <f>IFERROR(VLOOKUP(Tablo516[[#This Row],[ÜRÜN KODU]],YMKODLARI!$A$1:$K$383,2,0)," ")</f>
        <v xml:space="preserve"> </v>
      </c>
      <c r="C107" s="99"/>
      <c r="D107" s="100"/>
      <c r="E107" s="101"/>
      <c r="F107" s="101"/>
      <c r="G107" s="100" t="str">
        <f>IFERROR(VLOOKUP(Tablo516[[#This Row],[ÜRÜN KODU]],YMKODLARI!$A$1:$K$383,3,0)," ")</f>
        <v xml:space="preserve"> </v>
      </c>
      <c r="H107" s="100" t="str">
        <f>IFERROR(VLOOKUP(Tablo516[[#This Row],[ÜRÜN KODU]],YMKODLARI!$A$1:$K$383,4,0)," ")</f>
        <v xml:space="preserve"> </v>
      </c>
      <c r="I107" s="100"/>
      <c r="J107" s="100" t="str">
        <f>IFERROR(VLOOKUP(Tablo516[[#This Row],[ÜRÜN KODU]],YMKODLARI!$A$1:$K$383,9,0)," ")</f>
        <v xml:space="preserve"> </v>
      </c>
      <c r="K107" s="100" t="str">
        <f>IFERROR(VLOOKUP(Tablo516[[#This Row],[BOYA KODU]],Tablo14[#All],4,0)," ")</f>
        <v xml:space="preserve"> </v>
      </c>
      <c r="L107" s="100" t="str">
        <f>IFERROR(VLOOKUP(Tablo516[[#This Row],[BOYA KODU]],Tablo14[#All],6,0)," ")</f>
        <v xml:space="preserve"> </v>
      </c>
      <c r="M107" s="100" t="str">
        <f t="shared" si="7"/>
        <v xml:space="preserve"> </v>
      </c>
      <c r="N107" s="100" t="str">
        <f>IFERROR(VLOOKUP(Tablo516[[#This Row],[ÜRÜN KODU]],YMKODLARI!$A$1:$K$383,8,0)," ")</f>
        <v xml:space="preserve"> </v>
      </c>
      <c r="O107" s="100" t="str">
        <f>IFERROR(VLOOKUP(Tablo516[[#This Row],[HAMMADDE KODU]],Tablo1[#All],3,0)," ")</f>
        <v xml:space="preserve"> </v>
      </c>
      <c r="P107" s="100" t="str">
        <f>IFERROR(VLOOKUP(Tablo516[[#This Row],[HAMMADDE KODU]],Tablo1[#All],4,0)," ")</f>
        <v xml:space="preserve"> </v>
      </c>
      <c r="Q107" s="100" t="str">
        <f>IFERROR(VLOOKUP(Tablo516[[#This Row],[ÜRÜN KODU]],YMKODLARI!$A$1:$K$383,5,0)," ")</f>
        <v xml:space="preserve"> </v>
      </c>
      <c r="R107" s="100" t="str">
        <f>IFERROR(VLOOKUP(Tablo516[[#This Row],[ÜRÜN KODU]],YMKODLARI!$A$1:$K$383,6,0)," ")</f>
        <v xml:space="preserve"> </v>
      </c>
      <c r="S107" s="100" t="str">
        <f>IFERROR(Tablo516[[#This Row],[YOLLUK HARİÇ BASKI GRAMI]]/Tablo516[[#This Row],[KALIP GÖZ ADEDİ]]," ")</f>
        <v xml:space="preserve"> </v>
      </c>
      <c r="T107" s="100" t="str">
        <f t="shared" si="9"/>
        <v xml:space="preserve"> </v>
      </c>
      <c r="U107" s="100"/>
      <c r="V107" s="100" t="str">
        <f t="shared" si="8"/>
        <v xml:space="preserve"> </v>
      </c>
      <c r="W107" s="101">
        <f t="shared" si="10"/>
        <v>24</v>
      </c>
      <c r="X107" s="102">
        <f t="shared" si="11"/>
        <v>0</v>
      </c>
      <c r="Y107" s="100" t="str">
        <f t="shared" si="12"/>
        <v xml:space="preserve"> </v>
      </c>
      <c r="Z107" s="100" t="str">
        <f t="shared" si="13"/>
        <v xml:space="preserve"> </v>
      </c>
    </row>
    <row r="108" spans="1:26">
      <c r="A108" s="100"/>
      <c r="B108" s="108" t="str">
        <f>IFERROR(VLOOKUP(Tablo516[[#This Row],[ÜRÜN KODU]],YMKODLARI!$A$1:$K$383,2,0)," ")</f>
        <v xml:space="preserve"> </v>
      </c>
      <c r="C108" s="99"/>
      <c r="D108" s="100"/>
      <c r="E108" s="101"/>
      <c r="F108" s="101"/>
      <c r="G108" s="100" t="str">
        <f>IFERROR(VLOOKUP(Tablo516[[#This Row],[ÜRÜN KODU]],YMKODLARI!$A$1:$K$383,3,0)," ")</f>
        <v xml:space="preserve"> </v>
      </c>
      <c r="H108" s="100" t="str">
        <f>IFERROR(VLOOKUP(Tablo516[[#This Row],[ÜRÜN KODU]],YMKODLARI!$A$1:$K$383,4,0)," ")</f>
        <v xml:space="preserve"> </v>
      </c>
      <c r="I108" s="100"/>
      <c r="J108" s="100" t="str">
        <f>IFERROR(VLOOKUP(Tablo516[[#This Row],[ÜRÜN KODU]],YMKODLARI!$A$1:$K$383,9,0)," ")</f>
        <v xml:space="preserve"> </v>
      </c>
      <c r="K108" s="100" t="str">
        <f>IFERROR(VLOOKUP(Tablo516[[#This Row],[BOYA KODU]],Tablo14[#All],4,0)," ")</f>
        <v xml:space="preserve"> </v>
      </c>
      <c r="L108" s="100" t="str">
        <f>IFERROR(VLOOKUP(Tablo516[[#This Row],[BOYA KODU]],Tablo14[#All],6,0)," ")</f>
        <v xml:space="preserve"> </v>
      </c>
      <c r="M108" s="100" t="str">
        <f t="shared" si="7"/>
        <v xml:space="preserve"> </v>
      </c>
      <c r="N108" s="100" t="str">
        <f>IFERROR(VLOOKUP(Tablo516[[#This Row],[ÜRÜN KODU]],YMKODLARI!$A$1:$K$383,8,0)," ")</f>
        <v xml:space="preserve"> </v>
      </c>
      <c r="O108" s="100" t="str">
        <f>IFERROR(VLOOKUP(Tablo516[[#This Row],[HAMMADDE KODU]],Tablo1[#All],3,0)," ")</f>
        <v xml:space="preserve"> </v>
      </c>
      <c r="P108" s="100" t="str">
        <f>IFERROR(VLOOKUP(Tablo516[[#This Row],[HAMMADDE KODU]],Tablo1[#All],4,0)," ")</f>
        <v xml:space="preserve"> </v>
      </c>
      <c r="Q108" s="100" t="str">
        <f>IFERROR(VLOOKUP(Tablo516[[#This Row],[ÜRÜN KODU]],YMKODLARI!$A$1:$K$383,5,0)," ")</f>
        <v xml:space="preserve"> </v>
      </c>
      <c r="R108" s="100" t="str">
        <f>IFERROR(VLOOKUP(Tablo516[[#This Row],[ÜRÜN KODU]],YMKODLARI!$A$1:$K$383,6,0)," ")</f>
        <v xml:space="preserve"> </v>
      </c>
      <c r="S108" s="100" t="str">
        <f>IFERROR(Tablo516[[#This Row],[YOLLUK HARİÇ BASKI GRAMI]]/Tablo516[[#This Row],[KALIP GÖZ ADEDİ]]," ")</f>
        <v xml:space="preserve"> </v>
      </c>
      <c r="T108" s="100" t="str">
        <f t="shared" si="9"/>
        <v xml:space="preserve"> </v>
      </c>
      <c r="U108" s="100"/>
      <c r="V108" s="100" t="str">
        <f t="shared" si="8"/>
        <v xml:space="preserve"> </v>
      </c>
      <c r="W108" s="101">
        <f t="shared" si="10"/>
        <v>24</v>
      </c>
      <c r="X108" s="102">
        <f t="shared" si="11"/>
        <v>0</v>
      </c>
      <c r="Y108" s="100" t="str">
        <f t="shared" si="12"/>
        <v xml:space="preserve"> </v>
      </c>
      <c r="Z108" s="100" t="str">
        <f t="shared" si="13"/>
        <v xml:space="preserve"> </v>
      </c>
    </row>
    <row r="109" spans="1:26">
      <c r="A109" s="100"/>
      <c r="B109" s="108" t="str">
        <f>IFERROR(VLOOKUP(Tablo516[[#This Row],[ÜRÜN KODU]],YMKODLARI!$A$1:$K$383,2,0)," ")</f>
        <v xml:space="preserve"> </v>
      </c>
      <c r="C109" s="99"/>
      <c r="D109" s="100"/>
      <c r="E109" s="101"/>
      <c r="F109" s="101"/>
      <c r="G109" s="100" t="str">
        <f>IFERROR(VLOOKUP(Tablo516[[#This Row],[ÜRÜN KODU]],YMKODLARI!$A$1:$K$383,3,0)," ")</f>
        <v xml:space="preserve"> </v>
      </c>
      <c r="H109" s="100" t="str">
        <f>IFERROR(VLOOKUP(Tablo516[[#This Row],[ÜRÜN KODU]],YMKODLARI!$A$1:$K$383,4,0)," ")</f>
        <v xml:space="preserve"> </v>
      </c>
      <c r="I109" s="100"/>
      <c r="J109" s="100" t="str">
        <f>IFERROR(VLOOKUP(Tablo516[[#This Row],[ÜRÜN KODU]],YMKODLARI!$A$1:$K$383,9,0)," ")</f>
        <v xml:space="preserve"> </v>
      </c>
      <c r="K109" s="100" t="str">
        <f>IFERROR(VLOOKUP(Tablo516[[#This Row],[BOYA KODU]],Tablo14[#All],4,0)," ")</f>
        <v xml:space="preserve"> </v>
      </c>
      <c r="L109" s="100" t="str">
        <f>IFERROR(VLOOKUP(Tablo516[[#This Row],[BOYA KODU]],Tablo14[#All],6,0)," ")</f>
        <v xml:space="preserve"> </v>
      </c>
      <c r="M109" s="100" t="str">
        <f t="shared" si="7"/>
        <v xml:space="preserve"> </v>
      </c>
      <c r="N109" s="100" t="str">
        <f>IFERROR(VLOOKUP(Tablo516[[#This Row],[ÜRÜN KODU]],YMKODLARI!$A$1:$K$383,8,0)," ")</f>
        <v xml:space="preserve"> </v>
      </c>
      <c r="O109" s="100" t="str">
        <f>IFERROR(VLOOKUP(Tablo516[[#This Row],[HAMMADDE KODU]],Tablo1[#All],3,0)," ")</f>
        <v xml:space="preserve"> </v>
      </c>
      <c r="P109" s="100" t="str">
        <f>IFERROR(VLOOKUP(Tablo516[[#This Row],[HAMMADDE KODU]],Tablo1[#All],4,0)," ")</f>
        <v xml:space="preserve"> </v>
      </c>
      <c r="Q109" s="100" t="str">
        <f>IFERROR(VLOOKUP(Tablo516[[#This Row],[ÜRÜN KODU]],YMKODLARI!$A$1:$K$383,5,0)," ")</f>
        <v xml:space="preserve"> </v>
      </c>
      <c r="R109" s="100" t="str">
        <f>IFERROR(VLOOKUP(Tablo516[[#This Row],[ÜRÜN KODU]],YMKODLARI!$A$1:$K$383,6,0)," ")</f>
        <v xml:space="preserve"> </v>
      </c>
      <c r="S109" s="100" t="str">
        <f>IFERROR(Tablo516[[#This Row],[YOLLUK HARİÇ BASKI GRAMI]]/Tablo516[[#This Row],[KALIP GÖZ ADEDİ]]," ")</f>
        <v xml:space="preserve"> </v>
      </c>
      <c r="T109" s="100" t="str">
        <f t="shared" si="9"/>
        <v xml:space="preserve"> </v>
      </c>
      <c r="U109" s="100"/>
      <c r="V109" s="100" t="str">
        <f t="shared" si="8"/>
        <v xml:space="preserve"> </v>
      </c>
      <c r="W109" s="101">
        <f t="shared" si="10"/>
        <v>24</v>
      </c>
      <c r="X109" s="102">
        <f t="shared" si="11"/>
        <v>0</v>
      </c>
      <c r="Y109" s="100" t="str">
        <f t="shared" si="12"/>
        <v xml:space="preserve"> </v>
      </c>
      <c r="Z109" s="100" t="str">
        <f t="shared" si="13"/>
        <v xml:space="preserve"> </v>
      </c>
    </row>
    <row r="110" spans="1:26">
      <c r="A110" s="100"/>
      <c r="B110" s="108" t="str">
        <f>IFERROR(VLOOKUP(Tablo516[[#This Row],[ÜRÜN KODU]],YMKODLARI!$A$1:$K$383,2,0)," ")</f>
        <v xml:space="preserve"> </v>
      </c>
      <c r="C110" s="99"/>
      <c r="D110" s="100"/>
      <c r="E110" s="101"/>
      <c r="F110" s="101"/>
      <c r="G110" s="100" t="str">
        <f>IFERROR(VLOOKUP(Tablo516[[#This Row],[ÜRÜN KODU]],YMKODLARI!$A$1:$K$383,3,0)," ")</f>
        <v xml:space="preserve"> </v>
      </c>
      <c r="H110" s="100" t="str">
        <f>IFERROR(VLOOKUP(Tablo516[[#This Row],[ÜRÜN KODU]],YMKODLARI!$A$1:$K$383,4,0)," ")</f>
        <v xml:space="preserve"> </v>
      </c>
      <c r="I110" s="100"/>
      <c r="J110" s="100" t="str">
        <f>IFERROR(VLOOKUP(Tablo516[[#This Row],[ÜRÜN KODU]],YMKODLARI!$A$1:$K$383,9,0)," ")</f>
        <v xml:space="preserve"> </v>
      </c>
      <c r="K110" s="100" t="str">
        <f>IFERROR(VLOOKUP(Tablo516[[#This Row],[BOYA KODU]],Tablo14[#All],4,0)," ")</f>
        <v xml:space="preserve"> </v>
      </c>
      <c r="L110" s="100" t="str">
        <f>IFERROR(VLOOKUP(Tablo516[[#This Row],[BOYA KODU]],Tablo14[#All],6,0)," ")</f>
        <v xml:space="preserve"> </v>
      </c>
      <c r="M110" s="100" t="str">
        <f t="shared" si="7"/>
        <v xml:space="preserve"> </v>
      </c>
      <c r="N110" s="100" t="str">
        <f>IFERROR(VLOOKUP(Tablo516[[#This Row],[ÜRÜN KODU]],YMKODLARI!$A$1:$K$383,8,0)," ")</f>
        <v xml:space="preserve"> </v>
      </c>
      <c r="O110" s="100" t="str">
        <f>IFERROR(VLOOKUP(Tablo516[[#This Row],[HAMMADDE KODU]],Tablo1[#All],3,0)," ")</f>
        <v xml:space="preserve"> </v>
      </c>
      <c r="P110" s="100" t="str">
        <f>IFERROR(VLOOKUP(Tablo516[[#This Row],[HAMMADDE KODU]],Tablo1[#All],4,0)," ")</f>
        <v xml:space="preserve"> </v>
      </c>
      <c r="Q110" s="100" t="str">
        <f>IFERROR(VLOOKUP(Tablo516[[#This Row],[ÜRÜN KODU]],YMKODLARI!$A$1:$K$383,5,0)," ")</f>
        <v xml:space="preserve"> </v>
      </c>
      <c r="R110" s="100" t="str">
        <f>IFERROR(VLOOKUP(Tablo516[[#This Row],[ÜRÜN KODU]],YMKODLARI!$A$1:$K$383,6,0)," ")</f>
        <v xml:space="preserve"> </v>
      </c>
      <c r="S110" s="100" t="str">
        <f>IFERROR(Tablo516[[#This Row],[YOLLUK HARİÇ BASKI GRAMI]]/Tablo516[[#This Row],[KALIP GÖZ ADEDİ]]," ")</f>
        <v xml:space="preserve"> </v>
      </c>
      <c r="T110" s="100" t="str">
        <f t="shared" si="9"/>
        <v xml:space="preserve"> </v>
      </c>
      <c r="U110" s="100"/>
      <c r="V110" s="100" t="str">
        <f t="shared" si="8"/>
        <v xml:space="preserve"> </v>
      </c>
      <c r="W110" s="101">
        <f t="shared" si="10"/>
        <v>24</v>
      </c>
      <c r="X110" s="102">
        <f t="shared" si="11"/>
        <v>0</v>
      </c>
      <c r="Y110" s="100" t="str">
        <f t="shared" si="12"/>
        <v xml:space="preserve"> </v>
      </c>
      <c r="Z110" s="100" t="str">
        <f t="shared" si="13"/>
        <v xml:space="preserve"> </v>
      </c>
    </row>
    <row r="111" spans="1:26">
      <c r="A111" s="100"/>
      <c r="B111" s="108" t="str">
        <f>IFERROR(VLOOKUP(Tablo516[[#This Row],[ÜRÜN KODU]],YMKODLARI!$A$1:$K$383,2,0)," ")</f>
        <v xml:space="preserve"> </v>
      </c>
      <c r="C111" s="99"/>
      <c r="D111" s="100"/>
      <c r="E111" s="101"/>
      <c r="F111" s="101"/>
      <c r="G111" s="100" t="str">
        <f>IFERROR(VLOOKUP(Tablo516[[#This Row],[ÜRÜN KODU]],YMKODLARI!$A$1:$K$383,3,0)," ")</f>
        <v xml:space="preserve"> </v>
      </c>
      <c r="H111" s="100" t="str">
        <f>IFERROR(VLOOKUP(Tablo516[[#This Row],[ÜRÜN KODU]],YMKODLARI!$A$1:$K$383,4,0)," ")</f>
        <v xml:space="preserve"> </v>
      </c>
      <c r="I111" s="100"/>
      <c r="J111" s="100" t="str">
        <f>IFERROR(VLOOKUP(Tablo516[[#This Row],[ÜRÜN KODU]],YMKODLARI!$A$1:$K$383,9,0)," ")</f>
        <v xml:space="preserve"> </v>
      </c>
      <c r="K111" s="100" t="str">
        <f>IFERROR(VLOOKUP(Tablo516[[#This Row],[BOYA KODU]],Tablo14[#All],4,0)," ")</f>
        <v xml:space="preserve"> </v>
      </c>
      <c r="L111" s="100" t="str">
        <f>IFERROR(VLOOKUP(Tablo516[[#This Row],[BOYA KODU]],Tablo14[#All],6,0)," ")</f>
        <v xml:space="preserve"> </v>
      </c>
      <c r="M111" s="100" t="str">
        <f t="shared" si="7"/>
        <v xml:space="preserve"> </v>
      </c>
      <c r="N111" s="100" t="str">
        <f>IFERROR(VLOOKUP(Tablo516[[#This Row],[ÜRÜN KODU]],YMKODLARI!$A$1:$K$383,8,0)," ")</f>
        <v xml:space="preserve"> </v>
      </c>
      <c r="O111" s="100" t="str">
        <f>IFERROR(VLOOKUP(Tablo516[[#This Row],[HAMMADDE KODU]],Tablo1[#All],3,0)," ")</f>
        <v xml:space="preserve"> </v>
      </c>
      <c r="P111" s="100" t="str">
        <f>IFERROR(VLOOKUP(Tablo516[[#This Row],[HAMMADDE KODU]],Tablo1[#All],4,0)," ")</f>
        <v xml:space="preserve"> </v>
      </c>
      <c r="Q111" s="100" t="str">
        <f>IFERROR(VLOOKUP(Tablo516[[#This Row],[ÜRÜN KODU]],YMKODLARI!$A$1:$K$383,5,0)," ")</f>
        <v xml:space="preserve"> </v>
      </c>
      <c r="R111" s="100" t="str">
        <f>IFERROR(VLOOKUP(Tablo516[[#This Row],[ÜRÜN KODU]],YMKODLARI!$A$1:$K$383,6,0)," ")</f>
        <v xml:space="preserve"> </v>
      </c>
      <c r="S111" s="100" t="str">
        <f>IFERROR(Tablo516[[#This Row],[YOLLUK HARİÇ BASKI GRAMI]]/Tablo516[[#This Row],[KALIP GÖZ ADEDİ]]," ")</f>
        <v xml:space="preserve"> </v>
      </c>
      <c r="T111" s="100" t="str">
        <f t="shared" si="9"/>
        <v xml:space="preserve"> </v>
      </c>
      <c r="U111" s="100"/>
      <c r="V111" s="100" t="str">
        <f t="shared" si="8"/>
        <v xml:space="preserve"> </v>
      </c>
      <c r="W111" s="101">
        <f t="shared" si="10"/>
        <v>24</v>
      </c>
      <c r="X111" s="102">
        <f t="shared" si="11"/>
        <v>0</v>
      </c>
      <c r="Y111" s="100" t="str">
        <f t="shared" si="12"/>
        <v xml:space="preserve"> </v>
      </c>
      <c r="Z111" s="100" t="str">
        <f t="shared" si="13"/>
        <v xml:space="preserve"> </v>
      </c>
    </row>
    <row r="112" spans="1:26">
      <c r="A112" s="100"/>
      <c r="B112" s="108" t="str">
        <f>IFERROR(VLOOKUP(Tablo516[[#This Row],[ÜRÜN KODU]],YMKODLARI!$A$1:$K$383,2,0)," ")</f>
        <v xml:space="preserve"> </v>
      </c>
      <c r="C112" s="99"/>
      <c r="D112" s="100"/>
      <c r="E112" s="101"/>
      <c r="F112" s="101"/>
      <c r="G112" s="100" t="str">
        <f>IFERROR(VLOOKUP(Tablo516[[#This Row],[ÜRÜN KODU]],YMKODLARI!$A$1:$K$383,3,0)," ")</f>
        <v xml:space="preserve"> </v>
      </c>
      <c r="H112" s="100" t="str">
        <f>IFERROR(VLOOKUP(Tablo516[[#This Row],[ÜRÜN KODU]],YMKODLARI!$A$1:$K$383,4,0)," ")</f>
        <v xml:space="preserve"> </v>
      </c>
      <c r="I112" s="100"/>
      <c r="J112" s="100" t="str">
        <f>IFERROR(VLOOKUP(Tablo516[[#This Row],[ÜRÜN KODU]],YMKODLARI!$A$1:$K$383,9,0)," ")</f>
        <v xml:space="preserve"> </v>
      </c>
      <c r="K112" s="100" t="str">
        <f>IFERROR(VLOOKUP(Tablo516[[#This Row],[BOYA KODU]],Tablo14[#All],4,0)," ")</f>
        <v xml:space="preserve"> </v>
      </c>
      <c r="L112" s="100" t="str">
        <f>IFERROR(VLOOKUP(Tablo516[[#This Row],[BOYA KODU]],Tablo14[#All],6,0)," ")</f>
        <v xml:space="preserve"> </v>
      </c>
      <c r="M112" s="100" t="str">
        <f t="shared" si="7"/>
        <v xml:space="preserve"> </v>
      </c>
      <c r="N112" s="100" t="str">
        <f>IFERROR(VLOOKUP(Tablo516[[#This Row],[ÜRÜN KODU]],YMKODLARI!$A$1:$K$383,8,0)," ")</f>
        <v xml:space="preserve"> </v>
      </c>
      <c r="O112" s="100" t="str">
        <f>IFERROR(VLOOKUP(Tablo516[[#This Row],[HAMMADDE KODU]],Tablo1[#All],3,0)," ")</f>
        <v xml:space="preserve"> </v>
      </c>
      <c r="P112" s="100" t="str">
        <f>IFERROR(VLOOKUP(Tablo516[[#This Row],[HAMMADDE KODU]],Tablo1[#All],4,0)," ")</f>
        <v xml:space="preserve"> </v>
      </c>
      <c r="Q112" s="100" t="str">
        <f>IFERROR(VLOOKUP(Tablo516[[#This Row],[ÜRÜN KODU]],YMKODLARI!$A$1:$K$383,5,0)," ")</f>
        <v xml:space="preserve"> </v>
      </c>
      <c r="R112" s="100" t="str">
        <f>IFERROR(VLOOKUP(Tablo516[[#This Row],[ÜRÜN KODU]],YMKODLARI!$A$1:$K$383,6,0)," ")</f>
        <v xml:space="preserve"> </v>
      </c>
      <c r="S112" s="100" t="str">
        <f>IFERROR(Tablo516[[#This Row],[YOLLUK HARİÇ BASKI GRAMI]]/Tablo516[[#This Row],[KALIP GÖZ ADEDİ]]," ")</f>
        <v xml:space="preserve"> </v>
      </c>
      <c r="T112" s="100" t="str">
        <f t="shared" si="9"/>
        <v xml:space="preserve"> </v>
      </c>
      <c r="U112" s="100"/>
      <c r="V112" s="100" t="str">
        <f t="shared" si="8"/>
        <v xml:space="preserve"> </v>
      </c>
      <c r="W112" s="101">
        <f t="shared" si="10"/>
        <v>24</v>
      </c>
      <c r="X112" s="102">
        <f t="shared" si="11"/>
        <v>0</v>
      </c>
      <c r="Y112" s="100" t="str">
        <f t="shared" si="12"/>
        <v xml:space="preserve"> </v>
      </c>
      <c r="Z112" s="100" t="str">
        <f t="shared" si="13"/>
        <v xml:space="preserve"> </v>
      </c>
    </row>
    <row r="113" spans="1:26">
      <c r="A113" s="100"/>
      <c r="B113" s="108" t="str">
        <f>IFERROR(VLOOKUP(Tablo516[[#This Row],[ÜRÜN KODU]],YMKODLARI!$A$1:$K$383,2,0)," ")</f>
        <v xml:space="preserve"> </v>
      </c>
      <c r="C113" s="99"/>
      <c r="D113" s="100"/>
      <c r="E113" s="101"/>
      <c r="F113" s="101"/>
      <c r="G113" s="100" t="str">
        <f>IFERROR(VLOOKUP(Tablo516[[#This Row],[ÜRÜN KODU]],YMKODLARI!$A$1:$K$383,3,0)," ")</f>
        <v xml:space="preserve"> </v>
      </c>
      <c r="H113" s="100" t="str">
        <f>IFERROR(VLOOKUP(Tablo516[[#This Row],[ÜRÜN KODU]],YMKODLARI!$A$1:$K$383,4,0)," ")</f>
        <v xml:space="preserve"> </v>
      </c>
      <c r="I113" s="100"/>
      <c r="J113" s="100" t="str">
        <f>IFERROR(VLOOKUP(Tablo516[[#This Row],[ÜRÜN KODU]],YMKODLARI!$A$1:$K$383,9,0)," ")</f>
        <v xml:space="preserve"> </v>
      </c>
      <c r="K113" s="100" t="str">
        <f>IFERROR(VLOOKUP(Tablo516[[#This Row],[BOYA KODU]],Tablo14[#All],4,0)," ")</f>
        <v xml:space="preserve"> </v>
      </c>
      <c r="L113" s="100" t="str">
        <f>IFERROR(VLOOKUP(Tablo516[[#This Row],[BOYA KODU]],Tablo14[#All],6,0)," ")</f>
        <v xml:space="preserve"> </v>
      </c>
      <c r="M113" s="100" t="str">
        <f t="shared" si="7"/>
        <v xml:space="preserve"> </v>
      </c>
      <c r="N113" s="100" t="str">
        <f>IFERROR(VLOOKUP(Tablo516[[#This Row],[ÜRÜN KODU]],YMKODLARI!$A$1:$K$383,8,0)," ")</f>
        <v xml:space="preserve"> </v>
      </c>
      <c r="O113" s="100" t="str">
        <f>IFERROR(VLOOKUP(Tablo516[[#This Row],[HAMMADDE KODU]],Tablo1[#All],3,0)," ")</f>
        <v xml:space="preserve"> </v>
      </c>
      <c r="P113" s="100" t="str">
        <f>IFERROR(VLOOKUP(Tablo516[[#This Row],[HAMMADDE KODU]],Tablo1[#All],4,0)," ")</f>
        <v xml:space="preserve"> </v>
      </c>
      <c r="Q113" s="100" t="str">
        <f>IFERROR(VLOOKUP(Tablo516[[#This Row],[ÜRÜN KODU]],YMKODLARI!$A$1:$K$383,5,0)," ")</f>
        <v xml:space="preserve"> </v>
      </c>
      <c r="R113" s="100" t="str">
        <f>IFERROR(VLOOKUP(Tablo516[[#This Row],[ÜRÜN KODU]],YMKODLARI!$A$1:$K$383,6,0)," ")</f>
        <v xml:space="preserve"> </v>
      </c>
      <c r="S113" s="100" t="str">
        <f>IFERROR(Tablo516[[#This Row],[YOLLUK HARİÇ BASKI GRAMI]]/Tablo516[[#This Row],[KALIP GÖZ ADEDİ]]," ")</f>
        <v xml:space="preserve"> </v>
      </c>
      <c r="T113" s="100" t="str">
        <f t="shared" si="9"/>
        <v xml:space="preserve"> </v>
      </c>
      <c r="U113" s="100"/>
      <c r="V113" s="100" t="str">
        <f t="shared" si="8"/>
        <v xml:space="preserve"> </v>
      </c>
      <c r="W113" s="101">
        <f t="shared" si="10"/>
        <v>24</v>
      </c>
      <c r="X113" s="102">
        <f t="shared" si="11"/>
        <v>0</v>
      </c>
      <c r="Y113" s="100" t="str">
        <f t="shared" si="12"/>
        <v xml:space="preserve"> </v>
      </c>
      <c r="Z113" s="100" t="str">
        <f t="shared" si="13"/>
        <v xml:space="preserve"> </v>
      </c>
    </row>
    <row r="114" spans="1:26">
      <c r="A114" s="100"/>
      <c r="B114" s="108" t="str">
        <f>IFERROR(VLOOKUP(Tablo516[[#This Row],[ÜRÜN KODU]],YMKODLARI!$A$1:$K$383,2,0)," ")</f>
        <v xml:space="preserve"> </v>
      </c>
      <c r="C114" s="99"/>
      <c r="D114" s="100"/>
      <c r="E114" s="101"/>
      <c r="F114" s="101"/>
      <c r="G114" s="100" t="str">
        <f>IFERROR(VLOOKUP(Tablo516[[#This Row],[ÜRÜN KODU]],YMKODLARI!$A$1:$K$383,3,0)," ")</f>
        <v xml:space="preserve"> </v>
      </c>
      <c r="H114" s="100" t="str">
        <f>IFERROR(VLOOKUP(Tablo516[[#This Row],[ÜRÜN KODU]],YMKODLARI!$A$1:$K$383,4,0)," ")</f>
        <v xml:space="preserve"> </v>
      </c>
      <c r="I114" s="100"/>
      <c r="J114" s="100" t="str">
        <f>IFERROR(VLOOKUP(Tablo516[[#This Row],[ÜRÜN KODU]],YMKODLARI!$A$1:$K$383,9,0)," ")</f>
        <v xml:space="preserve"> </v>
      </c>
      <c r="K114" s="100" t="str">
        <f>IFERROR(VLOOKUP(Tablo516[[#This Row],[BOYA KODU]],Tablo14[#All],4,0)," ")</f>
        <v xml:space="preserve"> </v>
      </c>
      <c r="L114" s="100" t="str">
        <f>IFERROR(VLOOKUP(Tablo516[[#This Row],[BOYA KODU]],Tablo14[#All],6,0)," ")</f>
        <v xml:space="preserve"> </v>
      </c>
      <c r="M114" s="100" t="str">
        <f t="shared" si="7"/>
        <v xml:space="preserve"> </v>
      </c>
      <c r="N114" s="100" t="str">
        <f>IFERROR(VLOOKUP(Tablo516[[#This Row],[ÜRÜN KODU]],YMKODLARI!$A$1:$K$383,8,0)," ")</f>
        <v xml:space="preserve"> </v>
      </c>
      <c r="O114" s="100" t="str">
        <f>IFERROR(VLOOKUP(Tablo516[[#This Row],[HAMMADDE KODU]],Tablo1[#All],3,0)," ")</f>
        <v xml:space="preserve"> </v>
      </c>
      <c r="P114" s="100" t="str">
        <f>IFERROR(VLOOKUP(Tablo516[[#This Row],[HAMMADDE KODU]],Tablo1[#All],4,0)," ")</f>
        <v xml:space="preserve"> </v>
      </c>
      <c r="Q114" s="100" t="str">
        <f>IFERROR(VLOOKUP(Tablo516[[#This Row],[ÜRÜN KODU]],YMKODLARI!$A$1:$K$383,5,0)," ")</f>
        <v xml:space="preserve"> </v>
      </c>
      <c r="R114" s="100" t="str">
        <f>IFERROR(VLOOKUP(Tablo516[[#This Row],[ÜRÜN KODU]],YMKODLARI!$A$1:$K$383,6,0)," ")</f>
        <v xml:space="preserve"> </v>
      </c>
      <c r="S114" s="100" t="str">
        <f>IFERROR(Tablo516[[#This Row],[YOLLUK HARİÇ BASKI GRAMI]]/Tablo516[[#This Row],[KALIP GÖZ ADEDİ]]," ")</f>
        <v xml:space="preserve"> </v>
      </c>
      <c r="T114" s="100" t="str">
        <f t="shared" si="9"/>
        <v xml:space="preserve"> </v>
      </c>
      <c r="U114" s="100"/>
      <c r="V114" s="100" t="str">
        <f t="shared" si="8"/>
        <v xml:space="preserve"> </v>
      </c>
      <c r="W114" s="101">
        <f t="shared" si="10"/>
        <v>24</v>
      </c>
      <c r="X114" s="102">
        <f t="shared" si="11"/>
        <v>0</v>
      </c>
      <c r="Y114" s="100" t="str">
        <f t="shared" si="12"/>
        <v xml:space="preserve"> </v>
      </c>
      <c r="Z114" s="100" t="str">
        <f t="shared" si="13"/>
        <v xml:space="preserve"> </v>
      </c>
    </row>
    <row r="115" spans="1:26">
      <c r="A115" s="100"/>
      <c r="B115" s="108" t="str">
        <f>IFERROR(VLOOKUP(Tablo516[[#This Row],[ÜRÜN KODU]],YMKODLARI!$A$1:$K$383,2,0)," ")</f>
        <v xml:space="preserve"> </v>
      </c>
      <c r="C115" s="99"/>
      <c r="D115" s="100"/>
      <c r="E115" s="101"/>
      <c r="F115" s="101"/>
      <c r="G115" s="100" t="str">
        <f>IFERROR(VLOOKUP(Tablo516[[#This Row],[ÜRÜN KODU]],YMKODLARI!$A$1:$K$383,3,0)," ")</f>
        <v xml:space="preserve"> </v>
      </c>
      <c r="H115" s="100" t="str">
        <f>IFERROR(VLOOKUP(Tablo516[[#This Row],[ÜRÜN KODU]],YMKODLARI!$A$1:$K$383,4,0)," ")</f>
        <v xml:space="preserve"> </v>
      </c>
      <c r="I115" s="100"/>
      <c r="J115" s="100" t="str">
        <f>IFERROR(VLOOKUP(Tablo516[[#This Row],[ÜRÜN KODU]],YMKODLARI!$A$1:$K$383,9,0)," ")</f>
        <v xml:space="preserve"> </v>
      </c>
      <c r="K115" s="100" t="str">
        <f>IFERROR(VLOOKUP(Tablo516[[#This Row],[BOYA KODU]],Tablo14[#All],4,0)," ")</f>
        <v xml:space="preserve"> </v>
      </c>
      <c r="L115" s="100" t="str">
        <f>IFERROR(VLOOKUP(Tablo516[[#This Row],[BOYA KODU]],Tablo14[#All],6,0)," ")</f>
        <v xml:space="preserve"> </v>
      </c>
      <c r="M115" s="100" t="str">
        <f t="shared" si="7"/>
        <v xml:space="preserve"> </v>
      </c>
      <c r="N115" s="100" t="str">
        <f>IFERROR(VLOOKUP(Tablo516[[#This Row],[ÜRÜN KODU]],YMKODLARI!$A$1:$K$383,8,0)," ")</f>
        <v xml:space="preserve"> </v>
      </c>
      <c r="O115" s="100" t="str">
        <f>IFERROR(VLOOKUP(Tablo516[[#This Row],[HAMMADDE KODU]],Tablo1[#All],3,0)," ")</f>
        <v xml:space="preserve"> </v>
      </c>
      <c r="P115" s="100" t="str">
        <f>IFERROR(VLOOKUP(Tablo516[[#This Row],[HAMMADDE KODU]],Tablo1[#All],4,0)," ")</f>
        <v xml:space="preserve"> </v>
      </c>
      <c r="Q115" s="100" t="str">
        <f>IFERROR(VLOOKUP(Tablo516[[#This Row],[ÜRÜN KODU]],YMKODLARI!$A$1:$K$383,5,0)," ")</f>
        <v xml:space="preserve"> </v>
      </c>
      <c r="R115" s="100" t="str">
        <f>IFERROR(VLOOKUP(Tablo516[[#This Row],[ÜRÜN KODU]],YMKODLARI!$A$1:$K$383,6,0)," ")</f>
        <v xml:space="preserve"> </v>
      </c>
      <c r="S115" s="100" t="str">
        <f>IFERROR(Tablo516[[#This Row],[YOLLUK HARİÇ BASKI GRAMI]]/Tablo516[[#This Row],[KALIP GÖZ ADEDİ]]," ")</f>
        <v xml:space="preserve"> </v>
      </c>
      <c r="T115" s="100" t="str">
        <f t="shared" si="9"/>
        <v xml:space="preserve"> </v>
      </c>
      <c r="U115" s="100"/>
      <c r="V115" s="100" t="str">
        <f t="shared" si="8"/>
        <v xml:space="preserve"> </v>
      </c>
      <c r="W115" s="101">
        <f t="shared" si="10"/>
        <v>24</v>
      </c>
      <c r="X115" s="102">
        <f t="shared" si="11"/>
        <v>0</v>
      </c>
      <c r="Y115" s="100" t="str">
        <f t="shared" si="12"/>
        <v xml:space="preserve"> </v>
      </c>
      <c r="Z115" s="100" t="str">
        <f t="shared" si="13"/>
        <v xml:space="preserve"> </v>
      </c>
    </row>
    <row r="116" spans="1:26">
      <c r="A116" s="100"/>
      <c r="B116" s="108" t="str">
        <f>IFERROR(VLOOKUP(Tablo516[[#This Row],[ÜRÜN KODU]],YMKODLARI!$A$1:$K$383,2,0)," ")</f>
        <v xml:space="preserve"> </v>
      </c>
      <c r="C116" s="99"/>
      <c r="D116" s="100"/>
      <c r="E116" s="101"/>
      <c r="F116" s="101"/>
      <c r="G116" s="100" t="str">
        <f>IFERROR(VLOOKUP(Tablo516[[#This Row],[ÜRÜN KODU]],YMKODLARI!$A$1:$K$383,3,0)," ")</f>
        <v xml:space="preserve"> </v>
      </c>
      <c r="H116" s="100" t="str">
        <f>IFERROR(VLOOKUP(Tablo516[[#This Row],[ÜRÜN KODU]],YMKODLARI!$A$1:$K$383,4,0)," ")</f>
        <v xml:space="preserve"> </v>
      </c>
      <c r="I116" s="100"/>
      <c r="J116" s="100" t="str">
        <f>IFERROR(VLOOKUP(Tablo516[[#This Row],[ÜRÜN KODU]],YMKODLARI!$A$1:$K$383,9,0)," ")</f>
        <v xml:space="preserve"> </v>
      </c>
      <c r="K116" s="100" t="str">
        <f>IFERROR(VLOOKUP(Tablo516[[#This Row],[BOYA KODU]],Tablo14[#All],4,0)," ")</f>
        <v xml:space="preserve"> </v>
      </c>
      <c r="L116" s="100" t="str">
        <f>IFERROR(VLOOKUP(Tablo516[[#This Row],[BOYA KODU]],Tablo14[#All],6,0)," ")</f>
        <v xml:space="preserve"> </v>
      </c>
      <c r="M116" s="100" t="str">
        <f t="shared" si="7"/>
        <v xml:space="preserve"> </v>
      </c>
      <c r="N116" s="100" t="str">
        <f>IFERROR(VLOOKUP(Tablo516[[#This Row],[ÜRÜN KODU]],YMKODLARI!$A$1:$K$383,8,0)," ")</f>
        <v xml:space="preserve"> </v>
      </c>
      <c r="O116" s="100" t="str">
        <f>IFERROR(VLOOKUP(Tablo516[[#This Row],[HAMMADDE KODU]],Tablo1[#All],3,0)," ")</f>
        <v xml:space="preserve"> </v>
      </c>
      <c r="P116" s="100" t="str">
        <f>IFERROR(VLOOKUP(Tablo516[[#This Row],[HAMMADDE KODU]],Tablo1[#All],4,0)," ")</f>
        <v xml:space="preserve"> </v>
      </c>
      <c r="Q116" s="100" t="str">
        <f>IFERROR(VLOOKUP(Tablo516[[#This Row],[ÜRÜN KODU]],YMKODLARI!$A$1:$K$383,5,0)," ")</f>
        <v xml:space="preserve"> </v>
      </c>
      <c r="R116" s="100" t="str">
        <f>IFERROR(VLOOKUP(Tablo516[[#This Row],[ÜRÜN KODU]],YMKODLARI!$A$1:$K$383,6,0)," ")</f>
        <v xml:space="preserve"> </v>
      </c>
      <c r="S116" s="100" t="str">
        <f>IFERROR(Tablo516[[#This Row],[YOLLUK HARİÇ BASKI GRAMI]]/Tablo516[[#This Row],[KALIP GÖZ ADEDİ]]," ")</f>
        <v xml:space="preserve"> </v>
      </c>
      <c r="T116" s="100" t="str">
        <f t="shared" si="9"/>
        <v xml:space="preserve"> </v>
      </c>
      <c r="U116" s="100"/>
      <c r="V116" s="100" t="str">
        <f t="shared" si="8"/>
        <v xml:space="preserve"> </v>
      </c>
      <c r="W116" s="101">
        <f t="shared" si="10"/>
        <v>24</v>
      </c>
      <c r="X116" s="102">
        <f t="shared" si="11"/>
        <v>0</v>
      </c>
      <c r="Y116" s="100" t="str">
        <f t="shared" si="12"/>
        <v xml:space="preserve"> </v>
      </c>
      <c r="Z116" s="100" t="str">
        <f t="shared" si="13"/>
        <v xml:space="preserve"> </v>
      </c>
    </row>
    <row r="117" spans="1:26">
      <c r="A117" s="100"/>
      <c r="B117" s="108" t="str">
        <f>IFERROR(VLOOKUP(Tablo516[[#This Row],[ÜRÜN KODU]],YMKODLARI!$A$1:$K$383,2,0)," ")</f>
        <v xml:space="preserve"> </v>
      </c>
      <c r="C117" s="99"/>
      <c r="D117" s="100"/>
      <c r="E117" s="101"/>
      <c r="F117" s="101"/>
      <c r="G117" s="100" t="str">
        <f>IFERROR(VLOOKUP(Tablo516[[#This Row],[ÜRÜN KODU]],YMKODLARI!$A$1:$K$383,3,0)," ")</f>
        <v xml:space="preserve"> </v>
      </c>
      <c r="H117" s="100" t="str">
        <f>IFERROR(VLOOKUP(Tablo516[[#This Row],[ÜRÜN KODU]],YMKODLARI!$A$1:$K$383,4,0)," ")</f>
        <v xml:space="preserve"> </v>
      </c>
      <c r="I117" s="100"/>
      <c r="J117" s="100" t="str">
        <f>IFERROR(VLOOKUP(Tablo516[[#This Row],[ÜRÜN KODU]],YMKODLARI!$A$1:$K$383,9,0)," ")</f>
        <v xml:space="preserve"> </v>
      </c>
      <c r="K117" s="100" t="str">
        <f>IFERROR(VLOOKUP(Tablo516[[#This Row],[BOYA KODU]],Tablo14[#All],4,0)," ")</f>
        <v xml:space="preserve"> </v>
      </c>
      <c r="L117" s="100" t="str">
        <f>IFERROR(VLOOKUP(Tablo516[[#This Row],[BOYA KODU]],Tablo14[#All],6,0)," ")</f>
        <v xml:space="preserve"> </v>
      </c>
      <c r="M117" s="100" t="str">
        <f t="shared" si="7"/>
        <v xml:space="preserve"> </v>
      </c>
      <c r="N117" s="100" t="str">
        <f>IFERROR(VLOOKUP(Tablo516[[#This Row],[ÜRÜN KODU]],YMKODLARI!$A$1:$K$383,8,0)," ")</f>
        <v xml:space="preserve"> </v>
      </c>
      <c r="O117" s="100" t="str">
        <f>IFERROR(VLOOKUP(Tablo516[[#This Row],[HAMMADDE KODU]],Tablo1[#All],3,0)," ")</f>
        <v xml:space="preserve"> </v>
      </c>
      <c r="P117" s="100" t="str">
        <f>IFERROR(VLOOKUP(Tablo516[[#This Row],[HAMMADDE KODU]],Tablo1[#All],4,0)," ")</f>
        <v xml:space="preserve"> </v>
      </c>
      <c r="Q117" s="100" t="str">
        <f>IFERROR(VLOOKUP(Tablo516[[#This Row],[ÜRÜN KODU]],YMKODLARI!$A$1:$K$383,5,0)," ")</f>
        <v xml:space="preserve"> </v>
      </c>
      <c r="R117" s="100" t="str">
        <f>IFERROR(VLOOKUP(Tablo516[[#This Row],[ÜRÜN KODU]],YMKODLARI!$A$1:$K$383,6,0)," ")</f>
        <v xml:space="preserve"> </v>
      </c>
      <c r="S117" s="100" t="str">
        <f>IFERROR(Tablo516[[#This Row],[YOLLUK HARİÇ BASKI GRAMI]]/Tablo516[[#This Row],[KALIP GÖZ ADEDİ]]," ")</f>
        <v xml:space="preserve"> </v>
      </c>
      <c r="T117" s="100" t="str">
        <f t="shared" si="9"/>
        <v xml:space="preserve"> </v>
      </c>
      <c r="U117" s="100"/>
      <c r="V117" s="100" t="str">
        <f t="shared" si="8"/>
        <v xml:space="preserve"> </v>
      </c>
      <c r="W117" s="101">
        <f t="shared" si="10"/>
        <v>24</v>
      </c>
      <c r="X117" s="102">
        <f t="shared" si="11"/>
        <v>0</v>
      </c>
      <c r="Y117" s="100" t="str">
        <f t="shared" si="12"/>
        <v xml:space="preserve"> </v>
      </c>
      <c r="Z117" s="100" t="str">
        <f t="shared" si="13"/>
        <v xml:space="preserve"> </v>
      </c>
    </row>
    <row r="118" spans="1:26">
      <c r="A118" s="100"/>
      <c r="B118" s="108" t="str">
        <f>IFERROR(VLOOKUP(Tablo516[[#This Row],[ÜRÜN KODU]],YMKODLARI!$A$1:$K$383,2,0)," ")</f>
        <v xml:space="preserve"> </v>
      </c>
      <c r="C118" s="99"/>
      <c r="D118" s="100"/>
      <c r="E118" s="101"/>
      <c r="F118" s="101"/>
      <c r="G118" s="100" t="str">
        <f>IFERROR(VLOOKUP(Tablo516[[#This Row],[ÜRÜN KODU]],YMKODLARI!$A$1:$K$383,3,0)," ")</f>
        <v xml:space="preserve"> </v>
      </c>
      <c r="H118" s="100" t="str">
        <f>IFERROR(VLOOKUP(Tablo516[[#This Row],[ÜRÜN KODU]],YMKODLARI!$A$1:$K$383,4,0)," ")</f>
        <v xml:space="preserve"> </v>
      </c>
      <c r="I118" s="100"/>
      <c r="J118" s="100" t="str">
        <f>IFERROR(VLOOKUP(Tablo516[[#This Row],[ÜRÜN KODU]],YMKODLARI!$A$1:$K$383,9,0)," ")</f>
        <v xml:space="preserve"> </v>
      </c>
      <c r="K118" s="100" t="str">
        <f>IFERROR(VLOOKUP(Tablo516[[#This Row],[BOYA KODU]],Tablo14[#All],4,0)," ")</f>
        <v xml:space="preserve"> </v>
      </c>
      <c r="L118" s="100" t="str">
        <f>IFERROR(VLOOKUP(Tablo516[[#This Row],[BOYA KODU]],Tablo14[#All],6,0)," ")</f>
        <v xml:space="preserve"> </v>
      </c>
      <c r="M118" s="100" t="str">
        <f t="shared" si="7"/>
        <v xml:space="preserve"> </v>
      </c>
      <c r="N118" s="100" t="str">
        <f>IFERROR(VLOOKUP(Tablo516[[#This Row],[ÜRÜN KODU]],YMKODLARI!$A$1:$K$383,8,0)," ")</f>
        <v xml:space="preserve"> </v>
      </c>
      <c r="O118" s="100" t="str">
        <f>IFERROR(VLOOKUP(Tablo516[[#This Row],[HAMMADDE KODU]],Tablo1[#All],3,0)," ")</f>
        <v xml:space="preserve"> </v>
      </c>
      <c r="P118" s="100" t="str">
        <f>IFERROR(VLOOKUP(Tablo516[[#This Row],[HAMMADDE KODU]],Tablo1[#All],4,0)," ")</f>
        <v xml:space="preserve"> </v>
      </c>
      <c r="Q118" s="100" t="str">
        <f>IFERROR(VLOOKUP(Tablo516[[#This Row],[ÜRÜN KODU]],YMKODLARI!$A$1:$K$383,5,0)," ")</f>
        <v xml:space="preserve"> </v>
      </c>
      <c r="R118" s="100" t="str">
        <f>IFERROR(VLOOKUP(Tablo516[[#This Row],[ÜRÜN KODU]],YMKODLARI!$A$1:$K$383,6,0)," ")</f>
        <v xml:space="preserve"> </v>
      </c>
      <c r="S118" s="100" t="str">
        <f>IFERROR(Tablo516[[#This Row],[YOLLUK HARİÇ BASKI GRAMI]]/Tablo516[[#This Row],[KALIP GÖZ ADEDİ]]," ")</f>
        <v xml:space="preserve"> </v>
      </c>
      <c r="T118" s="100" t="str">
        <f t="shared" si="9"/>
        <v xml:space="preserve"> </v>
      </c>
      <c r="U118" s="100"/>
      <c r="V118" s="100" t="str">
        <f t="shared" si="8"/>
        <v xml:space="preserve"> </v>
      </c>
      <c r="W118" s="101">
        <f t="shared" si="10"/>
        <v>24</v>
      </c>
      <c r="X118" s="102">
        <f t="shared" si="11"/>
        <v>0</v>
      </c>
      <c r="Y118" s="100" t="str">
        <f t="shared" si="12"/>
        <v xml:space="preserve"> </v>
      </c>
      <c r="Z118" s="100" t="str">
        <f t="shared" si="13"/>
        <v xml:space="preserve"> </v>
      </c>
    </row>
    <row r="119" spans="1:26">
      <c r="A119" s="100"/>
      <c r="B119" s="108" t="str">
        <f>IFERROR(VLOOKUP(Tablo516[[#This Row],[ÜRÜN KODU]],YMKODLARI!$A$1:$K$383,2,0)," ")</f>
        <v xml:space="preserve"> </v>
      </c>
      <c r="C119" s="99"/>
      <c r="D119" s="100"/>
      <c r="E119" s="101"/>
      <c r="F119" s="101"/>
      <c r="G119" s="100" t="str">
        <f>IFERROR(VLOOKUP(Tablo516[[#This Row],[ÜRÜN KODU]],YMKODLARI!$A$1:$K$383,3,0)," ")</f>
        <v xml:space="preserve"> </v>
      </c>
      <c r="H119" s="100" t="str">
        <f>IFERROR(VLOOKUP(Tablo516[[#This Row],[ÜRÜN KODU]],YMKODLARI!$A$1:$K$383,4,0)," ")</f>
        <v xml:space="preserve"> </v>
      </c>
      <c r="I119" s="100"/>
      <c r="J119" s="100" t="str">
        <f>IFERROR(VLOOKUP(Tablo516[[#This Row],[ÜRÜN KODU]],YMKODLARI!$A$1:$K$383,9,0)," ")</f>
        <v xml:space="preserve"> </v>
      </c>
      <c r="K119" s="100" t="str">
        <f>IFERROR(VLOOKUP(Tablo516[[#This Row],[BOYA KODU]],Tablo14[#All],4,0)," ")</f>
        <v xml:space="preserve"> </v>
      </c>
      <c r="L119" s="100" t="str">
        <f>IFERROR(VLOOKUP(Tablo516[[#This Row],[BOYA KODU]],Tablo14[#All],6,0)," ")</f>
        <v xml:space="preserve"> </v>
      </c>
      <c r="M119" s="100" t="str">
        <f t="shared" si="7"/>
        <v xml:space="preserve"> </v>
      </c>
      <c r="N119" s="100" t="str">
        <f>IFERROR(VLOOKUP(Tablo516[[#This Row],[ÜRÜN KODU]],YMKODLARI!$A$1:$K$383,8,0)," ")</f>
        <v xml:space="preserve"> </v>
      </c>
      <c r="O119" s="100" t="str">
        <f>IFERROR(VLOOKUP(Tablo516[[#This Row],[HAMMADDE KODU]],Tablo1[#All],3,0)," ")</f>
        <v xml:space="preserve"> </v>
      </c>
      <c r="P119" s="100" t="str">
        <f>IFERROR(VLOOKUP(Tablo516[[#This Row],[HAMMADDE KODU]],Tablo1[#All],4,0)," ")</f>
        <v xml:space="preserve"> </v>
      </c>
      <c r="Q119" s="100" t="str">
        <f>IFERROR(VLOOKUP(Tablo516[[#This Row],[ÜRÜN KODU]],YMKODLARI!$A$1:$K$383,5,0)," ")</f>
        <v xml:space="preserve"> </v>
      </c>
      <c r="R119" s="100" t="str">
        <f>IFERROR(VLOOKUP(Tablo516[[#This Row],[ÜRÜN KODU]],YMKODLARI!$A$1:$K$383,6,0)," ")</f>
        <v xml:space="preserve"> </v>
      </c>
      <c r="S119" s="100" t="str">
        <f>IFERROR(Tablo516[[#This Row],[YOLLUK HARİÇ BASKI GRAMI]]/Tablo516[[#This Row],[KALIP GÖZ ADEDİ]]," ")</f>
        <v xml:space="preserve"> </v>
      </c>
      <c r="T119" s="100" t="str">
        <f t="shared" si="9"/>
        <v xml:space="preserve"> </v>
      </c>
      <c r="U119" s="100"/>
      <c r="V119" s="100" t="str">
        <f t="shared" si="8"/>
        <v xml:space="preserve"> </v>
      </c>
      <c r="W119" s="101">
        <f t="shared" si="10"/>
        <v>24</v>
      </c>
      <c r="X119" s="102">
        <f t="shared" si="11"/>
        <v>0</v>
      </c>
      <c r="Y119" s="100" t="str">
        <f t="shared" si="12"/>
        <v xml:space="preserve"> </v>
      </c>
      <c r="Z119" s="100" t="str">
        <f t="shared" si="13"/>
        <v xml:space="preserve"> </v>
      </c>
    </row>
    <row r="120" spans="1:26">
      <c r="A120" s="100"/>
      <c r="B120" s="108" t="str">
        <f>IFERROR(VLOOKUP(Tablo516[[#This Row],[ÜRÜN KODU]],YMKODLARI!$A$1:$K$383,2,0)," ")</f>
        <v xml:space="preserve"> </v>
      </c>
      <c r="C120" s="99"/>
      <c r="D120" s="100"/>
      <c r="E120" s="101"/>
      <c r="F120" s="101"/>
      <c r="G120" s="100" t="str">
        <f>IFERROR(VLOOKUP(Tablo516[[#This Row],[ÜRÜN KODU]],YMKODLARI!$A$1:$K$383,3,0)," ")</f>
        <v xml:space="preserve"> </v>
      </c>
      <c r="H120" s="100" t="str">
        <f>IFERROR(VLOOKUP(Tablo516[[#This Row],[ÜRÜN KODU]],YMKODLARI!$A$1:$K$383,4,0)," ")</f>
        <v xml:space="preserve"> </v>
      </c>
      <c r="I120" s="100"/>
      <c r="J120" s="100" t="str">
        <f>IFERROR(VLOOKUP(Tablo516[[#This Row],[ÜRÜN KODU]],YMKODLARI!$A$1:$K$383,9,0)," ")</f>
        <v xml:space="preserve"> </v>
      </c>
      <c r="K120" s="100" t="str">
        <f>IFERROR(VLOOKUP(Tablo516[[#This Row],[BOYA KODU]],Tablo14[#All],4,0)," ")</f>
        <v xml:space="preserve"> </v>
      </c>
      <c r="L120" s="100" t="str">
        <f>IFERROR(VLOOKUP(Tablo516[[#This Row],[BOYA KODU]],Tablo14[#All],6,0)," ")</f>
        <v xml:space="preserve"> </v>
      </c>
      <c r="M120" s="100" t="str">
        <f t="shared" si="7"/>
        <v xml:space="preserve"> </v>
      </c>
      <c r="N120" s="100" t="str">
        <f>IFERROR(VLOOKUP(Tablo516[[#This Row],[ÜRÜN KODU]],YMKODLARI!$A$1:$K$383,8,0)," ")</f>
        <v xml:space="preserve"> </v>
      </c>
      <c r="O120" s="100" t="str">
        <f>IFERROR(VLOOKUP(Tablo516[[#This Row],[HAMMADDE KODU]],Tablo1[#All],3,0)," ")</f>
        <v xml:space="preserve"> </v>
      </c>
      <c r="P120" s="100" t="str">
        <f>IFERROR(VLOOKUP(Tablo516[[#This Row],[HAMMADDE KODU]],Tablo1[#All],4,0)," ")</f>
        <v xml:space="preserve"> </v>
      </c>
      <c r="Q120" s="100" t="str">
        <f>IFERROR(VLOOKUP(Tablo516[[#This Row],[ÜRÜN KODU]],YMKODLARI!$A$1:$K$383,5,0)," ")</f>
        <v xml:space="preserve"> </v>
      </c>
      <c r="R120" s="100" t="str">
        <f>IFERROR(VLOOKUP(Tablo516[[#This Row],[ÜRÜN KODU]],YMKODLARI!$A$1:$K$383,6,0)," ")</f>
        <v xml:space="preserve"> </v>
      </c>
      <c r="S120" s="100" t="str">
        <f>IFERROR(Tablo516[[#This Row],[YOLLUK HARİÇ BASKI GRAMI]]/Tablo516[[#This Row],[KALIP GÖZ ADEDİ]]," ")</f>
        <v xml:space="preserve"> </v>
      </c>
      <c r="T120" s="100" t="str">
        <f t="shared" si="9"/>
        <v xml:space="preserve"> </v>
      </c>
      <c r="U120" s="100"/>
      <c r="V120" s="100" t="str">
        <f t="shared" si="8"/>
        <v xml:space="preserve"> </v>
      </c>
      <c r="W120" s="101">
        <f t="shared" si="10"/>
        <v>24</v>
      </c>
      <c r="X120" s="102">
        <f t="shared" si="11"/>
        <v>0</v>
      </c>
      <c r="Y120" s="100" t="str">
        <f t="shared" si="12"/>
        <v xml:space="preserve"> </v>
      </c>
      <c r="Z120" s="100" t="str">
        <f t="shared" si="13"/>
        <v xml:space="preserve"> </v>
      </c>
    </row>
    <row r="121" spans="1:26">
      <c r="A121" s="100"/>
      <c r="B121" s="108" t="str">
        <f>IFERROR(VLOOKUP(Tablo516[[#This Row],[ÜRÜN KODU]],YMKODLARI!$A$1:$K$383,2,0)," ")</f>
        <v xml:space="preserve"> </v>
      </c>
      <c r="C121" s="99"/>
      <c r="D121" s="100"/>
      <c r="E121" s="101"/>
      <c r="F121" s="101"/>
      <c r="G121" s="100" t="str">
        <f>IFERROR(VLOOKUP(Tablo516[[#This Row],[ÜRÜN KODU]],YMKODLARI!$A$1:$K$383,3,0)," ")</f>
        <v xml:space="preserve"> </v>
      </c>
      <c r="H121" s="100" t="str">
        <f>IFERROR(VLOOKUP(Tablo516[[#This Row],[ÜRÜN KODU]],YMKODLARI!$A$1:$K$383,4,0)," ")</f>
        <v xml:space="preserve"> </v>
      </c>
      <c r="I121" s="100"/>
      <c r="J121" s="100" t="str">
        <f>IFERROR(VLOOKUP(Tablo516[[#This Row],[ÜRÜN KODU]],YMKODLARI!$A$1:$K$383,9,0)," ")</f>
        <v xml:space="preserve"> </v>
      </c>
      <c r="K121" s="100" t="str">
        <f>IFERROR(VLOOKUP(Tablo516[[#This Row],[BOYA KODU]],Tablo14[#All],4,0)," ")</f>
        <v xml:space="preserve"> </v>
      </c>
      <c r="L121" s="100" t="str">
        <f>IFERROR(VLOOKUP(Tablo516[[#This Row],[BOYA KODU]],Tablo14[#All],6,0)," ")</f>
        <v xml:space="preserve"> </v>
      </c>
      <c r="M121" s="100" t="str">
        <f t="shared" si="7"/>
        <v xml:space="preserve"> </v>
      </c>
      <c r="N121" s="100" t="str">
        <f>IFERROR(VLOOKUP(Tablo516[[#This Row],[ÜRÜN KODU]],YMKODLARI!$A$1:$K$383,8,0)," ")</f>
        <v xml:space="preserve"> </v>
      </c>
      <c r="O121" s="100" t="str">
        <f>IFERROR(VLOOKUP(Tablo516[[#This Row],[HAMMADDE KODU]],Tablo1[#All],3,0)," ")</f>
        <v xml:space="preserve"> </v>
      </c>
      <c r="P121" s="100" t="str">
        <f>IFERROR(VLOOKUP(Tablo516[[#This Row],[HAMMADDE KODU]],Tablo1[#All],4,0)," ")</f>
        <v xml:space="preserve"> </v>
      </c>
      <c r="Q121" s="100" t="str">
        <f>IFERROR(VLOOKUP(Tablo516[[#This Row],[ÜRÜN KODU]],YMKODLARI!$A$1:$K$383,5,0)," ")</f>
        <v xml:space="preserve"> </v>
      </c>
      <c r="R121" s="100" t="str">
        <f>IFERROR(VLOOKUP(Tablo516[[#This Row],[ÜRÜN KODU]],YMKODLARI!$A$1:$K$383,6,0)," ")</f>
        <v xml:space="preserve"> </v>
      </c>
      <c r="S121" s="100" t="str">
        <f>IFERROR(Tablo516[[#This Row],[YOLLUK HARİÇ BASKI GRAMI]]/Tablo516[[#This Row],[KALIP GÖZ ADEDİ]]," ")</f>
        <v xml:space="preserve"> </v>
      </c>
      <c r="T121" s="100" t="str">
        <f t="shared" si="9"/>
        <v xml:space="preserve"> </v>
      </c>
      <c r="U121" s="100"/>
      <c r="V121" s="100" t="str">
        <f t="shared" si="8"/>
        <v xml:space="preserve"> </v>
      </c>
      <c r="W121" s="101">
        <f t="shared" si="10"/>
        <v>24</v>
      </c>
      <c r="X121" s="102">
        <f t="shared" si="11"/>
        <v>0</v>
      </c>
      <c r="Y121" s="100" t="str">
        <f t="shared" si="12"/>
        <v xml:space="preserve"> </v>
      </c>
      <c r="Z121" s="100" t="str">
        <f t="shared" si="13"/>
        <v xml:space="preserve"> </v>
      </c>
    </row>
    <row r="122" spans="1:26">
      <c r="A122" s="100"/>
      <c r="B122" s="108" t="str">
        <f>IFERROR(VLOOKUP(Tablo516[[#This Row],[ÜRÜN KODU]],YMKODLARI!$A$1:$K$383,2,0)," ")</f>
        <v xml:space="preserve"> </v>
      </c>
      <c r="C122" s="99"/>
      <c r="D122" s="100"/>
      <c r="E122" s="101"/>
      <c r="F122" s="101"/>
      <c r="G122" s="100" t="str">
        <f>IFERROR(VLOOKUP(Tablo516[[#This Row],[ÜRÜN KODU]],YMKODLARI!$A$1:$K$383,3,0)," ")</f>
        <v xml:space="preserve"> </v>
      </c>
      <c r="H122" s="100" t="str">
        <f>IFERROR(VLOOKUP(Tablo516[[#This Row],[ÜRÜN KODU]],YMKODLARI!$A$1:$K$383,4,0)," ")</f>
        <v xml:space="preserve"> </v>
      </c>
      <c r="I122" s="100"/>
      <c r="J122" s="100" t="str">
        <f>IFERROR(VLOOKUP(Tablo516[[#This Row],[ÜRÜN KODU]],YMKODLARI!$A$1:$K$383,9,0)," ")</f>
        <v xml:space="preserve"> </v>
      </c>
      <c r="K122" s="100" t="str">
        <f>IFERROR(VLOOKUP(Tablo516[[#This Row],[BOYA KODU]],Tablo14[#All],4,0)," ")</f>
        <v xml:space="preserve"> </v>
      </c>
      <c r="L122" s="100" t="str">
        <f>IFERROR(VLOOKUP(Tablo516[[#This Row],[BOYA KODU]],Tablo14[#All],6,0)," ")</f>
        <v xml:space="preserve"> </v>
      </c>
      <c r="M122" s="100" t="str">
        <f t="shared" si="7"/>
        <v xml:space="preserve"> </v>
      </c>
      <c r="N122" s="100" t="str">
        <f>IFERROR(VLOOKUP(Tablo516[[#This Row],[ÜRÜN KODU]],YMKODLARI!$A$1:$K$383,8,0)," ")</f>
        <v xml:space="preserve"> </v>
      </c>
      <c r="O122" s="100" t="str">
        <f>IFERROR(VLOOKUP(Tablo516[[#This Row],[HAMMADDE KODU]],Tablo1[#All],3,0)," ")</f>
        <v xml:space="preserve"> </v>
      </c>
      <c r="P122" s="100" t="str">
        <f>IFERROR(VLOOKUP(Tablo516[[#This Row],[HAMMADDE KODU]],Tablo1[#All],4,0)," ")</f>
        <v xml:space="preserve"> </v>
      </c>
      <c r="Q122" s="100" t="str">
        <f>IFERROR(VLOOKUP(Tablo516[[#This Row],[ÜRÜN KODU]],YMKODLARI!$A$1:$K$383,5,0)," ")</f>
        <v xml:space="preserve"> </v>
      </c>
      <c r="R122" s="100" t="str">
        <f>IFERROR(VLOOKUP(Tablo516[[#This Row],[ÜRÜN KODU]],YMKODLARI!$A$1:$K$383,6,0)," ")</f>
        <v xml:space="preserve"> </v>
      </c>
      <c r="S122" s="100" t="str">
        <f>IFERROR(Tablo516[[#This Row],[YOLLUK HARİÇ BASKI GRAMI]]/Tablo516[[#This Row],[KALIP GÖZ ADEDİ]]," ")</f>
        <v xml:space="preserve"> </v>
      </c>
      <c r="T122" s="100" t="str">
        <f t="shared" si="9"/>
        <v xml:space="preserve"> </v>
      </c>
      <c r="U122" s="100"/>
      <c r="V122" s="100" t="str">
        <f t="shared" si="8"/>
        <v xml:space="preserve"> </v>
      </c>
      <c r="W122" s="101">
        <f t="shared" si="10"/>
        <v>24</v>
      </c>
      <c r="X122" s="102">
        <f t="shared" si="11"/>
        <v>0</v>
      </c>
      <c r="Y122" s="100" t="str">
        <f t="shared" si="12"/>
        <v xml:space="preserve"> </v>
      </c>
      <c r="Z122" s="100" t="str">
        <f t="shared" si="13"/>
        <v xml:space="preserve"> </v>
      </c>
    </row>
    <row r="123" spans="1:26">
      <c r="A123" s="100"/>
      <c r="B123" s="108" t="str">
        <f>IFERROR(VLOOKUP(Tablo516[[#This Row],[ÜRÜN KODU]],YMKODLARI!$A$1:$K$383,2,0)," ")</f>
        <v xml:space="preserve"> </v>
      </c>
      <c r="C123" s="99"/>
      <c r="D123" s="100"/>
      <c r="E123" s="101"/>
      <c r="F123" s="101"/>
      <c r="G123" s="100" t="str">
        <f>IFERROR(VLOOKUP(Tablo516[[#This Row],[ÜRÜN KODU]],YMKODLARI!$A$1:$K$383,3,0)," ")</f>
        <v xml:space="preserve"> </v>
      </c>
      <c r="H123" s="100" t="str">
        <f>IFERROR(VLOOKUP(Tablo516[[#This Row],[ÜRÜN KODU]],YMKODLARI!$A$1:$K$383,4,0)," ")</f>
        <v xml:space="preserve"> </v>
      </c>
      <c r="I123" s="100"/>
      <c r="J123" s="100" t="str">
        <f>IFERROR(VLOOKUP(Tablo516[[#This Row],[ÜRÜN KODU]],YMKODLARI!$A$1:$K$383,9,0)," ")</f>
        <v xml:space="preserve"> </v>
      </c>
      <c r="K123" s="100" t="str">
        <f>IFERROR(VLOOKUP(Tablo516[[#This Row],[BOYA KODU]],Tablo14[#All],4,0)," ")</f>
        <v xml:space="preserve"> </v>
      </c>
      <c r="L123" s="100" t="str">
        <f>IFERROR(VLOOKUP(Tablo516[[#This Row],[BOYA KODU]],Tablo14[#All],6,0)," ")</f>
        <v xml:space="preserve"> </v>
      </c>
      <c r="M123" s="100" t="str">
        <f t="shared" si="7"/>
        <v xml:space="preserve"> </v>
      </c>
      <c r="N123" s="100" t="str">
        <f>IFERROR(VLOOKUP(Tablo516[[#This Row],[ÜRÜN KODU]],YMKODLARI!$A$1:$K$383,8,0)," ")</f>
        <v xml:space="preserve"> </v>
      </c>
      <c r="O123" s="100" t="str">
        <f>IFERROR(VLOOKUP(Tablo516[[#This Row],[HAMMADDE KODU]],Tablo1[#All],3,0)," ")</f>
        <v xml:space="preserve"> </v>
      </c>
      <c r="P123" s="100" t="str">
        <f>IFERROR(VLOOKUP(Tablo516[[#This Row],[HAMMADDE KODU]],Tablo1[#All],4,0)," ")</f>
        <v xml:space="preserve"> </v>
      </c>
      <c r="Q123" s="100" t="str">
        <f>IFERROR(VLOOKUP(Tablo516[[#This Row],[ÜRÜN KODU]],YMKODLARI!$A$1:$K$383,5,0)," ")</f>
        <v xml:space="preserve"> </v>
      </c>
      <c r="R123" s="100" t="str">
        <f>IFERROR(VLOOKUP(Tablo516[[#This Row],[ÜRÜN KODU]],YMKODLARI!$A$1:$K$383,6,0)," ")</f>
        <v xml:space="preserve"> </v>
      </c>
      <c r="S123" s="100" t="str">
        <f>IFERROR(Tablo516[[#This Row],[YOLLUK HARİÇ BASKI GRAMI]]/Tablo516[[#This Row],[KALIP GÖZ ADEDİ]]," ")</f>
        <v xml:space="preserve"> </v>
      </c>
      <c r="T123" s="100" t="str">
        <f t="shared" si="9"/>
        <v xml:space="preserve"> </v>
      </c>
      <c r="U123" s="100"/>
      <c r="V123" s="100" t="str">
        <f t="shared" si="8"/>
        <v xml:space="preserve"> </v>
      </c>
      <c r="W123" s="101">
        <f t="shared" si="10"/>
        <v>24</v>
      </c>
      <c r="X123" s="102">
        <f t="shared" si="11"/>
        <v>0</v>
      </c>
      <c r="Y123" s="100" t="str">
        <f t="shared" si="12"/>
        <v xml:space="preserve"> </v>
      </c>
      <c r="Z123" s="100" t="str">
        <f t="shared" si="13"/>
        <v xml:space="preserve"> </v>
      </c>
    </row>
    <row r="124" spans="1:26">
      <c r="A124" s="100"/>
      <c r="B124" s="108" t="str">
        <f>IFERROR(VLOOKUP(Tablo516[[#This Row],[ÜRÜN KODU]],YMKODLARI!$A$1:$K$383,2,0)," ")</f>
        <v xml:space="preserve"> </v>
      </c>
      <c r="C124" s="99"/>
      <c r="D124" s="100"/>
      <c r="E124" s="101"/>
      <c r="F124" s="101"/>
      <c r="G124" s="100" t="str">
        <f>IFERROR(VLOOKUP(Tablo516[[#This Row],[ÜRÜN KODU]],YMKODLARI!$A$1:$K$383,3,0)," ")</f>
        <v xml:space="preserve"> </v>
      </c>
      <c r="H124" s="100" t="str">
        <f>IFERROR(VLOOKUP(Tablo516[[#This Row],[ÜRÜN KODU]],YMKODLARI!$A$1:$K$383,4,0)," ")</f>
        <v xml:space="preserve"> </v>
      </c>
      <c r="I124" s="100"/>
      <c r="J124" s="100" t="str">
        <f>IFERROR(VLOOKUP(Tablo516[[#This Row],[ÜRÜN KODU]],YMKODLARI!$A$1:$K$383,9,0)," ")</f>
        <v xml:space="preserve"> </v>
      </c>
      <c r="K124" s="100" t="str">
        <f>IFERROR(VLOOKUP(Tablo516[[#This Row],[BOYA KODU]],Tablo14[#All],4,0)," ")</f>
        <v xml:space="preserve"> </v>
      </c>
      <c r="L124" s="100" t="str">
        <f>IFERROR(VLOOKUP(Tablo516[[#This Row],[BOYA KODU]],Tablo14[#All],6,0)," ")</f>
        <v xml:space="preserve"> </v>
      </c>
      <c r="M124" s="100" t="str">
        <f t="shared" si="7"/>
        <v xml:space="preserve"> </v>
      </c>
      <c r="N124" s="100" t="str">
        <f>IFERROR(VLOOKUP(Tablo516[[#This Row],[ÜRÜN KODU]],YMKODLARI!$A$1:$K$383,8,0)," ")</f>
        <v xml:space="preserve"> </v>
      </c>
      <c r="O124" s="100" t="str">
        <f>IFERROR(VLOOKUP(Tablo516[[#This Row],[HAMMADDE KODU]],Tablo1[#All],3,0)," ")</f>
        <v xml:space="preserve"> </v>
      </c>
      <c r="P124" s="100" t="str">
        <f>IFERROR(VLOOKUP(Tablo516[[#This Row],[HAMMADDE KODU]],Tablo1[#All],4,0)," ")</f>
        <v xml:space="preserve"> </v>
      </c>
      <c r="Q124" s="100" t="str">
        <f>IFERROR(VLOOKUP(Tablo516[[#This Row],[ÜRÜN KODU]],YMKODLARI!$A$1:$K$383,5,0)," ")</f>
        <v xml:space="preserve"> </v>
      </c>
      <c r="R124" s="100" t="str">
        <f>IFERROR(VLOOKUP(Tablo516[[#This Row],[ÜRÜN KODU]],YMKODLARI!$A$1:$K$383,6,0)," ")</f>
        <v xml:space="preserve"> </v>
      </c>
      <c r="S124" s="100" t="str">
        <f>IFERROR(Tablo516[[#This Row],[YOLLUK HARİÇ BASKI GRAMI]]/Tablo516[[#This Row],[KALIP GÖZ ADEDİ]]," ")</f>
        <v xml:space="preserve"> </v>
      </c>
      <c r="T124" s="100" t="str">
        <f t="shared" si="9"/>
        <v xml:space="preserve"> </v>
      </c>
      <c r="U124" s="100"/>
      <c r="V124" s="100" t="str">
        <f t="shared" si="8"/>
        <v xml:space="preserve"> </v>
      </c>
      <c r="W124" s="101">
        <f t="shared" si="10"/>
        <v>24</v>
      </c>
      <c r="X124" s="102">
        <f t="shared" si="11"/>
        <v>0</v>
      </c>
      <c r="Y124" s="100" t="str">
        <f t="shared" si="12"/>
        <v xml:space="preserve"> </v>
      </c>
      <c r="Z124" s="100" t="str">
        <f t="shared" si="13"/>
        <v xml:space="preserve"> </v>
      </c>
    </row>
    <row r="125" spans="1:26">
      <c r="A125" s="100"/>
      <c r="B125" s="108" t="str">
        <f>IFERROR(VLOOKUP(Tablo516[[#This Row],[ÜRÜN KODU]],YMKODLARI!$A$1:$K$383,2,0)," ")</f>
        <v xml:space="preserve"> </v>
      </c>
      <c r="C125" s="99"/>
      <c r="D125" s="100"/>
      <c r="E125" s="101"/>
      <c r="F125" s="101"/>
      <c r="G125" s="100" t="str">
        <f>IFERROR(VLOOKUP(Tablo516[[#This Row],[ÜRÜN KODU]],YMKODLARI!$A$1:$K$383,3,0)," ")</f>
        <v xml:space="preserve"> </v>
      </c>
      <c r="H125" s="100" t="str">
        <f>IFERROR(VLOOKUP(Tablo516[[#This Row],[ÜRÜN KODU]],YMKODLARI!$A$1:$K$383,4,0)," ")</f>
        <v xml:space="preserve"> </v>
      </c>
      <c r="I125" s="100"/>
      <c r="J125" s="100" t="str">
        <f>IFERROR(VLOOKUP(Tablo516[[#This Row],[ÜRÜN KODU]],YMKODLARI!$A$1:$K$383,9,0)," ")</f>
        <v xml:space="preserve"> </v>
      </c>
      <c r="K125" s="100" t="str">
        <f>IFERROR(VLOOKUP(Tablo516[[#This Row],[BOYA KODU]],Tablo14[#All],4,0)," ")</f>
        <v xml:space="preserve"> </v>
      </c>
      <c r="L125" s="100" t="str">
        <f>IFERROR(VLOOKUP(Tablo516[[#This Row],[BOYA KODU]],Tablo14[#All],6,0)," ")</f>
        <v xml:space="preserve"> </v>
      </c>
      <c r="M125" s="100" t="str">
        <f t="shared" si="7"/>
        <v xml:space="preserve"> </v>
      </c>
      <c r="N125" s="100" t="str">
        <f>IFERROR(VLOOKUP(Tablo516[[#This Row],[ÜRÜN KODU]],YMKODLARI!$A$1:$K$383,8,0)," ")</f>
        <v xml:space="preserve"> </v>
      </c>
      <c r="O125" s="100" t="str">
        <f>IFERROR(VLOOKUP(Tablo516[[#This Row],[HAMMADDE KODU]],Tablo1[#All],3,0)," ")</f>
        <v xml:space="preserve"> </v>
      </c>
      <c r="P125" s="100" t="str">
        <f>IFERROR(VLOOKUP(Tablo516[[#This Row],[HAMMADDE KODU]],Tablo1[#All],4,0)," ")</f>
        <v xml:space="preserve"> </v>
      </c>
      <c r="Q125" s="100" t="str">
        <f>IFERROR(VLOOKUP(Tablo516[[#This Row],[ÜRÜN KODU]],YMKODLARI!$A$1:$K$383,5,0)," ")</f>
        <v xml:space="preserve"> </v>
      </c>
      <c r="R125" s="100" t="str">
        <f>IFERROR(VLOOKUP(Tablo516[[#This Row],[ÜRÜN KODU]],YMKODLARI!$A$1:$K$383,6,0)," ")</f>
        <v xml:space="preserve"> </v>
      </c>
      <c r="S125" s="100" t="str">
        <f>IFERROR(Tablo516[[#This Row],[YOLLUK HARİÇ BASKI GRAMI]]/Tablo516[[#This Row],[KALIP GÖZ ADEDİ]]," ")</f>
        <v xml:space="preserve"> </v>
      </c>
      <c r="T125" s="100" t="str">
        <f t="shared" si="9"/>
        <v xml:space="preserve"> </v>
      </c>
      <c r="U125" s="100"/>
      <c r="V125" s="100" t="str">
        <f t="shared" si="8"/>
        <v xml:space="preserve"> </v>
      </c>
      <c r="W125" s="101">
        <f t="shared" si="10"/>
        <v>24</v>
      </c>
      <c r="X125" s="102">
        <f t="shared" si="11"/>
        <v>0</v>
      </c>
      <c r="Y125" s="100" t="str">
        <f t="shared" si="12"/>
        <v xml:space="preserve"> </v>
      </c>
      <c r="Z125" s="100" t="str">
        <f t="shared" si="13"/>
        <v xml:space="preserve"> </v>
      </c>
    </row>
    <row r="126" spans="1:26">
      <c r="A126" s="100"/>
      <c r="B126" s="108" t="str">
        <f>IFERROR(VLOOKUP(Tablo516[[#This Row],[ÜRÜN KODU]],YMKODLARI!$A$1:$K$383,2,0)," ")</f>
        <v xml:space="preserve"> </v>
      </c>
      <c r="C126" s="99"/>
      <c r="D126" s="100"/>
      <c r="E126" s="101"/>
      <c r="F126" s="101"/>
      <c r="G126" s="100" t="str">
        <f>IFERROR(VLOOKUP(Tablo516[[#This Row],[ÜRÜN KODU]],YMKODLARI!$A$1:$K$383,3,0)," ")</f>
        <v xml:space="preserve"> </v>
      </c>
      <c r="H126" s="100" t="str">
        <f>IFERROR(VLOOKUP(Tablo516[[#This Row],[ÜRÜN KODU]],YMKODLARI!$A$1:$K$383,4,0)," ")</f>
        <v xml:space="preserve"> </v>
      </c>
      <c r="I126" s="100"/>
      <c r="J126" s="100" t="str">
        <f>IFERROR(VLOOKUP(Tablo516[[#This Row],[ÜRÜN KODU]],YMKODLARI!$A$1:$K$383,9,0)," ")</f>
        <v xml:space="preserve"> </v>
      </c>
      <c r="K126" s="100" t="str">
        <f>IFERROR(VLOOKUP(Tablo516[[#This Row],[BOYA KODU]],Tablo14[#All],4,0)," ")</f>
        <v xml:space="preserve"> </v>
      </c>
      <c r="L126" s="100" t="str">
        <f>IFERROR(VLOOKUP(Tablo516[[#This Row],[BOYA KODU]],Tablo14[#All],6,0)," ")</f>
        <v xml:space="preserve"> </v>
      </c>
      <c r="M126" s="100" t="str">
        <f t="shared" si="7"/>
        <v xml:space="preserve"> </v>
      </c>
      <c r="N126" s="100" t="str">
        <f>IFERROR(VLOOKUP(Tablo516[[#This Row],[ÜRÜN KODU]],YMKODLARI!$A$1:$K$383,8,0)," ")</f>
        <v xml:space="preserve"> </v>
      </c>
      <c r="O126" s="100" t="str">
        <f>IFERROR(VLOOKUP(Tablo516[[#This Row],[HAMMADDE KODU]],Tablo1[#All],3,0)," ")</f>
        <v xml:space="preserve"> </v>
      </c>
      <c r="P126" s="100" t="str">
        <f>IFERROR(VLOOKUP(Tablo516[[#This Row],[HAMMADDE KODU]],Tablo1[#All],4,0)," ")</f>
        <v xml:space="preserve"> </v>
      </c>
      <c r="Q126" s="100" t="str">
        <f>IFERROR(VLOOKUP(Tablo516[[#This Row],[ÜRÜN KODU]],YMKODLARI!$A$1:$K$383,5,0)," ")</f>
        <v xml:space="preserve"> </v>
      </c>
      <c r="R126" s="100" t="str">
        <f>IFERROR(VLOOKUP(Tablo516[[#This Row],[ÜRÜN KODU]],YMKODLARI!$A$1:$K$383,6,0)," ")</f>
        <v xml:space="preserve"> </v>
      </c>
      <c r="S126" s="100" t="str">
        <f>IFERROR(Tablo516[[#This Row],[YOLLUK HARİÇ BASKI GRAMI]]/Tablo516[[#This Row],[KALIP GÖZ ADEDİ]]," ")</f>
        <v xml:space="preserve"> </v>
      </c>
      <c r="T126" s="100" t="str">
        <f t="shared" si="9"/>
        <v xml:space="preserve"> </v>
      </c>
      <c r="U126" s="100"/>
      <c r="V126" s="100" t="str">
        <f t="shared" si="8"/>
        <v xml:space="preserve"> </v>
      </c>
      <c r="W126" s="101">
        <f t="shared" si="10"/>
        <v>24</v>
      </c>
      <c r="X126" s="102">
        <f t="shared" si="11"/>
        <v>0</v>
      </c>
      <c r="Y126" s="100" t="str">
        <f t="shared" si="12"/>
        <v xml:space="preserve"> </v>
      </c>
      <c r="Z126" s="100" t="str">
        <f t="shared" si="13"/>
        <v xml:space="preserve"> </v>
      </c>
    </row>
    <row r="127" spans="1:26">
      <c r="A127" s="100"/>
      <c r="B127" s="108" t="str">
        <f>IFERROR(VLOOKUP(Tablo516[[#This Row],[ÜRÜN KODU]],YMKODLARI!$A$1:$K$383,2,0)," ")</f>
        <v xml:space="preserve"> </v>
      </c>
      <c r="C127" s="99"/>
      <c r="D127" s="100"/>
      <c r="E127" s="101"/>
      <c r="F127" s="101"/>
      <c r="G127" s="100" t="str">
        <f>IFERROR(VLOOKUP(Tablo516[[#This Row],[ÜRÜN KODU]],YMKODLARI!$A$1:$K$383,3,0)," ")</f>
        <v xml:space="preserve"> </v>
      </c>
      <c r="H127" s="100" t="str">
        <f>IFERROR(VLOOKUP(Tablo516[[#This Row],[ÜRÜN KODU]],YMKODLARI!$A$1:$K$383,4,0)," ")</f>
        <v xml:space="preserve"> </v>
      </c>
      <c r="I127" s="100"/>
      <c r="J127" s="100" t="str">
        <f>IFERROR(VLOOKUP(Tablo516[[#This Row],[ÜRÜN KODU]],YMKODLARI!$A$1:$K$383,9,0)," ")</f>
        <v xml:space="preserve"> </v>
      </c>
      <c r="K127" s="100" t="str">
        <f>IFERROR(VLOOKUP(Tablo516[[#This Row],[BOYA KODU]],Tablo14[#All],4,0)," ")</f>
        <v xml:space="preserve"> </v>
      </c>
      <c r="L127" s="100" t="str">
        <f>IFERROR(VLOOKUP(Tablo516[[#This Row],[BOYA KODU]],Tablo14[#All],6,0)," ")</f>
        <v xml:space="preserve"> </v>
      </c>
      <c r="M127" s="100" t="str">
        <f t="shared" si="7"/>
        <v xml:space="preserve"> </v>
      </c>
      <c r="N127" s="100" t="str">
        <f>IFERROR(VLOOKUP(Tablo516[[#This Row],[ÜRÜN KODU]],YMKODLARI!$A$1:$K$383,8,0)," ")</f>
        <v xml:space="preserve"> </v>
      </c>
      <c r="O127" s="100" t="str">
        <f>IFERROR(VLOOKUP(Tablo516[[#This Row],[HAMMADDE KODU]],Tablo1[#All],3,0)," ")</f>
        <v xml:space="preserve"> </v>
      </c>
      <c r="P127" s="100" t="str">
        <f>IFERROR(VLOOKUP(Tablo516[[#This Row],[HAMMADDE KODU]],Tablo1[#All],4,0)," ")</f>
        <v xml:space="preserve"> </v>
      </c>
      <c r="Q127" s="100" t="str">
        <f>IFERROR(VLOOKUP(Tablo516[[#This Row],[ÜRÜN KODU]],YMKODLARI!$A$1:$K$383,5,0)," ")</f>
        <v xml:space="preserve"> </v>
      </c>
      <c r="R127" s="100" t="str">
        <f>IFERROR(VLOOKUP(Tablo516[[#This Row],[ÜRÜN KODU]],YMKODLARI!$A$1:$K$383,6,0)," ")</f>
        <v xml:space="preserve"> </v>
      </c>
      <c r="S127" s="100" t="str">
        <f>IFERROR(Tablo516[[#This Row],[YOLLUK HARİÇ BASKI GRAMI]]/Tablo516[[#This Row],[KALIP GÖZ ADEDİ]]," ")</f>
        <v xml:space="preserve"> </v>
      </c>
      <c r="T127" s="100" t="str">
        <f t="shared" si="9"/>
        <v xml:space="preserve"> </v>
      </c>
      <c r="U127" s="100"/>
      <c r="V127" s="100" t="str">
        <f t="shared" si="8"/>
        <v xml:space="preserve"> </v>
      </c>
      <c r="W127" s="101">
        <f t="shared" si="10"/>
        <v>24</v>
      </c>
      <c r="X127" s="102">
        <f t="shared" si="11"/>
        <v>0</v>
      </c>
      <c r="Y127" s="100" t="str">
        <f t="shared" si="12"/>
        <v xml:space="preserve"> </v>
      </c>
      <c r="Z127" s="100" t="str">
        <f t="shared" si="13"/>
        <v xml:space="preserve"> </v>
      </c>
    </row>
    <row r="128" spans="1:26">
      <c r="A128" s="100"/>
      <c r="B128" s="108" t="str">
        <f>IFERROR(VLOOKUP(Tablo516[[#This Row],[ÜRÜN KODU]],YMKODLARI!$A$1:$K$383,2,0)," ")</f>
        <v xml:space="preserve"> </v>
      </c>
      <c r="C128" s="99"/>
      <c r="D128" s="100"/>
      <c r="E128" s="101"/>
      <c r="F128" s="101"/>
      <c r="G128" s="100" t="str">
        <f>IFERROR(VLOOKUP(Tablo516[[#This Row],[ÜRÜN KODU]],YMKODLARI!$A$1:$K$383,3,0)," ")</f>
        <v xml:space="preserve"> </v>
      </c>
      <c r="H128" s="100" t="str">
        <f>IFERROR(VLOOKUP(Tablo516[[#This Row],[ÜRÜN KODU]],YMKODLARI!$A$1:$K$383,4,0)," ")</f>
        <v xml:space="preserve"> </v>
      </c>
      <c r="I128" s="100"/>
      <c r="J128" s="100" t="str">
        <f>IFERROR(VLOOKUP(Tablo516[[#This Row],[ÜRÜN KODU]],YMKODLARI!$A$1:$K$383,9,0)," ")</f>
        <v xml:space="preserve"> </v>
      </c>
      <c r="K128" s="100" t="str">
        <f>IFERROR(VLOOKUP(Tablo516[[#This Row],[BOYA KODU]],Tablo14[#All],4,0)," ")</f>
        <v xml:space="preserve"> </v>
      </c>
      <c r="L128" s="100" t="str">
        <f>IFERROR(VLOOKUP(Tablo516[[#This Row],[BOYA KODU]],Tablo14[#All],6,0)," ")</f>
        <v xml:space="preserve"> </v>
      </c>
      <c r="M128" s="100" t="str">
        <f t="shared" si="7"/>
        <v xml:space="preserve"> </v>
      </c>
      <c r="N128" s="100" t="str">
        <f>IFERROR(VLOOKUP(Tablo516[[#This Row],[ÜRÜN KODU]],YMKODLARI!$A$1:$K$383,8,0)," ")</f>
        <v xml:space="preserve"> </v>
      </c>
      <c r="O128" s="100" t="str">
        <f>IFERROR(VLOOKUP(Tablo516[[#This Row],[HAMMADDE KODU]],Tablo1[#All],3,0)," ")</f>
        <v xml:space="preserve"> </v>
      </c>
      <c r="P128" s="100" t="str">
        <f>IFERROR(VLOOKUP(Tablo516[[#This Row],[HAMMADDE KODU]],Tablo1[#All],4,0)," ")</f>
        <v xml:space="preserve"> </v>
      </c>
      <c r="Q128" s="100" t="str">
        <f>IFERROR(VLOOKUP(Tablo516[[#This Row],[ÜRÜN KODU]],YMKODLARI!$A$1:$K$383,5,0)," ")</f>
        <v xml:space="preserve"> </v>
      </c>
      <c r="R128" s="100" t="str">
        <f>IFERROR(VLOOKUP(Tablo516[[#This Row],[ÜRÜN KODU]],YMKODLARI!$A$1:$K$383,6,0)," ")</f>
        <v xml:space="preserve"> </v>
      </c>
      <c r="S128" s="100" t="str">
        <f>IFERROR(Tablo516[[#This Row],[YOLLUK HARİÇ BASKI GRAMI]]/Tablo516[[#This Row],[KALIP GÖZ ADEDİ]]," ")</f>
        <v xml:space="preserve"> </v>
      </c>
      <c r="T128" s="100" t="str">
        <f t="shared" si="9"/>
        <v xml:space="preserve"> </v>
      </c>
      <c r="U128" s="100"/>
      <c r="V128" s="100" t="str">
        <f t="shared" si="8"/>
        <v xml:space="preserve"> </v>
      </c>
      <c r="W128" s="101">
        <f t="shared" si="10"/>
        <v>24</v>
      </c>
      <c r="X128" s="102">
        <f t="shared" si="11"/>
        <v>0</v>
      </c>
      <c r="Y128" s="100" t="str">
        <f t="shared" si="12"/>
        <v xml:space="preserve"> </v>
      </c>
      <c r="Z128" s="100" t="str">
        <f t="shared" si="13"/>
        <v xml:space="preserve"> </v>
      </c>
    </row>
    <row r="129" spans="1:26">
      <c r="A129" s="100"/>
      <c r="B129" s="108" t="str">
        <f>IFERROR(VLOOKUP(Tablo516[[#This Row],[ÜRÜN KODU]],YMKODLARI!$A$1:$K$383,2,0)," ")</f>
        <v xml:space="preserve"> </v>
      </c>
      <c r="C129" s="99"/>
      <c r="D129" s="100"/>
      <c r="E129" s="101"/>
      <c r="F129" s="101"/>
      <c r="G129" s="100" t="str">
        <f>IFERROR(VLOOKUP(Tablo516[[#This Row],[ÜRÜN KODU]],YMKODLARI!$A$1:$K$383,3,0)," ")</f>
        <v xml:space="preserve"> </v>
      </c>
      <c r="H129" s="100" t="str">
        <f>IFERROR(VLOOKUP(Tablo516[[#This Row],[ÜRÜN KODU]],YMKODLARI!$A$1:$K$383,4,0)," ")</f>
        <v xml:space="preserve"> </v>
      </c>
      <c r="I129" s="100"/>
      <c r="J129" s="100" t="str">
        <f>IFERROR(VLOOKUP(Tablo516[[#This Row],[ÜRÜN KODU]],YMKODLARI!$A$1:$K$383,9,0)," ")</f>
        <v xml:space="preserve"> </v>
      </c>
      <c r="K129" s="100" t="str">
        <f>IFERROR(VLOOKUP(Tablo516[[#This Row],[BOYA KODU]],Tablo14[#All],4,0)," ")</f>
        <v xml:space="preserve"> </v>
      </c>
      <c r="L129" s="100" t="str">
        <f>IFERROR(VLOOKUP(Tablo516[[#This Row],[BOYA KODU]],Tablo14[#All],6,0)," ")</f>
        <v xml:space="preserve"> </v>
      </c>
      <c r="M129" s="100" t="str">
        <f t="shared" si="7"/>
        <v xml:space="preserve"> </v>
      </c>
      <c r="N129" s="100" t="str">
        <f>IFERROR(VLOOKUP(Tablo516[[#This Row],[ÜRÜN KODU]],YMKODLARI!$A$1:$K$383,8,0)," ")</f>
        <v xml:space="preserve"> </v>
      </c>
      <c r="O129" s="100" t="str">
        <f>IFERROR(VLOOKUP(Tablo516[[#This Row],[HAMMADDE KODU]],Tablo1[#All],3,0)," ")</f>
        <v xml:space="preserve"> </v>
      </c>
      <c r="P129" s="100" t="str">
        <f>IFERROR(VLOOKUP(Tablo516[[#This Row],[HAMMADDE KODU]],Tablo1[#All],4,0)," ")</f>
        <v xml:space="preserve"> </v>
      </c>
      <c r="Q129" s="100" t="str">
        <f>IFERROR(VLOOKUP(Tablo516[[#This Row],[ÜRÜN KODU]],YMKODLARI!$A$1:$K$383,5,0)," ")</f>
        <v xml:space="preserve"> </v>
      </c>
      <c r="R129" s="100" t="str">
        <f>IFERROR(VLOOKUP(Tablo516[[#This Row],[ÜRÜN KODU]],YMKODLARI!$A$1:$K$383,6,0)," ")</f>
        <v xml:space="preserve"> </v>
      </c>
      <c r="S129" s="100" t="str">
        <f>IFERROR(Tablo516[[#This Row],[YOLLUK HARİÇ BASKI GRAMI]]/Tablo516[[#This Row],[KALIP GÖZ ADEDİ]]," ")</f>
        <v xml:space="preserve"> </v>
      </c>
      <c r="T129" s="100" t="str">
        <f t="shared" si="9"/>
        <v xml:space="preserve"> </v>
      </c>
      <c r="U129" s="100"/>
      <c r="V129" s="100" t="str">
        <f t="shared" si="8"/>
        <v xml:space="preserve"> </v>
      </c>
      <c r="W129" s="101">
        <f t="shared" si="10"/>
        <v>24</v>
      </c>
      <c r="X129" s="102">
        <f t="shared" si="11"/>
        <v>0</v>
      </c>
      <c r="Y129" s="100" t="str">
        <f t="shared" si="12"/>
        <v xml:space="preserve"> </v>
      </c>
      <c r="Z129" s="100" t="str">
        <f t="shared" si="13"/>
        <v xml:space="preserve"> </v>
      </c>
    </row>
    <row r="130" spans="1:26">
      <c r="A130" s="100"/>
      <c r="B130" s="108" t="str">
        <f>IFERROR(VLOOKUP(Tablo516[[#This Row],[ÜRÜN KODU]],YMKODLARI!$A$1:$K$383,2,0)," ")</f>
        <v xml:space="preserve"> </v>
      </c>
      <c r="C130" s="99"/>
      <c r="D130" s="100"/>
      <c r="E130" s="101"/>
      <c r="F130" s="101"/>
      <c r="G130" s="100" t="str">
        <f>IFERROR(VLOOKUP(Tablo516[[#This Row],[ÜRÜN KODU]],YMKODLARI!$A$1:$K$383,3,0)," ")</f>
        <v xml:space="preserve"> </v>
      </c>
      <c r="H130" s="100" t="str">
        <f>IFERROR(VLOOKUP(Tablo516[[#This Row],[ÜRÜN KODU]],YMKODLARI!$A$1:$K$383,4,0)," ")</f>
        <v xml:space="preserve"> </v>
      </c>
      <c r="I130" s="100"/>
      <c r="J130" s="100" t="str">
        <f>IFERROR(VLOOKUP(Tablo516[[#This Row],[ÜRÜN KODU]],YMKODLARI!$A$1:$K$383,9,0)," ")</f>
        <v xml:space="preserve"> </v>
      </c>
      <c r="K130" s="100" t="str">
        <f>IFERROR(VLOOKUP(Tablo516[[#This Row],[BOYA KODU]],Tablo14[#All],4,0)," ")</f>
        <v xml:space="preserve"> </v>
      </c>
      <c r="L130" s="100" t="str">
        <f>IFERROR(VLOOKUP(Tablo516[[#This Row],[BOYA KODU]],Tablo14[#All],6,0)," ")</f>
        <v xml:space="preserve"> </v>
      </c>
      <c r="M130" s="100" t="str">
        <f t="shared" ref="M130:M193" si="14">IFERROR((I130*Q130)*L130," ")</f>
        <v xml:space="preserve"> </v>
      </c>
      <c r="N130" s="100" t="str">
        <f>IFERROR(VLOOKUP(Tablo516[[#This Row],[ÜRÜN KODU]],YMKODLARI!$A$1:$K$383,8,0)," ")</f>
        <v xml:space="preserve"> </v>
      </c>
      <c r="O130" s="100" t="str">
        <f>IFERROR(VLOOKUP(Tablo516[[#This Row],[HAMMADDE KODU]],Tablo1[#All],3,0)," ")</f>
        <v xml:space="preserve"> </v>
      </c>
      <c r="P130" s="100" t="str">
        <f>IFERROR(VLOOKUP(Tablo516[[#This Row],[HAMMADDE KODU]],Tablo1[#All],4,0)," ")</f>
        <v xml:space="preserve"> </v>
      </c>
      <c r="Q130" s="100" t="str">
        <f>IFERROR(VLOOKUP(Tablo516[[#This Row],[ÜRÜN KODU]],YMKODLARI!$A$1:$K$383,5,0)," ")</f>
        <v xml:space="preserve"> </v>
      </c>
      <c r="R130" s="100" t="str">
        <f>IFERROR(VLOOKUP(Tablo516[[#This Row],[ÜRÜN KODU]],YMKODLARI!$A$1:$K$383,6,0)," ")</f>
        <v xml:space="preserve"> </v>
      </c>
      <c r="S130" s="100" t="str">
        <f>IFERROR(Tablo516[[#This Row],[YOLLUK HARİÇ BASKI GRAMI]]/Tablo516[[#This Row],[KALIP GÖZ ADEDİ]]," ")</f>
        <v xml:space="preserve"> </v>
      </c>
      <c r="T130" s="100" t="str">
        <f t="shared" si="9"/>
        <v xml:space="preserve"> </v>
      </c>
      <c r="U130" s="100"/>
      <c r="V130" s="100" t="str">
        <f t="shared" ref="V130:V193" si="15">IFERROR(U130+(R130*I130) /1000," ")</f>
        <v xml:space="preserve"> </v>
      </c>
      <c r="W130" s="101">
        <f t="shared" si="10"/>
        <v>24</v>
      </c>
      <c r="X130" s="102">
        <f t="shared" si="11"/>
        <v>0</v>
      </c>
      <c r="Y130" s="100" t="str">
        <f t="shared" si="12"/>
        <v xml:space="preserve"> </v>
      </c>
      <c r="Z130" s="100" t="str">
        <f t="shared" si="13"/>
        <v xml:space="preserve"> </v>
      </c>
    </row>
    <row r="131" spans="1:26">
      <c r="A131" s="100"/>
      <c r="B131" s="108" t="str">
        <f>IFERROR(VLOOKUP(Tablo516[[#This Row],[ÜRÜN KODU]],YMKODLARI!$A$1:$K$383,2,0)," ")</f>
        <v xml:space="preserve"> </v>
      </c>
      <c r="C131" s="99"/>
      <c r="D131" s="100"/>
      <c r="E131" s="101"/>
      <c r="F131" s="101"/>
      <c r="G131" s="100" t="str">
        <f>IFERROR(VLOOKUP(Tablo516[[#This Row],[ÜRÜN KODU]],YMKODLARI!$A$1:$K$383,3,0)," ")</f>
        <v xml:space="preserve"> </v>
      </c>
      <c r="H131" s="100" t="str">
        <f>IFERROR(VLOOKUP(Tablo516[[#This Row],[ÜRÜN KODU]],YMKODLARI!$A$1:$K$383,4,0)," ")</f>
        <v xml:space="preserve"> </v>
      </c>
      <c r="I131" s="100"/>
      <c r="J131" s="100" t="str">
        <f>IFERROR(VLOOKUP(Tablo516[[#This Row],[ÜRÜN KODU]],YMKODLARI!$A$1:$K$383,9,0)," ")</f>
        <v xml:space="preserve"> </v>
      </c>
      <c r="K131" s="100" t="str">
        <f>IFERROR(VLOOKUP(Tablo516[[#This Row],[BOYA KODU]],Tablo14[#All],4,0)," ")</f>
        <v xml:space="preserve"> </v>
      </c>
      <c r="L131" s="100" t="str">
        <f>IFERROR(VLOOKUP(Tablo516[[#This Row],[BOYA KODU]],Tablo14[#All],6,0)," ")</f>
        <v xml:space="preserve"> </v>
      </c>
      <c r="M131" s="100" t="str">
        <f t="shared" si="14"/>
        <v xml:space="preserve"> </v>
      </c>
      <c r="N131" s="100" t="str">
        <f>IFERROR(VLOOKUP(Tablo516[[#This Row],[ÜRÜN KODU]],YMKODLARI!$A$1:$K$383,8,0)," ")</f>
        <v xml:space="preserve"> </v>
      </c>
      <c r="O131" s="100" t="str">
        <f>IFERROR(VLOOKUP(Tablo516[[#This Row],[HAMMADDE KODU]],Tablo1[#All],3,0)," ")</f>
        <v xml:space="preserve"> </v>
      </c>
      <c r="P131" s="100" t="str">
        <f>IFERROR(VLOOKUP(Tablo516[[#This Row],[HAMMADDE KODU]],Tablo1[#All],4,0)," ")</f>
        <v xml:space="preserve"> </v>
      </c>
      <c r="Q131" s="100" t="str">
        <f>IFERROR(VLOOKUP(Tablo516[[#This Row],[ÜRÜN KODU]],YMKODLARI!$A$1:$K$383,5,0)," ")</f>
        <v xml:space="preserve"> </v>
      </c>
      <c r="R131" s="100" t="str">
        <f>IFERROR(VLOOKUP(Tablo516[[#This Row],[ÜRÜN KODU]],YMKODLARI!$A$1:$K$383,6,0)," ")</f>
        <v xml:space="preserve"> </v>
      </c>
      <c r="S131" s="100" t="str">
        <f>IFERROR(Tablo516[[#This Row],[YOLLUK HARİÇ BASKI GRAMI]]/Tablo516[[#This Row],[KALIP GÖZ ADEDİ]]," ")</f>
        <v xml:space="preserve"> </v>
      </c>
      <c r="T131" s="100" t="str">
        <f t="shared" ref="T131:T194" si="16">IFERROR(Q131-R131," ")</f>
        <v xml:space="preserve"> </v>
      </c>
      <c r="U131" s="100"/>
      <c r="V131" s="100" t="str">
        <f t="shared" si="15"/>
        <v xml:space="preserve"> </v>
      </c>
      <c r="W131" s="101">
        <f t="shared" ref="W131:W194" si="17">IFERROR(24-(E131-F131)," ")</f>
        <v>24</v>
      </c>
      <c r="X131" s="102">
        <f t="shared" ref="X131:X194" si="18">IFERROR((W131-INT(W131))*24," ")</f>
        <v>0</v>
      </c>
      <c r="Y131" s="100" t="str">
        <f t="shared" ref="Y131:Y194" si="19">IFERROR(H131*I131/3600," ")</f>
        <v xml:space="preserve"> </v>
      </c>
      <c r="Z131" s="100" t="str">
        <f t="shared" ref="Z131:Z194" si="20">IFERROR(I131*G131," " )</f>
        <v xml:space="preserve"> </v>
      </c>
    </row>
    <row r="132" spans="1:26">
      <c r="A132" s="100"/>
      <c r="B132" s="108" t="str">
        <f>IFERROR(VLOOKUP(Tablo516[[#This Row],[ÜRÜN KODU]],YMKODLARI!$A$1:$K$383,2,0)," ")</f>
        <v xml:space="preserve"> </v>
      </c>
      <c r="C132" s="99"/>
      <c r="D132" s="100"/>
      <c r="E132" s="101"/>
      <c r="F132" s="101"/>
      <c r="G132" s="100" t="str">
        <f>IFERROR(VLOOKUP(Tablo516[[#This Row],[ÜRÜN KODU]],YMKODLARI!$A$1:$K$383,3,0)," ")</f>
        <v xml:space="preserve"> </v>
      </c>
      <c r="H132" s="100" t="str">
        <f>IFERROR(VLOOKUP(Tablo516[[#This Row],[ÜRÜN KODU]],YMKODLARI!$A$1:$K$383,4,0)," ")</f>
        <v xml:space="preserve"> </v>
      </c>
      <c r="I132" s="100"/>
      <c r="J132" s="100" t="str">
        <f>IFERROR(VLOOKUP(Tablo516[[#This Row],[ÜRÜN KODU]],YMKODLARI!$A$1:$K$383,9,0)," ")</f>
        <v xml:space="preserve"> </v>
      </c>
      <c r="K132" s="100" t="str">
        <f>IFERROR(VLOOKUP(Tablo516[[#This Row],[BOYA KODU]],Tablo14[#All],4,0)," ")</f>
        <v xml:space="preserve"> </v>
      </c>
      <c r="L132" s="100" t="str">
        <f>IFERROR(VLOOKUP(Tablo516[[#This Row],[BOYA KODU]],Tablo14[#All],6,0)," ")</f>
        <v xml:space="preserve"> </v>
      </c>
      <c r="M132" s="100" t="str">
        <f t="shared" si="14"/>
        <v xml:space="preserve"> </v>
      </c>
      <c r="N132" s="100" t="str">
        <f>IFERROR(VLOOKUP(Tablo516[[#This Row],[ÜRÜN KODU]],YMKODLARI!$A$1:$K$383,8,0)," ")</f>
        <v xml:space="preserve"> </v>
      </c>
      <c r="O132" s="100" t="str">
        <f>IFERROR(VLOOKUP(Tablo516[[#This Row],[HAMMADDE KODU]],Tablo1[#All],3,0)," ")</f>
        <v xml:space="preserve"> </v>
      </c>
      <c r="P132" s="100" t="str">
        <f>IFERROR(VLOOKUP(Tablo516[[#This Row],[HAMMADDE KODU]],Tablo1[#All],4,0)," ")</f>
        <v xml:space="preserve"> </v>
      </c>
      <c r="Q132" s="100" t="str">
        <f>IFERROR(VLOOKUP(Tablo516[[#This Row],[ÜRÜN KODU]],YMKODLARI!$A$1:$K$383,5,0)," ")</f>
        <v xml:space="preserve"> </v>
      </c>
      <c r="R132" s="100" t="str">
        <f>IFERROR(VLOOKUP(Tablo516[[#This Row],[ÜRÜN KODU]],YMKODLARI!$A$1:$K$383,6,0)," ")</f>
        <v xml:space="preserve"> </v>
      </c>
      <c r="S132" s="100" t="str">
        <f>IFERROR(Tablo516[[#This Row],[YOLLUK HARİÇ BASKI GRAMI]]/Tablo516[[#This Row],[KALIP GÖZ ADEDİ]]," ")</f>
        <v xml:space="preserve"> </v>
      </c>
      <c r="T132" s="100" t="str">
        <f t="shared" si="16"/>
        <v xml:space="preserve"> </v>
      </c>
      <c r="U132" s="100"/>
      <c r="V132" s="100" t="str">
        <f t="shared" si="15"/>
        <v xml:space="preserve"> </v>
      </c>
      <c r="W132" s="101">
        <f t="shared" si="17"/>
        <v>24</v>
      </c>
      <c r="X132" s="102">
        <f t="shared" si="18"/>
        <v>0</v>
      </c>
      <c r="Y132" s="100" t="str">
        <f t="shared" si="19"/>
        <v xml:space="preserve"> </v>
      </c>
      <c r="Z132" s="100" t="str">
        <f t="shared" si="20"/>
        <v xml:space="preserve"> </v>
      </c>
    </row>
    <row r="133" spans="1:26">
      <c r="A133" s="100"/>
      <c r="B133" s="108" t="str">
        <f>IFERROR(VLOOKUP(Tablo516[[#This Row],[ÜRÜN KODU]],YMKODLARI!$A$1:$K$383,2,0)," ")</f>
        <v xml:space="preserve"> </v>
      </c>
      <c r="C133" s="99"/>
      <c r="D133" s="100"/>
      <c r="E133" s="101"/>
      <c r="F133" s="101"/>
      <c r="G133" s="100" t="str">
        <f>IFERROR(VLOOKUP(Tablo516[[#This Row],[ÜRÜN KODU]],YMKODLARI!$A$1:$K$383,3,0)," ")</f>
        <v xml:space="preserve"> </v>
      </c>
      <c r="H133" s="100" t="str">
        <f>IFERROR(VLOOKUP(Tablo516[[#This Row],[ÜRÜN KODU]],YMKODLARI!$A$1:$K$383,4,0)," ")</f>
        <v xml:space="preserve"> </v>
      </c>
      <c r="I133" s="100"/>
      <c r="J133" s="100" t="str">
        <f>IFERROR(VLOOKUP(Tablo516[[#This Row],[ÜRÜN KODU]],YMKODLARI!$A$1:$K$383,9,0)," ")</f>
        <v xml:space="preserve"> </v>
      </c>
      <c r="K133" s="100" t="str">
        <f>IFERROR(VLOOKUP(Tablo516[[#This Row],[BOYA KODU]],Tablo14[#All],4,0)," ")</f>
        <v xml:space="preserve"> </v>
      </c>
      <c r="L133" s="100" t="str">
        <f>IFERROR(VLOOKUP(Tablo516[[#This Row],[BOYA KODU]],Tablo14[#All],6,0)," ")</f>
        <v xml:space="preserve"> </v>
      </c>
      <c r="M133" s="100" t="str">
        <f t="shared" si="14"/>
        <v xml:space="preserve"> </v>
      </c>
      <c r="N133" s="100" t="str">
        <f>IFERROR(VLOOKUP(Tablo516[[#This Row],[ÜRÜN KODU]],YMKODLARI!$A$1:$K$383,8,0)," ")</f>
        <v xml:space="preserve"> </v>
      </c>
      <c r="O133" s="100" t="str">
        <f>IFERROR(VLOOKUP(Tablo516[[#This Row],[HAMMADDE KODU]],Tablo1[#All],3,0)," ")</f>
        <v xml:space="preserve"> </v>
      </c>
      <c r="P133" s="100" t="str">
        <f>IFERROR(VLOOKUP(Tablo516[[#This Row],[HAMMADDE KODU]],Tablo1[#All],4,0)," ")</f>
        <v xml:space="preserve"> </v>
      </c>
      <c r="Q133" s="100" t="str">
        <f>IFERROR(VLOOKUP(Tablo516[[#This Row],[ÜRÜN KODU]],YMKODLARI!$A$1:$K$383,5,0)," ")</f>
        <v xml:space="preserve"> </v>
      </c>
      <c r="R133" s="100" t="str">
        <f>IFERROR(VLOOKUP(Tablo516[[#This Row],[ÜRÜN KODU]],YMKODLARI!$A$1:$K$383,6,0)," ")</f>
        <v xml:space="preserve"> </v>
      </c>
      <c r="S133" s="100" t="str">
        <f>IFERROR(Tablo516[[#This Row],[YOLLUK HARİÇ BASKI GRAMI]]/Tablo516[[#This Row],[KALIP GÖZ ADEDİ]]," ")</f>
        <v xml:space="preserve"> </v>
      </c>
      <c r="T133" s="100" t="str">
        <f t="shared" si="16"/>
        <v xml:space="preserve"> </v>
      </c>
      <c r="U133" s="100"/>
      <c r="V133" s="100" t="str">
        <f t="shared" si="15"/>
        <v xml:space="preserve"> </v>
      </c>
      <c r="W133" s="101">
        <f t="shared" si="17"/>
        <v>24</v>
      </c>
      <c r="X133" s="102">
        <f t="shared" si="18"/>
        <v>0</v>
      </c>
      <c r="Y133" s="100" t="str">
        <f t="shared" si="19"/>
        <v xml:space="preserve"> </v>
      </c>
      <c r="Z133" s="100" t="str">
        <f t="shared" si="20"/>
        <v xml:space="preserve"> </v>
      </c>
    </row>
    <row r="134" spans="1:26">
      <c r="A134" s="100"/>
      <c r="B134" s="108" t="str">
        <f>IFERROR(VLOOKUP(Tablo516[[#This Row],[ÜRÜN KODU]],YMKODLARI!$A$1:$K$383,2,0)," ")</f>
        <v xml:space="preserve"> </v>
      </c>
      <c r="C134" s="99"/>
      <c r="D134" s="100"/>
      <c r="E134" s="101"/>
      <c r="F134" s="101"/>
      <c r="G134" s="100" t="str">
        <f>IFERROR(VLOOKUP(Tablo516[[#This Row],[ÜRÜN KODU]],YMKODLARI!$A$1:$K$383,3,0)," ")</f>
        <v xml:space="preserve"> </v>
      </c>
      <c r="H134" s="100" t="str">
        <f>IFERROR(VLOOKUP(Tablo516[[#This Row],[ÜRÜN KODU]],YMKODLARI!$A$1:$K$383,4,0)," ")</f>
        <v xml:space="preserve"> </v>
      </c>
      <c r="I134" s="100"/>
      <c r="J134" s="100" t="str">
        <f>IFERROR(VLOOKUP(Tablo516[[#This Row],[ÜRÜN KODU]],YMKODLARI!$A$1:$K$383,9,0)," ")</f>
        <v xml:space="preserve"> </v>
      </c>
      <c r="K134" s="100" t="str">
        <f>IFERROR(VLOOKUP(Tablo516[[#This Row],[BOYA KODU]],Tablo14[#All],4,0)," ")</f>
        <v xml:space="preserve"> </v>
      </c>
      <c r="L134" s="100" t="str">
        <f>IFERROR(VLOOKUP(Tablo516[[#This Row],[BOYA KODU]],Tablo14[#All],6,0)," ")</f>
        <v xml:space="preserve"> </v>
      </c>
      <c r="M134" s="100" t="str">
        <f t="shared" si="14"/>
        <v xml:space="preserve"> </v>
      </c>
      <c r="N134" s="100" t="str">
        <f>IFERROR(VLOOKUP(Tablo516[[#This Row],[ÜRÜN KODU]],YMKODLARI!$A$1:$K$383,8,0)," ")</f>
        <v xml:space="preserve"> </v>
      </c>
      <c r="O134" s="100" t="str">
        <f>IFERROR(VLOOKUP(Tablo516[[#This Row],[HAMMADDE KODU]],Tablo1[#All],3,0)," ")</f>
        <v xml:space="preserve"> </v>
      </c>
      <c r="P134" s="100" t="str">
        <f>IFERROR(VLOOKUP(Tablo516[[#This Row],[HAMMADDE KODU]],Tablo1[#All],4,0)," ")</f>
        <v xml:space="preserve"> </v>
      </c>
      <c r="Q134" s="100" t="str">
        <f>IFERROR(VLOOKUP(Tablo516[[#This Row],[ÜRÜN KODU]],YMKODLARI!$A$1:$K$383,5,0)," ")</f>
        <v xml:space="preserve"> </v>
      </c>
      <c r="R134" s="100" t="str">
        <f>IFERROR(VLOOKUP(Tablo516[[#This Row],[ÜRÜN KODU]],YMKODLARI!$A$1:$K$383,6,0)," ")</f>
        <v xml:space="preserve"> </v>
      </c>
      <c r="S134" s="100" t="str">
        <f>IFERROR(Tablo516[[#This Row],[YOLLUK HARİÇ BASKI GRAMI]]/Tablo516[[#This Row],[KALIP GÖZ ADEDİ]]," ")</f>
        <v xml:space="preserve"> </v>
      </c>
      <c r="T134" s="100" t="str">
        <f t="shared" si="16"/>
        <v xml:space="preserve"> </v>
      </c>
      <c r="U134" s="100"/>
      <c r="V134" s="100" t="str">
        <f t="shared" si="15"/>
        <v xml:space="preserve"> </v>
      </c>
      <c r="W134" s="101">
        <f t="shared" si="17"/>
        <v>24</v>
      </c>
      <c r="X134" s="102">
        <f t="shared" si="18"/>
        <v>0</v>
      </c>
      <c r="Y134" s="100" t="str">
        <f t="shared" si="19"/>
        <v xml:space="preserve"> </v>
      </c>
      <c r="Z134" s="100" t="str">
        <f t="shared" si="20"/>
        <v xml:space="preserve"> </v>
      </c>
    </row>
    <row r="135" spans="1:26">
      <c r="A135" s="100"/>
      <c r="B135" s="108" t="str">
        <f>IFERROR(VLOOKUP(Tablo516[[#This Row],[ÜRÜN KODU]],YMKODLARI!$A$1:$K$383,2,0)," ")</f>
        <v xml:space="preserve"> </v>
      </c>
      <c r="C135" s="99"/>
      <c r="D135" s="100"/>
      <c r="E135" s="101"/>
      <c r="F135" s="101"/>
      <c r="G135" s="100" t="str">
        <f>IFERROR(VLOOKUP(Tablo516[[#This Row],[ÜRÜN KODU]],YMKODLARI!$A$1:$K$383,3,0)," ")</f>
        <v xml:space="preserve"> </v>
      </c>
      <c r="H135" s="100" t="str">
        <f>IFERROR(VLOOKUP(Tablo516[[#This Row],[ÜRÜN KODU]],YMKODLARI!$A$1:$K$383,4,0)," ")</f>
        <v xml:space="preserve"> </v>
      </c>
      <c r="I135" s="100"/>
      <c r="J135" s="100" t="str">
        <f>IFERROR(VLOOKUP(Tablo516[[#This Row],[ÜRÜN KODU]],YMKODLARI!$A$1:$K$383,9,0)," ")</f>
        <v xml:space="preserve"> </v>
      </c>
      <c r="K135" s="100" t="str">
        <f>IFERROR(VLOOKUP(Tablo516[[#This Row],[BOYA KODU]],Tablo14[#All],4,0)," ")</f>
        <v xml:space="preserve"> </v>
      </c>
      <c r="L135" s="100" t="str">
        <f>IFERROR(VLOOKUP(Tablo516[[#This Row],[BOYA KODU]],Tablo14[#All],6,0)," ")</f>
        <v xml:space="preserve"> </v>
      </c>
      <c r="M135" s="100" t="str">
        <f t="shared" si="14"/>
        <v xml:space="preserve"> </v>
      </c>
      <c r="N135" s="100" t="str">
        <f>IFERROR(VLOOKUP(Tablo516[[#This Row],[ÜRÜN KODU]],YMKODLARI!$A$1:$K$383,8,0)," ")</f>
        <v xml:space="preserve"> </v>
      </c>
      <c r="O135" s="100" t="str">
        <f>IFERROR(VLOOKUP(Tablo516[[#This Row],[HAMMADDE KODU]],Tablo1[#All],3,0)," ")</f>
        <v xml:space="preserve"> </v>
      </c>
      <c r="P135" s="100" t="str">
        <f>IFERROR(VLOOKUP(Tablo516[[#This Row],[HAMMADDE KODU]],Tablo1[#All],4,0)," ")</f>
        <v xml:space="preserve"> </v>
      </c>
      <c r="Q135" s="100" t="str">
        <f>IFERROR(VLOOKUP(Tablo516[[#This Row],[ÜRÜN KODU]],YMKODLARI!$A$1:$K$383,5,0)," ")</f>
        <v xml:space="preserve"> </v>
      </c>
      <c r="R135" s="100" t="str">
        <f>IFERROR(VLOOKUP(Tablo516[[#This Row],[ÜRÜN KODU]],YMKODLARI!$A$1:$K$383,6,0)," ")</f>
        <v xml:space="preserve"> </v>
      </c>
      <c r="S135" s="100" t="str">
        <f>IFERROR(Tablo516[[#This Row],[YOLLUK HARİÇ BASKI GRAMI]]/Tablo516[[#This Row],[KALIP GÖZ ADEDİ]]," ")</f>
        <v xml:space="preserve"> </v>
      </c>
      <c r="T135" s="100" t="str">
        <f t="shared" si="16"/>
        <v xml:space="preserve"> </v>
      </c>
      <c r="U135" s="100"/>
      <c r="V135" s="100" t="str">
        <f t="shared" si="15"/>
        <v xml:space="preserve"> </v>
      </c>
      <c r="W135" s="101">
        <f t="shared" si="17"/>
        <v>24</v>
      </c>
      <c r="X135" s="102">
        <f t="shared" si="18"/>
        <v>0</v>
      </c>
      <c r="Y135" s="100" t="str">
        <f t="shared" si="19"/>
        <v xml:space="preserve"> </v>
      </c>
      <c r="Z135" s="100" t="str">
        <f t="shared" si="20"/>
        <v xml:space="preserve"> </v>
      </c>
    </row>
    <row r="136" spans="1:26">
      <c r="A136" s="100"/>
      <c r="B136" s="108" t="str">
        <f>IFERROR(VLOOKUP(Tablo516[[#This Row],[ÜRÜN KODU]],YMKODLARI!$A$1:$K$383,2,0)," ")</f>
        <v xml:space="preserve"> </v>
      </c>
      <c r="C136" s="99"/>
      <c r="D136" s="100"/>
      <c r="E136" s="101"/>
      <c r="F136" s="101"/>
      <c r="G136" s="100" t="str">
        <f>IFERROR(VLOOKUP(Tablo516[[#This Row],[ÜRÜN KODU]],YMKODLARI!$A$1:$K$383,3,0)," ")</f>
        <v xml:space="preserve"> </v>
      </c>
      <c r="H136" s="100" t="str">
        <f>IFERROR(VLOOKUP(Tablo516[[#This Row],[ÜRÜN KODU]],YMKODLARI!$A$1:$K$383,4,0)," ")</f>
        <v xml:space="preserve"> </v>
      </c>
      <c r="I136" s="100"/>
      <c r="J136" s="100" t="str">
        <f>IFERROR(VLOOKUP(Tablo516[[#This Row],[ÜRÜN KODU]],YMKODLARI!$A$1:$K$383,9,0)," ")</f>
        <v xml:space="preserve"> </v>
      </c>
      <c r="K136" s="100" t="str">
        <f>IFERROR(VLOOKUP(Tablo516[[#This Row],[BOYA KODU]],Tablo14[#All],4,0)," ")</f>
        <v xml:space="preserve"> </v>
      </c>
      <c r="L136" s="100" t="str">
        <f>IFERROR(VLOOKUP(Tablo516[[#This Row],[BOYA KODU]],Tablo14[#All],6,0)," ")</f>
        <v xml:space="preserve"> </v>
      </c>
      <c r="M136" s="100" t="str">
        <f t="shared" si="14"/>
        <v xml:space="preserve"> </v>
      </c>
      <c r="N136" s="100" t="str">
        <f>IFERROR(VLOOKUP(Tablo516[[#This Row],[ÜRÜN KODU]],YMKODLARI!$A$1:$K$383,8,0)," ")</f>
        <v xml:space="preserve"> </v>
      </c>
      <c r="O136" s="100" t="str">
        <f>IFERROR(VLOOKUP(Tablo516[[#This Row],[HAMMADDE KODU]],Tablo1[#All],3,0)," ")</f>
        <v xml:space="preserve"> </v>
      </c>
      <c r="P136" s="100" t="str">
        <f>IFERROR(VLOOKUP(Tablo516[[#This Row],[HAMMADDE KODU]],Tablo1[#All],4,0)," ")</f>
        <v xml:space="preserve"> </v>
      </c>
      <c r="Q136" s="100" t="str">
        <f>IFERROR(VLOOKUP(Tablo516[[#This Row],[ÜRÜN KODU]],YMKODLARI!$A$1:$K$383,5,0)," ")</f>
        <v xml:space="preserve"> </v>
      </c>
      <c r="R136" s="100" t="str">
        <f>IFERROR(VLOOKUP(Tablo516[[#This Row],[ÜRÜN KODU]],YMKODLARI!$A$1:$K$383,6,0)," ")</f>
        <v xml:space="preserve"> </v>
      </c>
      <c r="S136" s="100" t="str">
        <f>IFERROR(Tablo516[[#This Row],[YOLLUK HARİÇ BASKI GRAMI]]/Tablo516[[#This Row],[KALIP GÖZ ADEDİ]]," ")</f>
        <v xml:space="preserve"> </v>
      </c>
      <c r="T136" s="100" t="str">
        <f t="shared" si="16"/>
        <v xml:space="preserve"> </v>
      </c>
      <c r="U136" s="100"/>
      <c r="V136" s="100" t="str">
        <f t="shared" si="15"/>
        <v xml:space="preserve"> </v>
      </c>
      <c r="W136" s="101">
        <f t="shared" si="17"/>
        <v>24</v>
      </c>
      <c r="X136" s="102">
        <f t="shared" si="18"/>
        <v>0</v>
      </c>
      <c r="Y136" s="100" t="str">
        <f t="shared" si="19"/>
        <v xml:space="preserve"> </v>
      </c>
      <c r="Z136" s="100" t="str">
        <f t="shared" si="20"/>
        <v xml:space="preserve"> </v>
      </c>
    </row>
    <row r="137" spans="1:26">
      <c r="A137" s="100"/>
      <c r="B137" s="108" t="str">
        <f>IFERROR(VLOOKUP(Tablo516[[#This Row],[ÜRÜN KODU]],YMKODLARI!$A$1:$K$383,2,0)," ")</f>
        <v xml:space="preserve"> </v>
      </c>
      <c r="C137" s="99"/>
      <c r="D137" s="100"/>
      <c r="E137" s="101"/>
      <c r="F137" s="101"/>
      <c r="G137" s="100" t="str">
        <f>IFERROR(VLOOKUP(Tablo516[[#This Row],[ÜRÜN KODU]],YMKODLARI!$A$1:$K$383,3,0)," ")</f>
        <v xml:space="preserve"> </v>
      </c>
      <c r="H137" s="100" t="str">
        <f>IFERROR(VLOOKUP(Tablo516[[#This Row],[ÜRÜN KODU]],YMKODLARI!$A$1:$K$383,4,0)," ")</f>
        <v xml:space="preserve"> </v>
      </c>
      <c r="I137" s="100"/>
      <c r="J137" s="100" t="str">
        <f>IFERROR(VLOOKUP(Tablo516[[#This Row],[ÜRÜN KODU]],YMKODLARI!$A$1:$K$383,9,0)," ")</f>
        <v xml:space="preserve"> </v>
      </c>
      <c r="K137" s="100" t="str">
        <f>IFERROR(VLOOKUP(Tablo516[[#This Row],[BOYA KODU]],Tablo14[#All],4,0)," ")</f>
        <v xml:space="preserve"> </v>
      </c>
      <c r="L137" s="100" t="str">
        <f>IFERROR(VLOOKUP(Tablo516[[#This Row],[BOYA KODU]],Tablo14[#All],6,0)," ")</f>
        <v xml:space="preserve"> </v>
      </c>
      <c r="M137" s="100" t="str">
        <f t="shared" si="14"/>
        <v xml:space="preserve"> </v>
      </c>
      <c r="N137" s="100" t="str">
        <f>IFERROR(VLOOKUP(Tablo516[[#This Row],[ÜRÜN KODU]],YMKODLARI!$A$1:$K$383,8,0)," ")</f>
        <v xml:space="preserve"> </v>
      </c>
      <c r="O137" s="100" t="str">
        <f>IFERROR(VLOOKUP(Tablo516[[#This Row],[HAMMADDE KODU]],Tablo1[#All],3,0)," ")</f>
        <v xml:space="preserve"> </v>
      </c>
      <c r="P137" s="100" t="str">
        <f>IFERROR(VLOOKUP(Tablo516[[#This Row],[HAMMADDE KODU]],Tablo1[#All],4,0)," ")</f>
        <v xml:space="preserve"> </v>
      </c>
      <c r="Q137" s="100" t="str">
        <f>IFERROR(VLOOKUP(Tablo516[[#This Row],[ÜRÜN KODU]],YMKODLARI!$A$1:$K$383,5,0)," ")</f>
        <v xml:space="preserve"> </v>
      </c>
      <c r="R137" s="100" t="str">
        <f>IFERROR(VLOOKUP(Tablo516[[#This Row],[ÜRÜN KODU]],YMKODLARI!$A$1:$K$383,6,0)," ")</f>
        <v xml:space="preserve"> </v>
      </c>
      <c r="S137" s="100" t="str">
        <f>IFERROR(Tablo516[[#This Row],[YOLLUK HARİÇ BASKI GRAMI]]/Tablo516[[#This Row],[KALIP GÖZ ADEDİ]]," ")</f>
        <v xml:space="preserve"> </v>
      </c>
      <c r="T137" s="100" t="str">
        <f t="shared" si="16"/>
        <v xml:space="preserve"> </v>
      </c>
      <c r="U137" s="100"/>
      <c r="V137" s="100" t="str">
        <f t="shared" si="15"/>
        <v xml:space="preserve"> </v>
      </c>
      <c r="W137" s="101">
        <f t="shared" si="17"/>
        <v>24</v>
      </c>
      <c r="X137" s="102">
        <f t="shared" si="18"/>
        <v>0</v>
      </c>
      <c r="Y137" s="100" t="str">
        <f t="shared" si="19"/>
        <v xml:space="preserve"> </v>
      </c>
      <c r="Z137" s="100" t="str">
        <f t="shared" si="20"/>
        <v xml:space="preserve"> </v>
      </c>
    </row>
    <row r="138" spans="1:26">
      <c r="A138" s="100"/>
      <c r="B138" s="108" t="str">
        <f>IFERROR(VLOOKUP(Tablo516[[#This Row],[ÜRÜN KODU]],YMKODLARI!$A$1:$K$383,2,0)," ")</f>
        <v xml:space="preserve"> </v>
      </c>
      <c r="C138" s="99"/>
      <c r="D138" s="100"/>
      <c r="E138" s="101"/>
      <c r="F138" s="101"/>
      <c r="G138" s="100" t="str">
        <f>IFERROR(VLOOKUP(Tablo516[[#This Row],[ÜRÜN KODU]],YMKODLARI!$A$1:$K$383,3,0)," ")</f>
        <v xml:space="preserve"> </v>
      </c>
      <c r="H138" s="100" t="str">
        <f>IFERROR(VLOOKUP(Tablo516[[#This Row],[ÜRÜN KODU]],YMKODLARI!$A$1:$K$383,4,0)," ")</f>
        <v xml:space="preserve"> </v>
      </c>
      <c r="I138" s="100"/>
      <c r="J138" s="100" t="str">
        <f>IFERROR(VLOOKUP(Tablo516[[#This Row],[ÜRÜN KODU]],YMKODLARI!$A$1:$K$383,9,0)," ")</f>
        <v xml:space="preserve"> </v>
      </c>
      <c r="K138" s="100" t="str">
        <f>IFERROR(VLOOKUP(Tablo516[[#This Row],[BOYA KODU]],Tablo14[#All],4,0)," ")</f>
        <v xml:space="preserve"> </v>
      </c>
      <c r="L138" s="100" t="str">
        <f>IFERROR(VLOOKUP(Tablo516[[#This Row],[BOYA KODU]],Tablo14[#All],6,0)," ")</f>
        <v xml:space="preserve"> </v>
      </c>
      <c r="M138" s="100" t="str">
        <f t="shared" si="14"/>
        <v xml:space="preserve"> </v>
      </c>
      <c r="N138" s="100" t="str">
        <f>IFERROR(VLOOKUP(Tablo516[[#This Row],[ÜRÜN KODU]],YMKODLARI!$A$1:$K$383,8,0)," ")</f>
        <v xml:space="preserve"> </v>
      </c>
      <c r="O138" s="100" t="str">
        <f>IFERROR(VLOOKUP(Tablo516[[#This Row],[HAMMADDE KODU]],Tablo1[#All],3,0)," ")</f>
        <v xml:space="preserve"> </v>
      </c>
      <c r="P138" s="100" t="str">
        <f>IFERROR(VLOOKUP(Tablo516[[#This Row],[HAMMADDE KODU]],Tablo1[#All],4,0)," ")</f>
        <v xml:space="preserve"> </v>
      </c>
      <c r="Q138" s="100" t="str">
        <f>IFERROR(VLOOKUP(Tablo516[[#This Row],[ÜRÜN KODU]],YMKODLARI!$A$1:$K$383,5,0)," ")</f>
        <v xml:space="preserve"> </v>
      </c>
      <c r="R138" s="100" t="str">
        <f>IFERROR(VLOOKUP(Tablo516[[#This Row],[ÜRÜN KODU]],YMKODLARI!$A$1:$K$383,6,0)," ")</f>
        <v xml:space="preserve"> </v>
      </c>
      <c r="S138" s="100" t="str">
        <f>IFERROR(Tablo516[[#This Row],[YOLLUK HARİÇ BASKI GRAMI]]/Tablo516[[#This Row],[KALIP GÖZ ADEDİ]]," ")</f>
        <v xml:space="preserve"> </v>
      </c>
      <c r="T138" s="100" t="str">
        <f t="shared" si="16"/>
        <v xml:space="preserve"> </v>
      </c>
      <c r="U138" s="100"/>
      <c r="V138" s="100" t="str">
        <f t="shared" si="15"/>
        <v xml:space="preserve"> </v>
      </c>
      <c r="W138" s="101">
        <f t="shared" si="17"/>
        <v>24</v>
      </c>
      <c r="X138" s="102">
        <f t="shared" si="18"/>
        <v>0</v>
      </c>
      <c r="Y138" s="100" t="str">
        <f t="shared" si="19"/>
        <v xml:space="preserve"> </v>
      </c>
      <c r="Z138" s="100" t="str">
        <f t="shared" si="20"/>
        <v xml:space="preserve"> </v>
      </c>
    </row>
    <row r="139" spans="1:26">
      <c r="A139" s="100"/>
      <c r="B139" s="108" t="str">
        <f>IFERROR(VLOOKUP(Tablo516[[#This Row],[ÜRÜN KODU]],YMKODLARI!$A$1:$K$383,2,0)," ")</f>
        <v xml:space="preserve"> </v>
      </c>
      <c r="C139" s="99"/>
      <c r="D139" s="100"/>
      <c r="E139" s="101"/>
      <c r="F139" s="101"/>
      <c r="G139" s="100" t="str">
        <f>IFERROR(VLOOKUP(Tablo516[[#This Row],[ÜRÜN KODU]],YMKODLARI!$A$1:$K$383,3,0)," ")</f>
        <v xml:space="preserve"> </v>
      </c>
      <c r="H139" s="100" t="str">
        <f>IFERROR(VLOOKUP(Tablo516[[#This Row],[ÜRÜN KODU]],YMKODLARI!$A$1:$K$383,4,0)," ")</f>
        <v xml:space="preserve"> </v>
      </c>
      <c r="I139" s="100"/>
      <c r="J139" s="100" t="str">
        <f>IFERROR(VLOOKUP(Tablo516[[#This Row],[ÜRÜN KODU]],YMKODLARI!$A$1:$K$383,9,0)," ")</f>
        <v xml:space="preserve"> </v>
      </c>
      <c r="K139" s="100" t="str">
        <f>IFERROR(VLOOKUP(Tablo516[[#This Row],[BOYA KODU]],Tablo14[#All],4,0)," ")</f>
        <v xml:space="preserve"> </v>
      </c>
      <c r="L139" s="100" t="str">
        <f>IFERROR(VLOOKUP(Tablo516[[#This Row],[BOYA KODU]],Tablo14[#All],6,0)," ")</f>
        <v xml:space="preserve"> </v>
      </c>
      <c r="M139" s="100" t="str">
        <f t="shared" si="14"/>
        <v xml:space="preserve"> </v>
      </c>
      <c r="N139" s="100" t="str">
        <f>IFERROR(VLOOKUP(Tablo516[[#This Row],[ÜRÜN KODU]],YMKODLARI!$A$1:$K$383,8,0)," ")</f>
        <v xml:space="preserve"> </v>
      </c>
      <c r="O139" s="100" t="str">
        <f>IFERROR(VLOOKUP(Tablo516[[#This Row],[HAMMADDE KODU]],Tablo1[#All],3,0)," ")</f>
        <v xml:space="preserve"> </v>
      </c>
      <c r="P139" s="100" t="str">
        <f>IFERROR(VLOOKUP(Tablo516[[#This Row],[HAMMADDE KODU]],Tablo1[#All],4,0)," ")</f>
        <v xml:space="preserve"> </v>
      </c>
      <c r="Q139" s="100" t="str">
        <f>IFERROR(VLOOKUP(Tablo516[[#This Row],[ÜRÜN KODU]],YMKODLARI!$A$1:$K$383,5,0)," ")</f>
        <v xml:space="preserve"> </v>
      </c>
      <c r="R139" s="100" t="str">
        <f>IFERROR(VLOOKUP(Tablo516[[#This Row],[ÜRÜN KODU]],YMKODLARI!$A$1:$K$383,6,0)," ")</f>
        <v xml:space="preserve"> </v>
      </c>
      <c r="S139" s="100" t="str">
        <f>IFERROR(Tablo516[[#This Row],[YOLLUK HARİÇ BASKI GRAMI]]/Tablo516[[#This Row],[KALIP GÖZ ADEDİ]]," ")</f>
        <v xml:space="preserve"> </v>
      </c>
      <c r="T139" s="100" t="str">
        <f t="shared" si="16"/>
        <v xml:space="preserve"> </v>
      </c>
      <c r="U139" s="100"/>
      <c r="V139" s="100" t="str">
        <f t="shared" si="15"/>
        <v xml:space="preserve"> </v>
      </c>
      <c r="W139" s="101">
        <f t="shared" si="17"/>
        <v>24</v>
      </c>
      <c r="X139" s="102">
        <f t="shared" si="18"/>
        <v>0</v>
      </c>
      <c r="Y139" s="100" t="str">
        <f t="shared" si="19"/>
        <v xml:space="preserve"> </v>
      </c>
      <c r="Z139" s="100" t="str">
        <f t="shared" si="20"/>
        <v xml:space="preserve"> </v>
      </c>
    </row>
    <row r="140" spans="1:26">
      <c r="A140" s="100"/>
      <c r="B140" s="108" t="str">
        <f>IFERROR(VLOOKUP(Tablo516[[#This Row],[ÜRÜN KODU]],YMKODLARI!$A$1:$K$383,2,0)," ")</f>
        <v xml:space="preserve"> </v>
      </c>
      <c r="C140" s="99"/>
      <c r="D140" s="100"/>
      <c r="E140" s="101"/>
      <c r="F140" s="101"/>
      <c r="G140" s="100" t="str">
        <f>IFERROR(VLOOKUP(Tablo516[[#This Row],[ÜRÜN KODU]],YMKODLARI!$A$1:$K$383,3,0)," ")</f>
        <v xml:space="preserve"> </v>
      </c>
      <c r="H140" s="100" t="str">
        <f>IFERROR(VLOOKUP(Tablo516[[#This Row],[ÜRÜN KODU]],YMKODLARI!$A$1:$K$383,4,0)," ")</f>
        <v xml:space="preserve"> </v>
      </c>
      <c r="I140" s="100"/>
      <c r="J140" s="100" t="str">
        <f>IFERROR(VLOOKUP(Tablo516[[#This Row],[ÜRÜN KODU]],YMKODLARI!$A$1:$K$383,9,0)," ")</f>
        <v xml:space="preserve"> </v>
      </c>
      <c r="K140" s="100" t="str">
        <f>IFERROR(VLOOKUP(Tablo516[[#This Row],[BOYA KODU]],Tablo14[#All],4,0)," ")</f>
        <v xml:space="preserve"> </v>
      </c>
      <c r="L140" s="100" t="str">
        <f>IFERROR(VLOOKUP(Tablo516[[#This Row],[BOYA KODU]],Tablo14[#All],6,0)," ")</f>
        <v xml:space="preserve"> </v>
      </c>
      <c r="M140" s="100" t="str">
        <f t="shared" si="14"/>
        <v xml:space="preserve"> </v>
      </c>
      <c r="N140" s="100" t="str">
        <f>IFERROR(VLOOKUP(Tablo516[[#This Row],[ÜRÜN KODU]],YMKODLARI!$A$1:$K$383,8,0)," ")</f>
        <v xml:space="preserve"> </v>
      </c>
      <c r="O140" s="100" t="str">
        <f>IFERROR(VLOOKUP(Tablo516[[#This Row],[HAMMADDE KODU]],Tablo1[#All],3,0)," ")</f>
        <v xml:space="preserve"> </v>
      </c>
      <c r="P140" s="100" t="str">
        <f>IFERROR(VLOOKUP(Tablo516[[#This Row],[HAMMADDE KODU]],Tablo1[#All],4,0)," ")</f>
        <v xml:space="preserve"> </v>
      </c>
      <c r="Q140" s="100" t="str">
        <f>IFERROR(VLOOKUP(Tablo516[[#This Row],[ÜRÜN KODU]],YMKODLARI!$A$1:$K$383,5,0)," ")</f>
        <v xml:space="preserve"> </v>
      </c>
      <c r="R140" s="100" t="str">
        <f>IFERROR(VLOOKUP(Tablo516[[#This Row],[ÜRÜN KODU]],YMKODLARI!$A$1:$K$383,6,0)," ")</f>
        <v xml:space="preserve"> </v>
      </c>
      <c r="S140" s="100" t="str">
        <f>IFERROR(Tablo516[[#This Row],[YOLLUK HARİÇ BASKI GRAMI]]/Tablo516[[#This Row],[KALIP GÖZ ADEDİ]]," ")</f>
        <v xml:space="preserve"> </v>
      </c>
      <c r="T140" s="100" t="str">
        <f t="shared" si="16"/>
        <v xml:space="preserve"> </v>
      </c>
      <c r="U140" s="100"/>
      <c r="V140" s="100" t="str">
        <f t="shared" si="15"/>
        <v xml:space="preserve"> </v>
      </c>
      <c r="W140" s="101">
        <f t="shared" si="17"/>
        <v>24</v>
      </c>
      <c r="X140" s="102">
        <f t="shared" si="18"/>
        <v>0</v>
      </c>
      <c r="Y140" s="100" t="str">
        <f t="shared" si="19"/>
        <v xml:space="preserve"> </v>
      </c>
      <c r="Z140" s="100" t="str">
        <f t="shared" si="20"/>
        <v xml:space="preserve"> </v>
      </c>
    </row>
    <row r="141" spans="1:26">
      <c r="A141" s="100"/>
      <c r="B141" s="108" t="str">
        <f>IFERROR(VLOOKUP(Tablo516[[#This Row],[ÜRÜN KODU]],YMKODLARI!$A$1:$K$383,2,0)," ")</f>
        <v xml:space="preserve"> </v>
      </c>
      <c r="C141" s="99"/>
      <c r="D141" s="100"/>
      <c r="E141" s="101"/>
      <c r="F141" s="101"/>
      <c r="G141" s="100" t="str">
        <f>IFERROR(VLOOKUP(Tablo516[[#This Row],[ÜRÜN KODU]],YMKODLARI!$A$1:$K$383,3,0)," ")</f>
        <v xml:space="preserve"> </v>
      </c>
      <c r="H141" s="100" t="str">
        <f>IFERROR(VLOOKUP(Tablo516[[#This Row],[ÜRÜN KODU]],YMKODLARI!$A$1:$K$383,4,0)," ")</f>
        <v xml:space="preserve"> </v>
      </c>
      <c r="I141" s="100"/>
      <c r="J141" s="100" t="str">
        <f>IFERROR(VLOOKUP(Tablo516[[#This Row],[ÜRÜN KODU]],YMKODLARI!$A$1:$K$383,9,0)," ")</f>
        <v xml:space="preserve"> </v>
      </c>
      <c r="K141" s="100" t="str">
        <f>IFERROR(VLOOKUP(Tablo516[[#This Row],[BOYA KODU]],Tablo14[#All],4,0)," ")</f>
        <v xml:space="preserve"> </v>
      </c>
      <c r="L141" s="100" t="str">
        <f>IFERROR(VLOOKUP(Tablo516[[#This Row],[BOYA KODU]],Tablo14[#All],6,0)," ")</f>
        <v xml:space="preserve"> </v>
      </c>
      <c r="M141" s="100" t="str">
        <f t="shared" si="14"/>
        <v xml:space="preserve"> </v>
      </c>
      <c r="N141" s="100" t="str">
        <f>IFERROR(VLOOKUP(Tablo516[[#This Row],[ÜRÜN KODU]],YMKODLARI!$A$1:$K$383,8,0)," ")</f>
        <v xml:space="preserve"> </v>
      </c>
      <c r="O141" s="100" t="str">
        <f>IFERROR(VLOOKUP(Tablo516[[#This Row],[HAMMADDE KODU]],Tablo1[#All],3,0)," ")</f>
        <v xml:space="preserve"> </v>
      </c>
      <c r="P141" s="100" t="str">
        <f>IFERROR(VLOOKUP(Tablo516[[#This Row],[HAMMADDE KODU]],Tablo1[#All],4,0)," ")</f>
        <v xml:space="preserve"> </v>
      </c>
      <c r="Q141" s="100" t="str">
        <f>IFERROR(VLOOKUP(Tablo516[[#This Row],[ÜRÜN KODU]],YMKODLARI!$A$1:$K$383,5,0)," ")</f>
        <v xml:space="preserve"> </v>
      </c>
      <c r="R141" s="100" t="str">
        <f>IFERROR(VLOOKUP(Tablo516[[#This Row],[ÜRÜN KODU]],YMKODLARI!$A$1:$K$383,6,0)," ")</f>
        <v xml:space="preserve"> </v>
      </c>
      <c r="S141" s="100" t="str">
        <f>IFERROR(Tablo516[[#This Row],[YOLLUK HARİÇ BASKI GRAMI]]/Tablo516[[#This Row],[KALIP GÖZ ADEDİ]]," ")</f>
        <v xml:space="preserve"> </v>
      </c>
      <c r="T141" s="100" t="str">
        <f t="shared" si="16"/>
        <v xml:space="preserve"> </v>
      </c>
      <c r="U141" s="100"/>
      <c r="V141" s="100" t="str">
        <f t="shared" si="15"/>
        <v xml:space="preserve"> </v>
      </c>
      <c r="W141" s="101">
        <f t="shared" si="17"/>
        <v>24</v>
      </c>
      <c r="X141" s="102">
        <f t="shared" si="18"/>
        <v>0</v>
      </c>
      <c r="Y141" s="100" t="str">
        <f t="shared" si="19"/>
        <v xml:space="preserve"> </v>
      </c>
      <c r="Z141" s="100" t="str">
        <f t="shared" si="20"/>
        <v xml:space="preserve"> </v>
      </c>
    </row>
    <row r="142" spans="1:26">
      <c r="A142" s="100"/>
      <c r="B142" s="108" t="str">
        <f>IFERROR(VLOOKUP(Tablo516[[#This Row],[ÜRÜN KODU]],YMKODLARI!$A$1:$K$383,2,0)," ")</f>
        <v xml:space="preserve"> </v>
      </c>
      <c r="C142" s="99"/>
      <c r="D142" s="100"/>
      <c r="E142" s="101"/>
      <c r="F142" s="101"/>
      <c r="G142" s="100" t="str">
        <f>IFERROR(VLOOKUP(Tablo516[[#This Row],[ÜRÜN KODU]],YMKODLARI!$A$1:$K$383,3,0)," ")</f>
        <v xml:space="preserve"> </v>
      </c>
      <c r="H142" s="100" t="str">
        <f>IFERROR(VLOOKUP(Tablo516[[#This Row],[ÜRÜN KODU]],YMKODLARI!$A$1:$K$383,4,0)," ")</f>
        <v xml:space="preserve"> </v>
      </c>
      <c r="I142" s="100"/>
      <c r="J142" s="100" t="str">
        <f>IFERROR(VLOOKUP(Tablo516[[#This Row],[ÜRÜN KODU]],YMKODLARI!$A$1:$K$383,9,0)," ")</f>
        <v xml:space="preserve"> </v>
      </c>
      <c r="K142" s="100" t="str">
        <f>IFERROR(VLOOKUP(Tablo516[[#This Row],[BOYA KODU]],Tablo14[#All],4,0)," ")</f>
        <v xml:space="preserve"> </v>
      </c>
      <c r="L142" s="100" t="str">
        <f>IFERROR(VLOOKUP(Tablo516[[#This Row],[BOYA KODU]],Tablo14[#All],6,0)," ")</f>
        <v xml:space="preserve"> </v>
      </c>
      <c r="M142" s="100" t="str">
        <f t="shared" si="14"/>
        <v xml:space="preserve"> </v>
      </c>
      <c r="N142" s="100" t="str">
        <f>IFERROR(VLOOKUP(Tablo516[[#This Row],[ÜRÜN KODU]],YMKODLARI!$A$1:$K$383,8,0)," ")</f>
        <v xml:space="preserve"> </v>
      </c>
      <c r="O142" s="100" t="str">
        <f>IFERROR(VLOOKUP(Tablo516[[#This Row],[HAMMADDE KODU]],Tablo1[#All],3,0)," ")</f>
        <v xml:space="preserve"> </v>
      </c>
      <c r="P142" s="100" t="str">
        <f>IFERROR(VLOOKUP(Tablo516[[#This Row],[HAMMADDE KODU]],Tablo1[#All],4,0)," ")</f>
        <v xml:space="preserve"> </v>
      </c>
      <c r="Q142" s="100" t="str">
        <f>IFERROR(VLOOKUP(Tablo516[[#This Row],[ÜRÜN KODU]],YMKODLARI!$A$1:$K$383,5,0)," ")</f>
        <v xml:space="preserve"> </v>
      </c>
      <c r="R142" s="100" t="str">
        <f>IFERROR(VLOOKUP(Tablo516[[#This Row],[ÜRÜN KODU]],YMKODLARI!$A$1:$K$383,6,0)," ")</f>
        <v xml:space="preserve"> </v>
      </c>
      <c r="S142" s="100" t="str">
        <f>IFERROR(Tablo516[[#This Row],[YOLLUK HARİÇ BASKI GRAMI]]/Tablo516[[#This Row],[KALIP GÖZ ADEDİ]]," ")</f>
        <v xml:space="preserve"> </v>
      </c>
      <c r="T142" s="100" t="str">
        <f t="shared" si="16"/>
        <v xml:space="preserve"> </v>
      </c>
      <c r="U142" s="100"/>
      <c r="V142" s="100" t="str">
        <f t="shared" si="15"/>
        <v xml:space="preserve"> </v>
      </c>
      <c r="W142" s="101">
        <f t="shared" si="17"/>
        <v>24</v>
      </c>
      <c r="X142" s="102">
        <f t="shared" si="18"/>
        <v>0</v>
      </c>
      <c r="Y142" s="100" t="str">
        <f t="shared" si="19"/>
        <v xml:space="preserve"> </v>
      </c>
      <c r="Z142" s="100" t="str">
        <f t="shared" si="20"/>
        <v xml:space="preserve"> </v>
      </c>
    </row>
    <row r="143" spans="1:26">
      <c r="A143" s="100"/>
      <c r="B143" s="108" t="str">
        <f>IFERROR(VLOOKUP(Tablo516[[#This Row],[ÜRÜN KODU]],YMKODLARI!$A$1:$K$383,2,0)," ")</f>
        <v xml:space="preserve"> </v>
      </c>
      <c r="C143" s="99"/>
      <c r="D143" s="100"/>
      <c r="E143" s="101"/>
      <c r="F143" s="101"/>
      <c r="G143" s="100" t="str">
        <f>IFERROR(VLOOKUP(Tablo516[[#This Row],[ÜRÜN KODU]],YMKODLARI!$A$1:$K$383,3,0)," ")</f>
        <v xml:space="preserve"> </v>
      </c>
      <c r="H143" s="100" t="str">
        <f>IFERROR(VLOOKUP(Tablo516[[#This Row],[ÜRÜN KODU]],YMKODLARI!$A$1:$K$383,4,0)," ")</f>
        <v xml:space="preserve"> </v>
      </c>
      <c r="I143" s="100"/>
      <c r="J143" s="100" t="str">
        <f>IFERROR(VLOOKUP(Tablo516[[#This Row],[ÜRÜN KODU]],YMKODLARI!$A$1:$K$383,9,0)," ")</f>
        <v xml:space="preserve"> </v>
      </c>
      <c r="K143" s="100" t="str">
        <f>IFERROR(VLOOKUP(Tablo516[[#This Row],[BOYA KODU]],Tablo14[#All],4,0)," ")</f>
        <v xml:space="preserve"> </v>
      </c>
      <c r="L143" s="100" t="str">
        <f>IFERROR(VLOOKUP(Tablo516[[#This Row],[BOYA KODU]],Tablo14[#All],6,0)," ")</f>
        <v xml:space="preserve"> </v>
      </c>
      <c r="M143" s="100" t="str">
        <f t="shared" si="14"/>
        <v xml:space="preserve"> </v>
      </c>
      <c r="N143" s="100" t="str">
        <f>IFERROR(VLOOKUP(Tablo516[[#This Row],[ÜRÜN KODU]],YMKODLARI!$A$1:$K$383,8,0)," ")</f>
        <v xml:space="preserve"> </v>
      </c>
      <c r="O143" s="100" t="str">
        <f>IFERROR(VLOOKUP(Tablo516[[#This Row],[HAMMADDE KODU]],Tablo1[#All],3,0)," ")</f>
        <v xml:space="preserve"> </v>
      </c>
      <c r="P143" s="100" t="str">
        <f>IFERROR(VLOOKUP(Tablo516[[#This Row],[HAMMADDE KODU]],Tablo1[#All],4,0)," ")</f>
        <v xml:space="preserve"> </v>
      </c>
      <c r="Q143" s="100" t="str">
        <f>IFERROR(VLOOKUP(Tablo516[[#This Row],[ÜRÜN KODU]],YMKODLARI!$A$1:$K$383,5,0)," ")</f>
        <v xml:space="preserve"> </v>
      </c>
      <c r="R143" s="100" t="str">
        <f>IFERROR(VLOOKUP(Tablo516[[#This Row],[ÜRÜN KODU]],YMKODLARI!$A$1:$K$383,6,0)," ")</f>
        <v xml:space="preserve"> </v>
      </c>
      <c r="S143" s="100" t="str">
        <f>IFERROR(Tablo516[[#This Row],[YOLLUK HARİÇ BASKI GRAMI]]/Tablo516[[#This Row],[KALIP GÖZ ADEDİ]]," ")</f>
        <v xml:space="preserve"> </v>
      </c>
      <c r="T143" s="100" t="str">
        <f t="shared" si="16"/>
        <v xml:space="preserve"> </v>
      </c>
      <c r="U143" s="100"/>
      <c r="V143" s="100" t="str">
        <f t="shared" si="15"/>
        <v xml:space="preserve"> </v>
      </c>
      <c r="W143" s="101">
        <f t="shared" si="17"/>
        <v>24</v>
      </c>
      <c r="X143" s="102">
        <f t="shared" si="18"/>
        <v>0</v>
      </c>
      <c r="Y143" s="100" t="str">
        <f t="shared" si="19"/>
        <v xml:space="preserve"> </v>
      </c>
      <c r="Z143" s="100" t="str">
        <f t="shared" si="20"/>
        <v xml:space="preserve"> </v>
      </c>
    </row>
    <row r="144" spans="1:26">
      <c r="A144" s="100"/>
      <c r="B144" s="108" t="str">
        <f>IFERROR(VLOOKUP(Tablo516[[#This Row],[ÜRÜN KODU]],YMKODLARI!$A$1:$K$383,2,0)," ")</f>
        <v xml:space="preserve"> </v>
      </c>
      <c r="C144" s="99"/>
      <c r="D144" s="100"/>
      <c r="E144" s="101"/>
      <c r="F144" s="101"/>
      <c r="G144" s="100" t="str">
        <f>IFERROR(VLOOKUP(Tablo516[[#This Row],[ÜRÜN KODU]],YMKODLARI!$A$1:$K$383,3,0)," ")</f>
        <v xml:space="preserve"> </v>
      </c>
      <c r="H144" s="100" t="str">
        <f>IFERROR(VLOOKUP(Tablo516[[#This Row],[ÜRÜN KODU]],YMKODLARI!$A$1:$K$383,4,0)," ")</f>
        <v xml:space="preserve"> </v>
      </c>
      <c r="I144" s="100"/>
      <c r="J144" s="100" t="str">
        <f>IFERROR(VLOOKUP(Tablo516[[#This Row],[ÜRÜN KODU]],YMKODLARI!$A$1:$K$383,9,0)," ")</f>
        <v xml:space="preserve"> </v>
      </c>
      <c r="K144" s="100" t="str">
        <f>IFERROR(VLOOKUP(Tablo516[[#This Row],[BOYA KODU]],Tablo14[#All],4,0)," ")</f>
        <v xml:space="preserve"> </v>
      </c>
      <c r="L144" s="100" t="str">
        <f>IFERROR(VLOOKUP(Tablo516[[#This Row],[BOYA KODU]],Tablo14[#All],6,0)," ")</f>
        <v xml:space="preserve"> </v>
      </c>
      <c r="M144" s="100" t="str">
        <f t="shared" si="14"/>
        <v xml:space="preserve"> </v>
      </c>
      <c r="N144" s="100" t="str">
        <f>IFERROR(VLOOKUP(Tablo516[[#This Row],[ÜRÜN KODU]],YMKODLARI!$A$1:$K$383,8,0)," ")</f>
        <v xml:space="preserve"> </v>
      </c>
      <c r="O144" s="100" t="str">
        <f>IFERROR(VLOOKUP(Tablo516[[#This Row],[HAMMADDE KODU]],Tablo1[#All],3,0)," ")</f>
        <v xml:space="preserve"> </v>
      </c>
      <c r="P144" s="100" t="str">
        <f>IFERROR(VLOOKUP(Tablo516[[#This Row],[HAMMADDE KODU]],Tablo1[#All],4,0)," ")</f>
        <v xml:space="preserve"> </v>
      </c>
      <c r="Q144" s="100" t="str">
        <f>IFERROR(VLOOKUP(Tablo516[[#This Row],[ÜRÜN KODU]],YMKODLARI!$A$1:$K$383,5,0)," ")</f>
        <v xml:space="preserve"> </v>
      </c>
      <c r="R144" s="100" t="str">
        <f>IFERROR(VLOOKUP(Tablo516[[#This Row],[ÜRÜN KODU]],YMKODLARI!$A$1:$K$383,6,0)," ")</f>
        <v xml:space="preserve"> </v>
      </c>
      <c r="S144" s="100" t="str">
        <f>IFERROR(Tablo516[[#This Row],[YOLLUK HARİÇ BASKI GRAMI]]/Tablo516[[#This Row],[KALIP GÖZ ADEDİ]]," ")</f>
        <v xml:space="preserve"> </v>
      </c>
      <c r="T144" s="100" t="str">
        <f t="shared" si="16"/>
        <v xml:space="preserve"> </v>
      </c>
      <c r="U144" s="100"/>
      <c r="V144" s="100" t="str">
        <f t="shared" si="15"/>
        <v xml:space="preserve"> </v>
      </c>
      <c r="W144" s="101">
        <f t="shared" si="17"/>
        <v>24</v>
      </c>
      <c r="X144" s="102">
        <f t="shared" si="18"/>
        <v>0</v>
      </c>
      <c r="Y144" s="100" t="str">
        <f t="shared" si="19"/>
        <v xml:space="preserve"> </v>
      </c>
      <c r="Z144" s="100" t="str">
        <f t="shared" si="20"/>
        <v xml:space="preserve"> </v>
      </c>
    </row>
    <row r="145" spans="1:26">
      <c r="A145" s="100"/>
      <c r="B145" s="108" t="str">
        <f>IFERROR(VLOOKUP(Tablo516[[#This Row],[ÜRÜN KODU]],YMKODLARI!$A$1:$K$383,2,0)," ")</f>
        <v xml:space="preserve"> </v>
      </c>
      <c r="C145" s="99"/>
      <c r="D145" s="100"/>
      <c r="E145" s="101"/>
      <c r="F145" s="101"/>
      <c r="G145" s="100" t="str">
        <f>IFERROR(VLOOKUP(Tablo516[[#This Row],[ÜRÜN KODU]],YMKODLARI!$A$1:$K$383,3,0)," ")</f>
        <v xml:space="preserve"> </v>
      </c>
      <c r="H145" s="100" t="str">
        <f>IFERROR(VLOOKUP(Tablo516[[#This Row],[ÜRÜN KODU]],YMKODLARI!$A$1:$K$383,4,0)," ")</f>
        <v xml:space="preserve"> </v>
      </c>
      <c r="I145" s="100"/>
      <c r="J145" s="100" t="str">
        <f>IFERROR(VLOOKUP(Tablo516[[#This Row],[ÜRÜN KODU]],YMKODLARI!$A$1:$K$383,9,0)," ")</f>
        <v xml:space="preserve"> </v>
      </c>
      <c r="K145" s="100" t="str">
        <f>IFERROR(VLOOKUP(Tablo516[[#This Row],[BOYA KODU]],Tablo14[#All],4,0)," ")</f>
        <v xml:space="preserve"> </v>
      </c>
      <c r="L145" s="100" t="str">
        <f>IFERROR(VLOOKUP(Tablo516[[#This Row],[BOYA KODU]],Tablo14[#All],6,0)," ")</f>
        <v xml:space="preserve"> </v>
      </c>
      <c r="M145" s="100" t="str">
        <f t="shared" si="14"/>
        <v xml:space="preserve"> </v>
      </c>
      <c r="N145" s="100" t="str">
        <f>IFERROR(VLOOKUP(Tablo516[[#This Row],[ÜRÜN KODU]],YMKODLARI!$A$1:$K$383,8,0)," ")</f>
        <v xml:space="preserve"> </v>
      </c>
      <c r="O145" s="100" t="str">
        <f>IFERROR(VLOOKUP(Tablo516[[#This Row],[HAMMADDE KODU]],Tablo1[#All],3,0)," ")</f>
        <v xml:space="preserve"> </v>
      </c>
      <c r="P145" s="100" t="str">
        <f>IFERROR(VLOOKUP(Tablo516[[#This Row],[HAMMADDE KODU]],Tablo1[#All],4,0)," ")</f>
        <v xml:space="preserve"> </v>
      </c>
      <c r="Q145" s="100" t="str">
        <f>IFERROR(VLOOKUP(Tablo516[[#This Row],[ÜRÜN KODU]],YMKODLARI!$A$1:$K$383,5,0)," ")</f>
        <v xml:space="preserve"> </v>
      </c>
      <c r="R145" s="100" t="str">
        <f>IFERROR(VLOOKUP(Tablo516[[#This Row],[ÜRÜN KODU]],YMKODLARI!$A$1:$K$383,6,0)," ")</f>
        <v xml:space="preserve"> </v>
      </c>
      <c r="S145" s="100" t="str">
        <f>IFERROR(Tablo516[[#This Row],[YOLLUK HARİÇ BASKI GRAMI]]/Tablo516[[#This Row],[KALIP GÖZ ADEDİ]]," ")</f>
        <v xml:space="preserve"> </v>
      </c>
      <c r="T145" s="100" t="str">
        <f t="shared" si="16"/>
        <v xml:space="preserve"> </v>
      </c>
      <c r="U145" s="100"/>
      <c r="V145" s="100" t="str">
        <f t="shared" si="15"/>
        <v xml:space="preserve"> </v>
      </c>
      <c r="W145" s="101">
        <f t="shared" si="17"/>
        <v>24</v>
      </c>
      <c r="X145" s="102">
        <f t="shared" si="18"/>
        <v>0</v>
      </c>
      <c r="Y145" s="100" t="str">
        <f t="shared" si="19"/>
        <v xml:space="preserve"> </v>
      </c>
      <c r="Z145" s="100" t="str">
        <f t="shared" si="20"/>
        <v xml:space="preserve"> </v>
      </c>
    </row>
    <row r="146" spans="1:26">
      <c r="A146" s="100"/>
      <c r="B146" s="108" t="str">
        <f>IFERROR(VLOOKUP(Tablo516[[#This Row],[ÜRÜN KODU]],YMKODLARI!$A$1:$K$383,2,0)," ")</f>
        <v xml:space="preserve"> </v>
      </c>
      <c r="C146" s="99"/>
      <c r="D146" s="100"/>
      <c r="E146" s="101"/>
      <c r="F146" s="101"/>
      <c r="G146" s="100" t="str">
        <f>IFERROR(VLOOKUP(Tablo516[[#This Row],[ÜRÜN KODU]],YMKODLARI!$A$1:$K$383,3,0)," ")</f>
        <v xml:space="preserve"> </v>
      </c>
      <c r="H146" s="100" t="str">
        <f>IFERROR(VLOOKUP(Tablo516[[#This Row],[ÜRÜN KODU]],YMKODLARI!$A$1:$K$383,4,0)," ")</f>
        <v xml:space="preserve"> </v>
      </c>
      <c r="I146" s="100"/>
      <c r="J146" s="100" t="str">
        <f>IFERROR(VLOOKUP(Tablo516[[#This Row],[ÜRÜN KODU]],YMKODLARI!$A$1:$K$383,9,0)," ")</f>
        <v xml:space="preserve"> </v>
      </c>
      <c r="K146" s="100" t="str">
        <f>IFERROR(VLOOKUP(Tablo516[[#This Row],[BOYA KODU]],Tablo14[#All],4,0)," ")</f>
        <v xml:space="preserve"> </v>
      </c>
      <c r="L146" s="100" t="str">
        <f>IFERROR(VLOOKUP(Tablo516[[#This Row],[BOYA KODU]],Tablo14[#All],6,0)," ")</f>
        <v xml:space="preserve"> </v>
      </c>
      <c r="M146" s="100" t="str">
        <f t="shared" si="14"/>
        <v xml:space="preserve"> </v>
      </c>
      <c r="N146" s="100" t="str">
        <f>IFERROR(VLOOKUP(Tablo516[[#This Row],[ÜRÜN KODU]],YMKODLARI!$A$1:$K$383,8,0)," ")</f>
        <v xml:space="preserve"> </v>
      </c>
      <c r="O146" s="100" t="str">
        <f>IFERROR(VLOOKUP(Tablo516[[#This Row],[HAMMADDE KODU]],Tablo1[#All],3,0)," ")</f>
        <v xml:space="preserve"> </v>
      </c>
      <c r="P146" s="100" t="str">
        <f>IFERROR(VLOOKUP(Tablo516[[#This Row],[HAMMADDE KODU]],Tablo1[#All],4,0)," ")</f>
        <v xml:space="preserve"> </v>
      </c>
      <c r="Q146" s="100" t="str">
        <f>IFERROR(VLOOKUP(Tablo516[[#This Row],[ÜRÜN KODU]],YMKODLARI!$A$1:$K$383,5,0)," ")</f>
        <v xml:space="preserve"> </v>
      </c>
      <c r="R146" s="100" t="str">
        <f>IFERROR(VLOOKUP(Tablo516[[#This Row],[ÜRÜN KODU]],YMKODLARI!$A$1:$K$383,6,0)," ")</f>
        <v xml:space="preserve"> </v>
      </c>
      <c r="S146" s="100" t="str">
        <f>IFERROR(Tablo516[[#This Row],[YOLLUK HARİÇ BASKI GRAMI]]/Tablo516[[#This Row],[KALIP GÖZ ADEDİ]]," ")</f>
        <v xml:space="preserve"> </v>
      </c>
      <c r="T146" s="100" t="str">
        <f t="shared" si="16"/>
        <v xml:space="preserve"> </v>
      </c>
      <c r="U146" s="100"/>
      <c r="V146" s="100" t="str">
        <f t="shared" si="15"/>
        <v xml:space="preserve"> </v>
      </c>
      <c r="W146" s="101">
        <f t="shared" si="17"/>
        <v>24</v>
      </c>
      <c r="X146" s="102">
        <f t="shared" si="18"/>
        <v>0</v>
      </c>
      <c r="Y146" s="100" t="str">
        <f t="shared" si="19"/>
        <v xml:space="preserve"> </v>
      </c>
      <c r="Z146" s="100" t="str">
        <f t="shared" si="20"/>
        <v xml:space="preserve"> </v>
      </c>
    </row>
    <row r="147" spans="1:26">
      <c r="A147" s="100"/>
      <c r="B147" s="108" t="str">
        <f>IFERROR(VLOOKUP(Tablo516[[#This Row],[ÜRÜN KODU]],YMKODLARI!$A$1:$K$383,2,0)," ")</f>
        <v xml:space="preserve"> </v>
      </c>
      <c r="C147" s="99"/>
      <c r="D147" s="100"/>
      <c r="E147" s="101"/>
      <c r="F147" s="101"/>
      <c r="G147" s="100" t="str">
        <f>IFERROR(VLOOKUP(Tablo516[[#This Row],[ÜRÜN KODU]],YMKODLARI!$A$1:$K$383,3,0)," ")</f>
        <v xml:space="preserve"> </v>
      </c>
      <c r="H147" s="100" t="str">
        <f>IFERROR(VLOOKUP(Tablo516[[#This Row],[ÜRÜN KODU]],YMKODLARI!$A$1:$K$383,4,0)," ")</f>
        <v xml:space="preserve"> </v>
      </c>
      <c r="I147" s="100"/>
      <c r="J147" s="100" t="str">
        <f>IFERROR(VLOOKUP(Tablo516[[#This Row],[ÜRÜN KODU]],YMKODLARI!$A$1:$K$383,9,0)," ")</f>
        <v xml:space="preserve"> </v>
      </c>
      <c r="K147" s="100" t="str">
        <f>IFERROR(VLOOKUP(Tablo516[[#This Row],[BOYA KODU]],Tablo14[#All],4,0)," ")</f>
        <v xml:space="preserve"> </v>
      </c>
      <c r="L147" s="100" t="str">
        <f>IFERROR(VLOOKUP(Tablo516[[#This Row],[BOYA KODU]],Tablo14[#All],6,0)," ")</f>
        <v xml:space="preserve"> </v>
      </c>
      <c r="M147" s="100" t="str">
        <f t="shared" si="14"/>
        <v xml:space="preserve"> </v>
      </c>
      <c r="N147" s="100" t="str">
        <f>IFERROR(VLOOKUP(Tablo516[[#This Row],[ÜRÜN KODU]],YMKODLARI!$A$1:$K$383,8,0)," ")</f>
        <v xml:space="preserve"> </v>
      </c>
      <c r="O147" s="100" t="str">
        <f>IFERROR(VLOOKUP(Tablo516[[#This Row],[HAMMADDE KODU]],Tablo1[#All],3,0)," ")</f>
        <v xml:space="preserve"> </v>
      </c>
      <c r="P147" s="100" t="str">
        <f>IFERROR(VLOOKUP(Tablo516[[#This Row],[HAMMADDE KODU]],Tablo1[#All],4,0)," ")</f>
        <v xml:space="preserve"> </v>
      </c>
      <c r="Q147" s="100" t="str">
        <f>IFERROR(VLOOKUP(Tablo516[[#This Row],[ÜRÜN KODU]],YMKODLARI!$A$1:$K$383,5,0)," ")</f>
        <v xml:space="preserve"> </v>
      </c>
      <c r="R147" s="100" t="str">
        <f>IFERROR(VLOOKUP(Tablo516[[#This Row],[ÜRÜN KODU]],YMKODLARI!$A$1:$K$383,6,0)," ")</f>
        <v xml:space="preserve"> </v>
      </c>
      <c r="S147" s="100" t="str">
        <f>IFERROR(Tablo516[[#This Row],[YOLLUK HARİÇ BASKI GRAMI]]/Tablo516[[#This Row],[KALIP GÖZ ADEDİ]]," ")</f>
        <v xml:space="preserve"> </v>
      </c>
      <c r="T147" s="100" t="str">
        <f t="shared" si="16"/>
        <v xml:space="preserve"> </v>
      </c>
      <c r="U147" s="100"/>
      <c r="V147" s="100" t="str">
        <f t="shared" si="15"/>
        <v xml:space="preserve"> </v>
      </c>
      <c r="W147" s="101">
        <f t="shared" si="17"/>
        <v>24</v>
      </c>
      <c r="X147" s="102">
        <f t="shared" si="18"/>
        <v>0</v>
      </c>
      <c r="Y147" s="100" t="str">
        <f t="shared" si="19"/>
        <v xml:space="preserve"> </v>
      </c>
      <c r="Z147" s="100" t="str">
        <f t="shared" si="20"/>
        <v xml:space="preserve"> </v>
      </c>
    </row>
    <row r="148" spans="1:26">
      <c r="A148" s="100"/>
      <c r="B148" s="108" t="str">
        <f>IFERROR(VLOOKUP(Tablo516[[#This Row],[ÜRÜN KODU]],YMKODLARI!$A$1:$K$383,2,0)," ")</f>
        <v xml:space="preserve"> </v>
      </c>
      <c r="C148" s="99"/>
      <c r="D148" s="100"/>
      <c r="E148" s="101"/>
      <c r="F148" s="101"/>
      <c r="G148" s="100" t="str">
        <f>IFERROR(VLOOKUP(Tablo516[[#This Row],[ÜRÜN KODU]],YMKODLARI!$A$1:$K$383,3,0)," ")</f>
        <v xml:space="preserve"> </v>
      </c>
      <c r="H148" s="100" t="str">
        <f>IFERROR(VLOOKUP(Tablo516[[#This Row],[ÜRÜN KODU]],YMKODLARI!$A$1:$K$383,4,0)," ")</f>
        <v xml:space="preserve"> </v>
      </c>
      <c r="I148" s="100"/>
      <c r="J148" s="100" t="str">
        <f>IFERROR(VLOOKUP(Tablo516[[#This Row],[ÜRÜN KODU]],YMKODLARI!$A$1:$K$383,9,0)," ")</f>
        <v xml:space="preserve"> </v>
      </c>
      <c r="K148" s="100" t="str">
        <f>IFERROR(VLOOKUP(Tablo516[[#This Row],[BOYA KODU]],Tablo14[#All],4,0)," ")</f>
        <v xml:space="preserve"> </v>
      </c>
      <c r="L148" s="100" t="str">
        <f>IFERROR(VLOOKUP(Tablo516[[#This Row],[BOYA KODU]],Tablo14[#All],6,0)," ")</f>
        <v xml:space="preserve"> </v>
      </c>
      <c r="M148" s="100" t="str">
        <f t="shared" si="14"/>
        <v xml:space="preserve"> </v>
      </c>
      <c r="N148" s="100" t="str">
        <f>IFERROR(VLOOKUP(Tablo516[[#This Row],[ÜRÜN KODU]],YMKODLARI!$A$1:$K$383,8,0)," ")</f>
        <v xml:space="preserve"> </v>
      </c>
      <c r="O148" s="100" t="str">
        <f>IFERROR(VLOOKUP(Tablo516[[#This Row],[HAMMADDE KODU]],Tablo1[#All],3,0)," ")</f>
        <v xml:space="preserve"> </v>
      </c>
      <c r="P148" s="100" t="str">
        <f>IFERROR(VLOOKUP(Tablo516[[#This Row],[HAMMADDE KODU]],Tablo1[#All],4,0)," ")</f>
        <v xml:space="preserve"> </v>
      </c>
      <c r="Q148" s="100" t="str">
        <f>IFERROR(VLOOKUP(Tablo516[[#This Row],[ÜRÜN KODU]],YMKODLARI!$A$1:$K$383,5,0)," ")</f>
        <v xml:space="preserve"> </v>
      </c>
      <c r="R148" s="100" t="str">
        <f>IFERROR(VLOOKUP(Tablo516[[#This Row],[ÜRÜN KODU]],YMKODLARI!$A$1:$K$383,6,0)," ")</f>
        <v xml:space="preserve"> </v>
      </c>
      <c r="S148" s="100" t="str">
        <f>IFERROR(Tablo516[[#This Row],[YOLLUK HARİÇ BASKI GRAMI]]/Tablo516[[#This Row],[KALIP GÖZ ADEDİ]]," ")</f>
        <v xml:space="preserve"> </v>
      </c>
      <c r="T148" s="100" t="str">
        <f t="shared" si="16"/>
        <v xml:space="preserve"> </v>
      </c>
      <c r="U148" s="100"/>
      <c r="V148" s="100" t="str">
        <f t="shared" si="15"/>
        <v xml:space="preserve"> </v>
      </c>
      <c r="W148" s="101">
        <f t="shared" si="17"/>
        <v>24</v>
      </c>
      <c r="X148" s="102">
        <f t="shared" si="18"/>
        <v>0</v>
      </c>
      <c r="Y148" s="100" t="str">
        <f t="shared" si="19"/>
        <v xml:space="preserve"> </v>
      </c>
      <c r="Z148" s="100" t="str">
        <f t="shared" si="20"/>
        <v xml:space="preserve"> </v>
      </c>
    </row>
    <row r="149" spans="1:26">
      <c r="A149" s="100"/>
      <c r="B149" s="108" t="str">
        <f>IFERROR(VLOOKUP(Tablo516[[#This Row],[ÜRÜN KODU]],YMKODLARI!$A$1:$K$383,2,0)," ")</f>
        <v xml:space="preserve"> </v>
      </c>
      <c r="C149" s="99"/>
      <c r="D149" s="100"/>
      <c r="E149" s="101"/>
      <c r="F149" s="101"/>
      <c r="G149" s="100" t="str">
        <f>IFERROR(VLOOKUP(Tablo516[[#This Row],[ÜRÜN KODU]],YMKODLARI!$A$1:$K$383,3,0)," ")</f>
        <v xml:space="preserve"> </v>
      </c>
      <c r="H149" s="100" t="str">
        <f>IFERROR(VLOOKUP(Tablo516[[#This Row],[ÜRÜN KODU]],YMKODLARI!$A$1:$K$383,4,0)," ")</f>
        <v xml:space="preserve"> </v>
      </c>
      <c r="I149" s="100"/>
      <c r="J149" s="100" t="str">
        <f>IFERROR(VLOOKUP(Tablo516[[#This Row],[ÜRÜN KODU]],YMKODLARI!$A$1:$K$383,9,0)," ")</f>
        <v xml:space="preserve"> </v>
      </c>
      <c r="K149" s="100" t="str">
        <f>IFERROR(VLOOKUP(Tablo516[[#This Row],[BOYA KODU]],Tablo14[#All],4,0)," ")</f>
        <v xml:space="preserve"> </v>
      </c>
      <c r="L149" s="100" t="str">
        <f>IFERROR(VLOOKUP(Tablo516[[#This Row],[BOYA KODU]],Tablo14[#All],6,0)," ")</f>
        <v xml:space="preserve"> </v>
      </c>
      <c r="M149" s="100" t="str">
        <f t="shared" si="14"/>
        <v xml:space="preserve"> </v>
      </c>
      <c r="N149" s="100" t="str">
        <f>IFERROR(VLOOKUP(Tablo516[[#This Row],[ÜRÜN KODU]],YMKODLARI!$A$1:$K$383,8,0)," ")</f>
        <v xml:space="preserve"> </v>
      </c>
      <c r="O149" s="100" t="str">
        <f>IFERROR(VLOOKUP(Tablo516[[#This Row],[HAMMADDE KODU]],Tablo1[#All],3,0)," ")</f>
        <v xml:space="preserve"> </v>
      </c>
      <c r="P149" s="100" t="str">
        <f>IFERROR(VLOOKUP(Tablo516[[#This Row],[HAMMADDE KODU]],Tablo1[#All],4,0)," ")</f>
        <v xml:space="preserve"> </v>
      </c>
      <c r="Q149" s="100" t="str">
        <f>IFERROR(VLOOKUP(Tablo516[[#This Row],[ÜRÜN KODU]],YMKODLARI!$A$1:$K$383,5,0)," ")</f>
        <v xml:space="preserve"> </v>
      </c>
      <c r="R149" s="100" t="str">
        <f>IFERROR(VLOOKUP(Tablo516[[#This Row],[ÜRÜN KODU]],YMKODLARI!$A$1:$K$383,6,0)," ")</f>
        <v xml:space="preserve"> </v>
      </c>
      <c r="S149" s="100" t="str">
        <f>IFERROR(Tablo516[[#This Row],[YOLLUK HARİÇ BASKI GRAMI]]/Tablo516[[#This Row],[KALIP GÖZ ADEDİ]]," ")</f>
        <v xml:space="preserve"> </v>
      </c>
      <c r="T149" s="100" t="str">
        <f t="shared" si="16"/>
        <v xml:space="preserve"> </v>
      </c>
      <c r="U149" s="100"/>
      <c r="V149" s="100" t="str">
        <f t="shared" si="15"/>
        <v xml:space="preserve"> </v>
      </c>
      <c r="W149" s="101">
        <f t="shared" si="17"/>
        <v>24</v>
      </c>
      <c r="X149" s="102">
        <f t="shared" si="18"/>
        <v>0</v>
      </c>
      <c r="Y149" s="100" t="str">
        <f t="shared" si="19"/>
        <v xml:space="preserve"> </v>
      </c>
      <c r="Z149" s="100" t="str">
        <f t="shared" si="20"/>
        <v xml:space="preserve"> </v>
      </c>
    </row>
    <row r="150" spans="1:26">
      <c r="A150" s="100"/>
      <c r="B150" s="108" t="str">
        <f>IFERROR(VLOOKUP(Tablo516[[#This Row],[ÜRÜN KODU]],YMKODLARI!$A$1:$K$383,2,0)," ")</f>
        <v xml:space="preserve"> </v>
      </c>
      <c r="C150" s="99"/>
      <c r="D150" s="100"/>
      <c r="E150" s="101"/>
      <c r="F150" s="101"/>
      <c r="G150" s="100" t="str">
        <f>IFERROR(VLOOKUP(Tablo516[[#This Row],[ÜRÜN KODU]],YMKODLARI!$A$1:$K$383,3,0)," ")</f>
        <v xml:space="preserve"> </v>
      </c>
      <c r="H150" s="100" t="str">
        <f>IFERROR(VLOOKUP(Tablo516[[#This Row],[ÜRÜN KODU]],YMKODLARI!$A$1:$K$383,4,0)," ")</f>
        <v xml:space="preserve"> </v>
      </c>
      <c r="I150" s="100"/>
      <c r="J150" s="100" t="str">
        <f>IFERROR(VLOOKUP(Tablo516[[#This Row],[ÜRÜN KODU]],YMKODLARI!$A$1:$K$383,9,0)," ")</f>
        <v xml:space="preserve"> </v>
      </c>
      <c r="K150" s="100" t="str">
        <f>IFERROR(VLOOKUP(Tablo516[[#This Row],[BOYA KODU]],Tablo14[#All],4,0)," ")</f>
        <v xml:space="preserve"> </v>
      </c>
      <c r="L150" s="100" t="str">
        <f>IFERROR(VLOOKUP(Tablo516[[#This Row],[BOYA KODU]],Tablo14[#All],6,0)," ")</f>
        <v xml:space="preserve"> </v>
      </c>
      <c r="M150" s="100" t="str">
        <f t="shared" si="14"/>
        <v xml:space="preserve"> </v>
      </c>
      <c r="N150" s="100" t="str">
        <f>IFERROR(VLOOKUP(Tablo516[[#This Row],[ÜRÜN KODU]],YMKODLARI!$A$1:$K$383,8,0)," ")</f>
        <v xml:space="preserve"> </v>
      </c>
      <c r="O150" s="100" t="str">
        <f>IFERROR(VLOOKUP(Tablo516[[#This Row],[HAMMADDE KODU]],Tablo1[#All],3,0)," ")</f>
        <v xml:space="preserve"> </v>
      </c>
      <c r="P150" s="100" t="str">
        <f>IFERROR(VLOOKUP(Tablo516[[#This Row],[HAMMADDE KODU]],Tablo1[#All],4,0)," ")</f>
        <v xml:space="preserve"> </v>
      </c>
      <c r="Q150" s="100" t="str">
        <f>IFERROR(VLOOKUP(Tablo516[[#This Row],[ÜRÜN KODU]],YMKODLARI!$A$1:$K$383,5,0)," ")</f>
        <v xml:space="preserve"> </v>
      </c>
      <c r="R150" s="100" t="str">
        <f>IFERROR(VLOOKUP(Tablo516[[#This Row],[ÜRÜN KODU]],YMKODLARI!$A$1:$K$383,6,0)," ")</f>
        <v xml:space="preserve"> </v>
      </c>
      <c r="S150" s="100" t="str">
        <f>IFERROR(Tablo516[[#This Row],[YOLLUK HARİÇ BASKI GRAMI]]/Tablo516[[#This Row],[KALIP GÖZ ADEDİ]]," ")</f>
        <v xml:space="preserve"> </v>
      </c>
      <c r="T150" s="100" t="str">
        <f t="shared" si="16"/>
        <v xml:space="preserve"> </v>
      </c>
      <c r="U150" s="100"/>
      <c r="V150" s="100" t="str">
        <f t="shared" si="15"/>
        <v xml:space="preserve"> </v>
      </c>
      <c r="W150" s="101">
        <f t="shared" si="17"/>
        <v>24</v>
      </c>
      <c r="X150" s="102">
        <f t="shared" si="18"/>
        <v>0</v>
      </c>
      <c r="Y150" s="100" t="str">
        <f t="shared" si="19"/>
        <v xml:space="preserve"> </v>
      </c>
      <c r="Z150" s="100" t="str">
        <f t="shared" si="20"/>
        <v xml:space="preserve"> </v>
      </c>
    </row>
    <row r="151" spans="1:26">
      <c r="A151" s="100"/>
      <c r="B151" s="108" t="str">
        <f>IFERROR(VLOOKUP(Tablo516[[#This Row],[ÜRÜN KODU]],YMKODLARI!$A$1:$K$383,2,0)," ")</f>
        <v xml:space="preserve"> </v>
      </c>
      <c r="C151" s="99"/>
      <c r="D151" s="100"/>
      <c r="E151" s="101"/>
      <c r="F151" s="101"/>
      <c r="G151" s="100" t="str">
        <f>IFERROR(VLOOKUP(Tablo516[[#This Row],[ÜRÜN KODU]],YMKODLARI!$A$1:$K$383,3,0)," ")</f>
        <v xml:space="preserve"> </v>
      </c>
      <c r="H151" s="100" t="str">
        <f>IFERROR(VLOOKUP(Tablo516[[#This Row],[ÜRÜN KODU]],YMKODLARI!$A$1:$K$383,4,0)," ")</f>
        <v xml:space="preserve"> </v>
      </c>
      <c r="I151" s="100"/>
      <c r="J151" s="100" t="str">
        <f>IFERROR(VLOOKUP(Tablo516[[#This Row],[ÜRÜN KODU]],YMKODLARI!$A$1:$K$383,9,0)," ")</f>
        <v xml:space="preserve"> </v>
      </c>
      <c r="K151" s="100" t="str">
        <f>IFERROR(VLOOKUP(Tablo516[[#This Row],[BOYA KODU]],Tablo14[#All],4,0)," ")</f>
        <v xml:space="preserve"> </v>
      </c>
      <c r="L151" s="100" t="str">
        <f>IFERROR(VLOOKUP(Tablo516[[#This Row],[BOYA KODU]],Tablo14[#All],6,0)," ")</f>
        <v xml:space="preserve"> </v>
      </c>
      <c r="M151" s="100" t="str">
        <f t="shared" si="14"/>
        <v xml:space="preserve"> </v>
      </c>
      <c r="N151" s="100" t="str">
        <f>IFERROR(VLOOKUP(Tablo516[[#This Row],[ÜRÜN KODU]],YMKODLARI!$A$1:$K$383,8,0)," ")</f>
        <v xml:space="preserve"> </v>
      </c>
      <c r="O151" s="100" t="str">
        <f>IFERROR(VLOOKUP(Tablo516[[#This Row],[HAMMADDE KODU]],Tablo1[#All],3,0)," ")</f>
        <v xml:space="preserve"> </v>
      </c>
      <c r="P151" s="100" t="str">
        <f>IFERROR(VLOOKUP(Tablo516[[#This Row],[HAMMADDE KODU]],Tablo1[#All],4,0)," ")</f>
        <v xml:space="preserve"> </v>
      </c>
      <c r="Q151" s="100" t="str">
        <f>IFERROR(VLOOKUP(Tablo516[[#This Row],[ÜRÜN KODU]],YMKODLARI!$A$1:$K$383,5,0)," ")</f>
        <v xml:space="preserve"> </v>
      </c>
      <c r="R151" s="100" t="str">
        <f>IFERROR(VLOOKUP(Tablo516[[#This Row],[ÜRÜN KODU]],YMKODLARI!$A$1:$K$383,6,0)," ")</f>
        <v xml:space="preserve"> </v>
      </c>
      <c r="S151" s="100" t="str">
        <f>IFERROR(Tablo516[[#This Row],[YOLLUK HARİÇ BASKI GRAMI]]/Tablo516[[#This Row],[KALIP GÖZ ADEDİ]]," ")</f>
        <v xml:space="preserve"> </v>
      </c>
      <c r="T151" s="100" t="str">
        <f t="shared" si="16"/>
        <v xml:space="preserve"> </v>
      </c>
      <c r="U151" s="100"/>
      <c r="V151" s="100" t="str">
        <f t="shared" si="15"/>
        <v xml:space="preserve"> </v>
      </c>
      <c r="W151" s="101">
        <f t="shared" si="17"/>
        <v>24</v>
      </c>
      <c r="X151" s="102">
        <f t="shared" si="18"/>
        <v>0</v>
      </c>
      <c r="Y151" s="100" t="str">
        <f t="shared" si="19"/>
        <v xml:space="preserve"> </v>
      </c>
      <c r="Z151" s="100" t="str">
        <f t="shared" si="20"/>
        <v xml:space="preserve"> </v>
      </c>
    </row>
    <row r="152" spans="1:26">
      <c r="A152" s="100"/>
      <c r="B152" s="108" t="str">
        <f>IFERROR(VLOOKUP(Tablo516[[#This Row],[ÜRÜN KODU]],YMKODLARI!$A$1:$K$383,2,0)," ")</f>
        <v xml:space="preserve"> </v>
      </c>
      <c r="C152" s="99"/>
      <c r="D152" s="100"/>
      <c r="E152" s="101"/>
      <c r="F152" s="101"/>
      <c r="G152" s="100" t="str">
        <f>IFERROR(VLOOKUP(Tablo516[[#This Row],[ÜRÜN KODU]],YMKODLARI!$A$1:$K$383,3,0)," ")</f>
        <v xml:space="preserve"> </v>
      </c>
      <c r="H152" s="100" t="str">
        <f>IFERROR(VLOOKUP(Tablo516[[#This Row],[ÜRÜN KODU]],YMKODLARI!$A$1:$K$383,4,0)," ")</f>
        <v xml:space="preserve"> </v>
      </c>
      <c r="I152" s="100"/>
      <c r="J152" s="100" t="str">
        <f>IFERROR(VLOOKUP(Tablo516[[#This Row],[ÜRÜN KODU]],YMKODLARI!$A$1:$K$383,9,0)," ")</f>
        <v xml:space="preserve"> </v>
      </c>
      <c r="K152" s="100" t="str">
        <f>IFERROR(VLOOKUP(Tablo516[[#This Row],[BOYA KODU]],Tablo14[#All],4,0)," ")</f>
        <v xml:space="preserve"> </v>
      </c>
      <c r="L152" s="100" t="str">
        <f>IFERROR(VLOOKUP(Tablo516[[#This Row],[BOYA KODU]],Tablo14[#All],6,0)," ")</f>
        <v xml:space="preserve"> </v>
      </c>
      <c r="M152" s="100" t="str">
        <f t="shared" si="14"/>
        <v xml:space="preserve"> </v>
      </c>
      <c r="N152" s="100" t="str">
        <f>IFERROR(VLOOKUP(Tablo516[[#This Row],[ÜRÜN KODU]],YMKODLARI!$A$1:$K$383,8,0)," ")</f>
        <v xml:space="preserve"> </v>
      </c>
      <c r="O152" s="100" t="str">
        <f>IFERROR(VLOOKUP(Tablo516[[#This Row],[HAMMADDE KODU]],Tablo1[#All],3,0)," ")</f>
        <v xml:space="preserve"> </v>
      </c>
      <c r="P152" s="100" t="str">
        <f>IFERROR(VLOOKUP(Tablo516[[#This Row],[HAMMADDE KODU]],Tablo1[#All],4,0)," ")</f>
        <v xml:space="preserve"> </v>
      </c>
      <c r="Q152" s="100" t="str">
        <f>IFERROR(VLOOKUP(Tablo516[[#This Row],[ÜRÜN KODU]],YMKODLARI!$A$1:$K$383,5,0)," ")</f>
        <v xml:space="preserve"> </v>
      </c>
      <c r="R152" s="100" t="str">
        <f>IFERROR(VLOOKUP(Tablo516[[#This Row],[ÜRÜN KODU]],YMKODLARI!$A$1:$K$383,6,0)," ")</f>
        <v xml:space="preserve"> </v>
      </c>
      <c r="S152" s="100" t="str">
        <f>IFERROR(Tablo516[[#This Row],[YOLLUK HARİÇ BASKI GRAMI]]/Tablo516[[#This Row],[KALIP GÖZ ADEDİ]]," ")</f>
        <v xml:space="preserve"> </v>
      </c>
      <c r="T152" s="100" t="str">
        <f t="shared" si="16"/>
        <v xml:space="preserve"> </v>
      </c>
      <c r="U152" s="100"/>
      <c r="V152" s="100" t="str">
        <f t="shared" si="15"/>
        <v xml:space="preserve"> </v>
      </c>
      <c r="W152" s="101">
        <f t="shared" si="17"/>
        <v>24</v>
      </c>
      <c r="X152" s="102">
        <f t="shared" si="18"/>
        <v>0</v>
      </c>
      <c r="Y152" s="100" t="str">
        <f t="shared" si="19"/>
        <v xml:space="preserve"> </v>
      </c>
      <c r="Z152" s="100" t="str">
        <f t="shared" si="20"/>
        <v xml:space="preserve"> </v>
      </c>
    </row>
    <row r="153" spans="1:26">
      <c r="A153" s="100"/>
      <c r="B153" s="108" t="str">
        <f>IFERROR(VLOOKUP(Tablo516[[#This Row],[ÜRÜN KODU]],YMKODLARI!$A$1:$K$383,2,0)," ")</f>
        <v xml:space="preserve"> </v>
      </c>
      <c r="C153" s="99"/>
      <c r="D153" s="100"/>
      <c r="E153" s="101"/>
      <c r="F153" s="101"/>
      <c r="G153" s="100" t="str">
        <f>IFERROR(VLOOKUP(Tablo516[[#This Row],[ÜRÜN KODU]],YMKODLARI!$A$1:$K$383,3,0)," ")</f>
        <v xml:space="preserve"> </v>
      </c>
      <c r="H153" s="100" t="str">
        <f>IFERROR(VLOOKUP(Tablo516[[#This Row],[ÜRÜN KODU]],YMKODLARI!$A$1:$K$383,4,0)," ")</f>
        <v xml:space="preserve"> </v>
      </c>
      <c r="I153" s="100"/>
      <c r="J153" s="100" t="str">
        <f>IFERROR(VLOOKUP(Tablo516[[#This Row],[ÜRÜN KODU]],YMKODLARI!$A$1:$K$383,9,0)," ")</f>
        <v xml:space="preserve"> </v>
      </c>
      <c r="K153" s="100" t="str">
        <f>IFERROR(VLOOKUP(Tablo516[[#This Row],[BOYA KODU]],Tablo14[#All],4,0)," ")</f>
        <v xml:space="preserve"> </v>
      </c>
      <c r="L153" s="100" t="str">
        <f>IFERROR(VLOOKUP(Tablo516[[#This Row],[BOYA KODU]],Tablo14[#All],6,0)," ")</f>
        <v xml:space="preserve"> </v>
      </c>
      <c r="M153" s="100" t="str">
        <f t="shared" si="14"/>
        <v xml:space="preserve"> </v>
      </c>
      <c r="N153" s="100" t="str">
        <f>IFERROR(VLOOKUP(Tablo516[[#This Row],[ÜRÜN KODU]],YMKODLARI!$A$1:$K$383,8,0)," ")</f>
        <v xml:space="preserve"> </v>
      </c>
      <c r="O153" s="100" t="str">
        <f>IFERROR(VLOOKUP(Tablo516[[#This Row],[HAMMADDE KODU]],Tablo1[#All],3,0)," ")</f>
        <v xml:space="preserve"> </v>
      </c>
      <c r="P153" s="100" t="str">
        <f>IFERROR(VLOOKUP(Tablo516[[#This Row],[HAMMADDE KODU]],Tablo1[#All],4,0)," ")</f>
        <v xml:space="preserve"> </v>
      </c>
      <c r="Q153" s="100" t="str">
        <f>IFERROR(VLOOKUP(Tablo516[[#This Row],[ÜRÜN KODU]],YMKODLARI!$A$1:$K$383,5,0)," ")</f>
        <v xml:space="preserve"> </v>
      </c>
      <c r="R153" s="100" t="str">
        <f>IFERROR(VLOOKUP(Tablo516[[#This Row],[ÜRÜN KODU]],YMKODLARI!$A$1:$K$383,6,0)," ")</f>
        <v xml:space="preserve"> </v>
      </c>
      <c r="S153" s="100" t="str">
        <f>IFERROR(Tablo516[[#This Row],[YOLLUK HARİÇ BASKI GRAMI]]/Tablo516[[#This Row],[KALIP GÖZ ADEDİ]]," ")</f>
        <v xml:space="preserve"> </v>
      </c>
      <c r="T153" s="100" t="str">
        <f t="shared" si="16"/>
        <v xml:space="preserve"> </v>
      </c>
      <c r="U153" s="100"/>
      <c r="V153" s="100" t="str">
        <f t="shared" si="15"/>
        <v xml:space="preserve"> </v>
      </c>
      <c r="W153" s="101">
        <f t="shared" si="17"/>
        <v>24</v>
      </c>
      <c r="X153" s="102">
        <f t="shared" si="18"/>
        <v>0</v>
      </c>
      <c r="Y153" s="100" t="str">
        <f t="shared" si="19"/>
        <v xml:space="preserve"> </v>
      </c>
      <c r="Z153" s="100" t="str">
        <f t="shared" si="20"/>
        <v xml:space="preserve"> </v>
      </c>
    </row>
    <row r="154" spans="1:26">
      <c r="A154" s="100"/>
      <c r="B154" s="108" t="str">
        <f>IFERROR(VLOOKUP(Tablo516[[#This Row],[ÜRÜN KODU]],YMKODLARI!$A$1:$K$383,2,0)," ")</f>
        <v xml:space="preserve"> </v>
      </c>
      <c r="C154" s="99"/>
      <c r="D154" s="100"/>
      <c r="E154" s="101"/>
      <c r="F154" s="101"/>
      <c r="G154" s="100" t="str">
        <f>IFERROR(VLOOKUP(Tablo516[[#This Row],[ÜRÜN KODU]],YMKODLARI!$A$1:$K$383,3,0)," ")</f>
        <v xml:space="preserve"> </v>
      </c>
      <c r="H154" s="100" t="str">
        <f>IFERROR(VLOOKUP(Tablo516[[#This Row],[ÜRÜN KODU]],YMKODLARI!$A$1:$K$383,4,0)," ")</f>
        <v xml:space="preserve"> </v>
      </c>
      <c r="I154" s="100"/>
      <c r="J154" s="100" t="str">
        <f>IFERROR(VLOOKUP(Tablo516[[#This Row],[ÜRÜN KODU]],YMKODLARI!$A$1:$K$383,9,0)," ")</f>
        <v xml:space="preserve"> </v>
      </c>
      <c r="K154" s="100" t="str">
        <f>IFERROR(VLOOKUP(Tablo516[[#This Row],[BOYA KODU]],Tablo14[#All],4,0)," ")</f>
        <v xml:space="preserve"> </v>
      </c>
      <c r="L154" s="100" t="str">
        <f>IFERROR(VLOOKUP(Tablo516[[#This Row],[BOYA KODU]],Tablo14[#All],6,0)," ")</f>
        <v xml:space="preserve"> </v>
      </c>
      <c r="M154" s="100" t="str">
        <f t="shared" si="14"/>
        <v xml:space="preserve"> </v>
      </c>
      <c r="N154" s="100" t="str">
        <f>IFERROR(VLOOKUP(Tablo516[[#This Row],[ÜRÜN KODU]],YMKODLARI!$A$1:$K$383,8,0)," ")</f>
        <v xml:space="preserve"> </v>
      </c>
      <c r="O154" s="100" t="str">
        <f>IFERROR(VLOOKUP(Tablo516[[#This Row],[HAMMADDE KODU]],Tablo1[#All],3,0)," ")</f>
        <v xml:space="preserve"> </v>
      </c>
      <c r="P154" s="100" t="str">
        <f>IFERROR(VLOOKUP(Tablo516[[#This Row],[HAMMADDE KODU]],Tablo1[#All],4,0)," ")</f>
        <v xml:space="preserve"> </v>
      </c>
      <c r="Q154" s="100" t="str">
        <f>IFERROR(VLOOKUP(Tablo516[[#This Row],[ÜRÜN KODU]],YMKODLARI!$A$1:$K$383,5,0)," ")</f>
        <v xml:space="preserve"> </v>
      </c>
      <c r="R154" s="100" t="str">
        <f>IFERROR(VLOOKUP(Tablo516[[#This Row],[ÜRÜN KODU]],YMKODLARI!$A$1:$K$383,6,0)," ")</f>
        <v xml:space="preserve"> </v>
      </c>
      <c r="S154" s="100" t="str">
        <f>IFERROR(Tablo516[[#This Row],[YOLLUK HARİÇ BASKI GRAMI]]/Tablo516[[#This Row],[KALIP GÖZ ADEDİ]]," ")</f>
        <v xml:space="preserve"> </v>
      </c>
      <c r="T154" s="100" t="str">
        <f t="shared" si="16"/>
        <v xml:space="preserve"> </v>
      </c>
      <c r="U154" s="100"/>
      <c r="V154" s="100" t="str">
        <f t="shared" si="15"/>
        <v xml:space="preserve"> </v>
      </c>
      <c r="W154" s="101">
        <f t="shared" si="17"/>
        <v>24</v>
      </c>
      <c r="X154" s="102">
        <f t="shared" si="18"/>
        <v>0</v>
      </c>
      <c r="Y154" s="100" t="str">
        <f t="shared" si="19"/>
        <v xml:space="preserve"> </v>
      </c>
      <c r="Z154" s="100" t="str">
        <f t="shared" si="20"/>
        <v xml:space="preserve"> </v>
      </c>
    </row>
    <row r="155" spans="1:26">
      <c r="A155" s="100"/>
      <c r="B155" s="108" t="str">
        <f>IFERROR(VLOOKUP(Tablo516[[#This Row],[ÜRÜN KODU]],YMKODLARI!$A$1:$K$383,2,0)," ")</f>
        <v xml:space="preserve"> </v>
      </c>
      <c r="C155" s="99"/>
      <c r="D155" s="100"/>
      <c r="E155" s="101"/>
      <c r="F155" s="101"/>
      <c r="G155" s="100" t="str">
        <f>IFERROR(VLOOKUP(Tablo516[[#This Row],[ÜRÜN KODU]],YMKODLARI!$A$1:$K$383,3,0)," ")</f>
        <v xml:space="preserve"> </v>
      </c>
      <c r="H155" s="100" t="str">
        <f>IFERROR(VLOOKUP(Tablo516[[#This Row],[ÜRÜN KODU]],YMKODLARI!$A$1:$K$383,4,0)," ")</f>
        <v xml:space="preserve"> </v>
      </c>
      <c r="I155" s="100"/>
      <c r="J155" s="100" t="str">
        <f>IFERROR(VLOOKUP(Tablo516[[#This Row],[ÜRÜN KODU]],YMKODLARI!$A$1:$K$383,9,0)," ")</f>
        <v xml:space="preserve"> </v>
      </c>
      <c r="K155" s="100" t="str">
        <f>IFERROR(VLOOKUP(Tablo516[[#This Row],[BOYA KODU]],Tablo14[#All],4,0)," ")</f>
        <v xml:space="preserve"> </v>
      </c>
      <c r="L155" s="100" t="str">
        <f>IFERROR(VLOOKUP(Tablo516[[#This Row],[BOYA KODU]],Tablo14[#All],6,0)," ")</f>
        <v xml:space="preserve"> </v>
      </c>
      <c r="M155" s="100" t="str">
        <f t="shared" si="14"/>
        <v xml:space="preserve"> </v>
      </c>
      <c r="N155" s="100" t="str">
        <f>IFERROR(VLOOKUP(Tablo516[[#This Row],[ÜRÜN KODU]],YMKODLARI!$A$1:$K$383,8,0)," ")</f>
        <v xml:space="preserve"> </v>
      </c>
      <c r="O155" s="100" t="str">
        <f>IFERROR(VLOOKUP(Tablo516[[#This Row],[HAMMADDE KODU]],Tablo1[#All],3,0)," ")</f>
        <v xml:space="preserve"> </v>
      </c>
      <c r="P155" s="100" t="str">
        <f>IFERROR(VLOOKUP(Tablo516[[#This Row],[HAMMADDE KODU]],Tablo1[#All],4,0)," ")</f>
        <v xml:space="preserve"> </v>
      </c>
      <c r="Q155" s="100" t="str">
        <f>IFERROR(VLOOKUP(Tablo516[[#This Row],[ÜRÜN KODU]],YMKODLARI!$A$1:$K$383,5,0)," ")</f>
        <v xml:space="preserve"> </v>
      </c>
      <c r="R155" s="100" t="str">
        <f>IFERROR(VLOOKUP(Tablo516[[#This Row],[ÜRÜN KODU]],YMKODLARI!$A$1:$K$383,6,0)," ")</f>
        <v xml:space="preserve"> </v>
      </c>
      <c r="S155" s="100" t="str">
        <f>IFERROR(Tablo516[[#This Row],[YOLLUK HARİÇ BASKI GRAMI]]/Tablo516[[#This Row],[KALIP GÖZ ADEDİ]]," ")</f>
        <v xml:space="preserve"> </v>
      </c>
      <c r="T155" s="100" t="str">
        <f t="shared" si="16"/>
        <v xml:space="preserve"> </v>
      </c>
      <c r="U155" s="100"/>
      <c r="V155" s="100" t="str">
        <f t="shared" si="15"/>
        <v xml:space="preserve"> </v>
      </c>
      <c r="W155" s="101">
        <f t="shared" si="17"/>
        <v>24</v>
      </c>
      <c r="X155" s="102">
        <f t="shared" si="18"/>
        <v>0</v>
      </c>
      <c r="Y155" s="100" t="str">
        <f t="shared" si="19"/>
        <v xml:space="preserve"> </v>
      </c>
      <c r="Z155" s="100" t="str">
        <f t="shared" si="20"/>
        <v xml:space="preserve"> </v>
      </c>
    </row>
    <row r="156" spans="1:26">
      <c r="A156" s="100"/>
      <c r="B156" s="108" t="str">
        <f>IFERROR(VLOOKUP(Tablo516[[#This Row],[ÜRÜN KODU]],YMKODLARI!$A$1:$K$383,2,0)," ")</f>
        <v xml:space="preserve"> </v>
      </c>
      <c r="C156" s="99"/>
      <c r="D156" s="100"/>
      <c r="E156" s="101"/>
      <c r="F156" s="101"/>
      <c r="G156" s="100" t="str">
        <f>IFERROR(VLOOKUP(Tablo516[[#This Row],[ÜRÜN KODU]],YMKODLARI!$A$1:$K$383,3,0)," ")</f>
        <v xml:space="preserve"> </v>
      </c>
      <c r="H156" s="100" t="str">
        <f>IFERROR(VLOOKUP(Tablo516[[#This Row],[ÜRÜN KODU]],YMKODLARI!$A$1:$K$383,4,0)," ")</f>
        <v xml:space="preserve"> </v>
      </c>
      <c r="I156" s="100"/>
      <c r="J156" s="100" t="str">
        <f>IFERROR(VLOOKUP(Tablo516[[#This Row],[ÜRÜN KODU]],YMKODLARI!$A$1:$K$383,9,0)," ")</f>
        <v xml:space="preserve"> </v>
      </c>
      <c r="K156" s="100" t="str">
        <f>IFERROR(VLOOKUP(Tablo516[[#This Row],[BOYA KODU]],Tablo14[#All],4,0)," ")</f>
        <v xml:space="preserve"> </v>
      </c>
      <c r="L156" s="100" t="str">
        <f>IFERROR(VLOOKUP(Tablo516[[#This Row],[BOYA KODU]],Tablo14[#All],6,0)," ")</f>
        <v xml:space="preserve"> </v>
      </c>
      <c r="M156" s="100" t="str">
        <f t="shared" si="14"/>
        <v xml:space="preserve"> </v>
      </c>
      <c r="N156" s="100" t="str">
        <f>IFERROR(VLOOKUP(Tablo516[[#This Row],[ÜRÜN KODU]],YMKODLARI!$A$1:$K$383,8,0)," ")</f>
        <v xml:space="preserve"> </v>
      </c>
      <c r="O156" s="100" t="str">
        <f>IFERROR(VLOOKUP(Tablo516[[#This Row],[HAMMADDE KODU]],Tablo1[#All],3,0)," ")</f>
        <v xml:space="preserve"> </v>
      </c>
      <c r="P156" s="100" t="str">
        <f>IFERROR(VLOOKUP(Tablo516[[#This Row],[HAMMADDE KODU]],Tablo1[#All],4,0)," ")</f>
        <v xml:space="preserve"> </v>
      </c>
      <c r="Q156" s="100" t="str">
        <f>IFERROR(VLOOKUP(Tablo516[[#This Row],[ÜRÜN KODU]],YMKODLARI!$A$1:$K$383,5,0)," ")</f>
        <v xml:space="preserve"> </v>
      </c>
      <c r="R156" s="100" t="str">
        <f>IFERROR(VLOOKUP(Tablo516[[#This Row],[ÜRÜN KODU]],YMKODLARI!$A$1:$K$383,6,0)," ")</f>
        <v xml:space="preserve"> </v>
      </c>
      <c r="S156" s="100" t="str">
        <f>IFERROR(Tablo516[[#This Row],[YOLLUK HARİÇ BASKI GRAMI]]/Tablo516[[#This Row],[KALIP GÖZ ADEDİ]]," ")</f>
        <v xml:space="preserve"> </v>
      </c>
      <c r="T156" s="100" t="str">
        <f t="shared" si="16"/>
        <v xml:space="preserve"> </v>
      </c>
      <c r="U156" s="100"/>
      <c r="V156" s="100" t="str">
        <f t="shared" si="15"/>
        <v xml:space="preserve"> </v>
      </c>
      <c r="W156" s="101">
        <f t="shared" si="17"/>
        <v>24</v>
      </c>
      <c r="X156" s="102">
        <f t="shared" si="18"/>
        <v>0</v>
      </c>
      <c r="Y156" s="100" t="str">
        <f t="shared" si="19"/>
        <v xml:space="preserve"> </v>
      </c>
      <c r="Z156" s="100" t="str">
        <f t="shared" si="20"/>
        <v xml:space="preserve"> </v>
      </c>
    </row>
    <row r="157" spans="1:26">
      <c r="A157" s="100"/>
      <c r="B157" s="108" t="str">
        <f>IFERROR(VLOOKUP(Tablo516[[#This Row],[ÜRÜN KODU]],YMKODLARI!$A$1:$K$383,2,0)," ")</f>
        <v xml:space="preserve"> </v>
      </c>
      <c r="C157" s="99"/>
      <c r="D157" s="100"/>
      <c r="E157" s="101"/>
      <c r="F157" s="101"/>
      <c r="G157" s="100" t="str">
        <f>IFERROR(VLOOKUP(Tablo516[[#This Row],[ÜRÜN KODU]],YMKODLARI!$A$1:$K$383,3,0)," ")</f>
        <v xml:space="preserve"> </v>
      </c>
      <c r="H157" s="100" t="str">
        <f>IFERROR(VLOOKUP(Tablo516[[#This Row],[ÜRÜN KODU]],YMKODLARI!$A$1:$K$383,4,0)," ")</f>
        <v xml:space="preserve"> </v>
      </c>
      <c r="I157" s="100"/>
      <c r="J157" s="100" t="str">
        <f>IFERROR(VLOOKUP(Tablo516[[#This Row],[ÜRÜN KODU]],YMKODLARI!$A$1:$K$383,9,0)," ")</f>
        <v xml:space="preserve"> </v>
      </c>
      <c r="K157" s="100" t="str">
        <f>IFERROR(VLOOKUP(Tablo516[[#This Row],[BOYA KODU]],Tablo14[#All],4,0)," ")</f>
        <v xml:space="preserve"> </v>
      </c>
      <c r="L157" s="100" t="str">
        <f>IFERROR(VLOOKUP(Tablo516[[#This Row],[BOYA KODU]],Tablo14[#All],6,0)," ")</f>
        <v xml:space="preserve"> </v>
      </c>
      <c r="M157" s="100" t="str">
        <f t="shared" si="14"/>
        <v xml:space="preserve"> </v>
      </c>
      <c r="N157" s="100" t="str">
        <f>IFERROR(VLOOKUP(Tablo516[[#This Row],[ÜRÜN KODU]],YMKODLARI!$A$1:$K$383,8,0)," ")</f>
        <v xml:space="preserve"> </v>
      </c>
      <c r="O157" s="100" t="str">
        <f>IFERROR(VLOOKUP(Tablo516[[#This Row],[HAMMADDE KODU]],Tablo1[#All],3,0)," ")</f>
        <v xml:space="preserve"> </v>
      </c>
      <c r="P157" s="100" t="str">
        <f>IFERROR(VLOOKUP(Tablo516[[#This Row],[HAMMADDE KODU]],Tablo1[#All],4,0)," ")</f>
        <v xml:space="preserve"> </v>
      </c>
      <c r="Q157" s="100" t="str">
        <f>IFERROR(VLOOKUP(Tablo516[[#This Row],[ÜRÜN KODU]],YMKODLARI!$A$1:$K$383,5,0)," ")</f>
        <v xml:space="preserve"> </v>
      </c>
      <c r="R157" s="100" t="str">
        <f>IFERROR(VLOOKUP(Tablo516[[#This Row],[ÜRÜN KODU]],YMKODLARI!$A$1:$K$383,6,0)," ")</f>
        <v xml:space="preserve"> </v>
      </c>
      <c r="S157" s="100" t="str">
        <f>IFERROR(Tablo516[[#This Row],[YOLLUK HARİÇ BASKI GRAMI]]/Tablo516[[#This Row],[KALIP GÖZ ADEDİ]]," ")</f>
        <v xml:space="preserve"> </v>
      </c>
      <c r="T157" s="100" t="str">
        <f t="shared" si="16"/>
        <v xml:space="preserve"> </v>
      </c>
      <c r="U157" s="100"/>
      <c r="V157" s="100" t="str">
        <f t="shared" si="15"/>
        <v xml:space="preserve"> </v>
      </c>
      <c r="W157" s="101">
        <f t="shared" si="17"/>
        <v>24</v>
      </c>
      <c r="X157" s="102">
        <f t="shared" si="18"/>
        <v>0</v>
      </c>
      <c r="Y157" s="100" t="str">
        <f t="shared" si="19"/>
        <v xml:space="preserve"> </v>
      </c>
      <c r="Z157" s="100" t="str">
        <f t="shared" si="20"/>
        <v xml:space="preserve"> </v>
      </c>
    </row>
    <row r="158" spans="1:26">
      <c r="A158" s="100"/>
      <c r="B158" s="108" t="str">
        <f>IFERROR(VLOOKUP(Tablo516[[#This Row],[ÜRÜN KODU]],YMKODLARI!$A$1:$K$383,2,0)," ")</f>
        <v xml:space="preserve"> </v>
      </c>
      <c r="C158" s="99"/>
      <c r="D158" s="100"/>
      <c r="E158" s="101"/>
      <c r="F158" s="101"/>
      <c r="G158" s="100" t="str">
        <f>IFERROR(VLOOKUP(Tablo516[[#This Row],[ÜRÜN KODU]],YMKODLARI!$A$1:$K$383,3,0)," ")</f>
        <v xml:space="preserve"> </v>
      </c>
      <c r="H158" s="100" t="str">
        <f>IFERROR(VLOOKUP(Tablo516[[#This Row],[ÜRÜN KODU]],YMKODLARI!$A$1:$K$383,4,0)," ")</f>
        <v xml:space="preserve"> </v>
      </c>
      <c r="I158" s="100"/>
      <c r="J158" s="100" t="str">
        <f>IFERROR(VLOOKUP(Tablo516[[#This Row],[ÜRÜN KODU]],YMKODLARI!$A$1:$K$383,9,0)," ")</f>
        <v xml:space="preserve"> </v>
      </c>
      <c r="K158" s="100" t="str">
        <f>IFERROR(VLOOKUP(Tablo516[[#This Row],[BOYA KODU]],Tablo14[#All],4,0)," ")</f>
        <v xml:space="preserve"> </v>
      </c>
      <c r="L158" s="100" t="str">
        <f>IFERROR(VLOOKUP(Tablo516[[#This Row],[BOYA KODU]],Tablo14[#All],6,0)," ")</f>
        <v xml:space="preserve"> </v>
      </c>
      <c r="M158" s="100" t="str">
        <f t="shared" si="14"/>
        <v xml:space="preserve"> </v>
      </c>
      <c r="N158" s="100" t="str">
        <f>IFERROR(VLOOKUP(Tablo516[[#This Row],[ÜRÜN KODU]],YMKODLARI!$A$1:$K$383,8,0)," ")</f>
        <v xml:space="preserve"> </v>
      </c>
      <c r="O158" s="100" t="str">
        <f>IFERROR(VLOOKUP(Tablo516[[#This Row],[HAMMADDE KODU]],Tablo1[#All],3,0)," ")</f>
        <v xml:space="preserve"> </v>
      </c>
      <c r="P158" s="100" t="str">
        <f>IFERROR(VLOOKUP(Tablo516[[#This Row],[HAMMADDE KODU]],Tablo1[#All],4,0)," ")</f>
        <v xml:space="preserve"> </v>
      </c>
      <c r="Q158" s="100" t="str">
        <f>IFERROR(VLOOKUP(Tablo516[[#This Row],[ÜRÜN KODU]],YMKODLARI!$A$1:$K$383,5,0)," ")</f>
        <v xml:space="preserve"> </v>
      </c>
      <c r="R158" s="100" t="str">
        <f>IFERROR(VLOOKUP(Tablo516[[#This Row],[ÜRÜN KODU]],YMKODLARI!$A$1:$K$383,6,0)," ")</f>
        <v xml:space="preserve"> </v>
      </c>
      <c r="S158" s="100" t="str">
        <f>IFERROR(Tablo516[[#This Row],[YOLLUK HARİÇ BASKI GRAMI]]/Tablo516[[#This Row],[KALIP GÖZ ADEDİ]]," ")</f>
        <v xml:space="preserve"> </v>
      </c>
      <c r="T158" s="100" t="str">
        <f t="shared" si="16"/>
        <v xml:space="preserve"> </v>
      </c>
      <c r="U158" s="100"/>
      <c r="V158" s="100" t="str">
        <f t="shared" si="15"/>
        <v xml:space="preserve"> </v>
      </c>
      <c r="W158" s="101">
        <f t="shared" si="17"/>
        <v>24</v>
      </c>
      <c r="X158" s="102">
        <f t="shared" si="18"/>
        <v>0</v>
      </c>
      <c r="Y158" s="100" t="str">
        <f t="shared" si="19"/>
        <v xml:space="preserve"> </v>
      </c>
      <c r="Z158" s="100" t="str">
        <f t="shared" si="20"/>
        <v xml:space="preserve"> </v>
      </c>
    </row>
    <row r="159" spans="1:26">
      <c r="A159" s="100"/>
      <c r="B159" s="108" t="str">
        <f>IFERROR(VLOOKUP(Tablo516[[#This Row],[ÜRÜN KODU]],YMKODLARI!$A$1:$K$383,2,0)," ")</f>
        <v xml:space="preserve"> </v>
      </c>
      <c r="C159" s="99"/>
      <c r="D159" s="100"/>
      <c r="E159" s="101"/>
      <c r="F159" s="101"/>
      <c r="G159" s="100" t="str">
        <f>IFERROR(VLOOKUP(Tablo516[[#This Row],[ÜRÜN KODU]],YMKODLARI!$A$1:$K$383,3,0)," ")</f>
        <v xml:space="preserve"> </v>
      </c>
      <c r="H159" s="100" t="str">
        <f>IFERROR(VLOOKUP(Tablo516[[#This Row],[ÜRÜN KODU]],YMKODLARI!$A$1:$K$383,4,0)," ")</f>
        <v xml:space="preserve"> </v>
      </c>
      <c r="I159" s="100"/>
      <c r="J159" s="100" t="str">
        <f>IFERROR(VLOOKUP(Tablo516[[#This Row],[ÜRÜN KODU]],YMKODLARI!$A$1:$K$383,9,0)," ")</f>
        <v xml:space="preserve"> </v>
      </c>
      <c r="K159" s="100" t="str">
        <f>IFERROR(VLOOKUP(Tablo516[[#This Row],[BOYA KODU]],Tablo14[#All],4,0)," ")</f>
        <v xml:space="preserve"> </v>
      </c>
      <c r="L159" s="100" t="str">
        <f>IFERROR(VLOOKUP(Tablo516[[#This Row],[BOYA KODU]],Tablo14[#All],6,0)," ")</f>
        <v xml:space="preserve"> </v>
      </c>
      <c r="M159" s="100" t="str">
        <f t="shared" si="14"/>
        <v xml:space="preserve"> </v>
      </c>
      <c r="N159" s="100" t="str">
        <f>IFERROR(VLOOKUP(Tablo516[[#This Row],[ÜRÜN KODU]],YMKODLARI!$A$1:$K$383,8,0)," ")</f>
        <v xml:space="preserve"> </v>
      </c>
      <c r="O159" s="100" t="str">
        <f>IFERROR(VLOOKUP(Tablo516[[#This Row],[HAMMADDE KODU]],Tablo1[#All],3,0)," ")</f>
        <v xml:space="preserve"> </v>
      </c>
      <c r="P159" s="100" t="str">
        <f>IFERROR(VLOOKUP(Tablo516[[#This Row],[HAMMADDE KODU]],Tablo1[#All],4,0)," ")</f>
        <v xml:space="preserve"> </v>
      </c>
      <c r="Q159" s="100" t="str">
        <f>IFERROR(VLOOKUP(Tablo516[[#This Row],[ÜRÜN KODU]],YMKODLARI!$A$1:$K$383,5,0)," ")</f>
        <v xml:space="preserve"> </v>
      </c>
      <c r="R159" s="100" t="str">
        <f>IFERROR(VLOOKUP(Tablo516[[#This Row],[ÜRÜN KODU]],YMKODLARI!$A$1:$K$383,6,0)," ")</f>
        <v xml:space="preserve"> </v>
      </c>
      <c r="S159" s="100" t="str">
        <f>IFERROR(Tablo516[[#This Row],[YOLLUK HARİÇ BASKI GRAMI]]/Tablo516[[#This Row],[KALIP GÖZ ADEDİ]]," ")</f>
        <v xml:space="preserve"> </v>
      </c>
      <c r="T159" s="100" t="str">
        <f t="shared" si="16"/>
        <v xml:space="preserve"> </v>
      </c>
      <c r="U159" s="100"/>
      <c r="V159" s="100" t="str">
        <f t="shared" si="15"/>
        <v xml:space="preserve"> </v>
      </c>
      <c r="W159" s="101">
        <f t="shared" si="17"/>
        <v>24</v>
      </c>
      <c r="X159" s="102">
        <f t="shared" si="18"/>
        <v>0</v>
      </c>
      <c r="Y159" s="100" t="str">
        <f t="shared" si="19"/>
        <v xml:space="preserve"> </v>
      </c>
      <c r="Z159" s="100" t="str">
        <f t="shared" si="20"/>
        <v xml:space="preserve"> </v>
      </c>
    </row>
    <row r="160" spans="1:26">
      <c r="A160" s="100"/>
      <c r="B160" s="108" t="str">
        <f>IFERROR(VLOOKUP(Tablo516[[#This Row],[ÜRÜN KODU]],YMKODLARI!$A$1:$K$383,2,0)," ")</f>
        <v xml:space="preserve"> </v>
      </c>
      <c r="C160" s="99"/>
      <c r="D160" s="100"/>
      <c r="E160" s="101"/>
      <c r="F160" s="101"/>
      <c r="G160" s="100" t="str">
        <f>IFERROR(VLOOKUP(Tablo516[[#This Row],[ÜRÜN KODU]],YMKODLARI!$A$1:$K$383,3,0)," ")</f>
        <v xml:space="preserve"> </v>
      </c>
      <c r="H160" s="100" t="str">
        <f>IFERROR(VLOOKUP(Tablo516[[#This Row],[ÜRÜN KODU]],YMKODLARI!$A$1:$K$383,4,0)," ")</f>
        <v xml:space="preserve"> </v>
      </c>
      <c r="I160" s="100"/>
      <c r="J160" s="100" t="str">
        <f>IFERROR(VLOOKUP(Tablo516[[#This Row],[ÜRÜN KODU]],YMKODLARI!$A$1:$K$383,9,0)," ")</f>
        <v xml:space="preserve"> </v>
      </c>
      <c r="K160" s="100" t="str">
        <f>IFERROR(VLOOKUP(Tablo516[[#This Row],[BOYA KODU]],Tablo14[#All],4,0)," ")</f>
        <v xml:space="preserve"> </v>
      </c>
      <c r="L160" s="100" t="str">
        <f>IFERROR(VLOOKUP(Tablo516[[#This Row],[BOYA KODU]],Tablo14[#All],6,0)," ")</f>
        <v xml:space="preserve"> </v>
      </c>
      <c r="M160" s="100" t="str">
        <f t="shared" si="14"/>
        <v xml:space="preserve"> </v>
      </c>
      <c r="N160" s="100" t="str">
        <f>IFERROR(VLOOKUP(Tablo516[[#This Row],[ÜRÜN KODU]],YMKODLARI!$A$1:$K$383,8,0)," ")</f>
        <v xml:space="preserve"> </v>
      </c>
      <c r="O160" s="100" t="str">
        <f>IFERROR(VLOOKUP(Tablo516[[#This Row],[HAMMADDE KODU]],Tablo1[#All],3,0)," ")</f>
        <v xml:space="preserve"> </v>
      </c>
      <c r="P160" s="100" t="str">
        <f>IFERROR(VLOOKUP(Tablo516[[#This Row],[HAMMADDE KODU]],Tablo1[#All],4,0)," ")</f>
        <v xml:space="preserve"> </v>
      </c>
      <c r="Q160" s="100" t="str">
        <f>IFERROR(VLOOKUP(Tablo516[[#This Row],[ÜRÜN KODU]],YMKODLARI!$A$1:$K$383,5,0)," ")</f>
        <v xml:space="preserve"> </v>
      </c>
      <c r="R160" s="100" t="str">
        <f>IFERROR(VLOOKUP(Tablo516[[#This Row],[ÜRÜN KODU]],YMKODLARI!$A$1:$K$383,6,0)," ")</f>
        <v xml:space="preserve"> </v>
      </c>
      <c r="S160" s="100" t="str">
        <f>IFERROR(Tablo516[[#This Row],[YOLLUK HARİÇ BASKI GRAMI]]/Tablo516[[#This Row],[KALIP GÖZ ADEDİ]]," ")</f>
        <v xml:space="preserve"> </v>
      </c>
      <c r="T160" s="100" t="str">
        <f t="shared" si="16"/>
        <v xml:space="preserve"> </v>
      </c>
      <c r="U160" s="100"/>
      <c r="V160" s="100" t="str">
        <f t="shared" si="15"/>
        <v xml:space="preserve"> </v>
      </c>
      <c r="W160" s="101">
        <f t="shared" si="17"/>
        <v>24</v>
      </c>
      <c r="X160" s="102">
        <f t="shared" si="18"/>
        <v>0</v>
      </c>
      <c r="Y160" s="100" t="str">
        <f t="shared" si="19"/>
        <v xml:space="preserve"> </v>
      </c>
      <c r="Z160" s="100" t="str">
        <f t="shared" si="20"/>
        <v xml:space="preserve"> </v>
      </c>
    </row>
    <row r="161" spans="1:26">
      <c r="A161" s="100"/>
      <c r="B161" s="108" t="str">
        <f>IFERROR(VLOOKUP(Tablo516[[#This Row],[ÜRÜN KODU]],YMKODLARI!$A$1:$K$383,2,0)," ")</f>
        <v xml:space="preserve"> </v>
      </c>
      <c r="C161" s="99"/>
      <c r="D161" s="100"/>
      <c r="E161" s="101"/>
      <c r="F161" s="101"/>
      <c r="G161" s="100" t="str">
        <f>IFERROR(VLOOKUP(Tablo516[[#This Row],[ÜRÜN KODU]],YMKODLARI!$A$1:$K$383,3,0)," ")</f>
        <v xml:space="preserve"> </v>
      </c>
      <c r="H161" s="100" t="str">
        <f>IFERROR(VLOOKUP(Tablo516[[#This Row],[ÜRÜN KODU]],YMKODLARI!$A$1:$K$383,4,0)," ")</f>
        <v xml:space="preserve"> </v>
      </c>
      <c r="I161" s="100"/>
      <c r="J161" s="100" t="str">
        <f>IFERROR(VLOOKUP(Tablo516[[#This Row],[ÜRÜN KODU]],YMKODLARI!$A$1:$K$383,9,0)," ")</f>
        <v xml:space="preserve"> </v>
      </c>
      <c r="K161" s="100" t="str">
        <f>IFERROR(VLOOKUP(Tablo516[[#This Row],[BOYA KODU]],Tablo14[#All],4,0)," ")</f>
        <v xml:space="preserve"> </v>
      </c>
      <c r="L161" s="100" t="str">
        <f>IFERROR(VLOOKUP(Tablo516[[#This Row],[BOYA KODU]],Tablo14[#All],6,0)," ")</f>
        <v xml:space="preserve"> </v>
      </c>
      <c r="M161" s="100" t="str">
        <f t="shared" si="14"/>
        <v xml:space="preserve"> </v>
      </c>
      <c r="N161" s="100" t="str">
        <f>IFERROR(VLOOKUP(Tablo516[[#This Row],[ÜRÜN KODU]],YMKODLARI!$A$1:$K$383,8,0)," ")</f>
        <v xml:space="preserve"> </v>
      </c>
      <c r="O161" s="100" t="str">
        <f>IFERROR(VLOOKUP(Tablo516[[#This Row],[HAMMADDE KODU]],Tablo1[#All],3,0)," ")</f>
        <v xml:space="preserve"> </v>
      </c>
      <c r="P161" s="100" t="str">
        <f>IFERROR(VLOOKUP(Tablo516[[#This Row],[HAMMADDE KODU]],Tablo1[#All],4,0)," ")</f>
        <v xml:space="preserve"> </v>
      </c>
      <c r="Q161" s="100" t="str">
        <f>IFERROR(VLOOKUP(Tablo516[[#This Row],[ÜRÜN KODU]],YMKODLARI!$A$1:$K$383,5,0)," ")</f>
        <v xml:space="preserve"> </v>
      </c>
      <c r="R161" s="100" t="str">
        <f>IFERROR(VLOOKUP(Tablo516[[#This Row],[ÜRÜN KODU]],YMKODLARI!$A$1:$K$383,6,0)," ")</f>
        <v xml:space="preserve"> </v>
      </c>
      <c r="S161" s="100" t="str">
        <f>IFERROR(Tablo516[[#This Row],[YOLLUK HARİÇ BASKI GRAMI]]/Tablo516[[#This Row],[KALIP GÖZ ADEDİ]]," ")</f>
        <v xml:space="preserve"> </v>
      </c>
      <c r="T161" s="100" t="str">
        <f t="shared" si="16"/>
        <v xml:space="preserve"> </v>
      </c>
      <c r="U161" s="100"/>
      <c r="V161" s="100" t="str">
        <f t="shared" si="15"/>
        <v xml:space="preserve"> </v>
      </c>
      <c r="W161" s="101">
        <f t="shared" si="17"/>
        <v>24</v>
      </c>
      <c r="X161" s="102">
        <f t="shared" si="18"/>
        <v>0</v>
      </c>
      <c r="Y161" s="100" t="str">
        <f t="shared" si="19"/>
        <v xml:space="preserve"> </v>
      </c>
      <c r="Z161" s="100" t="str">
        <f t="shared" si="20"/>
        <v xml:space="preserve"> </v>
      </c>
    </row>
    <row r="162" spans="1:26">
      <c r="A162" s="100"/>
      <c r="B162" s="108" t="str">
        <f>IFERROR(VLOOKUP(Tablo516[[#This Row],[ÜRÜN KODU]],YMKODLARI!$A$1:$K$383,2,0)," ")</f>
        <v xml:space="preserve"> </v>
      </c>
      <c r="C162" s="99"/>
      <c r="D162" s="100"/>
      <c r="E162" s="101"/>
      <c r="F162" s="101"/>
      <c r="G162" s="100" t="str">
        <f>IFERROR(VLOOKUP(Tablo516[[#This Row],[ÜRÜN KODU]],YMKODLARI!$A$1:$K$383,3,0)," ")</f>
        <v xml:space="preserve"> </v>
      </c>
      <c r="H162" s="100" t="str">
        <f>IFERROR(VLOOKUP(Tablo516[[#This Row],[ÜRÜN KODU]],YMKODLARI!$A$1:$K$383,4,0)," ")</f>
        <v xml:space="preserve"> </v>
      </c>
      <c r="I162" s="100"/>
      <c r="J162" s="100" t="str">
        <f>IFERROR(VLOOKUP(Tablo516[[#This Row],[ÜRÜN KODU]],YMKODLARI!$A$1:$K$383,9,0)," ")</f>
        <v xml:space="preserve"> </v>
      </c>
      <c r="K162" s="100" t="str">
        <f>IFERROR(VLOOKUP(Tablo516[[#This Row],[BOYA KODU]],Tablo14[#All],4,0)," ")</f>
        <v xml:space="preserve"> </v>
      </c>
      <c r="L162" s="100" t="str">
        <f>IFERROR(VLOOKUP(Tablo516[[#This Row],[BOYA KODU]],Tablo14[#All],6,0)," ")</f>
        <v xml:space="preserve"> </v>
      </c>
      <c r="M162" s="100" t="str">
        <f t="shared" si="14"/>
        <v xml:space="preserve"> </v>
      </c>
      <c r="N162" s="100" t="str">
        <f>IFERROR(VLOOKUP(Tablo516[[#This Row],[ÜRÜN KODU]],YMKODLARI!$A$1:$K$383,8,0)," ")</f>
        <v xml:space="preserve"> </v>
      </c>
      <c r="O162" s="100" t="str">
        <f>IFERROR(VLOOKUP(Tablo516[[#This Row],[HAMMADDE KODU]],Tablo1[#All],3,0)," ")</f>
        <v xml:space="preserve"> </v>
      </c>
      <c r="P162" s="100" t="str">
        <f>IFERROR(VLOOKUP(Tablo516[[#This Row],[HAMMADDE KODU]],Tablo1[#All],4,0)," ")</f>
        <v xml:space="preserve"> </v>
      </c>
      <c r="Q162" s="100" t="str">
        <f>IFERROR(VLOOKUP(Tablo516[[#This Row],[ÜRÜN KODU]],YMKODLARI!$A$1:$K$383,5,0)," ")</f>
        <v xml:space="preserve"> </v>
      </c>
      <c r="R162" s="100" t="str">
        <f>IFERROR(VLOOKUP(Tablo516[[#This Row],[ÜRÜN KODU]],YMKODLARI!$A$1:$K$383,6,0)," ")</f>
        <v xml:space="preserve"> </v>
      </c>
      <c r="S162" s="100" t="str">
        <f>IFERROR(Tablo516[[#This Row],[YOLLUK HARİÇ BASKI GRAMI]]/Tablo516[[#This Row],[KALIP GÖZ ADEDİ]]," ")</f>
        <v xml:space="preserve"> </v>
      </c>
      <c r="T162" s="100" t="str">
        <f t="shared" si="16"/>
        <v xml:space="preserve"> </v>
      </c>
      <c r="U162" s="100"/>
      <c r="V162" s="100" t="str">
        <f t="shared" si="15"/>
        <v xml:space="preserve"> </v>
      </c>
      <c r="W162" s="101">
        <f t="shared" si="17"/>
        <v>24</v>
      </c>
      <c r="X162" s="102">
        <f t="shared" si="18"/>
        <v>0</v>
      </c>
      <c r="Y162" s="100" t="str">
        <f t="shared" si="19"/>
        <v xml:space="preserve"> </v>
      </c>
      <c r="Z162" s="100" t="str">
        <f t="shared" si="20"/>
        <v xml:space="preserve"> </v>
      </c>
    </row>
    <row r="163" spans="1:26">
      <c r="A163" s="100"/>
      <c r="B163" s="108" t="str">
        <f>IFERROR(VLOOKUP(Tablo516[[#This Row],[ÜRÜN KODU]],YMKODLARI!$A$1:$K$383,2,0)," ")</f>
        <v xml:space="preserve"> </v>
      </c>
      <c r="C163" s="99"/>
      <c r="D163" s="100"/>
      <c r="E163" s="101"/>
      <c r="F163" s="101"/>
      <c r="G163" s="100" t="str">
        <f>IFERROR(VLOOKUP(Tablo516[[#This Row],[ÜRÜN KODU]],YMKODLARI!$A$1:$K$383,3,0)," ")</f>
        <v xml:space="preserve"> </v>
      </c>
      <c r="H163" s="100" t="str">
        <f>IFERROR(VLOOKUP(Tablo516[[#This Row],[ÜRÜN KODU]],YMKODLARI!$A$1:$K$383,4,0)," ")</f>
        <v xml:space="preserve"> </v>
      </c>
      <c r="I163" s="100"/>
      <c r="J163" s="100" t="str">
        <f>IFERROR(VLOOKUP(Tablo516[[#This Row],[ÜRÜN KODU]],YMKODLARI!$A$1:$K$383,9,0)," ")</f>
        <v xml:space="preserve"> </v>
      </c>
      <c r="K163" s="100" t="str">
        <f>IFERROR(VLOOKUP(Tablo516[[#This Row],[BOYA KODU]],Tablo14[#All],4,0)," ")</f>
        <v xml:space="preserve"> </v>
      </c>
      <c r="L163" s="100" t="str">
        <f>IFERROR(VLOOKUP(Tablo516[[#This Row],[BOYA KODU]],Tablo14[#All],6,0)," ")</f>
        <v xml:space="preserve"> </v>
      </c>
      <c r="M163" s="100" t="str">
        <f t="shared" si="14"/>
        <v xml:space="preserve"> </v>
      </c>
      <c r="N163" s="100" t="str">
        <f>IFERROR(VLOOKUP(Tablo516[[#This Row],[ÜRÜN KODU]],YMKODLARI!$A$1:$K$383,8,0)," ")</f>
        <v xml:space="preserve"> </v>
      </c>
      <c r="O163" s="100" t="str">
        <f>IFERROR(VLOOKUP(Tablo516[[#This Row],[HAMMADDE KODU]],Tablo1[#All],3,0)," ")</f>
        <v xml:space="preserve"> </v>
      </c>
      <c r="P163" s="100" t="str">
        <f>IFERROR(VLOOKUP(Tablo516[[#This Row],[HAMMADDE KODU]],Tablo1[#All],4,0)," ")</f>
        <v xml:space="preserve"> </v>
      </c>
      <c r="Q163" s="100" t="str">
        <f>IFERROR(VLOOKUP(Tablo516[[#This Row],[ÜRÜN KODU]],YMKODLARI!$A$1:$K$383,5,0)," ")</f>
        <v xml:space="preserve"> </v>
      </c>
      <c r="R163" s="100" t="str">
        <f>IFERROR(VLOOKUP(Tablo516[[#This Row],[ÜRÜN KODU]],YMKODLARI!$A$1:$K$383,6,0)," ")</f>
        <v xml:space="preserve"> </v>
      </c>
      <c r="S163" s="100" t="str">
        <f>IFERROR(Tablo516[[#This Row],[YOLLUK HARİÇ BASKI GRAMI]]/Tablo516[[#This Row],[KALIP GÖZ ADEDİ]]," ")</f>
        <v xml:space="preserve"> </v>
      </c>
      <c r="T163" s="100" t="str">
        <f t="shared" si="16"/>
        <v xml:space="preserve"> </v>
      </c>
      <c r="U163" s="100"/>
      <c r="V163" s="100" t="str">
        <f t="shared" si="15"/>
        <v xml:space="preserve"> </v>
      </c>
      <c r="W163" s="101">
        <f t="shared" si="17"/>
        <v>24</v>
      </c>
      <c r="X163" s="102">
        <f t="shared" si="18"/>
        <v>0</v>
      </c>
      <c r="Y163" s="100" t="str">
        <f t="shared" si="19"/>
        <v xml:space="preserve"> </v>
      </c>
      <c r="Z163" s="100" t="str">
        <f t="shared" si="20"/>
        <v xml:space="preserve"> </v>
      </c>
    </row>
    <row r="164" spans="1:26">
      <c r="A164" s="100"/>
      <c r="B164" s="108" t="str">
        <f>IFERROR(VLOOKUP(Tablo516[[#This Row],[ÜRÜN KODU]],YMKODLARI!$A$1:$K$383,2,0)," ")</f>
        <v xml:space="preserve"> </v>
      </c>
      <c r="C164" s="99"/>
      <c r="D164" s="100"/>
      <c r="E164" s="101"/>
      <c r="F164" s="101"/>
      <c r="G164" s="100" t="str">
        <f>IFERROR(VLOOKUP(Tablo516[[#This Row],[ÜRÜN KODU]],YMKODLARI!$A$1:$K$383,3,0)," ")</f>
        <v xml:space="preserve"> </v>
      </c>
      <c r="H164" s="100" t="str">
        <f>IFERROR(VLOOKUP(Tablo516[[#This Row],[ÜRÜN KODU]],YMKODLARI!$A$1:$K$383,4,0)," ")</f>
        <v xml:space="preserve"> </v>
      </c>
      <c r="I164" s="100"/>
      <c r="J164" s="100" t="str">
        <f>IFERROR(VLOOKUP(Tablo516[[#This Row],[ÜRÜN KODU]],YMKODLARI!$A$1:$K$383,9,0)," ")</f>
        <v xml:space="preserve"> </v>
      </c>
      <c r="K164" s="100" t="str">
        <f>IFERROR(VLOOKUP(Tablo516[[#This Row],[BOYA KODU]],Tablo14[#All],4,0)," ")</f>
        <v xml:space="preserve"> </v>
      </c>
      <c r="L164" s="100" t="str">
        <f>IFERROR(VLOOKUP(Tablo516[[#This Row],[BOYA KODU]],Tablo14[#All],6,0)," ")</f>
        <v xml:space="preserve"> </v>
      </c>
      <c r="M164" s="100" t="str">
        <f t="shared" si="14"/>
        <v xml:space="preserve"> </v>
      </c>
      <c r="N164" s="100" t="str">
        <f>IFERROR(VLOOKUP(Tablo516[[#This Row],[ÜRÜN KODU]],YMKODLARI!$A$1:$K$383,8,0)," ")</f>
        <v xml:space="preserve"> </v>
      </c>
      <c r="O164" s="100" t="str">
        <f>IFERROR(VLOOKUP(Tablo516[[#This Row],[HAMMADDE KODU]],Tablo1[#All],3,0)," ")</f>
        <v xml:space="preserve"> </v>
      </c>
      <c r="P164" s="100" t="str">
        <f>IFERROR(VLOOKUP(Tablo516[[#This Row],[HAMMADDE KODU]],Tablo1[#All],4,0)," ")</f>
        <v xml:space="preserve"> </v>
      </c>
      <c r="Q164" s="100" t="str">
        <f>IFERROR(VLOOKUP(Tablo516[[#This Row],[ÜRÜN KODU]],YMKODLARI!$A$1:$K$383,5,0)," ")</f>
        <v xml:space="preserve"> </v>
      </c>
      <c r="R164" s="100" t="str">
        <f>IFERROR(VLOOKUP(Tablo516[[#This Row],[ÜRÜN KODU]],YMKODLARI!$A$1:$K$383,6,0)," ")</f>
        <v xml:space="preserve"> </v>
      </c>
      <c r="S164" s="100" t="str">
        <f>IFERROR(Tablo516[[#This Row],[YOLLUK HARİÇ BASKI GRAMI]]/Tablo516[[#This Row],[KALIP GÖZ ADEDİ]]," ")</f>
        <v xml:space="preserve"> </v>
      </c>
      <c r="T164" s="100" t="str">
        <f t="shared" si="16"/>
        <v xml:space="preserve"> </v>
      </c>
      <c r="U164" s="100"/>
      <c r="V164" s="100" t="str">
        <f t="shared" si="15"/>
        <v xml:space="preserve"> </v>
      </c>
      <c r="W164" s="101">
        <f t="shared" si="17"/>
        <v>24</v>
      </c>
      <c r="X164" s="102">
        <f t="shared" si="18"/>
        <v>0</v>
      </c>
      <c r="Y164" s="100" t="str">
        <f t="shared" si="19"/>
        <v xml:space="preserve"> </v>
      </c>
      <c r="Z164" s="100" t="str">
        <f t="shared" si="20"/>
        <v xml:space="preserve"> </v>
      </c>
    </row>
    <row r="165" spans="1:26">
      <c r="A165" s="100"/>
      <c r="B165" s="108" t="str">
        <f>IFERROR(VLOOKUP(Tablo516[[#This Row],[ÜRÜN KODU]],YMKODLARI!$A$1:$K$383,2,0)," ")</f>
        <v xml:space="preserve"> </v>
      </c>
      <c r="C165" s="99"/>
      <c r="D165" s="100"/>
      <c r="E165" s="101"/>
      <c r="F165" s="101"/>
      <c r="G165" s="100" t="str">
        <f>IFERROR(VLOOKUP(Tablo516[[#This Row],[ÜRÜN KODU]],YMKODLARI!$A$1:$K$383,3,0)," ")</f>
        <v xml:space="preserve"> </v>
      </c>
      <c r="H165" s="100" t="str">
        <f>IFERROR(VLOOKUP(Tablo516[[#This Row],[ÜRÜN KODU]],YMKODLARI!$A$1:$K$383,4,0)," ")</f>
        <v xml:space="preserve"> </v>
      </c>
      <c r="I165" s="100"/>
      <c r="J165" s="100" t="str">
        <f>IFERROR(VLOOKUP(Tablo516[[#This Row],[ÜRÜN KODU]],YMKODLARI!$A$1:$K$383,9,0)," ")</f>
        <v xml:space="preserve"> </v>
      </c>
      <c r="K165" s="100" t="str">
        <f>IFERROR(VLOOKUP(Tablo516[[#This Row],[BOYA KODU]],Tablo14[#All],4,0)," ")</f>
        <v xml:space="preserve"> </v>
      </c>
      <c r="L165" s="100" t="str">
        <f>IFERROR(VLOOKUP(Tablo516[[#This Row],[BOYA KODU]],Tablo14[#All],6,0)," ")</f>
        <v xml:space="preserve"> </v>
      </c>
      <c r="M165" s="100" t="str">
        <f t="shared" si="14"/>
        <v xml:space="preserve"> </v>
      </c>
      <c r="N165" s="100" t="str">
        <f>IFERROR(VLOOKUP(Tablo516[[#This Row],[ÜRÜN KODU]],YMKODLARI!$A$1:$K$383,8,0)," ")</f>
        <v xml:space="preserve"> </v>
      </c>
      <c r="O165" s="100" t="str">
        <f>IFERROR(VLOOKUP(Tablo516[[#This Row],[HAMMADDE KODU]],Tablo1[#All],3,0)," ")</f>
        <v xml:space="preserve"> </v>
      </c>
      <c r="P165" s="100" t="str">
        <f>IFERROR(VLOOKUP(Tablo516[[#This Row],[HAMMADDE KODU]],Tablo1[#All],4,0)," ")</f>
        <v xml:space="preserve"> </v>
      </c>
      <c r="Q165" s="100" t="str">
        <f>IFERROR(VLOOKUP(Tablo516[[#This Row],[ÜRÜN KODU]],YMKODLARI!$A$1:$K$383,5,0)," ")</f>
        <v xml:space="preserve"> </v>
      </c>
      <c r="R165" s="100" t="str">
        <f>IFERROR(VLOOKUP(Tablo516[[#This Row],[ÜRÜN KODU]],YMKODLARI!$A$1:$K$383,6,0)," ")</f>
        <v xml:space="preserve"> </v>
      </c>
      <c r="S165" s="100" t="str">
        <f>IFERROR(Tablo516[[#This Row],[YOLLUK HARİÇ BASKI GRAMI]]/Tablo516[[#This Row],[KALIP GÖZ ADEDİ]]," ")</f>
        <v xml:space="preserve"> </v>
      </c>
      <c r="T165" s="100" t="str">
        <f t="shared" si="16"/>
        <v xml:space="preserve"> </v>
      </c>
      <c r="U165" s="100"/>
      <c r="V165" s="100" t="str">
        <f t="shared" si="15"/>
        <v xml:space="preserve"> </v>
      </c>
      <c r="W165" s="101">
        <f t="shared" si="17"/>
        <v>24</v>
      </c>
      <c r="X165" s="102">
        <f t="shared" si="18"/>
        <v>0</v>
      </c>
      <c r="Y165" s="100" t="str">
        <f t="shared" si="19"/>
        <v xml:space="preserve"> </v>
      </c>
      <c r="Z165" s="100" t="str">
        <f t="shared" si="20"/>
        <v xml:space="preserve"> </v>
      </c>
    </row>
    <row r="166" spans="1:26">
      <c r="A166" s="100"/>
      <c r="B166" s="108" t="str">
        <f>IFERROR(VLOOKUP(Tablo516[[#This Row],[ÜRÜN KODU]],YMKODLARI!$A$1:$K$383,2,0)," ")</f>
        <v xml:space="preserve"> </v>
      </c>
      <c r="C166" s="99"/>
      <c r="D166" s="100"/>
      <c r="E166" s="101"/>
      <c r="F166" s="101"/>
      <c r="G166" s="100" t="str">
        <f>IFERROR(VLOOKUP(Tablo516[[#This Row],[ÜRÜN KODU]],YMKODLARI!$A$1:$K$383,3,0)," ")</f>
        <v xml:space="preserve"> </v>
      </c>
      <c r="H166" s="100" t="str">
        <f>IFERROR(VLOOKUP(Tablo516[[#This Row],[ÜRÜN KODU]],YMKODLARI!$A$1:$K$383,4,0)," ")</f>
        <v xml:space="preserve"> </v>
      </c>
      <c r="I166" s="100"/>
      <c r="J166" s="100" t="str">
        <f>IFERROR(VLOOKUP(Tablo516[[#This Row],[ÜRÜN KODU]],YMKODLARI!$A$1:$K$383,9,0)," ")</f>
        <v xml:space="preserve"> </v>
      </c>
      <c r="K166" s="100" t="str">
        <f>IFERROR(VLOOKUP(Tablo516[[#This Row],[BOYA KODU]],Tablo14[#All],4,0)," ")</f>
        <v xml:space="preserve"> </v>
      </c>
      <c r="L166" s="100" t="str">
        <f>IFERROR(VLOOKUP(Tablo516[[#This Row],[BOYA KODU]],Tablo14[#All],6,0)," ")</f>
        <v xml:space="preserve"> </v>
      </c>
      <c r="M166" s="100" t="str">
        <f t="shared" si="14"/>
        <v xml:space="preserve"> </v>
      </c>
      <c r="N166" s="100" t="str">
        <f>IFERROR(VLOOKUP(Tablo516[[#This Row],[ÜRÜN KODU]],YMKODLARI!$A$1:$K$383,8,0)," ")</f>
        <v xml:space="preserve"> </v>
      </c>
      <c r="O166" s="100" t="str">
        <f>IFERROR(VLOOKUP(Tablo516[[#This Row],[HAMMADDE KODU]],Tablo1[#All],3,0)," ")</f>
        <v xml:space="preserve"> </v>
      </c>
      <c r="P166" s="100" t="str">
        <f>IFERROR(VLOOKUP(Tablo516[[#This Row],[HAMMADDE KODU]],Tablo1[#All],4,0)," ")</f>
        <v xml:space="preserve"> </v>
      </c>
      <c r="Q166" s="100" t="str">
        <f>IFERROR(VLOOKUP(Tablo516[[#This Row],[ÜRÜN KODU]],YMKODLARI!$A$1:$K$383,5,0)," ")</f>
        <v xml:space="preserve"> </v>
      </c>
      <c r="R166" s="100" t="str">
        <f>IFERROR(VLOOKUP(Tablo516[[#This Row],[ÜRÜN KODU]],YMKODLARI!$A$1:$K$383,6,0)," ")</f>
        <v xml:space="preserve"> </v>
      </c>
      <c r="S166" s="100" t="str">
        <f>IFERROR(Tablo516[[#This Row],[YOLLUK HARİÇ BASKI GRAMI]]/Tablo516[[#This Row],[KALIP GÖZ ADEDİ]]," ")</f>
        <v xml:space="preserve"> </v>
      </c>
      <c r="T166" s="100" t="str">
        <f t="shared" si="16"/>
        <v xml:space="preserve"> </v>
      </c>
      <c r="U166" s="100"/>
      <c r="V166" s="100" t="str">
        <f t="shared" si="15"/>
        <v xml:space="preserve"> </v>
      </c>
      <c r="W166" s="101">
        <f t="shared" si="17"/>
        <v>24</v>
      </c>
      <c r="X166" s="102">
        <f t="shared" si="18"/>
        <v>0</v>
      </c>
      <c r="Y166" s="100" t="str">
        <f t="shared" si="19"/>
        <v xml:space="preserve"> </v>
      </c>
      <c r="Z166" s="100" t="str">
        <f t="shared" si="20"/>
        <v xml:space="preserve"> </v>
      </c>
    </row>
    <row r="167" spans="1:26">
      <c r="A167" s="100"/>
      <c r="B167" s="108" t="str">
        <f>IFERROR(VLOOKUP(Tablo516[[#This Row],[ÜRÜN KODU]],YMKODLARI!$A$1:$K$383,2,0)," ")</f>
        <v xml:space="preserve"> </v>
      </c>
      <c r="C167" s="99"/>
      <c r="D167" s="100"/>
      <c r="E167" s="101"/>
      <c r="F167" s="101"/>
      <c r="G167" s="100" t="str">
        <f>IFERROR(VLOOKUP(Tablo516[[#This Row],[ÜRÜN KODU]],YMKODLARI!$A$1:$K$383,3,0)," ")</f>
        <v xml:space="preserve"> </v>
      </c>
      <c r="H167" s="100" t="str">
        <f>IFERROR(VLOOKUP(Tablo516[[#This Row],[ÜRÜN KODU]],YMKODLARI!$A$1:$K$383,4,0)," ")</f>
        <v xml:space="preserve"> </v>
      </c>
      <c r="I167" s="100"/>
      <c r="J167" s="100" t="str">
        <f>IFERROR(VLOOKUP(Tablo516[[#This Row],[ÜRÜN KODU]],YMKODLARI!$A$1:$K$383,9,0)," ")</f>
        <v xml:space="preserve"> </v>
      </c>
      <c r="K167" s="100" t="str">
        <f>IFERROR(VLOOKUP(Tablo516[[#This Row],[BOYA KODU]],Tablo14[#All],4,0)," ")</f>
        <v xml:space="preserve"> </v>
      </c>
      <c r="L167" s="100" t="str">
        <f>IFERROR(VLOOKUP(Tablo516[[#This Row],[BOYA KODU]],Tablo14[#All],6,0)," ")</f>
        <v xml:space="preserve"> </v>
      </c>
      <c r="M167" s="100" t="str">
        <f t="shared" si="14"/>
        <v xml:space="preserve"> </v>
      </c>
      <c r="N167" s="100" t="str">
        <f>IFERROR(VLOOKUP(Tablo516[[#This Row],[ÜRÜN KODU]],YMKODLARI!$A$1:$K$383,8,0)," ")</f>
        <v xml:space="preserve"> </v>
      </c>
      <c r="O167" s="100" t="str">
        <f>IFERROR(VLOOKUP(Tablo516[[#This Row],[HAMMADDE KODU]],Tablo1[#All],3,0)," ")</f>
        <v xml:space="preserve"> </v>
      </c>
      <c r="P167" s="100" t="str">
        <f>IFERROR(VLOOKUP(Tablo516[[#This Row],[HAMMADDE KODU]],Tablo1[#All],4,0)," ")</f>
        <v xml:space="preserve"> </v>
      </c>
      <c r="Q167" s="100" t="str">
        <f>IFERROR(VLOOKUP(Tablo516[[#This Row],[ÜRÜN KODU]],YMKODLARI!$A$1:$K$383,5,0)," ")</f>
        <v xml:space="preserve"> </v>
      </c>
      <c r="R167" s="100" t="str">
        <f>IFERROR(VLOOKUP(Tablo516[[#This Row],[ÜRÜN KODU]],YMKODLARI!$A$1:$K$383,6,0)," ")</f>
        <v xml:space="preserve"> </v>
      </c>
      <c r="S167" s="100" t="str">
        <f>IFERROR(Tablo516[[#This Row],[YOLLUK HARİÇ BASKI GRAMI]]/Tablo516[[#This Row],[KALIP GÖZ ADEDİ]]," ")</f>
        <v xml:space="preserve"> </v>
      </c>
      <c r="T167" s="100" t="str">
        <f t="shared" si="16"/>
        <v xml:space="preserve"> </v>
      </c>
      <c r="U167" s="100"/>
      <c r="V167" s="100" t="str">
        <f t="shared" si="15"/>
        <v xml:space="preserve"> </v>
      </c>
      <c r="W167" s="101">
        <f t="shared" si="17"/>
        <v>24</v>
      </c>
      <c r="X167" s="102">
        <f t="shared" si="18"/>
        <v>0</v>
      </c>
      <c r="Y167" s="100" t="str">
        <f t="shared" si="19"/>
        <v xml:space="preserve"> </v>
      </c>
      <c r="Z167" s="100" t="str">
        <f t="shared" si="20"/>
        <v xml:space="preserve"> </v>
      </c>
    </row>
    <row r="168" spans="1:26">
      <c r="A168" s="100"/>
      <c r="B168" s="108" t="str">
        <f>IFERROR(VLOOKUP(Tablo516[[#This Row],[ÜRÜN KODU]],YMKODLARI!$A$1:$K$383,2,0)," ")</f>
        <v xml:space="preserve"> </v>
      </c>
      <c r="C168" s="99"/>
      <c r="D168" s="100"/>
      <c r="E168" s="101"/>
      <c r="F168" s="101"/>
      <c r="G168" s="100" t="str">
        <f>IFERROR(VLOOKUP(Tablo516[[#This Row],[ÜRÜN KODU]],YMKODLARI!$A$1:$K$383,3,0)," ")</f>
        <v xml:space="preserve"> </v>
      </c>
      <c r="H168" s="100" t="str">
        <f>IFERROR(VLOOKUP(Tablo516[[#This Row],[ÜRÜN KODU]],YMKODLARI!$A$1:$K$383,4,0)," ")</f>
        <v xml:space="preserve"> </v>
      </c>
      <c r="I168" s="100"/>
      <c r="J168" s="100" t="str">
        <f>IFERROR(VLOOKUP(Tablo516[[#This Row],[ÜRÜN KODU]],YMKODLARI!$A$1:$K$383,9,0)," ")</f>
        <v xml:space="preserve"> </v>
      </c>
      <c r="K168" s="100" t="str">
        <f>IFERROR(VLOOKUP(Tablo516[[#This Row],[BOYA KODU]],Tablo14[#All],4,0)," ")</f>
        <v xml:space="preserve"> </v>
      </c>
      <c r="L168" s="100" t="str">
        <f>IFERROR(VLOOKUP(Tablo516[[#This Row],[BOYA KODU]],Tablo14[#All],6,0)," ")</f>
        <v xml:space="preserve"> </v>
      </c>
      <c r="M168" s="100" t="str">
        <f t="shared" si="14"/>
        <v xml:space="preserve"> </v>
      </c>
      <c r="N168" s="100" t="str">
        <f>IFERROR(VLOOKUP(Tablo516[[#This Row],[ÜRÜN KODU]],YMKODLARI!$A$1:$K$383,8,0)," ")</f>
        <v xml:space="preserve"> </v>
      </c>
      <c r="O168" s="100" t="str">
        <f>IFERROR(VLOOKUP(Tablo516[[#This Row],[HAMMADDE KODU]],Tablo1[#All],3,0)," ")</f>
        <v xml:space="preserve"> </v>
      </c>
      <c r="P168" s="100" t="str">
        <f>IFERROR(VLOOKUP(Tablo516[[#This Row],[HAMMADDE KODU]],Tablo1[#All],4,0)," ")</f>
        <v xml:space="preserve"> </v>
      </c>
      <c r="Q168" s="100" t="str">
        <f>IFERROR(VLOOKUP(Tablo516[[#This Row],[ÜRÜN KODU]],YMKODLARI!$A$1:$K$383,5,0)," ")</f>
        <v xml:space="preserve"> </v>
      </c>
      <c r="R168" s="100" t="str">
        <f>IFERROR(VLOOKUP(Tablo516[[#This Row],[ÜRÜN KODU]],YMKODLARI!$A$1:$K$383,6,0)," ")</f>
        <v xml:space="preserve"> </v>
      </c>
      <c r="S168" s="100" t="str">
        <f>IFERROR(Tablo516[[#This Row],[YOLLUK HARİÇ BASKI GRAMI]]/Tablo516[[#This Row],[KALIP GÖZ ADEDİ]]," ")</f>
        <v xml:space="preserve"> </v>
      </c>
      <c r="T168" s="100" t="str">
        <f t="shared" si="16"/>
        <v xml:space="preserve"> </v>
      </c>
      <c r="U168" s="100"/>
      <c r="V168" s="100" t="str">
        <f t="shared" si="15"/>
        <v xml:space="preserve"> </v>
      </c>
      <c r="W168" s="101">
        <f t="shared" si="17"/>
        <v>24</v>
      </c>
      <c r="X168" s="102">
        <f t="shared" si="18"/>
        <v>0</v>
      </c>
      <c r="Y168" s="100" t="str">
        <f t="shared" si="19"/>
        <v xml:space="preserve"> </v>
      </c>
      <c r="Z168" s="100" t="str">
        <f t="shared" si="20"/>
        <v xml:space="preserve"> </v>
      </c>
    </row>
    <row r="169" spans="1:26">
      <c r="A169" s="100"/>
      <c r="B169" s="108" t="str">
        <f>IFERROR(VLOOKUP(Tablo516[[#This Row],[ÜRÜN KODU]],YMKODLARI!$A$1:$K$383,2,0)," ")</f>
        <v xml:space="preserve"> </v>
      </c>
      <c r="C169" s="99"/>
      <c r="D169" s="100"/>
      <c r="E169" s="101"/>
      <c r="F169" s="101"/>
      <c r="G169" s="100" t="str">
        <f>IFERROR(VLOOKUP(Tablo516[[#This Row],[ÜRÜN KODU]],YMKODLARI!$A$1:$K$383,3,0)," ")</f>
        <v xml:space="preserve"> </v>
      </c>
      <c r="H169" s="100" t="str">
        <f>IFERROR(VLOOKUP(Tablo516[[#This Row],[ÜRÜN KODU]],YMKODLARI!$A$1:$K$383,4,0)," ")</f>
        <v xml:space="preserve"> </v>
      </c>
      <c r="I169" s="100"/>
      <c r="J169" s="100" t="str">
        <f>IFERROR(VLOOKUP(Tablo516[[#This Row],[ÜRÜN KODU]],YMKODLARI!$A$1:$K$383,9,0)," ")</f>
        <v xml:space="preserve"> </v>
      </c>
      <c r="K169" s="100" t="str">
        <f>IFERROR(VLOOKUP(Tablo516[[#This Row],[BOYA KODU]],Tablo14[#All],4,0)," ")</f>
        <v xml:space="preserve"> </v>
      </c>
      <c r="L169" s="100" t="str">
        <f>IFERROR(VLOOKUP(Tablo516[[#This Row],[BOYA KODU]],Tablo14[#All],6,0)," ")</f>
        <v xml:space="preserve"> </v>
      </c>
      <c r="M169" s="100" t="str">
        <f t="shared" si="14"/>
        <v xml:space="preserve"> </v>
      </c>
      <c r="N169" s="100" t="str">
        <f>IFERROR(VLOOKUP(Tablo516[[#This Row],[ÜRÜN KODU]],YMKODLARI!$A$1:$K$383,8,0)," ")</f>
        <v xml:space="preserve"> </v>
      </c>
      <c r="O169" s="100" t="str">
        <f>IFERROR(VLOOKUP(Tablo516[[#This Row],[HAMMADDE KODU]],Tablo1[#All],3,0)," ")</f>
        <v xml:space="preserve"> </v>
      </c>
      <c r="P169" s="100" t="str">
        <f>IFERROR(VLOOKUP(Tablo516[[#This Row],[HAMMADDE KODU]],Tablo1[#All],4,0)," ")</f>
        <v xml:space="preserve"> </v>
      </c>
      <c r="Q169" s="100" t="str">
        <f>IFERROR(VLOOKUP(Tablo516[[#This Row],[ÜRÜN KODU]],YMKODLARI!$A$1:$K$383,5,0)," ")</f>
        <v xml:space="preserve"> </v>
      </c>
      <c r="R169" s="100" t="str">
        <f>IFERROR(VLOOKUP(Tablo516[[#This Row],[ÜRÜN KODU]],YMKODLARI!$A$1:$K$383,6,0)," ")</f>
        <v xml:space="preserve"> </v>
      </c>
      <c r="S169" s="100" t="str">
        <f>IFERROR(Tablo516[[#This Row],[YOLLUK HARİÇ BASKI GRAMI]]/Tablo516[[#This Row],[KALIP GÖZ ADEDİ]]," ")</f>
        <v xml:space="preserve"> </v>
      </c>
      <c r="T169" s="100" t="str">
        <f t="shared" si="16"/>
        <v xml:space="preserve"> </v>
      </c>
      <c r="U169" s="100"/>
      <c r="V169" s="100" t="str">
        <f t="shared" si="15"/>
        <v xml:space="preserve"> </v>
      </c>
      <c r="W169" s="101">
        <f t="shared" si="17"/>
        <v>24</v>
      </c>
      <c r="X169" s="102">
        <f t="shared" si="18"/>
        <v>0</v>
      </c>
      <c r="Y169" s="100" t="str">
        <f t="shared" si="19"/>
        <v xml:space="preserve"> </v>
      </c>
      <c r="Z169" s="100" t="str">
        <f t="shared" si="20"/>
        <v xml:space="preserve"> </v>
      </c>
    </row>
    <row r="170" spans="1:26">
      <c r="A170" s="100"/>
      <c r="B170" s="108" t="str">
        <f>IFERROR(VLOOKUP(Tablo516[[#This Row],[ÜRÜN KODU]],YMKODLARI!$A$1:$K$383,2,0)," ")</f>
        <v xml:space="preserve"> </v>
      </c>
      <c r="C170" s="99"/>
      <c r="D170" s="100"/>
      <c r="E170" s="101"/>
      <c r="F170" s="101"/>
      <c r="G170" s="100" t="str">
        <f>IFERROR(VLOOKUP(Tablo516[[#This Row],[ÜRÜN KODU]],YMKODLARI!$A$1:$K$383,3,0)," ")</f>
        <v xml:space="preserve"> </v>
      </c>
      <c r="H170" s="100" t="str">
        <f>IFERROR(VLOOKUP(Tablo516[[#This Row],[ÜRÜN KODU]],YMKODLARI!$A$1:$K$383,4,0)," ")</f>
        <v xml:space="preserve"> </v>
      </c>
      <c r="I170" s="100"/>
      <c r="J170" s="100" t="str">
        <f>IFERROR(VLOOKUP(Tablo516[[#This Row],[ÜRÜN KODU]],YMKODLARI!$A$1:$K$383,9,0)," ")</f>
        <v xml:space="preserve"> </v>
      </c>
      <c r="K170" s="100" t="str">
        <f>IFERROR(VLOOKUP(Tablo516[[#This Row],[BOYA KODU]],Tablo14[#All],4,0)," ")</f>
        <v xml:space="preserve"> </v>
      </c>
      <c r="L170" s="100" t="str">
        <f>IFERROR(VLOOKUP(Tablo516[[#This Row],[BOYA KODU]],Tablo14[#All],6,0)," ")</f>
        <v xml:space="preserve"> </v>
      </c>
      <c r="M170" s="100" t="str">
        <f t="shared" si="14"/>
        <v xml:space="preserve"> </v>
      </c>
      <c r="N170" s="100" t="str">
        <f>IFERROR(VLOOKUP(Tablo516[[#This Row],[ÜRÜN KODU]],YMKODLARI!$A$1:$K$383,8,0)," ")</f>
        <v xml:space="preserve"> </v>
      </c>
      <c r="O170" s="100" t="str">
        <f>IFERROR(VLOOKUP(Tablo516[[#This Row],[HAMMADDE KODU]],Tablo1[#All],3,0)," ")</f>
        <v xml:space="preserve"> </v>
      </c>
      <c r="P170" s="100" t="str">
        <f>IFERROR(VLOOKUP(Tablo516[[#This Row],[HAMMADDE KODU]],Tablo1[#All],4,0)," ")</f>
        <v xml:space="preserve"> </v>
      </c>
      <c r="Q170" s="100" t="str">
        <f>IFERROR(VLOOKUP(Tablo516[[#This Row],[ÜRÜN KODU]],YMKODLARI!$A$1:$K$383,5,0)," ")</f>
        <v xml:space="preserve"> </v>
      </c>
      <c r="R170" s="100" t="str">
        <f>IFERROR(VLOOKUP(Tablo516[[#This Row],[ÜRÜN KODU]],YMKODLARI!$A$1:$K$383,6,0)," ")</f>
        <v xml:space="preserve"> </v>
      </c>
      <c r="S170" s="100" t="str">
        <f>IFERROR(Tablo516[[#This Row],[YOLLUK HARİÇ BASKI GRAMI]]/Tablo516[[#This Row],[KALIP GÖZ ADEDİ]]," ")</f>
        <v xml:space="preserve"> </v>
      </c>
      <c r="T170" s="100" t="str">
        <f t="shared" si="16"/>
        <v xml:space="preserve"> </v>
      </c>
      <c r="U170" s="100"/>
      <c r="V170" s="100" t="str">
        <f t="shared" si="15"/>
        <v xml:space="preserve"> </v>
      </c>
      <c r="W170" s="101">
        <f t="shared" si="17"/>
        <v>24</v>
      </c>
      <c r="X170" s="102">
        <f t="shared" si="18"/>
        <v>0</v>
      </c>
      <c r="Y170" s="100" t="str">
        <f t="shared" si="19"/>
        <v xml:space="preserve"> </v>
      </c>
      <c r="Z170" s="100" t="str">
        <f t="shared" si="20"/>
        <v xml:space="preserve"> </v>
      </c>
    </row>
    <row r="171" spans="1:26">
      <c r="A171" s="100"/>
      <c r="B171" s="108" t="str">
        <f>IFERROR(VLOOKUP(Tablo516[[#This Row],[ÜRÜN KODU]],YMKODLARI!$A$1:$K$383,2,0)," ")</f>
        <v xml:space="preserve"> </v>
      </c>
      <c r="C171" s="99"/>
      <c r="D171" s="100"/>
      <c r="E171" s="101"/>
      <c r="F171" s="101"/>
      <c r="G171" s="100" t="str">
        <f>IFERROR(VLOOKUP(Tablo516[[#This Row],[ÜRÜN KODU]],YMKODLARI!$A$1:$K$383,3,0)," ")</f>
        <v xml:space="preserve"> </v>
      </c>
      <c r="H171" s="100" t="str">
        <f>IFERROR(VLOOKUP(Tablo516[[#This Row],[ÜRÜN KODU]],YMKODLARI!$A$1:$K$383,4,0)," ")</f>
        <v xml:space="preserve"> </v>
      </c>
      <c r="I171" s="100"/>
      <c r="J171" s="100" t="str">
        <f>IFERROR(VLOOKUP(Tablo516[[#This Row],[ÜRÜN KODU]],YMKODLARI!$A$1:$K$383,9,0)," ")</f>
        <v xml:space="preserve"> </v>
      </c>
      <c r="K171" s="100" t="str">
        <f>IFERROR(VLOOKUP(Tablo516[[#This Row],[BOYA KODU]],Tablo14[#All],4,0)," ")</f>
        <v xml:space="preserve"> </v>
      </c>
      <c r="L171" s="100" t="str">
        <f>IFERROR(VLOOKUP(Tablo516[[#This Row],[BOYA KODU]],Tablo14[#All],6,0)," ")</f>
        <v xml:space="preserve"> </v>
      </c>
      <c r="M171" s="100" t="str">
        <f t="shared" si="14"/>
        <v xml:space="preserve"> </v>
      </c>
      <c r="N171" s="100" t="str">
        <f>IFERROR(VLOOKUP(Tablo516[[#This Row],[ÜRÜN KODU]],YMKODLARI!$A$1:$K$383,8,0)," ")</f>
        <v xml:space="preserve"> </v>
      </c>
      <c r="O171" s="100" t="str">
        <f>IFERROR(VLOOKUP(Tablo516[[#This Row],[HAMMADDE KODU]],Tablo1[#All],3,0)," ")</f>
        <v xml:space="preserve"> </v>
      </c>
      <c r="P171" s="100" t="str">
        <f>IFERROR(VLOOKUP(Tablo516[[#This Row],[HAMMADDE KODU]],Tablo1[#All],4,0)," ")</f>
        <v xml:space="preserve"> </v>
      </c>
      <c r="Q171" s="100" t="str">
        <f>IFERROR(VLOOKUP(Tablo516[[#This Row],[ÜRÜN KODU]],YMKODLARI!$A$1:$K$383,5,0)," ")</f>
        <v xml:space="preserve"> </v>
      </c>
      <c r="R171" s="100" t="str">
        <f>IFERROR(VLOOKUP(Tablo516[[#This Row],[ÜRÜN KODU]],YMKODLARI!$A$1:$K$383,6,0)," ")</f>
        <v xml:space="preserve"> </v>
      </c>
      <c r="S171" s="100" t="str">
        <f>IFERROR(Tablo516[[#This Row],[YOLLUK HARİÇ BASKI GRAMI]]/Tablo516[[#This Row],[KALIP GÖZ ADEDİ]]," ")</f>
        <v xml:space="preserve"> </v>
      </c>
      <c r="T171" s="100" t="str">
        <f t="shared" si="16"/>
        <v xml:space="preserve"> </v>
      </c>
      <c r="U171" s="100"/>
      <c r="V171" s="100" t="str">
        <f t="shared" si="15"/>
        <v xml:space="preserve"> </v>
      </c>
      <c r="W171" s="101">
        <f t="shared" si="17"/>
        <v>24</v>
      </c>
      <c r="X171" s="102">
        <f t="shared" si="18"/>
        <v>0</v>
      </c>
      <c r="Y171" s="100" t="str">
        <f t="shared" si="19"/>
        <v xml:space="preserve"> </v>
      </c>
      <c r="Z171" s="100" t="str">
        <f t="shared" si="20"/>
        <v xml:space="preserve"> </v>
      </c>
    </row>
    <row r="172" spans="1:26">
      <c r="A172" s="100"/>
      <c r="B172" s="108" t="str">
        <f>IFERROR(VLOOKUP(Tablo516[[#This Row],[ÜRÜN KODU]],YMKODLARI!$A$1:$K$383,2,0)," ")</f>
        <v xml:space="preserve"> </v>
      </c>
      <c r="C172" s="99"/>
      <c r="D172" s="100"/>
      <c r="E172" s="101"/>
      <c r="F172" s="101"/>
      <c r="G172" s="100" t="str">
        <f>IFERROR(VLOOKUP(Tablo516[[#This Row],[ÜRÜN KODU]],YMKODLARI!$A$1:$K$383,3,0)," ")</f>
        <v xml:space="preserve"> </v>
      </c>
      <c r="H172" s="100" t="str">
        <f>IFERROR(VLOOKUP(Tablo516[[#This Row],[ÜRÜN KODU]],YMKODLARI!$A$1:$K$383,4,0)," ")</f>
        <v xml:space="preserve"> </v>
      </c>
      <c r="I172" s="100"/>
      <c r="J172" s="100" t="str">
        <f>IFERROR(VLOOKUP(Tablo516[[#This Row],[ÜRÜN KODU]],YMKODLARI!$A$1:$K$383,9,0)," ")</f>
        <v xml:space="preserve"> </v>
      </c>
      <c r="K172" s="100" t="str">
        <f>IFERROR(VLOOKUP(Tablo516[[#This Row],[BOYA KODU]],Tablo14[#All],4,0)," ")</f>
        <v xml:space="preserve"> </v>
      </c>
      <c r="L172" s="100" t="str">
        <f>IFERROR(VLOOKUP(Tablo516[[#This Row],[BOYA KODU]],Tablo14[#All],6,0)," ")</f>
        <v xml:space="preserve"> </v>
      </c>
      <c r="M172" s="100" t="str">
        <f t="shared" si="14"/>
        <v xml:space="preserve"> </v>
      </c>
      <c r="N172" s="100" t="str">
        <f>IFERROR(VLOOKUP(Tablo516[[#This Row],[ÜRÜN KODU]],YMKODLARI!$A$1:$K$383,8,0)," ")</f>
        <v xml:space="preserve"> </v>
      </c>
      <c r="O172" s="100" t="str">
        <f>IFERROR(VLOOKUP(Tablo516[[#This Row],[HAMMADDE KODU]],Tablo1[#All],3,0)," ")</f>
        <v xml:space="preserve"> </v>
      </c>
      <c r="P172" s="100" t="str">
        <f>IFERROR(VLOOKUP(Tablo516[[#This Row],[HAMMADDE KODU]],Tablo1[#All],4,0)," ")</f>
        <v xml:space="preserve"> </v>
      </c>
      <c r="Q172" s="100" t="str">
        <f>IFERROR(VLOOKUP(Tablo516[[#This Row],[ÜRÜN KODU]],YMKODLARI!$A$1:$K$383,5,0)," ")</f>
        <v xml:space="preserve"> </v>
      </c>
      <c r="R172" s="100" t="str">
        <f>IFERROR(VLOOKUP(Tablo516[[#This Row],[ÜRÜN KODU]],YMKODLARI!$A$1:$K$383,6,0)," ")</f>
        <v xml:space="preserve"> </v>
      </c>
      <c r="S172" s="100" t="str">
        <f>IFERROR(Tablo516[[#This Row],[YOLLUK HARİÇ BASKI GRAMI]]/Tablo516[[#This Row],[KALIP GÖZ ADEDİ]]," ")</f>
        <v xml:space="preserve"> </v>
      </c>
      <c r="T172" s="100" t="str">
        <f t="shared" si="16"/>
        <v xml:space="preserve"> </v>
      </c>
      <c r="U172" s="100"/>
      <c r="V172" s="100" t="str">
        <f t="shared" si="15"/>
        <v xml:space="preserve"> </v>
      </c>
      <c r="W172" s="101">
        <f t="shared" si="17"/>
        <v>24</v>
      </c>
      <c r="X172" s="102">
        <f t="shared" si="18"/>
        <v>0</v>
      </c>
      <c r="Y172" s="100" t="str">
        <f t="shared" si="19"/>
        <v xml:space="preserve"> </v>
      </c>
      <c r="Z172" s="100" t="str">
        <f t="shared" si="20"/>
        <v xml:space="preserve"> </v>
      </c>
    </row>
    <row r="173" spans="1:26">
      <c r="A173" s="100"/>
      <c r="B173" s="108" t="str">
        <f>IFERROR(VLOOKUP(Tablo516[[#This Row],[ÜRÜN KODU]],YMKODLARI!$A$1:$K$383,2,0)," ")</f>
        <v xml:space="preserve"> </v>
      </c>
      <c r="C173" s="99"/>
      <c r="D173" s="100"/>
      <c r="E173" s="101"/>
      <c r="F173" s="101"/>
      <c r="G173" s="100" t="str">
        <f>IFERROR(VLOOKUP(Tablo516[[#This Row],[ÜRÜN KODU]],YMKODLARI!$A$1:$K$383,3,0)," ")</f>
        <v xml:space="preserve"> </v>
      </c>
      <c r="H173" s="100" t="str">
        <f>IFERROR(VLOOKUP(Tablo516[[#This Row],[ÜRÜN KODU]],YMKODLARI!$A$1:$K$383,4,0)," ")</f>
        <v xml:space="preserve"> </v>
      </c>
      <c r="I173" s="100"/>
      <c r="J173" s="100" t="str">
        <f>IFERROR(VLOOKUP(Tablo516[[#This Row],[ÜRÜN KODU]],YMKODLARI!$A$1:$K$383,9,0)," ")</f>
        <v xml:space="preserve"> </v>
      </c>
      <c r="K173" s="100" t="str">
        <f>IFERROR(VLOOKUP(Tablo516[[#This Row],[BOYA KODU]],Tablo14[#All],4,0)," ")</f>
        <v xml:space="preserve"> </v>
      </c>
      <c r="L173" s="100" t="str">
        <f>IFERROR(VLOOKUP(Tablo516[[#This Row],[BOYA KODU]],Tablo14[#All],6,0)," ")</f>
        <v xml:space="preserve"> </v>
      </c>
      <c r="M173" s="100" t="str">
        <f t="shared" si="14"/>
        <v xml:space="preserve"> </v>
      </c>
      <c r="N173" s="100" t="str">
        <f>IFERROR(VLOOKUP(Tablo516[[#This Row],[ÜRÜN KODU]],YMKODLARI!$A$1:$K$383,8,0)," ")</f>
        <v xml:space="preserve"> </v>
      </c>
      <c r="O173" s="100" t="str">
        <f>IFERROR(VLOOKUP(Tablo516[[#This Row],[HAMMADDE KODU]],Tablo1[#All],3,0)," ")</f>
        <v xml:space="preserve"> </v>
      </c>
      <c r="P173" s="100" t="str">
        <f>IFERROR(VLOOKUP(Tablo516[[#This Row],[HAMMADDE KODU]],Tablo1[#All],4,0)," ")</f>
        <v xml:space="preserve"> </v>
      </c>
      <c r="Q173" s="100" t="str">
        <f>IFERROR(VLOOKUP(Tablo516[[#This Row],[ÜRÜN KODU]],YMKODLARI!$A$1:$K$383,5,0)," ")</f>
        <v xml:space="preserve"> </v>
      </c>
      <c r="R173" s="100" t="str">
        <f>IFERROR(VLOOKUP(Tablo516[[#This Row],[ÜRÜN KODU]],YMKODLARI!$A$1:$K$383,6,0)," ")</f>
        <v xml:space="preserve"> </v>
      </c>
      <c r="S173" s="100" t="str">
        <f>IFERROR(Tablo516[[#This Row],[YOLLUK HARİÇ BASKI GRAMI]]/Tablo516[[#This Row],[KALIP GÖZ ADEDİ]]," ")</f>
        <v xml:space="preserve"> </v>
      </c>
      <c r="T173" s="100" t="str">
        <f t="shared" si="16"/>
        <v xml:space="preserve"> </v>
      </c>
      <c r="U173" s="100"/>
      <c r="V173" s="100" t="str">
        <f t="shared" si="15"/>
        <v xml:space="preserve"> </v>
      </c>
      <c r="W173" s="101">
        <f t="shared" si="17"/>
        <v>24</v>
      </c>
      <c r="X173" s="102">
        <f t="shared" si="18"/>
        <v>0</v>
      </c>
      <c r="Y173" s="100" t="str">
        <f t="shared" si="19"/>
        <v xml:space="preserve"> </v>
      </c>
      <c r="Z173" s="100" t="str">
        <f t="shared" si="20"/>
        <v xml:space="preserve"> </v>
      </c>
    </row>
    <row r="174" spans="1:26">
      <c r="A174" s="100"/>
      <c r="B174" s="108" t="str">
        <f>IFERROR(VLOOKUP(Tablo516[[#This Row],[ÜRÜN KODU]],YMKODLARI!$A$1:$K$383,2,0)," ")</f>
        <v xml:space="preserve"> </v>
      </c>
      <c r="C174" s="99"/>
      <c r="D174" s="100"/>
      <c r="E174" s="101"/>
      <c r="F174" s="101"/>
      <c r="G174" s="100" t="str">
        <f>IFERROR(VLOOKUP(Tablo516[[#This Row],[ÜRÜN KODU]],YMKODLARI!$A$1:$K$383,3,0)," ")</f>
        <v xml:space="preserve"> </v>
      </c>
      <c r="H174" s="100" t="str">
        <f>IFERROR(VLOOKUP(Tablo516[[#This Row],[ÜRÜN KODU]],YMKODLARI!$A$1:$K$383,4,0)," ")</f>
        <v xml:space="preserve"> </v>
      </c>
      <c r="I174" s="100"/>
      <c r="J174" s="100" t="str">
        <f>IFERROR(VLOOKUP(Tablo516[[#This Row],[ÜRÜN KODU]],YMKODLARI!$A$1:$K$383,9,0)," ")</f>
        <v xml:space="preserve"> </v>
      </c>
      <c r="K174" s="100" t="str">
        <f>IFERROR(VLOOKUP(Tablo516[[#This Row],[BOYA KODU]],Tablo14[#All],4,0)," ")</f>
        <v xml:space="preserve"> </v>
      </c>
      <c r="L174" s="100" t="str">
        <f>IFERROR(VLOOKUP(Tablo516[[#This Row],[BOYA KODU]],Tablo14[#All],6,0)," ")</f>
        <v xml:space="preserve"> </v>
      </c>
      <c r="M174" s="100" t="str">
        <f t="shared" si="14"/>
        <v xml:space="preserve"> </v>
      </c>
      <c r="N174" s="100" t="str">
        <f>IFERROR(VLOOKUP(Tablo516[[#This Row],[ÜRÜN KODU]],YMKODLARI!$A$1:$K$383,8,0)," ")</f>
        <v xml:space="preserve"> </v>
      </c>
      <c r="O174" s="100" t="str">
        <f>IFERROR(VLOOKUP(Tablo516[[#This Row],[HAMMADDE KODU]],Tablo1[#All],3,0)," ")</f>
        <v xml:space="preserve"> </v>
      </c>
      <c r="P174" s="100" t="str">
        <f>IFERROR(VLOOKUP(Tablo516[[#This Row],[HAMMADDE KODU]],Tablo1[#All],4,0)," ")</f>
        <v xml:space="preserve"> </v>
      </c>
      <c r="Q174" s="100" t="str">
        <f>IFERROR(VLOOKUP(Tablo516[[#This Row],[ÜRÜN KODU]],YMKODLARI!$A$1:$K$383,5,0)," ")</f>
        <v xml:space="preserve"> </v>
      </c>
      <c r="R174" s="100" t="str">
        <f>IFERROR(VLOOKUP(Tablo516[[#This Row],[ÜRÜN KODU]],YMKODLARI!$A$1:$K$383,6,0)," ")</f>
        <v xml:space="preserve"> </v>
      </c>
      <c r="S174" s="100" t="str">
        <f>IFERROR(Tablo516[[#This Row],[YOLLUK HARİÇ BASKI GRAMI]]/Tablo516[[#This Row],[KALIP GÖZ ADEDİ]]," ")</f>
        <v xml:space="preserve"> </v>
      </c>
      <c r="T174" s="100" t="str">
        <f t="shared" si="16"/>
        <v xml:space="preserve"> </v>
      </c>
      <c r="U174" s="100"/>
      <c r="V174" s="100" t="str">
        <f t="shared" si="15"/>
        <v xml:space="preserve"> </v>
      </c>
      <c r="W174" s="101">
        <f t="shared" si="17"/>
        <v>24</v>
      </c>
      <c r="X174" s="102">
        <f t="shared" si="18"/>
        <v>0</v>
      </c>
      <c r="Y174" s="100" t="str">
        <f t="shared" si="19"/>
        <v xml:space="preserve"> </v>
      </c>
      <c r="Z174" s="100" t="str">
        <f t="shared" si="20"/>
        <v xml:space="preserve"> </v>
      </c>
    </row>
    <row r="175" spans="1:26">
      <c r="A175" s="100"/>
      <c r="B175" s="108" t="str">
        <f>IFERROR(VLOOKUP(Tablo516[[#This Row],[ÜRÜN KODU]],YMKODLARI!$A$1:$K$383,2,0)," ")</f>
        <v xml:space="preserve"> </v>
      </c>
      <c r="C175" s="99"/>
      <c r="D175" s="100"/>
      <c r="E175" s="101"/>
      <c r="F175" s="101"/>
      <c r="G175" s="100" t="str">
        <f>IFERROR(VLOOKUP(Tablo516[[#This Row],[ÜRÜN KODU]],YMKODLARI!$A$1:$K$383,3,0)," ")</f>
        <v xml:space="preserve"> </v>
      </c>
      <c r="H175" s="100" t="str">
        <f>IFERROR(VLOOKUP(Tablo516[[#This Row],[ÜRÜN KODU]],YMKODLARI!$A$1:$K$383,4,0)," ")</f>
        <v xml:space="preserve"> </v>
      </c>
      <c r="I175" s="100"/>
      <c r="J175" s="100" t="str">
        <f>IFERROR(VLOOKUP(Tablo516[[#This Row],[ÜRÜN KODU]],YMKODLARI!$A$1:$K$383,9,0)," ")</f>
        <v xml:space="preserve"> </v>
      </c>
      <c r="K175" s="100" t="str">
        <f>IFERROR(VLOOKUP(Tablo516[[#This Row],[BOYA KODU]],Tablo14[#All],4,0)," ")</f>
        <v xml:space="preserve"> </v>
      </c>
      <c r="L175" s="100" t="str">
        <f>IFERROR(VLOOKUP(Tablo516[[#This Row],[BOYA KODU]],Tablo14[#All],6,0)," ")</f>
        <v xml:space="preserve"> </v>
      </c>
      <c r="M175" s="100" t="str">
        <f t="shared" si="14"/>
        <v xml:space="preserve"> </v>
      </c>
      <c r="N175" s="100" t="str">
        <f>IFERROR(VLOOKUP(Tablo516[[#This Row],[ÜRÜN KODU]],YMKODLARI!$A$1:$K$383,8,0)," ")</f>
        <v xml:space="preserve"> </v>
      </c>
      <c r="O175" s="100" t="str">
        <f>IFERROR(VLOOKUP(Tablo516[[#This Row],[HAMMADDE KODU]],Tablo1[#All],3,0)," ")</f>
        <v xml:space="preserve"> </v>
      </c>
      <c r="P175" s="100" t="str">
        <f>IFERROR(VLOOKUP(Tablo516[[#This Row],[HAMMADDE KODU]],Tablo1[#All],4,0)," ")</f>
        <v xml:space="preserve"> </v>
      </c>
      <c r="Q175" s="100" t="str">
        <f>IFERROR(VLOOKUP(Tablo516[[#This Row],[ÜRÜN KODU]],YMKODLARI!$A$1:$K$383,5,0)," ")</f>
        <v xml:space="preserve"> </v>
      </c>
      <c r="R175" s="100" t="str">
        <f>IFERROR(VLOOKUP(Tablo516[[#This Row],[ÜRÜN KODU]],YMKODLARI!$A$1:$K$383,6,0)," ")</f>
        <v xml:space="preserve"> </v>
      </c>
      <c r="S175" s="100" t="str">
        <f>IFERROR(Tablo516[[#This Row],[YOLLUK HARİÇ BASKI GRAMI]]/Tablo516[[#This Row],[KALIP GÖZ ADEDİ]]," ")</f>
        <v xml:space="preserve"> </v>
      </c>
      <c r="T175" s="100" t="str">
        <f t="shared" si="16"/>
        <v xml:space="preserve"> </v>
      </c>
      <c r="U175" s="100"/>
      <c r="V175" s="100" t="str">
        <f t="shared" si="15"/>
        <v xml:space="preserve"> </v>
      </c>
      <c r="W175" s="101">
        <f t="shared" si="17"/>
        <v>24</v>
      </c>
      <c r="X175" s="102">
        <f t="shared" si="18"/>
        <v>0</v>
      </c>
      <c r="Y175" s="100" t="str">
        <f t="shared" si="19"/>
        <v xml:space="preserve"> </v>
      </c>
      <c r="Z175" s="100" t="str">
        <f t="shared" si="20"/>
        <v xml:space="preserve"> </v>
      </c>
    </row>
    <row r="176" spans="1:26">
      <c r="A176" s="100"/>
      <c r="B176" s="108" t="str">
        <f>IFERROR(VLOOKUP(Tablo516[[#This Row],[ÜRÜN KODU]],YMKODLARI!$A$1:$K$383,2,0)," ")</f>
        <v xml:space="preserve"> </v>
      </c>
      <c r="C176" s="99"/>
      <c r="D176" s="100"/>
      <c r="E176" s="101"/>
      <c r="F176" s="101"/>
      <c r="G176" s="100" t="str">
        <f>IFERROR(VLOOKUP(Tablo516[[#This Row],[ÜRÜN KODU]],YMKODLARI!$A$1:$K$383,3,0)," ")</f>
        <v xml:space="preserve"> </v>
      </c>
      <c r="H176" s="100" t="str">
        <f>IFERROR(VLOOKUP(Tablo516[[#This Row],[ÜRÜN KODU]],YMKODLARI!$A$1:$K$383,4,0)," ")</f>
        <v xml:space="preserve"> </v>
      </c>
      <c r="I176" s="100"/>
      <c r="J176" s="100" t="str">
        <f>IFERROR(VLOOKUP(Tablo516[[#This Row],[ÜRÜN KODU]],YMKODLARI!$A$1:$K$383,9,0)," ")</f>
        <v xml:space="preserve"> </v>
      </c>
      <c r="K176" s="100" t="str">
        <f>IFERROR(VLOOKUP(Tablo516[[#This Row],[BOYA KODU]],Tablo14[#All],4,0)," ")</f>
        <v xml:space="preserve"> </v>
      </c>
      <c r="L176" s="100" t="str">
        <f>IFERROR(VLOOKUP(Tablo516[[#This Row],[BOYA KODU]],Tablo14[#All],6,0)," ")</f>
        <v xml:space="preserve"> </v>
      </c>
      <c r="M176" s="100" t="str">
        <f t="shared" si="14"/>
        <v xml:space="preserve"> </v>
      </c>
      <c r="N176" s="100" t="str">
        <f>IFERROR(VLOOKUP(Tablo516[[#This Row],[ÜRÜN KODU]],YMKODLARI!$A$1:$K$383,8,0)," ")</f>
        <v xml:space="preserve"> </v>
      </c>
      <c r="O176" s="100" t="str">
        <f>IFERROR(VLOOKUP(Tablo516[[#This Row],[HAMMADDE KODU]],Tablo1[#All],3,0)," ")</f>
        <v xml:space="preserve"> </v>
      </c>
      <c r="P176" s="100" t="str">
        <f>IFERROR(VLOOKUP(Tablo516[[#This Row],[HAMMADDE KODU]],Tablo1[#All],4,0)," ")</f>
        <v xml:space="preserve"> </v>
      </c>
      <c r="Q176" s="100" t="str">
        <f>IFERROR(VLOOKUP(Tablo516[[#This Row],[ÜRÜN KODU]],YMKODLARI!$A$1:$K$383,5,0)," ")</f>
        <v xml:space="preserve"> </v>
      </c>
      <c r="R176" s="100" t="str">
        <f>IFERROR(VLOOKUP(Tablo516[[#This Row],[ÜRÜN KODU]],YMKODLARI!$A$1:$K$383,6,0)," ")</f>
        <v xml:space="preserve"> </v>
      </c>
      <c r="S176" s="100" t="str">
        <f>IFERROR(Tablo516[[#This Row],[YOLLUK HARİÇ BASKI GRAMI]]/Tablo516[[#This Row],[KALIP GÖZ ADEDİ]]," ")</f>
        <v xml:space="preserve"> </v>
      </c>
      <c r="T176" s="100" t="str">
        <f t="shared" si="16"/>
        <v xml:space="preserve"> </v>
      </c>
      <c r="U176" s="100"/>
      <c r="V176" s="100" t="str">
        <f t="shared" si="15"/>
        <v xml:space="preserve"> </v>
      </c>
      <c r="W176" s="101">
        <f t="shared" si="17"/>
        <v>24</v>
      </c>
      <c r="X176" s="102">
        <f t="shared" si="18"/>
        <v>0</v>
      </c>
      <c r="Y176" s="100" t="str">
        <f t="shared" si="19"/>
        <v xml:space="preserve"> </v>
      </c>
      <c r="Z176" s="100" t="str">
        <f t="shared" si="20"/>
        <v xml:space="preserve"> </v>
      </c>
    </row>
    <row r="177" spans="1:26">
      <c r="A177" s="100"/>
      <c r="B177" s="108" t="str">
        <f>IFERROR(VLOOKUP(Tablo516[[#This Row],[ÜRÜN KODU]],YMKODLARI!$A$1:$K$383,2,0)," ")</f>
        <v xml:space="preserve"> </v>
      </c>
      <c r="C177" s="99"/>
      <c r="D177" s="100"/>
      <c r="E177" s="101"/>
      <c r="F177" s="101"/>
      <c r="G177" s="100" t="str">
        <f>IFERROR(VLOOKUP(Tablo516[[#This Row],[ÜRÜN KODU]],YMKODLARI!$A$1:$K$383,3,0)," ")</f>
        <v xml:space="preserve"> </v>
      </c>
      <c r="H177" s="100" t="str">
        <f>IFERROR(VLOOKUP(Tablo516[[#This Row],[ÜRÜN KODU]],YMKODLARI!$A$1:$K$383,4,0)," ")</f>
        <v xml:space="preserve"> </v>
      </c>
      <c r="I177" s="100"/>
      <c r="J177" s="100" t="str">
        <f>IFERROR(VLOOKUP(Tablo516[[#This Row],[ÜRÜN KODU]],YMKODLARI!$A$1:$K$383,9,0)," ")</f>
        <v xml:space="preserve"> </v>
      </c>
      <c r="K177" s="100" t="str">
        <f>IFERROR(VLOOKUP(Tablo516[[#This Row],[BOYA KODU]],Tablo14[#All],4,0)," ")</f>
        <v xml:space="preserve"> </v>
      </c>
      <c r="L177" s="100" t="str">
        <f>IFERROR(VLOOKUP(Tablo516[[#This Row],[BOYA KODU]],Tablo14[#All],6,0)," ")</f>
        <v xml:space="preserve"> </v>
      </c>
      <c r="M177" s="100" t="str">
        <f t="shared" si="14"/>
        <v xml:space="preserve"> </v>
      </c>
      <c r="N177" s="100" t="str">
        <f>IFERROR(VLOOKUP(Tablo516[[#This Row],[ÜRÜN KODU]],YMKODLARI!$A$1:$K$383,8,0)," ")</f>
        <v xml:space="preserve"> </v>
      </c>
      <c r="O177" s="100" t="str">
        <f>IFERROR(VLOOKUP(Tablo516[[#This Row],[HAMMADDE KODU]],Tablo1[#All],3,0)," ")</f>
        <v xml:space="preserve"> </v>
      </c>
      <c r="P177" s="100" t="str">
        <f>IFERROR(VLOOKUP(Tablo516[[#This Row],[HAMMADDE KODU]],Tablo1[#All],4,0)," ")</f>
        <v xml:space="preserve"> </v>
      </c>
      <c r="Q177" s="100" t="str">
        <f>IFERROR(VLOOKUP(Tablo516[[#This Row],[ÜRÜN KODU]],YMKODLARI!$A$1:$K$383,5,0)," ")</f>
        <v xml:space="preserve"> </v>
      </c>
      <c r="R177" s="100" t="str">
        <f>IFERROR(VLOOKUP(Tablo516[[#This Row],[ÜRÜN KODU]],YMKODLARI!$A$1:$K$383,6,0)," ")</f>
        <v xml:space="preserve"> </v>
      </c>
      <c r="S177" s="100" t="str">
        <f>IFERROR(Tablo516[[#This Row],[YOLLUK HARİÇ BASKI GRAMI]]/Tablo516[[#This Row],[KALIP GÖZ ADEDİ]]," ")</f>
        <v xml:space="preserve"> </v>
      </c>
      <c r="T177" s="100" t="str">
        <f t="shared" si="16"/>
        <v xml:space="preserve"> </v>
      </c>
      <c r="U177" s="100"/>
      <c r="V177" s="100" t="str">
        <f t="shared" si="15"/>
        <v xml:space="preserve"> </v>
      </c>
      <c r="W177" s="101">
        <f t="shared" si="17"/>
        <v>24</v>
      </c>
      <c r="X177" s="102">
        <f t="shared" si="18"/>
        <v>0</v>
      </c>
      <c r="Y177" s="100" t="str">
        <f t="shared" si="19"/>
        <v xml:space="preserve"> </v>
      </c>
      <c r="Z177" s="100" t="str">
        <f t="shared" si="20"/>
        <v xml:space="preserve"> </v>
      </c>
    </row>
    <row r="178" spans="1:26">
      <c r="A178" s="100"/>
      <c r="B178" s="108" t="str">
        <f>IFERROR(VLOOKUP(Tablo516[[#This Row],[ÜRÜN KODU]],YMKODLARI!$A$1:$K$383,2,0)," ")</f>
        <v xml:space="preserve"> </v>
      </c>
      <c r="C178" s="99"/>
      <c r="D178" s="100"/>
      <c r="E178" s="101"/>
      <c r="F178" s="101"/>
      <c r="G178" s="100" t="str">
        <f>IFERROR(VLOOKUP(Tablo516[[#This Row],[ÜRÜN KODU]],YMKODLARI!$A$1:$K$383,3,0)," ")</f>
        <v xml:space="preserve"> </v>
      </c>
      <c r="H178" s="100" t="str">
        <f>IFERROR(VLOOKUP(Tablo516[[#This Row],[ÜRÜN KODU]],YMKODLARI!$A$1:$K$383,4,0)," ")</f>
        <v xml:space="preserve"> </v>
      </c>
      <c r="I178" s="100"/>
      <c r="J178" s="100" t="str">
        <f>IFERROR(VLOOKUP(Tablo516[[#This Row],[ÜRÜN KODU]],YMKODLARI!$A$1:$K$383,9,0)," ")</f>
        <v xml:space="preserve"> </v>
      </c>
      <c r="K178" s="100" t="str">
        <f>IFERROR(VLOOKUP(Tablo516[[#This Row],[BOYA KODU]],Tablo14[#All],4,0)," ")</f>
        <v xml:space="preserve"> </v>
      </c>
      <c r="L178" s="100" t="str">
        <f>IFERROR(VLOOKUP(Tablo516[[#This Row],[BOYA KODU]],Tablo14[#All],6,0)," ")</f>
        <v xml:space="preserve"> </v>
      </c>
      <c r="M178" s="100" t="str">
        <f t="shared" si="14"/>
        <v xml:space="preserve"> </v>
      </c>
      <c r="N178" s="100" t="str">
        <f>IFERROR(VLOOKUP(Tablo516[[#This Row],[ÜRÜN KODU]],YMKODLARI!$A$1:$K$383,8,0)," ")</f>
        <v xml:space="preserve"> </v>
      </c>
      <c r="O178" s="100" t="str">
        <f>IFERROR(VLOOKUP(Tablo516[[#This Row],[HAMMADDE KODU]],Tablo1[#All],3,0)," ")</f>
        <v xml:space="preserve"> </v>
      </c>
      <c r="P178" s="100" t="str">
        <f>IFERROR(VLOOKUP(Tablo516[[#This Row],[HAMMADDE KODU]],Tablo1[#All],4,0)," ")</f>
        <v xml:space="preserve"> </v>
      </c>
      <c r="Q178" s="100" t="str">
        <f>IFERROR(VLOOKUP(Tablo516[[#This Row],[ÜRÜN KODU]],YMKODLARI!$A$1:$K$383,5,0)," ")</f>
        <v xml:space="preserve"> </v>
      </c>
      <c r="R178" s="100" t="str">
        <f>IFERROR(VLOOKUP(Tablo516[[#This Row],[ÜRÜN KODU]],YMKODLARI!$A$1:$K$383,6,0)," ")</f>
        <v xml:space="preserve"> </v>
      </c>
      <c r="S178" s="100" t="str">
        <f>IFERROR(Tablo516[[#This Row],[YOLLUK HARİÇ BASKI GRAMI]]/Tablo516[[#This Row],[KALIP GÖZ ADEDİ]]," ")</f>
        <v xml:space="preserve"> </v>
      </c>
      <c r="T178" s="100" t="str">
        <f t="shared" si="16"/>
        <v xml:space="preserve"> </v>
      </c>
      <c r="U178" s="100"/>
      <c r="V178" s="100" t="str">
        <f t="shared" si="15"/>
        <v xml:space="preserve"> </v>
      </c>
      <c r="W178" s="101">
        <f t="shared" si="17"/>
        <v>24</v>
      </c>
      <c r="X178" s="102">
        <f t="shared" si="18"/>
        <v>0</v>
      </c>
      <c r="Y178" s="100" t="str">
        <f t="shared" si="19"/>
        <v xml:space="preserve"> </v>
      </c>
      <c r="Z178" s="100" t="str">
        <f t="shared" si="20"/>
        <v xml:space="preserve"> </v>
      </c>
    </row>
    <row r="179" spans="1:26">
      <c r="A179" s="100"/>
      <c r="B179" s="108" t="str">
        <f>IFERROR(VLOOKUP(Tablo516[[#This Row],[ÜRÜN KODU]],YMKODLARI!$A$1:$K$383,2,0)," ")</f>
        <v xml:space="preserve"> </v>
      </c>
      <c r="C179" s="99"/>
      <c r="D179" s="100"/>
      <c r="E179" s="101"/>
      <c r="F179" s="101"/>
      <c r="G179" s="100" t="str">
        <f>IFERROR(VLOOKUP(Tablo516[[#This Row],[ÜRÜN KODU]],YMKODLARI!$A$1:$K$383,3,0)," ")</f>
        <v xml:space="preserve"> </v>
      </c>
      <c r="H179" s="100" t="str">
        <f>IFERROR(VLOOKUP(Tablo516[[#This Row],[ÜRÜN KODU]],YMKODLARI!$A$1:$K$383,4,0)," ")</f>
        <v xml:space="preserve"> </v>
      </c>
      <c r="I179" s="100"/>
      <c r="J179" s="100" t="str">
        <f>IFERROR(VLOOKUP(Tablo516[[#This Row],[ÜRÜN KODU]],YMKODLARI!$A$1:$K$383,9,0)," ")</f>
        <v xml:space="preserve"> </v>
      </c>
      <c r="K179" s="100" t="str">
        <f>IFERROR(VLOOKUP(Tablo516[[#This Row],[BOYA KODU]],Tablo14[#All],4,0)," ")</f>
        <v xml:space="preserve"> </v>
      </c>
      <c r="L179" s="100" t="str">
        <f>IFERROR(VLOOKUP(Tablo516[[#This Row],[BOYA KODU]],Tablo14[#All],6,0)," ")</f>
        <v xml:space="preserve"> </v>
      </c>
      <c r="M179" s="100" t="str">
        <f t="shared" si="14"/>
        <v xml:space="preserve"> </v>
      </c>
      <c r="N179" s="100" t="str">
        <f>IFERROR(VLOOKUP(Tablo516[[#This Row],[ÜRÜN KODU]],YMKODLARI!$A$1:$K$383,8,0)," ")</f>
        <v xml:space="preserve"> </v>
      </c>
      <c r="O179" s="100" t="str">
        <f>IFERROR(VLOOKUP(Tablo516[[#This Row],[HAMMADDE KODU]],Tablo1[#All],3,0)," ")</f>
        <v xml:space="preserve"> </v>
      </c>
      <c r="P179" s="100" t="str">
        <f>IFERROR(VLOOKUP(Tablo516[[#This Row],[HAMMADDE KODU]],Tablo1[#All],4,0)," ")</f>
        <v xml:space="preserve"> </v>
      </c>
      <c r="Q179" s="100" t="str">
        <f>IFERROR(VLOOKUP(Tablo516[[#This Row],[ÜRÜN KODU]],YMKODLARI!$A$1:$K$383,5,0)," ")</f>
        <v xml:space="preserve"> </v>
      </c>
      <c r="R179" s="100" t="str">
        <f>IFERROR(VLOOKUP(Tablo516[[#This Row],[ÜRÜN KODU]],YMKODLARI!$A$1:$K$383,6,0)," ")</f>
        <v xml:space="preserve"> </v>
      </c>
      <c r="S179" s="100" t="str">
        <f>IFERROR(Tablo516[[#This Row],[YOLLUK HARİÇ BASKI GRAMI]]/Tablo516[[#This Row],[KALIP GÖZ ADEDİ]]," ")</f>
        <v xml:space="preserve"> </v>
      </c>
      <c r="T179" s="100" t="str">
        <f t="shared" si="16"/>
        <v xml:space="preserve"> </v>
      </c>
      <c r="U179" s="100"/>
      <c r="V179" s="100" t="str">
        <f t="shared" si="15"/>
        <v xml:space="preserve"> </v>
      </c>
      <c r="W179" s="101">
        <f t="shared" si="17"/>
        <v>24</v>
      </c>
      <c r="X179" s="102">
        <f t="shared" si="18"/>
        <v>0</v>
      </c>
      <c r="Y179" s="100" t="str">
        <f t="shared" si="19"/>
        <v xml:space="preserve"> </v>
      </c>
      <c r="Z179" s="100" t="str">
        <f t="shared" si="20"/>
        <v xml:space="preserve"> </v>
      </c>
    </row>
    <row r="180" spans="1:26">
      <c r="A180" s="100"/>
      <c r="B180" s="108" t="str">
        <f>IFERROR(VLOOKUP(Tablo516[[#This Row],[ÜRÜN KODU]],YMKODLARI!$A$1:$K$383,2,0)," ")</f>
        <v xml:space="preserve"> </v>
      </c>
      <c r="C180" s="99"/>
      <c r="D180" s="100"/>
      <c r="E180" s="101"/>
      <c r="F180" s="101"/>
      <c r="G180" s="100" t="str">
        <f>IFERROR(VLOOKUP(Tablo516[[#This Row],[ÜRÜN KODU]],YMKODLARI!$A$1:$K$383,3,0)," ")</f>
        <v xml:space="preserve"> </v>
      </c>
      <c r="H180" s="100" t="str">
        <f>IFERROR(VLOOKUP(Tablo516[[#This Row],[ÜRÜN KODU]],YMKODLARI!$A$1:$K$383,4,0)," ")</f>
        <v xml:space="preserve"> </v>
      </c>
      <c r="I180" s="100"/>
      <c r="J180" s="100" t="str">
        <f>IFERROR(VLOOKUP(Tablo516[[#This Row],[ÜRÜN KODU]],YMKODLARI!$A$1:$K$383,9,0)," ")</f>
        <v xml:space="preserve"> </v>
      </c>
      <c r="K180" s="100" t="str">
        <f>IFERROR(VLOOKUP(Tablo516[[#This Row],[BOYA KODU]],Tablo14[#All],4,0)," ")</f>
        <v xml:space="preserve"> </v>
      </c>
      <c r="L180" s="100" t="str">
        <f>IFERROR(VLOOKUP(Tablo516[[#This Row],[BOYA KODU]],Tablo14[#All],6,0)," ")</f>
        <v xml:space="preserve"> </v>
      </c>
      <c r="M180" s="100" t="str">
        <f t="shared" si="14"/>
        <v xml:space="preserve"> </v>
      </c>
      <c r="N180" s="100" t="str">
        <f>IFERROR(VLOOKUP(Tablo516[[#This Row],[ÜRÜN KODU]],YMKODLARI!$A$1:$K$383,8,0)," ")</f>
        <v xml:space="preserve"> </v>
      </c>
      <c r="O180" s="100" t="str">
        <f>IFERROR(VLOOKUP(Tablo516[[#This Row],[HAMMADDE KODU]],Tablo1[#All],3,0)," ")</f>
        <v xml:space="preserve"> </v>
      </c>
      <c r="P180" s="100" t="str">
        <f>IFERROR(VLOOKUP(Tablo516[[#This Row],[HAMMADDE KODU]],Tablo1[#All],4,0)," ")</f>
        <v xml:space="preserve"> </v>
      </c>
      <c r="Q180" s="100" t="str">
        <f>IFERROR(VLOOKUP(Tablo516[[#This Row],[ÜRÜN KODU]],YMKODLARI!$A$1:$K$383,5,0)," ")</f>
        <v xml:space="preserve"> </v>
      </c>
      <c r="R180" s="100" t="str">
        <f>IFERROR(VLOOKUP(Tablo516[[#This Row],[ÜRÜN KODU]],YMKODLARI!$A$1:$K$383,6,0)," ")</f>
        <v xml:space="preserve"> </v>
      </c>
      <c r="S180" s="100" t="str">
        <f>IFERROR(Tablo516[[#This Row],[YOLLUK HARİÇ BASKI GRAMI]]/Tablo516[[#This Row],[KALIP GÖZ ADEDİ]]," ")</f>
        <v xml:space="preserve"> </v>
      </c>
      <c r="T180" s="100" t="str">
        <f t="shared" si="16"/>
        <v xml:space="preserve"> </v>
      </c>
      <c r="U180" s="100"/>
      <c r="V180" s="100" t="str">
        <f t="shared" si="15"/>
        <v xml:space="preserve"> </v>
      </c>
      <c r="W180" s="101">
        <f t="shared" si="17"/>
        <v>24</v>
      </c>
      <c r="X180" s="102">
        <f t="shared" si="18"/>
        <v>0</v>
      </c>
      <c r="Y180" s="100" t="str">
        <f t="shared" si="19"/>
        <v xml:space="preserve"> </v>
      </c>
      <c r="Z180" s="100" t="str">
        <f t="shared" si="20"/>
        <v xml:space="preserve"> </v>
      </c>
    </row>
    <row r="181" spans="1:26">
      <c r="A181" s="100"/>
      <c r="B181" s="108" t="str">
        <f>IFERROR(VLOOKUP(Tablo516[[#This Row],[ÜRÜN KODU]],YMKODLARI!$A$1:$K$383,2,0)," ")</f>
        <v xml:space="preserve"> </v>
      </c>
      <c r="C181" s="99"/>
      <c r="D181" s="100"/>
      <c r="E181" s="101"/>
      <c r="F181" s="101"/>
      <c r="G181" s="100" t="str">
        <f>IFERROR(VLOOKUP(Tablo516[[#This Row],[ÜRÜN KODU]],YMKODLARI!$A$1:$K$383,3,0)," ")</f>
        <v xml:space="preserve"> </v>
      </c>
      <c r="H181" s="100" t="str">
        <f>IFERROR(VLOOKUP(Tablo516[[#This Row],[ÜRÜN KODU]],YMKODLARI!$A$1:$K$383,4,0)," ")</f>
        <v xml:space="preserve"> </v>
      </c>
      <c r="I181" s="100"/>
      <c r="J181" s="100" t="str">
        <f>IFERROR(VLOOKUP(Tablo516[[#This Row],[ÜRÜN KODU]],YMKODLARI!$A$1:$K$383,9,0)," ")</f>
        <v xml:space="preserve"> </v>
      </c>
      <c r="K181" s="100" t="str">
        <f>IFERROR(VLOOKUP(Tablo516[[#This Row],[BOYA KODU]],Tablo14[#All],4,0)," ")</f>
        <v xml:space="preserve"> </v>
      </c>
      <c r="L181" s="100" t="str">
        <f>IFERROR(VLOOKUP(Tablo516[[#This Row],[BOYA KODU]],Tablo14[#All],6,0)," ")</f>
        <v xml:space="preserve"> </v>
      </c>
      <c r="M181" s="100" t="str">
        <f t="shared" si="14"/>
        <v xml:space="preserve"> </v>
      </c>
      <c r="N181" s="100" t="str">
        <f>IFERROR(VLOOKUP(Tablo516[[#This Row],[ÜRÜN KODU]],YMKODLARI!$A$1:$K$383,8,0)," ")</f>
        <v xml:space="preserve"> </v>
      </c>
      <c r="O181" s="100" t="str">
        <f>IFERROR(VLOOKUP(Tablo516[[#This Row],[HAMMADDE KODU]],Tablo1[#All],3,0)," ")</f>
        <v xml:space="preserve"> </v>
      </c>
      <c r="P181" s="100" t="str">
        <f>IFERROR(VLOOKUP(Tablo516[[#This Row],[HAMMADDE KODU]],Tablo1[#All],4,0)," ")</f>
        <v xml:space="preserve"> </v>
      </c>
      <c r="Q181" s="100" t="str">
        <f>IFERROR(VLOOKUP(Tablo516[[#This Row],[ÜRÜN KODU]],YMKODLARI!$A$1:$K$383,5,0)," ")</f>
        <v xml:space="preserve"> </v>
      </c>
      <c r="R181" s="100" t="str">
        <f>IFERROR(VLOOKUP(Tablo516[[#This Row],[ÜRÜN KODU]],YMKODLARI!$A$1:$K$383,6,0)," ")</f>
        <v xml:space="preserve"> </v>
      </c>
      <c r="S181" s="100" t="str">
        <f>IFERROR(Tablo516[[#This Row],[YOLLUK HARİÇ BASKI GRAMI]]/Tablo516[[#This Row],[KALIP GÖZ ADEDİ]]," ")</f>
        <v xml:space="preserve"> </v>
      </c>
      <c r="T181" s="100" t="str">
        <f t="shared" si="16"/>
        <v xml:space="preserve"> </v>
      </c>
      <c r="U181" s="100"/>
      <c r="V181" s="100" t="str">
        <f t="shared" si="15"/>
        <v xml:space="preserve"> </v>
      </c>
      <c r="W181" s="101">
        <f t="shared" si="17"/>
        <v>24</v>
      </c>
      <c r="X181" s="102">
        <f t="shared" si="18"/>
        <v>0</v>
      </c>
      <c r="Y181" s="100" t="str">
        <f t="shared" si="19"/>
        <v xml:space="preserve"> </v>
      </c>
      <c r="Z181" s="100" t="str">
        <f t="shared" si="20"/>
        <v xml:space="preserve"> </v>
      </c>
    </row>
    <row r="182" spans="1:26">
      <c r="A182" s="100"/>
      <c r="B182" s="108" t="str">
        <f>IFERROR(VLOOKUP(Tablo516[[#This Row],[ÜRÜN KODU]],YMKODLARI!$A$1:$K$383,2,0)," ")</f>
        <v xml:space="preserve"> </v>
      </c>
      <c r="C182" s="99"/>
      <c r="D182" s="100"/>
      <c r="E182" s="101"/>
      <c r="F182" s="101"/>
      <c r="G182" s="100" t="str">
        <f>IFERROR(VLOOKUP(Tablo516[[#This Row],[ÜRÜN KODU]],YMKODLARI!$A$1:$K$383,3,0)," ")</f>
        <v xml:space="preserve"> </v>
      </c>
      <c r="H182" s="100" t="str">
        <f>IFERROR(VLOOKUP(Tablo516[[#This Row],[ÜRÜN KODU]],YMKODLARI!$A$1:$K$383,4,0)," ")</f>
        <v xml:space="preserve"> </v>
      </c>
      <c r="I182" s="100"/>
      <c r="J182" s="100" t="str">
        <f>IFERROR(VLOOKUP(Tablo516[[#This Row],[ÜRÜN KODU]],YMKODLARI!$A$1:$K$383,9,0)," ")</f>
        <v xml:space="preserve"> </v>
      </c>
      <c r="K182" s="100" t="str">
        <f>IFERROR(VLOOKUP(Tablo516[[#This Row],[BOYA KODU]],Tablo14[#All],4,0)," ")</f>
        <v xml:space="preserve"> </v>
      </c>
      <c r="L182" s="100" t="str">
        <f>IFERROR(VLOOKUP(Tablo516[[#This Row],[BOYA KODU]],Tablo14[#All],6,0)," ")</f>
        <v xml:space="preserve"> </v>
      </c>
      <c r="M182" s="100" t="str">
        <f t="shared" si="14"/>
        <v xml:space="preserve"> </v>
      </c>
      <c r="N182" s="100" t="str">
        <f>IFERROR(VLOOKUP(Tablo516[[#This Row],[ÜRÜN KODU]],YMKODLARI!$A$1:$K$383,8,0)," ")</f>
        <v xml:space="preserve"> </v>
      </c>
      <c r="O182" s="100" t="str">
        <f>IFERROR(VLOOKUP(Tablo516[[#This Row],[HAMMADDE KODU]],Tablo1[#All],3,0)," ")</f>
        <v xml:space="preserve"> </v>
      </c>
      <c r="P182" s="100" t="str">
        <f>IFERROR(VLOOKUP(Tablo516[[#This Row],[HAMMADDE KODU]],Tablo1[#All],4,0)," ")</f>
        <v xml:space="preserve"> </v>
      </c>
      <c r="Q182" s="100" t="str">
        <f>IFERROR(VLOOKUP(Tablo516[[#This Row],[ÜRÜN KODU]],YMKODLARI!$A$1:$K$383,5,0)," ")</f>
        <v xml:space="preserve"> </v>
      </c>
      <c r="R182" s="100" t="str">
        <f>IFERROR(VLOOKUP(Tablo516[[#This Row],[ÜRÜN KODU]],YMKODLARI!$A$1:$K$383,6,0)," ")</f>
        <v xml:space="preserve"> </v>
      </c>
      <c r="S182" s="100" t="str">
        <f>IFERROR(Tablo516[[#This Row],[YOLLUK HARİÇ BASKI GRAMI]]/Tablo516[[#This Row],[KALIP GÖZ ADEDİ]]," ")</f>
        <v xml:space="preserve"> </v>
      </c>
      <c r="T182" s="100" t="str">
        <f t="shared" si="16"/>
        <v xml:space="preserve"> </v>
      </c>
      <c r="U182" s="100"/>
      <c r="V182" s="100" t="str">
        <f t="shared" si="15"/>
        <v xml:space="preserve"> </v>
      </c>
      <c r="W182" s="101">
        <f t="shared" si="17"/>
        <v>24</v>
      </c>
      <c r="X182" s="102">
        <f t="shared" si="18"/>
        <v>0</v>
      </c>
      <c r="Y182" s="100" t="str">
        <f t="shared" si="19"/>
        <v xml:space="preserve"> </v>
      </c>
      <c r="Z182" s="100" t="str">
        <f t="shared" si="20"/>
        <v xml:space="preserve"> </v>
      </c>
    </row>
    <row r="183" spans="1:26">
      <c r="A183" s="100"/>
      <c r="B183" s="108" t="str">
        <f>IFERROR(VLOOKUP(Tablo516[[#This Row],[ÜRÜN KODU]],YMKODLARI!$A$1:$K$383,2,0)," ")</f>
        <v xml:space="preserve"> </v>
      </c>
      <c r="C183" s="99"/>
      <c r="D183" s="100"/>
      <c r="E183" s="101"/>
      <c r="F183" s="101"/>
      <c r="G183" s="100" t="str">
        <f>IFERROR(VLOOKUP(Tablo516[[#This Row],[ÜRÜN KODU]],YMKODLARI!$A$1:$K$383,3,0)," ")</f>
        <v xml:space="preserve"> </v>
      </c>
      <c r="H183" s="100" t="str">
        <f>IFERROR(VLOOKUP(Tablo516[[#This Row],[ÜRÜN KODU]],YMKODLARI!$A$1:$K$383,4,0)," ")</f>
        <v xml:space="preserve"> </v>
      </c>
      <c r="I183" s="100"/>
      <c r="J183" s="100" t="str">
        <f>IFERROR(VLOOKUP(Tablo516[[#This Row],[ÜRÜN KODU]],YMKODLARI!$A$1:$K$383,9,0)," ")</f>
        <v xml:space="preserve"> </v>
      </c>
      <c r="K183" s="100" t="str">
        <f>IFERROR(VLOOKUP(Tablo516[[#This Row],[BOYA KODU]],Tablo14[#All],4,0)," ")</f>
        <v xml:space="preserve"> </v>
      </c>
      <c r="L183" s="100" t="str">
        <f>IFERROR(VLOOKUP(Tablo516[[#This Row],[BOYA KODU]],Tablo14[#All],6,0)," ")</f>
        <v xml:space="preserve"> </v>
      </c>
      <c r="M183" s="100" t="str">
        <f t="shared" si="14"/>
        <v xml:space="preserve"> </v>
      </c>
      <c r="N183" s="100" t="str">
        <f>IFERROR(VLOOKUP(Tablo516[[#This Row],[ÜRÜN KODU]],YMKODLARI!$A$1:$K$383,8,0)," ")</f>
        <v xml:space="preserve"> </v>
      </c>
      <c r="O183" s="100" t="str">
        <f>IFERROR(VLOOKUP(Tablo516[[#This Row],[HAMMADDE KODU]],Tablo1[#All],3,0)," ")</f>
        <v xml:space="preserve"> </v>
      </c>
      <c r="P183" s="100" t="str">
        <f>IFERROR(VLOOKUP(Tablo516[[#This Row],[HAMMADDE KODU]],Tablo1[#All],4,0)," ")</f>
        <v xml:space="preserve"> </v>
      </c>
      <c r="Q183" s="100" t="str">
        <f>IFERROR(VLOOKUP(Tablo516[[#This Row],[ÜRÜN KODU]],YMKODLARI!$A$1:$K$383,5,0)," ")</f>
        <v xml:space="preserve"> </v>
      </c>
      <c r="R183" s="100" t="str">
        <f>IFERROR(VLOOKUP(Tablo516[[#This Row],[ÜRÜN KODU]],YMKODLARI!$A$1:$K$383,6,0)," ")</f>
        <v xml:space="preserve"> </v>
      </c>
      <c r="S183" s="100" t="str">
        <f>IFERROR(Tablo516[[#This Row],[YOLLUK HARİÇ BASKI GRAMI]]/Tablo516[[#This Row],[KALIP GÖZ ADEDİ]]," ")</f>
        <v xml:space="preserve"> </v>
      </c>
      <c r="T183" s="100" t="str">
        <f t="shared" si="16"/>
        <v xml:space="preserve"> </v>
      </c>
      <c r="U183" s="100"/>
      <c r="V183" s="100" t="str">
        <f t="shared" si="15"/>
        <v xml:space="preserve"> </v>
      </c>
      <c r="W183" s="101">
        <f t="shared" si="17"/>
        <v>24</v>
      </c>
      <c r="X183" s="102">
        <f t="shared" si="18"/>
        <v>0</v>
      </c>
      <c r="Y183" s="100" t="str">
        <f t="shared" si="19"/>
        <v xml:space="preserve"> </v>
      </c>
      <c r="Z183" s="100" t="str">
        <f t="shared" si="20"/>
        <v xml:space="preserve"> </v>
      </c>
    </row>
    <row r="184" spans="1:26">
      <c r="A184" s="100"/>
      <c r="B184" s="108" t="str">
        <f>IFERROR(VLOOKUP(Tablo516[[#This Row],[ÜRÜN KODU]],YMKODLARI!$A$1:$K$383,2,0)," ")</f>
        <v xml:space="preserve"> </v>
      </c>
      <c r="C184" s="99"/>
      <c r="D184" s="100"/>
      <c r="E184" s="101"/>
      <c r="F184" s="101"/>
      <c r="G184" s="100" t="str">
        <f>IFERROR(VLOOKUP(Tablo516[[#This Row],[ÜRÜN KODU]],YMKODLARI!$A$1:$K$383,3,0)," ")</f>
        <v xml:space="preserve"> </v>
      </c>
      <c r="H184" s="100" t="str">
        <f>IFERROR(VLOOKUP(Tablo516[[#This Row],[ÜRÜN KODU]],YMKODLARI!$A$1:$K$383,4,0)," ")</f>
        <v xml:space="preserve"> </v>
      </c>
      <c r="I184" s="100"/>
      <c r="J184" s="100" t="str">
        <f>IFERROR(VLOOKUP(Tablo516[[#This Row],[ÜRÜN KODU]],YMKODLARI!$A$1:$K$383,9,0)," ")</f>
        <v xml:space="preserve"> </v>
      </c>
      <c r="K184" s="100" t="str">
        <f>IFERROR(VLOOKUP(Tablo516[[#This Row],[BOYA KODU]],Tablo14[#All],4,0)," ")</f>
        <v xml:space="preserve"> </v>
      </c>
      <c r="L184" s="100" t="str">
        <f>IFERROR(VLOOKUP(Tablo516[[#This Row],[BOYA KODU]],Tablo14[#All],6,0)," ")</f>
        <v xml:space="preserve"> </v>
      </c>
      <c r="M184" s="100" t="str">
        <f t="shared" si="14"/>
        <v xml:space="preserve"> </v>
      </c>
      <c r="N184" s="100" t="str">
        <f>IFERROR(VLOOKUP(Tablo516[[#This Row],[ÜRÜN KODU]],YMKODLARI!$A$1:$K$383,8,0)," ")</f>
        <v xml:space="preserve"> </v>
      </c>
      <c r="O184" s="100" t="str">
        <f>IFERROR(VLOOKUP(Tablo516[[#This Row],[HAMMADDE KODU]],Tablo1[#All],3,0)," ")</f>
        <v xml:space="preserve"> </v>
      </c>
      <c r="P184" s="100" t="str">
        <f>IFERROR(VLOOKUP(Tablo516[[#This Row],[HAMMADDE KODU]],Tablo1[#All],4,0)," ")</f>
        <v xml:space="preserve"> </v>
      </c>
      <c r="Q184" s="100" t="str">
        <f>IFERROR(VLOOKUP(Tablo516[[#This Row],[ÜRÜN KODU]],YMKODLARI!$A$1:$K$383,5,0)," ")</f>
        <v xml:space="preserve"> </v>
      </c>
      <c r="R184" s="100" t="str">
        <f>IFERROR(VLOOKUP(Tablo516[[#This Row],[ÜRÜN KODU]],YMKODLARI!$A$1:$K$383,6,0)," ")</f>
        <v xml:space="preserve"> </v>
      </c>
      <c r="S184" s="100" t="str">
        <f>IFERROR(Tablo516[[#This Row],[YOLLUK HARİÇ BASKI GRAMI]]/Tablo516[[#This Row],[KALIP GÖZ ADEDİ]]," ")</f>
        <v xml:space="preserve"> </v>
      </c>
      <c r="T184" s="100" t="str">
        <f t="shared" si="16"/>
        <v xml:space="preserve"> </v>
      </c>
      <c r="U184" s="100"/>
      <c r="V184" s="100" t="str">
        <f t="shared" si="15"/>
        <v xml:space="preserve"> </v>
      </c>
      <c r="W184" s="101">
        <f t="shared" si="17"/>
        <v>24</v>
      </c>
      <c r="X184" s="102">
        <f t="shared" si="18"/>
        <v>0</v>
      </c>
      <c r="Y184" s="100" t="str">
        <f t="shared" si="19"/>
        <v xml:space="preserve"> </v>
      </c>
      <c r="Z184" s="100" t="str">
        <f t="shared" si="20"/>
        <v xml:space="preserve"> </v>
      </c>
    </row>
    <row r="185" spans="1:26">
      <c r="A185" s="100"/>
      <c r="B185" s="108" t="str">
        <f>IFERROR(VLOOKUP(Tablo516[[#This Row],[ÜRÜN KODU]],YMKODLARI!$A$1:$K$383,2,0)," ")</f>
        <v xml:space="preserve"> </v>
      </c>
      <c r="C185" s="99"/>
      <c r="D185" s="100"/>
      <c r="E185" s="101"/>
      <c r="F185" s="101"/>
      <c r="G185" s="100" t="str">
        <f>IFERROR(VLOOKUP(Tablo516[[#This Row],[ÜRÜN KODU]],YMKODLARI!$A$1:$K$383,3,0)," ")</f>
        <v xml:space="preserve"> </v>
      </c>
      <c r="H185" s="100" t="str">
        <f>IFERROR(VLOOKUP(Tablo516[[#This Row],[ÜRÜN KODU]],YMKODLARI!$A$1:$K$383,4,0)," ")</f>
        <v xml:space="preserve"> </v>
      </c>
      <c r="I185" s="100"/>
      <c r="J185" s="100" t="str">
        <f>IFERROR(VLOOKUP(Tablo516[[#This Row],[ÜRÜN KODU]],YMKODLARI!$A$1:$K$383,9,0)," ")</f>
        <v xml:space="preserve"> </v>
      </c>
      <c r="K185" s="100" t="str">
        <f>IFERROR(VLOOKUP(Tablo516[[#This Row],[BOYA KODU]],Tablo14[#All],4,0)," ")</f>
        <v xml:space="preserve"> </v>
      </c>
      <c r="L185" s="100" t="str">
        <f>IFERROR(VLOOKUP(Tablo516[[#This Row],[BOYA KODU]],Tablo14[#All],6,0)," ")</f>
        <v xml:space="preserve"> </v>
      </c>
      <c r="M185" s="100" t="str">
        <f t="shared" si="14"/>
        <v xml:space="preserve"> </v>
      </c>
      <c r="N185" s="100" t="str">
        <f>IFERROR(VLOOKUP(Tablo516[[#This Row],[ÜRÜN KODU]],YMKODLARI!$A$1:$K$383,8,0)," ")</f>
        <v xml:space="preserve"> </v>
      </c>
      <c r="O185" s="100" t="str">
        <f>IFERROR(VLOOKUP(Tablo516[[#This Row],[HAMMADDE KODU]],Tablo1[#All],3,0)," ")</f>
        <v xml:space="preserve"> </v>
      </c>
      <c r="P185" s="100" t="str">
        <f>IFERROR(VLOOKUP(Tablo516[[#This Row],[HAMMADDE KODU]],Tablo1[#All],4,0)," ")</f>
        <v xml:space="preserve"> </v>
      </c>
      <c r="Q185" s="100" t="str">
        <f>IFERROR(VLOOKUP(Tablo516[[#This Row],[ÜRÜN KODU]],YMKODLARI!$A$1:$K$383,5,0)," ")</f>
        <v xml:space="preserve"> </v>
      </c>
      <c r="R185" s="100" t="str">
        <f>IFERROR(VLOOKUP(Tablo516[[#This Row],[ÜRÜN KODU]],YMKODLARI!$A$1:$K$383,6,0)," ")</f>
        <v xml:space="preserve"> </v>
      </c>
      <c r="S185" s="100" t="str">
        <f>IFERROR(Tablo516[[#This Row],[YOLLUK HARİÇ BASKI GRAMI]]/Tablo516[[#This Row],[KALIP GÖZ ADEDİ]]," ")</f>
        <v xml:space="preserve"> </v>
      </c>
      <c r="T185" s="100" t="str">
        <f t="shared" si="16"/>
        <v xml:space="preserve"> </v>
      </c>
      <c r="U185" s="100"/>
      <c r="V185" s="100" t="str">
        <f t="shared" si="15"/>
        <v xml:space="preserve"> </v>
      </c>
      <c r="W185" s="101">
        <f t="shared" si="17"/>
        <v>24</v>
      </c>
      <c r="X185" s="102">
        <f t="shared" si="18"/>
        <v>0</v>
      </c>
      <c r="Y185" s="100" t="str">
        <f t="shared" si="19"/>
        <v xml:space="preserve"> </v>
      </c>
      <c r="Z185" s="100" t="str">
        <f t="shared" si="20"/>
        <v xml:space="preserve"> </v>
      </c>
    </row>
    <row r="186" spans="1:26">
      <c r="A186" s="100"/>
      <c r="B186" s="108" t="str">
        <f>IFERROR(VLOOKUP(Tablo516[[#This Row],[ÜRÜN KODU]],YMKODLARI!$A$1:$K$383,2,0)," ")</f>
        <v xml:space="preserve"> </v>
      </c>
      <c r="C186" s="99"/>
      <c r="D186" s="100"/>
      <c r="E186" s="101"/>
      <c r="F186" s="101"/>
      <c r="G186" s="100" t="str">
        <f>IFERROR(VLOOKUP(Tablo516[[#This Row],[ÜRÜN KODU]],YMKODLARI!$A$1:$K$383,3,0)," ")</f>
        <v xml:space="preserve"> </v>
      </c>
      <c r="H186" s="100" t="str">
        <f>IFERROR(VLOOKUP(Tablo516[[#This Row],[ÜRÜN KODU]],YMKODLARI!$A$1:$K$383,4,0)," ")</f>
        <v xml:space="preserve"> </v>
      </c>
      <c r="I186" s="100"/>
      <c r="J186" s="100" t="str">
        <f>IFERROR(VLOOKUP(Tablo516[[#This Row],[ÜRÜN KODU]],YMKODLARI!$A$1:$K$383,9,0)," ")</f>
        <v xml:space="preserve"> </v>
      </c>
      <c r="K186" s="100" t="str">
        <f>IFERROR(VLOOKUP(Tablo516[[#This Row],[BOYA KODU]],Tablo14[#All],4,0)," ")</f>
        <v xml:space="preserve"> </v>
      </c>
      <c r="L186" s="100" t="str">
        <f>IFERROR(VLOOKUP(Tablo516[[#This Row],[BOYA KODU]],Tablo14[#All],6,0)," ")</f>
        <v xml:space="preserve"> </v>
      </c>
      <c r="M186" s="100" t="str">
        <f t="shared" si="14"/>
        <v xml:space="preserve"> </v>
      </c>
      <c r="N186" s="100" t="str">
        <f>IFERROR(VLOOKUP(Tablo516[[#This Row],[ÜRÜN KODU]],YMKODLARI!$A$1:$K$383,8,0)," ")</f>
        <v xml:space="preserve"> </v>
      </c>
      <c r="O186" s="100" t="str">
        <f>IFERROR(VLOOKUP(Tablo516[[#This Row],[HAMMADDE KODU]],Tablo1[#All],3,0)," ")</f>
        <v xml:space="preserve"> </v>
      </c>
      <c r="P186" s="100" t="str">
        <f>IFERROR(VLOOKUP(Tablo516[[#This Row],[HAMMADDE KODU]],Tablo1[#All],4,0)," ")</f>
        <v xml:space="preserve"> </v>
      </c>
      <c r="Q186" s="100" t="str">
        <f>IFERROR(VLOOKUP(Tablo516[[#This Row],[ÜRÜN KODU]],YMKODLARI!$A$1:$K$383,5,0)," ")</f>
        <v xml:space="preserve"> </v>
      </c>
      <c r="R186" s="100" t="str">
        <f>IFERROR(VLOOKUP(Tablo516[[#This Row],[ÜRÜN KODU]],YMKODLARI!$A$1:$K$383,6,0)," ")</f>
        <v xml:space="preserve"> </v>
      </c>
      <c r="S186" s="100" t="str">
        <f>IFERROR(Tablo516[[#This Row],[YOLLUK HARİÇ BASKI GRAMI]]/Tablo516[[#This Row],[KALIP GÖZ ADEDİ]]," ")</f>
        <v xml:space="preserve"> </v>
      </c>
      <c r="T186" s="100" t="str">
        <f t="shared" si="16"/>
        <v xml:space="preserve"> </v>
      </c>
      <c r="U186" s="100"/>
      <c r="V186" s="100" t="str">
        <f t="shared" si="15"/>
        <v xml:space="preserve"> </v>
      </c>
      <c r="W186" s="101">
        <f t="shared" si="17"/>
        <v>24</v>
      </c>
      <c r="X186" s="102">
        <f t="shared" si="18"/>
        <v>0</v>
      </c>
      <c r="Y186" s="100" t="str">
        <f t="shared" si="19"/>
        <v xml:space="preserve"> </v>
      </c>
      <c r="Z186" s="100" t="str">
        <f t="shared" si="20"/>
        <v xml:space="preserve"> </v>
      </c>
    </row>
    <row r="187" spans="1:26">
      <c r="A187" s="100"/>
      <c r="B187" s="108" t="str">
        <f>IFERROR(VLOOKUP(Tablo516[[#This Row],[ÜRÜN KODU]],YMKODLARI!$A$1:$K$383,2,0)," ")</f>
        <v xml:space="preserve"> </v>
      </c>
      <c r="C187" s="99"/>
      <c r="D187" s="100"/>
      <c r="E187" s="101"/>
      <c r="F187" s="101"/>
      <c r="G187" s="100" t="str">
        <f>IFERROR(VLOOKUP(Tablo516[[#This Row],[ÜRÜN KODU]],YMKODLARI!$A$1:$K$383,3,0)," ")</f>
        <v xml:space="preserve"> </v>
      </c>
      <c r="H187" s="100" t="str">
        <f>IFERROR(VLOOKUP(Tablo516[[#This Row],[ÜRÜN KODU]],YMKODLARI!$A$1:$K$383,4,0)," ")</f>
        <v xml:space="preserve"> </v>
      </c>
      <c r="I187" s="100"/>
      <c r="J187" s="100" t="str">
        <f>IFERROR(VLOOKUP(Tablo516[[#This Row],[ÜRÜN KODU]],YMKODLARI!$A$1:$K$383,9,0)," ")</f>
        <v xml:space="preserve"> </v>
      </c>
      <c r="K187" s="100" t="str">
        <f>IFERROR(VLOOKUP(Tablo516[[#This Row],[BOYA KODU]],Tablo14[#All],4,0)," ")</f>
        <v xml:space="preserve"> </v>
      </c>
      <c r="L187" s="100" t="str">
        <f>IFERROR(VLOOKUP(Tablo516[[#This Row],[BOYA KODU]],Tablo14[#All],6,0)," ")</f>
        <v xml:space="preserve"> </v>
      </c>
      <c r="M187" s="100" t="str">
        <f t="shared" si="14"/>
        <v xml:space="preserve"> </v>
      </c>
      <c r="N187" s="100" t="str">
        <f>IFERROR(VLOOKUP(Tablo516[[#This Row],[ÜRÜN KODU]],YMKODLARI!$A$1:$K$383,8,0)," ")</f>
        <v xml:space="preserve"> </v>
      </c>
      <c r="O187" s="100" t="str">
        <f>IFERROR(VLOOKUP(Tablo516[[#This Row],[HAMMADDE KODU]],Tablo1[#All],3,0)," ")</f>
        <v xml:space="preserve"> </v>
      </c>
      <c r="P187" s="100" t="str">
        <f>IFERROR(VLOOKUP(Tablo516[[#This Row],[HAMMADDE KODU]],Tablo1[#All],4,0)," ")</f>
        <v xml:space="preserve"> </v>
      </c>
      <c r="Q187" s="100" t="str">
        <f>IFERROR(VLOOKUP(Tablo516[[#This Row],[ÜRÜN KODU]],YMKODLARI!$A$1:$K$383,5,0)," ")</f>
        <v xml:space="preserve"> </v>
      </c>
      <c r="R187" s="100" t="str">
        <f>IFERROR(VLOOKUP(Tablo516[[#This Row],[ÜRÜN KODU]],YMKODLARI!$A$1:$K$383,6,0)," ")</f>
        <v xml:space="preserve"> </v>
      </c>
      <c r="S187" s="100" t="str">
        <f>IFERROR(Tablo516[[#This Row],[YOLLUK HARİÇ BASKI GRAMI]]/Tablo516[[#This Row],[KALIP GÖZ ADEDİ]]," ")</f>
        <v xml:space="preserve"> </v>
      </c>
      <c r="T187" s="100" t="str">
        <f t="shared" si="16"/>
        <v xml:space="preserve"> </v>
      </c>
      <c r="U187" s="100"/>
      <c r="V187" s="100" t="str">
        <f t="shared" si="15"/>
        <v xml:space="preserve"> </v>
      </c>
      <c r="W187" s="101">
        <f t="shared" si="17"/>
        <v>24</v>
      </c>
      <c r="X187" s="102">
        <f t="shared" si="18"/>
        <v>0</v>
      </c>
      <c r="Y187" s="100" t="str">
        <f t="shared" si="19"/>
        <v xml:space="preserve"> </v>
      </c>
      <c r="Z187" s="100" t="str">
        <f t="shared" si="20"/>
        <v xml:space="preserve"> </v>
      </c>
    </row>
    <row r="188" spans="1:26">
      <c r="A188" s="100"/>
      <c r="B188" s="108" t="str">
        <f>IFERROR(VLOOKUP(Tablo516[[#This Row],[ÜRÜN KODU]],YMKODLARI!$A$1:$K$383,2,0)," ")</f>
        <v xml:space="preserve"> </v>
      </c>
      <c r="C188" s="99"/>
      <c r="D188" s="100"/>
      <c r="E188" s="101"/>
      <c r="F188" s="101"/>
      <c r="G188" s="100" t="str">
        <f>IFERROR(VLOOKUP(Tablo516[[#This Row],[ÜRÜN KODU]],YMKODLARI!$A$1:$K$383,3,0)," ")</f>
        <v xml:space="preserve"> </v>
      </c>
      <c r="H188" s="100" t="str">
        <f>IFERROR(VLOOKUP(Tablo516[[#This Row],[ÜRÜN KODU]],YMKODLARI!$A$1:$K$383,4,0)," ")</f>
        <v xml:space="preserve"> </v>
      </c>
      <c r="I188" s="100"/>
      <c r="J188" s="100" t="str">
        <f>IFERROR(VLOOKUP(Tablo516[[#This Row],[ÜRÜN KODU]],YMKODLARI!$A$1:$K$383,9,0)," ")</f>
        <v xml:space="preserve"> </v>
      </c>
      <c r="K188" s="100" t="str">
        <f>IFERROR(VLOOKUP(Tablo516[[#This Row],[BOYA KODU]],Tablo14[#All],4,0)," ")</f>
        <v xml:space="preserve"> </v>
      </c>
      <c r="L188" s="100" t="str">
        <f>IFERROR(VLOOKUP(Tablo516[[#This Row],[BOYA KODU]],Tablo14[#All],6,0)," ")</f>
        <v xml:space="preserve"> </v>
      </c>
      <c r="M188" s="100" t="str">
        <f t="shared" si="14"/>
        <v xml:space="preserve"> </v>
      </c>
      <c r="N188" s="100" t="str">
        <f>IFERROR(VLOOKUP(Tablo516[[#This Row],[ÜRÜN KODU]],YMKODLARI!$A$1:$K$383,8,0)," ")</f>
        <v xml:space="preserve"> </v>
      </c>
      <c r="O188" s="100" t="str">
        <f>IFERROR(VLOOKUP(Tablo516[[#This Row],[HAMMADDE KODU]],Tablo1[#All],3,0)," ")</f>
        <v xml:space="preserve"> </v>
      </c>
      <c r="P188" s="100" t="str">
        <f>IFERROR(VLOOKUP(Tablo516[[#This Row],[HAMMADDE KODU]],Tablo1[#All],4,0)," ")</f>
        <v xml:space="preserve"> </v>
      </c>
      <c r="Q188" s="100" t="str">
        <f>IFERROR(VLOOKUP(Tablo516[[#This Row],[ÜRÜN KODU]],YMKODLARI!$A$1:$K$383,5,0)," ")</f>
        <v xml:space="preserve"> </v>
      </c>
      <c r="R188" s="100" t="str">
        <f>IFERROR(VLOOKUP(Tablo516[[#This Row],[ÜRÜN KODU]],YMKODLARI!$A$1:$K$383,6,0)," ")</f>
        <v xml:space="preserve"> </v>
      </c>
      <c r="S188" s="100" t="str">
        <f>IFERROR(Tablo516[[#This Row],[YOLLUK HARİÇ BASKI GRAMI]]/Tablo516[[#This Row],[KALIP GÖZ ADEDİ]]," ")</f>
        <v xml:space="preserve"> </v>
      </c>
      <c r="T188" s="100" t="str">
        <f t="shared" si="16"/>
        <v xml:space="preserve"> </v>
      </c>
      <c r="U188" s="100"/>
      <c r="V188" s="100" t="str">
        <f t="shared" si="15"/>
        <v xml:space="preserve"> </v>
      </c>
      <c r="W188" s="101">
        <f t="shared" si="17"/>
        <v>24</v>
      </c>
      <c r="X188" s="102">
        <f t="shared" si="18"/>
        <v>0</v>
      </c>
      <c r="Y188" s="100" t="str">
        <f t="shared" si="19"/>
        <v xml:space="preserve"> </v>
      </c>
      <c r="Z188" s="100" t="str">
        <f t="shared" si="20"/>
        <v xml:space="preserve"> </v>
      </c>
    </row>
    <row r="189" spans="1:26">
      <c r="A189" s="100"/>
      <c r="B189" s="108" t="str">
        <f>IFERROR(VLOOKUP(Tablo516[[#This Row],[ÜRÜN KODU]],YMKODLARI!$A$1:$K$383,2,0)," ")</f>
        <v xml:space="preserve"> </v>
      </c>
      <c r="C189" s="99"/>
      <c r="D189" s="100"/>
      <c r="E189" s="101"/>
      <c r="F189" s="101"/>
      <c r="G189" s="100" t="str">
        <f>IFERROR(VLOOKUP(Tablo516[[#This Row],[ÜRÜN KODU]],YMKODLARI!$A$1:$K$383,3,0)," ")</f>
        <v xml:space="preserve"> </v>
      </c>
      <c r="H189" s="100" t="str">
        <f>IFERROR(VLOOKUP(Tablo516[[#This Row],[ÜRÜN KODU]],YMKODLARI!$A$1:$K$383,4,0)," ")</f>
        <v xml:space="preserve"> </v>
      </c>
      <c r="I189" s="100"/>
      <c r="J189" s="100" t="str">
        <f>IFERROR(VLOOKUP(Tablo516[[#This Row],[ÜRÜN KODU]],YMKODLARI!$A$1:$K$383,9,0)," ")</f>
        <v xml:space="preserve"> </v>
      </c>
      <c r="K189" s="100" t="str">
        <f>IFERROR(VLOOKUP(Tablo516[[#This Row],[BOYA KODU]],Tablo14[#All],4,0)," ")</f>
        <v xml:space="preserve"> </v>
      </c>
      <c r="L189" s="100" t="str">
        <f>IFERROR(VLOOKUP(Tablo516[[#This Row],[BOYA KODU]],Tablo14[#All],6,0)," ")</f>
        <v xml:space="preserve"> </v>
      </c>
      <c r="M189" s="100" t="str">
        <f t="shared" si="14"/>
        <v xml:space="preserve"> </v>
      </c>
      <c r="N189" s="100" t="str">
        <f>IFERROR(VLOOKUP(Tablo516[[#This Row],[ÜRÜN KODU]],YMKODLARI!$A$1:$K$383,8,0)," ")</f>
        <v xml:space="preserve"> </v>
      </c>
      <c r="O189" s="100" t="str">
        <f>IFERROR(VLOOKUP(Tablo516[[#This Row],[HAMMADDE KODU]],Tablo1[#All],3,0)," ")</f>
        <v xml:space="preserve"> </v>
      </c>
      <c r="P189" s="100" t="str">
        <f>IFERROR(VLOOKUP(Tablo516[[#This Row],[HAMMADDE KODU]],Tablo1[#All],4,0)," ")</f>
        <v xml:space="preserve"> </v>
      </c>
      <c r="Q189" s="100" t="str">
        <f>IFERROR(VLOOKUP(Tablo516[[#This Row],[ÜRÜN KODU]],YMKODLARI!$A$1:$K$383,5,0)," ")</f>
        <v xml:space="preserve"> </v>
      </c>
      <c r="R189" s="100" t="str">
        <f>IFERROR(VLOOKUP(Tablo516[[#This Row],[ÜRÜN KODU]],YMKODLARI!$A$1:$K$383,6,0)," ")</f>
        <v xml:space="preserve"> </v>
      </c>
      <c r="S189" s="100" t="str">
        <f>IFERROR(Tablo516[[#This Row],[YOLLUK HARİÇ BASKI GRAMI]]/Tablo516[[#This Row],[KALIP GÖZ ADEDİ]]," ")</f>
        <v xml:space="preserve"> </v>
      </c>
      <c r="T189" s="100" t="str">
        <f t="shared" si="16"/>
        <v xml:space="preserve"> </v>
      </c>
      <c r="U189" s="100"/>
      <c r="V189" s="100" t="str">
        <f t="shared" si="15"/>
        <v xml:space="preserve"> </v>
      </c>
      <c r="W189" s="101">
        <f t="shared" si="17"/>
        <v>24</v>
      </c>
      <c r="X189" s="102">
        <f t="shared" si="18"/>
        <v>0</v>
      </c>
      <c r="Y189" s="100" t="str">
        <f t="shared" si="19"/>
        <v xml:space="preserve"> </v>
      </c>
      <c r="Z189" s="100" t="str">
        <f t="shared" si="20"/>
        <v xml:space="preserve"> </v>
      </c>
    </row>
    <row r="190" spans="1:26">
      <c r="A190" s="100"/>
      <c r="B190" s="108" t="str">
        <f>IFERROR(VLOOKUP(Tablo516[[#This Row],[ÜRÜN KODU]],YMKODLARI!$A$1:$K$383,2,0)," ")</f>
        <v xml:space="preserve"> </v>
      </c>
      <c r="C190" s="99"/>
      <c r="D190" s="100"/>
      <c r="E190" s="101"/>
      <c r="F190" s="101"/>
      <c r="G190" s="100" t="str">
        <f>IFERROR(VLOOKUP(Tablo516[[#This Row],[ÜRÜN KODU]],YMKODLARI!$A$1:$K$383,3,0)," ")</f>
        <v xml:space="preserve"> </v>
      </c>
      <c r="H190" s="100" t="str">
        <f>IFERROR(VLOOKUP(Tablo516[[#This Row],[ÜRÜN KODU]],YMKODLARI!$A$1:$K$383,4,0)," ")</f>
        <v xml:space="preserve"> </v>
      </c>
      <c r="I190" s="100"/>
      <c r="J190" s="100" t="str">
        <f>IFERROR(VLOOKUP(Tablo516[[#This Row],[ÜRÜN KODU]],YMKODLARI!$A$1:$K$383,9,0)," ")</f>
        <v xml:space="preserve"> </v>
      </c>
      <c r="K190" s="100" t="str">
        <f>IFERROR(VLOOKUP(Tablo516[[#This Row],[BOYA KODU]],Tablo14[#All],4,0)," ")</f>
        <v xml:space="preserve"> </v>
      </c>
      <c r="L190" s="100" t="str">
        <f>IFERROR(VLOOKUP(Tablo516[[#This Row],[BOYA KODU]],Tablo14[#All],6,0)," ")</f>
        <v xml:space="preserve"> </v>
      </c>
      <c r="M190" s="100" t="str">
        <f t="shared" si="14"/>
        <v xml:space="preserve"> </v>
      </c>
      <c r="N190" s="100" t="str">
        <f>IFERROR(VLOOKUP(Tablo516[[#This Row],[ÜRÜN KODU]],YMKODLARI!$A$1:$K$383,8,0)," ")</f>
        <v xml:space="preserve"> </v>
      </c>
      <c r="O190" s="100" t="str">
        <f>IFERROR(VLOOKUP(Tablo516[[#This Row],[HAMMADDE KODU]],Tablo1[#All],3,0)," ")</f>
        <v xml:space="preserve"> </v>
      </c>
      <c r="P190" s="100" t="str">
        <f>IFERROR(VLOOKUP(Tablo516[[#This Row],[HAMMADDE KODU]],Tablo1[#All],4,0)," ")</f>
        <v xml:space="preserve"> </v>
      </c>
      <c r="Q190" s="100" t="str">
        <f>IFERROR(VLOOKUP(Tablo516[[#This Row],[ÜRÜN KODU]],YMKODLARI!$A$1:$K$383,5,0)," ")</f>
        <v xml:space="preserve"> </v>
      </c>
      <c r="R190" s="100" t="str">
        <f>IFERROR(VLOOKUP(Tablo516[[#This Row],[ÜRÜN KODU]],YMKODLARI!$A$1:$K$383,6,0)," ")</f>
        <v xml:space="preserve"> </v>
      </c>
      <c r="S190" s="100" t="str">
        <f>IFERROR(Tablo516[[#This Row],[YOLLUK HARİÇ BASKI GRAMI]]/Tablo516[[#This Row],[KALIP GÖZ ADEDİ]]," ")</f>
        <v xml:space="preserve"> </v>
      </c>
      <c r="T190" s="100" t="str">
        <f t="shared" si="16"/>
        <v xml:space="preserve"> </v>
      </c>
      <c r="U190" s="100"/>
      <c r="V190" s="100" t="str">
        <f t="shared" si="15"/>
        <v xml:space="preserve"> </v>
      </c>
      <c r="W190" s="101">
        <f t="shared" si="17"/>
        <v>24</v>
      </c>
      <c r="X190" s="102">
        <f t="shared" si="18"/>
        <v>0</v>
      </c>
      <c r="Y190" s="100" t="str">
        <f t="shared" si="19"/>
        <v xml:space="preserve"> </v>
      </c>
      <c r="Z190" s="100" t="str">
        <f t="shared" si="20"/>
        <v xml:space="preserve"> </v>
      </c>
    </row>
    <row r="191" spans="1:26">
      <c r="A191" s="100"/>
      <c r="B191" s="108" t="str">
        <f>IFERROR(VLOOKUP(Tablo516[[#This Row],[ÜRÜN KODU]],YMKODLARI!$A$1:$K$383,2,0)," ")</f>
        <v xml:space="preserve"> </v>
      </c>
      <c r="C191" s="99"/>
      <c r="D191" s="100"/>
      <c r="E191" s="101"/>
      <c r="F191" s="101"/>
      <c r="G191" s="100" t="str">
        <f>IFERROR(VLOOKUP(Tablo516[[#This Row],[ÜRÜN KODU]],YMKODLARI!$A$1:$K$383,3,0)," ")</f>
        <v xml:space="preserve"> </v>
      </c>
      <c r="H191" s="100" t="str">
        <f>IFERROR(VLOOKUP(Tablo516[[#This Row],[ÜRÜN KODU]],YMKODLARI!$A$1:$K$383,4,0)," ")</f>
        <v xml:space="preserve"> </v>
      </c>
      <c r="I191" s="100"/>
      <c r="J191" s="100" t="str">
        <f>IFERROR(VLOOKUP(Tablo516[[#This Row],[ÜRÜN KODU]],YMKODLARI!$A$1:$K$383,9,0)," ")</f>
        <v xml:space="preserve"> </v>
      </c>
      <c r="K191" s="100" t="str">
        <f>IFERROR(VLOOKUP(Tablo516[[#This Row],[BOYA KODU]],Tablo14[#All],4,0)," ")</f>
        <v xml:space="preserve"> </v>
      </c>
      <c r="L191" s="100" t="str">
        <f>IFERROR(VLOOKUP(Tablo516[[#This Row],[BOYA KODU]],Tablo14[#All],6,0)," ")</f>
        <v xml:space="preserve"> </v>
      </c>
      <c r="M191" s="100" t="str">
        <f t="shared" si="14"/>
        <v xml:space="preserve"> </v>
      </c>
      <c r="N191" s="100" t="str">
        <f>IFERROR(VLOOKUP(Tablo516[[#This Row],[ÜRÜN KODU]],YMKODLARI!$A$1:$K$383,8,0)," ")</f>
        <v xml:space="preserve"> </v>
      </c>
      <c r="O191" s="100" t="str">
        <f>IFERROR(VLOOKUP(Tablo516[[#This Row],[HAMMADDE KODU]],Tablo1[#All],3,0)," ")</f>
        <v xml:space="preserve"> </v>
      </c>
      <c r="P191" s="100" t="str">
        <f>IFERROR(VLOOKUP(Tablo516[[#This Row],[HAMMADDE KODU]],Tablo1[#All],4,0)," ")</f>
        <v xml:space="preserve"> </v>
      </c>
      <c r="Q191" s="100" t="str">
        <f>IFERROR(VLOOKUP(Tablo516[[#This Row],[ÜRÜN KODU]],YMKODLARI!$A$1:$K$383,5,0)," ")</f>
        <v xml:space="preserve"> </v>
      </c>
      <c r="R191" s="100" t="str">
        <f>IFERROR(VLOOKUP(Tablo516[[#This Row],[ÜRÜN KODU]],YMKODLARI!$A$1:$K$383,6,0)," ")</f>
        <v xml:space="preserve"> </v>
      </c>
      <c r="S191" s="100" t="str">
        <f>IFERROR(Tablo516[[#This Row],[YOLLUK HARİÇ BASKI GRAMI]]/Tablo516[[#This Row],[KALIP GÖZ ADEDİ]]," ")</f>
        <v xml:space="preserve"> </v>
      </c>
      <c r="T191" s="100" t="str">
        <f t="shared" si="16"/>
        <v xml:space="preserve"> </v>
      </c>
      <c r="U191" s="100"/>
      <c r="V191" s="100" t="str">
        <f t="shared" si="15"/>
        <v xml:space="preserve"> </v>
      </c>
      <c r="W191" s="101">
        <f t="shared" si="17"/>
        <v>24</v>
      </c>
      <c r="X191" s="102">
        <f t="shared" si="18"/>
        <v>0</v>
      </c>
      <c r="Y191" s="100" t="str">
        <f t="shared" si="19"/>
        <v xml:space="preserve"> </v>
      </c>
      <c r="Z191" s="100" t="str">
        <f t="shared" si="20"/>
        <v xml:space="preserve"> </v>
      </c>
    </row>
    <row r="192" spans="1:26">
      <c r="A192" s="100"/>
      <c r="B192" s="108" t="str">
        <f>IFERROR(VLOOKUP(Tablo516[[#This Row],[ÜRÜN KODU]],YMKODLARI!$A$1:$K$383,2,0)," ")</f>
        <v xml:space="preserve"> </v>
      </c>
      <c r="C192" s="99"/>
      <c r="D192" s="100"/>
      <c r="E192" s="101"/>
      <c r="F192" s="101"/>
      <c r="G192" s="100" t="str">
        <f>IFERROR(VLOOKUP(Tablo516[[#This Row],[ÜRÜN KODU]],YMKODLARI!$A$1:$K$383,3,0)," ")</f>
        <v xml:space="preserve"> </v>
      </c>
      <c r="H192" s="100" t="str">
        <f>IFERROR(VLOOKUP(Tablo516[[#This Row],[ÜRÜN KODU]],YMKODLARI!$A$1:$K$383,4,0)," ")</f>
        <v xml:space="preserve"> </v>
      </c>
      <c r="I192" s="100"/>
      <c r="J192" s="100" t="str">
        <f>IFERROR(VLOOKUP(Tablo516[[#This Row],[ÜRÜN KODU]],YMKODLARI!$A$1:$K$383,9,0)," ")</f>
        <v xml:space="preserve"> </v>
      </c>
      <c r="K192" s="100" t="str">
        <f>IFERROR(VLOOKUP(Tablo516[[#This Row],[BOYA KODU]],Tablo14[#All],4,0)," ")</f>
        <v xml:space="preserve"> </v>
      </c>
      <c r="L192" s="100" t="str">
        <f>IFERROR(VLOOKUP(Tablo516[[#This Row],[BOYA KODU]],Tablo14[#All],6,0)," ")</f>
        <v xml:space="preserve"> </v>
      </c>
      <c r="M192" s="100" t="str">
        <f t="shared" si="14"/>
        <v xml:space="preserve"> </v>
      </c>
      <c r="N192" s="100" t="str">
        <f>IFERROR(VLOOKUP(Tablo516[[#This Row],[ÜRÜN KODU]],YMKODLARI!$A$1:$K$383,8,0)," ")</f>
        <v xml:space="preserve"> </v>
      </c>
      <c r="O192" s="100" t="str">
        <f>IFERROR(VLOOKUP(Tablo516[[#This Row],[HAMMADDE KODU]],Tablo1[#All],3,0)," ")</f>
        <v xml:space="preserve"> </v>
      </c>
      <c r="P192" s="100" t="str">
        <f>IFERROR(VLOOKUP(Tablo516[[#This Row],[HAMMADDE KODU]],Tablo1[#All],4,0)," ")</f>
        <v xml:space="preserve"> </v>
      </c>
      <c r="Q192" s="100" t="str">
        <f>IFERROR(VLOOKUP(Tablo516[[#This Row],[ÜRÜN KODU]],YMKODLARI!$A$1:$K$383,5,0)," ")</f>
        <v xml:space="preserve"> </v>
      </c>
      <c r="R192" s="100" t="str">
        <f>IFERROR(VLOOKUP(Tablo516[[#This Row],[ÜRÜN KODU]],YMKODLARI!$A$1:$K$383,6,0)," ")</f>
        <v xml:space="preserve"> </v>
      </c>
      <c r="S192" s="100" t="str">
        <f>IFERROR(Tablo516[[#This Row],[YOLLUK HARİÇ BASKI GRAMI]]/Tablo516[[#This Row],[KALIP GÖZ ADEDİ]]," ")</f>
        <v xml:space="preserve"> </v>
      </c>
      <c r="T192" s="100" t="str">
        <f t="shared" si="16"/>
        <v xml:space="preserve"> </v>
      </c>
      <c r="U192" s="100"/>
      <c r="V192" s="100" t="str">
        <f t="shared" si="15"/>
        <v xml:space="preserve"> </v>
      </c>
      <c r="W192" s="101">
        <f t="shared" si="17"/>
        <v>24</v>
      </c>
      <c r="X192" s="102">
        <f t="shared" si="18"/>
        <v>0</v>
      </c>
      <c r="Y192" s="100" t="str">
        <f t="shared" si="19"/>
        <v xml:space="preserve"> </v>
      </c>
      <c r="Z192" s="100" t="str">
        <f t="shared" si="20"/>
        <v xml:space="preserve"> </v>
      </c>
    </row>
    <row r="193" spans="1:26">
      <c r="A193" s="100"/>
      <c r="B193" s="108" t="str">
        <f>IFERROR(VLOOKUP(Tablo516[[#This Row],[ÜRÜN KODU]],YMKODLARI!$A$1:$K$383,2,0)," ")</f>
        <v xml:space="preserve"> </v>
      </c>
      <c r="C193" s="99"/>
      <c r="D193" s="100"/>
      <c r="E193" s="101"/>
      <c r="F193" s="101"/>
      <c r="G193" s="100" t="str">
        <f>IFERROR(VLOOKUP(Tablo516[[#This Row],[ÜRÜN KODU]],YMKODLARI!$A$1:$K$383,3,0)," ")</f>
        <v xml:space="preserve"> </v>
      </c>
      <c r="H193" s="100" t="str">
        <f>IFERROR(VLOOKUP(Tablo516[[#This Row],[ÜRÜN KODU]],YMKODLARI!$A$1:$K$383,4,0)," ")</f>
        <v xml:space="preserve"> </v>
      </c>
      <c r="I193" s="100"/>
      <c r="J193" s="100" t="str">
        <f>IFERROR(VLOOKUP(Tablo516[[#This Row],[ÜRÜN KODU]],YMKODLARI!$A$1:$K$383,9,0)," ")</f>
        <v xml:space="preserve"> </v>
      </c>
      <c r="K193" s="100" t="str">
        <f>IFERROR(VLOOKUP(Tablo516[[#This Row],[BOYA KODU]],Tablo14[#All],4,0)," ")</f>
        <v xml:space="preserve"> </v>
      </c>
      <c r="L193" s="100" t="str">
        <f>IFERROR(VLOOKUP(Tablo516[[#This Row],[BOYA KODU]],Tablo14[#All],6,0)," ")</f>
        <v xml:space="preserve"> </v>
      </c>
      <c r="M193" s="100" t="str">
        <f t="shared" si="14"/>
        <v xml:space="preserve"> </v>
      </c>
      <c r="N193" s="100" t="str">
        <f>IFERROR(VLOOKUP(Tablo516[[#This Row],[ÜRÜN KODU]],YMKODLARI!$A$1:$K$383,8,0)," ")</f>
        <v xml:space="preserve"> </v>
      </c>
      <c r="O193" s="100" t="str">
        <f>IFERROR(VLOOKUP(Tablo516[[#This Row],[HAMMADDE KODU]],Tablo1[#All],3,0)," ")</f>
        <v xml:space="preserve"> </v>
      </c>
      <c r="P193" s="100" t="str">
        <f>IFERROR(VLOOKUP(Tablo516[[#This Row],[HAMMADDE KODU]],Tablo1[#All],4,0)," ")</f>
        <v xml:space="preserve"> </v>
      </c>
      <c r="Q193" s="100" t="str">
        <f>IFERROR(VLOOKUP(Tablo516[[#This Row],[ÜRÜN KODU]],YMKODLARI!$A$1:$K$383,5,0)," ")</f>
        <v xml:space="preserve"> </v>
      </c>
      <c r="R193" s="100" t="str">
        <f>IFERROR(VLOOKUP(Tablo516[[#This Row],[ÜRÜN KODU]],YMKODLARI!$A$1:$K$383,6,0)," ")</f>
        <v xml:space="preserve"> </v>
      </c>
      <c r="S193" s="100" t="str">
        <f>IFERROR(Tablo516[[#This Row],[YOLLUK HARİÇ BASKI GRAMI]]/Tablo516[[#This Row],[KALIP GÖZ ADEDİ]]," ")</f>
        <v xml:space="preserve"> </v>
      </c>
      <c r="T193" s="100" t="str">
        <f t="shared" si="16"/>
        <v xml:space="preserve"> </v>
      </c>
      <c r="U193" s="100"/>
      <c r="V193" s="100" t="str">
        <f t="shared" si="15"/>
        <v xml:space="preserve"> </v>
      </c>
      <c r="W193" s="101">
        <f t="shared" si="17"/>
        <v>24</v>
      </c>
      <c r="X193" s="102">
        <f t="shared" si="18"/>
        <v>0</v>
      </c>
      <c r="Y193" s="100" t="str">
        <f t="shared" si="19"/>
        <v xml:space="preserve"> </v>
      </c>
      <c r="Z193" s="100" t="str">
        <f t="shared" si="20"/>
        <v xml:space="preserve"> </v>
      </c>
    </row>
    <row r="194" spans="1:26">
      <c r="A194" s="100"/>
      <c r="B194" s="108" t="str">
        <f>IFERROR(VLOOKUP(Tablo516[[#This Row],[ÜRÜN KODU]],YMKODLARI!$A$1:$K$383,2,0)," ")</f>
        <v xml:space="preserve"> </v>
      </c>
      <c r="C194" s="99"/>
      <c r="D194" s="100"/>
      <c r="E194" s="101"/>
      <c r="F194" s="101"/>
      <c r="G194" s="100" t="str">
        <f>IFERROR(VLOOKUP(Tablo516[[#This Row],[ÜRÜN KODU]],YMKODLARI!$A$1:$K$383,3,0)," ")</f>
        <v xml:space="preserve"> </v>
      </c>
      <c r="H194" s="100" t="str">
        <f>IFERROR(VLOOKUP(Tablo516[[#This Row],[ÜRÜN KODU]],YMKODLARI!$A$1:$K$383,4,0)," ")</f>
        <v xml:space="preserve"> </v>
      </c>
      <c r="I194" s="100"/>
      <c r="J194" s="100" t="str">
        <f>IFERROR(VLOOKUP(Tablo516[[#This Row],[ÜRÜN KODU]],YMKODLARI!$A$1:$K$383,9,0)," ")</f>
        <v xml:space="preserve"> </v>
      </c>
      <c r="K194" s="100" t="str">
        <f>IFERROR(VLOOKUP(Tablo516[[#This Row],[BOYA KODU]],Tablo14[#All],4,0)," ")</f>
        <v xml:space="preserve"> </v>
      </c>
      <c r="L194" s="100" t="str">
        <f>IFERROR(VLOOKUP(Tablo516[[#This Row],[BOYA KODU]],Tablo14[#All],6,0)," ")</f>
        <v xml:space="preserve"> </v>
      </c>
      <c r="M194" s="100" t="str">
        <f t="shared" ref="M194:M257" si="21">IFERROR((I194*Q194)*L194," ")</f>
        <v xml:space="preserve"> </v>
      </c>
      <c r="N194" s="100" t="str">
        <f>IFERROR(VLOOKUP(Tablo516[[#This Row],[ÜRÜN KODU]],YMKODLARI!$A$1:$K$383,8,0)," ")</f>
        <v xml:space="preserve"> </v>
      </c>
      <c r="O194" s="100" t="str">
        <f>IFERROR(VLOOKUP(Tablo516[[#This Row],[HAMMADDE KODU]],Tablo1[#All],3,0)," ")</f>
        <v xml:space="preserve"> </v>
      </c>
      <c r="P194" s="100" t="str">
        <f>IFERROR(VLOOKUP(Tablo516[[#This Row],[HAMMADDE KODU]],Tablo1[#All],4,0)," ")</f>
        <v xml:space="preserve"> </v>
      </c>
      <c r="Q194" s="100" t="str">
        <f>IFERROR(VLOOKUP(Tablo516[[#This Row],[ÜRÜN KODU]],YMKODLARI!$A$1:$K$383,5,0)," ")</f>
        <v xml:space="preserve"> </v>
      </c>
      <c r="R194" s="100" t="str">
        <f>IFERROR(VLOOKUP(Tablo516[[#This Row],[ÜRÜN KODU]],YMKODLARI!$A$1:$K$383,6,0)," ")</f>
        <v xml:space="preserve"> </v>
      </c>
      <c r="S194" s="100" t="str">
        <f>IFERROR(Tablo516[[#This Row],[YOLLUK HARİÇ BASKI GRAMI]]/Tablo516[[#This Row],[KALIP GÖZ ADEDİ]]," ")</f>
        <v xml:space="preserve"> </v>
      </c>
      <c r="T194" s="100" t="str">
        <f t="shared" si="16"/>
        <v xml:space="preserve"> </v>
      </c>
      <c r="U194" s="100"/>
      <c r="V194" s="100" t="str">
        <f t="shared" ref="V194:V257" si="22">IFERROR(U194+(R194*I194) /1000," ")</f>
        <v xml:space="preserve"> </v>
      </c>
      <c r="W194" s="101">
        <f t="shared" si="17"/>
        <v>24</v>
      </c>
      <c r="X194" s="102">
        <f t="shared" si="18"/>
        <v>0</v>
      </c>
      <c r="Y194" s="100" t="str">
        <f t="shared" si="19"/>
        <v xml:space="preserve"> </v>
      </c>
      <c r="Z194" s="100" t="str">
        <f t="shared" si="20"/>
        <v xml:space="preserve"> </v>
      </c>
    </row>
    <row r="195" spans="1:26">
      <c r="A195" s="100"/>
      <c r="B195" s="108" t="str">
        <f>IFERROR(VLOOKUP(Tablo516[[#This Row],[ÜRÜN KODU]],YMKODLARI!$A$1:$K$383,2,0)," ")</f>
        <v xml:space="preserve"> </v>
      </c>
      <c r="C195" s="99"/>
      <c r="D195" s="100"/>
      <c r="E195" s="101"/>
      <c r="F195" s="101"/>
      <c r="G195" s="100" t="str">
        <f>IFERROR(VLOOKUP(Tablo516[[#This Row],[ÜRÜN KODU]],YMKODLARI!$A$1:$K$383,3,0)," ")</f>
        <v xml:space="preserve"> </v>
      </c>
      <c r="H195" s="100" t="str">
        <f>IFERROR(VLOOKUP(Tablo516[[#This Row],[ÜRÜN KODU]],YMKODLARI!$A$1:$K$383,4,0)," ")</f>
        <v xml:space="preserve"> </v>
      </c>
      <c r="I195" s="100"/>
      <c r="J195" s="100" t="str">
        <f>IFERROR(VLOOKUP(Tablo516[[#This Row],[ÜRÜN KODU]],YMKODLARI!$A$1:$K$383,9,0)," ")</f>
        <v xml:space="preserve"> </v>
      </c>
      <c r="K195" s="100" t="str">
        <f>IFERROR(VLOOKUP(Tablo516[[#This Row],[BOYA KODU]],Tablo14[#All],4,0)," ")</f>
        <v xml:space="preserve"> </v>
      </c>
      <c r="L195" s="100" t="str">
        <f>IFERROR(VLOOKUP(Tablo516[[#This Row],[BOYA KODU]],Tablo14[#All],6,0)," ")</f>
        <v xml:space="preserve"> </v>
      </c>
      <c r="M195" s="100" t="str">
        <f t="shared" si="21"/>
        <v xml:space="preserve"> </v>
      </c>
      <c r="N195" s="100" t="str">
        <f>IFERROR(VLOOKUP(Tablo516[[#This Row],[ÜRÜN KODU]],YMKODLARI!$A$1:$K$383,8,0)," ")</f>
        <v xml:space="preserve"> </v>
      </c>
      <c r="O195" s="100" t="str">
        <f>IFERROR(VLOOKUP(Tablo516[[#This Row],[HAMMADDE KODU]],Tablo1[#All],3,0)," ")</f>
        <v xml:space="preserve"> </v>
      </c>
      <c r="P195" s="100" t="str">
        <f>IFERROR(VLOOKUP(Tablo516[[#This Row],[HAMMADDE KODU]],Tablo1[#All],4,0)," ")</f>
        <v xml:space="preserve"> </v>
      </c>
      <c r="Q195" s="100" t="str">
        <f>IFERROR(VLOOKUP(Tablo516[[#This Row],[ÜRÜN KODU]],YMKODLARI!$A$1:$K$383,5,0)," ")</f>
        <v xml:space="preserve"> </v>
      </c>
      <c r="R195" s="100" t="str">
        <f>IFERROR(VLOOKUP(Tablo516[[#This Row],[ÜRÜN KODU]],YMKODLARI!$A$1:$K$383,6,0)," ")</f>
        <v xml:space="preserve"> </v>
      </c>
      <c r="S195" s="100" t="str">
        <f>IFERROR(Tablo516[[#This Row],[YOLLUK HARİÇ BASKI GRAMI]]/Tablo516[[#This Row],[KALIP GÖZ ADEDİ]]," ")</f>
        <v xml:space="preserve"> </v>
      </c>
      <c r="T195" s="100" t="str">
        <f t="shared" ref="T195:T258" si="23">IFERROR(Q195-R195," ")</f>
        <v xml:space="preserve"> </v>
      </c>
      <c r="U195" s="100"/>
      <c r="V195" s="100" t="str">
        <f t="shared" si="22"/>
        <v xml:space="preserve"> </v>
      </c>
      <c r="W195" s="101">
        <f t="shared" ref="W195:W258" si="24">IFERROR(24-(E195-F195)," ")</f>
        <v>24</v>
      </c>
      <c r="X195" s="102">
        <f t="shared" ref="X195:X258" si="25">IFERROR((W195-INT(W195))*24," ")</f>
        <v>0</v>
      </c>
      <c r="Y195" s="100" t="str">
        <f t="shared" ref="Y195:Y258" si="26">IFERROR(H195*I195/3600," ")</f>
        <v xml:space="preserve"> </v>
      </c>
      <c r="Z195" s="100" t="str">
        <f t="shared" ref="Z195:Z258" si="27">IFERROR(I195*G195," " )</f>
        <v xml:space="preserve"> </v>
      </c>
    </row>
    <row r="196" spans="1:26">
      <c r="A196" s="100"/>
      <c r="B196" s="108" t="str">
        <f>IFERROR(VLOOKUP(Tablo516[[#This Row],[ÜRÜN KODU]],YMKODLARI!$A$1:$K$383,2,0)," ")</f>
        <v xml:space="preserve"> </v>
      </c>
      <c r="C196" s="99"/>
      <c r="D196" s="100"/>
      <c r="E196" s="101"/>
      <c r="F196" s="101"/>
      <c r="G196" s="100" t="str">
        <f>IFERROR(VLOOKUP(Tablo516[[#This Row],[ÜRÜN KODU]],YMKODLARI!$A$1:$K$383,3,0)," ")</f>
        <v xml:space="preserve"> </v>
      </c>
      <c r="H196" s="100" t="str">
        <f>IFERROR(VLOOKUP(Tablo516[[#This Row],[ÜRÜN KODU]],YMKODLARI!$A$1:$K$383,4,0)," ")</f>
        <v xml:space="preserve"> </v>
      </c>
      <c r="I196" s="100"/>
      <c r="J196" s="100" t="str">
        <f>IFERROR(VLOOKUP(Tablo516[[#This Row],[ÜRÜN KODU]],YMKODLARI!$A$1:$K$383,9,0)," ")</f>
        <v xml:space="preserve"> </v>
      </c>
      <c r="K196" s="100" t="str">
        <f>IFERROR(VLOOKUP(Tablo516[[#This Row],[BOYA KODU]],Tablo14[#All],4,0)," ")</f>
        <v xml:space="preserve"> </v>
      </c>
      <c r="L196" s="100" t="str">
        <f>IFERROR(VLOOKUP(Tablo516[[#This Row],[BOYA KODU]],Tablo14[#All],6,0)," ")</f>
        <v xml:space="preserve"> </v>
      </c>
      <c r="M196" s="100" t="str">
        <f t="shared" si="21"/>
        <v xml:space="preserve"> </v>
      </c>
      <c r="N196" s="100" t="str">
        <f>IFERROR(VLOOKUP(Tablo516[[#This Row],[ÜRÜN KODU]],YMKODLARI!$A$1:$K$383,8,0)," ")</f>
        <v xml:space="preserve"> </v>
      </c>
      <c r="O196" s="100" t="str">
        <f>IFERROR(VLOOKUP(Tablo516[[#This Row],[HAMMADDE KODU]],Tablo1[#All],3,0)," ")</f>
        <v xml:space="preserve"> </v>
      </c>
      <c r="P196" s="100" t="str">
        <f>IFERROR(VLOOKUP(Tablo516[[#This Row],[HAMMADDE KODU]],Tablo1[#All],4,0)," ")</f>
        <v xml:space="preserve"> </v>
      </c>
      <c r="Q196" s="100" t="str">
        <f>IFERROR(VLOOKUP(Tablo516[[#This Row],[ÜRÜN KODU]],YMKODLARI!$A$1:$K$383,5,0)," ")</f>
        <v xml:space="preserve"> </v>
      </c>
      <c r="R196" s="100" t="str">
        <f>IFERROR(VLOOKUP(Tablo516[[#This Row],[ÜRÜN KODU]],YMKODLARI!$A$1:$K$383,6,0)," ")</f>
        <v xml:space="preserve"> </v>
      </c>
      <c r="S196" s="100" t="str">
        <f>IFERROR(Tablo516[[#This Row],[YOLLUK HARİÇ BASKI GRAMI]]/Tablo516[[#This Row],[KALIP GÖZ ADEDİ]]," ")</f>
        <v xml:space="preserve"> </v>
      </c>
      <c r="T196" s="100" t="str">
        <f t="shared" si="23"/>
        <v xml:space="preserve"> </v>
      </c>
      <c r="U196" s="100"/>
      <c r="V196" s="100" t="str">
        <f t="shared" si="22"/>
        <v xml:space="preserve"> </v>
      </c>
      <c r="W196" s="101">
        <f t="shared" si="24"/>
        <v>24</v>
      </c>
      <c r="X196" s="102">
        <f t="shared" si="25"/>
        <v>0</v>
      </c>
      <c r="Y196" s="100" t="str">
        <f t="shared" si="26"/>
        <v xml:space="preserve"> </v>
      </c>
      <c r="Z196" s="100" t="str">
        <f t="shared" si="27"/>
        <v xml:space="preserve"> </v>
      </c>
    </row>
    <row r="197" spans="1:26">
      <c r="A197" s="100"/>
      <c r="B197" s="108" t="str">
        <f>IFERROR(VLOOKUP(Tablo516[[#This Row],[ÜRÜN KODU]],YMKODLARI!$A$1:$K$383,2,0)," ")</f>
        <v xml:space="preserve"> </v>
      </c>
      <c r="C197" s="99"/>
      <c r="D197" s="100"/>
      <c r="E197" s="101"/>
      <c r="F197" s="101"/>
      <c r="G197" s="100" t="str">
        <f>IFERROR(VLOOKUP(Tablo516[[#This Row],[ÜRÜN KODU]],YMKODLARI!$A$1:$K$383,3,0)," ")</f>
        <v xml:space="preserve"> </v>
      </c>
      <c r="H197" s="100" t="str">
        <f>IFERROR(VLOOKUP(Tablo516[[#This Row],[ÜRÜN KODU]],YMKODLARI!$A$1:$K$383,4,0)," ")</f>
        <v xml:space="preserve"> </v>
      </c>
      <c r="I197" s="100"/>
      <c r="J197" s="100" t="str">
        <f>IFERROR(VLOOKUP(Tablo516[[#This Row],[ÜRÜN KODU]],YMKODLARI!$A$1:$K$383,9,0)," ")</f>
        <v xml:space="preserve"> </v>
      </c>
      <c r="K197" s="100" t="str">
        <f>IFERROR(VLOOKUP(Tablo516[[#This Row],[BOYA KODU]],Tablo14[#All],4,0)," ")</f>
        <v xml:space="preserve"> </v>
      </c>
      <c r="L197" s="100" t="str">
        <f>IFERROR(VLOOKUP(Tablo516[[#This Row],[BOYA KODU]],Tablo14[#All],6,0)," ")</f>
        <v xml:space="preserve"> </v>
      </c>
      <c r="M197" s="100" t="str">
        <f t="shared" si="21"/>
        <v xml:space="preserve"> </v>
      </c>
      <c r="N197" s="100" t="str">
        <f>IFERROR(VLOOKUP(Tablo516[[#This Row],[ÜRÜN KODU]],YMKODLARI!$A$1:$K$383,8,0)," ")</f>
        <v xml:space="preserve"> </v>
      </c>
      <c r="O197" s="100" t="str">
        <f>IFERROR(VLOOKUP(Tablo516[[#This Row],[HAMMADDE KODU]],Tablo1[#All],3,0)," ")</f>
        <v xml:space="preserve"> </v>
      </c>
      <c r="P197" s="100" t="str">
        <f>IFERROR(VLOOKUP(Tablo516[[#This Row],[HAMMADDE KODU]],Tablo1[#All],4,0)," ")</f>
        <v xml:space="preserve"> </v>
      </c>
      <c r="Q197" s="100" t="str">
        <f>IFERROR(VLOOKUP(Tablo516[[#This Row],[ÜRÜN KODU]],YMKODLARI!$A$1:$K$383,5,0)," ")</f>
        <v xml:space="preserve"> </v>
      </c>
      <c r="R197" s="100" t="str">
        <f>IFERROR(VLOOKUP(Tablo516[[#This Row],[ÜRÜN KODU]],YMKODLARI!$A$1:$K$383,6,0)," ")</f>
        <v xml:space="preserve"> </v>
      </c>
      <c r="S197" s="100" t="str">
        <f>IFERROR(Tablo516[[#This Row],[YOLLUK HARİÇ BASKI GRAMI]]/Tablo516[[#This Row],[KALIP GÖZ ADEDİ]]," ")</f>
        <v xml:space="preserve"> </v>
      </c>
      <c r="T197" s="100" t="str">
        <f t="shared" si="23"/>
        <v xml:space="preserve"> </v>
      </c>
      <c r="U197" s="100"/>
      <c r="V197" s="100" t="str">
        <f t="shared" si="22"/>
        <v xml:space="preserve"> </v>
      </c>
      <c r="W197" s="101">
        <f t="shared" si="24"/>
        <v>24</v>
      </c>
      <c r="X197" s="102">
        <f t="shared" si="25"/>
        <v>0</v>
      </c>
      <c r="Y197" s="100" t="str">
        <f t="shared" si="26"/>
        <v xml:space="preserve"> </v>
      </c>
      <c r="Z197" s="100" t="str">
        <f t="shared" si="27"/>
        <v xml:space="preserve"> </v>
      </c>
    </row>
    <row r="198" spans="1:26">
      <c r="A198" s="100"/>
      <c r="B198" s="108" t="str">
        <f>IFERROR(VLOOKUP(Tablo516[[#This Row],[ÜRÜN KODU]],YMKODLARI!$A$1:$K$383,2,0)," ")</f>
        <v xml:space="preserve"> </v>
      </c>
      <c r="C198" s="99"/>
      <c r="D198" s="100"/>
      <c r="E198" s="101"/>
      <c r="F198" s="101"/>
      <c r="G198" s="100" t="str">
        <f>IFERROR(VLOOKUP(Tablo516[[#This Row],[ÜRÜN KODU]],YMKODLARI!$A$1:$K$383,3,0)," ")</f>
        <v xml:space="preserve"> </v>
      </c>
      <c r="H198" s="100" t="str">
        <f>IFERROR(VLOOKUP(Tablo516[[#This Row],[ÜRÜN KODU]],YMKODLARI!$A$1:$K$383,4,0)," ")</f>
        <v xml:space="preserve"> </v>
      </c>
      <c r="I198" s="100"/>
      <c r="J198" s="100" t="str">
        <f>IFERROR(VLOOKUP(Tablo516[[#This Row],[ÜRÜN KODU]],YMKODLARI!$A$1:$K$383,9,0)," ")</f>
        <v xml:space="preserve"> </v>
      </c>
      <c r="K198" s="100" t="str">
        <f>IFERROR(VLOOKUP(Tablo516[[#This Row],[BOYA KODU]],Tablo14[#All],4,0)," ")</f>
        <v xml:space="preserve"> </v>
      </c>
      <c r="L198" s="100" t="str">
        <f>IFERROR(VLOOKUP(Tablo516[[#This Row],[BOYA KODU]],Tablo14[#All],6,0)," ")</f>
        <v xml:space="preserve"> </v>
      </c>
      <c r="M198" s="100" t="str">
        <f t="shared" si="21"/>
        <v xml:space="preserve"> </v>
      </c>
      <c r="N198" s="100" t="str">
        <f>IFERROR(VLOOKUP(Tablo516[[#This Row],[ÜRÜN KODU]],YMKODLARI!$A$1:$K$383,8,0)," ")</f>
        <v xml:space="preserve"> </v>
      </c>
      <c r="O198" s="100" t="str">
        <f>IFERROR(VLOOKUP(Tablo516[[#This Row],[HAMMADDE KODU]],Tablo1[#All],3,0)," ")</f>
        <v xml:space="preserve"> </v>
      </c>
      <c r="P198" s="100" t="str">
        <f>IFERROR(VLOOKUP(Tablo516[[#This Row],[HAMMADDE KODU]],Tablo1[#All],4,0)," ")</f>
        <v xml:space="preserve"> </v>
      </c>
      <c r="Q198" s="100" t="str">
        <f>IFERROR(VLOOKUP(Tablo516[[#This Row],[ÜRÜN KODU]],YMKODLARI!$A$1:$K$383,5,0)," ")</f>
        <v xml:space="preserve"> </v>
      </c>
      <c r="R198" s="100" t="str">
        <f>IFERROR(VLOOKUP(Tablo516[[#This Row],[ÜRÜN KODU]],YMKODLARI!$A$1:$K$383,6,0)," ")</f>
        <v xml:space="preserve"> </v>
      </c>
      <c r="S198" s="100" t="str">
        <f>IFERROR(Tablo516[[#This Row],[YOLLUK HARİÇ BASKI GRAMI]]/Tablo516[[#This Row],[KALIP GÖZ ADEDİ]]," ")</f>
        <v xml:space="preserve"> </v>
      </c>
      <c r="T198" s="100" t="str">
        <f t="shared" si="23"/>
        <v xml:space="preserve"> </v>
      </c>
      <c r="U198" s="100"/>
      <c r="V198" s="100" t="str">
        <f t="shared" si="22"/>
        <v xml:space="preserve"> </v>
      </c>
      <c r="W198" s="101">
        <f t="shared" si="24"/>
        <v>24</v>
      </c>
      <c r="X198" s="102">
        <f t="shared" si="25"/>
        <v>0</v>
      </c>
      <c r="Y198" s="100" t="str">
        <f t="shared" si="26"/>
        <v xml:space="preserve"> </v>
      </c>
      <c r="Z198" s="100" t="str">
        <f t="shared" si="27"/>
        <v xml:space="preserve"> </v>
      </c>
    </row>
    <row r="199" spans="1:26">
      <c r="A199" s="100"/>
      <c r="B199" s="108" t="str">
        <f>IFERROR(VLOOKUP(Tablo516[[#This Row],[ÜRÜN KODU]],YMKODLARI!$A$1:$K$383,2,0)," ")</f>
        <v xml:space="preserve"> </v>
      </c>
      <c r="C199" s="99"/>
      <c r="D199" s="100"/>
      <c r="E199" s="101"/>
      <c r="F199" s="101"/>
      <c r="G199" s="100" t="str">
        <f>IFERROR(VLOOKUP(Tablo516[[#This Row],[ÜRÜN KODU]],YMKODLARI!$A$1:$K$383,3,0)," ")</f>
        <v xml:space="preserve"> </v>
      </c>
      <c r="H199" s="100" t="str">
        <f>IFERROR(VLOOKUP(Tablo516[[#This Row],[ÜRÜN KODU]],YMKODLARI!$A$1:$K$383,4,0)," ")</f>
        <v xml:space="preserve"> </v>
      </c>
      <c r="I199" s="100"/>
      <c r="J199" s="100" t="str">
        <f>IFERROR(VLOOKUP(Tablo516[[#This Row],[ÜRÜN KODU]],YMKODLARI!$A$1:$K$383,9,0)," ")</f>
        <v xml:space="preserve"> </v>
      </c>
      <c r="K199" s="100" t="str">
        <f>IFERROR(VLOOKUP(Tablo516[[#This Row],[BOYA KODU]],Tablo14[#All],4,0)," ")</f>
        <v xml:space="preserve"> </v>
      </c>
      <c r="L199" s="100" t="str">
        <f>IFERROR(VLOOKUP(Tablo516[[#This Row],[BOYA KODU]],Tablo14[#All],6,0)," ")</f>
        <v xml:space="preserve"> </v>
      </c>
      <c r="M199" s="100" t="str">
        <f t="shared" si="21"/>
        <v xml:space="preserve"> </v>
      </c>
      <c r="N199" s="100" t="str">
        <f>IFERROR(VLOOKUP(Tablo516[[#This Row],[ÜRÜN KODU]],YMKODLARI!$A$1:$K$383,8,0)," ")</f>
        <v xml:space="preserve"> </v>
      </c>
      <c r="O199" s="100" t="str">
        <f>IFERROR(VLOOKUP(Tablo516[[#This Row],[HAMMADDE KODU]],Tablo1[#All],3,0)," ")</f>
        <v xml:space="preserve"> </v>
      </c>
      <c r="P199" s="100" t="str">
        <f>IFERROR(VLOOKUP(Tablo516[[#This Row],[HAMMADDE KODU]],Tablo1[#All],4,0)," ")</f>
        <v xml:space="preserve"> </v>
      </c>
      <c r="Q199" s="100" t="str">
        <f>IFERROR(VLOOKUP(Tablo516[[#This Row],[ÜRÜN KODU]],YMKODLARI!$A$1:$K$383,5,0)," ")</f>
        <v xml:space="preserve"> </v>
      </c>
      <c r="R199" s="100" t="str">
        <f>IFERROR(VLOOKUP(Tablo516[[#This Row],[ÜRÜN KODU]],YMKODLARI!$A$1:$K$383,6,0)," ")</f>
        <v xml:space="preserve"> </v>
      </c>
      <c r="S199" s="100" t="str">
        <f>IFERROR(Tablo516[[#This Row],[YOLLUK HARİÇ BASKI GRAMI]]/Tablo516[[#This Row],[KALIP GÖZ ADEDİ]]," ")</f>
        <v xml:space="preserve"> </v>
      </c>
      <c r="T199" s="100" t="str">
        <f t="shared" si="23"/>
        <v xml:space="preserve"> </v>
      </c>
      <c r="U199" s="100"/>
      <c r="V199" s="100" t="str">
        <f t="shared" si="22"/>
        <v xml:space="preserve"> </v>
      </c>
      <c r="W199" s="101">
        <f t="shared" si="24"/>
        <v>24</v>
      </c>
      <c r="X199" s="102">
        <f t="shared" si="25"/>
        <v>0</v>
      </c>
      <c r="Y199" s="100" t="str">
        <f t="shared" si="26"/>
        <v xml:space="preserve"> </v>
      </c>
      <c r="Z199" s="100" t="str">
        <f t="shared" si="27"/>
        <v xml:space="preserve"> </v>
      </c>
    </row>
    <row r="200" spans="1:26">
      <c r="A200" s="100"/>
      <c r="B200" s="108" t="str">
        <f>IFERROR(VLOOKUP(Tablo516[[#This Row],[ÜRÜN KODU]],YMKODLARI!$A$1:$K$383,2,0)," ")</f>
        <v xml:space="preserve"> </v>
      </c>
      <c r="C200" s="99"/>
      <c r="D200" s="100"/>
      <c r="E200" s="101"/>
      <c r="F200" s="101"/>
      <c r="G200" s="100" t="str">
        <f>IFERROR(VLOOKUP(Tablo516[[#This Row],[ÜRÜN KODU]],YMKODLARI!$A$1:$K$383,3,0)," ")</f>
        <v xml:space="preserve"> </v>
      </c>
      <c r="H200" s="100" t="str">
        <f>IFERROR(VLOOKUP(Tablo516[[#This Row],[ÜRÜN KODU]],YMKODLARI!$A$1:$K$383,4,0)," ")</f>
        <v xml:space="preserve"> </v>
      </c>
      <c r="I200" s="100"/>
      <c r="J200" s="100" t="str">
        <f>IFERROR(VLOOKUP(Tablo516[[#This Row],[ÜRÜN KODU]],YMKODLARI!$A$1:$K$383,9,0)," ")</f>
        <v xml:space="preserve"> </v>
      </c>
      <c r="K200" s="100" t="str">
        <f>IFERROR(VLOOKUP(Tablo516[[#This Row],[BOYA KODU]],Tablo14[#All],4,0)," ")</f>
        <v xml:space="preserve"> </v>
      </c>
      <c r="L200" s="100" t="str">
        <f>IFERROR(VLOOKUP(Tablo516[[#This Row],[BOYA KODU]],Tablo14[#All],6,0)," ")</f>
        <v xml:space="preserve"> </v>
      </c>
      <c r="M200" s="100" t="str">
        <f t="shared" si="21"/>
        <v xml:space="preserve"> </v>
      </c>
      <c r="N200" s="100" t="str">
        <f>IFERROR(VLOOKUP(Tablo516[[#This Row],[ÜRÜN KODU]],YMKODLARI!$A$1:$K$383,8,0)," ")</f>
        <v xml:space="preserve"> </v>
      </c>
      <c r="O200" s="100" t="str">
        <f>IFERROR(VLOOKUP(Tablo516[[#This Row],[HAMMADDE KODU]],Tablo1[#All],3,0)," ")</f>
        <v xml:space="preserve"> </v>
      </c>
      <c r="P200" s="100" t="str">
        <f>IFERROR(VLOOKUP(Tablo516[[#This Row],[HAMMADDE KODU]],Tablo1[#All],4,0)," ")</f>
        <v xml:space="preserve"> </v>
      </c>
      <c r="Q200" s="100" t="str">
        <f>IFERROR(VLOOKUP(Tablo516[[#This Row],[ÜRÜN KODU]],YMKODLARI!$A$1:$K$383,5,0)," ")</f>
        <v xml:space="preserve"> </v>
      </c>
      <c r="R200" s="100" t="str">
        <f>IFERROR(VLOOKUP(Tablo516[[#This Row],[ÜRÜN KODU]],YMKODLARI!$A$1:$K$383,6,0)," ")</f>
        <v xml:space="preserve"> </v>
      </c>
      <c r="S200" s="100" t="str">
        <f>IFERROR(Tablo516[[#This Row],[YOLLUK HARİÇ BASKI GRAMI]]/Tablo516[[#This Row],[KALIP GÖZ ADEDİ]]," ")</f>
        <v xml:space="preserve"> </v>
      </c>
      <c r="T200" s="100" t="str">
        <f t="shared" si="23"/>
        <v xml:space="preserve"> </v>
      </c>
      <c r="U200" s="100"/>
      <c r="V200" s="100" t="str">
        <f t="shared" si="22"/>
        <v xml:space="preserve"> </v>
      </c>
      <c r="W200" s="101">
        <f t="shared" si="24"/>
        <v>24</v>
      </c>
      <c r="X200" s="102">
        <f t="shared" si="25"/>
        <v>0</v>
      </c>
      <c r="Y200" s="100" t="str">
        <f t="shared" si="26"/>
        <v xml:space="preserve"> </v>
      </c>
      <c r="Z200" s="100" t="str">
        <f t="shared" si="27"/>
        <v xml:space="preserve"> </v>
      </c>
    </row>
    <row r="201" spans="1:26">
      <c r="A201" s="100"/>
      <c r="B201" s="108" t="str">
        <f>IFERROR(VLOOKUP(Tablo516[[#This Row],[ÜRÜN KODU]],YMKODLARI!$A$1:$K$383,2,0)," ")</f>
        <v xml:space="preserve"> </v>
      </c>
      <c r="C201" s="99"/>
      <c r="D201" s="100"/>
      <c r="E201" s="101"/>
      <c r="F201" s="101"/>
      <c r="G201" s="100" t="str">
        <f>IFERROR(VLOOKUP(Tablo516[[#This Row],[ÜRÜN KODU]],YMKODLARI!$A$1:$K$383,3,0)," ")</f>
        <v xml:space="preserve"> </v>
      </c>
      <c r="H201" s="100" t="str">
        <f>IFERROR(VLOOKUP(Tablo516[[#This Row],[ÜRÜN KODU]],YMKODLARI!$A$1:$K$383,4,0)," ")</f>
        <v xml:space="preserve"> </v>
      </c>
      <c r="I201" s="100"/>
      <c r="J201" s="100" t="str">
        <f>IFERROR(VLOOKUP(Tablo516[[#This Row],[ÜRÜN KODU]],YMKODLARI!$A$1:$K$383,9,0)," ")</f>
        <v xml:space="preserve"> </v>
      </c>
      <c r="K201" s="100" t="str">
        <f>IFERROR(VLOOKUP(Tablo516[[#This Row],[BOYA KODU]],Tablo14[#All],4,0)," ")</f>
        <v xml:space="preserve"> </v>
      </c>
      <c r="L201" s="100" t="str">
        <f>IFERROR(VLOOKUP(Tablo516[[#This Row],[BOYA KODU]],Tablo14[#All],6,0)," ")</f>
        <v xml:space="preserve"> </v>
      </c>
      <c r="M201" s="100" t="str">
        <f t="shared" si="21"/>
        <v xml:space="preserve"> </v>
      </c>
      <c r="N201" s="100" t="str">
        <f>IFERROR(VLOOKUP(Tablo516[[#This Row],[ÜRÜN KODU]],YMKODLARI!$A$1:$K$383,8,0)," ")</f>
        <v xml:space="preserve"> </v>
      </c>
      <c r="O201" s="100" t="str">
        <f>IFERROR(VLOOKUP(Tablo516[[#This Row],[HAMMADDE KODU]],Tablo1[#All],3,0)," ")</f>
        <v xml:space="preserve"> </v>
      </c>
      <c r="P201" s="100" t="str">
        <f>IFERROR(VLOOKUP(Tablo516[[#This Row],[HAMMADDE KODU]],Tablo1[#All],4,0)," ")</f>
        <v xml:space="preserve"> </v>
      </c>
      <c r="Q201" s="100" t="str">
        <f>IFERROR(VLOOKUP(Tablo516[[#This Row],[ÜRÜN KODU]],YMKODLARI!$A$1:$K$383,5,0)," ")</f>
        <v xml:space="preserve"> </v>
      </c>
      <c r="R201" s="100" t="str">
        <f>IFERROR(VLOOKUP(Tablo516[[#This Row],[ÜRÜN KODU]],YMKODLARI!$A$1:$K$383,6,0)," ")</f>
        <v xml:space="preserve"> </v>
      </c>
      <c r="S201" s="100" t="str">
        <f>IFERROR(Tablo516[[#This Row],[YOLLUK HARİÇ BASKI GRAMI]]/Tablo516[[#This Row],[KALIP GÖZ ADEDİ]]," ")</f>
        <v xml:space="preserve"> </v>
      </c>
      <c r="T201" s="100" t="str">
        <f t="shared" si="23"/>
        <v xml:space="preserve"> </v>
      </c>
      <c r="U201" s="100"/>
      <c r="V201" s="100" t="str">
        <f t="shared" si="22"/>
        <v xml:space="preserve"> </v>
      </c>
      <c r="W201" s="101">
        <f t="shared" si="24"/>
        <v>24</v>
      </c>
      <c r="X201" s="102">
        <f t="shared" si="25"/>
        <v>0</v>
      </c>
      <c r="Y201" s="100" t="str">
        <f t="shared" si="26"/>
        <v xml:space="preserve"> </v>
      </c>
      <c r="Z201" s="100" t="str">
        <f t="shared" si="27"/>
        <v xml:space="preserve"> </v>
      </c>
    </row>
    <row r="202" spans="1:26">
      <c r="A202" s="100"/>
      <c r="B202" s="108" t="str">
        <f>IFERROR(VLOOKUP(Tablo516[[#This Row],[ÜRÜN KODU]],YMKODLARI!$A$1:$K$383,2,0)," ")</f>
        <v xml:space="preserve"> </v>
      </c>
      <c r="C202" s="99"/>
      <c r="D202" s="100"/>
      <c r="E202" s="101"/>
      <c r="F202" s="101"/>
      <c r="G202" s="100" t="str">
        <f>IFERROR(VLOOKUP(Tablo516[[#This Row],[ÜRÜN KODU]],YMKODLARI!$A$1:$K$383,3,0)," ")</f>
        <v xml:space="preserve"> </v>
      </c>
      <c r="H202" s="100" t="str">
        <f>IFERROR(VLOOKUP(Tablo516[[#This Row],[ÜRÜN KODU]],YMKODLARI!$A$1:$K$383,4,0)," ")</f>
        <v xml:space="preserve"> </v>
      </c>
      <c r="I202" s="100"/>
      <c r="J202" s="100" t="str">
        <f>IFERROR(VLOOKUP(Tablo516[[#This Row],[ÜRÜN KODU]],YMKODLARI!$A$1:$K$383,9,0)," ")</f>
        <v xml:space="preserve"> </v>
      </c>
      <c r="K202" s="100" t="str">
        <f>IFERROR(VLOOKUP(Tablo516[[#This Row],[BOYA KODU]],Tablo14[#All],4,0)," ")</f>
        <v xml:space="preserve"> </v>
      </c>
      <c r="L202" s="100" t="str">
        <f>IFERROR(VLOOKUP(Tablo516[[#This Row],[BOYA KODU]],Tablo14[#All],6,0)," ")</f>
        <v xml:space="preserve"> </v>
      </c>
      <c r="M202" s="100" t="str">
        <f t="shared" si="21"/>
        <v xml:space="preserve"> </v>
      </c>
      <c r="N202" s="100" t="str">
        <f>IFERROR(VLOOKUP(Tablo516[[#This Row],[ÜRÜN KODU]],YMKODLARI!$A$1:$K$383,8,0)," ")</f>
        <v xml:space="preserve"> </v>
      </c>
      <c r="O202" s="100" t="str">
        <f>IFERROR(VLOOKUP(Tablo516[[#This Row],[HAMMADDE KODU]],Tablo1[#All],3,0)," ")</f>
        <v xml:space="preserve"> </v>
      </c>
      <c r="P202" s="100" t="str">
        <f>IFERROR(VLOOKUP(Tablo516[[#This Row],[HAMMADDE KODU]],Tablo1[#All],4,0)," ")</f>
        <v xml:space="preserve"> </v>
      </c>
      <c r="Q202" s="100" t="str">
        <f>IFERROR(VLOOKUP(Tablo516[[#This Row],[ÜRÜN KODU]],YMKODLARI!$A$1:$K$383,5,0)," ")</f>
        <v xml:space="preserve"> </v>
      </c>
      <c r="R202" s="100" t="str">
        <f>IFERROR(VLOOKUP(Tablo516[[#This Row],[ÜRÜN KODU]],YMKODLARI!$A$1:$K$383,6,0)," ")</f>
        <v xml:space="preserve"> </v>
      </c>
      <c r="S202" s="100" t="str">
        <f>IFERROR(Tablo516[[#This Row],[YOLLUK HARİÇ BASKI GRAMI]]/Tablo516[[#This Row],[KALIP GÖZ ADEDİ]]," ")</f>
        <v xml:space="preserve"> </v>
      </c>
      <c r="T202" s="100" t="str">
        <f t="shared" si="23"/>
        <v xml:space="preserve"> </v>
      </c>
      <c r="U202" s="100"/>
      <c r="V202" s="100" t="str">
        <f t="shared" si="22"/>
        <v xml:space="preserve"> </v>
      </c>
      <c r="W202" s="101">
        <f t="shared" si="24"/>
        <v>24</v>
      </c>
      <c r="X202" s="102">
        <f t="shared" si="25"/>
        <v>0</v>
      </c>
      <c r="Y202" s="100" t="str">
        <f t="shared" si="26"/>
        <v xml:space="preserve"> </v>
      </c>
      <c r="Z202" s="100" t="str">
        <f t="shared" si="27"/>
        <v xml:space="preserve"> </v>
      </c>
    </row>
    <row r="203" spans="1:26">
      <c r="A203" s="100"/>
      <c r="B203" s="108" t="str">
        <f>IFERROR(VLOOKUP(Tablo516[[#This Row],[ÜRÜN KODU]],YMKODLARI!$A$1:$K$383,2,0)," ")</f>
        <v xml:space="preserve"> </v>
      </c>
      <c r="C203" s="99"/>
      <c r="D203" s="100"/>
      <c r="E203" s="101"/>
      <c r="F203" s="101"/>
      <c r="G203" s="100" t="str">
        <f>IFERROR(VLOOKUP(Tablo516[[#This Row],[ÜRÜN KODU]],YMKODLARI!$A$1:$K$383,3,0)," ")</f>
        <v xml:space="preserve"> </v>
      </c>
      <c r="H203" s="100" t="str">
        <f>IFERROR(VLOOKUP(Tablo516[[#This Row],[ÜRÜN KODU]],YMKODLARI!$A$1:$K$383,4,0)," ")</f>
        <v xml:space="preserve"> </v>
      </c>
      <c r="I203" s="100"/>
      <c r="J203" s="100" t="str">
        <f>IFERROR(VLOOKUP(Tablo516[[#This Row],[ÜRÜN KODU]],YMKODLARI!$A$1:$K$383,9,0)," ")</f>
        <v xml:space="preserve"> </v>
      </c>
      <c r="K203" s="100" t="str">
        <f>IFERROR(VLOOKUP(Tablo516[[#This Row],[BOYA KODU]],Tablo14[#All],4,0)," ")</f>
        <v xml:space="preserve"> </v>
      </c>
      <c r="L203" s="100" t="str">
        <f>IFERROR(VLOOKUP(Tablo516[[#This Row],[BOYA KODU]],Tablo14[#All],6,0)," ")</f>
        <v xml:space="preserve"> </v>
      </c>
      <c r="M203" s="100" t="str">
        <f t="shared" si="21"/>
        <v xml:space="preserve"> </v>
      </c>
      <c r="N203" s="100" t="str">
        <f>IFERROR(VLOOKUP(Tablo516[[#This Row],[ÜRÜN KODU]],YMKODLARI!$A$1:$K$383,8,0)," ")</f>
        <v xml:space="preserve"> </v>
      </c>
      <c r="O203" s="100" t="str">
        <f>IFERROR(VLOOKUP(Tablo516[[#This Row],[HAMMADDE KODU]],Tablo1[#All],3,0)," ")</f>
        <v xml:space="preserve"> </v>
      </c>
      <c r="P203" s="100" t="str">
        <f>IFERROR(VLOOKUP(Tablo516[[#This Row],[HAMMADDE KODU]],Tablo1[#All],4,0)," ")</f>
        <v xml:space="preserve"> </v>
      </c>
      <c r="Q203" s="100" t="str">
        <f>IFERROR(VLOOKUP(Tablo516[[#This Row],[ÜRÜN KODU]],YMKODLARI!$A$1:$K$383,5,0)," ")</f>
        <v xml:space="preserve"> </v>
      </c>
      <c r="R203" s="100" t="str">
        <f>IFERROR(VLOOKUP(Tablo516[[#This Row],[ÜRÜN KODU]],YMKODLARI!$A$1:$K$383,6,0)," ")</f>
        <v xml:space="preserve"> </v>
      </c>
      <c r="S203" s="100" t="str">
        <f>IFERROR(Tablo516[[#This Row],[YOLLUK HARİÇ BASKI GRAMI]]/Tablo516[[#This Row],[KALIP GÖZ ADEDİ]]," ")</f>
        <v xml:space="preserve"> </v>
      </c>
      <c r="T203" s="100" t="str">
        <f t="shared" si="23"/>
        <v xml:space="preserve"> </v>
      </c>
      <c r="U203" s="100"/>
      <c r="V203" s="100" t="str">
        <f t="shared" si="22"/>
        <v xml:space="preserve"> </v>
      </c>
      <c r="W203" s="101">
        <f t="shared" si="24"/>
        <v>24</v>
      </c>
      <c r="X203" s="102">
        <f t="shared" si="25"/>
        <v>0</v>
      </c>
      <c r="Y203" s="100" t="str">
        <f t="shared" si="26"/>
        <v xml:space="preserve"> </v>
      </c>
      <c r="Z203" s="100" t="str">
        <f t="shared" si="27"/>
        <v xml:space="preserve"> </v>
      </c>
    </row>
    <row r="204" spans="1:26">
      <c r="A204" s="100"/>
      <c r="B204" s="108" t="str">
        <f>IFERROR(VLOOKUP(Tablo516[[#This Row],[ÜRÜN KODU]],YMKODLARI!$A$1:$K$383,2,0)," ")</f>
        <v xml:space="preserve"> </v>
      </c>
      <c r="C204" s="99"/>
      <c r="D204" s="100"/>
      <c r="E204" s="101"/>
      <c r="F204" s="101"/>
      <c r="G204" s="100" t="str">
        <f>IFERROR(VLOOKUP(Tablo516[[#This Row],[ÜRÜN KODU]],YMKODLARI!$A$1:$K$383,3,0)," ")</f>
        <v xml:space="preserve"> </v>
      </c>
      <c r="H204" s="100" t="str">
        <f>IFERROR(VLOOKUP(Tablo516[[#This Row],[ÜRÜN KODU]],YMKODLARI!$A$1:$K$383,4,0)," ")</f>
        <v xml:space="preserve"> </v>
      </c>
      <c r="I204" s="100"/>
      <c r="J204" s="100" t="str">
        <f>IFERROR(VLOOKUP(Tablo516[[#This Row],[ÜRÜN KODU]],YMKODLARI!$A$1:$K$383,9,0)," ")</f>
        <v xml:space="preserve"> </v>
      </c>
      <c r="K204" s="100" t="str">
        <f>IFERROR(VLOOKUP(Tablo516[[#This Row],[BOYA KODU]],Tablo14[#All],4,0)," ")</f>
        <v xml:space="preserve"> </v>
      </c>
      <c r="L204" s="100" t="str">
        <f>IFERROR(VLOOKUP(Tablo516[[#This Row],[BOYA KODU]],Tablo14[#All],6,0)," ")</f>
        <v xml:space="preserve"> </v>
      </c>
      <c r="M204" s="100" t="str">
        <f t="shared" si="21"/>
        <v xml:space="preserve"> </v>
      </c>
      <c r="N204" s="100" t="str">
        <f>IFERROR(VLOOKUP(Tablo516[[#This Row],[ÜRÜN KODU]],YMKODLARI!$A$1:$K$383,8,0)," ")</f>
        <v xml:space="preserve"> </v>
      </c>
      <c r="O204" s="100" t="str">
        <f>IFERROR(VLOOKUP(Tablo516[[#This Row],[HAMMADDE KODU]],Tablo1[#All],3,0)," ")</f>
        <v xml:space="preserve"> </v>
      </c>
      <c r="P204" s="100" t="str">
        <f>IFERROR(VLOOKUP(Tablo516[[#This Row],[HAMMADDE KODU]],Tablo1[#All],4,0)," ")</f>
        <v xml:space="preserve"> </v>
      </c>
      <c r="Q204" s="100" t="str">
        <f>IFERROR(VLOOKUP(Tablo516[[#This Row],[ÜRÜN KODU]],YMKODLARI!$A$1:$K$383,5,0)," ")</f>
        <v xml:space="preserve"> </v>
      </c>
      <c r="R204" s="100" t="str">
        <f>IFERROR(VLOOKUP(Tablo516[[#This Row],[ÜRÜN KODU]],YMKODLARI!$A$1:$K$383,6,0)," ")</f>
        <v xml:space="preserve"> </v>
      </c>
      <c r="S204" s="100" t="str">
        <f>IFERROR(Tablo516[[#This Row],[YOLLUK HARİÇ BASKI GRAMI]]/Tablo516[[#This Row],[KALIP GÖZ ADEDİ]]," ")</f>
        <v xml:space="preserve"> </v>
      </c>
      <c r="T204" s="100" t="str">
        <f t="shared" si="23"/>
        <v xml:space="preserve"> </v>
      </c>
      <c r="U204" s="100"/>
      <c r="V204" s="100" t="str">
        <f t="shared" si="22"/>
        <v xml:space="preserve"> </v>
      </c>
      <c r="W204" s="101">
        <f t="shared" si="24"/>
        <v>24</v>
      </c>
      <c r="X204" s="102">
        <f t="shared" si="25"/>
        <v>0</v>
      </c>
      <c r="Y204" s="100" t="str">
        <f t="shared" si="26"/>
        <v xml:space="preserve"> </v>
      </c>
      <c r="Z204" s="100" t="str">
        <f t="shared" si="27"/>
        <v xml:space="preserve"> </v>
      </c>
    </row>
    <row r="205" spans="1:26">
      <c r="A205" s="100"/>
      <c r="B205" s="108" t="str">
        <f>IFERROR(VLOOKUP(Tablo516[[#This Row],[ÜRÜN KODU]],YMKODLARI!$A$1:$K$383,2,0)," ")</f>
        <v xml:space="preserve"> </v>
      </c>
      <c r="C205" s="99"/>
      <c r="D205" s="100"/>
      <c r="E205" s="101"/>
      <c r="F205" s="101"/>
      <c r="G205" s="100" t="str">
        <f>IFERROR(VLOOKUP(Tablo516[[#This Row],[ÜRÜN KODU]],YMKODLARI!$A$1:$K$383,3,0)," ")</f>
        <v xml:space="preserve"> </v>
      </c>
      <c r="H205" s="100" t="str">
        <f>IFERROR(VLOOKUP(Tablo516[[#This Row],[ÜRÜN KODU]],YMKODLARI!$A$1:$K$383,4,0)," ")</f>
        <v xml:space="preserve"> </v>
      </c>
      <c r="I205" s="100"/>
      <c r="J205" s="100" t="str">
        <f>IFERROR(VLOOKUP(Tablo516[[#This Row],[ÜRÜN KODU]],YMKODLARI!$A$1:$K$383,9,0)," ")</f>
        <v xml:space="preserve"> </v>
      </c>
      <c r="K205" s="100" t="str">
        <f>IFERROR(VLOOKUP(Tablo516[[#This Row],[BOYA KODU]],Tablo14[#All],4,0)," ")</f>
        <v xml:space="preserve"> </v>
      </c>
      <c r="L205" s="100" t="str">
        <f>IFERROR(VLOOKUP(Tablo516[[#This Row],[BOYA KODU]],Tablo14[#All],6,0)," ")</f>
        <v xml:space="preserve"> </v>
      </c>
      <c r="M205" s="100" t="str">
        <f t="shared" si="21"/>
        <v xml:space="preserve"> </v>
      </c>
      <c r="N205" s="100" t="str">
        <f>IFERROR(VLOOKUP(Tablo516[[#This Row],[ÜRÜN KODU]],YMKODLARI!$A$1:$K$383,8,0)," ")</f>
        <v xml:space="preserve"> </v>
      </c>
      <c r="O205" s="100" t="str">
        <f>IFERROR(VLOOKUP(Tablo516[[#This Row],[HAMMADDE KODU]],Tablo1[#All],3,0)," ")</f>
        <v xml:space="preserve"> </v>
      </c>
      <c r="P205" s="100" t="str">
        <f>IFERROR(VLOOKUP(Tablo516[[#This Row],[HAMMADDE KODU]],Tablo1[#All],4,0)," ")</f>
        <v xml:space="preserve"> </v>
      </c>
      <c r="Q205" s="100" t="str">
        <f>IFERROR(VLOOKUP(Tablo516[[#This Row],[ÜRÜN KODU]],YMKODLARI!$A$1:$K$383,5,0)," ")</f>
        <v xml:space="preserve"> </v>
      </c>
      <c r="R205" s="100" t="str">
        <f>IFERROR(VLOOKUP(Tablo516[[#This Row],[ÜRÜN KODU]],YMKODLARI!$A$1:$K$383,6,0)," ")</f>
        <v xml:space="preserve"> </v>
      </c>
      <c r="S205" s="100" t="str">
        <f>IFERROR(Tablo516[[#This Row],[YOLLUK HARİÇ BASKI GRAMI]]/Tablo516[[#This Row],[KALIP GÖZ ADEDİ]]," ")</f>
        <v xml:space="preserve"> </v>
      </c>
      <c r="T205" s="100" t="str">
        <f t="shared" si="23"/>
        <v xml:space="preserve"> </v>
      </c>
      <c r="U205" s="100"/>
      <c r="V205" s="100" t="str">
        <f t="shared" si="22"/>
        <v xml:space="preserve"> </v>
      </c>
      <c r="W205" s="101">
        <f t="shared" si="24"/>
        <v>24</v>
      </c>
      <c r="X205" s="102">
        <f t="shared" si="25"/>
        <v>0</v>
      </c>
      <c r="Y205" s="100" t="str">
        <f t="shared" si="26"/>
        <v xml:space="preserve"> </v>
      </c>
      <c r="Z205" s="100" t="str">
        <f t="shared" si="27"/>
        <v xml:space="preserve"> </v>
      </c>
    </row>
    <row r="206" spans="1:26">
      <c r="A206" s="100"/>
      <c r="B206" s="108" t="str">
        <f>IFERROR(VLOOKUP(Tablo516[[#This Row],[ÜRÜN KODU]],YMKODLARI!$A$1:$K$383,2,0)," ")</f>
        <v xml:space="preserve"> </v>
      </c>
      <c r="C206" s="99"/>
      <c r="D206" s="100"/>
      <c r="E206" s="101"/>
      <c r="F206" s="101"/>
      <c r="G206" s="100" t="str">
        <f>IFERROR(VLOOKUP(Tablo516[[#This Row],[ÜRÜN KODU]],YMKODLARI!$A$1:$K$383,3,0)," ")</f>
        <v xml:space="preserve"> </v>
      </c>
      <c r="H206" s="100" t="str">
        <f>IFERROR(VLOOKUP(Tablo516[[#This Row],[ÜRÜN KODU]],YMKODLARI!$A$1:$K$383,4,0)," ")</f>
        <v xml:space="preserve"> </v>
      </c>
      <c r="I206" s="100"/>
      <c r="J206" s="100" t="str">
        <f>IFERROR(VLOOKUP(Tablo516[[#This Row],[ÜRÜN KODU]],YMKODLARI!$A$1:$K$383,9,0)," ")</f>
        <v xml:space="preserve"> </v>
      </c>
      <c r="K206" s="100" t="str">
        <f>IFERROR(VLOOKUP(Tablo516[[#This Row],[BOYA KODU]],Tablo14[#All],4,0)," ")</f>
        <v xml:space="preserve"> </v>
      </c>
      <c r="L206" s="100" t="str">
        <f>IFERROR(VLOOKUP(Tablo516[[#This Row],[BOYA KODU]],Tablo14[#All],6,0)," ")</f>
        <v xml:space="preserve"> </v>
      </c>
      <c r="M206" s="100" t="str">
        <f t="shared" si="21"/>
        <v xml:space="preserve"> </v>
      </c>
      <c r="N206" s="100" t="str">
        <f>IFERROR(VLOOKUP(Tablo516[[#This Row],[ÜRÜN KODU]],YMKODLARI!$A$1:$K$383,8,0)," ")</f>
        <v xml:space="preserve"> </v>
      </c>
      <c r="O206" s="100" t="str">
        <f>IFERROR(VLOOKUP(Tablo516[[#This Row],[HAMMADDE KODU]],Tablo1[#All],3,0)," ")</f>
        <v xml:space="preserve"> </v>
      </c>
      <c r="P206" s="100" t="str">
        <f>IFERROR(VLOOKUP(Tablo516[[#This Row],[HAMMADDE KODU]],Tablo1[#All],4,0)," ")</f>
        <v xml:space="preserve"> </v>
      </c>
      <c r="Q206" s="100" t="str">
        <f>IFERROR(VLOOKUP(Tablo516[[#This Row],[ÜRÜN KODU]],YMKODLARI!$A$1:$K$383,5,0)," ")</f>
        <v xml:space="preserve"> </v>
      </c>
      <c r="R206" s="100" t="str">
        <f>IFERROR(VLOOKUP(Tablo516[[#This Row],[ÜRÜN KODU]],YMKODLARI!$A$1:$K$383,6,0)," ")</f>
        <v xml:space="preserve"> </v>
      </c>
      <c r="S206" s="100" t="str">
        <f>IFERROR(Tablo516[[#This Row],[YOLLUK HARİÇ BASKI GRAMI]]/Tablo516[[#This Row],[KALIP GÖZ ADEDİ]]," ")</f>
        <v xml:space="preserve"> </v>
      </c>
      <c r="T206" s="100" t="str">
        <f t="shared" si="23"/>
        <v xml:space="preserve"> </v>
      </c>
      <c r="U206" s="100"/>
      <c r="V206" s="100" t="str">
        <f t="shared" si="22"/>
        <v xml:space="preserve"> </v>
      </c>
      <c r="W206" s="101">
        <f t="shared" si="24"/>
        <v>24</v>
      </c>
      <c r="X206" s="102">
        <f t="shared" si="25"/>
        <v>0</v>
      </c>
      <c r="Y206" s="100" t="str">
        <f t="shared" si="26"/>
        <v xml:space="preserve"> </v>
      </c>
      <c r="Z206" s="100" t="str">
        <f t="shared" si="27"/>
        <v xml:space="preserve"> </v>
      </c>
    </row>
    <row r="207" spans="1:26">
      <c r="A207" s="100"/>
      <c r="B207" s="108" t="str">
        <f>IFERROR(VLOOKUP(Tablo516[[#This Row],[ÜRÜN KODU]],YMKODLARI!$A$1:$K$383,2,0)," ")</f>
        <v xml:space="preserve"> </v>
      </c>
      <c r="C207" s="99"/>
      <c r="D207" s="100"/>
      <c r="E207" s="101"/>
      <c r="F207" s="101"/>
      <c r="G207" s="100" t="str">
        <f>IFERROR(VLOOKUP(Tablo516[[#This Row],[ÜRÜN KODU]],YMKODLARI!$A$1:$K$383,3,0)," ")</f>
        <v xml:space="preserve"> </v>
      </c>
      <c r="H207" s="100" t="str">
        <f>IFERROR(VLOOKUP(Tablo516[[#This Row],[ÜRÜN KODU]],YMKODLARI!$A$1:$K$383,4,0)," ")</f>
        <v xml:space="preserve"> </v>
      </c>
      <c r="I207" s="100"/>
      <c r="J207" s="100" t="str">
        <f>IFERROR(VLOOKUP(Tablo516[[#This Row],[ÜRÜN KODU]],YMKODLARI!$A$1:$K$383,9,0)," ")</f>
        <v xml:space="preserve"> </v>
      </c>
      <c r="K207" s="100" t="str">
        <f>IFERROR(VLOOKUP(Tablo516[[#This Row],[BOYA KODU]],Tablo14[#All],4,0)," ")</f>
        <v xml:space="preserve"> </v>
      </c>
      <c r="L207" s="100" t="str">
        <f>IFERROR(VLOOKUP(Tablo516[[#This Row],[BOYA KODU]],Tablo14[#All],6,0)," ")</f>
        <v xml:space="preserve"> </v>
      </c>
      <c r="M207" s="100" t="str">
        <f t="shared" si="21"/>
        <v xml:space="preserve"> </v>
      </c>
      <c r="N207" s="100" t="str">
        <f>IFERROR(VLOOKUP(Tablo516[[#This Row],[ÜRÜN KODU]],YMKODLARI!$A$1:$K$383,8,0)," ")</f>
        <v xml:space="preserve"> </v>
      </c>
      <c r="O207" s="100" t="str">
        <f>IFERROR(VLOOKUP(Tablo516[[#This Row],[HAMMADDE KODU]],Tablo1[#All],3,0)," ")</f>
        <v xml:space="preserve"> </v>
      </c>
      <c r="P207" s="100" t="str">
        <f>IFERROR(VLOOKUP(Tablo516[[#This Row],[HAMMADDE KODU]],Tablo1[#All],4,0)," ")</f>
        <v xml:space="preserve"> </v>
      </c>
      <c r="Q207" s="100" t="str">
        <f>IFERROR(VLOOKUP(Tablo516[[#This Row],[ÜRÜN KODU]],YMKODLARI!$A$1:$K$383,5,0)," ")</f>
        <v xml:space="preserve"> </v>
      </c>
      <c r="R207" s="100" t="str">
        <f>IFERROR(VLOOKUP(Tablo516[[#This Row],[ÜRÜN KODU]],YMKODLARI!$A$1:$K$383,6,0)," ")</f>
        <v xml:space="preserve"> </v>
      </c>
      <c r="S207" s="100" t="str">
        <f>IFERROR(Tablo516[[#This Row],[YOLLUK HARİÇ BASKI GRAMI]]/Tablo516[[#This Row],[KALIP GÖZ ADEDİ]]," ")</f>
        <v xml:space="preserve"> </v>
      </c>
      <c r="T207" s="100" t="str">
        <f t="shared" si="23"/>
        <v xml:space="preserve"> </v>
      </c>
      <c r="U207" s="100"/>
      <c r="V207" s="100" t="str">
        <f t="shared" si="22"/>
        <v xml:space="preserve"> </v>
      </c>
      <c r="W207" s="101">
        <f t="shared" si="24"/>
        <v>24</v>
      </c>
      <c r="X207" s="102">
        <f t="shared" si="25"/>
        <v>0</v>
      </c>
      <c r="Y207" s="100" t="str">
        <f t="shared" si="26"/>
        <v xml:space="preserve"> </v>
      </c>
      <c r="Z207" s="100" t="str">
        <f t="shared" si="27"/>
        <v xml:space="preserve"> </v>
      </c>
    </row>
    <row r="208" spans="1:26">
      <c r="A208" s="100"/>
      <c r="B208" s="108" t="str">
        <f>IFERROR(VLOOKUP(Tablo516[[#This Row],[ÜRÜN KODU]],YMKODLARI!$A$1:$K$383,2,0)," ")</f>
        <v xml:space="preserve"> </v>
      </c>
      <c r="C208" s="99"/>
      <c r="D208" s="100"/>
      <c r="E208" s="101"/>
      <c r="F208" s="101"/>
      <c r="G208" s="100" t="str">
        <f>IFERROR(VLOOKUP(Tablo516[[#This Row],[ÜRÜN KODU]],YMKODLARI!$A$1:$K$383,3,0)," ")</f>
        <v xml:space="preserve"> </v>
      </c>
      <c r="H208" s="100" t="str">
        <f>IFERROR(VLOOKUP(Tablo516[[#This Row],[ÜRÜN KODU]],YMKODLARI!$A$1:$K$383,4,0)," ")</f>
        <v xml:space="preserve"> </v>
      </c>
      <c r="I208" s="100"/>
      <c r="J208" s="100" t="str">
        <f>IFERROR(VLOOKUP(Tablo516[[#This Row],[ÜRÜN KODU]],YMKODLARI!$A$1:$K$383,9,0)," ")</f>
        <v xml:space="preserve"> </v>
      </c>
      <c r="K208" s="100" t="str">
        <f>IFERROR(VLOOKUP(Tablo516[[#This Row],[BOYA KODU]],Tablo14[#All],4,0)," ")</f>
        <v xml:space="preserve"> </v>
      </c>
      <c r="L208" s="100" t="str">
        <f>IFERROR(VLOOKUP(Tablo516[[#This Row],[BOYA KODU]],Tablo14[#All],6,0)," ")</f>
        <v xml:space="preserve"> </v>
      </c>
      <c r="M208" s="100" t="str">
        <f t="shared" si="21"/>
        <v xml:space="preserve"> </v>
      </c>
      <c r="N208" s="100" t="str">
        <f>IFERROR(VLOOKUP(Tablo516[[#This Row],[ÜRÜN KODU]],YMKODLARI!$A$1:$K$383,8,0)," ")</f>
        <v xml:space="preserve"> </v>
      </c>
      <c r="O208" s="100" t="str">
        <f>IFERROR(VLOOKUP(Tablo516[[#This Row],[HAMMADDE KODU]],Tablo1[#All],3,0)," ")</f>
        <v xml:space="preserve"> </v>
      </c>
      <c r="P208" s="100" t="str">
        <f>IFERROR(VLOOKUP(Tablo516[[#This Row],[HAMMADDE KODU]],Tablo1[#All],4,0)," ")</f>
        <v xml:space="preserve"> </v>
      </c>
      <c r="Q208" s="100" t="str">
        <f>IFERROR(VLOOKUP(Tablo516[[#This Row],[ÜRÜN KODU]],YMKODLARI!$A$1:$K$383,5,0)," ")</f>
        <v xml:space="preserve"> </v>
      </c>
      <c r="R208" s="100" t="str">
        <f>IFERROR(VLOOKUP(Tablo516[[#This Row],[ÜRÜN KODU]],YMKODLARI!$A$1:$K$383,6,0)," ")</f>
        <v xml:space="preserve"> </v>
      </c>
      <c r="S208" s="100" t="str">
        <f>IFERROR(Tablo516[[#This Row],[YOLLUK HARİÇ BASKI GRAMI]]/Tablo516[[#This Row],[KALIP GÖZ ADEDİ]]," ")</f>
        <v xml:space="preserve"> </v>
      </c>
      <c r="T208" s="100" t="str">
        <f t="shared" si="23"/>
        <v xml:space="preserve"> </v>
      </c>
      <c r="U208" s="100"/>
      <c r="V208" s="100" t="str">
        <f t="shared" si="22"/>
        <v xml:space="preserve"> </v>
      </c>
      <c r="W208" s="101">
        <f t="shared" si="24"/>
        <v>24</v>
      </c>
      <c r="X208" s="102">
        <f t="shared" si="25"/>
        <v>0</v>
      </c>
      <c r="Y208" s="100" t="str">
        <f t="shared" si="26"/>
        <v xml:space="preserve"> </v>
      </c>
      <c r="Z208" s="100" t="str">
        <f t="shared" si="27"/>
        <v xml:space="preserve"> </v>
      </c>
    </row>
    <row r="209" spans="1:26">
      <c r="A209" s="100"/>
      <c r="B209" s="108" t="str">
        <f>IFERROR(VLOOKUP(Tablo516[[#This Row],[ÜRÜN KODU]],YMKODLARI!$A$1:$K$383,2,0)," ")</f>
        <v xml:space="preserve"> </v>
      </c>
      <c r="C209" s="99"/>
      <c r="D209" s="100"/>
      <c r="E209" s="101"/>
      <c r="F209" s="101"/>
      <c r="G209" s="100" t="str">
        <f>IFERROR(VLOOKUP(Tablo516[[#This Row],[ÜRÜN KODU]],YMKODLARI!$A$1:$K$383,3,0)," ")</f>
        <v xml:space="preserve"> </v>
      </c>
      <c r="H209" s="100" t="str">
        <f>IFERROR(VLOOKUP(Tablo516[[#This Row],[ÜRÜN KODU]],YMKODLARI!$A$1:$K$383,4,0)," ")</f>
        <v xml:space="preserve"> </v>
      </c>
      <c r="I209" s="100"/>
      <c r="J209" s="100" t="str">
        <f>IFERROR(VLOOKUP(Tablo516[[#This Row],[ÜRÜN KODU]],YMKODLARI!$A$1:$K$383,9,0)," ")</f>
        <v xml:space="preserve"> </v>
      </c>
      <c r="K209" s="100" t="str">
        <f>IFERROR(VLOOKUP(Tablo516[[#This Row],[BOYA KODU]],Tablo14[#All],4,0)," ")</f>
        <v xml:space="preserve"> </v>
      </c>
      <c r="L209" s="100" t="str">
        <f>IFERROR(VLOOKUP(Tablo516[[#This Row],[BOYA KODU]],Tablo14[#All],6,0)," ")</f>
        <v xml:space="preserve"> </v>
      </c>
      <c r="M209" s="100" t="str">
        <f t="shared" si="21"/>
        <v xml:space="preserve"> </v>
      </c>
      <c r="N209" s="100" t="str">
        <f>IFERROR(VLOOKUP(Tablo516[[#This Row],[ÜRÜN KODU]],YMKODLARI!$A$1:$K$383,8,0)," ")</f>
        <v xml:space="preserve"> </v>
      </c>
      <c r="O209" s="100" t="str">
        <f>IFERROR(VLOOKUP(Tablo516[[#This Row],[HAMMADDE KODU]],Tablo1[#All],3,0)," ")</f>
        <v xml:space="preserve"> </v>
      </c>
      <c r="P209" s="100" t="str">
        <f>IFERROR(VLOOKUP(Tablo516[[#This Row],[HAMMADDE KODU]],Tablo1[#All],4,0)," ")</f>
        <v xml:space="preserve"> </v>
      </c>
      <c r="Q209" s="100" t="str">
        <f>IFERROR(VLOOKUP(Tablo516[[#This Row],[ÜRÜN KODU]],YMKODLARI!$A$1:$K$383,5,0)," ")</f>
        <v xml:space="preserve"> </v>
      </c>
      <c r="R209" s="100" t="str">
        <f>IFERROR(VLOOKUP(Tablo516[[#This Row],[ÜRÜN KODU]],YMKODLARI!$A$1:$K$383,6,0)," ")</f>
        <v xml:space="preserve"> </v>
      </c>
      <c r="S209" s="100" t="str">
        <f>IFERROR(Tablo516[[#This Row],[YOLLUK HARİÇ BASKI GRAMI]]/Tablo516[[#This Row],[KALIP GÖZ ADEDİ]]," ")</f>
        <v xml:space="preserve"> </v>
      </c>
      <c r="T209" s="100" t="str">
        <f t="shared" si="23"/>
        <v xml:space="preserve"> </v>
      </c>
      <c r="U209" s="100"/>
      <c r="V209" s="100" t="str">
        <f t="shared" si="22"/>
        <v xml:space="preserve"> </v>
      </c>
      <c r="W209" s="101">
        <f t="shared" si="24"/>
        <v>24</v>
      </c>
      <c r="X209" s="102">
        <f t="shared" si="25"/>
        <v>0</v>
      </c>
      <c r="Y209" s="100" t="str">
        <f t="shared" si="26"/>
        <v xml:space="preserve"> </v>
      </c>
      <c r="Z209" s="100" t="str">
        <f t="shared" si="27"/>
        <v xml:space="preserve"> </v>
      </c>
    </row>
    <row r="210" spans="1:26">
      <c r="A210" s="100"/>
      <c r="B210" s="108" t="str">
        <f>IFERROR(VLOOKUP(Tablo516[[#This Row],[ÜRÜN KODU]],YMKODLARI!$A$1:$K$383,2,0)," ")</f>
        <v xml:space="preserve"> </v>
      </c>
      <c r="C210" s="99"/>
      <c r="D210" s="100"/>
      <c r="E210" s="101"/>
      <c r="F210" s="101"/>
      <c r="G210" s="100" t="str">
        <f>IFERROR(VLOOKUP(Tablo516[[#This Row],[ÜRÜN KODU]],YMKODLARI!$A$1:$K$383,3,0)," ")</f>
        <v xml:space="preserve"> </v>
      </c>
      <c r="H210" s="100" t="str">
        <f>IFERROR(VLOOKUP(Tablo516[[#This Row],[ÜRÜN KODU]],YMKODLARI!$A$1:$K$383,4,0)," ")</f>
        <v xml:space="preserve"> </v>
      </c>
      <c r="I210" s="100"/>
      <c r="J210" s="100" t="str">
        <f>IFERROR(VLOOKUP(Tablo516[[#This Row],[ÜRÜN KODU]],YMKODLARI!$A$1:$K$383,9,0)," ")</f>
        <v xml:space="preserve"> </v>
      </c>
      <c r="K210" s="100" t="str">
        <f>IFERROR(VLOOKUP(Tablo516[[#This Row],[BOYA KODU]],Tablo14[#All],4,0)," ")</f>
        <v xml:space="preserve"> </v>
      </c>
      <c r="L210" s="100" t="str">
        <f>IFERROR(VLOOKUP(Tablo516[[#This Row],[BOYA KODU]],Tablo14[#All],6,0)," ")</f>
        <v xml:space="preserve"> </v>
      </c>
      <c r="M210" s="100" t="str">
        <f t="shared" si="21"/>
        <v xml:space="preserve"> </v>
      </c>
      <c r="N210" s="100" t="str">
        <f>IFERROR(VLOOKUP(Tablo516[[#This Row],[ÜRÜN KODU]],YMKODLARI!$A$1:$K$383,8,0)," ")</f>
        <v xml:space="preserve"> </v>
      </c>
      <c r="O210" s="100" t="str">
        <f>IFERROR(VLOOKUP(Tablo516[[#This Row],[HAMMADDE KODU]],Tablo1[#All],3,0)," ")</f>
        <v xml:space="preserve"> </v>
      </c>
      <c r="P210" s="100" t="str">
        <f>IFERROR(VLOOKUP(Tablo516[[#This Row],[HAMMADDE KODU]],Tablo1[#All],4,0)," ")</f>
        <v xml:space="preserve"> </v>
      </c>
      <c r="Q210" s="100" t="str">
        <f>IFERROR(VLOOKUP(Tablo516[[#This Row],[ÜRÜN KODU]],YMKODLARI!$A$1:$K$383,5,0)," ")</f>
        <v xml:space="preserve"> </v>
      </c>
      <c r="R210" s="100" t="str">
        <f>IFERROR(VLOOKUP(Tablo516[[#This Row],[ÜRÜN KODU]],YMKODLARI!$A$1:$K$383,6,0)," ")</f>
        <v xml:space="preserve"> </v>
      </c>
      <c r="S210" s="100" t="str">
        <f>IFERROR(Tablo516[[#This Row],[YOLLUK HARİÇ BASKI GRAMI]]/Tablo516[[#This Row],[KALIP GÖZ ADEDİ]]," ")</f>
        <v xml:space="preserve"> </v>
      </c>
      <c r="T210" s="100" t="str">
        <f t="shared" si="23"/>
        <v xml:space="preserve"> </v>
      </c>
      <c r="U210" s="100"/>
      <c r="V210" s="100" t="str">
        <f t="shared" si="22"/>
        <v xml:space="preserve"> </v>
      </c>
      <c r="W210" s="101">
        <f t="shared" si="24"/>
        <v>24</v>
      </c>
      <c r="X210" s="102">
        <f t="shared" si="25"/>
        <v>0</v>
      </c>
      <c r="Y210" s="100" t="str">
        <f t="shared" si="26"/>
        <v xml:space="preserve"> </v>
      </c>
      <c r="Z210" s="100" t="str">
        <f t="shared" si="27"/>
        <v xml:space="preserve"> </v>
      </c>
    </row>
    <row r="211" spans="1:26">
      <c r="A211" s="100"/>
      <c r="B211" s="108" t="str">
        <f>IFERROR(VLOOKUP(Tablo516[[#This Row],[ÜRÜN KODU]],YMKODLARI!$A$1:$K$383,2,0)," ")</f>
        <v xml:space="preserve"> </v>
      </c>
      <c r="C211" s="99"/>
      <c r="D211" s="100"/>
      <c r="E211" s="101"/>
      <c r="F211" s="101"/>
      <c r="G211" s="100" t="str">
        <f>IFERROR(VLOOKUP(Tablo516[[#This Row],[ÜRÜN KODU]],YMKODLARI!$A$1:$K$383,3,0)," ")</f>
        <v xml:space="preserve"> </v>
      </c>
      <c r="H211" s="100" t="str">
        <f>IFERROR(VLOOKUP(Tablo516[[#This Row],[ÜRÜN KODU]],YMKODLARI!$A$1:$K$383,4,0)," ")</f>
        <v xml:space="preserve"> </v>
      </c>
      <c r="I211" s="100"/>
      <c r="J211" s="100" t="str">
        <f>IFERROR(VLOOKUP(Tablo516[[#This Row],[ÜRÜN KODU]],YMKODLARI!$A$1:$K$383,9,0)," ")</f>
        <v xml:space="preserve"> </v>
      </c>
      <c r="K211" s="100" t="str">
        <f>IFERROR(VLOOKUP(Tablo516[[#This Row],[BOYA KODU]],Tablo14[#All],4,0)," ")</f>
        <v xml:space="preserve"> </v>
      </c>
      <c r="L211" s="100" t="str">
        <f>IFERROR(VLOOKUP(Tablo516[[#This Row],[BOYA KODU]],Tablo14[#All],6,0)," ")</f>
        <v xml:space="preserve"> </v>
      </c>
      <c r="M211" s="100" t="str">
        <f t="shared" si="21"/>
        <v xml:space="preserve"> </v>
      </c>
      <c r="N211" s="100" t="str">
        <f>IFERROR(VLOOKUP(Tablo516[[#This Row],[ÜRÜN KODU]],YMKODLARI!$A$1:$K$383,8,0)," ")</f>
        <v xml:space="preserve"> </v>
      </c>
      <c r="O211" s="100" t="str">
        <f>IFERROR(VLOOKUP(Tablo516[[#This Row],[HAMMADDE KODU]],Tablo1[#All],3,0)," ")</f>
        <v xml:space="preserve"> </v>
      </c>
      <c r="P211" s="100" t="str">
        <f>IFERROR(VLOOKUP(Tablo516[[#This Row],[HAMMADDE KODU]],Tablo1[#All],4,0)," ")</f>
        <v xml:space="preserve"> </v>
      </c>
      <c r="Q211" s="100" t="str">
        <f>IFERROR(VLOOKUP(Tablo516[[#This Row],[ÜRÜN KODU]],YMKODLARI!$A$1:$K$383,5,0)," ")</f>
        <v xml:space="preserve"> </v>
      </c>
      <c r="R211" s="100" t="str">
        <f>IFERROR(VLOOKUP(Tablo516[[#This Row],[ÜRÜN KODU]],YMKODLARI!$A$1:$K$383,6,0)," ")</f>
        <v xml:space="preserve"> </v>
      </c>
      <c r="S211" s="100" t="str">
        <f>IFERROR(Tablo516[[#This Row],[YOLLUK HARİÇ BASKI GRAMI]]/Tablo516[[#This Row],[KALIP GÖZ ADEDİ]]," ")</f>
        <v xml:space="preserve"> </v>
      </c>
      <c r="T211" s="100" t="str">
        <f t="shared" si="23"/>
        <v xml:space="preserve"> </v>
      </c>
      <c r="U211" s="100"/>
      <c r="V211" s="100" t="str">
        <f t="shared" si="22"/>
        <v xml:space="preserve"> </v>
      </c>
      <c r="W211" s="101">
        <f t="shared" si="24"/>
        <v>24</v>
      </c>
      <c r="X211" s="102">
        <f t="shared" si="25"/>
        <v>0</v>
      </c>
      <c r="Y211" s="100" t="str">
        <f t="shared" si="26"/>
        <v xml:space="preserve"> </v>
      </c>
      <c r="Z211" s="100" t="str">
        <f t="shared" si="27"/>
        <v xml:space="preserve"> </v>
      </c>
    </row>
    <row r="212" spans="1:26">
      <c r="A212" s="100"/>
      <c r="B212" s="108" t="str">
        <f>IFERROR(VLOOKUP(Tablo516[[#This Row],[ÜRÜN KODU]],YMKODLARI!$A$1:$K$383,2,0)," ")</f>
        <v xml:space="preserve"> </v>
      </c>
      <c r="C212" s="99"/>
      <c r="D212" s="100"/>
      <c r="E212" s="101"/>
      <c r="F212" s="101"/>
      <c r="G212" s="100" t="str">
        <f>IFERROR(VLOOKUP(Tablo516[[#This Row],[ÜRÜN KODU]],YMKODLARI!$A$1:$K$383,3,0)," ")</f>
        <v xml:space="preserve"> </v>
      </c>
      <c r="H212" s="100" t="str">
        <f>IFERROR(VLOOKUP(Tablo516[[#This Row],[ÜRÜN KODU]],YMKODLARI!$A$1:$K$383,4,0)," ")</f>
        <v xml:space="preserve"> </v>
      </c>
      <c r="I212" s="100"/>
      <c r="J212" s="100" t="str">
        <f>IFERROR(VLOOKUP(Tablo516[[#This Row],[ÜRÜN KODU]],YMKODLARI!$A$1:$K$383,9,0)," ")</f>
        <v xml:space="preserve"> </v>
      </c>
      <c r="K212" s="100" t="str">
        <f>IFERROR(VLOOKUP(Tablo516[[#This Row],[BOYA KODU]],Tablo14[#All],4,0)," ")</f>
        <v xml:space="preserve"> </v>
      </c>
      <c r="L212" s="100" t="str">
        <f>IFERROR(VLOOKUP(Tablo516[[#This Row],[BOYA KODU]],Tablo14[#All],6,0)," ")</f>
        <v xml:space="preserve"> </v>
      </c>
      <c r="M212" s="100" t="str">
        <f t="shared" si="21"/>
        <v xml:space="preserve"> </v>
      </c>
      <c r="N212" s="100" t="str">
        <f>IFERROR(VLOOKUP(Tablo516[[#This Row],[ÜRÜN KODU]],YMKODLARI!$A$1:$K$383,8,0)," ")</f>
        <v xml:space="preserve"> </v>
      </c>
      <c r="O212" s="100" t="str">
        <f>IFERROR(VLOOKUP(Tablo516[[#This Row],[HAMMADDE KODU]],Tablo1[#All],3,0)," ")</f>
        <v xml:space="preserve"> </v>
      </c>
      <c r="P212" s="100" t="str">
        <f>IFERROR(VLOOKUP(Tablo516[[#This Row],[HAMMADDE KODU]],Tablo1[#All],4,0)," ")</f>
        <v xml:space="preserve"> </v>
      </c>
      <c r="Q212" s="100" t="str">
        <f>IFERROR(VLOOKUP(Tablo516[[#This Row],[ÜRÜN KODU]],YMKODLARI!$A$1:$K$383,5,0)," ")</f>
        <v xml:space="preserve"> </v>
      </c>
      <c r="R212" s="100" t="str">
        <f>IFERROR(VLOOKUP(Tablo516[[#This Row],[ÜRÜN KODU]],YMKODLARI!$A$1:$K$383,6,0)," ")</f>
        <v xml:space="preserve"> </v>
      </c>
      <c r="S212" s="100" t="str">
        <f>IFERROR(Tablo516[[#This Row],[YOLLUK HARİÇ BASKI GRAMI]]/Tablo516[[#This Row],[KALIP GÖZ ADEDİ]]," ")</f>
        <v xml:space="preserve"> </v>
      </c>
      <c r="T212" s="100" t="str">
        <f t="shared" si="23"/>
        <v xml:space="preserve"> </v>
      </c>
      <c r="U212" s="100"/>
      <c r="V212" s="100" t="str">
        <f t="shared" si="22"/>
        <v xml:space="preserve"> </v>
      </c>
      <c r="W212" s="101">
        <f t="shared" si="24"/>
        <v>24</v>
      </c>
      <c r="X212" s="102">
        <f t="shared" si="25"/>
        <v>0</v>
      </c>
      <c r="Y212" s="100" t="str">
        <f t="shared" si="26"/>
        <v xml:space="preserve"> </v>
      </c>
      <c r="Z212" s="100" t="str">
        <f t="shared" si="27"/>
        <v xml:space="preserve"> </v>
      </c>
    </row>
    <row r="213" spans="1:26">
      <c r="A213" s="100"/>
      <c r="B213" s="108" t="str">
        <f>IFERROR(VLOOKUP(Tablo516[[#This Row],[ÜRÜN KODU]],YMKODLARI!$A$1:$K$383,2,0)," ")</f>
        <v xml:space="preserve"> </v>
      </c>
      <c r="C213" s="99"/>
      <c r="D213" s="100"/>
      <c r="E213" s="101"/>
      <c r="F213" s="101"/>
      <c r="G213" s="100" t="str">
        <f>IFERROR(VLOOKUP(Tablo516[[#This Row],[ÜRÜN KODU]],YMKODLARI!$A$1:$K$383,3,0)," ")</f>
        <v xml:space="preserve"> </v>
      </c>
      <c r="H213" s="100" t="str">
        <f>IFERROR(VLOOKUP(Tablo516[[#This Row],[ÜRÜN KODU]],YMKODLARI!$A$1:$K$383,4,0)," ")</f>
        <v xml:space="preserve"> </v>
      </c>
      <c r="I213" s="100"/>
      <c r="J213" s="100" t="str">
        <f>IFERROR(VLOOKUP(Tablo516[[#This Row],[ÜRÜN KODU]],YMKODLARI!$A$1:$K$383,9,0)," ")</f>
        <v xml:space="preserve"> </v>
      </c>
      <c r="K213" s="100" t="str">
        <f>IFERROR(VLOOKUP(Tablo516[[#This Row],[BOYA KODU]],Tablo14[#All],4,0)," ")</f>
        <v xml:space="preserve"> </v>
      </c>
      <c r="L213" s="100" t="str">
        <f>IFERROR(VLOOKUP(Tablo516[[#This Row],[BOYA KODU]],Tablo14[#All],6,0)," ")</f>
        <v xml:space="preserve"> </v>
      </c>
      <c r="M213" s="100" t="str">
        <f t="shared" si="21"/>
        <v xml:space="preserve"> </v>
      </c>
      <c r="N213" s="100" t="str">
        <f>IFERROR(VLOOKUP(Tablo516[[#This Row],[ÜRÜN KODU]],YMKODLARI!$A$1:$K$383,8,0)," ")</f>
        <v xml:space="preserve"> </v>
      </c>
      <c r="O213" s="100" t="str">
        <f>IFERROR(VLOOKUP(Tablo516[[#This Row],[HAMMADDE KODU]],Tablo1[#All],3,0)," ")</f>
        <v xml:space="preserve"> </v>
      </c>
      <c r="P213" s="100" t="str">
        <f>IFERROR(VLOOKUP(Tablo516[[#This Row],[HAMMADDE KODU]],Tablo1[#All],4,0)," ")</f>
        <v xml:space="preserve"> </v>
      </c>
      <c r="Q213" s="100" t="str">
        <f>IFERROR(VLOOKUP(Tablo516[[#This Row],[ÜRÜN KODU]],YMKODLARI!$A$1:$K$383,5,0)," ")</f>
        <v xml:space="preserve"> </v>
      </c>
      <c r="R213" s="100" t="str">
        <f>IFERROR(VLOOKUP(Tablo516[[#This Row],[ÜRÜN KODU]],YMKODLARI!$A$1:$K$383,6,0)," ")</f>
        <v xml:space="preserve"> </v>
      </c>
      <c r="S213" s="100" t="str">
        <f>IFERROR(Tablo516[[#This Row],[YOLLUK HARİÇ BASKI GRAMI]]/Tablo516[[#This Row],[KALIP GÖZ ADEDİ]]," ")</f>
        <v xml:space="preserve"> </v>
      </c>
      <c r="T213" s="100" t="str">
        <f t="shared" si="23"/>
        <v xml:space="preserve"> </v>
      </c>
      <c r="U213" s="100"/>
      <c r="V213" s="100" t="str">
        <f t="shared" si="22"/>
        <v xml:space="preserve"> </v>
      </c>
      <c r="W213" s="101">
        <f t="shared" si="24"/>
        <v>24</v>
      </c>
      <c r="X213" s="102">
        <f t="shared" si="25"/>
        <v>0</v>
      </c>
      <c r="Y213" s="100" t="str">
        <f t="shared" si="26"/>
        <v xml:space="preserve"> </v>
      </c>
      <c r="Z213" s="100" t="str">
        <f t="shared" si="27"/>
        <v xml:space="preserve"> </v>
      </c>
    </row>
    <row r="214" spans="1:26">
      <c r="A214" s="100"/>
      <c r="B214" s="108" t="str">
        <f>IFERROR(VLOOKUP(Tablo516[[#This Row],[ÜRÜN KODU]],YMKODLARI!$A$1:$K$383,2,0)," ")</f>
        <v xml:space="preserve"> </v>
      </c>
      <c r="C214" s="99"/>
      <c r="D214" s="100"/>
      <c r="E214" s="101"/>
      <c r="F214" s="101"/>
      <c r="G214" s="100" t="str">
        <f>IFERROR(VLOOKUP(Tablo516[[#This Row],[ÜRÜN KODU]],YMKODLARI!$A$1:$K$383,3,0)," ")</f>
        <v xml:space="preserve"> </v>
      </c>
      <c r="H214" s="100" t="str">
        <f>IFERROR(VLOOKUP(Tablo516[[#This Row],[ÜRÜN KODU]],YMKODLARI!$A$1:$K$383,4,0)," ")</f>
        <v xml:space="preserve"> </v>
      </c>
      <c r="I214" s="100"/>
      <c r="J214" s="100" t="str">
        <f>IFERROR(VLOOKUP(Tablo516[[#This Row],[ÜRÜN KODU]],YMKODLARI!$A$1:$K$383,9,0)," ")</f>
        <v xml:space="preserve"> </v>
      </c>
      <c r="K214" s="100" t="str">
        <f>IFERROR(VLOOKUP(Tablo516[[#This Row],[BOYA KODU]],Tablo14[#All],4,0)," ")</f>
        <v xml:space="preserve"> </v>
      </c>
      <c r="L214" s="100" t="str">
        <f>IFERROR(VLOOKUP(Tablo516[[#This Row],[BOYA KODU]],Tablo14[#All],6,0)," ")</f>
        <v xml:space="preserve"> </v>
      </c>
      <c r="M214" s="100" t="str">
        <f t="shared" si="21"/>
        <v xml:space="preserve"> </v>
      </c>
      <c r="N214" s="100" t="str">
        <f>IFERROR(VLOOKUP(Tablo516[[#This Row],[ÜRÜN KODU]],YMKODLARI!$A$1:$K$383,8,0)," ")</f>
        <v xml:space="preserve"> </v>
      </c>
      <c r="O214" s="100" t="str">
        <f>IFERROR(VLOOKUP(Tablo516[[#This Row],[HAMMADDE KODU]],Tablo1[#All],3,0)," ")</f>
        <v xml:space="preserve"> </v>
      </c>
      <c r="P214" s="100" t="str">
        <f>IFERROR(VLOOKUP(Tablo516[[#This Row],[HAMMADDE KODU]],Tablo1[#All],4,0)," ")</f>
        <v xml:space="preserve"> </v>
      </c>
      <c r="Q214" s="100" t="str">
        <f>IFERROR(VLOOKUP(Tablo516[[#This Row],[ÜRÜN KODU]],YMKODLARI!$A$1:$K$383,5,0)," ")</f>
        <v xml:space="preserve"> </v>
      </c>
      <c r="R214" s="100" t="str">
        <f>IFERROR(VLOOKUP(Tablo516[[#This Row],[ÜRÜN KODU]],YMKODLARI!$A$1:$K$383,6,0)," ")</f>
        <v xml:space="preserve"> </v>
      </c>
      <c r="S214" s="100" t="str">
        <f>IFERROR(Tablo516[[#This Row],[YOLLUK HARİÇ BASKI GRAMI]]/Tablo516[[#This Row],[KALIP GÖZ ADEDİ]]," ")</f>
        <v xml:space="preserve"> </v>
      </c>
      <c r="T214" s="100" t="str">
        <f t="shared" si="23"/>
        <v xml:space="preserve"> </v>
      </c>
      <c r="U214" s="100"/>
      <c r="V214" s="100" t="str">
        <f t="shared" si="22"/>
        <v xml:space="preserve"> </v>
      </c>
      <c r="W214" s="101">
        <f t="shared" si="24"/>
        <v>24</v>
      </c>
      <c r="X214" s="102">
        <f t="shared" si="25"/>
        <v>0</v>
      </c>
      <c r="Y214" s="100" t="str">
        <f t="shared" si="26"/>
        <v xml:space="preserve"> </v>
      </c>
      <c r="Z214" s="100" t="str">
        <f t="shared" si="27"/>
        <v xml:space="preserve"> </v>
      </c>
    </row>
    <row r="215" spans="1:26">
      <c r="A215" s="100"/>
      <c r="B215" s="108" t="str">
        <f>IFERROR(VLOOKUP(Tablo516[[#This Row],[ÜRÜN KODU]],YMKODLARI!$A$1:$K$383,2,0)," ")</f>
        <v xml:space="preserve"> </v>
      </c>
      <c r="C215" s="99"/>
      <c r="D215" s="100"/>
      <c r="E215" s="101"/>
      <c r="F215" s="101"/>
      <c r="G215" s="100" t="str">
        <f>IFERROR(VLOOKUP(Tablo516[[#This Row],[ÜRÜN KODU]],YMKODLARI!$A$1:$K$383,3,0)," ")</f>
        <v xml:space="preserve"> </v>
      </c>
      <c r="H215" s="100" t="str">
        <f>IFERROR(VLOOKUP(Tablo516[[#This Row],[ÜRÜN KODU]],YMKODLARI!$A$1:$K$383,4,0)," ")</f>
        <v xml:space="preserve"> </v>
      </c>
      <c r="I215" s="100"/>
      <c r="J215" s="100" t="str">
        <f>IFERROR(VLOOKUP(Tablo516[[#This Row],[ÜRÜN KODU]],YMKODLARI!$A$1:$K$383,9,0)," ")</f>
        <v xml:space="preserve"> </v>
      </c>
      <c r="K215" s="100" t="str">
        <f>IFERROR(VLOOKUP(Tablo516[[#This Row],[BOYA KODU]],Tablo14[#All],4,0)," ")</f>
        <v xml:space="preserve"> </v>
      </c>
      <c r="L215" s="100" t="str">
        <f>IFERROR(VLOOKUP(Tablo516[[#This Row],[BOYA KODU]],Tablo14[#All],6,0)," ")</f>
        <v xml:space="preserve"> </v>
      </c>
      <c r="M215" s="100" t="str">
        <f t="shared" si="21"/>
        <v xml:space="preserve"> </v>
      </c>
      <c r="N215" s="100" t="str">
        <f>IFERROR(VLOOKUP(Tablo516[[#This Row],[ÜRÜN KODU]],YMKODLARI!$A$1:$K$383,8,0)," ")</f>
        <v xml:space="preserve"> </v>
      </c>
      <c r="O215" s="100" t="str">
        <f>IFERROR(VLOOKUP(Tablo516[[#This Row],[HAMMADDE KODU]],Tablo1[#All],3,0)," ")</f>
        <v xml:space="preserve"> </v>
      </c>
      <c r="P215" s="100" t="str">
        <f>IFERROR(VLOOKUP(Tablo516[[#This Row],[HAMMADDE KODU]],Tablo1[#All],4,0)," ")</f>
        <v xml:space="preserve"> </v>
      </c>
      <c r="Q215" s="100" t="str">
        <f>IFERROR(VLOOKUP(Tablo516[[#This Row],[ÜRÜN KODU]],YMKODLARI!$A$1:$K$383,5,0)," ")</f>
        <v xml:space="preserve"> </v>
      </c>
      <c r="R215" s="100" t="str">
        <f>IFERROR(VLOOKUP(Tablo516[[#This Row],[ÜRÜN KODU]],YMKODLARI!$A$1:$K$383,6,0)," ")</f>
        <v xml:space="preserve"> </v>
      </c>
      <c r="S215" s="100" t="str">
        <f>IFERROR(Tablo516[[#This Row],[YOLLUK HARİÇ BASKI GRAMI]]/Tablo516[[#This Row],[KALIP GÖZ ADEDİ]]," ")</f>
        <v xml:space="preserve"> </v>
      </c>
      <c r="T215" s="100" t="str">
        <f t="shared" si="23"/>
        <v xml:space="preserve"> </v>
      </c>
      <c r="U215" s="100"/>
      <c r="V215" s="100" t="str">
        <f t="shared" si="22"/>
        <v xml:space="preserve"> </v>
      </c>
      <c r="W215" s="101">
        <f t="shared" si="24"/>
        <v>24</v>
      </c>
      <c r="X215" s="102">
        <f t="shared" si="25"/>
        <v>0</v>
      </c>
      <c r="Y215" s="100" t="str">
        <f t="shared" si="26"/>
        <v xml:space="preserve"> </v>
      </c>
      <c r="Z215" s="100" t="str">
        <f t="shared" si="27"/>
        <v xml:space="preserve"> </v>
      </c>
    </row>
    <row r="216" spans="1:26">
      <c r="A216" s="100"/>
      <c r="B216" s="108" t="str">
        <f>IFERROR(VLOOKUP(Tablo516[[#This Row],[ÜRÜN KODU]],YMKODLARI!$A$1:$K$383,2,0)," ")</f>
        <v xml:space="preserve"> </v>
      </c>
      <c r="C216" s="99"/>
      <c r="D216" s="100"/>
      <c r="E216" s="101"/>
      <c r="F216" s="101"/>
      <c r="G216" s="100" t="str">
        <f>IFERROR(VLOOKUP(Tablo516[[#This Row],[ÜRÜN KODU]],YMKODLARI!$A$1:$K$383,3,0)," ")</f>
        <v xml:space="preserve"> </v>
      </c>
      <c r="H216" s="100" t="str">
        <f>IFERROR(VLOOKUP(Tablo516[[#This Row],[ÜRÜN KODU]],YMKODLARI!$A$1:$K$383,4,0)," ")</f>
        <v xml:space="preserve"> </v>
      </c>
      <c r="I216" s="100"/>
      <c r="J216" s="100" t="str">
        <f>IFERROR(VLOOKUP(Tablo516[[#This Row],[ÜRÜN KODU]],YMKODLARI!$A$1:$K$383,9,0)," ")</f>
        <v xml:space="preserve"> </v>
      </c>
      <c r="K216" s="100" t="str">
        <f>IFERROR(VLOOKUP(Tablo516[[#This Row],[BOYA KODU]],Tablo14[#All],4,0)," ")</f>
        <v xml:space="preserve"> </v>
      </c>
      <c r="L216" s="100" t="str">
        <f>IFERROR(VLOOKUP(Tablo516[[#This Row],[BOYA KODU]],Tablo14[#All],6,0)," ")</f>
        <v xml:space="preserve"> </v>
      </c>
      <c r="M216" s="100" t="str">
        <f t="shared" si="21"/>
        <v xml:space="preserve"> </v>
      </c>
      <c r="N216" s="100" t="str">
        <f>IFERROR(VLOOKUP(Tablo516[[#This Row],[ÜRÜN KODU]],YMKODLARI!$A$1:$K$383,8,0)," ")</f>
        <v xml:space="preserve"> </v>
      </c>
      <c r="O216" s="100" t="str">
        <f>IFERROR(VLOOKUP(Tablo516[[#This Row],[HAMMADDE KODU]],Tablo1[#All],3,0)," ")</f>
        <v xml:space="preserve"> </v>
      </c>
      <c r="P216" s="100" t="str">
        <f>IFERROR(VLOOKUP(Tablo516[[#This Row],[HAMMADDE KODU]],Tablo1[#All],4,0)," ")</f>
        <v xml:space="preserve"> </v>
      </c>
      <c r="Q216" s="100" t="str">
        <f>IFERROR(VLOOKUP(Tablo516[[#This Row],[ÜRÜN KODU]],YMKODLARI!$A$1:$K$383,5,0)," ")</f>
        <v xml:space="preserve"> </v>
      </c>
      <c r="R216" s="100" t="str">
        <f>IFERROR(VLOOKUP(Tablo516[[#This Row],[ÜRÜN KODU]],YMKODLARI!$A$1:$K$383,6,0)," ")</f>
        <v xml:space="preserve"> </v>
      </c>
      <c r="S216" s="100" t="str">
        <f>IFERROR(Tablo516[[#This Row],[YOLLUK HARİÇ BASKI GRAMI]]/Tablo516[[#This Row],[KALIP GÖZ ADEDİ]]," ")</f>
        <v xml:space="preserve"> </v>
      </c>
      <c r="T216" s="100" t="str">
        <f t="shared" si="23"/>
        <v xml:space="preserve"> </v>
      </c>
      <c r="U216" s="100"/>
      <c r="V216" s="100" t="str">
        <f t="shared" si="22"/>
        <v xml:space="preserve"> </v>
      </c>
      <c r="W216" s="101">
        <f t="shared" si="24"/>
        <v>24</v>
      </c>
      <c r="X216" s="102">
        <f t="shared" si="25"/>
        <v>0</v>
      </c>
      <c r="Y216" s="100" t="str">
        <f t="shared" si="26"/>
        <v xml:space="preserve"> </v>
      </c>
      <c r="Z216" s="100" t="str">
        <f t="shared" si="27"/>
        <v xml:space="preserve"> </v>
      </c>
    </row>
    <row r="217" spans="1:26">
      <c r="A217" s="100"/>
      <c r="B217" s="108" t="str">
        <f>IFERROR(VLOOKUP(Tablo516[[#This Row],[ÜRÜN KODU]],YMKODLARI!$A$1:$K$383,2,0)," ")</f>
        <v xml:space="preserve"> </v>
      </c>
      <c r="C217" s="99"/>
      <c r="D217" s="100"/>
      <c r="E217" s="101"/>
      <c r="F217" s="101"/>
      <c r="G217" s="100" t="str">
        <f>IFERROR(VLOOKUP(Tablo516[[#This Row],[ÜRÜN KODU]],YMKODLARI!$A$1:$K$383,3,0)," ")</f>
        <v xml:space="preserve"> </v>
      </c>
      <c r="H217" s="100" t="str">
        <f>IFERROR(VLOOKUP(Tablo516[[#This Row],[ÜRÜN KODU]],YMKODLARI!$A$1:$K$383,4,0)," ")</f>
        <v xml:space="preserve"> </v>
      </c>
      <c r="I217" s="100"/>
      <c r="J217" s="100" t="str">
        <f>IFERROR(VLOOKUP(Tablo516[[#This Row],[ÜRÜN KODU]],YMKODLARI!$A$1:$K$383,9,0)," ")</f>
        <v xml:space="preserve"> </v>
      </c>
      <c r="K217" s="100" t="str">
        <f>IFERROR(VLOOKUP(Tablo516[[#This Row],[BOYA KODU]],Tablo14[#All],4,0)," ")</f>
        <v xml:space="preserve"> </v>
      </c>
      <c r="L217" s="100" t="str">
        <f>IFERROR(VLOOKUP(Tablo516[[#This Row],[BOYA KODU]],Tablo14[#All],6,0)," ")</f>
        <v xml:space="preserve"> </v>
      </c>
      <c r="M217" s="100" t="str">
        <f t="shared" si="21"/>
        <v xml:space="preserve"> </v>
      </c>
      <c r="N217" s="100" t="str">
        <f>IFERROR(VLOOKUP(Tablo516[[#This Row],[ÜRÜN KODU]],YMKODLARI!$A$1:$K$383,8,0)," ")</f>
        <v xml:space="preserve"> </v>
      </c>
      <c r="O217" s="100" t="str">
        <f>IFERROR(VLOOKUP(Tablo516[[#This Row],[HAMMADDE KODU]],Tablo1[#All],3,0)," ")</f>
        <v xml:space="preserve"> </v>
      </c>
      <c r="P217" s="100" t="str">
        <f>IFERROR(VLOOKUP(Tablo516[[#This Row],[HAMMADDE KODU]],Tablo1[#All],4,0)," ")</f>
        <v xml:space="preserve"> </v>
      </c>
      <c r="Q217" s="100" t="str">
        <f>IFERROR(VLOOKUP(Tablo516[[#This Row],[ÜRÜN KODU]],YMKODLARI!$A$1:$K$383,5,0)," ")</f>
        <v xml:space="preserve"> </v>
      </c>
      <c r="R217" s="100" t="str">
        <f>IFERROR(VLOOKUP(Tablo516[[#This Row],[ÜRÜN KODU]],YMKODLARI!$A$1:$K$383,6,0)," ")</f>
        <v xml:space="preserve"> </v>
      </c>
      <c r="S217" s="100" t="str">
        <f>IFERROR(Tablo516[[#This Row],[YOLLUK HARİÇ BASKI GRAMI]]/Tablo516[[#This Row],[KALIP GÖZ ADEDİ]]," ")</f>
        <v xml:space="preserve"> </v>
      </c>
      <c r="T217" s="100" t="str">
        <f t="shared" si="23"/>
        <v xml:space="preserve"> </v>
      </c>
      <c r="U217" s="100"/>
      <c r="V217" s="100" t="str">
        <f t="shared" si="22"/>
        <v xml:space="preserve"> </v>
      </c>
      <c r="W217" s="101">
        <f t="shared" si="24"/>
        <v>24</v>
      </c>
      <c r="X217" s="102">
        <f t="shared" si="25"/>
        <v>0</v>
      </c>
      <c r="Y217" s="100" t="str">
        <f t="shared" si="26"/>
        <v xml:space="preserve"> </v>
      </c>
      <c r="Z217" s="100" t="str">
        <f t="shared" si="27"/>
        <v xml:space="preserve"> </v>
      </c>
    </row>
    <row r="218" spans="1:26">
      <c r="A218" s="100"/>
      <c r="B218" s="108" t="str">
        <f>IFERROR(VLOOKUP(Tablo516[[#This Row],[ÜRÜN KODU]],YMKODLARI!$A$1:$K$383,2,0)," ")</f>
        <v xml:space="preserve"> </v>
      </c>
      <c r="C218" s="99"/>
      <c r="D218" s="100"/>
      <c r="E218" s="101"/>
      <c r="F218" s="101"/>
      <c r="G218" s="100" t="str">
        <f>IFERROR(VLOOKUP(Tablo516[[#This Row],[ÜRÜN KODU]],YMKODLARI!$A$1:$K$383,3,0)," ")</f>
        <v xml:space="preserve"> </v>
      </c>
      <c r="H218" s="100" t="str">
        <f>IFERROR(VLOOKUP(Tablo516[[#This Row],[ÜRÜN KODU]],YMKODLARI!$A$1:$K$383,4,0)," ")</f>
        <v xml:space="preserve"> </v>
      </c>
      <c r="I218" s="100"/>
      <c r="J218" s="100" t="str">
        <f>IFERROR(VLOOKUP(Tablo516[[#This Row],[ÜRÜN KODU]],YMKODLARI!$A$1:$K$383,9,0)," ")</f>
        <v xml:space="preserve"> </v>
      </c>
      <c r="K218" s="100" t="str">
        <f>IFERROR(VLOOKUP(Tablo516[[#This Row],[BOYA KODU]],Tablo14[#All],4,0)," ")</f>
        <v xml:space="preserve"> </v>
      </c>
      <c r="L218" s="100" t="str">
        <f>IFERROR(VLOOKUP(Tablo516[[#This Row],[BOYA KODU]],Tablo14[#All],6,0)," ")</f>
        <v xml:space="preserve"> </v>
      </c>
      <c r="M218" s="100" t="str">
        <f t="shared" si="21"/>
        <v xml:space="preserve"> </v>
      </c>
      <c r="N218" s="100" t="str">
        <f>IFERROR(VLOOKUP(Tablo516[[#This Row],[ÜRÜN KODU]],YMKODLARI!$A$1:$K$383,8,0)," ")</f>
        <v xml:space="preserve"> </v>
      </c>
      <c r="O218" s="100" t="str">
        <f>IFERROR(VLOOKUP(Tablo516[[#This Row],[HAMMADDE KODU]],Tablo1[#All],3,0)," ")</f>
        <v xml:space="preserve"> </v>
      </c>
      <c r="P218" s="100" t="str">
        <f>IFERROR(VLOOKUP(Tablo516[[#This Row],[HAMMADDE KODU]],Tablo1[#All],4,0)," ")</f>
        <v xml:space="preserve"> </v>
      </c>
      <c r="Q218" s="100" t="str">
        <f>IFERROR(VLOOKUP(Tablo516[[#This Row],[ÜRÜN KODU]],YMKODLARI!$A$1:$K$383,5,0)," ")</f>
        <v xml:space="preserve"> </v>
      </c>
      <c r="R218" s="100" t="str">
        <f>IFERROR(VLOOKUP(Tablo516[[#This Row],[ÜRÜN KODU]],YMKODLARI!$A$1:$K$383,6,0)," ")</f>
        <v xml:space="preserve"> </v>
      </c>
      <c r="S218" s="100" t="str">
        <f>IFERROR(Tablo516[[#This Row],[YOLLUK HARİÇ BASKI GRAMI]]/Tablo516[[#This Row],[KALIP GÖZ ADEDİ]]," ")</f>
        <v xml:space="preserve"> </v>
      </c>
      <c r="T218" s="100" t="str">
        <f t="shared" si="23"/>
        <v xml:space="preserve"> </v>
      </c>
      <c r="U218" s="100"/>
      <c r="V218" s="100" t="str">
        <f t="shared" si="22"/>
        <v xml:space="preserve"> </v>
      </c>
      <c r="W218" s="101">
        <f t="shared" si="24"/>
        <v>24</v>
      </c>
      <c r="X218" s="102">
        <f t="shared" si="25"/>
        <v>0</v>
      </c>
      <c r="Y218" s="100" t="str">
        <f t="shared" si="26"/>
        <v xml:space="preserve"> </v>
      </c>
      <c r="Z218" s="100" t="str">
        <f t="shared" si="27"/>
        <v xml:space="preserve"> </v>
      </c>
    </row>
    <row r="219" spans="1:26">
      <c r="A219" s="100"/>
      <c r="B219" s="108" t="str">
        <f>IFERROR(VLOOKUP(Tablo516[[#This Row],[ÜRÜN KODU]],YMKODLARI!$A$1:$K$383,2,0)," ")</f>
        <v xml:space="preserve"> </v>
      </c>
      <c r="C219" s="99"/>
      <c r="D219" s="100"/>
      <c r="E219" s="101"/>
      <c r="F219" s="101"/>
      <c r="G219" s="100" t="str">
        <f>IFERROR(VLOOKUP(Tablo516[[#This Row],[ÜRÜN KODU]],YMKODLARI!$A$1:$K$383,3,0)," ")</f>
        <v xml:space="preserve"> </v>
      </c>
      <c r="H219" s="100" t="str">
        <f>IFERROR(VLOOKUP(Tablo516[[#This Row],[ÜRÜN KODU]],YMKODLARI!$A$1:$K$383,4,0)," ")</f>
        <v xml:space="preserve"> </v>
      </c>
      <c r="I219" s="100"/>
      <c r="J219" s="100" t="str">
        <f>IFERROR(VLOOKUP(Tablo516[[#This Row],[ÜRÜN KODU]],YMKODLARI!$A$1:$K$383,9,0)," ")</f>
        <v xml:space="preserve"> </v>
      </c>
      <c r="K219" s="100" t="str">
        <f>IFERROR(VLOOKUP(Tablo516[[#This Row],[BOYA KODU]],Tablo14[#All],4,0)," ")</f>
        <v xml:space="preserve"> </v>
      </c>
      <c r="L219" s="100" t="str">
        <f>IFERROR(VLOOKUP(Tablo516[[#This Row],[BOYA KODU]],Tablo14[#All],6,0)," ")</f>
        <v xml:space="preserve"> </v>
      </c>
      <c r="M219" s="100" t="str">
        <f t="shared" si="21"/>
        <v xml:space="preserve"> </v>
      </c>
      <c r="N219" s="100" t="str">
        <f>IFERROR(VLOOKUP(Tablo516[[#This Row],[ÜRÜN KODU]],YMKODLARI!$A$1:$K$383,8,0)," ")</f>
        <v xml:space="preserve"> </v>
      </c>
      <c r="O219" s="100" t="str">
        <f>IFERROR(VLOOKUP(Tablo516[[#This Row],[HAMMADDE KODU]],Tablo1[#All],3,0)," ")</f>
        <v xml:space="preserve"> </v>
      </c>
      <c r="P219" s="100" t="str">
        <f>IFERROR(VLOOKUP(Tablo516[[#This Row],[HAMMADDE KODU]],Tablo1[#All],4,0)," ")</f>
        <v xml:space="preserve"> </v>
      </c>
      <c r="Q219" s="100" t="str">
        <f>IFERROR(VLOOKUP(Tablo516[[#This Row],[ÜRÜN KODU]],YMKODLARI!$A$1:$K$383,5,0)," ")</f>
        <v xml:space="preserve"> </v>
      </c>
      <c r="R219" s="100" t="str">
        <f>IFERROR(VLOOKUP(Tablo516[[#This Row],[ÜRÜN KODU]],YMKODLARI!$A$1:$K$383,6,0)," ")</f>
        <v xml:space="preserve"> </v>
      </c>
      <c r="S219" s="100" t="str">
        <f>IFERROR(Tablo516[[#This Row],[YOLLUK HARİÇ BASKI GRAMI]]/Tablo516[[#This Row],[KALIP GÖZ ADEDİ]]," ")</f>
        <v xml:space="preserve"> </v>
      </c>
      <c r="T219" s="100" t="str">
        <f t="shared" si="23"/>
        <v xml:space="preserve"> </v>
      </c>
      <c r="U219" s="100"/>
      <c r="V219" s="100" t="str">
        <f t="shared" si="22"/>
        <v xml:space="preserve"> </v>
      </c>
      <c r="W219" s="101">
        <f t="shared" si="24"/>
        <v>24</v>
      </c>
      <c r="X219" s="102">
        <f t="shared" si="25"/>
        <v>0</v>
      </c>
      <c r="Y219" s="100" t="str">
        <f t="shared" si="26"/>
        <v xml:space="preserve"> </v>
      </c>
      <c r="Z219" s="100" t="str">
        <f t="shared" si="27"/>
        <v xml:space="preserve"> </v>
      </c>
    </row>
    <row r="220" spans="1:26">
      <c r="A220" s="100"/>
      <c r="B220" s="108" t="str">
        <f>IFERROR(VLOOKUP(Tablo516[[#This Row],[ÜRÜN KODU]],YMKODLARI!$A$1:$K$383,2,0)," ")</f>
        <v xml:space="preserve"> </v>
      </c>
      <c r="C220" s="99"/>
      <c r="D220" s="100"/>
      <c r="E220" s="101"/>
      <c r="F220" s="101"/>
      <c r="G220" s="100" t="str">
        <f>IFERROR(VLOOKUP(Tablo516[[#This Row],[ÜRÜN KODU]],YMKODLARI!$A$1:$K$383,3,0)," ")</f>
        <v xml:space="preserve"> </v>
      </c>
      <c r="H220" s="100" t="str">
        <f>IFERROR(VLOOKUP(Tablo516[[#This Row],[ÜRÜN KODU]],YMKODLARI!$A$1:$K$383,4,0)," ")</f>
        <v xml:space="preserve"> </v>
      </c>
      <c r="I220" s="100"/>
      <c r="J220" s="100" t="str">
        <f>IFERROR(VLOOKUP(Tablo516[[#This Row],[ÜRÜN KODU]],YMKODLARI!$A$1:$K$383,9,0)," ")</f>
        <v xml:space="preserve"> </v>
      </c>
      <c r="K220" s="100" t="str">
        <f>IFERROR(VLOOKUP(Tablo516[[#This Row],[BOYA KODU]],Tablo14[#All],4,0)," ")</f>
        <v xml:space="preserve"> </v>
      </c>
      <c r="L220" s="100" t="str">
        <f>IFERROR(VLOOKUP(Tablo516[[#This Row],[BOYA KODU]],Tablo14[#All],6,0)," ")</f>
        <v xml:space="preserve"> </v>
      </c>
      <c r="M220" s="100" t="str">
        <f t="shared" si="21"/>
        <v xml:space="preserve"> </v>
      </c>
      <c r="N220" s="100" t="str">
        <f>IFERROR(VLOOKUP(Tablo516[[#This Row],[ÜRÜN KODU]],YMKODLARI!$A$1:$K$383,8,0)," ")</f>
        <v xml:space="preserve"> </v>
      </c>
      <c r="O220" s="100" t="str">
        <f>IFERROR(VLOOKUP(Tablo516[[#This Row],[HAMMADDE KODU]],Tablo1[#All],3,0)," ")</f>
        <v xml:space="preserve"> </v>
      </c>
      <c r="P220" s="100" t="str">
        <f>IFERROR(VLOOKUP(Tablo516[[#This Row],[HAMMADDE KODU]],Tablo1[#All],4,0)," ")</f>
        <v xml:space="preserve"> </v>
      </c>
      <c r="Q220" s="100" t="str">
        <f>IFERROR(VLOOKUP(Tablo516[[#This Row],[ÜRÜN KODU]],YMKODLARI!$A$1:$K$383,5,0)," ")</f>
        <v xml:space="preserve"> </v>
      </c>
      <c r="R220" s="100" t="str">
        <f>IFERROR(VLOOKUP(Tablo516[[#This Row],[ÜRÜN KODU]],YMKODLARI!$A$1:$K$383,6,0)," ")</f>
        <v xml:space="preserve"> </v>
      </c>
      <c r="S220" s="100" t="str">
        <f>IFERROR(Tablo516[[#This Row],[YOLLUK HARİÇ BASKI GRAMI]]/Tablo516[[#This Row],[KALIP GÖZ ADEDİ]]," ")</f>
        <v xml:space="preserve"> </v>
      </c>
      <c r="T220" s="100" t="str">
        <f t="shared" si="23"/>
        <v xml:space="preserve"> </v>
      </c>
      <c r="U220" s="100"/>
      <c r="V220" s="100" t="str">
        <f t="shared" si="22"/>
        <v xml:space="preserve"> </v>
      </c>
      <c r="W220" s="101">
        <f t="shared" si="24"/>
        <v>24</v>
      </c>
      <c r="X220" s="102">
        <f t="shared" si="25"/>
        <v>0</v>
      </c>
      <c r="Y220" s="100" t="str">
        <f t="shared" si="26"/>
        <v xml:space="preserve"> </v>
      </c>
      <c r="Z220" s="100" t="str">
        <f t="shared" si="27"/>
        <v xml:space="preserve"> </v>
      </c>
    </row>
    <row r="221" spans="1:26">
      <c r="A221" s="100"/>
      <c r="B221" s="108" t="str">
        <f>IFERROR(VLOOKUP(Tablo516[[#This Row],[ÜRÜN KODU]],YMKODLARI!$A$1:$K$383,2,0)," ")</f>
        <v xml:space="preserve"> </v>
      </c>
      <c r="C221" s="99"/>
      <c r="D221" s="100"/>
      <c r="E221" s="101"/>
      <c r="F221" s="101"/>
      <c r="G221" s="100" t="str">
        <f>IFERROR(VLOOKUP(Tablo516[[#This Row],[ÜRÜN KODU]],YMKODLARI!$A$1:$K$383,3,0)," ")</f>
        <v xml:space="preserve"> </v>
      </c>
      <c r="H221" s="100" t="str">
        <f>IFERROR(VLOOKUP(Tablo516[[#This Row],[ÜRÜN KODU]],YMKODLARI!$A$1:$K$383,4,0)," ")</f>
        <v xml:space="preserve"> </v>
      </c>
      <c r="I221" s="100"/>
      <c r="J221" s="100" t="str">
        <f>IFERROR(VLOOKUP(Tablo516[[#This Row],[ÜRÜN KODU]],YMKODLARI!$A$1:$K$383,9,0)," ")</f>
        <v xml:space="preserve"> </v>
      </c>
      <c r="K221" s="100" t="str">
        <f>IFERROR(VLOOKUP(Tablo516[[#This Row],[BOYA KODU]],Tablo14[#All],4,0)," ")</f>
        <v xml:space="preserve"> </v>
      </c>
      <c r="L221" s="100" t="str">
        <f>IFERROR(VLOOKUP(Tablo516[[#This Row],[BOYA KODU]],Tablo14[#All],6,0)," ")</f>
        <v xml:space="preserve"> </v>
      </c>
      <c r="M221" s="100" t="str">
        <f t="shared" si="21"/>
        <v xml:space="preserve"> </v>
      </c>
      <c r="N221" s="100" t="str">
        <f>IFERROR(VLOOKUP(Tablo516[[#This Row],[ÜRÜN KODU]],YMKODLARI!$A$1:$K$383,8,0)," ")</f>
        <v xml:space="preserve"> </v>
      </c>
      <c r="O221" s="100" t="str">
        <f>IFERROR(VLOOKUP(Tablo516[[#This Row],[HAMMADDE KODU]],Tablo1[#All],3,0)," ")</f>
        <v xml:space="preserve"> </v>
      </c>
      <c r="P221" s="100" t="str">
        <f>IFERROR(VLOOKUP(Tablo516[[#This Row],[HAMMADDE KODU]],Tablo1[#All],4,0)," ")</f>
        <v xml:space="preserve"> </v>
      </c>
      <c r="Q221" s="100" t="str">
        <f>IFERROR(VLOOKUP(Tablo516[[#This Row],[ÜRÜN KODU]],YMKODLARI!$A$1:$K$383,5,0)," ")</f>
        <v xml:space="preserve"> </v>
      </c>
      <c r="R221" s="100" t="str">
        <f>IFERROR(VLOOKUP(Tablo516[[#This Row],[ÜRÜN KODU]],YMKODLARI!$A$1:$K$383,6,0)," ")</f>
        <v xml:space="preserve"> </v>
      </c>
      <c r="S221" s="100" t="str">
        <f>IFERROR(Tablo516[[#This Row],[YOLLUK HARİÇ BASKI GRAMI]]/Tablo516[[#This Row],[KALIP GÖZ ADEDİ]]," ")</f>
        <v xml:space="preserve"> </v>
      </c>
      <c r="T221" s="100" t="str">
        <f t="shared" si="23"/>
        <v xml:space="preserve"> </v>
      </c>
      <c r="U221" s="100"/>
      <c r="V221" s="100" t="str">
        <f t="shared" si="22"/>
        <v xml:space="preserve"> </v>
      </c>
      <c r="W221" s="101">
        <f t="shared" si="24"/>
        <v>24</v>
      </c>
      <c r="X221" s="102">
        <f t="shared" si="25"/>
        <v>0</v>
      </c>
      <c r="Y221" s="100" t="str">
        <f t="shared" si="26"/>
        <v xml:space="preserve"> </v>
      </c>
      <c r="Z221" s="100" t="str">
        <f t="shared" si="27"/>
        <v xml:space="preserve"> </v>
      </c>
    </row>
    <row r="222" spans="1:26">
      <c r="A222" s="100"/>
      <c r="B222" s="108" t="str">
        <f>IFERROR(VLOOKUP(Tablo516[[#This Row],[ÜRÜN KODU]],YMKODLARI!$A$1:$K$383,2,0)," ")</f>
        <v xml:space="preserve"> </v>
      </c>
      <c r="C222" s="99"/>
      <c r="D222" s="100"/>
      <c r="E222" s="101"/>
      <c r="F222" s="101"/>
      <c r="G222" s="100" t="str">
        <f>IFERROR(VLOOKUP(Tablo516[[#This Row],[ÜRÜN KODU]],YMKODLARI!$A$1:$K$383,3,0)," ")</f>
        <v xml:space="preserve"> </v>
      </c>
      <c r="H222" s="100" t="str">
        <f>IFERROR(VLOOKUP(Tablo516[[#This Row],[ÜRÜN KODU]],YMKODLARI!$A$1:$K$383,4,0)," ")</f>
        <v xml:space="preserve"> </v>
      </c>
      <c r="I222" s="100"/>
      <c r="J222" s="100" t="str">
        <f>IFERROR(VLOOKUP(Tablo516[[#This Row],[ÜRÜN KODU]],YMKODLARI!$A$1:$K$383,9,0)," ")</f>
        <v xml:space="preserve"> </v>
      </c>
      <c r="K222" s="100" t="str">
        <f>IFERROR(VLOOKUP(Tablo516[[#This Row],[BOYA KODU]],Tablo14[#All],4,0)," ")</f>
        <v xml:space="preserve"> </v>
      </c>
      <c r="L222" s="100" t="str">
        <f>IFERROR(VLOOKUP(Tablo516[[#This Row],[BOYA KODU]],Tablo14[#All],6,0)," ")</f>
        <v xml:space="preserve"> </v>
      </c>
      <c r="M222" s="100" t="str">
        <f t="shared" si="21"/>
        <v xml:space="preserve"> </v>
      </c>
      <c r="N222" s="100" t="str">
        <f>IFERROR(VLOOKUP(Tablo516[[#This Row],[ÜRÜN KODU]],YMKODLARI!$A$1:$K$383,8,0)," ")</f>
        <v xml:space="preserve"> </v>
      </c>
      <c r="O222" s="100" t="str">
        <f>IFERROR(VLOOKUP(Tablo516[[#This Row],[HAMMADDE KODU]],Tablo1[#All],3,0)," ")</f>
        <v xml:space="preserve"> </v>
      </c>
      <c r="P222" s="100" t="str">
        <f>IFERROR(VLOOKUP(Tablo516[[#This Row],[HAMMADDE KODU]],Tablo1[#All],4,0)," ")</f>
        <v xml:space="preserve"> </v>
      </c>
      <c r="Q222" s="100" t="str">
        <f>IFERROR(VLOOKUP(Tablo516[[#This Row],[ÜRÜN KODU]],YMKODLARI!$A$1:$K$383,5,0)," ")</f>
        <v xml:space="preserve"> </v>
      </c>
      <c r="R222" s="100" t="str">
        <f>IFERROR(VLOOKUP(Tablo516[[#This Row],[ÜRÜN KODU]],YMKODLARI!$A$1:$K$383,6,0)," ")</f>
        <v xml:space="preserve"> </v>
      </c>
      <c r="S222" s="100" t="str">
        <f>IFERROR(Tablo516[[#This Row],[YOLLUK HARİÇ BASKI GRAMI]]/Tablo516[[#This Row],[KALIP GÖZ ADEDİ]]," ")</f>
        <v xml:space="preserve"> </v>
      </c>
      <c r="T222" s="100" t="str">
        <f t="shared" si="23"/>
        <v xml:space="preserve"> </v>
      </c>
      <c r="U222" s="100"/>
      <c r="V222" s="100" t="str">
        <f t="shared" si="22"/>
        <v xml:space="preserve"> </v>
      </c>
      <c r="W222" s="101">
        <f t="shared" si="24"/>
        <v>24</v>
      </c>
      <c r="X222" s="102">
        <f t="shared" si="25"/>
        <v>0</v>
      </c>
      <c r="Y222" s="100" t="str">
        <f t="shared" si="26"/>
        <v xml:space="preserve"> </v>
      </c>
      <c r="Z222" s="100" t="str">
        <f t="shared" si="27"/>
        <v xml:space="preserve"> </v>
      </c>
    </row>
    <row r="223" spans="1:26">
      <c r="A223" s="100"/>
      <c r="B223" s="108" t="str">
        <f>IFERROR(VLOOKUP(Tablo516[[#This Row],[ÜRÜN KODU]],YMKODLARI!$A$1:$K$383,2,0)," ")</f>
        <v xml:space="preserve"> </v>
      </c>
      <c r="C223" s="99"/>
      <c r="D223" s="100"/>
      <c r="E223" s="101"/>
      <c r="F223" s="101"/>
      <c r="G223" s="100" t="str">
        <f>IFERROR(VLOOKUP(Tablo516[[#This Row],[ÜRÜN KODU]],YMKODLARI!$A$1:$K$383,3,0)," ")</f>
        <v xml:space="preserve"> </v>
      </c>
      <c r="H223" s="100" t="str">
        <f>IFERROR(VLOOKUP(Tablo516[[#This Row],[ÜRÜN KODU]],YMKODLARI!$A$1:$K$383,4,0)," ")</f>
        <v xml:space="preserve"> </v>
      </c>
      <c r="I223" s="100"/>
      <c r="J223" s="100" t="str">
        <f>IFERROR(VLOOKUP(Tablo516[[#This Row],[ÜRÜN KODU]],YMKODLARI!$A$1:$K$383,9,0)," ")</f>
        <v xml:space="preserve"> </v>
      </c>
      <c r="K223" s="100" t="str">
        <f>IFERROR(VLOOKUP(Tablo516[[#This Row],[BOYA KODU]],Tablo14[#All],4,0)," ")</f>
        <v xml:space="preserve"> </v>
      </c>
      <c r="L223" s="100" t="str">
        <f>IFERROR(VLOOKUP(Tablo516[[#This Row],[BOYA KODU]],Tablo14[#All],6,0)," ")</f>
        <v xml:space="preserve"> </v>
      </c>
      <c r="M223" s="100" t="str">
        <f t="shared" si="21"/>
        <v xml:space="preserve"> </v>
      </c>
      <c r="N223" s="100" t="str">
        <f>IFERROR(VLOOKUP(Tablo516[[#This Row],[ÜRÜN KODU]],YMKODLARI!$A$1:$K$383,8,0)," ")</f>
        <v xml:space="preserve"> </v>
      </c>
      <c r="O223" s="100" t="str">
        <f>IFERROR(VLOOKUP(Tablo516[[#This Row],[HAMMADDE KODU]],Tablo1[#All],3,0)," ")</f>
        <v xml:space="preserve"> </v>
      </c>
      <c r="P223" s="100" t="str">
        <f>IFERROR(VLOOKUP(Tablo516[[#This Row],[HAMMADDE KODU]],Tablo1[#All],4,0)," ")</f>
        <v xml:space="preserve"> </v>
      </c>
      <c r="Q223" s="100" t="str">
        <f>IFERROR(VLOOKUP(Tablo516[[#This Row],[ÜRÜN KODU]],YMKODLARI!$A$1:$K$383,5,0)," ")</f>
        <v xml:space="preserve"> </v>
      </c>
      <c r="R223" s="100" t="str">
        <f>IFERROR(VLOOKUP(Tablo516[[#This Row],[ÜRÜN KODU]],YMKODLARI!$A$1:$K$383,6,0)," ")</f>
        <v xml:space="preserve"> </v>
      </c>
      <c r="S223" s="100" t="str">
        <f>IFERROR(Tablo516[[#This Row],[YOLLUK HARİÇ BASKI GRAMI]]/Tablo516[[#This Row],[KALIP GÖZ ADEDİ]]," ")</f>
        <v xml:space="preserve"> </v>
      </c>
      <c r="T223" s="100" t="str">
        <f t="shared" si="23"/>
        <v xml:space="preserve"> </v>
      </c>
      <c r="U223" s="100"/>
      <c r="V223" s="100" t="str">
        <f t="shared" si="22"/>
        <v xml:space="preserve"> </v>
      </c>
      <c r="W223" s="101">
        <f t="shared" si="24"/>
        <v>24</v>
      </c>
      <c r="X223" s="102">
        <f t="shared" si="25"/>
        <v>0</v>
      </c>
      <c r="Y223" s="100" t="str">
        <f t="shared" si="26"/>
        <v xml:space="preserve"> </v>
      </c>
      <c r="Z223" s="100" t="str">
        <f t="shared" si="27"/>
        <v xml:space="preserve"> </v>
      </c>
    </row>
    <row r="224" spans="1:26">
      <c r="A224" s="100"/>
      <c r="B224" s="108" t="str">
        <f>IFERROR(VLOOKUP(Tablo516[[#This Row],[ÜRÜN KODU]],YMKODLARI!$A$1:$K$383,2,0)," ")</f>
        <v xml:space="preserve"> </v>
      </c>
      <c r="C224" s="99"/>
      <c r="D224" s="100"/>
      <c r="E224" s="101"/>
      <c r="F224" s="101"/>
      <c r="G224" s="100" t="str">
        <f>IFERROR(VLOOKUP(Tablo516[[#This Row],[ÜRÜN KODU]],YMKODLARI!$A$1:$K$383,3,0)," ")</f>
        <v xml:space="preserve"> </v>
      </c>
      <c r="H224" s="100" t="str">
        <f>IFERROR(VLOOKUP(Tablo516[[#This Row],[ÜRÜN KODU]],YMKODLARI!$A$1:$K$383,4,0)," ")</f>
        <v xml:space="preserve"> </v>
      </c>
      <c r="I224" s="100"/>
      <c r="J224" s="100" t="str">
        <f>IFERROR(VLOOKUP(Tablo516[[#This Row],[ÜRÜN KODU]],YMKODLARI!$A$1:$K$383,9,0)," ")</f>
        <v xml:space="preserve"> </v>
      </c>
      <c r="K224" s="100" t="str">
        <f>IFERROR(VLOOKUP(Tablo516[[#This Row],[BOYA KODU]],Tablo14[#All],4,0)," ")</f>
        <v xml:space="preserve"> </v>
      </c>
      <c r="L224" s="100" t="str">
        <f>IFERROR(VLOOKUP(Tablo516[[#This Row],[BOYA KODU]],Tablo14[#All],6,0)," ")</f>
        <v xml:space="preserve"> </v>
      </c>
      <c r="M224" s="100" t="str">
        <f t="shared" si="21"/>
        <v xml:space="preserve"> </v>
      </c>
      <c r="N224" s="100" t="str">
        <f>IFERROR(VLOOKUP(Tablo516[[#This Row],[ÜRÜN KODU]],YMKODLARI!$A$1:$K$383,8,0)," ")</f>
        <v xml:space="preserve"> </v>
      </c>
      <c r="O224" s="100" t="str">
        <f>IFERROR(VLOOKUP(Tablo516[[#This Row],[HAMMADDE KODU]],Tablo1[#All],3,0)," ")</f>
        <v xml:space="preserve"> </v>
      </c>
      <c r="P224" s="100" t="str">
        <f>IFERROR(VLOOKUP(Tablo516[[#This Row],[HAMMADDE KODU]],Tablo1[#All],4,0)," ")</f>
        <v xml:space="preserve"> </v>
      </c>
      <c r="Q224" s="100" t="str">
        <f>IFERROR(VLOOKUP(Tablo516[[#This Row],[ÜRÜN KODU]],YMKODLARI!$A$1:$K$383,5,0)," ")</f>
        <v xml:space="preserve"> </v>
      </c>
      <c r="R224" s="100" t="str">
        <f>IFERROR(VLOOKUP(Tablo516[[#This Row],[ÜRÜN KODU]],YMKODLARI!$A$1:$K$383,6,0)," ")</f>
        <v xml:space="preserve"> </v>
      </c>
      <c r="S224" s="100" t="str">
        <f>IFERROR(Tablo516[[#This Row],[YOLLUK HARİÇ BASKI GRAMI]]/Tablo516[[#This Row],[KALIP GÖZ ADEDİ]]," ")</f>
        <v xml:space="preserve"> </v>
      </c>
      <c r="T224" s="100" t="str">
        <f t="shared" si="23"/>
        <v xml:space="preserve"> </v>
      </c>
      <c r="U224" s="100"/>
      <c r="V224" s="100" t="str">
        <f t="shared" si="22"/>
        <v xml:space="preserve"> </v>
      </c>
      <c r="W224" s="101">
        <f t="shared" si="24"/>
        <v>24</v>
      </c>
      <c r="X224" s="102">
        <f t="shared" si="25"/>
        <v>0</v>
      </c>
      <c r="Y224" s="100" t="str">
        <f t="shared" si="26"/>
        <v xml:space="preserve"> </v>
      </c>
      <c r="Z224" s="100" t="str">
        <f t="shared" si="27"/>
        <v xml:space="preserve"> </v>
      </c>
    </row>
    <row r="225" spans="1:26">
      <c r="A225" s="100"/>
      <c r="B225" s="108" t="str">
        <f>IFERROR(VLOOKUP(Tablo516[[#This Row],[ÜRÜN KODU]],YMKODLARI!$A$1:$K$383,2,0)," ")</f>
        <v xml:space="preserve"> </v>
      </c>
      <c r="C225" s="99"/>
      <c r="D225" s="100"/>
      <c r="E225" s="101"/>
      <c r="F225" s="101"/>
      <c r="G225" s="100" t="str">
        <f>IFERROR(VLOOKUP(Tablo516[[#This Row],[ÜRÜN KODU]],YMKODLARI!$A$1:$K$383,3,0)," ")</f>
        <v xml:space="preserve"> </v>
      </c>
      <c r="H225" s="100" t="str">
        <f>IFERROR(VLOOKUP(Tablo516[[#This Row],[ÜRÜN KODU]],YMKODLARI!$A$1:$K$383,4,0)," ")</f>
        <v xml:space="preserve"> </v>
      </c>
      <c r="I225" s="100"/>
      <c r="J225" s="100" t="str">
        <f>IFERROR(VLOOKUP(Tablo516[[#This Row],[ÜRÜN KODU]],YMKODLARI!$A$1:$K$383,9,0)," ")</f>
        <v xml:space="preserve"> </v>
      </c>
      <c r="K225" s="100" t="str">
        <f>IFERROR(VLOOKUP(Tablo516[[#This Row],[BOYA KODU]],Tablo14[#All],4,0)," ")</f>
        <v xml:space="preserve"> </v>
      </c>
      <c r="L225" s="100" t="str">
        <f>IFERROR(VLOOKUP(Tablo516[[#This Row],[BOYA KODU]],Tablo14[#All],6,0)," ")</f>
        <v xml:space="preserve"> </v>
      </c>
      <c r="M225" s="100" t="str">
        <f t="shared" si="21"/>
        <v xml:space="preserve"> </v>
      </c>
      <c r="N225" s="100" t="str">
        <f>IFERROR(VLOOKUP(Tablo516[[#This Row],[ÜRÜN KODU]],YMKODLARI!$A$1:$K$383,8,0)," ")</f>
        <v xml:space="preserve"> </v>
      </c>
      <c r="O225" s="100" t="str">
        <f>IFERROR(VLOOKUP(Tablo516[[#This Row],[HAMMADDE KODU]],Tablo1[#All],3,0)," ")</f>
        <v xml:space="preserve"> </v>
      </c>
      <c r="P225" s="100" t="str">
        <f>IFERROR(VLOOKUP(Tablo516[[#This Row],[HAMMADDE KODU]],Tablo1[#All],4,0)," ")</f>
        <v xml:space="preserve"> </v>
      </c>
      <c r="Q225" s="100" t="str">
        <f>IFERROR(VLOOKUP(Tablo516[[#This Row],[ÜRÜN KODU]],YMKODLARI!$A$1:$K$383,5,0)," ")</f>
        <v xml:space="preserve"> </v>
      </c>
      <c r="R225" s="100" t="str">
        <f>IFERROR(VLOOKUP(Tablo516[[#This Row],[ÜRÜN KODU]],YMKODLARI!$A$1:$K$383,6,0)," ")</f>
        <v xml:space="preserve"> </v>
      </c>
      <c r="S225" s="100" t="str">
        <f>IFERROR(Tablo516[[#This Row],[YOLLUK HARİÇ BASKI GRAMI]]/Tablo516[[#This Row],[KALIP GÖZ ADEDİ]]," ")</f>
        <v xml:space="preserve"> </v>
      </c>
      <c r="T225" s="100" t="str">
        <f t="shared" si="23"/>
        <v xml:space="preserve"> </v>
      </c>
      <c r="U225" s="100"/>
      <c r="V225" s="100" t="str">
        <f t="shared" si="22"/>
        <v xml:space="preserve"> </v>
      </c>
      <c r="W225" s="101">
        <f t="shared" si="24"/>
        <v>24</v>
      </c>
      <c r="X225" s="102">
        <f t="shared" si="25"/>
        <v>0</v>
      </c>
      <c r="Y225" s="100" t="str">
        <f t="shared" si="26"/>
        <v xml:space="preserve"> </v>
      </c>
      <c r="Z225" s="100" t="str">
        <f t="shared" si="27"/>
        <v xml:space="preserve"> </v>
      </c>
    </row>
    <row r="226" spans="1:26">
      <c r="A226" s="100"/>
      <c r="B226" s="108" t="str">
        <f>IFERROR(VLOOKUP(Tablo516[[#This Row],[ÜRÜN KODU]],YMKODLARI!$A$1:$K$383,2,0)," ")</f>
        <v xml:space="preserve"> </v>
      </c>
      <c r="C226" s="99"/>
      <c r="D226" s="100"/>
      <c r="E226" s="101"/>
      <c r="F226" s="101"/>
      <c r="G226" s="100" t="str">
        <f>IFERROR(VLOOKUP(Tablo516[[#This Row],[ÜRÜN KODU]],YMKODLARI!$A$1:$K$383,3,0)," ")</f>
        <v xml:space="preserve"> </v>
      </c>
      <c r="H226" s="100" t="str">
        <f>IFERROR(VLOOKUP(Tablo516[[#This Row],[ÜRÜN KODU]],YMKODLARI!$A$1:$K$383,4,0)," ")</f>
        <v xml:space="preserve"> </v>
      </c>
      <c r="I226" s="100"/>
      <c r="J226" s="100" t="str">
        <f>IFERROR(VLOOKUP(Tablo516[[#This Row],[ÜRÜN KODU]],YMKODLARI!$A$1:$K$383,9,0)," ")</f>
        <v xml:space="preserve"> </v>
      </c>
      <c r="K226" s="100" t="str">
        <f>IFERROR(VLOOKUP(Tablo516[[#This Row],[BOYA KODU]],Tablo14[#All],4,0)," ")</f>
        <v xml:space="preserve"> </v>
      </c>
      <c r="L226" s="100" t="str">
        <f>IFERROR(VLOOKUP(Tablo516[[#This Row],[BOYA KODU]],Tablo14[#All],6,0)," ")</f>
        <v xml:space="preserve"> </v>
      </c>
      <c r="M226" s="100" t="str">
        <f t="shared" si="21"/>
        <v xml:space="preserve"> </v>
      </c>
      <c r="N226" s="100" t="str">
        <f>IFERROR(VLOOKUP(Tablo516[[#This Row],[ÜRÜN KODU]],YMKODLARI!$A$1:$K$383,8,0)," ")</f>
        <v xml:space="preserve"> </v>
      </c>
      <c r="O226" s="100" t="str">
        <f>IFERROR(VLOOKUP(Tablo516[[#This Row],[HAMMADDE KODU]],Tablo1[#All],3,0)," ")</f>
        <v xml:space="preserve"> </v>
      </c>
      <c r="P226" s="100" t="str">
        <f>IFERROR(VLOOKUP(Tablo516[[#This Row],[HAMMADDE KODU]],Tablo1[#All],4,0)," ")</f>
        <v xml:space="preserve"> </v>
      </c>
      <c r="Q226" s="100" t="str">
        <f>IFERROR(VLOOKUP(Tablo516[[#This Row],[ÜRÜN KODU]],YMKODLARI!$A$1:$K$383,5,0)," ")</f>
        <v xml:space="preserve"> </v>
      </c>
      <c r="R226" s="100" t="str">
        <f>IFERROR(VLOOKUP(Tablo516[[#This Row],[ÜRÜN KODU]],YMKODLARI!$A$1:$K$383,6,0)," ")</f>
        <v xml:space="preserve"> </v>
      </c>
      <c r="S226" s="100" t="str">
        <f>IFERROR(Tablo516[[#This Row],[YOLLUK HARİÇ BASKI GRAMI]]/Tablo516[[#This Row],[KALIP GÖZ ADEDİ]]," ")</f>
        <v xml:space="preserve"> </v>
      </c>
      <c r="T226" s="100" t="str">
        <f t="shared" si="23"/>
        <v xml:space="preserve"> </v>
      </c>
      <c r="U226" s="100"/>
      <c r="V226" s="100" t="str">
        <f t="shared" si="22"/>
        <v xml:space="preserve"> </v>
      </c>
      <c r="W226" s="101">
        <f t="shared" si="24"/>
        <v>24</v>
      </c>
      <c r="X226" s="102">
        <f t="shared" si="25"/>
        <v>0</v>
      </c>
      <c r="Y226" s="100" t="str">
        <f t="shared" si="26"/>
        <v xml:space="preserve"> </v>
      </c>
      <c r="Z226" s="100" t="str">
        <f t="shared" si="27"/>
        <v xml:space="preserve"> </v>
      </c>
    </row>
    <row r="227" spans="1:26">
      <c r="A227" s="100"/>
      <c r="B227" s="108" t="str">
        <f>IFERROR(VLOOKUP(Tablo516[[#This Row],[ÜRÜN KODU]],YMKODLARI!$A$1:$K$383,2,0)," ")</f>
        <v xml:space="preserve"> </v>
      </c>
      <c r="C227" s="99"/>
      <c r="D227" s="100"/>
      <c r="E227" s="101"/>
      <c r="F227" s="101"/>
      <c r="G227" s="100" t="str">
        <f>IFERROR(VLOOKUP(Tablo516[[#This Row],[ÜRÜN KODU]],YMKODLARI!$A$1:$K$383,3,0)," ")</f>
        <v xml:space="preserve"> </v>
      </c>
      <c r="H227" s="100" t="str">
        <f>IFERROR(VLOOKUP(Tablo516[[#This Row],[ÜRÜN KODU]],YMKODLARI!$A$1:$K$383,4,0)," ")</f>
        <v xml:space="preserve"> </v>
      </c>
      <c r="I227" s="100"/>
      <c r="J227" s="100" t="str">
        <f>IFERROR(VLOOKUP(Tablo516[[#This Row],[ÜRÜN KODU]],YMKODLARI!$A$1:$K$383,9,0)," ")</f>
        <v xml:space="preserve"> </v>
      </c>
      <c r="K227" s="100" t="str">
        <f>IFERROR(VLOOKUP(Tablo516[[#This Row],[BOYA KODU]],Tablo14[#All],4,0)," ")</f>
        <v xml:space="preserve"> </v>
      </c>
      <c r="L227" s="100" t="str">
        <f>IFERROR(VLOOKUP(Tablo516[[#This Row],[BOYA KODU]],Tablo14[#All],6,0)," ")</f>
        <v xml:space="preserve"> </v>
      </c>
      <c r="M227" s="100" t="str">
        <f t="shared" si="21"/>
        <v xml:space="preserve"> </v>
      </c>
      <c r="N227" s="100" t="str">
        <f>IFERROR(VLOOKUP(Tablo516[[#This Row],[ÜRÜN KODU]],YMKODLARI!$A$1:$K$383,8,0)," ")</f>
        <v xml:space="preserve"> </v>
      </c>
      <c r="O227" s="100" t="str">
        <f>IFERROR(VLOOKUP(Tablo516[[#This Row],[HAMMADDE KODU]],Tablo1[#All],3,0)," ")</f>
        <v xml:space="preserve"> </v>
      </c>
      <c r="P227" s="100" t="str">
        <f>IFERROR(VLOOKUP(Tablo516[[#This Row],[HAMMADDE KODU]],Tablo1[#All],4,0)," ")</f>
        <v xml:space="preserve"> </v>
      </c>
      <c r="Q227" s="100" t="str">
        <f>IFERROR(VLOOKUP(Tablo516[[#This Row],[ÜRÜN KODU]],YMKODLARI!$A$1:$K$383,5,0)," ")</f>
        <v xml:space="preserve"> </v>
      </c>
      <c r="R227" s="100" t="str">
        <f>IFERROR(VLOOKUP(Tablo516[[#This Row],[ÜRÜN KODU]],YMKODLARI!$A$1:$K$383,6,0)," ")</f>
        <v xml:space="preserve"> </v>
      </c>
      <c r="S227" s="100" t="str">
        <f>IFERROR(Tablo516[[#This Row],[YOLLUK HARİÇ BASKI GRAMI]]/Tablo516[[#This Row],[KALIP GÖZ ADEDİ]]," ")</f>
        <v xml:space="preserve"> </v>
      </c>
      <c r="T227" s="100" t="str">
        <f t="shared" si="23"/>
        <v xml:space="preserve"> </v>
      </c>
      <c r="U227" s="100"/>
      <c r="V227" s="100" t="str">
        <f t="shared" si="22"/>
        <v xml:space="preserve"> </v>
      </c>
      <c r="W227" s="101">
        <f t="shared" si="24"/>
        <v>24</v>
      </c>
      <c r="X227" s="102">
        <f t="shared" si="25"/>
        <v>0</v>
      </c>
      <c r="Y227" s="100" t="str">
        <f t="shared" si="26"/>
        <v xml:space="preserve"> </v>
      </c>
      <c r="Z227" s="100" t="str">
        <f t="shared" si="27"/>
        <v xml:space="preserve"> </v>
      </c>
    </row>
    <row r="228" spans="1:26">
      <c r="A228" s="100"/>
      <c r="B228" s="108" t="str">
        <f>IFERROR(VLOOKUP(Tablo516[[#This Row],[ÜRÜN KODU]],YMKODLARI!$A$1:$K$383,2,0)," ")</f>
        <v xml:space="preserve"> </v>
      </c>
      <c r="C228" s="99"/>
      <c r="D228" s="100"/>
      <c r="E228" s="101"/>
      <c r="F228" s="101"/>
      <c r="G228" s="100" t="str">
        <f>IFERROR(VLOOKUP(Tablo516[[#This Row],[ÜRÜN KODU]],YMKODLARI!$A$1:$K$383,3,0)," ")</f>
        <v xml:space="preserve"> </v>
      </c>
      <c r="H228" s="100" t="str">
        <f>IFERROR(VLOOKUP(Tablo516[[#This Row],[ÜRÜN KODU]],YMKODLARI!$A$1:$K$383,4,0)," ")</f>
        <v xml:space="preserve"> </v>
      </c>
      <c r="I228" s="100"/>
      <c r="J228" s="100" t="str">
        <f>IFERROR(VLOOKUP(Tablo516[[#This Row],[ÜRÜN KODU]],YMKODLARI!$A$1:$K$383,9,0)," ")</f>
        <v xml:space="preserve"> </v>
      </c>
      <c r="K228" s="100" t="str">
        <f>IFERROR(VLOOKUP(Tablo516[[#This Row],[BOYA KODU]],Tablo14[#All],4,0)," ")</f>
        <v xml:space="preserve"> </v>
      </c>
      <c r="L228" s="100" t="str">
        <f>IFERROR(VLOOKUP(Tablo516[[#This Row],[BOYA KODU]],Tablo14[#All],6,0)," ")</f>
        <v xml:space="preserve"> </v>
      </c>
      <c r="M228" s="100" t="str">
        <f t="shared" si="21"/>
        <v xml:space="preserve"> </v>
      </c>
      <c r="N228" s="100" t="str">
        <f>IFERROR(VLOOKUP(Tablo516[[#This Row],[ÜRÜN KODU]],YMKODLARI!$A$1:$K$383,8,0)," ")</f>
        <v xml:space="preserve"> </v>
      </c>
      <c r="O228" s="100" t="str">
        <f>IFERROR(VLOOKUP(Tablo516[[#This Row],[HAMMADDE KODU]],Tablo1[#All],3,0)," ")</f>
        <v xml:space="preserve"> </v>
      </c>
      <c r="P228" s="100" t="str">
        <f>IFERROR(VLOOKUP(Tablo516[[#This Row],[HAMMADDE KODU]],Tablo1[#All],4,0)," ")</f>
        <v xml:space="preserve"> </v>
      </c>
      <c r="Q228" s="100" t="str">
        <f>IFERROR(VLOOKUP(Tablo516[[#This Row],[ÜRÜN KODU]],YMKODLARI!$A$1:$K$383,5,0)," ")</f>
        <v xml:space="preserve"> </v>
      </c>
      <c r="R228" s="100" t="str">
        <f>IFERROR(VLOOKUP(Tablo516[[#This Row],[ÜRÜN KODU]],YMKODLARI!$A$1:$K$383,6,0)," ")</f>
        <v xml:space="preserve"> </v>
      </c>
      <c r="S228" s="100" t="str">
        <f>IFERROR(Tablo516[[#This Row],[YOLLUK HARİÇ BASKI GRAMI]]/Tablo516[[#This Row],[KALIP GÖZ ADEDİ]]," ")</f>
        <v xml:space="preserve"> </v>
      </c>
      <c r="T228" s="100" t="str">
        <f t="shared" si="23"/>
        <v xml:space="preserve"> </v>
      </c>
      <c r="U228" s="100"/>
      <c r="V228" s="100" t="str">
        <f t="shared" si="22"/>
        <v xml:space="preserve"> </v>
      </c>
      <c r="W228" s="101">
        <f t="shared" si="24"/>
        <v>24</v>
      </c>
      <c r="X228" s="102">
        <f t="shared" si="25"/>
        <v>0</v>
      </c>
      <c r="Y228" s="100" t="str">
        <f t="shared" si="26"/>
        <v xml:space="preserve"> </v>
      </c>
      <c r="Z228" s="100" t="str">
        <f t="shared" si="27"/>
        <v xml:space="preserve"> </v>
      </c>
    </row>
    <row r="229" spans="1:26">
      <c r="A229" s="100"/>
      <c r="B229" s="108" t="str">
        <f>IFERROR(VLOOKUP(Tablo516[[#This Row],[ÜRÜN KODU]],YMKODLARI!$A$1:$K$383,2,0)," ")</f>
        <v xml:space="preserve"> </v>
      </c>
      <c r="C229" s="99"/>
      <c r="D229" s="100"/>
      <c r="E229" s="101"/>
      <c r="F229" s="101"/>
      <c r="G229" s="100" t="str">
        <f>IFERROR(VLOOKUP(Tablo516[[#This Row],[ÜRÜN KODU]],YMKODLARI!$A$1:$K$383,3,0)," ")</f>
        <v xml:space="preserve"> </v>
      </c>
      <c r="H229" s="100" t="str">
        <f>IFERROR(VLOOKUP(Tablo516[[#This Row],[ÜRÜN KODU]],YMKODLARI!$A$1:$K$383,4,0)," ")</f>
        <v xml:space="preserve"> </v>
      </c>
      <c r="I229" s="100"/>
      <c r="J229" s="100" t="str">
        <f>IFERROR(VLOOKUP(Tablo516[[#This Row],[ÜRÜN KODU]],YMKODLARI!$A$1:$K$383,9,0)," ")</f>
        <v xml:space="preserve"> </v>
      </c>
      <c r="K229" s="100" t="str">
        <f>IFERROR(VLOOKUP(Tablo516[[#This Row],[BOYA KODU]],Tablo14[#All],4,0)," ")</f>
        <v xml:space="preserve"> </v>
      </c>
      <c r="L229" s="100" t="str">
        <f>IFERROR(VLOOKUP(Tablo516[[#This Row],[BOYA KODU]],Tablo14[#All],6,0)," ")</f>
        <v xml:space="preserve"> </v>
      </c>
      <c r="M229" s="100" t="str">
        <f t="shared" si="21"/>
        <v xml:space="preserve"> </v>
      </c>
      <c r="N229" s="100" t="str">
        <f>IFERROR(VLOOKUP(Tablo516[[#This Row],[ÜRÜN KODU]],YMKODLARI!$A$1:$K$383,8,0)," ")</f>
        <v xml:space="preserve"> </v>
      </c>
      <c r="O229" s="100" t="str">
        <f>IFERROR(VLOOKUP(Tablo516[[#This Row],[HAMMADDE KODU]],Tablo1[#All],3,0)," ")</f>
        <v xml:space="preserve"> </v>
      </c>
      <c r="P229" s="100" t="str">
        <f>IFERROR(VLOOKUP(Tablo516[[#This Row],[HAMMADDE KODU]],Tablo1[#All],4,0)," ")</f>
        <v xml:space="preserve"> </v>
      </c>
      <c r="Q229" s="100" t="str">
        <f>IFERROR(VLOOKUP(Tablo516[[#This Row],[ÜRÜN KODU]],YMKODLARI!$A$1:$K$383,5,0)," ")</f>
        <v xml:space="preserve"> </v>
      </c>
      <c r="R229" s="100" t="str">
        <f>IFERROR(VLOOKUP(Tablo516[[#This Row],[ÜRÜN KODU]],YMKODLARI!$A$1:$K$383,6,0)," ")</f>
        <v xml:space="preserve"> </v>
      </c>
      <c r="S229" s="100" t="str">
        <f>IFERROR(Tablo516[[#This Row],[YOLLUK HARİÇ BASKI GRAMI]]/Tablo516[[#This Row],[KALIP GÖZ ADEDİ]]," ")</f>
        <v xml:space="preserve"> </v>
      </c>
      <c r="T229" s="100" t="str">
        <f t="shared" si="23"/>
        <v xml:space="preserve"> </v>
      </c>
      <c r="U229" s="100"/>
      <c r="V229" s="100" t="str">
        <f t="shared" si="22"/>
        <v xml:space="preserve"> </v>
      </c>
      <c r="W229" s="101">
        <f t="shared" si="24"/>
        <v>24</v>
      </c>
      <c r="X229" s="102">
        <f t="shared" si="25"/>
        <v>0</v>
      </c>
      <c r="Y229" s="100" t="str">
        <f t="shared" si="26"/>
        <v xml:space="preserve"> </v>
      </c>
      <c r="Z229" s="100" t="str">
        <f t="shared" si="27"/>
        <v xml:space="preserve"> </v>
      </c>
    </row>
    <row r="230" spans="1:26">
      <c r="A230" s="100"/>
      <c r="B230" s="108" t="str">
        <f>IFERROR(VLOOKUP(Tablo516[[#This Row],[ÜRÜN KODU]],YMKODLARI!$A$1:$K$383,2,0)," ")</f>
        <v xml:space="preserve"> </v>
      </c>
      <c r="C230" s="99"/>
      <c r="D230" s="100"/>
      <c r="E230" s="101"/>
      <c r="F230" s="101"/>
      <c r="G230" s="100" t="str">
        <f>IFERROR(VLOOKUP(Tablo516[[#This Row],[ÜRÜN KODU]],YMKODLARI!$A$1:$K$383,3,0)," ")</f>
        <v xml:space="preserve"> </v>
      </c>
      <c r="H230" s="100" t="str">
        <f>IFERROR(VLOOKUP(Tablo516[[#This Row],[ÜRÜN KODU]],YMKODLARI!$A$1:$K$383,4,0)," ")</f>
        <v xml:space="preserve"> </v>
      </c>
      <c r="I230" s="100"/>
      <c r="J230" s="100" t="str">
        <f>IFERROR(VLOOKUP(Tablo516[[#This Row],[ÜRÜN KODU]],YMKODLARI!$A$1:$K$383,9,0)," ")</f>
        <v xml:space="preserve"> </v>
      </c>
      <c r="K230" s="100" t="str">
        <f>IFERROR(VLOOKUP(Tablo516[[#This Row],[BOYA KODU]],Tablo14[#All],4,0)," ")</f>
        <v xml:space="preserve"> </v>
      </c>
      <c r="L230" s="100" t="str">
        <f>IFERROR(VLOOKUP(Tablo516[[#This Row],[BOYA KODU]],Tablo14[#All],6,0)," ")</f>
        <v xml:space="preserve"> </v>
      </c>
      <c r="M230" s="100" t="str">
        <f t="shared" si="21"/>
        <v xml:space="preserve"> </v>
      </c>
      <c r="N230" s="100" t="str">
        <f>IFERROR(VLOOKUP(Tablo516[[#This Row],[ÜRÜN KODU]],YMKODLARI!$A$1:$K$383,8,0)," ")</f>
        <v xml:space="preserve"> </v>
      </c>
      <c r="O230" s="100" t="str">
        <f>IFERROR(VLOOKUP(Tablo516[[#This Row],[HAMMADDE KODU]],Tablo1[#All],3,0)," ")</f>
        <v xml:space="preserve"> </v>
      </c>
      <c r="P230" s="100" t="str">
        <f>IFERROR(VLOOKUP(Tablo516[[#This Row],[HAMMADDE KODU]],Tablo1[#All],4,0)," ")</f>
        <v xml:space="preserve"> </v>
      </c>
      <c r="Q230" s="100" t="str">
        <f>IFERROR(VLOOKUP(Tablo516[[#This Row],[ÜRÜN KODU]],YMKODLARI!$A$1:$K$383,5,0)," ")</f>
        <v xml:space="preserve"> </v>
      </c>
      <c r="R230" s="100" t="str">
        <f>IFERROR(VLOOKUP(Tablo516[[#This Row],[ÜRÜN KODU]],YMKODLARI!$A$1:$K$383,6,0)," ")</f>
        <v xml:space="preserve"> </v>
      </c>
      <c r="S230" s="100" t="str">
        <f>IFERROR(Tablo516[[#This Row],[YOLLUK HARİÇ BASKI GRAMI]]/Tablo516[[#This Row],[KALIP GÖZ ADEDİ]]," ")</f>
        <v xml:space="preserve"> </v>
      </c>
      <c r="T230" s="100" t="str">
        <f t="shared" si="23"/>
        <v xml:space="preserve"> </v>
      </c>
      <c r="U230" s="100"/>
      <c r="V230" s="100" t="str">
        <f t="shared" si="22"/>
        <v xml:space="preserve"> </v>
      </c>
      <c r="W230" s="101">
        <f t="shared" si="24"/>
        <v>24</v>
      </c>
      <c r="X230" s="102">
        <f t="shared" si="25"/>
        <v>0</v>
      </c>
      <c r="Y230" s="100" t="str">
        <f t="shared" si="26"/>
        <v xml:space="preserve"> </v>
      </c>
      <c r="Z230" s="100" t="str">
        <f t="shared" si="27"/>
        <v xml:space="preserve"> </v>
      </c>
    </row>
    <row r="231" spans="1:26">
      <c r="A231" s="100"/>
      <c r="B231" s="108" t="str">
        <f>IFERROR(VLOOKUP(Tablo516[[#This Row],[ÜRÜN KODU]],YMKODLARI!$A$1:$K$383,2,0)," ")</f>
        <v xml:space="preserve"> </v>
      </c>
      <c r="C231" s="99"/>
      <c r="D231" s="100"/>
      <c r="E231" s="101"/>
      <c r="F231" s="101"/>
      <c r="G231" s="100" t="str">
        <f>IFERROR(VLOOKUP(Tablo516[[#This Row],[ÜRÜN KODU]],YMKODLARI!$A$1:$K$383,3,0)," ")</f>
        <v xml:space="preserve"> </v>
      </c>
      <c r="H231" s="100" t="str">
        <f>IFERROR(VLOOKUP(Tablo516[[#This Row],[ÜRÜN KODU]],YMKODLARI!$A$1:$K$383,4,0)," ")</f>
        <v xml:space="preserve"> </v>
      </c>
      <c r="I231" s="100"/>
      <c r="J231" s="100" t="str">
        <f>IFERROR(VLOOKUP(Tablo516[[#This Row],[ÜRÜN KODU]],YMKODLARI!$A$1:$K$383,9,0)," ")</f>
        <v xml:space="preserve"> </v>
      </c>
      <c r="K231" s="100" t="str">
        <f>IFERROR(VLOOKUP(Tablo516[[#This Row],[BOYA KODU]],Tablo14[#All],4,0)," ")</f>
        <v xml:space="preserve"> </v>
      </c>
      <c r="L231" s="100" t="str">
        <f>IFERROR(VLOOKUP(Tablo516[[#This Row],[BOYA KODU]],Tablo14[#All],6,0)," ")</f>
        <v xml:space="preserve"> </v>
      </c>
      <c r="M231" s="100" t="str">
        <f t="shared" si="21"/>
        <v xml:space="preserve"> </v>
      </c>
      <c r="N231" s="100" t="str">
        <f>IFERROR(VLOOKUP(Tablo516[[#This Row],[ÜRÜN KODU]],YMKODLARI!$A$1:$K$383,8,0)," ")</f>
        <v xml:space="preserve"> </v>
      </c>
      <c r="O231" s="100" t="str">
        <f>IFERROR(VLOOKUP(Tablo516[[#This Row],[HAMMADDE KODU]],Tablo1[#All],3,0)," ")</f>
        <v xml:space="preserve"> </v>
      </c>
      <c r="P231" s="100" t="str">
        <f>IFERROR(VLOOKUP(Tablo516[[#This Row],[HAMMADDE KODU]],Tablo1[#All],4,0)," ")</f>
        <v xml:space="preserve"> </v>
      </c>
      <c r="Q231" s="100" t="str">
        <f>IFERROR(VLOOKUP(Tablo516[[#This Row],[ÜRÜN KODU]],YMKODLARI!$A$1:$K$383,5,0)," ")</f>
        <v xml:space="preserve"> </v>
      </c>
      <c r="R231" s="100" t="str">
        <f>IFERROR(VLOOKUP(Tablo516[[#This Row],[ÜRÜN KODU]],YMKODLARI!$A$1:$K$383,6,0)," ")</f>
        <v xml:space="preserve"> </v>
      </c>
      <c r="S231" s="100" t="str">
        <f>IFERROR(Tablo516[[#This Row],[YOLLUK HARİÇ BASKI GRAMI]]/Tablo516[[#This Row],[KALIP GÖZ ADEDİ]]," ")</f>
        <v xml:space="preserve"> </v>
      </c>
      <c r="T231" s="100" t="str">
        <f t="shared" si="23"/>
        <v xml:space="preserve"> </v>
      </c>
      <c r="U231" s="100"/>
      <c r="V231" s="100" t="str">
        <f t="shared" si="22"/>
        <v xml:space="preserve"> </v>
      </c>
      <c r="W231" s="101">
        <f t="shared" si="24"/>
        <v>24</v>
      </c>
      <c r="X231" s="102">
        <f t="shared" si="25"/>
        <v>0</v>
      </c>
      <c r="Y231" s="100" t="str">
        <f t="shared" si="26"/>
        <v xml:space="preserve"> </v>
      </c>
      <c r="Z231" s="100" t="str">
        <f t="shared" si="27"/>
        <v xml:space="preserve"> </v>
      </c>
    </row>
    <row r="232" spans="1:26">
      <c r="A232" s="100"/>
      <c r="B232" s="108" t="str">
        <f>IFERROR(VLOOKUP(Tablo516[[#This Row],[ÜRÜN KODU]],YMKODLARI!$A$1:$K$383,2,0)," ")</f>
        <v xml:space="preserve"> </v>
      </c>
      <c r="C232" s="99"/>
      <c r="D232" s="100"/>
      <c r="E232" s="101"/>
      <c r="F232" s="101"/>
      <c r="G232" s="100" t="str">
        <f>IFERROR(VLOOKUP(Tablo516[[#This Row],[ÜRÜN KODU]],YMKODLARI!$A$1:$K$383,3,0)," ")</f>
        <v xml:space="preserve"> </v>
      </c>
      <c r="H232" s="100" t="str">
        <f>IFERROR(VLOOKUP(Tablo516[[#This Row],[ÜRÜN KODU]],YMKODLARI!$A$1:$K$383,4,0)," ")</f>
        <v xml:space="preserve"> </v>
      </c>
      <c r="I232" s="100"/>
      <c r="J232" s="100" t="str">
        <f>IFERROR(VLOOKUP(Tablo516[[#This Row],[ÜRÜN KODU]],YMKODLARI!$A$1:$K$383,9,0)," ")</f>
        <v xml:space="preserve"> </v>
      </c>
      <c r="K232" s="100" t="str">
        <f>IFERROR(VLOOKUP(Tablo516[[#This Row],[BOYA KODU]],Tablo14[#All],4,0)," ")</f>
        <v xml:space="preserve"> </v>
      </c>
      <c r="L232" s="100" t="str">
        <f>IFERROR(VLOOKUP(Tablo516[[#This Row],[BOYA KODU]],Tablo14[#All],6,0)," ")</f>
        <v xml:space="preserve"> </v>
      </c>
      <c r="M232" s="100" t="str">
        <f t="shared" si="21"/>
        <v xml:space="preserve"> </v>
      </c>
      <c r="N232" s="100" t="str">
        <f>IFERROR(VLOOKUP(Tablo516[[#This Row],[ÜRÜN KODU]],YMKODLARI!$A$1:$K$383,8,0)," ")</f>
        <v xml:space="preserve"> </v>
      </c>
      <c r="O232" s="100" t="str">
        <f>IFERROR(VLOOKUP(Tablo516[[#This Row],[HAMMADDE KODU]],Tablo1[#All],3,0)," ")</f>
        <v xml:space="preserve"> </v>
      </c>
      <c r="P232" s="100" t="str">
        <f>IFERROR(VLOOKUP(Tablo516[[#This Row],[HAMMADDE KODU]],Tablo1[#All],4,0)," ")</f>
        <v xml:space="preserve"> </v>
      </c>
      <c r="Q232" s="100" t="str">
        <f>IFERROR(VLOOKUP(Tablo516[[#This Row],[ÜRÜN KODU]],YMKODLARI!$A$1:$K$383,5,0)," ")</f>
        <v xml:space="preserve"> </v>
      </c>
      <c r="R232" s="100" t="str">
        <f>IFERROR(VLOOKUP(Tablo516[[#This Row],[ÜRÜN KODU]],YMKODLARI!$A$1:$K$383,6,0)," ")</f>
        <v xml:space="preserve"> </v>
      </c>
      <c r="S232" s="100" t="str">
        <f>IFERROR(Tablo516[[#This Row],[YOLLUK HARİÇ BASKI GRAMI]]/Tablo516[[#This Row],[KALIP GÖZ ADEDİ]]," ")</f>
        <v xml:space="preserve"> </v>
      </c>
      <c r="T232" s="100" t="str">
        <f t="shared" si="23"/>
        <v xml:space="preserve"> </v>
      </c>
      <c r="U232" s="100"/>
      <c r="V232" s="100" t="str">
        <f t="shared" si="22"/>
        <v xml:space="preserve"> </v>
      </c>
      <c r="W232" s="101">
        <f t="shared" si="24"/>
        <v>24</v>
      </c>
      <c r="X232" s="102">
        <f t="shared" si="25"/>
        <v>0</v>
      </c>
      <c r="Y232" s="100" t="str">
        <f t="shared" si="26"/>
        <v xml:space="preserve"> </v>
      </c>
      <c r="Z232" s="100" t="str">
        <f t="shared" si="27"/>
        <v xml:space="preserve"> </v>
      </c>
    </row>
    <row r="233" spans="1:26">
      <c r="A233" s="100"/>
      <c r="B233" s="108" t="str">
        <f>IFERROR(VLOOKUP(Tablo516[[#This Row],[ÜRÜN KODU]],YMKODLARI!$A$1:$K$383,2,0)," ")</f>
        <v xml:space="preserve"> </v>
      </c>
      <c r="C233" s="99"/>
      <c r="D233" s="100"/>
      <c r="E233" s="101"/>
      <c r="F233" s="101"/>
      <c r="G233" s="100" t="str">
        <f>IFERROR(VLOOKUP(Tablo516[[#This Row],[ÜRÜN KODU]],YMKODLARI!$A$1:$K$383,3,0)," ")</f>
        <v xml:space="preserve"> </v>
      </c>
      <c r="H233" s="100" t="str">
        <f>IFERROR(VLOOKUP(Tablo516[[#This Row],[ÜRÜN KODU]],YMKODLARI!$A$1:$K$383,4,0)," ")</f>
        <v xml:space="preserve"> </v>
      </c>
      <c r="I233" s="100"/>
      <c r="J233" s="100" t="str">
        <f>IFERROR(VLOOKUP(Tablo516[[#This Row],[ÜRÜN KODU]],YMKODLARI!$A$1:$K$383,9,0)," ")</f>
        <v xml:space="preserve"> </v>
      </c>
      <c r="K233" s="100" t="str">
        <f>IFERROR(VLOOKUP(Tablo516[[#This Row],[BOYA KODU]],Tablo14[#All],4,0)," ")</f>
        <v xml:space="preserve"> </v>
      </c>
      <c r="L233" s="100" t="str">
        <f>IFERROR(VLOOKUP(Tablo516[[#This Row],[BOYA KODU]],Tablo14[#All],6,0)," ")</f>
        <v xml:space="preserve"> </v>
      </c>
      <c r="M233" s="100" t="str">
        <f t="shared" si="21"/>
        <v xml:space="preserve"> </v>
      </c>
      <c r="N233" s="100" t="str">
        <f>IFERROR(VLOOKUP(Tablo516[[#This Row],[ÜRÜN KODU]],YMKODLARI!$A$1:$K$383,8,0)," ")</f>
        <v xml:space="preserve"> </v>
      </c>
      <c r="O233" s="100" t="str">
        <f>IFERROR(VLOOKUP(Tablo516[[#This Row],[HAMMADDE KODU]],Tablo1[#All],3,0)," ")</f>
        <v xml:space="preserve"> </v>
      </c>
      <c r="P233" s="100" t="str">
        <f>IFERROR(VLOOKUP(Tablo516[[#This Row],[HAMMADDE KODU]],Tablo1[#All],4,0)," ")</f>
        <v xml:space="preserve"> </v>
      </c>
      <c r="Q233" s="100" t="str">
        <f>IFERROR(VLOOKUP(Tablo516[[#This Row],[ÜRÜN KODU]],YMKODLARI!$A$1:$K$383,5,0)," ")</f>
        <v xml:space="preserve"> </v>
      </c>
      <c r="R233" s="100" t="str">
        <f>IFERROR(VLOOKUP(Tablo516[[#This Row],[ÜRÜN KODU]],YMKODLARI!$A$1:$K$383,6,0)," ")</f>
        <v xml:space="preserve"> </v>
      </c>
      <c r="S233" s="100" t="str">
        <f>IFERROR(Tablo516[[#This Row],[YOLLUK HARİÇ BASKI GRAMI]]/Tablo516[[#This Row],[KALIP GÖZ ADEDİ]]," ")</f>
        <v xml:space="preserve"> </v>
      </c>
      <c r="T233" s="100" t="str">
        <f t="shared" si="23"/>
        <v xml:space="preserve"> </v>
      </c>
      <c r="U233" s="100"/>
      <c r="V233" s="100" t="str">
        <f t="shared" si="22"/>
        <v xml:space="preserve"> </v>
      </c>
      <c r="W233" s="101">
        <f t="shared" si="24"/>
        <v>24</v>
      </c>
      <c r="X233" s="102">
        <f t="shared" si="25"/>
        <v>0</v>
      </c>
      <c r="Y233" s="100" t="str">
        <f t="shared" si="26"/>
        <v xml:space="preserve"> </v>
      </c>
      <c r="Z233" s="100" t="str">
        <f t="shared" si="27"/>
        <v xml:space="preserve"> </v>
      </c>
    </row>
    <row r="234" spans="1:26">
      <c r="A234" s="100"/>
      <c r="B234" s="108" t="str">
        <f>IFERROR(VLOOKUP(Tablo516[[#This Row],[ÜRÜN KODU]],YMKODLARI!$A$1:$K$383,2,0)," ")</f>
        <v xml:space="preserve"> </v>
      </c>
      <c r="C234" s="99"/>
      <c r="D234" s="100"/>
      <c r="E234" s="101"/>
      <c r="F234" s="101"/>
      <c r="G234" s="100" t="str">
        <f>IFERROR(VLOOKUP(Tablo516[[#This Row],[ÜRÜN KODU]],YMKODLARI!$A$1:$K$383,3,0)," ")</f>
        <v xml:space="preserve"> </v>
      </c>
      <c r="H234" s="100" t="str">
        <f>IFERROR(VLOOKUP(Tablo516[[#This Row],[ÜRÜN KODU]],YMKODLARI!$A$1:$K$383,4,0)," ")</f>
        <v xml:space="preserve"> </v>
      </c>
      <c r="I234" s="100"/>
      <c r="J234" s="100" t="str">
        <f>IFERROR(VLOOKUP(Tablo516[[#This Row],[ÜRÜN KODU]],YMKODLARI!$A$1:$K$383,9,0)," ")</f>
        <v xml:space="preserve"> </v>
      </c>
      <c r="K234" s="100" t="str">
        <f>IFERROR(VLOOKUP(Tablo516[[#This Row],[BOYA KODU]],Tablo14[#All],4,0)," ")</f>
        <v xml:space="preserve"> </v>
      </c>
      <c r="L234" s="100" t="str">
        <f>IFERROR(VLOOKUP(Tablo516[[#This Row],[BOYA KODU]],Tablo14[#All],6,0)," ")</f>
        <v xml:space="preserve"> </v>
      </c>
      <c r="M234" s="100" t="str">
        <f t="shared" si="21"/>
        <v xml:space="preserve"> </v>
      </c>
      <c r="N234" s="100" t="str">
        <f>IFERROR(VLOOKUP(Tablo516[[#This Row],[ÜRÜN KODU]],YMKODLARI!$A$1:$K$383,8,0)," ")</f>
        <v xml:space="preserve"> </v>
      </c>
      <c r="O234" s="100" t="str">
        <f>IFERROR(VLOOKUP(Tablo516[[#This Row],[HAMMADDE KODU]],Tablo1[#All],3,0)," ")</f>
        <v xml:space="preserve"> </v>
      </c>
      <c r="P234" s="100" t="str">
        <f>IFERROR(VLOOKUP(Tablo516[[#This Row],[HAMMADDE KODU]],Tablo1[#All],4,0)," ")</f>
        <v xml:space="preserve"> </v>
      </c>
      <c r="Q234" s="100" t="str">
        <f>IFERROR(VLOOKUP(Tablo516[[#This Row],[ÜRÜN KODU]],YMKODLARI!$A$1:$K$383,5,0)," ")</f>
        <v xml:space="preserve"> </v>
      </c>
      <c r="R234" s="100" t="str">
        <f>IFERROR(VLOOKUP(Tablo516[[#This Row],[ÜRÜN KODU]],YMKODLARI!$A$1:$K$383,6,0)," ")</f>
        <v xml:space="preserve"> </v>
      </c>
      <c r="S234" s="100" t="str">
        <f>IFERROR(Tablo516[[#This Row],[YOLLUK HARİÇ BASKI GRAMI]]/Tablo516[[#This Row],[KALIP GÖZ ADEDİ]]," ")</f>
        <v xml:space="preserve"> </v>
      </c>
      <c r="T234" s="100" t="str">
        <f t="shared" si="23"/>
        <v xml:space="preserve"> </v>
      </c>
      <c r="U234" s="100"/>
      <c r="V234" s="100" t="str">
        <f t="shared" si="22"/>
        <v xml:space="preserve"> </v>
      </c>
      <c r="W234" s="101">
        <f t="shared" si="24"/>
        <v>24</v>
      </c>
      <c r="X234" s="102">
        <f t="shared" si="25"/>
        <v>0</v>
      </c>
      <c r="Y234" s="100" t="str">
        <f t="shared" si="26"/>
        <v xml:space="preserve"> </v>
      </c>
      <c r="Z234" s="100" t="str">
        <f t="shared" si="27"/>
        <v xml:space="preserve"> </v>
      </c>
    </row>
    <row r="235" spans="1:26">
      <c r="A235" s="100"/>
      <c r="B235" s="108" t="str">
        <f>IFERROR(VLOOKUP(Tablo516[[#This Row],[ÜRÜN KODU]],YMKODLARI!$A$1:$K$383,2,0)," ")</f>
        <v xml:space="preserve"> </v>
      </c>
      <c r="C235" s="99"/>
      <c r="D235" s="100"/>
      <c r="E235" s="101"/>
      <c r="F235" s="101"/>
      <c r="G235" s="100" t="str">
        <f>IFERROR(VLOOKUP(Tablo516[[#This Row],[ÜRÜN KODU]],YMKODLARI!$A$1:$K$383,3,0)," ")</f>
        <v xml:space="preserve"> </v>
      </c>
      <c r="H235" s="100" t="str">
        <f>IFERROR(VLOOKUP(Tablo516[[#This Row],[ÜRÜN KODU]],YMKODLARI!$A$1:$K$383,4,0)," ")</f>
        <v xml:space="preserve"> </v>
      </c>
      <c r="I235" s="100"/>
      <c r="J235" s="100" t="str">
        <f>IFERROR(VLOOKUP(Tablo516[[#This Row],[ÜRÜN KODU]],YMKODLARI!$A$1:$K$383,9,0)," ")</f>
        <v xml:space="preserve"> </v>
      </c>
      <c r="K235" s="100" t="str">
        <f>IFERROR(VLOOKUP(Tablo516[[#This Row],[BOYA KODU]],Tablo14[#All],4,0)," ")</f>
        <v xml:space="preserve"> </v>
      </c>
      <c r="L235" s="100" t="str">
        <f>IFERROR(VLOOKUP(Tablo516[[#This Row],[BOYA KODU]],Tablo14[#All],6,0)," ")</f>
        <v xml:space="preserve"> </v>
      </c>
      <c r="M235" s="100" t="str">
        <f t="shared" si="21"/>
        <v xml:space="preserve"> </v>
      </c>
      <c r="N235" s="100" t="str">
        <f>IFERROR(VLOOKUP(Tablo516[[#This Row],[ÜRÜN KODU]],YMKODLARI!$A$1:$K$383,8,0)," ")</f>
        <v xml:space="preserve"> </v>
      </c>
      <c r="O235" s="100" t="str">
        <f>IFERROR(VLOOKUP(Tablo516[[#This Row],[HAMMADDE KODU]],Tablo1[#All],3,0)," ")</f>
        <v xml:space="preserve"> </v>
      </c>
      <c r="P235" s="100" t="str">
        <f>IFERROR(VLOOKUP(Tablo516[[#This Row],[HAMMADDE KODU]],Tablo1[#All],4,0)," ")</f>
        <v xml:space="preserve"> </v>
      </c>
      <c r="Q235" s="100" t="str">
        <f>IFERROR(VLOOKUP(Tablo516[[#This Row],[ÜRÜN KODU]],YMKODLARI!$A$1:$K$383,5,0)," ")</f>
        <v xml:space="preserve"> </v>
      </c>
      <c r="R235" s="100" t="str">
        <f>IFERROR(VLOOKUP(Tablo516[[#This Row],[ÜRÜN KODU]],YMKODLARI!$A$1:$K$383,6,0)," ")</f>
        <v xml:space="preserve"> </v>
      </c>
      <c r="S235" s="100" t="str">
        <f>IFERROR(Tablo516[[#This Row],[YOLLUK HARİÇ BASKI GRAMI]]/Tablo516[[#This Row],[KALIP GÖZ ADEDİ]]," ")</f>
        <v xml:space="preserve"> </v>
      </c>
      <c r="T235" s="100" t="str">
        <f t="shared" si="23"/>
        <v xml:space="preserve"> </v>
      </c>
      <c r="U235" s="100"/>
      <c r="V235" s="100" t="str">
        <f t="shared" si="22"/>
        <v xml:space="preserve"> </v>
      </c>
      <c r="W235" s="101">
        <f t="shared" si="24"/>
        <v>24</v>
      </c>
      <c r="X235" s="102">
        <f t="shared" si="25"/>
        <v>0</v>
      </c>
      <c r="Y235" s="100" t="str">
        <f t="shared" si="26"/>
        <v xml:space="preserve"> </v>
      </c>
      <c r="Z235" s="100" t="str">
        <f t="shared" si="27"/>
        <v xml:space="preserve"> </v>
      </c>
    </row>
    <row r="236" spans="1:26">
      <c r="A236" s="100"/>
      <c r="B236" s="108" t="str">
        <f>IFERROR(VLOOKUP(Tablo516[[#This Row],[ÜRÜN KODU]],YMKODLARI!$A$1:$K$383,2,0)," ")</f>
        <v xml:space="preserve"> </v>
      </c>
      <c r="C236" s="99"/>
      <c r="D236" s="100"/>
      <c r="E236" s="101"/>
      <c r="F236" s="101"/>
      <c r="G236" s="100" t="str">
        <f>IFERROR(VLOOKUP(Tablo516[[#This Row],[ÜRÜN KODU]],YMKODLARI!$A$1:$K$383,3,0)," ")</f>
        <v xml:space="preserve"> </v>
      </c>
      <c r="H236" s="100" t="str">
        <f>IFERROR(VLOOKUP(Tablo516[[#This Row],[ÜRÜN KODU]],YMKODLARI!$A$1:$K$383,4,0)," ")</f>
        <v xml:space="preserve"> </v>
      </c>
      <c r="I236" s="100"/>
      <c r="J236" s="100" t="str">
        <f>IFERROR(VLOOKUP(Tablo516[[#This Row],[ÜRÜN KODU]],YMKODLARI!$A$1:$K$383,9,0)," ")</f>
        <v xml:space="preserve"> </v>
      </c>
      <c r="K236" s="100" t="str">
        <f>IFERROR(VLOOKUP(Tablo516[[#This Row],[BOYA KODU]],Tablo14[#All],4,0)," ")</f>
        <v xml:space="preserve"> </v>
      </c>
      <c r="L236" s="100" t="str">
        <f>IFERROR(VLOOKUP(Tablo516[[#This Row],[BOYA KODU]],Tablo14[#All],6,0)," ")</f>
        <v xml:space="preserve"> </v>
      </c>
      <c r="M236" s="100" t="str">
        <f t="shared" si="21"/>
        <v xml:space="preserve"> </v>
      </c>
      <c r="N236" s="100" t="str">
        <f>IFERROR(VLOOKUP(Tablo516[[#This Row],[ÜRÜN KODU]],YMKODLARI!$A$1:$K$383,8,0)," ")</f>
        <v xml:space="preserve"> </v>
      </c>
      <c r="O236" s="100" t="str">
        <f>IFERROR(VLOOKUP(Tablo516[[#This Row],[HAMMADDE KODU]],Tablo1[#All],3,0)," ")</f>
        <v xml:space="preserve"> </v>
      </c>
      <c r="P236" s="100" t="str">
        <f>IFERROR(VLOOKUP(Tablo516[[#This Row],[HAMMADDE KODU]],Tablo1[#All],4,0)," ")</f>
        <v xml:space="preserve"> </v>
      </c>
      <c r="Q236" s="100" t="str">
        <f>IFERROR(VLOOKUP(Tablo516[[#This Row],[ÜRÜN KODU]],YMKODLARI!$A$1:$K$383,5,0)," ")</f>
        <v xml:space="preserve"> </v>
      </c>
      <c r="R236" s="100" t="str">
        <f>IFERROR(VLOOKUP(Tablo516[[#This Row],[ÜRÜN KODU]],YMKODLARI!$A$1:$K$383,6,0)," ")</f>
        <v xml:space="preserve"> </v>
      </c>
      <c r="S236" s="100" t="str">
        <f>IFERROR(Tablo516[[#This Row],[YOLLUK HARİÇ BASKI GRAMI]]/Tablo516[[#This Row],[KALIP GÖZ ADEDİ]]," ")</f>
        <v xml:space="preserve"> </v>
      </c>
      <c r="T236" s="100" t="str">
        <f t="shared" si="23"/>
        <v xml:space="preserve"> </v>
      </c>
      <c r="U236" s="100"/>
      <c r="V236" s="100" t="str">
        <f t="shared" si="22"/>
        <v xml:space="preserve"> </v>
      </c>
      <c r="W236" s="101">
        <f t="shared" si="24"/>
        <v>24</v>
      </c>
      <c r="X236" s="102">
        <f t="shared" si="25"/>
        <v>0</v>
      </c>
      <c r="Y236" s="100" t="str">
        <f t="shared" si="26"/>
        <v xml:space="preserve"> </v>
      </c>
      <c r="Z236" s="100" t="str">
        <f t="shared" si="27"/>
        <v xml:space="preserve"> </v>
      </c>
    </row>
    <row r="237" spans="1:26">
      <c r="A237" s="100"/>
      <c r="B237" s="108" t="str">
        <f>IFERROR(VLOOKUP(Tablo516[[#This Row],[ÜRÜN KODU]],YMKODLARI!$A$1:$K$383,2,0)," ")</f>
        <v xml:space="preserve"> </v>
      </c>
      <c r="C237" s="99"/>
      <c r="D237" s="100"/>
      <c r="E237" s="101"/>
      <c r="F237" s="101"/>
      <c r="G237" s="100" t="str">
        <f>IFERROR(VLOOKUP(Tablo516[[#This Row],[ÜRÜN KODU]],YMKODLARI!$A$1:$K$383,3,0)," ")</f>
        <v xml:space="preserve"> </v>
      </c>
      <c r="H237" s="100" t="str">
        <f>IFERROR(VLOOKUP(Tablo516[[#This Row],[ÜRÜN KODU]],YMKODLARI!$A$1:$K$383,4,0)," ")</f>
        <v xml:space="preserve"> </v>
      </c>
      <c r="I237" s="100"/>
      <c r="J237" s="100" t="str">
        <f>IFERROR(VLOOKUP(Tablo516[[#This Row],[ÜRÜN KODU]],YMKODLARI!$A$1:$K$383,9,0)," ")</f>
        <v xml:space="preserve"> </v>
      </c>
      <c r="K237" s="100" t="str">
        <f>IFERROR(VLOOKUP(Tablo516[[#This Row],[BOYA KODU]],Tablo14[#All],4,0)," ")</f>
        <v xml:space="preserve"> </v>
      </c>
      <c r="L237" s="100" t="str">
        <f>IFERROR(VLOOKUP(Tablo516[[#This Row],[BOYA KODU]],Tablo14[#All],6,0)," ")</f>
        <v xml:space="preserve"> </v>
      </c>
      <c r="M237" s="100" t="str">
        <f t="shared" si="21"/>
        <v xml:space="preserve"> </v>
      </c>
      <c r="N237" s="100" t="str">
        <f>IFERROR(VLOOKUP(Tablo516[[#This Row],[ÜRÜN KODU]],YMKODLARI!$A$1:$K$383,8,0)," ")</f>
        <v xml:space="preserve"> </v>
      </c>
      <c r="O237" s="100" t="str">
        <f>IFERROR(VLOOKUP(Tablo516[[#This Row],[HAMMADDE KODU]],Tablo1[#All],3,0)," ")</f>
        <v xml:space="preserve"> </v>
      </c>
      <c r="P237" s="100" t="str">
        <f>IFERROR(VLOOKUP(Tablo516[[#This Row],[HAMMADDE KODU]],Tablo1[#All],4,0)," ")</f>
        <v xml:space="preserve"> </v>
      </c>
      <c r="Q237" s="100" t="str">
        <f>IFERROR(VLOOKUP(Tablo516[[#This Row],[ÜRÜN KODU]],YMKODLARI!$A$1:$K$383,5,0)," ")</f>
        <v xml:space="preserve"> </v>
      </c>
      <c r="R237" s="100" t="str">
        <f>IFERROR(VLOOKUP(Tablo516[[#This Row],[ÜRÜN KODU]],YMKODLARI!$A$1:$K$383,6,0)," ")</f>
        <v xml:space="preserve"> </v>
      </c>
      <c r="S237" s="100" t="str">
        <f>IFERROR(Tablo516[[#This Row],[YOLLUK HARİÇ BASKI GRAMI]]/Tablo516[[#This Row],[KALIP GÖZ ADEDİ]]," ")</f>
        <v xml:space="preserve"> </v>
      </c>
      <c r="T237" s="100" t="str">
        <f t="shared" si="23"/>
        <v xml:space="preserve"> </v>
      </c>
      <c r="U237" s="100"/>
      <c r="V237" s="100" t="str">
        <f t="shared" si="22"/>
        <v xml:space="preserve"> </v>
      </c>
      <c r="W237" s="101">
        <f t="shared" si="24"/>
        <v>24</v>
      </c>
      <c r="X237" s="102">
        <f t="shared" si="25"/>
        <v>0</v>
      </c>
      <c r="Y237" s="100" t="str">
        <f t="shared" si="26"/>
        <v xml:space="preserve"> </v>
      </c>
      <c r="Z237" s="100" t="str">
        <f t="shared" si="27"/>
        <v xml:space="preserve"> </v>
      </c>
    </row>
    <row r="238" spans="1:26">
      <c r="A238" s="100"/>
      <c r="B238" s="108" t="str">
        <f>IFERROR(VLOOKUP(Tablo516[[#This Row],[ÜRÜN KODU]],YMKODLARI!$A$1:$K$383,2,0)," ")</f>
        <v xml:space="preserve"> </v>
      </c>
      <c r="C238" s="99"/>
      <c r="D238" s="100"/>
      <c r="E238" s="101"/>
      <c r="F238" s="101"/>
      <c r="G238" s="100" t="str">
        <f>IFERROR(VLOOKUP(Tablo516[[#This Row],[ÜRÜN KODU]],YMKODLARI!$A$1:$K$383,3,0)," ")</f>
        <v xml:space="preserve"> </v>
      </c>
      <c r="H238" s="100" t="str">
        <f>IFERROR(VLOOKUP(Tablo516[[#This Row],[ÜRÜN KODU]],YMKODLARI!$A$1:$K$383,4,0)," ")</f>
        <v xml:space="preserve"> </v>
      </c>
      <c r="I238" s="100"/>
      <c r="J238" s="100" t="str">
        <f>IFERROR(VLOOKUP(Tablo516[[#This Row],[ÜRÜN KODU]],YMKODLARI!$A$1:$K$383,9,0)," ")</f>
        <v xml:space="preserve"> </v>
      </c>
      <c r="K238" s="100" t="str">
        <f>IFERROR(VLOOKUP(Tablo516[[#This Row],[BOYA KODU]],Tablo14[#All],4,0)," ")</f>
        <v xml:space="preserve"> </v>
      </c>
      <c r="L238" s="100" t="str">
        <f>IFERROR(VLOOKUP(Tablo516[[#This Row],[BOYA KODU]],Tablo14[#All],6,0)," ")</f>
        <v xml:space="preserve"> </v>
      </c>
      <c r="M238" s="100" t="str">
        <f t="shared" si="21"/>
        <v xml:space="preserve"> </v>
      </c>
      <c r="N238" s="100" t="str">
        <f>IFERROR(VLOOKUP(Tablo516[[#This Row],[ÜRÜN KODU]],YMKODLARI!$A$1:$K$383,8,0)," ")</f>
        <v xml:space="preserve"> </v>
      </c>
      <c r="O238" s="100" t="str">
        <f>IFERROR(VLOOKUP(Tablo516[[#This Row],[HAMMADDE KODU]],Tablo1[#All],3,0)," ")</f>
        <v xml:space="preserve"> </v>
      </c>
      <c r="P238" s="100" t="str">
        <f>IFERROR(VLOOKUP(Tablo516[[#This Row],[HAMMADDE KODU]],Tablo1[#All],4,0)," ")</f>
        <v xml:space="preserve"> </v>
      </c>
      <c r="Q238" s="100" t="str">
        <f>IFERROR(VLOOKUP(Tablo516[[#This Row],[ÜRÜN KODU]],YMKODLARI!$A$1:$K$383,5,0)," ")</f>
        <v xml:space="preserve"> </v>
      </c>
      <c r="R238" s="100" t="str">
        <f>IFERROR(VLOOKUP(Tablo516[[#This Row],[ÜRÜN KODU]],YMKODLARI!$A$1:$K$383,6,0)," ")</f>
        <v xml:space="preserve"> </v>
      </c>
      <c r="S238" s="100" t="str">
        <f>IFERROR(Tablo516[[#This Row],[YOLLUK HARİÇ BASKI GRAMI]]/Tablo516[[#This Row],[KALIP GÖZ ADEDİ]]," ")</f>
        <v xml:space="preserve"> </v>
      </c>
      <c r="T238" s="100" t="str">
        <f t="shared" si="23"/>
        <v xml:space="preserve"> </v>
      </c>
      <c r="U238" s="100"/>
      <c r="V238" s="100" t="str">
        <f t="shared" si="22"/>
        <v xml:space="preserve"> </v>
      </c>
      <c r="W238" s="101">
        <f t="shared" si="24"/>
        <v>24</v>
      </c>
      <c r="X238" s="102">
        <f t="shared" si="25"/>
        <v>0</v>
      </c>
      <c r="Y238" s="100" t="str">
        <f t="shared" si="26"/>
        <v xml:space="preserve"> </v>
      </c>
      <c r="Z238" s="100" t="str">
        <f t="shared" si="27"/>
        <v xml:space="preserve"> </v>
      </c>
    </row>
    <row r="239" spans="1:26">
      <c r="A239" s="100"/>
      <c r="B239" s="108" t="str">
        <f>IFERROR(VLOOKUP(Tablo516[[#This Row],[ÜRÜN KODU]],YMKODLARI!$A$1:$K$383,2,0)," ")</f>
        <v xml:space="preserve"> </v>
      </c>
      <c r="C239" s="99"/>
      <c r="D239" s="100"/>
      <c r="E239" s="101"/>
      <c r="F239" s="101"/>
      <c r="G239" s="100" t="str">
        <f>IFERROR(VLOOKUP(Tablo516[[#This Row],[ÜRÜN KODU]],YMKODLARI!$A$1:$K$383,3,0)," ")</f>
        <v xml:space="preserve"> </v>
      </c>
      <c r="H239" s="100" t="str">
        <f>IFERROR(VLOOKUP(Tablo516[[#This Row],[ÜRÜN KODU]],YMKODLARI!$A$1:$K$383,4,0)," ")</f>
        <v xml:space="preserve"> </v>
      </c>
      <c r="I239" s="100"/>
      <c r="J239" s="100" t="str">
        <f>IFERROR(VLOOKUP(Tablo516[[#This Row],[ÜRÜN KODU]],YMKODLARI!$A$1:$K$383,9,0)," ")</f>
        <v xml:space="preserve"> </v>
      </c>
      <c r="K239" s="100" t="str">
        <f>IFERROR(VLOOKUP(Tablo516[[#This Row],[BOYA KODU]],Tablo14[#All],4,0)," ")</f>
        <v xml:space="preserve"> </v>
      </c>
      <c r="L239" s="100" t="str">
        <f>IFERROR(VLOOKUP(Tablo516[[#This Row],[BOYA KODU]],Tablo14[#All],6,0)," ")</f>
        <v xml:space="preserve"> </v>
      </c>
      <c r="M239" s="100" t="str">
        <f t="shared" si="21"/>
        <v xml:space="preserve"> </v>
      </c>
      <c r="N239" s="100" t="str">
        <f>IFERROR(VLOOKUP(Tablo516[[#This Row],[ÜRÜN KODU]],YMKODLARI!$A$1:$K$383,8,0)," ")</f>
        <v xml:space="preserve"> </v>
      </c>
      <c r="O239" s="100" t="str">
        <f>IFERROR(VLOOKUP(Tablo516[[#This Row],[HAMMADDE KODU]],Tablo1[#All],3,0)," ")</f>
        <v xml:space="preserve"> </v>
      </c>
      <c r="P239" s="100" t="str">
        <f>IFERROR(VLOOKUP(Tablo516[[#This Row],[HAMMADDE KODU]],Tablo1[#All],4,0)," ")</f>
        <v xml:space="preserve"> </v>
      </c>
      <c r="Q239" s="100" t="str">
        <f>IFERROR(VLOOKUP(Tablo516[[#This Row],[ÜRÜN KODU]],YMKODLARI!$A$1:$K$383,5,0)," ")</f>
        <v xml:space="preserve"> </v>
      </c>
      <c r="R239" s="100" t="str">
        <f>IFERROR(VLOOKUP(Tablo516[[#This Row],[ÜRÜN KODU]],YMKODLARI!$A$1:$K$383,6,0)," ")</f>
        <v xml:space="preserve"> </v>
      </c>
      <c r="S239" s="100" t="str">
        <f>IFERROR(Tablo516[[#This Row],[YOLLUK HARİÇ BASKI GRAMI]]/Tablo516[[#This Row],[KALIP GÖZ ADEDİ]]," ")</f>
        <v xml:space="preserve"> </v>
      </c>
      <c r="T239" s="100" t="str">
        <f t="shared" si="23"/>
        <v xml:space="preserve"> </v>
      </c>
      <c r="U239" s="100"/>
      <c r="V239" s="100" t="str">
        <f t="shared" si="22"/>
        <v xml:space="preserve"> </v>
      </c>
      <c r="W239" s="101">
        <f t="shared" si="24"/>
        <v>24</v>
      </c>
      <c r="X239" s="102">
        <f t="shared" si="25"/>
        <v>0</v>
      </c>
      <c r="Y239" s="100" t="str">
        <f t="shared" si="26"/>
        <v xml:space="preserve"> </v>
      </c>
      <c r="Z239" s="100" t="str">
        <f t="shared" si="27"/>
        <v xml:space="preserve"> </v>
      </c>
    </row>
    <row r="240" spans="1:26">
      <c r="A240" s="100"/>
      <c r="B240" s="108" t="str">
        <f>IFERROR(VLOOKUP(Tablo516[[#This Row],[ÜRÜN KODU]],YMKODLARI!$A$1:$K$383,2,0)," ")</f>
        <v xml:space="preserve"> </v>
      </c>
      <c r="C240" s="99"/>
      <c r="D240" s="100"/>
      <c r="E240" s="101"/>
      <c r="F240" s="101"/>
      <c r="G240" s="100" t="str">
        <f>IFERROR(VLOOKUP(Tablo516[[#This Row],[ÜRÜN KODU]],YMKODLARI!$A$1:$K$383,3,0)," ")</f>
        <v xml:space="preserve"> </v>
      </c>
      <c r="H240" s="100" t="str">
        <f>IFERROR(VLOOKUP(Tablo516[[#This Row],[ÜRÜN KODU]],YMKODLARI!$A$1:$K$383,4,0)," ")</f>
        <v xml:space="preserve"> </v>
      </c>
      <c r="I240" s="100"/>
      <c r="J240" s="100" t="str">
        <f>IFERROR(VLOOKUP(Tablo516[[#This Row],[ÜRÜN KODU]],YMKODLARI!$A$1:$K$383,9,0)," ")</f>
        <v xml:space="preserve"> </v>
      </c>
      <c r="K240" s="100" t="str">
        <f>IFERROR(VLOOKUP(Tablo516[[#This Row],[BOYA KODU]],Tablo14[#All],4,0)," ")</f>
        <v xml:space="preserve"> </v>
      </c>
      <c r="L240" s="100" t="str">
        <f>IFERROR(VLOOKUP(Tablo516[[#This Row],[BOYA KODU]],Tablo14[#All],6,0)," ")</f>
        <v xml:space="preserve"> </v>
      </c>
      <c r="M240" s="100" t="str">
        <f t="shared" si="21"/>
        <v xml:space="preserve"> </v>
      </c>
      <c r="N240" s="100" t="str">
        <f>IFERROR(VLOOKUP(Tablo516[[#This Row],[ÜRÜN KODU]],YMKODLARI!$A$1:$K$383,8,0)," ")</f>
        <v xml:space="preserve"> </v>
      </c>
      <c r="O240" s="100" t="str">
        <f>IFERROR(VLOOKUP(Tablo516[[#This Row],[HAMMADDE KODU]],Tablo1[#All],3,0)," ")</f>
        <v xml:space="preserve"> </v>
      </c>
      <c r="P240" s="100" t="str">
        <f>IFERROR(VLOOKUP(Tablo516[[#This Row],[HAMMADDE KODU]],Tablo1[#All],4,0)," ")</f>
        <v xml:space="preserve"> </v>
      </c>
      <c r="Q240" s="100" t="str">
        <f>IFERROR(VLOOKUP(Tablo516[[#This Row],[ÜRÜN KODU]],YMKODLARI!$A$1:$K$383,5,0)," ")</f>
        <v xml:space="preserve"> </v>
      </c>
      <c r="R240" s="100" t="str">
        <f>IFERROR(VLOOKUP(Tablo516[[#This Row],[ÜRÜN KODU]],YMKODLARI!$A$1:$K$383,6,0)," ")</f>
        <v xml:space="preserve"> </v>
      </c>
      <c r="S240" s="100" t="str">
        <f>IFERROR(Tablo516[[#This Row],[YOLLUK HARİÇ BASKI GRAMI]]/Tablo516[[#This Row],[KALIP GÖZ ADEDİ]]," ")</f>
        <v xml:space="preserve"> </v>
      </c>
      <c r="T240" s="100" t="str">
        <f t="shared" si="23"/>
        <v xml:space="preserve"> </v>
      </c>
      <c r="U240" s="100"/>
      <c r="V240" s="100" t="str">
        <f t="shared" si="22"/>
        <v xml:space="preserve"> </v>
      </c>
      <c r="W240" s="101">
        <f t="shared" si="24"/>
        <v>24</v>
      </c>
      <c r="X240" s="102">
        <f t="shared" si="25"/>
        <v>0</v>
      </c>
      <c r="Y240" s="100" t="str">
        <f t="shared" si="26"/>
        <v xml:space="preserve"> </v>
      </c>
      <c r="Z240" s="100" t="str">
        <f t="shared" si="27"/>
        <v xml:space="preserve"> </v>
      </c>
    </row>
    <row r="241" spans="1:26">
      <c r="A241" s="100"/>
      <c r="B241" s="108" t="str">
        <f>IFERROR(VLOOKUP(Tablo516[[#This Row],[ÜRÜN KODU]],YMKODLARI!$A$1:$K$383,2,0)," ")</f>
        <v xml:space="preserve"> </v>
      </c>
      <c r="C241" s="99"/>
      <c r="D241" s="100"/>
      <c r="E241" s="101"/>
      <c r="F241" s="101"/>
      <c r="G241" s="100" t="str">
        <f>IFERROR(VLOOKUP(Tablo516[[#This Row],[ÜRÜN KODU]],YMKODLARI!$A$1:$K$383,3,0)," ")</f>
        <v xml:space="preserve"> </v>
      </c>
      <c r="H241" s="100" t="str">
        <f>IFERROR(VLOOKUP(Tablo516[[#This Row],[ÜRÜN KODU]],YMKODLARI!$A$1:$K$383,4,0)," ")</f>
        <v xml:space="preserve"> </v>
      </c>
      <c r="I241" s="100"/>
      <c r="J241" s="100" t="str">
        <f>IFERROR(VLOOKUP(Tablo516[[#This Row],[ÜRÜN KODU]],YMKODLARI!$A$1:$K$383,9,0)," ")</f>
        <v xml:space="preserve"> </v>
      </c>
      <c r="K241" s="100" t="str">
        <f>IFERROR(VLOOKUP(Tablo516[[#This Row],[BOYA KODU]],Tablo14[#All],4,0)," ")</f>
        <v xml:space="preserve"> </v>
      </c>
      <c r="L241" s="100" t="str">
        <f>IFERROR(VLOOKUP(Tablo516[[#This Row],[BOYA KODU]],Tablo14[#All],6,0)," ")</f>
        <v xml:space="preserve"> </v>
      </c>
      <c r="M241" s="100" t="str">
        <f t="shared" si="21"/>
        <v xml:space="preserve"> </v>
      </c>
      <c r="N241" s="100" t="str">
        <f>IFERROR(VLOOKUP(Tablo516[[#This Row],[ÜRÜN KODU]],YMKODLARI!$A$1:$K$383,8,0)," ")</f>
        <v xml:space="preserve"> </v>
      </c>
      <c r="O241" s="100" t="str">
        <f>IFERROR(VLOOKUP(Tablo516[[#This Row],[HAMMADDE KODU]],Tablo1[#All],3,0)," ")</f>
        <v xml:space="preserve"> </v>
      </c>
      <c r="P241" s="100" t="str">
        <f>IFERROR(VLOOKUP(Tablo516[[#This Row],[HAMMADDE KODU]],Tablo1[#All],4,0)," ")</f>
        <v xml:space="preserve"> </v>
      </c>
      <c r="Q241" s="100" t="str">
        <f>IFERROR(VLOOKUP(Tablo516[[#This Row],[ÜRÜN KODU]],YMKODLARI!$A$1:$K$383,5,0)," ")</f>
        <v xml:space="preserve"> </v>
      </c>
      <c r="R241" s="100" t="str">
        <f>IFERROR(VLOOKUP(Tablo516[[#This Row],[ÜRÜN KODU]],YMKODLARI!$A$1:$K$383,6,0)," ")</f>
        <v xml:space="preserve"> </v>
      </c>
      <c r="S241" s="100" t="str">
        <f>IFERROR(Tablo516[[#This Row],[YOLLUK HARİÇ BASKI GRAMI]]/Tablo516[[#This Row],[KALIP GÖZ ADEDİ]]," ")</f>
        <v xml:space="preserve"> </v>
      </c>
      <c r="T241" s="100" t="str">
        <f t="shared" si="23"/>
        <v xml:space="preserve"> </v>
      </c>
      <c r="U241" s="100"/>
      <c r="V241" s="100" t="str">
        <f t="shared" si="22"/>
        <v xml:space="preserve"> </v>
      </c>
      <c r="W241" s="101">
        <f t="shared" si="24"/>
        <v>24</v>
      </c>
      <c r="X241" s="102">
        <f t="shared" si="25"/>
        <v>0</v>
      </c>
      <c r="Y241" s="100" t="str">
        <f t="shared" si="26"/>
        <v xml:space="preserve"> </v>
      </c>
      <c r="Z241" s="100" t="str">
        <f t="shared" si="27"/>
        <v xml:space="preserve"> </v>
      </c>
    </row>
    <row r="242" spans="1:26">
      <c r="A242" s="100"/>
      <c r="B242" s="108" t="str">
        <f>IFERROR(VLOOKUP(Tablo516[[#This Row],[ÜRÜN KODU]],YMKODLARI!$A$1:$K$383,2,0)," ")</f>
        <v xml:space="preserve"> </v>
      </c>
      <c r="C242" s="99"/>
      <c r="D242" s="100"/>
      <c r="E242" s="101"/>
      <c r="F242" s="101"/>
      <c r="G242" s="100" t="str">
        <f>IFERROR(VLOOKUP(Tablo516[[#This Row],[ÜRÜN KODU]],YMKODLARI!$A$1:$K$383,3,0)," ")</f>
        <v xml:space="preserve"> </v>
      </c>
      <c r="H242" s="100" t="str">
        <f>IFERROR(VLOOKUP(Tablo516[[#This Row],[ÜRÜN KODU]],YMKODLARI!$A$1:$K$383,4,0)," ")</f>
        <v xml:space="preserve"> </v>
      </c>
      <c r="I242" s="100"/>
      <c r="J242" s="100" t="str">
        <f>IFERROR(VLOOKUP(Tablo516[[#This Row],[ÜRÜN KODU]],YMKODLARI!$A$1:$K$383,9,0)," ")</f>
        <v xml:space="preserve"> </v>
      </c>
      <c r="K242" s="100" t="str">
        <f>IFERROR(VLOOKUP(Tablo516[[#This Row],[BOYA KODU]],Tablo14[#All],4,0)," ")</f>
        <v xml:space="preserve"> </v>
      </c>
      <c r="L242" s="100" t="str">
        <f>IFERROR(VLOOKUP(Tablo516[[#This Row],[BOYA KODU]],Tablo14[#All],6,0)," ")</f>
        <v xml:space="preserve"> </v>
      </c>
      <c r="M242" s="100" t="str">
        <f t="shared" si="21"/>
        <v xml:space="preserve"> </v>
      </c>
      <c r="N242" s="100" t="str">
        <f>IFERROR(VLOOKUP(Tablo516[[#This Row],[ÜRÜN KODU]],YMKODLARI!$A$1:$K$383,8,0)," ")</f>
        <v xml:space="preserve"> </v>
      </c>
      <c r="O242" s="100" t="str">
        <f>IFERROR(VLOOKUP(Tablo516[[#This Row],[HAMMADDE KODU]],Tablo1[#All],3,0)," ")</f>
        <v xml:space="preserve"> </v>
      </c>
      <c r="P242" s="100" t="str">
        <f>IFERROR(VLOOKUP(Tablo516[[#This Row],[HAMMADDE KODU]],Tablo1[#All],4,0)," ")</f>
        <v xml:space="preserve"> </v>
      </c>
      <c r="Q242" s="100" t="str">
        <f>IFERROR(VLOOKUP(Tablo516[[#This Row],[ÜRÜN KODU]],YMKODLARI!$A$1:$K$383,5,0)," ")</f>
        <v xml:space="preserve"> </v>
      </c>
      <c r="R242" s="100" t="str">
        <f>IFERROR(VLOOKUP(Tablo516[[#This Row],[ÜRÜN KODU]],YMKODLARI!$A$1:$K$383,6,0)," ")</f>
        <v xml:space="preserve"> </v>
      </c>
      <c r="S242" s="100" t="str">
        <f>IFERROR(Tablo516[[#This Row],[YOLLUK HARİÇ BASKI GRAMI]]/Tablo516[[#This Row],[KALIP GÖZ ADEDİ]]," ")</f>
        <v xml:space="preserve"> </v>
      </c>
      <c r="T242" s="100" t="str">
        <f t="shared" si="23"/>
        <v xml:space="preserve"> </v>
      </c>
      <c r="U242" s="100"/>
      <c r="V242" s="100" t="str">
        <f t="shared" si="22"/>
        <v xml:space="preserve"> </v>
      </c>
      <c r="W242" s="101">
        <f t="shared" si="24"/>
        <v>24</v>
      </c>
      <c r="X242" s="102">
        <f t="shared" si="25"/>
        <v>0</v>
      </c>
      <c r="Y242" s="100" t="str">
        <f t="shared" si="26"/>
        <v xml:space="preserve"> </v>
      </c>
      <c r="Z242" s="100" t="str">
        <f t="shared" si="27"/>
        <v xml:space="preserve"> </v>
      </c>
    </row>
    <row r="243" spans="1:26">
      <c r="A243" s="100"/>
      <c r="B243" s="108" t="str">
        <f>IFERROR(VLOOKUP(Tablo516[[#This Row],[ÜRÜN KODU]],YMKODLARI!$A$1:$K$383,2,0)," ")</f>
        <v xml:space="preserve"> </v>
      </c>
      <c r="C243" s="99"/>
      <c r="D243" s="100"/>
      <c r="E243" s="101"/>
      <c r="F243" s="101"/>
      <c r="G243" s="100" t="str">
        <f>IFERROR(VLOOKUP(Tablo516[[#This Row],[ÜRÜN KODU]],YMKODLARI!$A$1:$K$383,3,0)," ")</f>
        <v xml:space="preserve"> </v>
      </c>
      <c r="H243" s="100" t="str">
        <f>IFERROR(VLOOKUP(Tablo516[[#This Row],[ÜRÜN KODU]],YMKODLARI!$A$1:$K$383,4,0)," ")</f>
        <v xml:space="preserve"> </v>
      </c>
      <c r="I243" s="100"/>
      <c r="J243" s="100" t="str">
        <f>IFERROR(VLOOKUP(Tablo516[[#This Row],[ÜRÜN KODU]],YMKODLARI!$A$1:$K$383,9,0)," ")</f>
        <v xml:space="preserve"> </v>
      </c>
      <c r="K243" s="100" t="str">
        <f>IFERROR(VLOOKUP(Tablo516[[#This Row],[BOYA KODU]],Tablo14[#All],4,0)," ")</f>
        <v xml:space="preserve"> </v>
      </c>
      <c r="L243" s="100" t="str">
        <f>IFERROR(VLOOKUP(Tablo516[[#This Row],[BOYA KODU]],Tablo14[#All],6,0)," ")</f>
        <v xml:space="preserve"> </v>
      </c>
      <c r="M243" s="100" t="str">
        <f t="shared" si="21"/>
        <v xml:space="preserve"> </v>
      </c>
      <c r="N243" s="100" t="str">
        <f>IFERROR(VLOOKUP(Tablo516[[#This Row],[ÜRÜN KODU]],YMKODLARI!$A$1:$K$383,8,0)," ")</f>
        <v xml:space="preserve"> </v>
      </c>
      <c r="O243" s="100" t="str">
        <f>IFERROR(VLOOKUP(Tablo516[[#This Row],[HAMMADDE KODU]],Tablo1[#All],3,0)," ")</f>
        <v xml:space="preserve"> </v>
      </c>
      <c r="P243" s="100" t="str">
        <f>IFERROR(VLOOKUP(Tablo516[[#This Row],[HAMMADDE KODU]],Tablo1[#All],4,0)," ")</f>
        <v xml:space="preserve"> </v>
      </c>
      <c r="Q243" s="100" t="str">
        <f>IFERROR(VLOOKUP(Tablo516[[#This Row],[ÜRÜN KODU]],YMKODLARI!$A$1:$K$383,5,0)," ")</f>
        <v xml:space="preserve"> </v>
      </c>
      <c r="R243" s="100" t="str">
        <f>IFERROR(VLOOKUP(Tablo516[[#This Row],[ÜRÜN KODU]],YMKODLARI!$A$1:$K$383,6,0)," ")</f>
        <v xml:space="preserve"> </v>
      </c>
      <c r="S243" s="100" t="str">
        <f>IFERROR(Tablo516[[#This Row],[YOLLUK HARİÇ BASKI GRAMI]]/Tablo516[[#This Row],[KALIP GÖZ ADEDİ]]," ")</f>
        <v xml:space="preserve"> </v>
      </c>
      <c r="T243" s="100" t="str">
        <f t="shared" si="23"/>
        <v xml:space="preserve"> </v>
      </c>
      <c r="U243" s="100"/>
      <c r="V243" s="100" t="str">
        <f t="shared" si="22"/>
        <v xml:space="preserve"> </v>
      </c>
      <c r="W243" s="101">
        <f t="shared" si="24"/>
        <v>24</v>
      </c>
      <c r="X243" s="102">
        <f t="shared" si="25"/>
        <v>0</v>
      </c>
      <c r="Y243" s="100" t="str">
        <f t="shared" si="26"/>
        <v xml:space="preserve"> </v>
      </c>
      <c r="Z243" s="100" t="str">
        <f t="shared" si="27"/>
        <v xml:space="preserve"> </v>
      </c>
    </row>
    <row r="244" spans="1:26">
      <c r="A244" s="100"/>
      <c r="B244" s="108" t="str">
        <f>IFERROR(VLOOKUP(Tablo516[[#This Row],[ÜRÜN KODU]],YMKODLARI!$A$1:$K$383,2,0)," ")</f>
        <v xml:space="preserve"> </v>
      </c>
      <c r="C244" s="99"/>
      <c r="D244" s="100"/>
      <c r="E244" s="101"/>
      <c r="F244" s="101"/>
      <c r="G244" s="100" t="str">
        <f>IFERROR(VLOOKUP(Tablo516[[#This Row],[ÜRÜN KODU]],YMKODLARI!$A$1:$K$383,3,0)," ")</f>
        <v xml:space="preserve"> </v>
      </c>
      <c r="H244" s="100" t="str">
        <f>IFERROR(VLOOKUP(Tablo516[[#This Row],[ÜRÜN KODU]],YMKODLARI!$A$1:$K$383,4,0)," ")</f>
        <v xml:space="preserve"> </v>
      </c>
      <c r="I244" s="100"/>
      <c r="J244" s="100" t="str">
        <f>IFERROR(VLOOKUP(Tablo516[[#This Row],[ÜRÜN KODU]],YMKODLARI!$A$1:$K$383,9,0)," ")</f>
        <v xml:space="preserve"> </v>
      </c>
      <c r="K244" s="100" t="str">
        <f>IFERROR(VLOOKUP(Tablo516[[#This Row],[BOYA KODU]],Tablo14[#All],4,0)," ")</f>
        <v xml:space="preserve"> </v>
      </c>
      <c r="L244" s="100" t="str">
        <f>IFERROR(VLOOKUP(Tablo516[[#This Row],[BOYA KODU]],Tablo14[#All],6,0)," ")</f>
        <v xml:space="preserve"> </v>
      </c>
      <c r="M244" s="100" t="str">
        <f t="shared" si="21"/>
        <v xml:space="preserve"> </v>
      </c>
      <c r="N244" s="100" t="str">
        <f>IFERROR(VLOOKUP(Tablo516[[#This Row],[ÜRÜN KODU]],YMKODLARI!$A$1:$K$383,8,0)," ")</f>
        <v xml:space="preserve"> </v>
      </c>
      <c r="O244" s="100" t="str">
        <f>IFERROR(VLOOKUP(Tablo516[[#This Row],[HAMMADDE KODU]],Tablo1[#All],3,0)," ")</f>
        <v xml:space="preserve"> </v>
      </c>
      <c r="P244" s="100" t="str">
        <f>IFERROR(VLOOKUP(Tablo516[[#This Row],[HAMMADDE KODU]],Tablo1[#All],4,0)," ")</f>
        <v xml:space="preserve"> </v>
      </c>
      <c r="Q244" s="100" t="str">
        <f>IFERROR(VLOOKUP(Tablo516[[#This Row],[ÜRÜN KODU]],YMKODLARI!$A$1:$K$383,5,0)," ")</f>
        <v xml:space="preserve"> </v>
      </c>
      <c r="R244" s="100" t="str">
        <f>IFERROR(VLOOKUP(Tablo516[[#This Row],[ÜRÜN KODU]],YMKODLARI!$A$1:$K$383,6,0)," ")</f>
        <v xml:space="preserve"> </v>
      </c>
      <c r="S244" s="100" t="str">
        <f>IFERROR(Tablo516[[#This Row],[YOLLUK HARİÇ BASKI GRAMI]]/Tablo516[[#This Row],[KALIP GÖZ ADEDİ]]," ")</f>
        <v xml:space="preserve"> </v>
      </c>
      <c r="T244" s="100" t="str">
        <f t="shared" si="23"/>
        <v xml:space="preserve"> </v>
      </c>
      <c r="U244" s="100"/>
      <c r="V244" s="100" t="str">
        <f t="shared" si="22"/>
        <v xml:space="preserve"> </v>
      </c>
      <c r="W244" s="101">
        <f t="shared" si="24"/>
        <v>24</v>
      </c>
      <c r="X244" s="102">
        <f t="shared" si="25"/>
        <v>0</v>
      </c>
      <c r="Y244" s="100" t="str">
        <f t="shared" si="26"/>
        <v xml:space="preserve"> </v>
      </c>
      <c r="Z244" s="100" t="str">
        <f t="shared" si="27"/>
        <v xml:space="preserve"> </v>
      </c>
    </row>
    <row r="245" spans="1:26">
      <c r="A245" s="100"/>
      <c r="B245" s="108" t="str">
        <f>IFERROR(VLOOKUP(Tablo516[[#This Row],[ÜRÜN KODU]],YMKODLARI!$A$1:$K$383,2,0)," ")</f>
        <v xml:space="preserve"> </v>
      </c>
      <c r="C245" s="99"/>
      <c r="D245" s="100"/>
      <c r="E245" s="101"/>
      <c r="F245" s="101"/>
      <c r="G245" s="100" t="str">
        <f>IFERROR(VLOOKUP(Tablo516[[#This Row],[ÜRÜN KODU]],YMKODLARI!$A$1:$K$383,3,0)," ")</f>
        <v xml:space="preserve"> </v>
      </c>
      <c r="H245" s="100" t="str">
        <f>IFERROR(VLOOKUP(Tablo516[[#This Row],[ÜRÜN KODU]],YMKODLARI!$A$1:$K$383,4,0)," ")</f>
        <v xml:space="preserve"> </v>
      </c>
      <c r="I245" s="100"/>
      <c r="J245" s="100" t="str">
        <f>IFERROR(VLOOKUP(Tablo516[[#This Row],[ÜRÜN KODU]],YMKODLARI!$A$1:$K$383,9,0)," ")</f>
        <v xml:space="preserve"> </v>
      </c>
      <c r="K245" s="100" t="str">
        <f>IFERROR(VLOOKUP(Tablo516[[#This Row],[BOYA KODU]],Tablo14[#All],4,0)," ")</f>
        <v xml:space="preserve"> </v>
      </c>
      <c r="L245" s="100" t="str">
        <f>IFERROR(VLOOKUP(Tablo516[[#This Row],[BOYA KODU]],Tablo14[#All],6,0)," ")</f>
        <v xml:space="preserve"> </v>
      </c>
      <c r="M245" s="100" t="str">
        <f t="shared" si="21"/>
        <v xml:space="preserve"> </v>
      </c>
      <c r="N245" s="100" t="str">
        <f>IFERROR(VLOOKUP(Tablo516[[#This Row],[ÜRÜN KODU]],YMKODLARI!$A$1:$K$383,8,0)," ")</f>
        <v xml:space="preserve"> </v>
      </c>
      <c r="O245" s="100" t="str">
        <f>IFERROR(VLOOKUP(Tablo516[[#This Row],[HAMMADDE KODU]],Tablo1[#All],3,0)," ")</f>
        <v xml:space="preserve"> </v>
      </c>
      <c r="P245" s="100" t="str">
        <f>IFERROR(VLOOKUP(Tablo516[[#This Row],[HAMMADDE KODU]],Tablo1[#All],4,0)," ")</f>
        <v xml:space="preserve"> </v>
      </c>
      <c r="Q245" s="100" t="str">
        <f>IFERROR(VLOOKUP(Tablo516[[#This Row],[ÜRÜN KODU]],YMKODLARI!$A$1:$K$383,5,0)," ")</f>
        <v xml:space="preserve"> </v>
      </c>
      <c r="R245" s="100" t="str">
        <f>IFERROR(VLOOKUP(Tablo516[[#This Row],[ÜRÜN KODU]],YMKODLARI!$A$1:$K$383,6,0)," ")</f>
        <v xml:space="preserve"> </v>
      </c>
      <c r="S245" s="100" t="str">
        <f>IFERROR(Tablo516[[#This Row],[YOLLUK HARİÇ BASKI GRAMI]]/Tablo516[[#This Row],[KALIP GÖZ ADEDİ]]," ")</f>
        <v xml:space="preserve"> </v>
      </c>
      <c r="T245" s="100" t="str">
        <f t="shared" si="23"/>
        <v xml:space="preserve"> </v>
      </c>
      <c r="U245" s="100"/>
      <c r="V245" s="100" t="str">
        <f t="shared" si="22"/>
        <v xml:space="preserve"> </v>
      </c>
      <c r="W245" s="101">
        <f t="shared" si="24"/>
        <v>24</v>
      </c>
      <c r="X245" s="102">
        <f t="shared" si="25"/>
        <v>0</v>
      </c>
      <c r="Y245" s="100" t="str">
        <f t="shared" si="26"/>
        <v xml:space="preserve"> </v>
      </c>
      <c r="Z245" s="100" t="str">
        <f t="shared" si="27"/>
        <v xml:space="preserve"> </v>
      </c>
    </row>
    <row r="246" spans="1:26">
      <c r="A246" s="100"/>
      <c r="B246" s="108" t="str">
        <f>IFERROR(VLOOKUP(Tablo516[[#This Row],[ÜRÜN KODU]],YMKODLARI!$A$1:$K$383,2,0)," ")</f>
        <v xml:space="preserve"> </v>
      </c>
      <c r="C246" s="99"/>
      <c r="D246" s="100"/>
      <c r="E246" s="101"/>
      <c r="F246" s="101"/>
      <c r="G246" s="100" t="str">
        <f>IFERROR(VLOOKUP(Tablo516[[#This Row],[ÜRÜN KODU]],YMKODLARI!$A$1:$K$383,3,0)," ")</f>
        <v xml:space="preserve"> </v>
      </c>
      <c r="H246" s="100" t="str">
        <f>IFERROR(VLOOKUP(Tablo516[[#This Row],[ÜRÜN KODU]],YMKODLARI!$A$1:$K$383,4,0)," ")</f>
        <v xml:space="preserve"> </v>
      </c>
      <c r="I246" s="100"/>
      <c r="J246" s="100" t="str">
        <f>IFERROR(VLOOKUP(Tablo516[[#This Row],[ÜRÜN KODU]],YMKODLARI!$A$1:$K$383,9,0)," ")</f>
        <v xml:space="preserve"> </v>
      </c>
      <c r="K246" s="100" t="str">
        <f>IFERROR(VLOOKUP(Tablo516[[#This Row],[BOYA KODU]],Tablo14[#All],4,0)," ")</f>
        <v xml:space="preserve"> </v>
      </c>
      <c r="L246" s="100" t="str">
        <f>IFERROR(VLOOKUP(Tablo516[[#This Row],[BOYA KODU]],Tablo14[#All],6,0)," ")</f>
        <v xml:space="preserve"> </v>
      </c>
      <c r="M246" s="100" t="str">
        <f t="shared" si="21"/>
        <v xml:space="preserve"> </v>
      </c>
      <c r="N246" s="100" t="str">
        <f>IFERROR(VLOOKUP(Tablo516[[#This Row],[ÜRÜN KODU]],YMKODLARI!$A$1:$K$383,8,0)," ")</f>
        <v xml:space="preserve"> </v>
      </c>
      <c r="O246" s="100" t="str">
        <f>IFERROR(VLOOKUP(Tablo516[[#This Row],[HAMMADDE KODU]],Tablo1[#All],3,0)," ")</f>
        <v xml:space="preserve"> </v>
      </c>
      <c r="P246" s="100" t="str">
        <f>IFERROR(VLOOKUP(Tablo516[[#This Row],[HAMMADDE KODU]],Tablo1[#All],4,0)," ")</f>
        <v xml:space="preserve"> </v>
      </c>
      <c r="Q246" s="100" t="str">
        <f>IFERROR(VLOOKUP(Tablo516[[#This Row],[ÜRÜN KODU]],YMKODLARI!$A$1:$K$383,5,0)," ")</f>
        <v xml:space="preserve"> </v>
      </c>
      <c r="R246" s="100" t="str">
        <f>IFERROR(VLOOKUP(Tablo516[[#This Row],[ÜRÜN KODU]],YMKODLARI!$A$1:$K$383,6,0)," ")</f>
        <v xml:space="preserve"> </v>
      </c>
      <c r="S246" s="100" t="str">
        <f>IFERROR(Tablo516[[#This Row],[YOLLUK HARİÇ BASKI GRAMI]]/Tablo516[[#This Row],[KALIP GÖZ ADEDİ]]," ")</f>
        <v xml:space="preserve"> </v>
      </c>
      <c r="T246" s="100" t="str">
        <f t="shared" si="23"/>
        <v xml:space="preserve"> </v>
      </c>
      <c r="U246" s="100"/>
      <c r="V246" s="100" t="str">
        <f t="shared" si="22"/>
        <v xml:space="preserve"> </v>
      </c>
      <c r="W246" s="101">
        <f t="shared" si="24"/>
        <v>24</v>
      </c>
      <c r="X246" s="102">
        <f t="shared" si="25"/>
        <v>0</v>
      </c>
      <c r="Y246" s="100" t="str">
        <f t="shared" si="26"/>
        <v xml:space="preserve"> </v>
      </c>
      <c r="Z246" s="100" t="str">
        <f t="shared" si="27"/>
        <v xml:space="preserve"> </v>
      </c>
    </row>
    <row r="247" spans="1:26">
      <c r="A247" s="100"/>
      <c r="B247" s="108" t="str">
        <f>IFERROR(VLOOKUP(Tablo516[[#This Row],[ÜRÜN KODU]],YMKODLARI!$A$1:$K$383,2,0)," ")</f>
        <v xml:space="preserve"> </v>
      </c>
      <c r="C247" s="99"/>
      <c r="D247" s="100"/>
      <c r="E247" s="101"/>
      <c r="F247" s="101"/>
      <c r="G247" s="100" t="str">
        <f>IFERROR(VLOOKUP(Tablo516[[#This Row],[ÜRÜN KODU]],YMKODLARI!$A$1:$K$383,3,0)," ")</f>
        <v xml:space="preserve"> </v>
      </c>
      <c r="H247" s="100" t="str">
        <f>IFERROR(VLOOKUP(Tablo516[[#This Row],[ÜRÜN KODU]],YMKODLARI!$A$1:$K$383,4,0)," ")</f>
        <v xml:space="preserve"> </v>
      </c>
      <c r="I247" s="100"/>
      <c r="J247" s="100" t="str">
        <f>IFERROR(VLOOKUP(Tablo516[[#This Row],[ÜRÜN KODU]],YMKODLARI!$A$1:$K$383,9,0)," ")</f>
        <v xml:space="preserve"> </v>
      </c>
      <c r="K247" s="100" t="str">
        <f>IFERROR(VLOOKUP(Tablo516[[#This Row],[BOYA KODU]],Tablo14[#All],4,0)," ")</f>
        <v xml:space="preserve"> </v>
      </c>
      <c r="L247" s="100" t="str">
        <f>IFERROR(VLOOKUP(Tablo516[[#This Row],[BOYA KODU]],Tablo14[#All],6,0)," ")</f>
        <v xml:space="preserve"> </v>
      </c>
      <c r="M247" s="100" t="str">
        <f t="shared" si="21"/>
        <v xml:space="preserve"> </v>
      </c>
      <c r="N247" s="100" t="str">
        <f>IFERROR(VLOOKUP(Tablo516[[#This Row],[ÜRÜN KODU]],YMKODLARI!$A$1:$K$383,8,0)," ")</f>
        <v xml:space="preserve"> </v>
      </c>
      <c r="O247" s="100" t="str">
        <f>IFERROR(VLOOKUP(Tablo516[[#This Row],[HAMMADDE KODU]],Tablo1[#All],3,0)," ")</f>
        <v xml:space="preserve"> </v>
      </c>
      <c r="P247" s="100" t="str">
        <f>IFERROR(VLOOKUP(Tablo516[[#This Row],[HAMMADDE KODU]],Tablo1[#All],4,0)," ")</f>
        <v xml:space="preserve"> </v>
      </c>
      <c r="Q247" s="100" t="str">
        <f>IFERROR(VLOOKUP(Tablo516[[#This Row],[ÜRÜN KODU]],YMKODLARI!$A$1:$K$383,5,0)," ")</f>
        <v xml:space="preserve"> </v>
      </c>
      <c r="R247" s="100" t="str">
        <f>IFERROR(VLOOKUP(Tablo516[[#This Row],[ÜRÜN KODU]],YMKODLARI!$A$1:$K$383,6,0)," ")</f>
        <v xml:space="preserve"> </v>
      </c>
      <c r="S247" s="100" t="str">
        <f>IFERROR(Tablo516[[#This Row],[YOLLUK HARİÇ BASKI GRAMI]]/Tablo516[[#This Row],[KALIP GÖZ ADEDİ]]," ")</f>
        <v xml:space="preserve"> </v>
      </c>
      <c r="T247" s="100" t="str">
        <f t="shared" si="23"/>
        <v xml:space="preserve"> </v>
      </c>
      <c r="U247" s="100"/>
      <c r="V247" s="100" t="str">
        <f t="shared" si="22"/>
        <v xml:space="preserve"> </v>
      </c>
      <c r="W247" s="101">
        <f t="shared" si="24"/>
        <v>24</v>
      </c>
      <c r="X247" s="102">
        <f t="shared" si="25"/>
        <v>0</v>
      </c>
      <c r="Y247" s="100" t="str">
        <f t="shared" si="26"/>
        <v xml:space="preserve"> </v>
      </c>
      <c r="Z247" s="100" t="str">
        <f t="shared" si="27"/>
        <v xml:space="preserve"> </v>
      </c>
    </row>
    <row r="248" spans="1:26">
      <c r="A248" s="100"/>
      <c r="B248" s="108" t="str">
        <f>IFERROR(VLOOKUP(Tablo516[[#This Row],[ÜRÜN KODU]],YMKODLARI!$A$1:$K$383,2,0)," ")</f>
        <v xml:space="preserve"> </v>
      </c>
      <c r="C248" s="99"/>
      <c r="D248" s="100"/>
      <c r="E248" s="101"/>
      <c r="F248" s="101"/>
      <c r="G248" s="100" t="str">
        <f>IFERROR(VLOOKUP(Tablo516[[#This Row],[ÜRÜN KODU]],YMKODLARI!$A$1:$K$383,3,0)," ")</f>
        <v xml:space="preserve"> </v>
      </c>
      <c r="H248" s="100" t="str">
        <f>IFERROR(VLOOKUP(Tablo516[[#This Row],[ÜRÜN KODU]],YMKODLARI!$A$1:$K$383,4,0)," ")</f>
        <v xml:space="preserve"> </v>
      </c>
      <c r="I248" s="100"/>
      <c r="J248" s="100" t="str">
        <f>IFERROR(VLOOKUP(Tablo516[[#This Row],[ÜRÜN KODU]],YMKODLARI!$A$1:$K$383,9,0)," ")</f>
        <v xml:space="preserve"> </v>
      </c>
      <c r="K248" s="100" t="str">
        <f>IFERROR(VLOOKUP(Tablo516[[#This Row],[BOYA KODU]],Tablo14[#All],4,0)," ")</f>
        <v xml:space="preserve"> </v>
      </c>
      <c r="L248" s="100" t="str">
        <f>IFERROR(VLOOKUP(Tablo516[[#This Row],[BOYA KODU]],Tablo14[#All],6,0)," ")</f>
        <v xml:space="preserve"> </v>
      </c>
      <c r="M248" s="100" t="str">
        <f t="shared" si="21"/>
        <v xml:space="preserve"> </v>
      </c>
      <c r="N248" s="100" t="str">
        <f>IFERROR(VLOOKUP(Tablo516[[#This Row],[ÜRÜN KODU]],YMKODLARI!$A$1:$K$383,8,0)," ")</f>
        <v xml:space="preserve"> </v>
      </c>
      <c r="O248" s="100" t="str">
        <f>IFERROR(VLOOKUP(Tablo516[[#This Row],[HAMMADDE KODU]],Tablo1[#All],3,0)," ")</f>
        <v xml:space="preserve"> </v>
      </c>
      <c r="P248" s="100" t="str">
        <f>IFERROR(VLOOKUP(Tablo516[[#This Row],[HAMMADDE KODU]],Tablo1[#All],4,0)," ")</f>
        <v xml:space="preserve"> </v>
      </c>
      <c r="Q248" s="100" t="str">
        <f>IFERROR(VLOOKUP(Tablo516[[#This Row],[ÜRÜN KODU]],YMKODLARI!$A$1:$K$383,5,0)," ")</f>
        <v xml:space="preserve"> </v>
      </c>
      <c r="R248" s="100" t="str">
        <f>IFERROR(VLOOKUP(Tablo516[[#This Row],[ÜRÜN KODU]],YMKODLARI!$A$1:$K$383,6,0)," ")</f>
        <v xml:space="preserve"> </v>
      </c>
      <c r="S248" s="100" t="str">
        <f>IFERROR(Tablo516[[#This Row],[YOLLUK HARİÇ BASKI GRAMI]]/Tablo516[[#This Row],[KALIP GÖZ ADEDİ]]," ")</f>
        <v xml:space="preserve"> </v>
      </c>
      <c r="T248" s="100" t="str">
        <f t="shared" si="23"/>
        <v xml:space="preserve"> </v>
      </c>
      <c r="U248" s="100"/>
      <c r="V248" s="100" t="str">
        <f t="shared" si="22"/>
        <v xml:space="preserve"> </v>
      </c>
      <c r="W248" s="101">
        <f t="shared" si="24"/>
        <v>24</v>
      </c>
      <c r="X248" s="102">
        <f t="shared" si="25"/>
        <v>0</v>
      </c>
      <c r="Y248" s="100" t="str">
        <f t="shared" si="26"/>
        <v xml:space="preserve"> </v>
      </c>
      <c r="Z248" s="100" t="str">
        <f t="shared" si="27"/>
        <v xml:space="preserve"> </v>
      </c>
    </row>
    <row r="249" spans="1:26">
      <c r="A249" s="100"/>
      <c r="B249" s="108" t="str">
        <f>IFERROR(VLOOKUP(Tablo516[[#This Row],[ÜRÜN KODU]],YMKODLARI!$A$1:$K$383,2,0)," ")</f>
        <v xml:space="preserve"> </v>
      </c>
      <c r="C249" s="99"/>
      <c r="D249" s="100"/>
      <c r="E249" s="101"/>
      <c r="F249" s="101"/>
      <c r="G249" s="100" t="str">
        <f>IFERROR(VLOOKUP(Tablo516[[#This Row],[ÜRÜN KODU]],YMKODLARI!$A$1:$K$383,3,0)," ")</f>
        <v xml:space="preserve"> </v>
      </c>
      <c r="H249" s="100" t="str">
        <f>IFERROR(VLOOKUP(Tablo516[[#This Row],[ÜRÜN KODU]],YMKODLARI!$A$1:$K$383,4,0)," ")</f>
        <v xml:space="preserve"> </v>
      </c>
      <c r="I249" s="100"/>
      <c r="J249" s="100" t="str">
        <f>IFERROR(VLOOKUP(Tablo516[[#This Row],[ÜRÜN KODU]],YMKODLARI!$A$1:$K$383,9,0)," ")</f>
        <v xml:space="preserve"> </v>
      </c>
      <c r="K249" s="100" t="str">
        <f>IFERROR(VLOOKUP(Tablo516[[#This Row],[BOYA KODU]],Tablo14[#All],4,0)," ")</f>
        <v xml:space="preserve"> </v>
      </c>
      <c r="L249" s="100" t="str">
        <f>IFERROR(VLOOKUP(Tablo516[[#This Row],[BOYA KODU]],Tablo14[#All],6,0)," ")</f>
        <v xml:space="preserve"> </v>
      </c>
      <c r="M249" s="100" t="str">
        <f t="shared" si="21"/>
        <v xml:space="preserve"> </v>
      </c>
      <c r="N249" s="100" t="str">
        <f>IFERROR(VLOOKUP(Tablo516[[#This Row],[ÜRÜN KODU]],YMKODLARI!$A$1:$K$383,8,0)," ")</f>
        <v xml:space="preserve"> </v>
      </c>
      <c r="O249" s="100" t="str">
        <f>IFERROR(VLOOKUP(Tablo516[[#This Row],[HAMMADDE KODU]],Tablo1[#All],3,0)," ")</f>
        <v xml:space="preserve"> </v>
      </c>
      <c r="P249" s="100" t="str">
        <f>IFERROR(VLOOKUP(Tablo516[[#This Row],[HAMMADDE KODU]],Tablo1[#All],4,0)," ")</f>
        <v xml:space="preserve"> </v>
      </c>
      <c r="Q249" s="100" t="str">
        <f>IFERROR(VLOOKUP(Tablo516[[#This Row],[ÜRÜN KODU]],YMKODLARI!$A$1:$K$383,5,0)," ")</f>
        <v xml:space="preserve"> </v>
      </c>
      <c r="R249" s="100" t="str">
        <f>IFERROR(VLOOKUP(Tablo516[[#This Row],[ÜRÜN KODU]],YMKODLARI!$A$1:$K$383,6,0)," ")</f>
        <v xml:space="preserve"> </v>
      </c>
      <c r="S249" s="100" t="str">
        <f>IFERROR(Tablo516[[#This Row],[YOLLUK HARİÇ BASKI GRAMI]]/Tablo516[[#This Row],[KALIP GÖZ ADEDİ]]," ")</f>
        <v xml:space="preserve"> </v>
      </c>
      <c r="T249" s="100" t="str">
        <f t="shared" si="23"/>
        <v xml:space="preserve"> </v>
      </c>
      <c r="U249" s="100"/>
      <c r="V249" s="100" t="str">
        <f t="shared" si="22"/>
        <v xml:space="preserve"> </v>
      </c>
      <c r="W249" s="101">
        <f t="shared" si="24"/>
        <v>24</v>
      </c>
      <c r="X249" s="102">
        <f t="shared" si="25"/>
        <v>0</v>
      </c>
      <c r="Y249" s="100" t="str">
        <f t="shared" si="26"/>
        <v xml:space="preserve"> </v>
      </c>
      <c r="Z249" s="100" t="str">
        <f t="shared" si="27"/>
        <v xml:space="preserve"> </v>
      </c>
    </row>
    <row r="250" spans="1:26">
      <c r="A250" s="100"/>
      <c r="B250" s="108" t="str">
        <f>IFERROR(VLOOKUP(Tablo516[[#This Row],[ÜRÜN KODU]],YMKODLARI!$A$1:$K$383,2,0)," ")</f>
        <v xml:space="preserve"> </v>
      </c>
      <c r="C250" s="99"/>
      <c r="D250" s="100"/>
      <c r="E250" s="101"/>
      <c r="F250" s="101"/>
      <c r="G250" s="100" t="str">
        <f>IFERROR(VLOOKUP(Tablo516[[#This Row],[ÜRÜN KODU]],YMKODLARI!$A$1:$K$383,3,0)," ")</f>
        <v xml:space="preserve"> </v>
      </c>
      <c r="H250" s="100" t="str">
        <f>IFERROR(VLOOKUP(Tablo516[[#This Row],[ÜRÜN KODU]],YMKODLARI!$A$1:$K$383,4,0)," ")</f>
        <v xml:space="preserve"> </v>
      </c>
      <c r="I250" s="100"/>
      <c r="J250" s="100" t="str">
        <f>IFERROR(VLOOKUP(Tablo516[[#This Row],[ÜRÜN KODU]],YMKODLARI!$A$1:$K$383,9,0)," ")</f>
        <v xml:space="preserve"> </v>
      </c>
      <c r="K250" s="100" t="str">
        <f>IFERROR(VLOOKUP(Tablo516[[#This Row],[BOYA KODU]],Tablo14[#All],4,0)," ")</f>
        <v xml:space="preserve"> </v>
      </c>
      <c r="L250" s="100" t="str">
        <f>IFERROR(VLOOKUP(Tablo516[[#This Row],[BOYA KODU]],Tablo14[#All],6,0)," ")</f>
        <v xml:space="preserve"> </v>
      </c>
      <c r="M250" s="100" t="str">
        <f t="shared" si="21"/>
        <v xml:space="preserve"> </v>
      </c>
      <c r="N250" s="100" t="str">
        <f>IFERROR(VLOOKUP(Tablo516[[#This Row],[ÜRÜN KODU]],YMKODLARI!$A$1:$K$383,8,0)," ")</f>
        <v xml:space="preserve"> </v>
      </c>
      <c r="O250" s="100" t="str">
        <f>IFERROR(VLOOKUP(Tablo516[[#This Row],[HAMMADDE KODU]],Tablo1[#All],3,0)," ")</f>
        <v xml:space="preserve"> </v>
      </c>
      <c r="P250" s="100" t="str">
        <f>IFERROR(VLOOKUP(Tablo516[[#This Row],[HAMMADDE KODU]],Tablo1[#All],4,0)," ")</f>
        <v xml:space="preserve"> </v>
      </c>
      <c r="Q250" s="100" t="str">
        <f>IFERROR(VLOOKUP(Tablo516[[#This Row],[ÜRÜN KODU]],YMKODLARI!$A$1:$K$383,5,0)," ")</f>
        <v xml:space="preserve"> </v>
      </c>
      <c r="R250" s="100" t="str">
        <f>IFERROR(VLOOKUP(Tablo516[[#This Row],[ÜRÜN KODU]],YMKODLARI!$A$1:$K$383,6,0)," ")</f>
        <v xml:space="preserve"> </v>
      </c>
      <c r="S250" s="100" t="str">
        <f>IFERROR(Tablo516[[#This Row],[YOLLUK HARİÇ BASKI GRAMI]]/Tablo516[[#This Row],[KALIP GÖZ ADEDİ]]," ")</f>
        <v xml:space="preserve"> </v>
      </c>
      <c r="T250" s="100" t="str">
        <f t="shared" si="23"/>
        <v xml:space="preserve"> </v>
      </c>
      <c r="U250" s="100"/>
      <c r="V250" s="100" t="str">
        <f t="shared" si="22"/>
        <v xml:space="preserve"> </v>
      </c>
      <c r="W250" s="101">
        <f t="shared" si="24"/>
        <v>24</v>
      </c>
      <c r="X250" s="102">
        <f t="shared" si="25"/>
        <v>0</v>
      </c>
      <c r="Y250" s="100" t="str">
        <f t="shared" si="26"/>
        <v xml:space="preserve"> </v>
      </c>
      <c r="Z250" s="100" t="str">
        <f t="shared" si="27"/>
        <v xml:space="preserve"> </v>
      </c>
    </row>
    <row r="251" spans="1:26">
      <c r="A251" s="100"/>
      <c r="B251" s="108" t="str">
        <f>IFERROR(VLOOKUP(Tablo516[[#This Row],[ÜRÜN KODU]],YMKODLARI!$A$1:$K$383,2,0)," ")</f>
        <v xml:space="preserve"> </v>
      </c>
      <c r="C251" s="99"/>
      <c r="D251" s="100"/>
      <c r="E251" s="101"/>
      <c r="F251" s="101"/>
      <c r="G251" s="100" t="str">
        <f>IFERROR(VLOOKUP(Tablo516[[#This Row],[ÜRÜN KODU]],YMKODLARI!$A$1:$K$383,3,0)," ")</f>
        <v xml:space="preserve"> </v>
      </c>
      <c r="H251" s="100" t="str">
        <f>IFERROR(VLOOKUP(Tablo516[[#This Row],[ÜRÜN KODU]],YMKODLARI!$A$1:$K$383,4,0)," ")</f>
        <v xml:space="preserve"> </v>
      </c>
      <c r="I251" s="100"/>
      <c r="J251" s="100" t="str">
        <f>IFERROR(VLOOKUP(Tablo516[[#This Row],[ÜRÜN KODU]],YMKODLARI!$A$1:$K$383,9,0)," ")</f>
        <v xml:space="preserve"> </v>
      </c>
      <c r="K251" s="100" t="str">
        <f>IFERROR(VLOOKUP(Tablo516[[#This Row],[BOYA KODU]],Tablo14[#All],4,0)," ")</f>
        <v xml:space="preserve"> </v>
      </c>
      <c r="L251" s="100" t="str">
        <f>IFERROR(VLOOKUP(Tablo516[[#This Row],[BOYA KODU]],Tablo14[#All],6,0)," ")</f>
        <v xml:space="preserve"> </v>
      </c>
      <c r="M251" s="100" t="str">
        <f t="shared" si="21"/>
        <v xml:space="preserve"> </v>
      </c>
      <c r="N251" s="100" t="str">
        <f>IFERROR(VLOOKUP(Tablo516[[#This Row],[ÜRÜN KODU]],YMKODLARI!$A$1:$K$383,8,0)," ")</f>
        <v xml:space="preserve"> </v>
      </c>
      <c r="O251" s="100" t="str">
        <f>IFERROR(VLOOKUP(Tablo516[[#This Row],[HAMMADDE KODU]],Tablo1[#All],3,0)," ")</f>
        <v xml:space="preserve"> </v>
      </c>
      <c r="P251" s="100" t="str">
        <f>IFERROR(VLOOKUP(Tablo516[[#This Row],[HAMMADDE KODU]],Tablo1[#All],4,0)," ")</f>
        <v xml:space="preserve"> </v>
      </c>
      <c r="Q251" s="100" t="str">
        <f>IFERROR(VLOOKUP(Tablo516[[#This Row],[ÜRÜN KODU]],YMKODLARI!$A$1:$K$383,5,0)," ")</f>
        <v xml:space="preserve"> </v>
      </c>
      <c r="R251" s="100" t="str">
        <f>IFERROR(VLOOKUP(Tablo516[[#This Row],[ÜRÜN KODU]],YMKODLARI!$A$1:$K$383,6,0)," ")</f>
        <v xml:space="preserve"> </v>
      </c>
      <c r="S251" s="100" t="str">
        <f>IFERROR(Tablo516[[#This Row],[YOLLUK HARİÇ BASKI GRAMI]]/Tablo516[[#This Row],[KALIP GÖZ ADEDİ]]," ")</f>
        <v xml:space="preserve"> </v>
      </c>
      <c r="T251" s="100" t="str">
        <f t="shared" si="23"/>
        <v xml:space="preserve"> </v>
      </c>
      <c r="U251" s="100"/>
      <c r="V251" s="100" t="str">
        <f t="shared" si="22"/>
        <v xml:space="preserve"> </v>
      </c>
      <c r="W251" s="101">
        <f t="shared" si="24"/>
        <v>24</v>
      </c>
      <c r="X251" s="102">
        <f t="shared" si="25"/>
        <v>0</v>
      </c>
      <c r="Y251" s="100" t="str">
        <f t="shared" si="26"/>
        <v xml:space="preserve"> </v>
      </c>
      <c r="Z251" s="100" t="str">
        <f t="shared" si="27"/>
        <v xml:space="preserve"> </v>
      </c>
    </row>
    <row r="252" spans="1:26">
      <c r="A252" s="100"/>
      <c r="B252" s="108" t="str">
        <f>IFERROR(VLOOKUP(Tablo516[[#This Row],[ÜRÜN KODU]],YMKODLARI!$A$1:$K$383,2,0)," ")</f>
        <v xml:space="preserve"> </v>
      </c>
      <c r="C252" s="99"/>
      <c r="D252" s="100"/>
      <c r="E252" s="101"/>
      <c r="F252" s="101"/>
      <c r="G252" s="100" t="str">
        <f>IFERROR(VLOOKUP(Tablo516[[#This Row],[ÜRÜN KODU]],YMKODLARI!$A$1:$K$383,3,0)," ")</f>
        <v xml:space="preserve"> </v>
      </c>
      <c r="H252" s="100" t="str">
        <f>IFERROR(VLOOKUP(Tablo516[[#This Row],[ÜRÜN KODU]],YMKODLARI!$A$1:$K$383,4,0)," ")</f>
        <v xml:space="preserve"> </v>
      </c>
      <c r="I252" s="100"/>
      <c r="J252" s="100" t="str">
        <f>IFERROR(VLOOKUP(Tablo516[[#This Row],[ÜRÜN KODU]],YMKODLARI!$A$1:$K$383,9,0)," ")</f>
        <v xml:space="preserve"> </v>
      </c>
      <c r="K252" s="100" t="str">
        <f>IFERROR(VLOOKUP(Tablo516[[#This Row],[BOYA KODU]],Tablo14[#All],4,0)," ")</f>
        <v xml:space="preserve"> </v>
      </c>
      <c r="L252" s="100" t="str">
        <f>IFERROR(VLOOKUP(Tablo516[[#This Row],[BOYA KODU]],Tablo14[#All],6,0)," ")</f>
        <v xml:space="preserve"> </v>
      </c>
      <c r="M252" s="100" t="str">
        <f t="shared" si="21"/>
        <v xml:space="preserve"> </v>
      </c>
      <c r="N252" s="100" t="str">
        <f>IFERROR(VLOOKUP(Tablo516[[#This Row],[ÜRÜN KODU]],YMKODLARI!$A$1:$K$383,8,0)," ")</f>
        <v xml:space="preserve"> </v>
      </c>
      <c r="O252" s="100" t="str">
        <f>IFERROR(VLOOKUP(Tablo516[[#This Row],[HAMMADDE KODU]],Tablo1[#All],3,0)," ")</f>
        <v xml:space="preserve"> </v>
      </c>
      <c r="P252" s="100" t="str">
        <f>IFERROR(VLOOKUP(Tablo516[[#This Row],[HAMMADDE KODU]],Tablo1[#All],4,0)," ")</f>
        <v xml:space="preserve"> </v>
      </c>
      <c r="Q252" s="100" t="str">
        <f>IFERROR(VLOOKUP(Tablo516[[#This Row],[ÜRÜN KODU]],YMKODLARI!$A$1:$K$383,5,0)," ")</f>
        <v xml:space="preserve"> </v>
      </c>
      <c r="R252" s="100" t="str">
        <f>IFERROR(VLOOKUP(Tablo516[[#This Row],[ÜRÜN KODU]],YMKODLARI!$A$1:$K$383,6,0)," ")</f>
        <v xml:space="preserve"> </v>
      </c>
      <c r="S252" s="100" t="str">
        <f>IFERROR(Tablo516[[#This Row],[YOLLUK HARİÇ BASKI GRAMI]]/Tablo516[[#This Row],[KALIP GÖZ ADEDİ]]," ")</f>
        <v xml:space="preserve"> </v>
      </c>
      <c r="T252" s="100" t="str">
        <f t="shared" si="23"/>
        <v xml:space="preserve"> </v>
      </c>
      <c r="U252" s="100"/>
      <c r="V252" s="100" t="str">
        <f t="shared" si="22"/>
        <v xml:space="preserve"> </v>
      </c>
      <c r="W252" s="101">
        <f t="shared" si="24"/>
        <v>24</v>
      </c>
      <c r="X252" s="102">
        <f t="shared" si="25"/>
        <v>0</v>
      </c>
      <c r="Y252" s="100" t="str">
        <f t="shared" si="26"/>
        <v xml:space="preserve"> </v>
      </c>
      <c r="Z252" s="100" t="str">
        <f t="shared" si="27"/>
        <v xml:space="preserve"> </v>
      </c>
    </row>
    <row r="253" spans="1:26">
      <c r="A253" s="100"/>
      <c r="B253" s="108" t="str">
        <f>IFERROR(VLOOKUP(Tablo516[[#This Row],[ÜRÜN KODU]],YMKODLARI!$A$1:$K$383,2,0)," ")</f>
        <v xml:space="preserve"> </v>
      </c>
      <c r="C253" s="99"/>
      <c r="D253" s="100"/>
      <c r="E253" s="101"/>
      <c r="F253" s="101"/>
      <c r="G253" s="100" t="str">
        <f>IFERROR(VLOOKUP(Tablo516[[#This Row],[ÜRÜN KODU]],YMKODLARI!$A$1:$K$383,3,0)," ")</f>
        <v xml:space="preserve"> </v>
      </c>
      <c r="H253" s="100" t="str">
        <f>IFERROR(VLOOKUP(Tablo516[[#This Row],[ÜRÜN KODU]],YMKODLARI!$A$1:$K$383,4,0)," ")</f>
        <v xml:space="preserve"> </v>
      </c>
      <c r="I253" s="100"/>
      <c r="J253" s="100" t="str">
        <f>IFERROR(VLOOKUP(Tablo516[[#This Row],[ÜRÜN KODU]],YMKODLARI!$A$1:$K$383,9,0)," ")</f>
        <v xml:space="preserve"> </v>
      </c>
      <c r="K253" s="100" t="str">
        <f>IFERROR(VLOOKUP(Tablo516[[#This Row],[BOYA KODU]],Tablo14[#All],4,0)," ")</f>
        <v xml:space="preserve"> </v>
      </c>
      <c r="L253" s="100" t="str">
        <f>IFERROR(VLOOKUP(Tablo516[[#This Row],[BOYA KODU]],Tablo14[#All],6,0)," ")</f>
        <v xml:space="preserve"> </v>
      </c>
      <c r="M253" s="100" t="str">
        <f t="shared" si="21"/>
        <v xml:space="preserve"> </v>
      </c>
      <c r="N253" s="100" t="str">
        <f>IFERROR(VLOOKUP(Tablo516[[#This Row],[ÜRÜN KODU]],YMKODLARI!$A$1:$K$383,8,0)," ")</f>
        <v xml:space="preserve"> </v>
      </c>
      <c r="O253" s="100" t="str">
        <f>IFERROR(VLOOKUP(Tablo516[[#This Row],[HAMMADDE KODU]],Tablo1[#All],3,0)," ")</f>
        <v xml:space="preserve"> </v>
      </c>
      <c r="P253" s="100" t="str">
        <f>IFERROR(VLOOKUP(Tablo516[[#This Row],[HAMMADDE KODU]],Tablo1[#All],4,0)," ")</f>
        <v xml:space="preserve"> </v>
      </c>
      <c r="Q253" s="100" t="str">
        <f>IFERROR(VLOOKUP(Tablo516[[#This Row],[ÜRÜN KODU]],YMKODLARI!$A$1:$K$383,5,0)," ")</f>
        <v xml:space="preserve"> </v>
      </c>
      <c r="R253" s="100" t="str">
        <f>IFERROR(VLOOKUP(Tablo516[[#This Row],[ÜRÜN KODU]],YMKODLARI!$A$1:$K$383,6,0)," ")</f>
        <v xml:space="preserve"> </v>
      </c>
      <c r="S253" s="100" t="str">
        <f>IFERROR(Tablo516[[#This Row],[YOLLUK HARİÇ BASKI GRAMI]]/Tablo516[[#This Row],[KALIP GÖZ ADEDİ]]," ")</f>
        <v xml:space="preserve"> </v>
      </c>
      <c r="T253" s="100" t="str">
        <f t="shared" si="23"/>
        <v xml:space="preserve"> </v>
      </c>
      <c r="U253" s="100"/>
      <c r="V253" s="100" t="str">
        <f t="shared" si="22"/>
        <v xml:space="preserve"> </v>
      </c>
      <c r="W253" s="101">
        <f t="shared" si="24"/>
        <v>24</v>
      </c>
      <c r="X253" s="102">
        <f t="shared" si="25"/>
        <v>0</v>
      </c>
      <c r="Y253" s="100" t="str">
        <f t="shared" si="26"/>
        <v xml:space="preserve"> </v>
      </c>
      <c r="Z253" s="100" t="str">
        <f t="shared" si="27"/>
        <v xml:space="preserve"> </v>
      </c>
    </row>
    <row r="254" spans="1:26">
      <c r="A254" s="100"/>
      <c r="B254" s="108" t="str">
        <f>IFERROR(VLOOKUP(Tablo516[[#This Row],[ÜRÜN KODU]],YMKODLARI!$A$1:$K$383,2,0)," ")</f>
        <v xml:space="preserve"> </v>
      </c>
      <c r="C254" s="99"/>
      <c r="D254" s="100"/>
      <c r="E254" s="101"/>
      <c r="F254" s="101"/>
      <c r="G254" s="100" t="str">
        <f>IFERROR(VLOOKUP(Tablo516[[#This Row],[ÜRÜN KODU]],YMKODLARI!$A$1:$K$383,3,0)," ")</f>
        <v xml:space="preserve"> </v>
      </c>
      <c r="H254" s="100" t="str">
        <f>IFERROR(VLOOKUP(Tablo516[[#This Row],[ÜRÜN KODU]],YMKODLARI!$A$1:$K$383,4,0)," ")</f>
        <v xml:space="preserve"> </v>
      </c>
      <c r="I254" s="100"/>
      <c r="J254" s="100" t="str">
        <f>IFERROR(VLOOKUP(Tablo516[[#This Row],[ÜRÜN KODU]],YMKODLARI!$A$1:$K$383,9,0)," ")</f>
        <v xml:space="preserve"> </v>
      </c>
      <c r="K254" s="100" t="str">
        <f>IFERROR(VLOOKUP(Tablo516[[#This Row],[BOYA KODU]],Tablo14[#All],4,0)," ")</f>
        <v xml:space="preserve"> </v>
      </c>
      <c r="L254" s="100" t="str">
        <f>IFERROR(VLOOKUP(Tablo516[[#This Row],[BOYA KODU]],Tablo14[#All],6,0)," ")</f>
        <v xml:space="preserve"> </v>
      </c>
      <c r="M254" s="100" t="str">
        <f t="shared" si="21"/>
        <v xml:space="preserve"> </v>
      </c>
      <c r="N254" s="100" t="str">
        <f>IFERROR(VLOOKUP(Tablo516[[#This Row],[ÜRÜN KODU]],YMKODLARI!$A$1:$K$383,8,0)," ")</f>
        <v xml:space="preserve"> </v>
      </c>
      <c r="O254" s="100" t="str">
        <f>IFERROR(VLOOKUP(Tablo516[[#This Row],[HAMMADDE KODU]],Tablo1[#All],3,0)," ")</f>
        <v xml:space="preserve"> </v>
      </c>
      <c r="P254" s="100" t="str">
        <f>IFERROR(VLOOKUP(Tablo516[[#This Row],[HAMMADDE KODU]],Tablo1[#All],4,0)," ")</f>
        <v xml:space="preserve"> </v>
      </c>
      <c r="Q254" s="100" t="str">
        <f>IFERROR(VLOOKUP(Tablo516[[#This Row],[ÜRÜN KODU]],YMKODLARI!$A$1:$K$383,5,0)," ")</f>
        <v xml:space="preserve"> </v>
      </c>
      <c r="R254" s="100" t="str">
        <f>IFERROR(VLOOKUP(Tablo516[[#This Row],[ÜRÜN KODU]],YMKODLARI!$A$1:$K$383,6,0)," ")</f>
        <v xml:space="preserve"> </v>
      </c>
      <c r="S254" s="100" t="str">
        <f>IFERROR(Tablo516[[#This Row],[YOLLUK HARİÇ BASKI GRAMI]]/Tablo516[[#This Row],[KALIP GÖZ ADEDİ]]," ")</f>
        <v xml:space="preserve"> </v>
      </c>
      <c r="T254" s="100" t="str">
        <f t="shared" si="23"/>
        <v xml:space="preserve"> </v>
      </c>
      <c r="U254" s="100"/>
      <c r="V254" s="100" t="str">
        <f t="shared" si="22"/>
        <v xml:space="preserve"> </v>
      </c>
      <c r="W254" s="101">
        <f t="shared" si="24"/>
        <v>24</v>
      </c>
      <c r="X254" s="102">
        <f t="shared" si="25"/>
        <v>0</v>
      </c>
      <c r="Y254" s="100" t="str">
        <f t="shared" si="26"/>
        <v xml:space="preserve"> </v>
      </c>
      <c r="Z254" s="100" t="str">
        <f t="shared" si="27"/>
        <v xml:space="preserve"> </v>
      </c>
    </row>
    <row r="255" spans="1:26">
      <c r="A255" s="100"/>
      <c r="B255" s="108" t="str">
        <f>IFERROR(VLOOKUP(Tablo516[[#This Row],[ÜRÜN KODU]],YMKODLARI!$A$1:$K$383,2,0)," ")</f>
        <v xml:space="preserve"> </v>
      </c>
      <c r="C255" s="99"/>
      <c r="D255" s="100"/>
      <c r="E255" s="101"/>
      <c r="F255" s="101"/>
      <c r="G255" s="100" t="str">
        <f>IFERROR(VLOOKUP(Tablo516[[#This Row],[ÜRÜN KODU]],YMKODLARI!$A$1:$K$383,3,0)," ")</f>
        <v xml:space="preserve"> </v>
      </c>
      <c r="H255" s="100" t="str">
        <f>IFERROR(VLOOKUP(Tablo516[[#This Row],[ÜRÜN KODU]],YMKODLARI!$A$1:$K$383,4,0)," ")</f>
        <v xml:space="preserve"> </v>
      </c>
      <c r="I255" s="100"/>
      <c r="J255" s="100" t="str">
        <f>IFERROR(VLOOKUP(Tablo516[[#This Row],[ÜRÜN KODU]],YMKODLARI!$A$1:$K$383,9,0)," ")</f>
        <v xml:space="preserve"> </v>
      </c>
      <c r="K255" s="100" t="str">
        <f>IFERROR(VLOOKUP(Tablo516[[#This Row],[BOYA KODU]],Tablo14[#All],4,0)," ")</f>
        <v xml:space="preserve"> </v>
      </c>
      <c r="L255" s="100" t="str">
        <f>IFERROR(VLOOKUP(Tablo516[[#This Row],[BOYA KODU]],Tablo14[#All],6,0)," ")</f>
        <v xml:space="preserve"> </v>
      </c>
      <c r="M255" s="100" t="str">
        <f t="shared" si="21"/>
        <v xml:space="preserve"> </v>
      </c>
      <c r="N255" s="100" t="str">
        <f>IFERROR(VLOOKUP(Tablo516[[#This Row],[ÜRÜN KODU]],YMKODLARI!$A$1:$K$383,8,0)," ")</f>
        <v xml:space="preserve"> </v>
      </c>
      <c r="O255" s="100" t="str">
        <f>IFERROR(VLOOKUP(Tablo516[[#This Row],[HAMMADDE KODU]],Tablo1[#All],3,0)," ")</f>
        <v xml:space="preserve"> </v>
      </c>
      <c r="P255" s="100" t="str">
        <f>IFERROR(VLOOKUP(Tablo516[[#This Row],[HAMMADDE KODU]],Tablo1[#All],4,0)," ")</f>
        <v xml:space="preserve"> </v>
      </c>
      <c r="Q255" s="100" t="str">
        <f>IFERROR(VLOOKUP(Tablo516[[#This Row],[ÜRÜN KODU]],YMKODLARI!$A$1:$K$383,5,0)," ")</f>
        <v xml:space="preserve"> </v>
      </c>
      <c r="R255" s="100" t="str">
        <f>IFERROR(VLOOKUP(Tablo516[[#This Row],[ÜRÜN KODU]],YMKODLARI!$A$1:$K$383,6,0)," ")</f>
        <v xml:space="preserve"> </v>
      </c>
      <c r="S255" s="100" t="str">
        <f>IFERROR(Tablo516[[#This Row],[YOLLUK HARİÇ BASKI GRAMI]]/Tablo516[[#This Row],[KALIP GÖZ ADEDİ]]," ")</f>
        <v xml:space="preserve"> </v>
      </c>
      <c r="T255" s="100" t="str">
        <f t="shared" si="23"/>
        <v xml:space="preserve"> </v>
      </c>
      <c r="U255" s="100"/>
      <c r="V255" s="100" t="str">
        <f t="shared" si="22"/>
        <v xml:space="preserve"> </v>
      </c>
      <c r="W255" s="101">
        <f t="shared" si="24"/>
        <v>24</v>
      </c>
      <c r="X255" s="102">
        <f t="shared" si="25"/>
        <v>0</v>
      </c>
      <c r="Y255" s="100" t="str">
        <f t="shared" si="26"/>
        <v xml:space="preserve"> </v>
      </c>
      <c r="Z255" s="100" t="str">
        <f t="shared" si="27"/>
        <v xml:space="preserve"> </v>
      </c>
    </row>
    <row r="256" spans="1:26">
      <c r="A256" s="100"/>
      <c r="B256" s="108" t="str">
        <f>IFERROR(VLOOKUP(Tablo516[[#This Row],[ÜRÜN KODU]],YMKODLARI!$A$1:$K$383,2,0)," ")</f>
        <v xml:space="preserve"> </v>
      </c>
      <c r="C256" s="99"/>
      <c r="D256" s="100"/>
      <c r="E256" s="101"/>
      <c r="F256" s="101"/>
      <c r="G256" s="100" t="str">
        <f>IFERROR(VLOOKUP(Tablo516[[#This Row],[ÜRÜN KODU]],YMKODLARI!$A$1:$K$383,3,0)," ")</f>
        <v xml:space="preserve"> </v>
      </c>
      <c r="H256" s="100" t="str">
        <f>IFERROR(VLOOKUP(Tablo516[[#This Row],[ÜRÜN KODU]],YMKODLARI!$A$1:$K$383,4,0)," ")</f>
        <v xml:space="preserve"> </v>
      </c>
      <c r="I256" s="100"/>
      <c r="J256" s="100" t="str">
        <f>IFERROR(VLOOKUP(Tablo516[[#This Row],[ÜRÜN KODU]],YMKODLARI!$A$1:$K$383,9,0)," ")</f>
        <v xml:space="preserve"> </v>
      </c>
      <c r="K256" s="100" t="str">
        <f>IFERROR(VLOOKUP(Tablo516[[#This Row],[BOYA KODU]],Tablo14[#All],4,0)," ")</f>
        <v xml:space="preserve"> </v>
      </c>
      <c r="L256" s="100" t="str">
        <f>IFERROR(VLOOKUP(Tablo516[[#This Row],[BOYA KODU]],Tablo14[#All],6,0)," ")</f>
        <v xml:space="preserve"> </v>
      </c>
      <c r="M256" s="100" t="str">
        <f t="shared" si="21"/>
        <v xml:space="preserve"> </v>
      </c>
      <c r="N256" s="100" t="str">
        <f>IFERROR(VLOOKUP(Tablo516[[#This Row],[ÜRÜN KODU]],YMKODLARI!$A$1:$K$383,8,0)," ")</f>
        <v xml:space="preserve"> </v>
      </c>
      <c r="O256" s="100" t="str">
        <f>IFERROR(VLOOKUP(Tablo516[[#This Row],[HAMMADDE KODU]],Tablo1[#All],3,0)," ")</f>
        <v xml:space="preserve"> </v>
      </c>
      <c r="P256" s="100" t="str">
        <f>IFERROR(VLOOKUP(Tablo516[[#This Row],[HAMMADDE KODU]],Tablo1[#All],4,0)," ")</f>
        <v xml:space="preserve"> </v>
      </c>
      <c r="Q256" s="100" t="str">
        <f>IFERROR(VLOOKUP(Tablo516[[#This Row],[ÜRÜN KODU]],YMKODLARI!$A$1:$K$383,5,0)," ")</f>
        <v xml:space="preserve"> </v>
      </c>
      <c r="R256" s="100" t="str">
        <f>IFERROR(VLOOKUP(Tablo516[[#This Row],[ÜRÜN KODU]],YMKODLARI!$A$1:$K$383,6,0)," ")</f>
        <v xml:space="preserve"> </v>
      </c>
      <c r="S256" s="100" t="str">
        <f>IFERROR(Tablo516[[#This Row],[YOLLUK HARİÇ BASKI GRAMI]]/Tablo516[[#This Row],[KALIP GÖZ ADEDİ]]," ")</f>
        <v xml:space="preserve"> </v>
      </c>
      <c r="T256" s="100" t="str">
        <f t="shared" si="23"/>
        <v xml:space="preserve"> </v>
      </c>
      <c r="U256" s="100"/>
      <c r="V256" s="100" t="str">
        <f t="shared" si="22"/>
        <v xml:space="preserve"> </v>
      </c>
      <c r="W256" s="101">
        <f t="shared" si="24"/>
        <v>24</v>
      </c>
      <c r="X256" s="102">
        <f t="shared" si="25"/>
        <v>0</v>
      </c>
      <c r="Y256" s="100" t="str">
        <f t="shared" si="26"/>
        <v xml:space="preserve"> </v>
      </c>
      <c r="Z256" s="100" t="str">
        <f t="shared" si="27"/>
        <v xml:space="preserve"> </v>
      </c>
    </row>
    <row r="257" spans="1:26">
      <c r="A257" s="100"/>
      <c r="B257" s="108" t="str">
        <f>IFERROR(VLOOKUP(Tablo516[[#This Row],[ÜRÜN KODU]],YMKODLARI!$A$1:$K$383,2,0)," ")</f>
        <v xml:space="preserve"> </v>
      </c>
      <c r="C257" s="99"/>
      <c r="D257" s="100"/>
      <c r="E257" s="101"/>
      <c r="F257" s="101"/>
      <c r="G257" s="100" t="str">
        <f>IFERROR(VLOOKUP(Tablo516[[#This Row],[ÜRÜN KODU]],YMKODLARI!$A$1:$K$383,3,0)," ")</f>
        <v xml:space="preserve"> </v>
      </c>
      <c r="H257" s="100" t="str">
        <f>IFERROR(VLOOKUP(Tablo516[[#This Row],[ÜRÜN KODU]],YMKODLARI!$A$1:$K$383,4,0)," ")</f>
        <v xml:space="preserve"> </v>
      </c>
      <c r="I257" s="100"/>
      <c r="J257" s="100" t="str">
        <f>IFERROR(VLOOKUP(Tablo516[[#This Row],[ÜRÜN KODU]],YMKODLARI!$A$1:$K$383,9,0)," ")</f>
        <v xml:space="preserve"> </v>
      </c>
      <c r="K257" s="100" t="str">
        <f>IFERROR(VLOOKUP(Tablo516[[#This Row],[BOYA KODU]],Tablo14[#All],4,0)," ")</f>
        <v xml:space="preserve"> </v>
      </c>
      <c r="L257" s="100" t="str">
        <f>IFERROR(VLOOKUP(Tablo516[[#This Row],[BOYA KODU]],Tablo14[#All],6,0)," ")</f>
        <v xml:space="preserve"> </v>
      </c>
      <c r="M257" s="100" t="str">
        <f t="shared" si="21"/>
        <v xml:space="preserve"> </v>
      </c>
      <c r="N257" s="100" t="str">
        <f>IFERROR(VLOOKUP(Tablo516[[#This Row],[ÜRÜN KODU]],YMKODLARI!$A$1:$K$383,8,0)," ")</f>
        <v xml:space="preserve"> </v>
      </c>
      <c r="O257" s="100" t="str">
        <f>IFERROR(VLOOKUP(Tablo516[[#This Row],[HAMMADDE KODU]],Tablo1[#All],3,0)," ")</f>
        <v xml:space="preserve"> </v>
      </c>
      <c r="P257" s="100" t="str">
        <f>IFERROR(VLOOKUP(Tablo516[[#This Row],[HAMMADDE KODU]],Tablo1[#All],4,0)," ")</f>
        <v xml:space="preserve"> </v>
      </c>
      <c r="Q257" s="100" t="str">
        <f>IFERROR(VLOOKUP(Tablo516[[#This Row],[ÜRÜN KODU]],YMKODLARI!$A$1:$K$383,5,0)," ")</f>
        <v xml:space="preserve"> </v>
      </c>
      <c r="R257" s="100" t="str">
        <f>IFERROR(VLOOKUP(Tablo516[[#This Row],[ÜRÜN KODU]],YMKODLARI!$A$1:$K$383,6,0)," ")</f>
        <v xml:space="preserve"> </v>
      </c>
      <c r="S257" s="100" t="str">
        <f>IFERROR(Tablo516[[#This Row],[YOLLUK HARİÇ BASKI GRAMI]]/Tablo516[[#This Row],[KALIP GÖZ ADEDİ]]," ")</f>
        <v xml:space="preserve"> </v>
      </c>
      <c r="T257" s="100" t="str">
        <f t="shared" si="23"/>
        <v xml:space="preserve"> </v>
      </c>
      <c r="U257" s="100"/>
      <c r="V257" s="100" t="str">
        <f t="shared" si="22"/>
        <v xml:space="preserve"> </v>
      </c>
      <c r="W257" s="101">
        <f t="shared" si="24"/>
        <v>24</v>
      </c>
      <c r="X257" s="102">
        <f t="shared" si="25"/>
        <v>0</v>
      </c>
      <c r="Y257" s="100" t="str">
        <f t="shared" si="26"/>
        <v xml:space="preserve"> </v>
      </c>
      <c r="Z257" s="100" t="str">
        <f t="shared" si="27"/>
        <v xml:space="preserve"> </v>
      </c>
    </row>
    <row r="258" spans="1:26">
      <c r="A258" s="100"/>
      <c r="B258" s="108" t="str">
        <f>IFERROR(VLOOKUP(Tablo516[[#This Row],[ÜRÜN KODU]],YMKODLARI!$A$1:$K$383,2,0)," ")</f>
        <v xml:space="preserve"> </v>
      </c>
      <c r="C258" s="99"/>
      <c r="D258" s="100"/>
      <c r="E258" s="101"/>
      <c r="F258" s="101"/>
      <c r="G258" s="100" t="str">
        <f>IFERROR(VLOOKUP(Tablo516[[#This Row],[ÜRÜN KODU]],YMKODLARI!$A$1:$K$383,3,0)," ")</f>
        <v xml:space="preserve"> </v>
      </c>
      <c r="H258" s="100" t="str">
        <f>IFERROR(VLOOKUP(Tablo516[[#This Row],[ÜRÜN KODU]],YMKODLARI!$A$1:$K$383,4,0)," ")</f>
        <v xml:space="preserve"> </v>
      </c>
      <c r="I258" s="100"/>
      <c r="J258" s="100" t="str">
        <f>IFERROR(VLOOKUP(Tablo516[[#This Row],[ÜRÜN KODU]],YMKODLARI!$A$1:$K$383,9,0)," ")</f>
        <v xml:space="preserve"> </v>
      </c>
      <c r="K258" s="100" t="str">
        <f>IFERROR(VLOOKUP(Tablo516[[#This Row],[BOYA KODU]],Tablo14[#All],4,0)," ")</f>
        <v xml:space="preserve"> </v>
      </c>
      <c r="L258" s="100" t="str">
        <f>IFERROR(VLOOKUP(Tablo516[[#This Row],[BOYA KODU]],Tablo14[#All],6,0)," ")</f>
        <v xml:space="preserve"> </v>
      </c>
      <c r="M258" s="100" t="str">
        <f t="shared" ref="M258:M321" si="28">IFERROR((I258*Q258)*L258," ")</f>
        <v xml:space="preserve"> </v>
      </c>
      <c r="N258" s="100" t="str">
        <f>IFERROR(VLOOKUP(Tablo516[[#This Row],[ÜRÜN KODU]],YMKODLARI!$A$1:$K$383,8,0)," ")</f>
        <v xml:space="preserve"> </v>
      </c>
      <c r="O258" s="100" t="str">
        <f>IFERROR(VLOOKUP(Tablo516[[#This Row],[HAMMADDE KODU]],Tablo1[#All],3,0)," ")</f>
        <v xml:space="preserve"> </v>
      </c>
      <c r="P258" s="100" t="str">
        <f>IFERROR(VLOOKUP(Tablo516[[#This Row],[HAMMADDE KODU]],Tablo1[#All],4,0)," ")</f>
        <v xml:space="preserve"> </v>
      </c>
      <c r="Q258" s="100" t="str">
        <f>IFERROR(VLOOKUP(Tablo516[[#This Row],[ÜRÜN KODU]],YMKODLARI!$A$1:$K$383,5,0)," ")</f>
        <v xml:space="preserve"> </v>
      </c>
      <c r="R258" s="100" t="str">
        <f>IFERROR(VLOOKUP(Tablo516[[#This Row],[ÜRÜN KODU]],YMKODLARI!$A$1:$K$383,6,0)," ")</f>
        <v xml:space="preserve"> </v>
      </c>
      <c r="S258" s="100" t="str">
        <f>IFERROR(Tablo516[[#This Row],[YOLLUK HARİÇ BASKI GRAMI]]/Tablo516[[#This Row],[KALIP GÖZ ADEDİ]]," ")</f>
        <v xml:space="preserve"> </v>
      </c>
      <c r="T258" s="100" t="str">
        <f t="shared" si="23"/>
        <v xml:space="preserve"> </v>
      </c>
      <c r="U258" s="100"/>
      <c r="V258" s="100" t="str">
        <f t="shared" ref="V258:V321" si="29">IFERROR(U258+(R258*I258) /1000," ")</f>
        <v xml:space="preserve"> </v>
      </c>
      <c r="W258" s="101">
        <f t="shared" si="24"/>
        <v>24</v>
      </c>
      <c r="X258" s="102">
        <f t="shared" si="25"/>
        <v>0</v>
      </c>
      <c r="Y258" s="100" t="str">
        <f t="shared" si="26"/>
        <v xml:space="preserve"> </v>
      </c>
      <c r="Z258" s="100" t="str">
        <f t="shared" si="27"/>
        <v xml:space="preserve"> </v>
      </c>
    </row>
    <row r="259" spans="1:26">
      <c r="A259" s="100"/>
      <c r="B259" s="108" t="str">
        <f>IFERROR(VLOOKUP(Tablo516[[#This Row],[ÜRÜN KODU]],YMKODLARI!$A$1:$K$383,2,0)," ")</f>
        <v xml:space="preserve"> </v>
      </c>
      <c r="C259" s="99"/>
      <c r="D259" s="100"/>
      <c r="E259" s="101"/>
      <c r="F259" s="101"/>
      <c r="G259" s="100" t="str">
        <f>IFERROR(VLOOKUP(Tablo516[[#This Row],[ÜRÜN KODU]],YMKODLARI!$A$1:$K$383,3,0)," ")</f>
        <v xml:space="preserve"> </v>
      </c>
      <c r="H259" s="100" t="str">
        <f>IFERROR(VLOOKUP(Tablo516[[#This Row],[ÜRÜN KODU]],YMKODLARI!$A$1:$K$383,4,0)," ")</f>
        <v xml:space="preserve"> </v>
      </c>
      <c r="I259" s="100"/>
      <c r="J259" s="100" t="str">
        <f>IFERROR(VLOOKUP(Tablo516[[#This Row],[ÜRÜN KODU]],YMKODLARI!$A$1:$K$383,9,0)," ")</f>
        <v xml:space="preserve"> </v>
      </c>
      <c r="K259" s="100" t="str">
        <f>IFERROR(VLOOKUP(Tablo516[[#This Row],[BOYA KODU]],Tablo14[#All],4,0)," ")</f>
        <v xml:space="preserve"> </v>
      </c>
      <c r="L259" s="100" t="str">
        <f>IFERROR(VLOOKUP(Tablo516[[#This Row],[BOYA KODU]],Tablo14[#All],6,0)," ")</f>
        <v xml:space="preserve"> </v>
      </c>
      <c r="M259" s="100" t="str">
        <f t="shared" si="28"/>
        <v xml:space="preserve"> </v>
      </c>
      <c r="N259" s="100" t="str">
        <f>IFERROR(VLOOKUP(Tablo516[[#This Row],[ÜRÜN KODU]],YMKODLARI!$A$1:$K$383,8,0)," ")</f>
        <v xml:space="preserve"> </v>
      </c>
      <c r="O259" s="100" t="str">
        <f>IFERROR(VLOOKUP(Tablo516[[#This Row],[HAMMADDE KODU]],Tablo1[#All],3,0)," ")</f>
        <v xml:space="preserve"> </v>
      </c>
      <c r="P259" s="100" t="str">
        <f>IFERROR(VLOOKUP(Tablo516[[#This Row],[HAMMADDE KODU]],Tablo1[#All],4,0)," ")</f>
        <v xml:space="preserve"> </v>
      </c>
      <c r="Q259" s="100" t="str">
        <f>IFERROR(VLOOKUP(Tablo516[[#This Row],[ÜRÜN KODU]],YMKODLARI!$A$1:$K$383,5,0)," ")</f>
        <v xml:space="preserve"> </v>
      </c>
      <c r="R259" s="100" t="str">
        <f>IFERROR(VLOOKUP(Tablo516[[#This Row],[ÜRÜN KODU]],YMKODLARI!$A$1:$K$383,6,0)," ")</f>
        <v xml:space="preserve"> </v>
      </c>
      <c r="S259" s="100" t="str">
        <f>IFERROR(Tablo516[[#This Row],[YOLLUK HARİÇ BASKI GRAMI]]/Tablo516[[#This Row],[KALIP GÖZ ADEDİ]]," ")</f>
        <v xml:space="preserve"> </v>
      </c>
      <c r="T259" s="100" t="str">
        <f t="shared" ref="T259:T322" si="30">IFERROR(Q259-R259," ")</f>
        <v xml:space="preserve"> </v>
      </c>
      <c r="U259" s="100"/>
      <c r="V259" s="100" t="str">
        <f t="shared" si="29"/>
        <v xml:space="preserve"> </v>
      </c>
      <c r="W259" s="101">
        <f t="shared" ref="W259:W322" si="31">IFERROR(24-(E259-F259)," ")</f>
        <v>24</v>
      </c>
      <c r="X259" s="102">
        <f t="shared" ref="X259:X322" si="32">IFERROR((W259-INT(W259))*24," ")</f>
        <v>0</v>
      </c>
      <c r="Y259" s="100" t="str">
        <f t="shared" ref="Y259:Y322" si="33">IFERROR(H259*I259/3600," ")</f>
        <v xml:space="preserve"> </v>
      </c>
      <c r="Z259" s="100" t="str">
        <f t="shared" ref="Z259:Z322" si="34">IFERROR(I259*G259," " )</f>
        <v xml:space="preserve"> </v>
      </c>
    </row>
    <row r="260" spans="1:26">
      <c r="A260" s="100"/>
      <c r="B260" s="108" t="str">
        <f>IFERROR(VLOOKUP(Tablo516[[#This Row],[ÜRÜN KODU]],YMKODLARI!$A$1:$K$383,2,0)," ")</f>
        <v xml:space="preserve"> </v>
      </c>
      <c r="C260" s="99"/>
      <c r="D260" s="100"/>
      <c r="E260" s="101"/>
      <c r="F260" s="101"/>
      <c r="G260" s="100" t="str">
        <f>IFERROR(VLOOKUP(Tablo516[[#This Row],[ÜRÜN KODU]],YMKODLARI!$A$1:$K$383,3,0)," ")</f>
        <v xml:space="preserve"> </v>
      </c>
      <c r="H260" s="100" t="str">
        <f>IFERROR(VLOOKUP(Tablo516[[#This Row],[ÜRÜN KODU]],YMKODLARI!$A$1:$K$383,4,0)," ")</f>
        <v xml:space="preserve"> </v>
      </c>
      <c r="I260" s="100"/>
      <c r="J260" s="100" t="str">
        <f>IFERROR(VLOOKUP(Tablo516[[#This Row],[ÜRÜN KODU]],YMKODLARI!$A$1:$K$383,9,0)," ")</f>
        <v xml:space="preserve"> </v>
      </c>
      <c r="K260" s="100" t="str">
        <f>IFERROR(VLOOKUP(Tablo516[[#This Row],[BOYA KODU]],Tablo14[#All],4,0)," ")</f>
        <v xml:space="preserve"> </v>
      </c>
      <c r="L260" s="100" t="str">
        <f>IFERROR(VLOOKUP(Tablo516[[#This Row],[BOYA KODU]],Tablo14[#All],6,0)," ")</f>
        <v xml:space="preserve"> </v>
      </c>
      <c r="M260" s="100" t="str">
        <f t="shared" si="28"/>
        <v xml:space="preserve"> </v>
      </c>
      <c r="N260" s="100" t="str">
        <f>IFERROR(VLOOKUP(Tablo516[[#This Row],[ÜRÜN KODU]],YMKODLARI!$A$1:$K$383,8,0)," ")</f>
        <v xml:space="preserve"> </v>
      </c>
      <c r="O260" s="100" t="str">
        <f>IFERROR(VLOOKUP(Tablo516[[#This Row],[HAMMADDE KODU]],Tablo1[#All],3,0)," ")</f>
        <v xml:space="preserve"> </v>
      </c>
      <c r="P260" s="100" t="str">
        <f>IFERROR(VLOOKUP(Tablo516[[#This Row],[HAMMADDE KODU]],Tablo1[#All],4,0)," ")</f>
        <v xml:space="preserve"> </v>
      </c>
      <c r="Q260" s="100" t="str">
        <f>IFERROR(VLOOKUP(Tablo516[[#This Row],[ÜRÜN KODU]],YMKODLARI!$A$1:$K$383,5,0)," ")</f>
        <v xml:space="preserve"> </v>
      </c>
      <c r="R260" s="100" t="str">
        <f>IFERROR(VLOOKUP(Tablo516[[#This Row],[ÜRÜN KODU]],YMKODLARI!$A$1:$K$383,6,0)," ")</f>
        <v xml:space="preserve"> </v>
      </c>
      <c r="S260" s="100" t="str">
        <f>IFERROR(Tablo516[[#This Row],[YOLLUK HARİÇ BASKI GRAMI]]/Tablo516[[#This Row],[KALIP GÖZ ADEDİ]]," ")</f>
        <v xml:space="preserve"> </v>
      </c>
      <c r="T260" s="100" t="str">
        <f t="shared" si="30"/>
        <v xml:space="preserve"> </v>
      </c>
      <c r="U260" s="100"/>
      <c r="V260" s="100" t="str">
        <f t="shared" si="29"/>
        <v xml:space="preserve"> </v>
      </c>
      <c r="W260" s="101">
        <f t="shared" si="31"/>
        <v>24</v>
      </c>
      <c r="X260" s="102">
        <f t="shared" si="32"/>
        <v>0</v>
      </c>
      <c r="Y260" s="100" t="str">
        <f t="shared" si="33"/>
        <v xml:space="preserve"> </v>
      </c>
      <c r="Z260" s="100" t="str">
        <f t="shared" si="34"/>
        <v xml:space="preserve"> </v>
      </c>
    </row>
    <row r="261" spans="1:26">
      <c r="A261" s="100"/>
      <c r="B261" s="108" t="str">
        <f>IFERROR(VLOOKUP(Tablo516[[#This Row],[ÜRÜN KODU]],YMKODLARI!$A$1:$K$383,2,0)," ")</f>
        <v xml:space="preserve"> </v>
      </c>
      <c r="C261" s="99"/>
      <c r="D261" s="100"/>
      <c r="E261" s="101"/>
      <c r="F261" s="101"/>
      <c r="G261" s="100" t="str">
        <f>IFERROR(VLOOKUP(Tablo516[[#This Row],[ÜRÜN KODU]],YMKODLARI!$A$1:$K$383,3,0)," ")</f>
        <v xml:space="preserve"> </v>
      </c>
      <c r="H261" s="100" t="str">
        <f>IFERROR(VLOOKUP(Tablo516[[#This Row],[ÜRÜN KODU]],YMKODLARI!$A$1:$K$383,4,0)," ")</f>
        <v xml:space="preserve"> </v>
      </c>
      <c r="I261" s="100"/>
      <c r="J261" s="100" t="str">
        <f>IFERROR(VLOOKUP(Tablo516[[#This Row],[ÜRÜN KODU]],YMKODLARI!$A$1:$K$383,9,0)," ")</f>
        <v xml:space="preserve"> </v>
      </c>
      <c r="K261" s="100" t="str">
        <f>IFERROR(VLOOKUP(Tablo516[[#This Row],[BOYA KODU]],Tablo14[#All],4,0)," ")</f>
        <v xml:space="preserve"> </v>
      </c>
      <c r="L261" s="100" t="str">
        <f>IFERROR(VLOOKUP(Tablo516[[#This Row],[BOYA KODU]],Tablo14[#All],6,0)," ")</f>
        <v xml:space="preserve"> </v>
      </c>
      <c r="M261" s="100" t="str">
        <f t="shared" si="28"/>
        <v xml:space="preserve"> </v>
      </c>
      <c r="N261" s="100" t="str">
        <f>IFERROR(VLOOKUP(Tablo516[[#This Row],[ÜRÜN KODU]],YMKODLARI!$A$1:$K$383,8,0)," ")</f>
        <v xml:space="preserve"> </v>
      </c>
      <c r="O261" s="100" t="str">
        <f>IFERROR(VLOOKUP(Tablo516[[#This Row],[HAMMADDE KODU]],Tablo1[#All],3,0)," ")</f>
        <v xml:space="preserve"> </v>
      </c>
      <c r="P261" s="100" t="str">
        <f>IFERROR(VLOOKUP(Tablo516[[#This Row],[HAMMADDE KODU]],Tablo1[#All],4,0)," ")</f>
        <v xml:space="preserve"> </v>
      </c>
      <c r="Q261" s="100" t="str">
        <f>IFERROR(VLOOKUP(Tablo516[[#This Row],[ÜRÜN KODU]],YMKODLARI!$A$1:$K$383,5,0)," ")</f>
        <v xml:space="preserve"> </v>
      </c>
      <c r="R261" s="100" t="str">
        <f>IFERROR(VLOOKUP(Tablo516[[#This Row],[ÜRÜN KODU]],YMKODLARI!$A$1:$K$383,6,0)," ")</f>
        <v xml:space="preserve"> </v>
      </c>
      <c r="S261" s="100" t="str">
        <f>IFERROR(Tablo516[[#This Row],[YOLLUK HARİÇ BASKI GRAMI]]/Tablo516[[#This Row],[KALIP GÖZ ADEDİ]]," ")</f>
        <v xml:space="preserve"> </v>
      </c>
      <c r="T261" s="100" t="str">
        <f t="shared" si="30"/>
        <v xml:space="preserve"> </v>
      </c>
      <c r="U261" s="100"/>
      <c r="V261" s="100" t="str">
        <f t="shared" si="29"/>
        <v xml:space="preserve"> </v>
      </c>
      <c r="W261" s="101">
        <f t="shared" si="31"/>
        <v>24</v>
      </c>
      <c r="X261" s="102">
        <f t="shared" si="32"/>
        <v>0</v>
      </c>
      <c r="Y261" s="100" t="str">
        <f t="shared" si="33"/>
        <v xml:space="preserve"> </v>
      </c>
      <c r="Z261" s="100" t="str">
        <f t="shared" si="34"/>
        <v xml:space="preserve"> </v>
      </c>
    </row>
    <row r="262" spans="1:26">
      <c r="A262" s="100"/>
      <c r="B262" s="108" t="str">
        <f>IFERROR(VLOOKUP(Tablo516[[#This Row],[ÜRÜN KODU]],YMKODLARI!$A$1:$K$383,2,0)," ")</f>
        <v xml:space="preserve"> </v>
      </c>
      <c r="C262" s="99"/>
      <c r="D262" s="100"/>
      <c r="E262" s="101"/>
      <c r="F262" s="101"/>
      <c r="G262" s="100" t="str">
        <f>IFERROR(VLOOKUP(Tablo516[[#This Row],[ÜRÜN KODU]],YMKODLARI!$A$1:$K$383,3,0)," ")</f>
        <v xml:space="preserve"> </v>
      </c>
      <c r="H262" s="100" t="str">
        <f>IFERROR(VLOOKUP(Tablo516[[#This Row],[ÜRÜN KODU]],YMKODLARI!$A$1:$K$383,4,0)," ")</f>
        <v xml:space="preserve"> </v>
      </c>
      <c r="I262" s="100"/>
      <c r="J262" s="100" t="str">
        <f>IFERROR(VLOOKUP(Tablo516[[#This Row],[ÜRÜN KODU]],YMKODLARI!$A$1:$K$383,9,0)," ")</f>
        <v xml:space="preserve"> </v>
      </c>
      <c r="K262" s="100" t="str">
        <f>IFERROR(VLOOKUP(Tablo516[[#This Row],[BOYA KODU]],Tablo14[#All],4,0)," ")</f>
        <v xml:space="preserve"> </v>
      </c>
      <c r="L262" s="100" t="str">
        <f>IFERROR(VLOOKUP(Tablo516[[#This Row],[BOYA KODU]],Tablo14[#All],6,0)," ")</f>
        <v xml:space="preserve"> </v>
      </c>
      <c r="M262" s="100" t="str">
        <f t="shared" si="28"/>
        <v xml:space="preserve"> </v>
      </c>
      <c r="N262" s="100" t="str">
        <f>IFERROR(VLOOKUP(Tablo516[[#This Row],[ÜRÜN KODU]],YMKODLARI!$A$1:$K$383,8,0)," ")</f>
        <v xml:space="preserve"> </v>
      </c>
      <c r="O262" s="100" t="str">
        <f>IFERROR(VLOOKUP(Tablo516[[#This Row],[HAMMADDE KODU]],Tablo1[#All],3,0)," ")</f>
        <v xml:space="preserve"> </v>
      </c>
      <c r="P262" s="100" t="str">
        <f>IFERROR(VLOOKUP(Tablo516[[#This Row],[HAMMADDE KODU]],Tablo1[#All],4,0)," ")</f>
        <v xml:space="preserve"> </v>
      </c>
      <c r="Q262" s="100" t="str">
        <f>IFERROR(VLOOKUP(Tablo516[[#This Row],[ÜRÜN KODU]],YMKODLARI!$A$1:$K$383,5,0)," ")</f>
        <v xml:space="preserve"> </v>
      </c>
      <c r="R262" s="100" t="str">
        <f>IFERROR(VLOOKUP(Tablo516[[#This Row],[ÜRÜN KODU]],YMKODLARI!$A$1:$K$383,6,0)," ")</f>
        <v xml:space="preserve"> </v>
      </c>
      <c r="S262" s="100" t="str">
        <f>IFERROR(Tablo516[[#This Row],[YOLLUK HARİÇ BASKI GRAMI]]/Tablo516[[#This Row],[KALIP GÖZ ADEDİ]]," ")</f>
        <v xml:space="preserve"> </v>
      </c>
      <c r="T262" s="100" t="str">
        <f t="shared" si="30"/>
        <v xml:space="preserve"> </v>
      </c>
      <c r="U262" s="100"/>
      <c r="V262" s="100" t="str">
        <f t="shared" si="29"/>
        <v xml:space="preserve"> </v>
      </c>
      <c r="W262" s="101">
        <f t="shared" si="31"/>
        <v>24</v>
      </c>
      <c r="X262" s="102">
        <f t="shared" si="32"/>
        <v>0</v>
      </c>
      <c r="Y262" s="100" t="str">
        <f t="shared" si="33"/>
        <v xml:space="preserve"> </v>
      </c>
      <c r="Z262" s="100" t="str">
        <f t="shared" si="34"/>
        <v xml:space="preserve"> </v>
      </c>
    </row>
    <row r="263" spans="1:26">
      <c r="A263" s="100"/>
      <c r="B263" s="108" t="str">
        <f>IFERROR(VLOOKUP(Tablo516[[#This Row],[ÜRÜN KODU]],YMKODLARI!$A$1:$K$383,2,0)," ")</f>
        <v xml:space="preserve"> </v>
      </c>
      <c r="C263" s="99"/>
      <c r="D263" s="100"/>
      <c r="E263" s="101"/>
      <c r="F263" s="101"/>
      <c r="G263" s="100" t="str">
        <f>IFERROR(VLOOKUP(Tablo516[[#This Row],[ÜRÜN KODU]],YMKODLARI!$A$1:$K$383,3,0)," ")</f>
        <v xml:space="preserve"> </v>
      </c>
      <c r="H263" s="100" t="str">
        <f>IFERROR(VLOOKUP(Tablo516[[#This Row],[ÜRÜN KODU]],YMKODLARI!$A$1:$K$383,4,0)," ")</f>
        <v xml:space="preserve"> </v>
      </c>
      <c r="I263" s="100"/>
      <c r="J263" s="100" t="str">
        <f>IFERROR(VLOOKUP(Tablo516[[#This Row],[ÜRÜN KODU]],YMKODLARI!$A$1:$K$383,9,0)," ")</f>
        <v xml:space="preserve"> </v>
      </c>
      <c r="K263" s="100" t="str">
        <f>IFERROR(VLOOKUP(Tablo516[[#This Row],[BOYA KODU]],Tablo14[#All],4,0)," ")</f>
        <v xml:space="preserve"> </v>
      </c>
      <c r="L263" s="100" t="str">
        <f>IFERROR(VLOOKUP(Tablo516[[#This Row],[BOYA KODU]],Tablo14[#All],6,0)," ")</f>
        <v xml:space="preserve"> </v>
      </c>
      <c r="M263" s="100" t="str">
        <f t="shared" si="28"/>
        <v xml:space="preserve"> </v>
      </c>
      <c r="N263" s="100" t="str">
        <f>IFERROR(VLOOKUP(Tablo516[[#This Row],[ÜRÜN KODU]],YMKODLARI!$A$1:$K$383,8,0)," ")</f>
        <v xml:space="preserve"> </v>
      </c>
      <c r="O263" s="100" t="str">
        <f>IFERROR(VLOOKUP(Tablo516[[#This Row],[HAMMADDE KODU]],Tablo1[#All],3,0)," ")</f>
        <v xml:space="preserve"> </v>
      </c>
      <c r="P263" s="100" t="str">
        <f>IFERROR(VLOOKUP(Tablo516[[#This Row],[HAMMADDE KODU]],Tablo1[#All],4,0)," ")</f>
        <v xml:space="preserve"> </v>
      </c>
      <c r="Q263" s="100" t="str">
        <f>IFERROR(VLOOKUP(Tablo516[[#This Row],[ÜRÜN KODU]],YMKODLARI!$A$1:$K$383,5,0)," ")</f>
        <v xml:space="preserve"> </v>
      </c>
      <c r="R263" s="100" t="str">
        <f>IFERROR(VLOOKUP(Tablo516[[#This Row],[ÜRÜN KODU]],YMKODLARI!$A$1:$K$383,6,0)," ")</f>
        <v xml:space="preserve"> </v>
      </c>
      <c r="S263" s="100" t="str">
        <f>IFERROR(Tablo516[[#This Row],[YOLLUK HARİÇ BASKI GRAMI]]/Tablo516[[#This Row],[KALIP GÖZ ADEDİ]]," ")</f>
        <v xml:space="preserve"> </v>
      </c>
      <c r="T263" s="100" t="str">
        <f t="shared" si="30"/>
        <v xml:space="preserve"> </v>
      </c>
      <c r="U263" s="100"/>
      <c r="V263" s="100" t="str">
        <f t="shared" si="29"/>
        <v xml:space="preserve"> </v>
      </c>
      <c r="W263" s="101">
        <f t="shared" si="31"/>
        <v>24</v>
      </c>
      <c r="X263" s="102">
        <f t="shared" si="32"/>
        <v>0</v>
      </c>
      <c r="Y263" s="100" t="str">
        <f t="shared" si="33"/>
        <v xml:space="preserve"> </v>
      </c>
      <c r="Z263" s="100" t="str">
        <f t="shared" si="34"/>
        <v xml:space="preserve"> </v>
      </c>
    </row>
    <row r="264" spans="1:26">
      <c r="A264" s="100"/>
      <c r="B264" s="108" t="str">
        <f>IFERROR(VLOOKUP(Tablo516[[#This Row],[ÜRÜN KODU]],YMKODLARI!$A$1:$K$383,2,0)," ")</f>
        <v xml:space="preserve"> </v>
      </c>
      <c r="C264" s="99"/>
      <c r="D264" s="100"/>
      <c r="E264" s="101"/>
      <c r="F264" s="101"/>
      <c r="G264" s="100" t="str">
        <f>IFERROR(VLOOKUP(Tablo516[[#This Row],[ÜRÜN KODU]],YMKODLARI!$A$1:$K$383,3,0)," ")</f>
        <v xml:space="preserve"> </v>
      </c>
      <c r="H264" s="100" t="str">
        <f>IFERROR(VLOOKUP(Tablo516[[#This Row],[ÜRÜN KODU]],YMKODLARI!$A$1:$K$383,4,0)," ")</f>
        <v xml:space="preserve"> </v>
      </c>
      <c r="I264" s="100"/>
      <c r="J264" s="100" t="str">
        <f>IFERROR(VLOOKUP(Tablo516[[#This Row],[ÜRÜN KODU]],YMKODLARI!$A$1:$K$383,9,0)," ")</f>
        <v xml:space="preserve"> </v>
      </c>
      <c r="K264" s="100" t="str">
        <f>IFERROR(VLOOKUP(Tablo516[[#This Row],[BOYA KODU]],Tablo14[#All],4,0)," ")</f>
        <v xml:space="preserve"> </v>
      </c>
      <c r="L264" s="100" t="str">
        <f>IFERROR(VLOOKUP(Tablo516[[#This Row],[BOYA KODU]],Tablo14[#All],6,0)," ")</f>
        <v xml:space="preserve"> </v>
      </c>
      <c r="M264" s="100" t="str">
        <f t="shared" si="28"/>
        <v xml:space="preserve"> </v>
      </c>
      <c r="N264" s="100" t="str">
        <f>IFERROR(VLOOKUP(Tablo516[[#This Row],[ÜRÜN KODU]],YMKODLARI!$A$1:$K$383,8,0)," ")</f>
        <v xml:space="preserve"> </v>
      </c>
      <c r="O264" s="100" t="str">
        <f>IFERROR(VLOOKUP(Tablo516[[#This Row],[HAMMADDE KODU]],Tablo1[#All],3,0)," ")</f>
        <v xml:space="preserve"> </v>
      </c>
      <c r="P264" s="100" t="str">
        <f>IFERROR(VLOOKUP(Tablo516[[#This Row],[HAMMADDE KODU]],Tablo1[#All],4,0)," ")</f>
        <v xml:space="preserve"> </v>
      </c>
      <c r="Q264" s="100" t="str">
        <f>IFERROR(VLOOKUP(Tablo516[[#This Row],[ÜRÜN KODU]],YMKODLARI!$A$1:$K$383,5,0)," ")</f>
        <v xml:space="preserve"> </v>
      </c>
      <c r="R264" s="100" t="str">
        <f>IFERROR(VLOOKUP(Tablo516[[#This Row],[ÜRÜN KODU]],YMKODLARI!$A$1:$K$383,6,0)," ")</f>
        <v xml:space="preserve"> </v>
      </c>
      <c r="S264" s="100" t="str">
        <f>IFERROR(Tablo516[[#This Row],[YOLLUK HARİÇ BASKI GRAMI]]/Tablo516[[#This Row],[KALIP GÖZ ADEDİ]]," ")</f>
        <v xml:space="preserve"> </v>
      </c>
      <c r="T264" s="100" t="str">
        <f t="shared" si="30"/>
        <v xml:space="preserve"> </v>
      </c>
      <c r="U264" s="100"/>
      <c r="V264" s="100" t="str">
        <f t="shared" si="29"/>
        <v xml:space="preserve"> </v>
      </c>
      <c r="W264" s="101">
        <f t="shared" si="31"/>
        <v>24</v>
      </c>
      <c r="X264" s="102">
        <f t="shared" si="32"/>
        <v>0</v>
      </c>
      <c r="Y264" s="100" t="str">
        <f t="shared" si="33"/>
        <v xml:space="preserve"> </v>
      </c>
      <c r="Z264" s="100" t="str">
        <f t="shared" si="34"/>
        <v xml:space="preserve"> </v>
      </c>
    </row>
    <row r="265" spans="1:26">
      <c r="A265" s="100"/>
      <c r="B265" s="108" t="str">
        <f>IFERROR(VLOOKUP(Tablo516[[#This Row],[ÜRÜN KODU]],YMKODLARI!$A$1:$K$383,2,0)," ")</f>
        <v xml:space="preserve"> </v>
      </c>
      <c r="C265" s="99"/>
      <c r="D265" s="100"/>
      <c r="E265" s="101"/>
      <c r="F265" s="101"/>
      <c r="G265" s="100" t="str">
        <f>IFERROR(VLOOKUP(Tablo516[[#This Row],[ÜRÜN KODU]],YMKODLARI!$A$1:$K$383,3,0)," ")</f>
        <v xml:space="preserve"> </v>
      </c>
      <c r="H265" s="100" t="str">
        <f>IFERROR(VLOOKUP(Tablo516[[#This Row],[ÜRÜN KODU]],YMKODLARI!$A$1:$K$383,4,0)," ")</f>
        <v xml:space="preserve"> </v>
      </c>
      <c r="I265" s="100"/>
      <c r="J265" s="100" t="str">
        <f>IFERROR(VLOOKUP(Tablo516[[#This Row],[ÜRÜN KODU]],YMKODLARI!$A$1:$K$383,9,0)," ")</f>
        <v xml:space="preserve"> </v>
      </c>
      <c r="K265" s="100" t="str">
        <f>IFERROR(VLOOKUP(Tablo516[[#This Row],[BOYA KODU]],Tablo14[#All],4,0)," ")</f>
        <v xml:space="preserve"> </v>
      </c>
      <c r="L265" s="100" t="str">
        <f>IFERROR(VLOOKUP(Tablo516[[#This Row],[BOYA KODU]],Tablo14[#All],6,0)," ")</f>
        <v xml:space="preserve"> </v>
      </c>
      <c r="M265" s="100" t="str">
        <f t="shared" si="28"/>
        <v xml:space="preserve"> </v>
      </c>
      <c r="N265" s="100" t="str">
        <f>IFERROR(VLOOKUP(Tablo516[[#This Row],[ÜRÜN KODU]],YMKODLARI!$A$1:$K$383,8,0)," ")</f>
        <v xml:space="preserve"> </v>
      </c>
      <c r="O265" s="100" t="str">
        <f>IFERROR(VLOOKUP(Tablo516[[#This Row],[HAMMADDE KODU]],Tablo1[#All],3,0)," ")</f>
        <v xml:space="preserve"> </v>
      </c>
      <c r="P265" s="100" t="str">
        <f>IFERROR(VLOOKUP(Tablo516[[#This Row],[HAMMADDE KODU]],Tablo1[#All],4,0)," ")</f>
        <v xml:space="preserve"> </v>
      </c>
      <c r="Q265" s="100" t="str">
        <f>IFERROR(VLOOKUP(Tablo516[[#This Row],[ÜRÜN KODU]],YMKODLARI!$A$1:$K$383,5,0)," ")</f>
        <v xml:space="preserve"> </v>
      </c>
      <c r="R265" s="100" t="str">
        <f>IFERROR(VLOOKUP(Tablo516[[#This Row],[ÜRÜN KODU]],YMKODLARI!$A$1:$K$383,6,0)," ")</f>
        <v xml:space="preserve"> </v>
      </c>
      <c r="S265" s="100" t="str">
        <f>IFERROR(Tablo516[[#This Row],[YOLLUK HARİÇ BASKI GRAMI]]/Tablo516[[#This Row],[KALIP GÖZ ADEDİ]]," ")</f>
        <v xml:space="preserve"> </v>
      </c>
      <c r="T265" s="100" t="str">
        <f t="shared" si="30"/>
        <v xml:space="preserve"> </v>
      </c>
      <c r="U265" s="100"/>
      <c r="V265" s="100" t="str">
        <f t="shared" si="29"/>
        <v xml:space="preserve"> </v>
      </c>
      <c r="W265" s="101">
        <f t="shared" si="31"/>
        <v>24</v>
      </c>
      <c r="X265" s="102">
        <f t="shared" si="32"/>
        <v>0</v>
      </c>
      <c r="Y265" s="100" t="str">
        <f t="shared" si="33"/>
        <v xml:space="preserve"> </v>
      </c>
      <c r="Z265" s="100" t="str">
        <f t="shared" si="34"/>
        <v xml:space="preserve"> </v>
      </c>
    </row>
    <row r="266" spans="1:26">
      <c r="A266" s="100"/>
      <c r="B266" s="108" t="str">
        <f>IFERROR(VLOOKUP(Tablo516[[#This Row],[ÜRÜN KODU]],YMKODLARI!$A$1:$K$383,2,0)," ")</f>
        <v xml:space="preserve"> </v>
      </c>
      <c r="C266" s="99"/>
      <c r="D266" s="100"/>
      <c r="E266" s="101"/>
      <c r="F266" s="101"/>
      <c r="G266" s="100" t="str">
        <f>IFERROR(VLOOKUP(Tablo516[[#This Row],[ÜRÜN KODU]],YMKODLARI!$A$1:$K$383,3,0)," ")</f>
        <v xml:space="preserve"> </v>
      </c>
      <c r="H266" s="100" t="str">
        <f>IFERROR(VLOOKUP(Tablo516[[#This Row],[ÜRÜN KODU]],YMKODLARI!$A$1:$K$383,4,0)," ")</f>
        <v xml:space="preserve"> </v>
      </c>
      <c r="I266" s="100"/>
      <c r="J266" s="100" t="str">
        <f>IFERROR(VLOOKUP(Tablo516[[#This Row],[ÜRÜN KODU]],YMKODLARI!$A$1:$K$383,9,0)," ")</f>
        <v xml:space="preserve"> </v>
      </c>
      <c r="K266" s="100" t="str">
        <f>IFERROR(VLOOKUP(Tablo516[[#This Row],[BOYA KODU]],Tablo14[#All],4,0)," ")</f>
        <v xml:space="preserve"> </v>
      </c>
      <c r="L266" s="100" t="str">
        <f>IFERROR(VLOOKUP(Tablo516[[#This Row],[BOYA KODU]],Tablo14[#All],6,0)," ")</f>
        <v xml:space="preserve"> </v>
      </c>
      <c r="M266" s="100" t="str">
        <f t="shared" si="28"/>
        <v xml:space="preserve"> </v>
      </c>
      <c r="N266" s="100" t="str">
        <f>IFERROR(VLOOKUP(Tablo516[[#This Row],[ÜRÜN KODU]],YMKODLARI!$A$1:$K$383,8,0)," ")</f>
        <v xml:space="preserve"> </v>
      </c>
      <c r="O266" s="100" t="str">
        <f>IFERROR(VLOOKUP(Tablo516[[#This Row],[HAMMADDE KODU]],Tablo1[#All],3,0)," ")</f>
        <v xml:space="preserve"> </v>
      </c>
      <c r="P266" s="100" t="str">
        <f>IFERROR(VLOOKUP(Tablo516[[#This Row],[HAMMADDE KODU]],Tablo1[#All],4,0)," ")</f>
        <v xml:space="preserve"> </v>
      </c>
      <c r="Q266" s="100" t="str">
        <f>IFERROR(VLOOKUP(Tablo516[[#This Row],[ÜRÜN KODU]],YMKODLARI!$A$1:$K$383,5,0)," ")</f>
        <v xml:space="preserve"> </v>
      </c>
      <c r="R266" s="100" t="str">
        <f>IFERROR(VLOOKUP(Tablo516[[#This Row],[ÜRÜN KODU]],YMKODLARI!$A$1:$K$383,6,0)," ")</f>
        <v xml:space="preserve"> </v>
      </c>
      <c r="S266" s="100" t="str">
        <f>IFERROR(Tablo516[[#This Row],[YOLLUK HARİÇ BASKI GRAMI]]/Tablo516[[#This Row],[KALIP GÖZ ADEDİ]]," ")</f>
        <v xml:space="preserve"> </v>
      </c>
      <c r="T266" s="100" t="str">
        <f t="shared" si="30"/>
        <v xml:space="preserve"> </v>
      </c>
      <c r="U266" s="100"/>
      <c r="V266" s="100" t="str">
        <f t="shared" si="29"/>
        <v xml:space="preserve"> </v>
      </c>
      <c r="W266" s="101">
        <f t="shared" si="31"/>
        <v>24</v>
      </c>
      <c r="X266" s="102">
        <f t="shared" si="32"/>
        <v>0</v>
      </c>
      <c r="Y266" s="100" t="str">
        <f t="shared" si="33"/>
        <v xml:space="preserve"> </v>
      </c>
      <c r="Z266" s="100" t="str">
        <f t="shared" si="34"/>
        <v xml:space="preserve"> </v>
      </c>
    </row>
    <row r="267" spans="1:26">
      <c r="A267" s="100"/>
      <c r="B267" s="108" t="str">
        <f>IFERROR(VLOOKUP(Tablo516[[#This Row],[ÜRÜN KODU]],YMKODLARI!$A$1:$K$383,2,0)," ")</f>
        <v xml:space="preserve"> </v>
      </c>
      <c r="C267" s="99"/>
      <c r="D267" s="100"/>
      <c r="E267" s="101"/>
      <c r="F267" s="101"/>
      <c r="G267" s="100" t="str">
        <f>IFERROR(VLOOKUP(Tablo516[[#This Row],[ÜRÜN KODU]],YMKODLARI!$A$1:$K$383,3,0)," ")</f>
        <v xml:space="preserve"> </v>
      </c>
      <c r="H267" s="100" t="str">
        <f>IFERROR(VLOOKUP(Tablo516[[#This Row],[ÜRÜN KODU]],YMKODLARI!$A$1:$K$383,4,0)," ")</f>
        <v xml:space="preserve"> </v>
      </c>
      <c r="I267" s="100"/>
      <c r="J267" s="100" t="str">
        <f>IFERROR(VLOOKUP(Tablo516[[#This Row],[ÜRÜN KODU]],YMKODLARI!$A$1:$K$383,9,0)," ")</f>
        <v xml:space="preserve"> </v>
      </c>
      <c r="K267" s="100" t="str">
        <f>IFERROR(VLOOKUP(Tablo516[[#This Row],[BOYA KODU]],Tablo14[#All],4,0)," ")</f>
        <v xml:space="preserve"> </v>
      </c>
      <c r="L267" s="100" t="str">
        <f>IFERROR(VLOOKUP(Tablo516[[#This Row],[BOYA KODU]],Tablo14[#All],6,0)," ")</f>
        <v xml:space="preserve"> </v>
      </c>
      <c r="M267" s="100" t="str">
        <f t="shared" si="28"/>
        <v xml:space="preserve"> </v>
      </c>
      <c r="N267" s="100" t="str">
        <f>IFERROR(VLOOKUP(Tablo516[[#This Row],[ÜRÜN KODU]],YMKODLARI!$A$1:$K$383,8,0)," ")</f>
        <v xml:space="preserve"> </v>
      </c>
      <c r="O267" s="100" t="str">
        <f>IFERROR(VLOOKUP(Tablo516[[#This Row],[HAMMADDE KODU]],Tablo1[#All],3,0)," ")</f>
        <v xml:space="preserve"> </v>
      </c>
      <c r="P267" s="100" t="str">
        <f>IFERROR(VLOOKUP(Tablo516[[#This Row],[HAMMADDE KODU]],Tablo1[#All],4,0)," ")</f>
        <v xml:space="preserve"> </v>
      </c>
      <c r="Q267" s="100" t="str">
        <f>IFERROR(VLOOKUP(Tablo516[[#This Row],[ÜRÜN KODU]],YMKODLARI!$A$1:$K$383,5,0)," ")</f>
        <v xml:space="preserve"> </v>
      </c>
      <c r="R267" s="100" t="str">
        <f>IFERROR(VLOOKUP(Tablo516[[#This Row],[ÜRÜN KODU]],YMKODLARI!$A$1:$K$383,6,0)," ")</f>
        <v xml:space="preserve"> </v>
      </c>
      <c r="S267" s="100" t="str">
        <f>IFERROR(Tablo516[[#This Row],[YOLLUK HARİÇ BASKI GRAMI]]/Tablo516[[#This Row],[KALIP GÖZ ADEDİ]]," ")</f>
        <v xml:space="preserve"> </v>
      </c>
      <c r="T267" s="100" t="str">
        <f t="shared" si="30"/>
        <v xml:space="preserve"> </v>
      </c>
      <c r="U267" s="100"/>
      <c r="V267" s="100" t="str">
        <f t="shared" si="29"/>
        <v xml:space="preserve"> </v>
      </c>
      <c r="W267" s="101">
        <f t="shared" si="31"/>
        <v>24</v>
      </c>
      <c r="X267" s="102">
        <f t="shared" si="32"/>
        <v>0</v>
      </c>
      <c r="Y267" s="100" t="str">
        <f t="shared" si="33"/>
        <v xml:space="preserve"> </v>
      </c>
      <c r="Z267" s="100" t="str">
        <f t="shared" si="34"/>
        <v xml:space="preserve"> </v>
      </c>
    </row>
    <row r="268" spans="1:26">
      <c r="A268" s="100"/>
      <c r="B268" s="108" t="str">
        <f>IFERROR(VLOOKUP(Tablo516[[#This Row],[ÜRÜN KODU]],YMKODLARI!$A$1:$K$383,2,0)," ")</f>
        <v xml:space="preserve"> </v>
      </c>
      <c r="C268" s="99"/>
      <c r="D268" s="100"/>
      <c r="E268" s="101"/>
      <c r="F268" s="101"/>
      <c r="G268" s="100" t="str">
        <f>IFERROR(VLOOKUP(Tablo516[[#This Row],[ÜRÜN KODU]],YMKODLARI!$A$1:$K$383,3,0)," ")</f>
        <v xml:space="preserve"> </v>
      </c>
      <c r="H268" s="100" t="str">
        <f>IFERROR(VLOOKUP(Tablo516[[#This Row],[ÜRÜN KODU]],YMKODLARI!$A$1:$K$383,4,0)," ")</f>
        <v xml:space="preserve"> </v>
      </c>
      <c r="I268" s="100"/>
      <c r="J268" s="100" t="str">
        <f>IFERROR(VLOOKUP(Tablo516[[#This Row],[ÜRÜN KODU]],YMKODLARI!$A$1:$K$383,9,0)," ")</f>
        <v xml:space="preserve"> </v>
      </c>
      <c r="K268" s="100" t="str">
        <f>IFERROR(VLOOKUP(Tablo516[[#This Row],[BOYA KODU]],Tablo14[#All],4,0)," ")</f>
        <v xml:space="preserve"> </v>
      </c>
      <c r="L268" s="100" t="str">
        <f>IFERROR(VLOOKUP(Tablo516[[#This Row],[BOYA KODU]],Tablo14[#All],6,0)," ")</f>
        <v xml:space="preserve"> </v>
      </c>
      <c r="M268" s="100" t="str">
        <f t="shared" si="28"/>
        <v xml:space="preserve"> </v>
      </c>
      <c r="N268" s="100" t="str">
        <f>IFERROR(VLOOKUP(Tablo516[[#This Row],[ÜRÜN KODU]],YMKODLARI!$A$1:$K$383,8,0)," ")</f>
        <v xml:space="preserve"> </v>
      </c>
      <c r="O268" s="100" t="str">
        <f>IFERROR(VLOOKUP(Tablo516[[#This Row],[HAMMADDE KODU]],Tablo1[#All],3,0)," ")</f>
        <v xml:space="preserve"> </v>
      </c>
      <c r="P268" s="100" t="str">
        <f>IFERROR(VLOOKUP(Tablo516[[#This Row],[HAMMADDE KODU]],Tablo1[#All],4,0)," ")</f>
        <v xml:space="preserve"> </v>
      </c>
      <c r="Q268" s="100" t="str">
        <f>IFERROR(VLOOKUP(Tablo516[[#This Row],[ÜRÜN KODU]],YMKODLARI!$A$1:$K$383,5,0)," ")</f>
        <v xml:space="preserve"> </v>
      </c>
      <c r="R268" s="100" t="str">
        <f>IFERROR(VLOOKUP(Tablo516[[#This Row],[ÜRÜN KODU]],YMKODLARI!$A$1:$K$383,6,0)," ")</f>
        <v xml:space="preserve"> </v>
      </c>
      <c r="S268" s="100" t="str">
        <f>IFERROR(Tablo516[[#This Row],[YOLLUK HARİÇ BASKI GRAMI]]/Tablo516[[#This Row],[KALIP GÖZ ADEDİ]]," ")</f>
        <v xml:space="preserve"> </v>
      </c>
      <c r="T268" s="100" t="str">
        <f t="shared" si="30"/>
        <v xml:space="preserve"> </v>
      </c>
      <c r="U268" s="100"/>
      <c r="V268" s="100" t="str">
        <f t="shared" si="29"/>
        <v xml:space="preserve"> </v>
      </c>
      <c r="W268" s="101">
        <f t="shared" si="31"/>
        <v>24</v>
      </c>
      <c r="X268" s="102">
        <f t="shared" si="32"/>
        <v>0</v>
      </c>
      <c r="Y268" s="100" t="str">
        <f t="shared" si="33"/>
        <v xml:space="preserve"> </v>
      </c>
      <c r="Z268" s="100" t="str">
        <f t="shared" si="34"/>
        <v xml:space="preserve"> </v>
      </c>
    </row>
    <row r="269" spans="1:26">
      <c r="A269" s="100"/>
      <c r="B269" s="108" t="str">
        <f>IFERROR(VLOOKUP(Tablo516[[#This Row],[ÜRÜN KODU]],YMKODLARI!$A$1:$K$383,2,0)," ")</f>
        <v xml:space="preserve"> </v>
      </c>
      <c r="C269" s="99"/>
      <c r="D269" s="100"/>
      <c r="E269" s="101"/>
      <c r="F269" s="101"/>
      <c r="G269" s="100" t="str">
        <f>IFERROR(VLOOKUP(Tablo516[[#This Row],[ÜRÜN KODU]],YMKODLARI!$A$1:$K$383,3,0)," ")</f>
        <v xml:space="preserve"> </v>
      </c>
      <c r="H269" s="100" t="str">
        <f>IFERROR(VLOOKUP(Tablo516[[#This Row],[ÜRÜN KODU]],YMKODLARI!$A$1:$K$383,4,0)," ")</f>
        <v xml:space="preserve"> </v>
      </c>
      <c r="I269" s="100"/>
      <c r="J269" s="100" t="str">
        <f>IFERROR(VLOOKUP(Tablo516[[#This Row],[ÜRÜN KODU]],YMKODLARI!$A$1:$K$383,9,0)," ")</f>
        <v xml:space="preserve"> </v>
      </c>
      <c r="K269" s="100" t="str">
        <f>IFERROR(VLOOKUP(Tablo516[[#This Row],[BOYA KODU]],Tablo14[#All],4,0)," ")</f>
        <v xml:space="preserve"> </v>
      </c>
      <c r="L269" s="100" t="str">
        <f>IFERROR(VLOOKUP(Tablo516[[#This Row],[BOYA KODU]],Tablo14[#All],6,0)," ")</f>
        <v xml:space="preserve"> </v>
      </c>
      <c r="M269" s="100" t="str">
        <f t="shared" si="28"/>
        <v xml:space="preserve"> </v>
      </c>
      <c r="N269" s="100" t="str">
        <f>IFERROR(VLOOKUP(Tablo516[[#This Row],[ÜRÜN KODU]],YMKODLARI!$A$1:$K$383,8,0)," ")</f>
        <v xml:space="preserve"> </v>
      </c>
      <c r="O269" s="100" t="str">
        <f>IFERROR(VLOOKUP(Tablo516[[#This Row],[HAMMADDE KODU]],Tablo1[#All],3,0)," ")</f>
        <v xml:space="preserve"> </v>
      </c>
      <c r="P269" s="100" t="str">
        <f>IFERROR(VLOOKUP(Tablo516[[#This Row],[HAMMADDE KODU]],Tablo1[#All],4,0)," ")</f>
        <v xml:space="preserve"> </v>
      </c>
      <c r="Q269" s="100" t="str">
        <f>IFERROR(VLOOKUP(Tablo516[[#This Row],[ÜRÜN KODU]],YMKODLARI!$A$1:$K$383,5,0)," ")</f>
        <v xml:space="preserve"> </v>
      </c>
      <c r="R269" s="100" t="str">
        <f>IFERROR(VLOOKUP(Tablo516[[#This Row],[ÜRÜN KODU]],YMKODLARI!$A$1:$K$383,6,0)," ")</f>
        <v xml:space="preserve"> </v>
      </c>
      <c r="S269" s="100" t="str">
        <f>IFERROR(Tablo516[[#This Row],[YOLLUK HARİÇ BASKI GRAMI]]/Tablo516[[#This Row],[KALIP GÖZ ADEDİ]]," ")</f>
        <v xml:space="preserve"> </v>
      </c>
      <c r="T269" s="100" t="str">
        <f t="shared" si="30"/>
        <v xml:space="preserve"> </v>
      </c>
      <c r="U269" s="100"/>
      <c r="V269" s="100" t="str">
        <f t="shared" si="29"/>
        <v xml:space="preserve"> </v>
      </c>
      <c r="W269" s="101">
        <f t="shared" si="31"/>
        <v>24</v>
      </c>
      <c r="X269" s="102">
        <f t="shared" si="32"/>
        <v>0</v>
      </c>
      <c r="Y269" s="100" t="str">
        <f t="shared" si="33"/>
        <v xml:space="preserve"> </v>
      </c>
      <c r="Z269" s="100" t="str">
        <f t="shared" si="34"/>
        <v xml:space="preserve"> </v>
      </c>
    </row>
    <row r="270" spans="1:26">
      <c r="A270" s="100"/>
      <c r="B270" s="108" t="str">
        <f>IFERROR(VLOOKUP(Tablo516[[#This Row],[ÜRÜN KODU]],YMKODLARI!$A$1:$K$383,2,0)," ")</f>
        <v xml:space="preserve"> </v>
      </c>
      <c r="C270" s="99"/>
      <c r="D270" s="100"/>
      <c r="E270" s="101"/>
      <c r="F270" s="101"/>
      <c r="G270" s="100" t="str">
        <f>IFERROR(VLOOKUP(Tablo516[[#This Row],[ÜRÜN KODU]],YMKODLARI!$A$1:$K$383,3,0)," ")</f>
        <v xml:space="preserve"> </v>
      </c>
      <c r="H270" s="100" t="str">
        <f>IFERROR(VLOOKUP(Tablo516[[#This Row],[ÜRÜN KODU]],YMKODLARI!$A$1:$K$383,4,0)," ")</f>
        <v xml:space="preserve"> </v>
      </c>
      <c r="I270" s="100"/>
      <c r="J270" s="100" t="str">
        <f>IFERROR(VLOOKUP(Tablo516[[#This Row],[ÜRÜN KODU]],YMKODLARI!$A$1:$K$383,9,0)," ")</f>
        <v xml:space="preserve"> </v>
      </c>
      <c r="K270" s="100" t="str">
        <f>IFERROR(VLOOKUP(Tablo516[[#This Row],[BOYA KODU]],Tablo14[#All],4,0)," ")</f>
        <v xml:space="preserve"> </v>
      </c>
      <c r="L270" s="100" t="str">
        <f>IFERROR(VLOOKUP(Tablo516[[#This Row],[BOYA KODU]],Tablo14[#All],6,0)," ")</f>
        <v xml:space="preserve"> </v>
      </c>
      <c r="M270" s="100" t="str">
        <f t="shared" si="28"/>
        <v xml:space="preserve"> </v>
      </c>
      <c r="N270" s="100" t="str">
        <f>IFERROR(VLOOKUP(Tablo516[[#This Row],[ÜRÜN KODU]],YMKODLARI!$A$1:$K$383,8,0)," ")</f>
        <v xml:space="preserve"> </v>
      </c>
      <c r="O270" s="100" t="str">
        <f>IFERROR(VLOOKUP(Tablo516[[#This Row],[HAMMADDE KODU]],Tablo1[#All],3,0)," ")</f>
        <v xml:space="preserve"> </v>
      </c>
      <c r="P270" s="100" t="str">
        <f>IFERROR(VLOOKUP(Tablo516[[#This Row],[HAMMADDE KODU]],Tablo1[#All],4,0)," ")</f>
        <v xml:space="preserve"> </v>
      </c>
      <c r="Q270" s="100" t="str">
        <f>IFERROR(VLOOKUP(Tablo516[[#This Row],[ÜRÜN KODU]],YMKODLARI!$A$1:$K$383,5,0)," ")</f>
        <v xml:space="preserve"> </v>
      </c>
      <c r="R270" s="100" t="str">
        <f>IFERROR(VLOOKUP(Tablo516[[#This Row],[ÜRÜN KODU]],YMKODLARI!$A$1:$K$383,6,0)," ")</f>
        <v xml:space="preserve"> </v>
      </c>
      <c r="S270" s="100" t="str">
        <f>IFERROR(Tablo516[[#This Row],[YOLLUK HARİÇ BASKI GRAMI]]/Tablo516[[#This Row],[KALIP GÖZ ADEDİ]]," ")</f>
        <v xml:space="preserve"> </v>
      </c>
      <c r="T270" s="100" t="str">
        <f t="shared" si="30"/>
        <v xml:space="preserve"> </v>
      </c>
      <c r="U270" s="100"/>
      <c r="V270" s="100" t="str">
        <f t="shared" si="29"/>
        <v xml:space="preserve"> </v>
      </c>
      <c r="W270" s="101">
        <f t="shared" si="31"/>
        <v>24</v>
      </c>
      <c r="X270" s="102">
        <f t="shared" si="32"/>
        <v>0</v>
      </c>
      <c r="Y270" s="100" t="str">
        <f t="shared" si="33"/>
        <v xml:space="preserve"> </v>
      </c>
      <c r="Z270" s="100" t="str">
        <f t="shared" si="34"/>
        <v xml:space="preserve"> </v>
      </c>
    </row>
    <row r="271" spans="1:26">
      <c r="A271" s="100"/>
      <c r="B271" s="108" t="str">
        <f>IFERROR(VLOOKUP(Tablo516[[#This Row],[ÜRÜN KODU]],YMKODLARI!$A$1:$K$383,2,0)," ")</f>
        <v xml:space="preserve"> </v>
      </c>
      <c r="C271" s="99"/>
      <c r="D271" s="100"/>
      <c r="E271" s="101"/>
      <c r="F271" s="101"/>
      <c r="G271" s="100" t="str">
        <f>IFERROR(VLOOKUP(Tablo516[[#This Row],[ÜRÜN KODU]],YMKODLARI!$A$1:$K$383,3,0)," ")</f>
        <v xml:space="preserve"> </v>
      </c>
      <c r="H271" s="100" t="str">
        <f>IFERROR(VLOOKUP(Tablo516[[#This Row],[ÜRÜN KODU]],YMKODLARI!$A$1:$K$383,4,0)," ")</f>
        <v xml:space="preserve"> </v>
      </c>
      <c r="I271" s="100"/>
      <c r="J271" s="100" t="str">
        <f>IFERROR(VLOOKUP(Tablo516[[#This Row],[ÜRÜN KODU]],YMKODLARI!$A$1:$K$383,9,0)," ")</f>
        <v xml:space="preserve"> </v>
      </c>
      <c r="K271" s="100" t="str">
        <f>IFERROR(VLOOKUP(Tablo516[[#This Row],[BOYA KODU]],Tablo14[#All],4,0)," ")</f>
        <v xml:space="preserve"> </v>
      </c>
      <c r="L271" s="100" t="str">
        <f>IFERROR(VLOOKUP(Tablo516[[#This Row],[BOYA KODU]],Tablo14[#All],6,0)," ")</f>
        <v xml:space="preserve"> </v>
      </c>
      <c r="M271" s="100" t="str">
        <f t="shared" si="28"/>
        <v xml:space="preserve"> </v>
      </c>
      <c r="N271" s="100" t="str">
        <f>IFERROR(VLOOKUP(Tablo516[[#This Row],[ÜRÜN KODU]],YMKODLARI!$A$1:$K$383,8,0)," ")</f>
        <v xml:space="preserve"> </v>
      </c>
      <c r="O271" s="100" t="str">
        <f>IFERROR(VLOOKUP(Tablo516[[#This Row],[HAMMADDE KODU]],Tablo1[#All],3,0)," ")</f>
        <v xml:space="preserve"> </v>
      </c>
      <c r="P271" s="100" t="str">
        <f>IFERROR(VLOOKUP(Tablo516[[#This Row],[HAMMADDE KODU]],Tablo1[#All],4,0)," ")</f>
        <v xml:space="preserve"> </v>
      </c>
      <c r="Q271" s="100" t="str">
        <f>IFERROR(VLOOKUP(Tablo516[[#This Row],[ÜRÜN KODU]],YMKODLARI!$A$1:$K$383,5,0)," ")</f>
        <v xml:space="preserve"> </v>
      </c>
      <c r="R271" s="100" t="str">
        <f>IFERROR(VLOOKUP(Tablo516[[#This Row],[ÜRÜN KODU]],YMKODLARI!$A$1:$K$383,6,0)," ")</f>
        <v xml:space="preserve"> </v>
      </c>
      <c r="S271" s="100" t="str">
        <f>IFERROR(Tablo516[[#This Row],[YOLLUK HARİÇ BASKI GRAMI]]/Tablo516[[#This Row],[KALIP GÖZ ADEDİ]]," ")</f>
        <v xml:space="preserve"> </v>
      </c>
      <c r="T271" s="100" t="str">
        <f t="shared" si="30"/>
        <v xml:space="preserve"> </v>
      </c>
      <c r="U271" s="100"/>
      <c r="V271" s="100" t="str">
        <f t="shared" si="29"/>
        <v xml:space="preserve"> </v>
      </c>
      <c r="W271" s="101">
        <f t="shared" si="31"/>
        <v>24</v>
      </c>
      <c r="X271" s="102">
        <f t="shared" si="32"/>
        <v>0</v>
      </c>
      <c r="Y271" s="100" t="str">
        <f t="shared" si="33"/>
        <v xml:space="preserve"> </v>
      </c>
      <c r="Z271" s="100" t="str">
        <f t="shared" si="34"/>
        <v xml:space="preserve"> </v>
      </c>
    </row>
    <row r="272" spans="1:26">
      <c r="A272" s="100"/>
      <c r="B272" s="108" t="str">
        <f>IFERROR(VLOOKUP(Tablo516[[#This Row],[ÜRÜN KODU]],YMKODLARI!$A$1:$K$383,2,0)," ")</f>
        <v xml:space="preserve"> </v>
      </c>
      <c r="C272" s="99"/>
      <c r="D272" s="100"/>
      <c r="E272" s="101"/>
      <c r="F272" s="101"/>
      <c r="G272" s="100" t="str">
        <f>IFERROR(VLOOKUP(Tablo516[[#This Row],[ÜRÜN KODU]],YMKODLARI!$A$1:$K$383,3,0)," ")</f>
        <v xml:space="preserve"> </v>
      </c>
      <c r="H272" s="100" t="str">
        <f>IFERROR(VLOOKUP(Tablo516[[#This Row],[ÜRÜN KODU]],YMKODLARI!$A$1:$K$383,4,0)," ")</f>
        <v xml:space="preserve"> </v>
      </c>
      <c r="I272" s="100"/>
      <c r="J272" s="100" t="str">
        <f>IFERROR(VLOOKUP(Tablo516[[#This Row],[ÜRÜN KODU]],YMKODLARI!$A$1:$K$383,9,0)," ")</f>
        <v xml:space="preserve"> </v>
      </c>
      <c r="K272" s="100" t="str">
        <f>IFERROR(VLOOKUP(Tablo516[[#This Row],[BOYA KODU]],Tablo14[#All],4,0)," ")</f>
        <v xml:space="preserve"> </v>
      </c>
      <c r="L272" s="100" t="str">
        <f>IFERROR(VLOOKUP(Tablo516[[#This Row],[BOYA KODU]],Tablo14[#All],6,0)," ")</f>
        <v xml:space="preserve"> </v>
      </c>
      <c r="M272" s="100" t="str">
        <f t="shared" si="28"/>
        <v xml:space="preserve"> </v>
      </c>
      <c r="N272" s="100" t="str">
        <f>IFERROR(VLOOKUP(Tablo516[[#This Row],[ÜRÜN KODU]],YMKODLARI!$A$1:$K$383,8,0)," ")</f>
        <v xml:space="preserve"> </v>
      </c>
      <c r="O272" s="100" t="str">
        <f>IFERROR(VLOOKUP(Tablo516[[#This Row],[HAMMADDE KODU]],Tablo1[#All],3,0)," ")</f>
        <v xml:space="preserve"> </v>
      </c>
      <c r="P272" s="100" t="str">
        <f>IFERROR(VLOOKUP(Tablo516[[#This Row],[HAMMADDE KODU]],Tablo1[#All],4,0)," ")</f>
        <v xml:space="preserve"> </v>
      </c>
      <c r="Q272" s="100" t="str">
        <f>IFERROR(VLOOKUP(Tablo516[[#This Row],[ÜRÜN KODU]],YMKODLARI!$A$1:$K$383,5,0)," ")</f>
        <v xml:space="preserve"> </v>
      </c>
      <c r="R272" s="100" t="str">
        <f>IFERROR(VLOOKUP(Tablo516[[#This Row],[ÜRÜN KODU]],YMKODLARI!$A$1:$K$383,6,0)," ")</f>
        <v xml:space="preserve"> </v>
      </c>
      <c r="S272" s="100" t="str">
        <f>IFERROR(Tablo516[[#This Row],[YOLLUK HARİÇ BASKI GRAMI]]/Tablo516[[#This Row],[KALIP GÖZ ADEDİ]]," ")</f>
        <v xml:space="preserve"> </v>
      </c>
      <c r="T272" s="100" t="str">
        <f t="shared" si="30"/>
        <v xml:space="preserve"> </v>
      </c>
      <c r="U272" s="100"/>
      <c r="V272" s="100" t="str">
        <f t="shared" si="29"/>
        <v xml:space="preserve"> </v>
      </c>
      <c r="W272" s="101">
        <f t="shared" si="31"/>
        <v>24</v>
      </c>
      <c r="X272" s="102">
        <f t="shared" si="32"/>
        <v>0</v>
      </c>
      <c r="Y272" s="100" t="str">
        <f t="shared" si="33"/>
        <v xml:space="preserve"> </v>
      </c>
      <c r="Z272" s="100" t="str">
        <f t="shared" si="34"/>
        <v xml:space="preserve"> </v>
      </c>
    </row>
    <row r="273" spans="1:26">
      <c r="A273" s="100"/>
      <c r="B273" s="108" t="str">
        <f>IFERROR(VLOOKUP(Tablo516[[#This Row],[ÜRÜN KODU]],YMKODLARI!$A$1:$K$383,2,0)," ")</f>
        <v xml:space="preserve"> </v>
      </c>
      <c r="C273" s="99"/>
      <c r="D273" s="100"/>
      <c r="E273" s="101"/>
      <c r="F273" s="101"/>
      <c r="G273" s="100" t="str">
        <f>IFERROR(VLOOKUP(Tablo516[[#This Row],[ÜRÜN KODU]],YMKODLARI!$A$1:$K$383,3,0)," ")</f>
        <v xml:space="preserve"> </v>
      </c>
      <c r="H273" s="100" t="str">
        <f>IFERROR(VLOOKUP(Tablo516[[#This Row],[ÜRÜN KODU]],YMKODLARI!$A$1:$K$383,4,0)," ")</f>
        <v xml:space="preserve"> </v>
      </c>
      <c r="I273" s="100"/>
      <c r="J273" s="100" t="str">
        <f>IFERROR(VLOOKUP(Tablo516[[#This Row],[ÜRÜN KODU]],YMKODLARI!$A$1:$K$383,9,0)," ")</f>
        <v xml:space="preserve"> </v>
      </c>
      <c r="K273" s="100" t="str">
        <f>IFERROR(VLOOKUP(Tablo516[[#This Row],[BOYA KODU]],Tablo14[#All],4,0)," ")</f>
        <v xml:space="preserve"> </v>
      </c>
      <c r="L273" s="100" t="str">
        <f>IFERROR(VLOOKUP(Tablo516[[#This Row],[BOYA KODU]],Tablo14[#All],6,0)," ")</f>
        <v xml:space="preserve"> </v>
      </c>
      <c r="M273" s="100" t="str">
        <f t="shared" si="28"/>
        <v xml:space="preserve"> </v>
      </c>
      <c r="N273" s="100" t="str">
        <f>IFERROR(VLOOKUP(Tablo516[[#This Row],[ÜRÜN KODU]],YMKODLARI!$A$1:$K$383,8,0)," ")</f>
        <v xml:space="preserve"> </v>
      </c>
      <c r="O273" s="100" t="str">
        <f>IFERROR(VLOOKUP(Tablo516[[#This Row],[HAMMADDE KODU]],Tablo1[#All],3,0)," ")</f>
        <v xml:space="preserve"> </v>
      </c>
      <c r="P273" s="100" t="str">
        <f>IFERROR(VLOOKUP(Tablo516[[#This Row],[HAMMADDE KODU]],Tablo1[#All],4,0)," ")</f>
        <v xml:space="preserve"> </v>
      </c>
      <c r="Q273" s="100" t="str">
        <f>IFERROR(VLOOKUP(Tablo516[[#This Row],[ÜRÜN KODU]],YMKODLARI!$A$1:$K$383,5,0)," ")</f>
        <v xml:space="preserve"> </v>
      </c>
      <c r="R273" s="100" t="str">
        <f>IFERROR(VLOOKUP(Tablo516[[#This Row],[ÜRÜN KODU]],YMKODLARI!$A$1:$K$383,6,0)," ")</f>
        <v xml:space="preserve"> </v>
      </c>
      <c r="S273" s="100" t="str">
        <f>IFERROR(Tablo516[[#This Row],[YOLLUK HARİÇ BASKI GRAMI]]/Tablo516[[#This Row],[KALIP GÖZ ADEDİ]]," ")</f>
        <v xml:space="preserve"> </v>
      </c>
      <c r="T273" s="100" t="str">
        <f t="shared" si="30"/>
        <v xml:space="preserve"> </v>
      </c>
      <c r="U273" s="100"/>
      <c r="V273" s="100" t="str">
        <f t="shared" si="29"/>
        <v xml:space="preserve"> </v>
      </c>
      <c r="W273" s="101">
        <f t="shared" si="31"/>
        <v>24</v>
      </c>
      <c r="X273" s="102">
        <f t="shared" si="32"/>
        <v>0</v>
      </c>
      <c r="Y273" s="100" t="str">
        <f t="shared" si="33"/>
        <v xml:space="preserve"> </v>
      </c>
      <c r="Z273" s="100" t="str">
        <f t="shared" si="34"/>
        <v xml:space="preserve"> </v>
      </c>
    </row>
    <row r="274" spans="1:26">
      <c r="A274" s="100"/>
      <c r="B274" s="108" t="str">
        <f>IFERROR(VLOOKUP(Tablo516[[#This Row],[ÜRÜN KODU]],YMKODLARI!$A$1:$K$383,2,0)," ")</f>
        <v xml:space="preserve"> </v>
      </c>
      <c r="C274" s="99"/>
      <c r="D274" s="100"/>
      <c r="E274" s="101"/>
      <c r="F274" s="101"/>
      <c r="G274" s="100" t="str">
        <f>IFERROR(VLOOKUP(Tablo516[[#This Row],[ÜRÜN KODU]],YMKODLARI!$A$1:$K$383,3,0)," ")</f>
        <v xml:space="preserve"> </v>
      </c>
      <c r="H274" s="100" t="str">
        <f>IFERROR(VLOOKUP(Tablo516[[#This Row],[ÜRÜN KODU]],YMKODLARI!$A$1:$K$383,4,0)," ")</f>
        <v xml:space="preserve"> </v>
      </c>
      <c r="I274" s="100"/>
      <c r="J274" s="100" t="str">
        <f>IFERROR(VLOOKUP(Tablo516[[#This Row],[ÜRÜN KODU]],YMKODLARI!$A$1:$K$383,9,0)," ")</f>
        <v xml:space="preserve"> </v>
      </c>
      <c r="K274" s="100" t="str">
        <f>IFERROR(VLOOKUP(Tablo516[[#This Row],[BOYA KODU]],Tablo14[#All],4,0)," ")</f>
        <v xml:space="preserve"> </v>
      </c>
      <c r="L274" s="100" t="str">
        <f>IFERROR(VLOOKUP(Tablo516[[#This Row],[BOYA KODU]],Tablo14[#All],6,0)," ")</f>
        <v xml:space="preserve"> </v>
      </c>
      <c r="M274" s="100" t="str">
        <f t="shared" si="28"/>
        <v xml:space="preserve"> </v>
      </c>
      <c r="N274" s="100" t="str">
        <f>IFERROR(VLOOKUP(Tablo516[[#This Row],[ÜRÜN KODU]],YMKODLARI!$A$1:$K$383,8,0)," ")</f>
        <v xml:space="preserve"> </v>
      </c>
      <c r="O274" s="100" t="str">
        <f>IFERROR(VLOOKUP(Tablo516[[#This Row],[HAMMADDE KODU]],Tablo1[#All],3,0)," ")</f>
        <v xml:space="preserve"> </v>
      </c>
      <c r="P274" s="100" t="str">
        <f>IFERROR(VLOOKUP(Tablo516[[#This Row],[HAMMADDE KODU]],Tablo1[#All],4,0)," ")</f>
        <v xml:space="preserve"> </v>
      </c>
      <c r="Q274" s="100" t="str">
        <f>IFERROR(VLOOKUP(Tablo516[[#This Row],[ÜRÜN KODU]],YMKODLARI!$A$1:$K$383,5,0)," ")</f>
        <v xml:space="preserve"> </v>
      </c>
      <c r="R274" s="100" t="str">
        <f>IFERROR(VLOOKUP(Tablo516[[#This Row],[ÜRÜN KODU]],YMKODLARI!$A$1:$K$383,6,0)," ")</f>
        <v xml:space="preserve"> </v>
      </c>
      <c r="S274" s="100" t="str">
        <f>IFERROR(Tablo516[[#This Row],[YOLLUK HARİÇ BASKI GRAMI]]/Tablo516[[#This Row],[KALIP GÖZ ADEDİ]]," ")</f>
        <v xml:space="preserve"> </v>
      </c>
      <c r="T274" s="100" t="str">
        <f t="shared" si="30"/>
        <v xml:space="preserve"> </v>
      </c>
      <c r="U274" s="100"/>
      <c r="V274" s="100" t="str">
        <f t="shared" si="29"/>
        <v xml:space="preserve"> </v>
      </c>
      <c r="W274" s="101">
        <f t="shared" si="31"/>
        <v>24</v>
      </c>
      <c r="X274" s="102">
        <f t="shared" si="32"/>
        <v>0</v>
      </c>
      <c r="Y274" s="100" t="str">
        <f t="shared" si="33"/>
        <v xml:space="preserve"> </v>
      </c>
      <c r="Z274" s="100" t="str">
        <f t="shared" si="34"/>
        <v xml:space="preserve"> </v>
      </c>
    </row>
    <row r="275" spans="1:26">
      <c r="A275" s="100"/>
      <c r="B275" s="108" t="str">
        <f>IFERROR(VLOOKUP(Tablo516[[#This Row],[ÜRÜN KODU]],YMKODLARI!$A$1:$K$383,2,0)," ")</f>
        <v xml:space="preserve"> </v>
      </c>
      <c r="C275" s="99"/>
      <c r="D275" s="100"/>
      <c r="E275" s="101"/>
      <c r="F275" s="101"/>
      <c r="G275" s="100" t="str">
        <f>IFERROR(VLOOKUP(Tablo516[[#This Row],[ÜRÜN KODU]],YMKODLARI!$A$1:$K$383,3,0)," ")</f>
        <v xml:space="preserve"> </v>
      </c>
      <c r="H275" s="100" t="str">
        <f>IFERROR(VLOOKUP(Tablo516[[#This Row],[ÜRÜN KODU]],YMKODLARI!$A$1:$K$383,4,0)," ")</f>
        <v xml:space="preserve"> </v>
      </c>
      <c r="I275" s="100"/>
      <c r="J275" s="100" t="str">
        <f>IFERROR(VLOOKUP(Tablo516[[#This Row],[ÜRÜN KODU]],YMKODLARI!$A$1:$K$383,9,0)," ")</f>
        <v xml:space="preserve"> </v>
      </c>
      <c r="K275" s="100" t="str">
        <f>IFERROR(VLOOKUP(Tablo516[[#This Row],[BOYA KODU]],Tablo14[#All],4,0)," ")</f>
        <v xml:space="preserve"> </v>
      </c>
      <c r="L275" s="100" t="str">
        <f>IFERROR(VLOOKUP(Tablo516[[#This Row],[BOYA KODU]],Tablo14[#All],6,0)," ")</f>
        <v xml:space="preserve"> </v>
      </c>
      <c r="M275" s="100" t="str">
        <f t="shared" si="28"/>
        <v xml:space="preserve"> </v>
      </c>
      <c r="N275" s="100" t="str">
        <f>IFERROR(VLOOKUP(Tablo516[[#This Row],[ÜRÜN KODU]],YMKODLARI!$A$1:$K$383,8,0)," ")</f>
        <v xml:space="preserve"> </v>
      </c>
      <c r="O275" s="100" t="str">
        <f>IFERROR(VLOOKUP(Tablo516[[#This Row],[HAMMADDE KODU]],Tablo1[#All],3,0)," ")</f>
        <v xml:space="preserve"> </v>
      </c>
      <c r="P275" s="100" t="str">
        <f>IFERROR(VLOOKUP(Tablo516[[#This Row],[HAMMADDE KODU]],Tablo1[#All],4,0)," ")</f>
        <v xml:space="preserve"> </v>
      </c>
      <c r="Q275" s="100" t="str">
        <f>IFERROR(VLOOKUP(Tablo516[[#This Row],[ÜRÜN KODU]],YMKODLARI!$A$1:$K$383,5,0)," ")</f>
        <v xml:space="preserve"> </v>
      </c>
      <c r="R275" s="100" t="str">
        <f>IFERROR(VLOOKUP(Tablo516[[#This Row],[ÜRÜN KODU]],YMKODLARI!$A$1:$K$383,6,0)," ")</f>
        <v xml:space="preserve"> </v>
      </c>
      <c r="S275" s="100" t="str">
        <f>IFERROR(Tablo516[[#This Row],[YOLLUK HARİÇ BASKI GRAMI]]/Tablo516[[#This Row],[KALIP GÖZ ADEDİ]]," ")</f>
        <v xml:space="preserve"> </v>
      </c>
      <c r="T275" s="100" t="str">
        <f t="shared" si="30"/>
        <v xml:space="preserve"> </v>
      </c>
      <c r="U275" s="100"/>
      <c r="V275" s="100" t="str">
        <f t="shared" si="29"/>
        <v xml:space="preserve"> </v>
      </c>
      <c r="W275" s="101">
        <f t="shared" si="31"/>
        <v>24</v>
      </c>
      <c r="X275" s="102">
        <f t="shared" si="32"/>
        <v>0</v>
      </c>
      <c r="Y275" s="100" t="str">
        <f t="shared" si="33"/>
        <v xml:space="preserve"> </v>
      </c>
      <c r="Z275" s="100" t="str">
        <f t="shared" si="34"/>
        <v xml:space="preserve"> </v>
      </c>
    </row>
    <row r="276" spans="1:26">
      <c r="A276" s="100"/>
      <c r="B276" s="108" t="str">
        <f>IFERROR(VLOOKUP(Tablo516[[#This Row],[ÜRÜN KODU]],YMKODLARI!$A$1:$K$383,2,0)," ")</f>
        <v xml:space="preserve"> </v>
      </c>
      <c r="C276" s="99"/>
      <c r="D276" s="100"/>
      <c r="E276" s="101"/>
      <c r="F276" s="101"/>
      <c r="G276" s="100" t="str">
        <f>IFERROR(VLOOKUP(Tablo516[[#This Row],[ÜRÜN KODU]],YMKODLARI!$A$1:$K$383,3,0)," ")</f>
        <v xml:space="preserve"> </v>
      </c>
      <c r="H276" s="100" t="str">
        <f>IFERROR(VLOOKUP(Tablo516[[#This Row],[ÜRÜN KODU]],YMKODLARI!$A$1:$K$383,4,0)," ")</f>
        <v xml:space="preserve"> </v>
      </c>
      <c r="I276" s="100"/>
      <c r="J276" s="100" t="str">
        <f>IFERROR(VLOOKUP(Tablo516[[#This Row],[ÜRÜN KODU]],YMKODLARI!$A$1:$K$383,9,0)," ")</f>
        <v xml:space="preserve"> </v>
      </c>
      <c r="K276" s="100" t="str">
        <f>IFERROR(VLOOKUP(Tablo516[[#This Row],[BOYA KODU]],Tablo14[#All],4,0)," ")</f>
        <v xml:space="preserve"> </v>
      </c>
      <c r="L276" s="100" t="str">
        <f>IFERROR(VLOOKUP(Tablo516[[#This Row],[BOYA KODU]],Tablo14[#All],6,0)," ")</f>
        <v xml:space="preserve"> </v>
      </c>
      <c r="M276" s="100" t="str">
        <f t="shared" si="28"/>
        <v xml:space="preserve"> </v>
      </c>
      <c r="N276" s="100" t="str">
        <f>IFERROR(VLOOKUP(Tablo516[[#This Row],[ÜRÜN KODU]],YMKODLARI!$A$1:$K$383,8,0)," ")</f>
        <v xml:space="preserve"> </v>
      </c>
      <c r="O276" s="100" t="str">
        <f>IFERROR(VLOOKUP(Tablo516[[#This Row],[HAMMADDE KODU]],Tablo1[#All],3,0)," ")</f>
        <v xml:space="preserve"> </v>
      </c>
      <c r="P276" s="100" t="str">
        <f>IFERROR(VLOOKUP(Tablo516[[#This Row],[HAMMADDE KODU]],Tablo1[#All],4,0)," ")</f>
        <v xml:space="preserve"> </v>
      </c>
      <c r="Q276" s="100" t="str">
        <f>IFERROR(VLOOKUP(Tablo516[[#This Row],[ÜRÜN KODU]],YMKODLARI!$A$1:$K$383,5,0)," ")</f>
        <v xml:space="preserve"> </v>
      </c>
      <c r="R276" s="100" t="str">
        <f>IFERROR(VLOOKUP(Tablo516[[#This Row],[ÜRÜN KODU]],YMKODLARI!$A$1:$K$383,6,0)," ")</f>
        <v xml:space="preserve"> </v>
      </c>
      <c r="S276" s="100" t="str">
        <f>IFERROR(Tablo516[[#This Row],[YOLLUK HARİÇ BASKI GRAMI]]/Tablo516[[#This Row],[KALIP GÖZ ADEDİ]]," ")</f>
        <v xml:space="preserve"> </v>
      </c>
      <c r="T276" s="100" t="str">
        <f t="shared" si="30"/>
        <v xml:space="preserve"> </v>
      </c>
      <c r="U276" s="100"/>
      <c r="V276" s="100" t="str">
        <f t="shared" si="29"/>
        <v xml:space="preserve"> </v>
      </c>
      <c r="W276" s="101">
        <f t="shared" si="31"/>
        <v>24</v>
      </c>
      <c r="X276" s="102">
        <f t="shared" si="32"/>
        <v>0</v>
      </c>
      <c r="Y276" s="100" t="str">
        <f t="shared" si="33"/>
        <v xml:space="preserve"> </v>
      </c>
      <c r="Z276" s="100" t="str">
        <f t="shared" si="34"/>
        <v xml:space="preserve"> </v>
      </c>
    </row>
    <row r="277" spans="1:26">
      <c r="A277" s="100"/>
      <c r="B277" s="108" t="str">
        <f>IFERROR(VLOOKUP(Tablo516[[#This Row],[ÜRÜN KODU]],YMKODLARI!$A$1:$K$383,2,0)," ")</f>
        <v xml:space="preserve"> </v>
      </c>
      <c r="C277" s="99"/>
      <c r="D277" s="100"/>
      <c r="E277" s="101"/>
      <c r="F277" s="101"/>
      <c r="G277" s="100" t="str">
        <f>IFERROR(VLOOKUP(Tablo516[[#This Row],[ÜRÜN KODU]],YMKODLARI!$A$1:$K$383,3,0)," ")</f>
        <v xml:space="preserve"> </v>
      </c>
      <c r="H277" s="100" t="str">
        <f>IFERROR(VLOOKUP(Tablo516[[#This Row],[ÜRÜN KODU]],YMKODLARI!$A$1:$K$383,4,0)," ")</f>
        <v xml:space="preserve"> </v>
      </c>
      <c r="I277" s="100"/>
      <c r="J277" s="100" t="str">
        <f>IFERROR(VLOOKUP(Tablo516[[#This Row],[ÜRÜN KODU]],YMKODLARI!$A$1:$K$383,9,0)," ")</f>
        <v xml:space="preserve"> </v>
      </c>
      <c r="K277" s="100" t="str">
        <f>IFERROR(VLOOKUP(Tablo516[[#This Row],[BOYA KODU]],Tablo14[#All],4,0)," ")</f>
        <v xml:space="preserve"> </v>
      </c>
      <c r="L277" s="100" t="str">
        <f>IFERROR(VLOOKUP(Tablo516[[#This Row],[BOYA KODU]],Tablo14[#All],6,0)," ")</f>
        <v xml:space="preserve"> </v>
      </c>
      <c r="M277" s="100" t="str">
        <f t="shared" si="28"/>
        <v xml:space="preserve"> </v>
      </c>
      <c r="N277" s="100" t="str">
        <f>IFERROR(VLOOKUP(Tablo516[[#This Row],[ÜRÜN KODU]],YMKODLARI!$A$1:$K$383,8,0)," ")</f>
        <v xml:space="preserve"> </v>
      </c>
      <c r="O277" s="100" t="str">
        <f>IFERROR(VLOOKUP(Tablo516[[#This Row],[HAMMADDE KODU]],Tablo1[#All],3,0)," ")</f>
        <v xml:space="preserve"> </v>
      </c>
      <c r="P277" s="100" t="str">
        <f>IFERROR(VLOOKUP(Tablo516[[#This Row],[HAMMADDE KODU]],Tablo1[#All],4,0)," ")</f>
        <v xml:space="preserve"> </v>
      </c>
      <c r="Q277" s="100" t="str">
        <f>IFERROR(VLOOKUP(Tablo516[[#This Row],[ÜRÜN KODU]],YMKODLARI!$A$1:$K$383,5,0)," ")</f>
        <v xml:space="preserve"> </v>
      </c>
      <c r="R277" s="100" t="str">
        <f>IFERROR(VLOOKUP(Tablo516[[#This Row],[ÜRÜN KODU]],YMKODLARI!$A$1:$K$383,6,0)," ")</f>
        <v xml:space="preserve"> </v>
      </c>
      <c r="S277" s="100" t="str">
        <f>IFERROR(Tablo516[[#This Row],[YOLLUK HARİÇ BASKI GRAMI]]/Tablo516[[#This Row],[KALIP GÖZ ADEDİ]]," ")</f>
        <v xml:space="preserve"> </v>
      </c>
      <c r="T277" s="100" t="str">
        <f t="shared" si="30"/>
        <v xml:space="preserve"> </v>
      </c>
      <c r="U277" s="100"/>
      <c r="V277" s="100" t="str">
        <f t="shared" si="29"/>
        <v xml:space="preserve"> </v>
      </c>
      <c r="W277" s="101">
        <f t="shared" si="31"/>
        <v>24</v>
      </c>
      <c r="X277" s="102">
        <f t="shared" si="32"/>
        <v>0</v>
      </c>
      <c r="Y277" s="100" t="str">
        <f t="shared" si="33"/>
        <v xml:space="preserve"> </v>
      </c>
      <c r="Z277" s="100" t="str">
        <f t="shared" si="34"/>
        <v xml:space="preserve"> </v>
      </c>
    </row>
    <row r="278" spans="1:26">
      <c r="A278" s="100"/>
      <c r="B278" s="108" t="str">
        <f>IFERROR(VLOOKUP(Tablo516[[#This Row],[ÜRÜN KODU]],YMKODLARI!$A$1:$K$383,2,0)," ")</f>
        <v xml:space="preserve"> </v>
      </c>
      <c r="C278" s="99"/>
      <c r="D278" s="100"/>
      <c r="E278" s="101"/>
      <c r="F278" s="101"/>
      <c r="G278" s="100" t="str">
        <f>IFERROR(VLOOKUP(Tablo516[[#This Row],[ÜRÜN KODU]],YMKODLARI!$A$1:$K$383,3,0)," ")</f>
        <v xml:space="preserve"> </v>
      </c>
      <c r="H278" s="100" t="str">
        <f>IFERROR(VLOOKUP(Tablo516[[#This Row],[ÜRÜN KODU]],YMKODLARI!$A$1:$K$383,4,0)," ")</f>
        <v xml:space="preserve"> </v>
      </c>
      <c r="I278" s="100"/>
      <c r="J278" s="100" t="str">
        <f>IFERROR(VLOOKUP(Tablo516[[#This Row],[ÜRÜN KODU]],YMKODLARI!$A$1:$K$383,9,0)," ")</f>
        <v xml:space="preserve"> </v>
      </c>
      <c r="K278" s="100" t="str">
        <f>IFERROR(VLOOKUP(Tablo516[[#This Row],[BOYA KODU]],Tablo14[#All],4,0)," ")</f>
        <v xml:space="preserve"> </v>
      </c>
      <c r="L278" s="100" t="str">
        <f>IFERROR(VLOOKUP(Tablo516[[#This Row],[BOYA KODU]],Tablo14[#All],6,0)," ")</f>
        <v xml:space="preserve"> </v>
      </c>
      <c r="M278" s="100" t="str">
        <f t="shared" si="28"/>
        <v xml:space="preserve"> </v>
      </c>
      <c r="N278" s="100" t="str">
        <f>IFERROR(VLOOKUP(Tablo516[[#This Row],[ÜRÜN KODU]],YMKODLARI!$A$1:$K$383,8,0)," ")</f>
        <v xml:space="preserve"> </v>
      </c>
      <c r="O278" s="100" t="str">
        <f>IFERROR(VLOOKUP(Tablo516[[#This Row],[HAMMADDE KODU]],Tablo1[#All],3,0)," ")</f>
        <v xml:space="preserve"> </v>
      </c>
      <c r="P278" s="100" t="str">
        <f>IFERROR(VLOOKUP(Tablo516[[#This Row],[HAMMADDE KODU]],Tablo1[#All],4,0)," ")</f>
        <v xml:space="preserve"> </v>
      </c>
      <c r="Q278" s="100" t="str">
        <f>IFERROR(VLOOKUP(Tablo516[[#This Row],[ÜRÜN KODU]],YMKODLARI!$A$1:$K$383,5,0)," ")</f>
        <v xml:space="preserve"> </v>
      </c>
      <c r="R278" s="100" t="str">
        <f>IFERROR(VLOOKUP(Tablo516[[#This Row],[ÜRÜN KODU]],YMKODLARI!$A$1:$K$383,6,0)," ")</f>
        <v xml:space="preserve"> </v>
      </c>
      <c r="S278" s="100" t="str">
        <f>IFERROR(Tablo516[[#This Row],[YOLLUK HARİÇ BASKI GRAMI]]/Tablo516[[#This Row],[KALIP GÖZ ADEDİ]]," ")</f>
        <v xml:space="preserve"> </v>
      </c>
      <c r="T278" s="100" t="str">
        <f t="shared" si="30"/>
        <v xml:space="preserve"> </v>
      </c>
      <c r="U278" s="100"/>
      <c r="V278" s="100" t="str">
        <f t="shared" si="29"/>
        <v xml:space="preserve"> </v>
      </c>
      <c r="W278" s="101">
        <f t="shared" si="31"/>
        <v>24</v>
      </c>
      <c r="X278" s="102">
        <f t="shared" si="32"/>
        <v>0</v>
      </c>
      <c r="Y278" s="100" t="str">
        <f t="shared" si="33"/>
        <v xml:space="preserve"> </v>
      </c>
      <c r="Z278" s="100" t="str">
        <f t="shared" si="34"/>
        <v xml:space="preserve"> </v>
      </c>
    </row>
    <row r="279" spans="1:26">
      <c r="A279" s="100"/>
      <c r="B279" s="108" t="str">
        <f>IFERROR(VLOOKUP(Tablo516[[#This Row],[ÜRÜN KODU]],YMKODLARI!$A$1:$K$383,2,0)," ")</f>
        <v xml:space="preserve"> </v>
      </c>
      <c r="C279" s="99"/>
      <c r="D279" s="100"/>
      <c r="E279" s="101"/>
      <c r="F279" s="101"/>
      <c r="G279" s="100" t="str">
        <f>IFERROR(VLOOKUP(Tablo516[[#This Row],[ÜRÜN KODU]],YMKODLARI!$A$1:$K$383,3,0)," ")</f>
        <v xml:space="preserve"> </v>
      </c>
      <c r="H279" s="100" t="str">
        <f>IFERROR(VLOOKUP(Tablo516[[#This Row],[ÜRÜN KODU]],YMKODLARI!$A$1:$K$383,4,0)," ")</f>
        <v xml:space="preserve"> </v>
      </c>
      <c r="I279" s="100"/>
      <c r="J279" s="100" t="str">
        <f>IFERROR(VLOOKUP(Tablo516[[#This Row],[ÜRÜN KODU]],YMKODLARI!$A$1:$K$383,9,0)," ")</f>
        <v xml:space="preserve"> </v>
      </c>
      <c r="K279" s="100" t="str">
        <f>IFERROR(VLOOKUP(Tablo516[[#This Row],[BOYA KODU]],Tablo14[#All],4,0)," ")</f>
        <v xml:space="preserve"> </v>
      </c>
      <c r="L279" s="100" t="str">
        <f>IFERROR(VLOOKUP(Tablo516[[#This Row],[BOYA KODU]],Tablo14[#All],6,0)," ")</f>
        <v xml:space="preserve"> </v>
      </c>
      <c r="M279" s="100" t="str">
        <f t="shared" si="28"/>
        <v xml:space="preserve"> </v>
      </c>
      <c r="N279" s="100" t="str">
        <f>IFERROR(VLOOKUP(Tablo516[[#This Row],[ÜRÜN KODU]],YMKODLARI!$A$1:$K$383,8,0)," ")</f>
        <v xml:space="preserve"> </v>
      </c>
      <c r="O279" s="100" t="str">
        <f>IFERROR(VLOOKUP(Tablo516[[#This Row],[HAMMADDE KODU]],Tablo1[#All],3,0)," ")</f>
        <v xml:space="preserve"> </v>
      </c>
      <c r="P279" s="100" t="str">
        <f>IFERROR(VLOOKUP(Tablo516[[#This Row],[HAMMADDE KODU]],Tablo1[#All],4,0)," ")</f>
        <v xml:space="preserve"> </v>
      </c>
      <c r="Q279" s="100" t="str">
        <f>IFERROR(VLOOKUP(Tablo516[[#This Row],[ÜRÜN KODU]],YMKODLARI!$A$1:$K$383,5,0)," ")</f>
        <v xml:space="preserve"> </v>
      </c>
      <c r="R279" s="100" t="str">
        <f>IFERROR(VLOOKUP(Tablo516[[#This Row],[ÜRÜN KODU]],YMKODLARI!$A$1:$K$383,6,0)," ")</f>
        <v xml:space="preserve"> </v>
      </c>
      <c r="S279" s="100" t="str">
        <f>IFERROR(Tablo516[[#This Row],[YOLLUK HARİÇ BASKI GRAMI]]/Tablo516[[#This Row],[KALIP GÖZ ADEDİ]]," ")</f>
        <v xml:space="preserve"> </v>
      </c>
      <c r="T279" s="100" t="str">
        <f t="shared" si="30"/>
        <v xml:space="preserve"> </v>
      </c>
      <c r="U279" s="100"/>
      <c r="V279" s="100" t="str">
        <f t="shared" si="29"/>
        <v xml:space="preserve"> </v>
      </c>
      <c r="W279" s="101">
        <f t="shared" si="31"/>
        <v>24</v>
      </c>
      <c r="X279" s="102">
        <f t="shared" si="32"/>
        <v>0</v>
      </c>
      <c r="Y279" s="100" t="str">
        <f t="shared" si="33"/>
        <v xml:space="preserve"> </v>
      </c>
      <c r="Z279" s="100" t="str">
        <f t="shared" si="34"/>
        <v xml:space="preserve"> </v>
      </c>
    </row>
    <row r="280" spans="1:26">
      <c r="A280" s="100"/>
      <c r="B280" s="108" t="str">
        <f>IFERROR(VLOOKUP(Tablo516[[#This Row],[ÜRÜN KODU]],YMKODLARI!$A$1:$K$383,2,0)," ")</f>
        <v xml:space="preserve"> </v>
      </c>
      <c r="C280" s="99"/>
      <c r="D280" s="100"/>
      <c r="E280" s="101"/>
      <c r="F280" s="101"/>
      <c r="G280" s="100" t="str">
        <f>IFERROR(VLOOKUP(Tablo516[[#This Row],[ÜRÜN KODU]],YMKODLARI!$A$1:$K$383,3,0)," ")</f>
        <v xml:space="preserve"> </v>
      </c>
      <c r="H280" s="100" t="str">
        <f>IFERROR(VLOOKUP(Tablo516[[#This Row],[ÜRÜN KODU]],YMKODLARI!$A$1:$K$383,4,0)," ")</f>
        <v xml:space="preserve"> </v>
      </c>
      <c r="I280" s="100"/>
      <c r="J280" s="100" t="str">
        <f>IFERROR(VLOOKUP(Tablo516[[#This Row],[ÜRÜN KODU]],YMKODLARI!$A$1:$K$383,9,0)," ")</f>
        <v xml:space="preserve"> </v>
      </c>
      <c r="K280" s="100" t="str">
        <f>IFERROR(VLOOKUP(Tablo516[[#This Row],[BOYA KODU]],Tablo14[#All],4,0)," ")</f>
        <v xml:space="preserve"> </v>
      </c>
      <c r="L280" s="100" t="str">
        <f>IFERROR(VLOOKUP(Tablo516[[#This Row],[BOYA KODU]],Tablo14[#All],6,0)," ")</f>
        <v xml:space="preserve"> </v>
      </c>
      <c r="M280" s="100" t="str">
        <f t="shared" si="28"/>
        <v xml:space="preserve"> </v>
      </c>
      <c r="N280" s="100" t="str">
        <f>IFERROR(VLOOKUP(Tablo516[[#This Row],[ÜRÜN KODU]],YMKODLARI!$A$1:$K$383,8,0)," ")</f>
        <v xml:space="preserve"> </v>
      </c>
      <c r="O280" s="100" t="str">
        <f>IFERROR(VLOOKUP(Tablo516[[#This Row],[HAMMADDE KODU]],Tablo1[#All],3,0)," ")</f>
        <v xml:space="preserve"> </v>
      </c>
      <c r="P280" s="100" t="str">
        <f>IFERROR(VLOOKUP(Tablo516[[#This Row],[HAMMADDE KODU]],Tablo1[#All],4,0)," ")</f>
        <v xml:space="preserve"> </v>
      </c>
      <c r="Q280" s="100" t="str">
        <f>IFERROR(VLOOKUP(Tablo516[[#This Row],[ÜRÜN KODU]],YMKODLARI!$A$1:$K$383,5,0)," ")</f>
        <v xml:space="preserve"> </v>
      </c>
      <c r="R280" s="100" t="str">
        <f>IFERROR(VLOOKUP(Tablo516[[#This Row],[ÜRÜN KODU]],YMKODLARI!$A$1:$K$383,6,0)," ")</f>
        <v xml:space="preserve"> </v>
      </c>
      <c r="S280" s="100" t="str">
        <f>IFERROR(Tablo516[[#This Row],[YOLLUK HARİÇ BASKI GRAMI]]/Tablo516[[#This Row],[KALIP GÖZ ADEDİ]]," ")</f>
        <v xml:space="preserve"> </v>
      </c>
      <c r="T280" s="100" t="str">
        <f t="shared" si="30"/>
        <v xml:space="preserve"> </v>
      </c>
      <c r="U280" s="100"/>
      <c r="V280" s="100" t="str">
        <f t="shared" si="29"/>
        <v xml:space="preserve"> </v>
      </c>
      <c r="W280" s="101">
        <f t="shared" si="31"/>
        <v>24</v>
      </c>
      <c r="X280" s="102">
        <f t="shared" si="32"/>
        <v>0</v>
      </c>
      <c r="Y280" s="100" t="str">
        <f t="shared" si="33"/>
        <v xml:space="preserve"> </v>
      </c>
      <c r="Z280" s="100" t="str">
        <f t="shared" si="34"/>
        <v xml:space="preserve"> </v>
      </c>
    </row>
    <row r="281" spans="1:26">
      <c r="A281" s="100"/>
      <c r="B281" s="108" t="str">
        <f>IFERROR(VLOOKUP(Tablo516[[#This Row],[ÜRÜN KODU]],YMKODLARI!$A$1:$K$383,2,0)," ")</f>
        <v xml:space="preserve"> </v>
      </c>
      <c r="C281" s="99"/>
      <c r="D281" s="100"/>
      <c r="E281" s="101"/>
      <c r="F281" s="101"/>
      <c r="G281" s="100" t="str">
        <f>IFERROR(VLOOKUP(Tablo516[[#This Row],[ÜRÜN KODU]],YMKODLARI!$A$1:$K$383,3,0)," ")</f>
        <v xml:space="preserve"> </v>
      </c>
      <c r="H281" s="100" t="str">
        <f>IFERROR(VLOOKUP(Tablo516[[#This Row],[ÜRÜN KODU]],YMKODLARI!$A$1:$K$383,4,0)," ")</f>
        <v xml:space="preserve"> </v>
      </c>
      <c r="I281" s="100"/>
      <c r="J281" s="100" t="str">
        <f>IFERROR(VLOOKUP(Tablo516[[#This Row],[ÜRÜN KODU]],YMKODLARI!$A$1:$K$383,9,0)," ")</f>
        <v xml:space="preserve"> </v>
      </c>
      <c r="K281" s="100" t="str">
        <f>IFERROR(VLOOKUP(Tablo516[[#This Row],[BOYA KODU]],Tablo14[#All],4,0)," ")</f>
        <v xml:space="preserve"> </v>
      </c>
      <c r="L281" s="100" t="str">
        <f>IFERROR(VLOOKUP(Tablo516[[#This Row],[BOYA KODU]],Tablo14[#All],6,0)," ")</f>
        <v xml:space="preserve"> </v>
      </c>
      <c r="M281" s="100" t="str">
        <f t="shared" si="28"/>
        <v xml:space="preserve"> </v>
      </c>
      <c r="N281" s="100" t="str">
        <f>IFERROR(VLOOKUP(Tablo516[[#This Row],[ÜRÜN KODU]],YMKODLARI!$A$1:$K$383,8,0)," ")</f>
        <v xml:space="preserve"> </v>
      </c>
      <c r="O281" s="100" t="str">
        <f>IFERROR(VLOOKUP(Tablo516[[#This Row],[HAMMADDE KODU]],Tablo1[#All],3,0)," ")</f>
        <v xml:space="preserve"> </v>
      </c>
      <c r="P281" s="100" t="str">
        <f>IFERROR(VLOOKUP(Tablo516[[#This Row],[HAMMADDE KODU]],Tablo1[#All],4,0)," ")</f>
        <v xml:space="preserve"> </v>
      </c>
      <c r="Q281" s="100" t="str">
        <f>IFERROR(VLOOKUP(Tablo516[[#This Row],[ÜRÜN KODU]],YMKODLARI!$A$1:$K$383,5,0)," ")</f>
        <v xml:space="preserve"> </v>
      </c>
      <c r="R281" s="100" t="str">
        <f>IFERROR(VLOOKUP(Tablo516[[#This Row],[ÜRÜN KODU]],YMKODLARI!$A$1:$K$383,6,0)," ")</f>
        <v xml:space="preserve"> </v>
      </c>
      <c r="S281" s="100" t="str">
        <f>IFERROR(Tablo516[[#This Row],[YOLLUK HARİÇ BASKI GRAMI]]/Tablo516[[#This Row],[KALIP GÖZ ADEDİ]]," ")</f>
        <v xml:space="preserve"> </v>
      </c>
      <c r="T281" s="100" t="str">
        <f t="shared" si="30"/>
        <v xml:space="preserve"> </v>
      </c>
      <c r="U281" s="100"/>
      <c r="V281" s="100" t="str">
        <f t="shared" si="29"/>
        <v xml:space="preserve"> </v>
      </c>
      <c r="W281" s="101">
        <f t="shared" si="31"/>
        <v>24</v>
      </c>
      <c r="X281" s="102">
        <f t="shared" si="32"/>
        <v>0</v>
      </c>
      <c r="Y281" s="100" t="str">
        <f t="shared" si="33"/>
        <v xml:space="preserve"> </v>
      </c>
      <c r="Z281" s="100" t="str">
        <f t="shared" si="34"/>
        <v xml:space="preserve"> </v>
      </c>
    </row>
    <row r="282" spans="1:26">
      <c r="A282" s="100"/>
      <c r="B282" s="108" t="str">
        <f>IFERROR(VLOOKUP(Tablo516[[#This Row],[ÜRÜN KODU]],YMKODLARI!$A$1:$K$383,2,0)," ")</f>
        <v xml:space="preserve"> </v>
      </c>
      <c r="C282" s="99"/>
      <c r="D282" s="100"/>
      <c r="E282" s="101"/>
      <c r="F282" s="101"/>
      <c r="G282" s="100" t="str">
        <f>IFERROR(VLOOKUP(Tablo516[[#This Row],[ÜRÜN KODU]],YMKODLARI!$A$1:$K$383,3,0)," ")</f>
        <v xml:space="preserve"> </v>
      </c>
      <c r="H282" s="100" t="str">
        <f>IFERROR(VLOOKUP(Tablo516[[#This Row],[ÜRÜN KODU]],YMKODLARI!$A$1:$K$383,4,0)," ")</f>
        <v xml:space="preserve"> </v>
      </c>
      <c r="I282" s="100"/>
      <c r="J282" s="100" t="str">
        <f>IFERROR(VLOOKUP(Tablo516[[#This Row],[ÜRÜN KODU]],YMKODLARI!$A$1:$K$383,9,0)," ")</f>
        <v xml:space="preserve"> </v>
      </c>
      <c r="K282" s="100" t="str">
        <f>IFERROR(VLOOKUP(Tablo516[[#This Row],[BOYA KODU]],Tablo14[#All],4,0)," ")</f>
        <v xml:space="preserve"> </v>
      </c>
      <c r="L282" s="100" t="str">
        <f>IFERROR(VLOOKUP(Tablo516[[#This Row],[BOYA KODU]],Tablo14[#All],6,0)," ")</f>
        <v xml:space="preserve"> </v>
      </c>
      <c r="M282" s="100" t="str">
        <f t="shared" si="28"/>
        <v xml:space="preserve"> </v>
      </c>
      <c r="N282" s="100" t="str">
        <f>IFERROR(VLOOKUP(Tablo516[[#This Row],[ÜRÜN KODU]],YMKODLARI!$A$1:$K$383,8,0)," ")</f>
        <v xml:space="preserve"> </v>
      </c>
      <c r="O282" s="100" t="str">
        <f>IFERROR(VLOOKUP(Tablo516[[#This Row],[HAMMADDE KODU]],Tablo1[#All],3,0)," ")</f>
        <v xml:space="preserve"> </v>
      </c>
      <c r="P282" s="100" t="str">
        <f>IFERROR(VLOOKUP(Tablo516[[#This Row],[HAMMADDE KODU]],Tablo1[#All],4,0)," ")</f>
        <v xml:space="preserve"> </v>
      </c>
      <c r="Q282" s="100" t="str">
        <f>IFERROR(VLOOKUP(Tablo516[[#This Row],[ÜRÜN KODU]],YMKODLARI!$A$1:$K$383,5,0)," ")</f>
        <v xml:space="preserve"> </v>
      </c>
      <c r="R282" s="100" t="str">
        <f>IFERROR(VLOOKUP(Tablo516[[#This Row],[ÜRÜN KODU]],YMKODLARI!$A$1:$K$383,6,0)," ")</f>
        <v xml:space="preserve"> </v>
      </c>
      <c r="S282" s="100" t="str">
        <f>IFERROR(Tablo516[[#This Row],[YOLLUK HARİÇ BASKI GRAMI]]/Tablo516[[#This Row],[KALIP GÖZ ADEDİ]]," ")</f>
        <v xml:space="preserve"> </v>
      </c>
      <c r="T282" s="100" t="str">
        <f t="shared" si="30"/>
        <v xml:space="preserve"> </v>
      </c>
      <c r="U282" s="100"/>
      <c r="V282" s="100" t="str">
        <f t="shared" si="29"/>
        <v xml:space="preserve"> </v>
      </c>
      <c r="W282" s="101">
        <f t="shared" si="31"/>
        <v>24</v>
      </c>
      <c r="X282" s="102">
        <f t="shared" si="32"/>
        <v>0</v>
      </c>
      <c r="Y282" s="100" t="str">
        <f t="shared" si="33"/>
        <v xml:space="preserve"> </v>
      </c>
      <c r="Z282" s="100" t="str">
        <f t="shared" si="34"/>
        <v xml:space="preserve"> </v>
      </c>
    </row>
    <row r="283" spans="1:26">
      <c r="A283" s="100"/>
      <c r="B283" s="108" t="str">
        <f>IFERROR(VLOOKUP(Tablo516[[#This Row],[ÜRÜN KODU]],YMKODLARI!$A$1:$K$383,2,0)," ")</f>
        <v xml:space="preserve"> </v>
      </c>
      <c r="C283" s="99"/>
      <c r="D283" s="100"/>
      <c r="E283" s="101"/>
      <c r="F283" s="101"/>
      <c r="G283" s="100" t="str">
        <f>IFERROR(VLOOKUP(Tablo516[[#This Row],[ÜRÜN KODU]],YMKODLARI!$A$1:$K$383,3,0)," ")</f>
        <v xml:space="preserve"> </v>
      </c>
      <c r="H283" s="100" t="str">
        <f>IFERROR(VLOOKUP(Tablo516[[#This Row],[ÜRÜN KODU]],YMKODLARI!$A$1:$K$383,4,0)," ")</f>
        <v xml:space="preserve"> </v>
      </c>
      <c r="I283" s="100"/>
      <c r="J283" s="100" t="str">
        <f>IFERROR(VLOOKUP(Tablo516[[#This Row],[ÜRÜN KODU]],YMKODLARI!$A$1:$K$383,9,0)," ")</f>
        <v xml:space="preserve"> </v>
      </c>
      <c r="K283" s="100" t="str">
        <f>IFERROR(VLOOKUP(Tablo516[[#This Row],[BOYA KODU]],Tablo14[#All],4,0)," ")</f>
        <v xml:space="preserve"> </v>
      </c>
      <c r="L283" s="100" t="str">
        <f>IFERROR(VLOOKUP(Tablo516[[#This Row],[BOYA KODU]],Tablo14[#All],6,0)," ")</f>
        <v xml:space="preserve"> </v>
      </c>
      <c r="M283" s="100" t="str">
        <f t="shared" si="28"/>
        <v xml:space="preserve"> </v>
      </c>
      <c r="N283" s="100" t="str">
        <f>IFERROR(VLOOKUP(Tablo516[[#This Row],[ÜRÜN KODU]],YMKODLARI!$A$1:$K$383,8,0)," ")</f>
        <v xml:space="preserve"> </v>
      </c>
      <c r="O283" s="100" t="str">
        <f>IFERROR(VLOOKUP(Tablo516[[#This Row],[HAMMADDE KODU]],Tablo1[#All],3,0)," ")</f>
        <v xml:space="preserve"> </v>
      </c>
      <c r="P283" s="100" t="str">
        <f>IFERROR(VLOOKUP(Tablo516[[#This Row],[HAMMADDE KODU]],Tablo1[#All],4,0)," ")</f>
        <v xml:space="preserve"> </v>
      </c>
      <c r="Q283" s="100" t="str">
        <f>IFERROR(VLOOKUP(Tablo516[[#This Row],[ÜRÜN KODU]],YMKODLARI!$A$1:$K$383,5,0)," ")</f>
        <v xml:space="preserve"> </v>
      </c>
      <c r="R283" s="100" t="str">
        <f>IFERROR(VLOOKUP(Tablo516[[#This Row],[ÜRÜN KODU]],YMKODLARI!$A$1:$K$383,6,0)," ")</f>
        <v xml:space="preserve"> </v>
      </c>
      <c r="S283" s="100" t="str">
        <f>IFERROR(Tablo516[[#This Row],[YOLLUK HARİÇ BASKI GRAMI]]/Tablo516[[#This Row],[KALIP GÖZ ADEDİ]]," ")</f>
        <v xml:space="preserve"> </v>
      </c>
      <c r="T283" s="100" t="str">
        <f t="shared" si="30"/>
        <v xml:space="preserve"> </v>
      </c>
      <c r="U283" s="100"/>
      <c r="V283" s="100" t="str">
        <f t="shared" si="29"/>
        <v xml:space="preserve"> </v>
      </c>
      <c r="W283" s="101">
        <f t="shared" si="31"/>
        <v>24</v>
      </c>
      <c r="X283" s="102">
        <f t="shared" si="32"/>
        <v>0</v>
      </c>
      <c r="Y283" s="100" t="str">
        <f t="shared" si="33"/>
        <v xml:space="preserve"> </v>
      </c>
      <c r="Z283" s="100" t="str">
        <f t="shared" si="34"/>
        <v xml:space="preserve"> </v>
      </c>
    </row>
    <row r="284" spans="1:26">
      <c r="A284" s="100"/>
      <c r="B284" s="108" t="str">
        <f>IFERROR(VLOOKUP(Tablo516[[#This Row],[ÜRÜN KODU]],YMKODLARI!$A$1:$K$383,2,0)," ")</f>
        <v xml:space="preserve"> </v>
      </c>
      <c r="C284" s="99"/>
      <c r="D284" s="100"/>
      <c r="E284" s="101"/>
      <c r="F284" s="101"/>
      <c r="G284" s="100" t="str">
        <f>IFERROR(VLOOKUP(Tablo516[[#This Row],[ÜRÜN KODU]],YMKODLARI!$A$1:$K$383,3,0)," ")</f>
        <v xml:space="preserve"> </v>
      </c>
      <c r="H284" s="100" t="str">
        <f>IFERROR(VLOOKUP(Tablo516[[#This Row],[ÜRÜN KODU]],YMKODLARI!$A$1:$K$383,4,0)," ")</f>
        <v xml:space="preserve"> </v>
      </c>
      <c r="I284" s="100"/>
      <c r="J284" s="100" t="str">
        <f>IFERROR(VLOOKUP(Tablo516[[#This Row],[ÜRÜN KODU]],YMKODLARI!$A$1:$K$383,9,0)," ")</f>
        <v xml:space="preserve"> </v>
      </c>
      <c r="K284" s="100" t="str">
        <f>IFERROR(VLOOKUP(Tablo516[[#This Row],[BOYA KODU]],Tablo14[#All],4,0)," ")</f>
        <v xml:space="preserve"> </v>
      </c>
      <c r="L284" s="100" t="str">
        <f>IFERROR(VLOOKUP(Tablo516[[#This Row],[BOYA KODU]],Tablo14[#All],6,0)," ")</f>
        <v xml:space="preserve"> </v>
      </c>
      <c r="M284" s="100" t="str">
        <f t="shared" si="28"/>
        <v xml:space="preserve"> </v>
      </c>
      <c r="N284" s="100" t="str">
        <f>IFERROR(VLOOKUP(Tablo516[[#This Row],[ÜRÜN KODU]],YMKODLARI!$A$1:$K$383,8,0)," ")</f>
        <v xml:space="preserve"> </v>
      </c>
      <c r="O284" s="100" t="str">
        <f>IFERROR(VLOOKUP(Tablo516[[#This Row],[HAMMADDE KODU]],Tablo1[#All],3,0)," ")</f>
        <v xml:space="preserve"> </v>
      </c>
      <c r="P284" s="100" t="str">
        <f>IFERROR(VLOOKUP(Tablo516[[#This Row],[HAMMADDE KODU]],Tablo1[#All],4,0)," ")</f>
        <v xml:space="preserve"> </v>
      </c>
      <c r="Q284" s="100" t="str">
        <f>IFERROR(VLOOKUP(Tablo516[[#This Row],[ÜRÜN KODU]],YMKODLARI!$A$1:$K$383,5,0)," ")</f>
        <v xml:space="preserve"> </v>
      </c>
      <c r="R284" s="100" t="str">
        <f>IFERROR(VLOOKUP(Tablo516[[#This Row],[ÜRÜN KODU]],YMKODLARI!$A$1:$K$383,6,0)," ")</f>
        <v xml:space="preserve"> </v>
      </c>
      <c r="S284" s="100" t="str">
        <f>IFERROR(Tablo516[[#This Row],[YOLLUK HARİÇ BASKI GRAMI]]/Tablo516[[#This Row],[KALIP GÖZ ADEDİ]]," ")</f>
        <v xml:space="preserve"> </v>
      </c>
      <c r="T284" s="100" t="str">
        <f t="shared" si="30"/>
        <v xml:space="preserve"> </v>
      </c>
      <c r="U284" s="100"/>
      <c r="V284" s="100" t="str">
        <f t="shared" si="29"/>
        <v xml:space="preserve"> </v>
      </c>
      <c r="W284" s="101">
        <f t="shared" si="31"/>
        <v>24</v>
      </c>
      <c r="X284" s="102">
        <f t="shared" si="32"/>
        <v>0</v>
      </c>
      <c r="Y284" s="100" t="str">
        <f t="shared" si="33"/>
        <v xml:space="preserve"> </v>
      </c>
      <c r="Z284" s="100" t="str">
        <f t="shared" si="34"/>
        <v xml:space="preserve"> </v>
      </c>
    </row>
    <row r="285" spans="1:26">
      <c r="A285" s="100"/>
      <c r="B285" s="108" t="str">
        <f>IFERROR(VLOOKUP(Tablo516[[#This Row],[ÜRÜN KODU]],YMKODLARI!$A$1:$K$383,2,0)," ")</f>
        <v xml:space="preserve"> </v>
      </c>
      <c r="C285" s="99"/>
      <c r="D285" s="100"/>
      <c r="E285" s="101"/>
      <c r="F285" s="101"/>
      <c r="G285" s="100" t="str">
        <f>IFERROR(VLOOKUP(Tablo516[[#This Row],[ÜRÜN KODU]],YMKODLARI!$A$1:$K$383,3,0)," ")</f>
        <v xml:space="preserve"> </v>
      </c>
      <c r="H285" s="100" t="str">
        <f>IFERROR(VLOOKUP(Tablo516[[#This Row],[ÜRÜN KODU]],YMKODLARI!$A$1:$K$383,4,0)," ")</f>
        <v xml:space="preserve"> </v>
      </c>
      <c r="I285" s="100"/>
      <c r="J285" s="100" t="str">
        <f>IFERROR(VLOOKUP(Tablo516[[#This Row],[ÜRÜN KODU]],YMKODLARI!$A$1:$K$383,9,0)," ")</f>
        <v xml:space="preserve"> </v>
      </c>
      <c r="K285" s="100" t="str">
        <f>IFERROR(VLOOKUP(Tablo516[[#This Row],[BOYA KODU]],Tablo14[#All],4,0)," ")</f>
        <v xml:space="preserve"> </v>
      </c>
      <c r="L285" s="100" t="str">
        <f>IFERROR(VLOOKUP(Tablo516[[#This Row],[BOYA KODU]],Tablo14[#All],6,0)," ")</f>
        <v xml:space="preserve"> </v>
      </c>
      <c r="M285" s="100" t="str">
        <f t="shared" si="28"/>
        <v xml:space="preserve"> </v>
      </c>
      <c r="N285" s="100" t="str">
        <f>IFERROR(VLOOKUP(Tablo516[[#This Row],[ÜRÜN KODU]],YMKODLARI!$A$1:$K$383,8,0)," ")</f>
        <v xml:space="preserve"> </v>
      </c>
      <c r="O285" s="100" t="str">
        <f>IFERROR(VLOOKUP(Tablo516[[#This Row],[HAMMADDE KODU]],Tablo1[#All],3,0)," ")</f>
        <v xml:space="preserve"> </v>
      </c>
      <c r="P285" s="100" t="str">
        <f>IFERROR(VLOOKUP(Tablo516[[#This Row],[HAMMADDE KODU]],Tablo1[#All],4,0)," ")</f>
        <v xml:space="preserve"> </v>
      </c>
      <c r="Q285" s="100" t="str">
        <f>IFERROR(VLOOKUP(Tablo516[[#This Row],[ÜRÜN KODU]],YMKODLARI!$A$1:$K$383,5,0)," ")</f>
        <v xml:space="preserve"> </v>
      </c>
      <c r="R285" s="100" t="str">
        <f>IFERROR(VLOOKUP(Tablo516[[#This Row],[ÜRÜN KODU]],YMKODLARI!$A$1:$K$383,6,0)," ")</f>
        <v xml:space="preserve"> </v>
      </c>
      <c r="S285" s="100" t="str">
        <f>IFERROR(Tablo516[[#This Row],[YOLLUK HARİÇ BASKI GRAMI]]/Tablo516[[#This Row],[KALIP GÖZ ADEDİ]]," ")</f>
        <v xml:space="preserve"> </v>
      </c>
      <c r="T285" s="100" t="str">
        <f t="shared" si="30"/>
        <v xml:space="preserve"> </v>
      </c>
      <c r="U285" s="100"/>
      <c r="V285" s="100" t="str">
        <f t="shared" si="29"/>
        <v xml:space="preserve"> </v>
      </c>
      <c r="W285" s="101">
        <f t="shared" si="31"/>
        <v>24</v>
      </c>
      <c r="X285" s="102">
        <f t="shared" si="32"/>
        <v>0</v>
      </c>
      <c r="Y285" s="100" t="str">
        <f t="shared" si="33"/>
        <v xml:space="preserve"> </v>
      </c>
      <c r="Z285" s="100" t="str">
        <f t="shared" si="34"/>
        <v xml:space="preserve"> </v>
      </c>
    </row>
    <row r="286" spans="1:26">
      <c r="A286" s="100"/>
      <c r="B286" s="108" t="str">
        <f>IFERROR(VLOOKUP(Tablo516[[#This Row],[ÜRÜN KODU]],YMKODLARI!$A$1:$K$383,2,0)," ")</f>
        <v xml:space="preserve"> </v>
      </c>
      <c r="C286" s="99"/>
      <c r="D286" s="100"/>
      <c r="E286" s="101"/>
      <c r="F286" s="101"/>
      <c r="G286" s="100" t="str">
        <f>IFERROR(VLOOKUP(Tablo516[[#This Row],[ÜRÜN KODU]],YMKODLARI!$A$1:$K$383,3,0)," ")</f>
        <v xml:space="preserve"> </v>
      </c>
      <c r="H286" s="100" t="str">
        <f>IFERROR(VLOOKUP(Tablo516[[#This Row],[ÜRÜN KODU]],YMKODLARI!$A$1:$K$383,4,0)," ")</f>
        <v xml:space="preserve"> </v>
      </c>
      <c r="I286" s="100"/>
      <c r="J286" s="100" t="str">
        <f>IFERROR(VLOOKUP(Tablo516[[#This Row],[ÜRÜN KODU]],YMKODLARI!$A$1:$K$383,9,0)," ")</f>
        <v xml:space="preserve"> </v>
      </c>
      <c r="K286" s="100" t="str">
        <f>IFERROR(VLOOKUP(Tablo516[[#This Row],[BOYA KODU]],Tablo14[#All],4,0)," ")</f>
        <v xml:space="preserve"> </v>
      </c>
      <c r="L286" s="100" t="str">
        <f>IFERROR(VLOOKUP(Tablo516[[#This Row],[BOYA KODU]],Tablo14[#All],6,0)," ")</f>
        <v xml:space="preserve"> </v>
      </c>
      <c r="M286" s="100" t="str">
        <f t="shared" si="28"/>
        <v xml:space="preserve"> </v>
      </c>
      <c r="N286" s="100" t="str">
        <f>IFERROR(VLOOKUP(Tablo516[[#This Row],[ÜRÜN KODU]],YMKODLARI!$A$1:$K$383,8,0)," ")</f>
        <v xml:space="preserve"> </v>
      </c>
      <c r="O286" s="100" t="str">
        <f>IFERROR(VLOOKUP(Tablo516[[#This Row],[HAMMADDE KODU]],Tablo1[#All],3,0)," ")</f>
        <v xml:space="preserve"> </v>
      </c>
      <c r="P286" s="100" t="str">
        <f>IFERROR(VLOOKUP(Tablo516[[#This Row],[HAMMADDE KODU]],Tablo1[#All],4,0)," ")</f>
        <v xml:space="preserve"> </v>
      </c>
      <c r="Q286" s="100" t="str">
        <f>IFERROR(VLOOKUP(Tablo516[[#This Row],[ÜRÜN KODU]],YMKODLARI!$A$1:$K$383,5,0)," ")</f>
        <v xml:space="preserve"> </v>
      </c>
      <c r="R286" s="100" t="str">
        <f>IFERROR(VLOOKUP(Tablo516[[#This Row],[ÜRÜN KODU]],YMKODLARI!$A$1:$K$383,6,0)," ")</f>
        <v xml:space="preserve"> </v>
      </c>
      <c r="S286" s="100" t="str">
        <f>IFERROR(Tablo516[[#This Row],[YOLLUK HARİÇ BASKI GRAMI]]/Tablo516[[#This Row],[KALIP GÖZ ADEDİ]]," ")</f>
        <v xml:space="preserve"> </v>
      </c>
      <c r="T286" s="100" t="str">
        <f t="shared" si="30"/>
        <v xml:space="preserve"> </v>
      </c>
      <c r="U286" s="100"/>
      <c r="V286" s="100" t="str">
        <f t="shared" si="29"/>
        <v xml:space="preserve"> </v>
      </c>
      <c r="W286" s="101">
        <f t="shared" si="31"/>
        <v>24</v>
      </c>
      <c r="X286" s="102">
        <f t="shared" si="32"/>
        <v>0</v>
      </c>
      <c r="Y286" s="100" t="str">
        <f t="shared" si="33"/>
        <v xml:space="preserve"> </v>
      </c>
      <c r="Z286" s="100" t="str">
        <f t="shared" si="34"/>
        <v xml:space="preserve"> </v>
      </c>
    </row>
    <row r="287" spans="1:26">
      <c r="A287" s="100"/>
      <c r="B287" s="108" t="str">
        <f>IFERROR(VLOOKUP(Tablo516[[#This Row],[ÜRÜN KODU]],YMKODLARI!$A$1:$K$383,2,0)," ")</f>
        <v xml:space="preserve"> </v>
      </c>
      <c r="C287" s="99"/>
      <c r="D287" s="100"/>
      <c r="E287" s="101"/>
      <c r="F287" s="101"/>
      <c r="G287" s="100" t="str">
        <f>IFERROR(VLOOKUP(Tablo516[[#This Row],[ÜRÜN KODU]],YMKODLARI!$A$1:$K$383,3,0)," ")</f>
        <v xml:space="preserve"> </v>
      </c>
      <c r="H287" s="100" t="str">
        <f>IFERROR(VLOOKUP(Tablo516[[#This Row],[ÜRÜN KODU]],YMKODLARI!$A$1:$K$383,4,0)," ")</f>
        <v xml:space="preserve"> </v>
      </c>
      <c r="I287" s="100"/>
      <c r="J287" s="100" t="str">
        <f>IFERROR(VLOOKUP(Tablo516[[#This Row],[ÜRÜN KODU]],YMKODLARI!$A$1:$K$383,9,0)," ")</f>
        <v xml:space="preserve"> </v>
      </c>
      <c r="K287" s="100" t="str">
        <f>IFERROR(VLOOKUP(Tablo516[[#This Row],[BOYA KODU]],Tablo14[#All],4,0)," ")</f>
        <v xml:space="preserve"> </v>
      </c>
      <c r="L287" s="100" t="str">
        <f>IFERROR(VLOOKUP(Tablo516[[#This Row],[BOYA KODU]],Tablo14[#All],6,0)," ")</f>
        <v xml:space="preserve"> </v>
      </c>
      <c r="M287" s="100" t="str">
        <f t="shared" si="28"/>
        <v xml:space="preserve"> </v>
      </c>
      <c r="N287" s="100" t="str">
        <f>IFERROR(VLOOKUP(Tablo516[[#This Row],[ÜRÜN KODU]],YMKODLARI!$A$1:$K$383,8,0)," ")</f>
        <v xml:space="preserve"> </v>
      </c>
      <c r="O287" s="100" t="str">
        <f>IFERROR(VLOOKUP(Tablo516[[#This Row],[HAMMADDE KODU]],Tablo1[#All],3,0)," ")</f>
        <v xml:space="preserve"> </v>
      </c>
      <c r="P287" s="100" t="str">
        <f>IFERROR(VLOOKUP(Tablo516[[#This Row],[HAMMADDE KODU]],Tablo1[#All],4,0)," ")</f>
        <v xml:space="preserve"> </v>
      </c>
      <c r="Q287" s="100" t="str">
        <f>IFERROR(VLOOKUP(Tablo516[[#This Row],[ÜRÜN KODU]],YMKODLARI!$A$1:$K$383,5,0)," ")</f>
        <v xml:space="preserve"> </v>
      </c>
      <c r="R287" s="100" t="str">
        <f>IFERROR(VLOOKUP(Tablo516[[#This Row],[ÜRÜN KODU]],YMKODLARI!$A$1:$K$383,6,0)," ")</f>
        <v xml:space="preserve"> </v>
      </c>
      <c r="S287" s="100" t="str">
        <f>IFERROR(Tablo516[[#This Row],[YOLLUK HARİÇ BASKI GRAMI]]/Tablo516[[#This Row],[KALIP GÖZ ADEDİ]]," ")</f>
        <v xml:space="preserve"> </v>
      </c>
      <c r="T287" s="100" t="str">
        <f t="shared" si="30"/>
        <v xml:space="preserve"> </v>
      </c>
      <c r="U287" s="100"/>
      <c r="V287" s="100" t="str">
        <f t="shared" si="29"/>
        <v xml:space="preserve"> </v>
      </c>
      <c r="W287" s="101">
        <f t="shared" si="31"/>
        <v>24</v>
      </c>
      <c r="X287" s="102">
        <f t="shared" si="32"/>
        <v>0</v>
      </c>
      <c r="Y287" s="100" t="str">
        <f t="shared" si="33"/>
        <v xml:space="preserve"> </v>
      </c>
      <c r="Z287" s="100" t="str">
        <f t="shared" si="34"/>
        <v xml:space="preserve"> </v>
      </c>
    </row>
    <row r="288" spans="1:26">
      <c r="A288" s="100"/>
      <c r="B288" s="108" t="str">
        <f>IFERROR(VLOOKUP(Tablo516[[#This Row],[ÜRÜN KODU]],YMKODLARI!$A$1:$K$383,2,0)," ")</f>
        <v xml:space="preserve"> </v>
      </c>
      <c r="C288" s="99"/>
      <c r="D288" s="100"/>
      <c r="E288" s="101"/>
      <c r="F288" s="101"/>
      <c r="G288" s="100" t="str">
        <f>IFERROR(VLOOKUP(Tablo516[[#This Row],[ÜRÜN KODU]],YMKODLARI!$A$1:$K$383,3,0)," ")</f>
        <v xml:space="preserve"> </v>
      </c>
      <c r="H288" s="100" t="str">
        <f>IFERROR(VLOOKUP(Tablo516[[#This Row],[ÜRÜN KODU]],YMKODLARI!$A$1:$K$383,4,0)," ")</f>
        <v xml:space="preserve"> </v>
      </c>
      <c r="I288" s="100"/>
      <c r="J288" s="100" t="str">
        <f>IFERROR(VLOOKUP(Tablo516[[#This Row],[ÜRÜN KODU]],YMKODLARI!$A$1:$K$383,9,0)," ")</f>
        <v xml:space="preserve"> </v>
      </c>
      <c r="K288" s="100" t="str">
        <f>IFERROR(VLOOKUP(Tablo516[[#This Row],[BOYA KODU]],Tablo14[#All],4,0)," ")</f>
        <v xml:space="preserve"> </v>
      </c>
      <c r="L288" s="100" t="str">
        <f>IFERROR(VLOOKUP(Tablo516[[#This Row],[BOYA KODU]],Tablo14[#All],6,0)," ")</f>
        <v xml:space="preserve"> </v>
      </c>
      <c r="M288" s="100" t="str">
        <f t="shared" si="28"/>
        <v xml:space="preserve"> </v>
      </c>
      <c r="N288" s="100" t="str">
        <f>IFERROR(VLOOKUP(Tablo516[[#This Row],[ÜRÜN KODU]],YMKODLARI!$A$1:$K$383,8,0)," ")</f>
        <v xml:space="preserve"> </v>
      </c>
      <c r="O288" s="100" t="str">
        <f>IFERROR(VLOOKUP(Tablo516[[#This Row],[HAMMADDE KODU]],Tablo1[#All],3,0)," ")</f>
        <v xml:space="preserve"> </v>
      </c>
      <c r="P288" s="100" t="str">
        <f>IFERROR(VLOOKUP(Tablo516[[#This Row],[HAMMADDE KODU]],Tablo1[#All],4,0)," ")</f>
        <v xml:space="preserve"> </v>
      </c>
      <c r="Q288" s="100" t="str">
        <f>IFERROR(VLOOKUP(Tablo516[[#This Row],[ÜRÜN KODU]],YMKODLARI!$A$1:$K$383,5,0)," ")</f>
        <v xml:space="preserve"> </v>
      </c>
      <c r="R288" s="100" t="str">
        <f>IFERROR(VLOOKUP(Tablo516[[#This Row],[ÜRÜN KODU]],YMKODLARI!$A$1:$K$383,6,0)," ")</f>
        <v xml:space="preserve"> </v>
      </c>
      <c r="S288" s="100" t="str">
        <f>IFERROR(Tablo516[[#This Row],[YOLLUK HARİÇ BASKI GRAMI]]/Tablo516[[#This Row],[KALIP GÖZ ADEDİ]]," ")</f>
        <v xml:space="preserve"> </v>
      </c>
      <c r="T288" s="100" t="str">
        <f t="shared" si="30"/>
        <v xml:space="preserve"> </v>
      </c>
      <c r="U288" s="100"/>
      <c r="V288" s="100" t="str">
        <f t="shared" si="29"/>
        <v xml:space="preserve"> </v>
      </c>
      <c r="W288" s="101">
        <f t="shared" si="31"/>
        <v>24</v>
      </c>
      <c r="X288" s="102">
        <f t="shared" si="32"/>
        <v>0</v>
      </c>
      <c r="Y288" s="100" t="str">
        <f t="shared" si="33"/>
        <v xml:space="preserve"> </v>
      </c>
      <c r="Z288" s="100" t="str">
        <f t="shared" si="34"/>
        <v xml:space="preserve"> </v>
      </c>
    </row>
    <row r="289" spans="1:26">
      <c r="A289" s="100"/>
      <c r="B289" s="108" t="str">
        <f>IFERROR(VLOOKUP(Tablo516[[#This Row],[ÜRÜN KODU]],YMKODLARI!$A$1:$K$383,2,0)," ")</f>
        <v xml:space="preserve"> </v>
      </c>
      <c r="C289" s="99"/>
      <c r="D289" s="100"/>
      <c r="E289" s="101"/>
      <c r="F289" s="101"/>
      <c r="G289" s="100" t="str">
        <f>IFERROR(VLOOKUP(Tablo516[[#This Row],[ÜRÜN KODU]],YMKODLARI!$A$1:$K$383,3,0)," ")</f>
        <v xml:space="preserve"> </v>
      </c>
      <c r="H289" s="100" t="str">
        <f>IFERROR(VLOOKUP(Tablo516[[#This Row],[ÜRÜN KODU]],YMKODLARI!$A$1:$K$383,4,0)," ")</f>
        <v xml:space="preserve"> </v>
      </c>
      <c r="I289" s="100"/>
      <c r="J289" s="100" t="str">
        <f>IFERROR(VLOOKUP(Tablo516[[#This Row],[ÜRÜN KODU]],YMKODLARI!$A$1:$K$383,9,0)," ")</f>
        <v xml:space="preserve"> </v>
      </c>
      <c r="K289" s="100" t="str">
        <f>IFERROR(VLOOKUP(Tablo516[[#This Row],[BOYA KODU]],Tablo14[#All],4,0)," ")</f>
        <v xml:space="preserve"> </v>
      </c>
      <c r="L289" s="100" t="str">
        <f>IFERROR(VLOOKUP(Tablo516[[#This Row],[BOYA KODU]],Tablo14[#All],6,0)," ")</f>
        <v xml:space="preserve"> </v>
      </c>
      <c r="M289" s="100" t="str">
        <f t="shared" si="28"/>
        <v xml:space="preserve"> </v>
      </c>
      <c r="N289" s="100" t="str">
        <f>IFERROR(VLOOKUP(Tablo516[[#This Row],[ÜRÜN KODU]],YMKODLARI!$A$1:$K$383,8,0)," ")</f>
        <v xml:space="preserve"> </v>
      </c>
      <c r="O289" s="100" t="str">
        <f>IFERROR(VLOOKUP(Tablo516[[#This Row],[HAMMADDE KODU]],Tablo1[#All],3,0)," ")</f>
        <v xml:space="preserve"> </v>
      </c>
      <c r="P289" s="100" t="str">
        <f>IFERROR(VLOOKUP(Tablo516[[#This Row],[HAMMADDE KODU]],Tablo1[#All],4,0)," ")</f>
        <v xml:space="preserve"> </v>
      </c>
      <c r="Q289" s="100" t="str">
        <f>IFERROR(VLOOKUP(Tablo516[[#This Row],[ÜRÜN KODU]],YMKODLARI!$A$1:$K$383,5,0)," ")</f>
        <v xml:space="preserve"> </v>
      </c>
      <c r="R289" s="100" t="str">
        <f>IFERROR(VLOOKUP(Tablo516[[#This Row],[ÜRÜN KODU]],YMKODLARI!$A$1:$K$383,6,0)," ")</f>
        <v xml:space="preserve"> </v>
      </c>
      <c r="S289" s="100" t="str">
        <f>IFERROR(Tablo516[[#This Row],[YOLLUK HARİÇ BASKI GRAMI]]/Tablo516[[#This Row],[KALIP GÖZ ADEDİ]]," ")</f>
        <v xml:space="preserve"> </v>
      </c>
      <c r="T289" s="100" t="str">
        <f t="shared" si="30"/>
        <v xml:space="preserve"> </v>
      </c>
      <c r="U289" s="100"/>
      <c r="V289" s="100" t="str">
        <f t="shared" si="29"/>
        <v xml:space="preserve"> </v>
      </c>
      <c r="W289" s="101">
        <f t="shared" si="31"/>
        <v>24</v>
      </c>
      <c r="X289" s="102">
        <f t="shared" si="32"/>
        <v>0</v>
      </c>
      <c r="Y289" s="100" t="str">
        <f t="shared" si="33"/>
        <v xml:space="preserve"> </v>
      </c>
      <c r="Z289" s="100" t="str">
        <f t="shared" si="34"/>
        <v xml:space="preserve"> </v>
      </c>
    </row>
    <row r="290" spans="1:26">
      <c r="A290" s="100"/>
      <c r="B290" s="108" t="str">
        <f>IFERROR(VLOOKUP(Tablo516[[#This Row],[ÜRÜN KODU]],YMKODLARI!$A$1:$K$383,2,0)," ")</f>
        <v xml:space="preserve"> </v>
      </c>
      <c r="C290" s="99"/>
      <c r="D290" s="100"/>
      <c r="E290" s="101"/>
      <c r="F290" s="101"/>
      <c r="G290" s="100" t="str">
        <f>IFERROR(VLOOKUP(Tablo516[[#This Row],[ÜRÜN KODU]],YMKODLARI!$A$1:$K$383,3,0)," ")</f>
        <v xml:space="preserve"> </v>
      </c>
      <c r="H290" s="100" t="str">
        <f>IFERROR(VLOOKUP(Tablo516[[#This Row],[ÜRÜN KODU]],YMKODLARI!$A$1:$K$383,4,0)," ")</f>
        <v xml:space="preserve"> </v>
      </c>
      <c r="I290" s="100"/>
      <c r="J290" s="100" t="str">
        <f>IFERROR(VLOOKUP(Tablo516[[#This Row],[ÜRÜN KODU]],YMKODLARI!$A$1:$K$383,9,0)," ")</f>
        <v xml:space="preserve"> </v>
      </c>
      <c r="K290" s="100" t="str">
        <f>IFERROR(VLOOKUP(Tablo516[[#This Row],[BOYA KODU]],Tablo14[#All],4,0)," ")</f>
        <v xml:space="preserve"> </v>
      </c>
      <c r="L290" s="100" t="str">
        <f>IFERROR(VLOOKUP(Tablo516[[#This Row],[BOYA KODU]],Tablo14[#All],6,0)," ")</f>
        <v xml:space="preserve"> </v>
      </c>
      <c r="M290" s="100" t="str">
        <f t="shared" si="28"/>
        <v xml:space="preserve"> </v>
      </c>
      <c r="N290" s="100" t="str">
        <f>IFERROR(VLOOKUP(Tablo516[[#This Row],[ÜRÜN KODU]],YMKODLARI!$A$1:$K$383,8,0)," ")</f>
        <v xml:space="preserve"> </v>
      </c>
      <c r="O290" s="100" t="str">
        <f>IFERROR(VLOOKUP(Tablo516[[#This Row],[HAMMADDE KODU]],Tablo1[#All],3,0)," ")</f>
        <v xml:space="preserve"> </v>
      </c>
      <c r="P290" s="100" t="str">
        <f>IFERROR(VLOOKUP(Tablo516[[#This Row],[HAMMADDE KODU]],Tablo1[#All],4,0)," ")</f>
        <v xml:space="preserve"> </v>
      </c>
      <c r="Q290" s="100" t="str">
        <f>IFERROR(VLOOKUP(Tablo516[[#This Row],[ÜRÜN KODU]],YMKODLARI!$A$1:$K$383,5,0)," ")</f>
        <v xml:space="preserve"> </v>
      </c>
      <c r="R290" s="100" t="str">
        <f>IFERROR(VLOOKUP(Tablo516[[#This Row],[ÜRÜN KODU]],YMKODLARI!$A$1:$K$383,6,0)," ")</f>
        <v xml:space="preserve"> </v>
      </c>
      <c r="S290" s="100" t="str">
        <f>IFERROR(Tablo516[[#This Row],[YOLLUK HARİÇ BASKI GRAMI]]/Tablo516[[#This Row],[KALIP GÖZ ADEDİ]]," ")</f>
        <v xml:space="preserve"> </v>
      </c>
      <c r="T290" s="100" t="str">
        <f t="shared" si="30"/>
        <v xml:space="preserve"> </v>
      </c>
      <c r="U290" s="100"/>
      <c r="V290" s="100" t="str">
        <f t="shared" si="29"/>
        <v xml:space="preserve"> </v>
      </c>
      <c r="W290" s="101">
        <f t="shared" si="31"/>
        <v>24</v>
      </c>
      <c r="X290" s="102">
        <f t="shared" si="32"/>
        <v>0</v>
      </c>
      <c r="Y290" s="100" t="str">
        <f t="shared" si="33"/>
        <v xml:space="preserve"> </v>
      </c>
      <c r="Z290" s="100" t="str">
        <f t="shared" si="34"/>
        <v xml:space="preserve"> </v>
      </c>
    </row>
    <row r="291" spans="1:26">
      <c r="A291" s="100"/>
      <c r="B291" s="108" t="str">
        <f>IFERROR(VLOOKUP(Tablo516[[#This Row],[ÜRÜN KODU]],YMKODLARI!$A$1:$K$383,2,0)," ")</f>
        <v xml:space="preserve"> </v>
      </c>
      <c r="C291" s="99"/>
      <c r="D291" s="100"/>
      <c r="E291" s="101"/>
      <c r="F291" s="101"/>
      <c r="G291" s="100" t="str">
        <f>IFERROR(VLOOKUP(Tablo516[[#This Row],[ÜRÜN KODU]],YMKODLARI!$A$1:$K$383,3,0)," ")</f>
        <v xml:space="preserve"> </v>
      </c>
      <c r="H291" s="100" t="str">
        <f>IFERROR(VLOOKUP(Tablo516[[#This Row],[ÜRÜN KODU]],YMKODLARI!$A$1:$K$383,4,0)," ")</f>
        <v xml:space="preserve"> </v>
      </c>
      <c r="I291" s="100"/>
      <c r="J291" s="100" t="str">
        <f>IFERROR(VLOOKUP(Tablo516[[#This Row],[ÜRÜN KODU]],YMKODLARI!$A$1:$K$383,9,0)," ")</f>
        <v xml:space="preserve"> </v>
      </c>
      <c r="K291" s="100" t="str">
        <f>IFERROR(VLOOKUP(Tablo516[[#This Row],[BOYA KODU]],Tablo14[#All],4,0)," ")</f>
        <v xml:space="preserve"> </v>
      </c>
      <c r="L291" s="100" t="str">
        <f>IFERROR(VLOOKUP(Tablo516[[#This Row],[BOYA KODU]],Tablo14[#All],6,0)," ")</f>
        <v xml:space="preserve"> </v>
      </c>
      <c r="M291" s="100" t="str">
        <f t="shared" si="28"/>
        <v xml:space="preserve"> </v>
      </c>
      <c r="N291" s="100" t="str">
        <f>IFERROR(VLOOKUP(Tablo516[[#This Row],[ÜRÜN KODU]],YMKODLARI!$A$1:$K$383,8,0)," ")</f>
        <v xml:space="preserve"> </v>
      </c>
      <c r="O291" s="100" t="str">
        <f>IFERROR(VLOOKUP(Tablo516[[#This Row],[HAMMADDE KODU]],Tablo1[#All],3,0)," ")</f>
        <v xml:space="preserve"> </v>
      </c>
      <c r="P291" s="100" t="str">
        <f>IFERROR(VLOOKUP(Tablo516[[#This Row],[HAMMADDE KODU]],Tablo1[#All],4,0)," ")</f>
        <v xml:space="preserve"> </v>
      </c>
      <c r="Q291" s="100" t="str">
        <f>IFERROR(VLOOKUP(Tablo516[[#This Row],[ÜRÜN KODU]],YMKODLARI!$A$1:$K$383,5,0)," ")</f>
        <v xml:space="preserve"> </v>
      </c>
      <c r="R291" s="100" t="str">
        <f>IFERROR(VLOOKUP(Tablo516[[#This Row],[ÜRÜN KODU]],YMKODLARI!$A$1:$K$383,6,0)," ")</f>
        <v xml:space="preserve"> </v>
      </c>
      <c r="S291" s="100" t="str">
        <f>IFERROR(Tablo516[[#This Row],[YOLLUK HARİÇ BASKI GRAMI]]/Tablo516[[#This Row],[KALIP GÖZ ADEDİ]]," ")</f>
        <v xml:space="preserve"> </v>
      </c>
      <c r="T291" s="100" t="str">
        <f t="shared" si="30"/>
        <v xml:space="preserve"> </v>
      </c>
      <c r="U291" s="100"/>
      <c r="V291" s="100" t="str">
        <f t="shared" si="29"/>
        <v xml:space="preserve"> </v>
      </c>
      <c r="W291" s="101">
        <f t="shared" si="31"/>
        <v>24</v>
      </c>
      <c r="X291" s="102">
        <f t="shared" si="32"/>
        <v>0</v>
      </c>
      <c r="Y291" s="100" t="str">
        <f t="shared" si="33"/>
        <v xml:space="preserve"> </v>
      </c>
      <c r="Z291" s="100" t="str">
        <f t="shared" si="34"/>
        <v xml:space="preserve"> </v>
      </c>
    </row>
    <row r="292" spans="1:26">
      <c r="A292" s="100"/>
      <c r="B292" s="108" t="str">
        <f>IFERROR(VLOOKUP(Tablo516[[#This Row],[ÜRÜN KODU]],YMKODLARI!$A$1:$K$383,2,0)," ")</f>
        <v xml:space="preserve"> </v>
      </c>
      <c r="C292" s="99"/>
      <c r="D292" s="100"/>
      <c r="E292" s="101"/>
      <c r="F292" s="101"/>
      <c r="G292" s="100" t="str">
        <f>IFERROR(VLOOKUP(Tablo516[[#This Row],[ÜRÜN KODU]],YMKODLARI!$A$1:$K$383,3,0)," ")</f>
        <v xml:space="preserve"> </v>
      </c>
      <c r="H292" s="100" t="str">
        <f>IFERROR(VLOOKUP(Tablo516[[#This Row],[ÜRÜN KODU]],YMKODLARI!$A$1:$K$383,4,0)," ")</f>
        <v xml:space="preserve"> </v>
      </c>
      <c r="I292" s="100"/>
      <c r="J292" s="100" t="str">
        <f>IFERROR(VLOOKUP(Tablo516[[#This Row],[ÜRÜN KODU]],YMKODLARI!$A$1:$K$383,9,0)," ")</f>
        <v xml:space="preserve"> </v>
      </c>
      <c r="K292" s="100" t="str">
        <f>IFERROR(VLOOKUP(Tablo516[[#This Row],[BOYA KODU]],Tablo14[#All],4,0)," ")</f>
        <v xml:space="preserve"> </v>
      </c>
      <c r="L292" s="100" t="str">
        <f>IFERROR(VLOOKUP(Tablo516[[#This Row],[BOYA KODU]],Tablo14[#All],6,0)," ")</f>
        <v xml:space="preserve"> </v>
      </c>
      <c r="M292" s="100" t="str">
        <f t="shared" si="28"/>
        <v xml:space="preserve"> </v>
      </c>
      <c r="N292" s="100" t="str">
        <f>IFERROR(VLOOKUP(Tablo516[[#This Row],[ÜRÜN KODU]],YMKODLARI!$A$1:$K$383,8,0)," ")</f>
        <v xml:space="preserve"> </v>
      </c>
      <c r="O292" s="100" t="str">
        <f>IFERROR(VLOOKUP(Tablo516[[#This Row],[HAMMADDE KODU]],Tablo1[#All],3,0)," ")</f>
        <v xml:space="preserve"> </v>
      </c>
      <c r="P292" s="100" t="str">
        <f>IFERROR(VLOOKUP(Tablo516[[#This Row],[HAMMADDE KODU]],Tablo1[#All],4,0)," ")</f>
        <v xml:space="preserve"> </v>
      </c>
      <c r="Q292" s="100" t="str">
        <f>IFERROR(VLOOKUP(Tablo516[[#This Row],[ÜRÜN KODU]],YMKODLARI!$A$1:$K$383,5,0)," ")</f>
        <v xml:space="preserve"> </v>
      </c>
      <c r="R292" s="100" t="str">
        <f>IFERROR(VLOOKUP(Tablo516[[#This Row],[ÜRÜN KODU]],YMKODLARI!$A$1:$K$383,6,0)," ")</f>
        <v xml:space="preserve"> </v>
      </c>
      <c r="S292" s="100" t="str">
        <f>IFERROR(Tablo516[[#This Row],[YOLLUK HARİÇ BASKI GRAMI]]/Tablo516[[#This Row],[KALIP GÖZ ADEDİ]]," ")</f>
        <v xml:space="preserve"> </v>
      </c>
      <c r="T292" s="100" t="str">
        <f t="shared" si="30"/>
        <v xml:space="preserve"> </v>
      </c>
      <c r="U292" s="100"/>
      <c r="V292" s="100" t="str">
        <f t="shared" si="29"/>
        <v xml:space="preserve"> </v>
      </c>
      <c r="W292" s="101">
        <f t="shared" si="31"/>
        <v>24</v>
      </c>
      <c r="X292" s="102">
        <f t="shared" si="32"/>
        <v>0</v>
      </c>
      <c r="Y292" s="100" t="str">
        <f t="shared" si="33"/>
        <v xml:space="preserve"> </v>
      </c>
      <c r="Z292" s="100" t="str">
        <f t="shared" si="34"/>
        <v xml:space="preserve"> </v>
      </c>
    </row>
    <row r="293" spans="1:26">
      <c r="A293" s="100"/>
      <c r="B293" s="108" t="str">
        <f>IFERROR(VLOOKUP(Tablo516[[#This Row],[ÜRÜN KODU]],YMKODLARI!$A$1:$K$383,2,0)," ")</f>
        <v xml:space="preserve"> </v>
      </c>
      <c r="C293" s="99"/>
      <c r="D293" s="100"/>
      <c r="E293" s="101"/>
      <c r="F293" s="101"/>
      <c r="G293" s="100" t="str">
        <f>IFERROR(VLOOKUP(Tablo516[[#This Row],[ÜRÜN KODU]],YMKODLARI!$A$1:$K$383,3,0)," ")</f>
        <v xml:space="preserve"> </v>
      </c>
      <c r="H293" s="100" t="str">
        <f>IFERROR(VLOOKUP(Tablo516[[#This Row],[ÜRÜN KODU]],YMKODLARI!$A$1:$K$383,4,0)," ")</f>
        <v xml:space="preserve"> </v>
      </c>
      <c r="I293" s="100"/>
      <c r="J293" s="100" t="str">
        <f>IFERROR(VLOOKUP(Tablo516[[#This Row],[ÜRÜN KODU]],YMKODLARI!$A$1:$K$383,9,0)," ")</f>
        <v xml:space="preserve"> </v>
      </c>
      <c r="K293" s="100" t="str">
        <f>IFERROR(VLOOKUP(Tablo516[[#This Row],[BOYA KODU]],Tablo14[#All],4,0)," ")</f>
        <v xml:space="preserve"> </v>
      </c>
      <c r="L293" s="100" t="str">
        <f>IFERROR(VLOOKUP(Tablo516[[#This Row],[BOYA KODU]],Tablo14[#All],6,0)," ")</f>
        <v xml:space="preserve"> </v>
      </c>
      <c r="M293" s="100" t="str">
        <f t="shared" si="28"/>
        <v xml:space="preserve"> </v>
      </c>
      <c r="N293" s="100" t="str">
        <f>IFERROR(VLOOKUP(Tablo516[[#This Row],[ÜRÜN KODU]],YMKODLARI!$A$1:$K$383,8,0)," ")</f>
        <v xml:space="preserve"> </v>
      </c>
      <c r="O293" s="100" t="str">
        <f>IFERROR(VLOOKUP(Tablo516[[#This Row],[HAMMADDE KODU]],Tablo1[#All],3,0)," ")</f>
        <v xml:space="preserve"> </v>
      </c>
      <c r="P293" s="100" t="str">
        <f>IFERROR(VLOOKUP(Tablo516[[#This Row],[HAMMADDE KODU]],Tablo1[#All],4,0)," ")</f>
        <v xml:space="preserve"> </v>
      </c>
      <c r="Q293" s="100" t="str">
        <f>IFERROR(VLOOKUP(Tablo516[[#This Row],[ÜRÜN KODU]],YMKODLARI!$A$1:$K$383,5,0)," ")</f>
        <v xml:space="preserve"> </v>
      </c>
      <c r="R293" s="100" t="str">
        <f>IFERROR(VLOOKUP(Tablo516[[#This Row],[ÜRÜN KODU]],YMKODLARI!$A$1:$K$383,6,0)," ")</f>
        <v xml:space="preserve"> </v>
      </c>
      <c r="S293" s="100" t="str">
        <f>IFERROR(Tablo516[[#This Row],[YOLLUK HARİÇ BASKI GRAMI]]/Tablo516[[#This Row],[KALIP GÖZ ADEDİ]]," ")</f>
        <v xml:space="preserve"> </v>
      </c>
      <c r="T293" s="100" t="str">
        <f t="shared" si="30"/>
        <v xml:space="preserve"> </v>
      </c>
      <c r="U293" s="100"/>
      <c r="V293" s="100" t="str">
        <f t="shared" si="29"/>
        <v xml:space="preserve"> </v>
      </c>
      <c r="W293" s="101">
        <f t="shared" si="31"/>
        <v>24</v>
      </c>
      <c r="X293" s="102">
        <f t="shared" si="32"/>
        <v>0</v>
      </c>
      <c r="Y293" s="100" t="str">
        <f t="shared" si="33"/>
        <v xml:space="preserve"> </v>
      </c>
      <c r="Z293" s="100" t="str">
        <f t="shared" si="34"/>
        <v xml:space="preserve"> </v>
      </c>
    </row>
    <row r="294" spans="1:26">
      <c r="A294" s="100"/>
      <c r="B294" s="108" t="str">
        <f>IFERROR(VLOOKUP(Tablo516[[#This Row],[ÜRÜN KODU]],YMKODLARI!$A$1:$K$383,2,0)," ")</f>
        <v xml:space="preserve"> </v>
      </c>
      <c r="C294" s="99"/>
      <c r="D294" s="100"/>
      <c r="E294" s="101"/>
      <c r="F294" s="101"/>
      <c r="G294" s="100" t="str">
        <f>IFERROR(VLOOKUP(Tablo516[[#This Row],[ÜRÜN KODU]],YMKODLARI!$A$1:$K$383,3,0)," ")</f>
        <v xml:space="preserve"> </v>
      </c>
      <c r="H294" s="100" t="str">
        <f>IFERROR(VLOOKUP(Tablo516[[#This Row],[ÜRÜN KODU]],YMKODLARI!$A$1:$K$383,4,0)," ")</f>
        <v xml:space="preserve"> </v>
      </c>
      <c r="I294" s="100"/>
      <c r="J294" s="100" t="str">
        <f>IFERROR(VLOOKUP(Tablo516[[#This Row],[ÜRÜN KODU]],YMKODLARI!$A$1:$K$383,9,0)," ")</f>
        <v xml:space="preserve"> </v>
      </c>
      <c r="K294" s="100" t="str">
        <f>IFERROR(VLOOKUP(Tablo516[[#This Row],[BOYA KODU]],Tablo14[#All],4,0)," ")</f>
        <v xml:space="preserve"> </v>
      </c>
      <c r="L294" s="100" t="str">
        <f>IFERROR(VLOOKUP(Tablo516[[#This Row],[BOYA KODU]],Tablo14[#All],6,0)," ")</f>
        <v xml:space="preserve"> </v>
      </c>
      <c r="M294" s="100" t="str">
        <f t="shared" si="28"/>
        <v xml:space="preserve"> </v>
      </c>
      <c r="N294" s="100" t="str">
        <f>IFERROR(VLOOKUP(Tablo516[[#This Row],[ÜRÜN KODU]],YMKODLARI!$A$1:$K$383,8,0)," ")</f>
        <v xml:space="preserve"> </v>
      </c>
      <c r="O294" s="100" t="str">
        <f>IFERROR(VLOOKUP(Tablo516[[#This Row],[HAMMADDE KODU]],Tablo1[#All],3,0)," ")</f>
        <v xml:space="preserve"> </v>
      </c>
      <c r="P294" s="100" t="str">
        <f>IFERROR(VLOOKUP(Tablo516[[#This Row],[HAMMADDE KODU]],Tablo1[#All],4,0)," ")</f>
        <v xml:space="preserve"> </v>
      </c>
      <c r="Q294" s="100" t="str">
        <f>IFERROR(VLOOKUP(Tablo516[[#This Row],[ÜRÜN KODU]],YMKODLARI!$A$1:$K$383,5,0)," ")</f>
        <v xml:space="preserve"> </v>
      </c>
      <c r="R294" s="100" t="str">
        <f>IFERROR(VLOOKUP(Tablo516[[#This Row],[ÜRÜN KODU]],YMKODLARI!$A$1:$K$383,6,0)," ")</f>
        <v xml:space="preserve"> </v>
      </c>
      <c r="S294" s="100" t="str">
        <f>IFERROR(Tablo516[[#This Row],[YOLLUK HARİÇ BASKI GRAMI]]/Tablo516[[#This Row],[KALIP GÖZ ADEDİ]]," ")</f>
        <v xml:space="preserve"> </v>
      </c>
      <c r="T294" s="100" t="str">
        <f t="shared" si="30"/>
        <v xml:space="preserve"> </v>
      </c>
      <c r="U294" s="100"/>
      <c r="V294" s="100" t="str">
        <f t="shared" si="29"/>
        <v xml:space="preserve"> </v>
      </c>
      <c r="W294" s="101">
        <f t="shared" si="31"/>
        <v>24</v>
      </c>
      <c r="X294" s="102">
        <f t="shared" si="32"/>
        <v>0</v>
      </c>
      <c r="Y294" s="100" t="str">
        <f t="shared" si="33"/>
        <v xml:space="preserve"> </v>
      </c>
      <c r="Z294" s="100" t="str">
        <f t="shared" si="34"/>
        <v xml:space="preserve"> </v>
      </c>
    </row>
    <row r="295" spans="1:26">
      <c r="A295" s="100"/>
      <c r="B295" s="108" t="str">
        <f>IFERROR(VLOOKUP(Tablo516[[#This Row],[ÜRÜN KODU]],YMKODLARI!$A$1:$K$383,2,0)," ")</f>
        <v xml:space="preserve"> </v>
      </c>
      <c r="C295" s="99"/>
      <c r="D295" s="100"/>
      <c r="E295" s="101"/>
      <c r="F295" s="101"/>
      <c r="G295" s="100" t="str">
        <f>IFERROR(VLOOKUP(Tablo516[[#This Row],[ÜRÜN KODU]],YMKODLARI!$A$1:$K$383,3,0)," ")</f>
        <v xml:space="preserve"> </v>
      </c>
      <c r="H295" s="100" t="str">
        <f>IFERROR(VLOOKUP(Tablo516[[#This Row],[ÜRÜN KODU]],YMKODLARI!$A$1:$K$383,4,0)," ")</f>
        <v xml:space="preserve"> </v>
      </c>
      <c r="I295" s="100"/>
      <c r="J295" s="100" t="str">
        <f>IFERROR(VLOOKUP(Tablo516[[#This Row],[ÜRÜN KODU]],YMKODLARI!$A$1:$K$383,9,0)," ")</f>
        <v xml:space="preserve"> </v>
      </c>
      <c r="K295" s="100" t="str">
        <f>IFERROR(VLOOKUP(Tablo516[[#This Row],[BOYA KODU]],Tablo14[#All],4,0)," ")</f>
        <v xml:space="preserve"> </v>
      </c>
      <c r="L295" s="100" t="str">
        <f>IFERROR(VLOOKUP(Tablo516[[#This Row],[BOYA KODU]],Tablo14[#All],6,0)," ")</f>
        <v xml:space="preserve"> </v>
      </c>
      <c r="M295" s="100" t="str">
        <f t="shared" si="28"/>
        <v xml:space="preserve"> </v>
      </c>
      <c r="N295" s="100" t="str">
        <f>IFERROR(VLOOKUP(Tablo516[[#This Row],[ÜRÜN KODU]],YMKODLARI!$A$1:$K$383,8,0)," ")</f>
        <v xml:space="preserve"> </v>
      </c>
      <c r="O295" s="100" t="str">
        <f>IFERROR(VLOOKUP(Tablo516[[#This Row],[HAMMADDE KODU]],Tablo1[#All],3,0)," ")</f>
        <v xml:space="preserve"> </v>
      </c>
      <c r="P295" s="100" t="str">
        <f>IFERROR(VLOOKUP(Tablo516[[#This Row],[HAMMADDE KODU]],Tablo1[#All],4,0)," ")</f>
        <v xml:space="preserve"> </v>
      </c>
      <c r="Q295" s="100" t="str">
        <f>IFERROR(VLOOKUP(Tablo516[[#This Row],[ÜRÜN KODU]],YMKODLARI!$A$1:$K$383,5,0)," ")</f>
        <v xml:space="preserve"> </v>
      </c>
      <c r="R295" s="100" t="str">
        <f>IFERROR(VLOOKUP(Tablo516[[#This Row],[ÜRÜN KODU]],YMKODLARI!$A$1:$K$383,6,0)," ")</f>
        <v xml:space="preserve"> </v>
      </c>
      <c r="S295" s="100" t="str">
        <f>IFERROR(Tablo516[[#This Row],[YOLLUK HARİÇ BASKI GRAMI]]/Tablo516[[#This Row],[KALIP GÖZ ADEDİ]]," ")</f>
        <v xml:space="preserve"> </v>
      </c>
      <c r="T295" s="100" t="str">
        <f t="shared" si="30"/>
        <v xml:space="preserve"> </v>
      </c>
      <c r="U295" s="100"/>
      <c r="V295" s="100" t="str">
        <f t="shared" si="29"/>
        <v xml:space="preserve"> </v>
      </c>
      <c r="W295" s="101">
        <f t="shared" si="31"/>
        <v>24</v>
      </c>
      <c r="X295" s="102">
        <f t="shared" si="32"/>
        <v>0</v>
      </c>
      <c r="Y295" s="100" t="str">
        <f t="shared" si="33"/>
        <v xml:space="preserve"> </v>
      </c>
      <c r="Z295" s="100" t="str">
        <f t="shared" si="34"/>
        <v xml:space="preserve"> </v>
      </c>
    </row>
    <row r="296" spans="1:26">
      <c r="A296" s="100"/>
      <c r="B296" s="108" t="str">
        <f>IFERROR(VLOOKUP(Tablo516[[#This Row],[ÜRÜN KODU]],YMKODLARI!$A$1:$K$383,2,0)," ")</f>
        <v xml:space="preserve"> </v>
      </c>
      <c r="C296" s="99"/>
      <c r="D296" s="100"/>
      <c r="E296" s="101"/>
      <c r="F296" s="101"/>
      <c r="G296" s="100" t="str">
        <f>IFERROR(VLOOKUP(Tablo516[[#This Row],[ÜRÜN KODU]],YMKODLARI!$A$1:$K$383,3,0)," ")</f>
        <v xml:space="preserve"> </v>
      </c>
      <c r="H296" s="100" t="str">
        <f>IFERROR(VLOOKUP(Tablo516[[#This Row],[ÜRÜN KODU]],YMKODLARI!$A$1:$K$383,4,0)," ")</f>
        <v xml:space="preserve"> </v>
      </c>
      <c r="I296" s="100"/>
      <c r="J296" s="100" t="str">
        <f>IFERROR(VLOOKUP(Tablo516[[#This Row],[ÜRÜN KODU]],YMKODLARI!$A$1:$K$383,9,0)," ")</f>
        <v xml:space="preserve"> </v>
      </c>
      <c r="K296" s="100" t="str">
        <f>IFERROR(VLOOKUP(Tablo516[[#This Row],[BOYA KODU]],Tablo14[#All],4,0)," ")</f>
        <v xml:space="preserve"> </v>
      </c>
      <c r="L296" s="100" t="str">
        <f>IFERROR(VLOOKUP(Tablo516[[#This Row],[BOYA KODU]],Tablo14[#All],6,0)," ")</f>
        <v xml:space="preserve"> </v>
      </c>
      <c r="M296" s="100" t="str">
        <f t="shared" si="28"/>
        <v xml:space="preserve"> </v>
      </c>
      <c r="N296" s="100" t="str">
        <f>IFERROR(VLOOKUP(Tablo516[[#This Row],[ÜRÜN KODU]],YMKODLARI!$A$1:$K$383,8,0)," ")</f>
        <v xml:space="preserve"> </v>
      </c>
      <c r="O296" s="100" t="str">
        <f>IFERROR(VLOOKUP(Tablo516[[#This Row],[HAMMADDE KODU]],Tablo1[#All],3,0)," ")</f>
        <v xml:space="preserve"> </v>
      </c>
      <c r="P296" s="100" t="str">
        <f>IFERROR(VLOOKUP(Tablo516[[#This Row],[HAMMADDE KODU]],Tablo1[#All],4,0)," ")</f>
        <v xml:space="preserve"> </v>
      </c>
      <c r="Q296" s="100" t="str">
        <f>IFERROR(VLOOKUP(Tablo516[[#This Row],[ÜRÜN KODU]],YMKODLARI!$A$1:$K$383,5,0)," ")</f>
        <v xml:space="preserve"> </v>
      </c>
      <c r="R296" s="100" t="str">
        <f>IFERROR(VLOOKUP(Tablo516[[#This Row],[ÜRÜN KODU]],YMKODLARI!$A$1:$K$383,6,0)," ")</f>
        <v xml:space="preserve"> </v>
      </c>
      <c r="S296" s="100" t="str">
        <f>IFERROR(Tablo516[[#This Row],[YOLLUK HARİÇ BASKI GRAMI]]/Tablo516[[#This Row],[KALIP GÖZ ADEDİ]]," ")</f>
        <v xml:space="preserve"> </v>
      </c>
      <c r="T296" s="100" t="str">
        <f t="shared" si="30"/>
        <v xml:space="preserve"> </v>
      </c>
      <c r="U296" s="100"/>
      <c r="V296" s="100" t="str">
        <f t="shared" si="29"/>
        <v xml:space="preserve"> </v>
      </c>
      <c r="W296" s="101">
        <f t="shared" si="31"/>
        <v>24</v>
      </c>
      <c r="X296" s="102">
        <f t="shared" si="32"/>
        <v>0</v>
      </c>
      <c r="Y296" s="100" t="str">
        <f t="shared" si="33"/>
        <v xml:space="preserve"> </v>
      </c>
      <c r="Z296" s="100" t="str">
        <f t="shared" si="34"/>
        <v xml:space="preserve"> </v>
      </c>
    </row>
    <row r="297" spans="1:26">
      <c r="A297" s="100"/>
      <c r="B297" s="108" t="str">
        <f>IFERROR(VLOOKUP(Tablo516[[#This Row],[ÜRÜN KODU]],YMKODLARI!$A$1:$K$383,2,0)," ")</f>
        <v xml:space="preserve"> </v>
      </c>
      <c r="C297" s="99"/>
      <c r="D297" s="100"/>
      <c r="E297" s="101"/>
      <c r="F297" s="101"/>
      <c r="G297" s="100" t="str">
        <f>IFERROR(VLOOKUP(Tablo516[[#This Row],[ÜRÜN KODU]],YMKODLARI!$A$1:$K$383,3,0)," ")</f>
        <v xml:space="preserve"> </v>
      </c>
      <c r="H297" s="100" t="str">
        <f>IFERROR(VLOOKUP(Tablo516[[#This Row],[ÜRÜN KODU]],YMKODLARI!$A$1:$K$383,4,0)," ")</f>
        <v xml:space="preserve"> </v>
      </c>
      <c r="I297" s="100"/>
      <c r="J297" s="100" t="str">
        <f>IFERROR(VLOOKUP(Tablo516[[#This Row],[ÜRÜN KODU]],YMKODLARI!$A$1:$K$383,9,0)," ")</f>
        <v xml:space="preserve"> </v>
      </c>
      <c r="K297" s="100" t="str">
        <f>IFERROR(VLOOKUP(Tablo516[[#This Row],[BOYA KODU]],Tablo14[#All],4,0)," ")</f>
        <v xml:space="preserve"> </v>
      </c>
      <c r="L297" s="100" t="str">
        <f>IFERROR(VLOOKUP(Tablo516[[#This Row],[BOYA KODU]],Tablo14[#All],6,0)," ")</f>
        <v xml:space="preserve"> </v>
      </c>
      <c r="M297" s="100" t="str">
        <f t="shared" si="28"/>
        <v xml:space="preserve"> </v>
      </c>
      <c r="N297" s="100" t="str">
        <f>IFERROR(VLOOKUP(Tablo516[[#This Row],[ÜRÜN KODU]],YMKODLARI!$A$1:$K$383,8,0)," ")</f>
        <v xml:space="preserve"> </v>
      </c>
      <c r="O297" s="100" t="str">
        <f>IFERROR(VLOOKUP(Tablo516[[#This Row],[HAMMADDE KODU]],Tablo1[#All],3,0)," ")</f>
        <v xml:space="preserve"> </v>
      </c>
      <c r="P297" s="100" t="str">
        <f>IFERROR(VLOOKUP(Tablo516[[#This Row],[HAMMADDE KODU]],Tablo1[#All],4,0)," ")</f>
        <v xml:space="preserve"> </v>
      </c>
      <c r="Q297" s="100" t="str">
        <f>IFERROR(VLOOKUP(Tablo516[[#This Row],[ÜRÜN KODU]],YMKODLARI!$A$1:$K$383,5,0)," ")</f>
        <v xml:space="preserve"> </v>
      </c>
      <c r="R297" s="100" t="str">
        <f>IFERROR(VLOOKUP(Tablo516[[#This Row],[ÜRÜN KODU]],YMKODLARI!$A$1:$K$383,6,0)," ")</f>
        <v xml:space="preserve"> </v>
      </c>
      <c r="S297" s="100" t="str">
        <f>IFERROR(Tablo516[[#This Row],[YOLLUK HARİÇ BASKI GRAMI]]/Tablo516[[#This Row],[KALIP GÖZ ADEDİ]]," ")</f>
        <v xml:space="preserve"> </v>
      </c>
      <c r="T297" s="100" t="str">
        <f t="shared" si="30"/>
        <v xml:space="preserve"> </v>
      </c>
      <c r="U297" s="100"/>
      <c r="V297" s="100" t="str">
        <f t="shared" si="29"/>
        <v xml:space="preserve"> </v>
      </c>
      <c r="W297" s="101">
        <f t="shared" si="31"/>
        <v>24</v>
      </c>
      <c r="X297" s="102">
        <f t="shared" si="32"/>
        <v>0</v>
      </c>
      <c r="Y297" s="100" t="str">
        <f t="shared" si="33"/>
        <v xml:space="preserve"> </v>
      </c>
      <c r="Z297" s="100" t="str">
        <f t="shared" si="34"/>
        <v xml:space="preserve"> </v>
      </c>
    </row>
    <row r="298" spans="1:26">
      <c r="A298" s="100"/>
      <c r="B298" s="108" t="str">
        <f>IFERROR(VLOOKUP(Tablo516[[#This Row],[ÜRÜN KODU]],YMKODLARI!$A$1:$K$383,2,0)," ")</f>
        <v xml:space="preserve"> </v>
      </c>
      <c r="C298" s="99"/>
      <c r="D298" s="100"/>
      <c r="E298" s="101"/>
      <c r="F298" s="101"/>
      <c r="G298" s="100" t="str">
        <f>IFERROR(VLOOKUP(Tablo516[[#This Row],[ÜRÜN KODU]],YMKODLARI!$A$1:$K$383,3,0)," ")</f>
        <v xml:space="preserve"> </v>
      </c>
      <c r="H298" s="100" t="str">
        <f>IFERROR(VLOOKUP(Tablo516[[#This Row],[ÜRÜN KODU]],YMKODLARI!$A$1:$K$383,4,0)," ")</f>
        <v xml:space="preserve"> </v>
      </c>
      <c r="I298" s="100"/>
      <c r="J298" s="100" t="str">
        <f>IFERROR(VLOOKUP(Tablo516[[#This Row],[ÜRÜN KODU]],YMKODLARI!$A$1:$K$383,9,0)," ")</f>
        <v xml:space="preserve"> </v>
      </c>
      <c r="K298" s="100" t="str">
        <f>IFERROR(VLOOKUP(Tablo516[[#This Row],[BOYA KODU]],Tablo14[#All],4,0)," ")</f>
        <v xml:space="preserve"> </v>
      </c>
      <c r="L298" s="100" t="str">
        <f>IFERROR(VLOOKUP(Tablo516[[#This Row],[BOYA KODU]],Tablo14[#All],6,0)," ")</f>
        <v xml:space="preserve"> </v>
      </c>
      <c r="M298" s="100" t="str">
        <f t="shared" si="28"/>
        <v xml:space="preserve"> </v>
      </c>
      <c r="N298" s="100" t="str">
        <f>IFERROR(VLOOKUP(Tablo516[[#This Row],[ÜRÜN KODU]],YMKODLARI!$A$1:$K$383,8,0)," ")</f>
        <v xml:space="preserve"> </v>
      </c>
      <c r="O298" s="100" t="str">
        <f>IFERROR(VLOOKUP(Tablo516[[#This Row],[HAMMADDE KODU]],Tablo1[#All],3,0)," ")</f>
        <v xml:space="preserve"> </v>
      </c>
      <c r="P298" s="100" t="str">
        <f>IFERROR(VLOOKUP(Tablo516[[#This Row],[HAMMADDE KODU]],Tablo1[#All],4,0)," ")</f>
        <v xml:space="preserve"> </v>
      </c>
      <c r="Q298" s="100" t="str">
        <f>IFERROR(VLOOKUP(Tablo516[[#This Row],[ÜRÜN KODU]],YMKODLARI!$A$1:$K$383,5,0)," ")</f>
        <v xml:space="preserve"> </v>
      </c>
      <c r="R298" s="100" t="str">
        <f>IFERROR(VLOOKUP(Tablo516[[#This Row],[ÜRÜN KODU]],YMKODLARI!$A$1:$K$383,6,0)," ")</f>
        <v xml:space="preserve"> </v>
      </c>
      <c r="S298" s="100" t="str">
        <f>IFERROR(Tablo516[[#This Row],[YOLLUK HARİÇ BASKI GRAMI]]/Tablo516[[#This Row],[KALIP GÖZ ADEDİ]]," ")</f>
        <v xml:space="preserve"> </v>
      </c>
      <c r="T298" s="100" t="str">
        <f t="shared" si="30"/>
        <v xml:space="preserve"> </v>
      </c>
      <c r="U298" s="100"/>
      <c r="V298" s="100" t="str">
        <f t="shared" si="29"/>
        <v xml:space="preserve"> </v>
      </c>
      <c r="W298" s="101">
        <f t="shared" si="31"/>
        <v>24</v>
      </c>
      <c r="X298" s="102">
        <f t="shared" si="32"/>
        <v>0</v>
      </c>
      <c r="Y298" s="100" t="str">
        <f t="shared" si="33"/>
        <v xml:space="preserve"> </v>
      </c>
      <c r="Z298" s="100" t="str">
        <f t="shared" si="34"/>
        <v xml:space="preserve"> </v>
      </c>
    </row>
    <row r="299" spans="1:26">
      <c r="A299" s="100"/>
      <c r="B299" s="108" t="str">
        <f>IFERROR(VLOOKUP(Tablo516[[#This Row],[ÜRÜN KODU]],YMKODLARI!$A$1:$K$383,2,0)," ")</f>
        <v xml:space="preserve"> </v>
      </c>
      <c r="C299" s="99"/>
      <c r="D299" s="100"/>
      <c r="E299" s="101"/>
      <c r="F299" s="101"/>
      <c r="G299" s="100" t="str">
        <f>IFERROR(VLOOKUP(Tablo516[[#This Row],[ÜRÜN KODU]],YMKODLARI!$A$1:$K$383,3,0)," ")</f>
        <v xml:space="preserve"> </v>
      </c>
      <c r="H299" s="100" t="str">
        <f>IFERROR(VLOOKUP(Tablo516[[#This Row],[ÜRÜN KODU]],YMKODLARI!$A$1:$K$383,4,0)," ")</f>
        <v xml:space="preserve"> </v>
      </c>
      <c r="I299" s="100"/>
      <c r="J299" s="100" t="str">
        <f>IFERROR(VLOOKUP(Tablo516[[#This Row],[ÜRÜN KODU]],YMKODLARI!$A$1:$K$383,9,0)," ")</f>
        <v xml:space="preserve"> </v>
      </c>
      <c r="K299" s="100" t="str">
        <f>IFERROR(VLOOKUP(Tablo516[[#This Row],[BOYA KODU]],Tablo14[#All],4,0)," ")</f>
        <v xml:space="preserve"> </v>
      </c>
      <c r="L299" s="100" t="str">
        <f>IFERROR(VLOOKUP(Tablo516[[#This Row],[BOYA KODU]],Tablo14[#All],6,0)," ")</f>
        <v xml:space="preserve"> </v>
      </c>
      <c r="M299" s="100" t="str">
        <f t="shared" si="28"/>
        <v xml:space="preserve"> </v>
      </c>
      <c r="N299" s="100" t="str">
        <f>IFERROR(VLOOKUP(Tablo516[[#This Row],[ÜRÜN KODU]],YMKODLARI!$A$1:$K$383,8,0)," ")</f>
        <v xml:space="preserve"> </v>
      </c>
      <c r="O299" s="100" t="str">
        <f>IFERROR(VLOOKUP(Tablo516[[#This Row],[HAMMADDE KODU]],Tablo1[#All],3,0)," ")</f>
        <v xml:space="preserve"> </v>
      </c>
      <c r="P299" s="100" t="str">
        <f>IFERROR(VLOOKUP(Tablo516[[#This Row],[HAMMADDE KODU]],Tablo1[#All],4,0)," ")</f>
        <v xml:space="preserve"> </v>
      </c>
      <c r="Q299" s="100" t="str">
        <f>IFERROR(VLOOKUP(Tablo516[[#This Row],[ÜRÜN KODU]],YMKODLARI!$A$1:$K$383,5,0)," ")</f>
        <v xml:space="preserve"> </v>
      </c>
      <c r="R299" s="100" t="str">
        <f>IFERROR(VLOOKUP(Tablo516[[#This Row],[ÜRÜN KODU]],YMKODLARI!$A$1:$K$383,6,0)," ")</f>
        <v xml:space="preserve"> </v>
      </c>
      <c r="S299" s="100" t="str">
        <f>IFERROR(Tablo516[[#This Row],[YOLLUK HARİÇ BASKI GRAMI]]/Tablo516[[#This Row],[KALIP GÖZ ADEDİ]]," ")</f>
        <v xml:space="preserve"> </v>
      </c>
      <c r="T299" s="100" t="str">
        <f t="shared" si="30"/>
        <v xml:space="preserve"> </v>
      </c>
      <c r="U299" s="100"/>
      <c r="V299" s="100" t="str">
        <f t="shared" si="29"/>
        <v xml:space="preserve"> </v>
      </c>
      <c r="W299" s="101">
        <f t="shared" si="31"/>
        <v>24</v>
      </c>
      <c r="X299" s="102">
        <f t="shared" si="32"/>
        <v>0</v>
      </c>
      <c r="Y299" s="100" t="str">
        <f t="shared" si="33"/>
        <v xml:space="preserve"> </v>
      </c>
      <c r="Z299" s="100" t="str">
        <f t="shared" si="34"/>
        <v xml:space="preserve"> </v>
      </c>
    </row>
    <row r="300" spans="1:26">
      <c r="A300" s="100"/>
      <c r="B300" s="108" t="str">
        <f>IFERROR(VLOOKUP(Tablo516[[#This Row],[ÜRÜN KODU]],YMKODLARI!$A$1:$K$383,2,0)," ")</f>
        <v xml:space="preserve"> </v>
      </c>
      <c r="C300" s="99"/>
      <c r="D300" s="100"/>
      <c r="E300" s="101"/>
      <c r="F300" s="101"/>
      <c r="G300" s="100" t="str">
        <f>IFERROR(VLOOKUP(Tablo516[[#This Row],[ÜRÜN KODU]],YMKODLARI!$A$1:$K$383,3,0)," ")</f>
        <v xml:space="preserve"> </v>
      </c>
      <c r="H300" s="100" t="str">
        <f>IFERROR(VLOOKUP(Tablo516[[#This Row],[ÜRÜN KODU]],YMKODLARI!$A$1:$K$383,4,0)," ")</f>
        <v xml:space="preserve"> </v>
      </c>
      <c r="I300" s="100"/>
      <c r="J300" s="100" t="str">
        <f>IFERROR(VLOOKUP(Tablo516[[#This Row],[ÜRÜN KODU]],YMKODLARI!$A$1:$K$383,9,0)," ")</f>
        <v xml:space="preserve"> </v>
      </c>
      <c r="K300" s="100" t="str">
        <f>IFERROR(VLOOKUP(Tablo516[[#This Row],[BOYA KODU]],Tablo14[#All],4,0)," ")</f>
        <v xml:space="preserve"> </v>
      </c>
      <c r="L300" s="100" t="str">
        <f>IFERROR(VLOOKUP(Tablo516[[#This Row],[BOYA KODU]],Tablo14[#All],6,0)," ")</f>
        <v xml:space="preserve"> </v>
      </c>
      <c r="M300" s="100" t="str">
        <f t="shared" si="28"/>
        <v xml:space="preserve"> </v>
      </c>
      <c r="N300" s="100" t="str">
        <f>IFERROR(VLOOKUP(Tablo516[[#This Row],[ÜRÜN KODU]],YMKODLARI!$A$1:$K$383,8,0)," ")</f>
        <v xml:space="preserve"> </v>
      </c>
      <c r="O300" s="100" t="str">
        <f>IFERROR(VLOOKUP(Tablo516[[#This Row],[HAMMADDE KODU]],Tablo1[#All],3,0)," ")</f>
        <v xml:space="preserve"> </v>
      </c>
      <c r="P300" s="100" t="str">
        <f>IFERROR(VLOOKUP(Tablo516[[#This Row],[HAMMADDE KODU]],Tablo1[#All],4,0)," ")</f>
        <v xml:space="preserve"> </v>
      </c>
      <c r="Q300" s="100" t="str">
        <f>IFERROR(VLOOKUP(Tablo516[[#This Row],[ÜRÜN KODU]],YMKODLARI!$A$1:$K$383,5,0)," ")</f>
        <v xml:space="preserve"> </v>
      </c>
      <c r="R300" s="100" t="str">
        <f>IFERROR(VLOOKUP(Tablo516[[#This Row],[ÜRÜN KODU]],YMKODLARI!$A$1:$K$383,6,0)," ")</f>
        <v xml:space="preserve"> </v>
      </c>
      <c r="S300" s="100" t="str">
        <f>IFERROR(Tablo516[[#This Row],[YOLLUK HARİÇ BASKI GRAMI]]/Tablo516[[#This Row],[KALIP GÖZ ADEDİ]]," ")</f>
        <v xml:space="preserve"> </v>
      </c>
      <c r="T300" s="100" t="str">
        <f t="shared" si="30"/>
        <v xml:space="preserve"> </v>
      </c>
      <c r="U300" s="100"/>
      <c r="V300" s="100" t="str">
        <f t="shared" si="29"/>
        <v xml:space="preserve"> </v>
      </c>
      <c r="W300" s="101">
        <f t="shared" si="31"/>
        <v>24</v>
      </c>
      <c r="X300" s="102">
        <f t="shared" si="32"/>
        <v>0</v>
      </c>
      <c r="Y300" s="100" t="str">
        <f t="shared" si="33"/>
        <v xml:space="preserve"> </v>
      </c>
      <c r="Z300" s="100" t="str">
        <f t="shared" si="34"/>
        <v xml:space="preserve"> </v>
      </c>
    </row>
    <row r="301" spans="1:26">
      <c r="A301" s="100"/>
      <c r="B301" s="108" t="str">
        <f>IFERROR(VLOOKUP(Tablo516[[#This Row],[ÜRÜN KODU]],YMKODLARI!$A$1:$K$383,2,0)," ")</f>
        <v xml:space="preserve"> </v>
      </c>
      <c r="C301" s="99"/>
      <c r="D301" s="100"/>
      <c r="E301" s="101"/>
      <c r="F301" s="101"/>
      <c r="G301" s="100" t="str">
        <f>IFERROR(VLOOKUP(Tablo516[[#This Row],[ÜRÜN KODU]],YMKODLARI!$A$1:$K$383,3,0)," ")</f>
        <v xml:space="preserve"> </v>
      </c>
      <c r="H301" s="100" t="str">
        <f>IFERROR(VLOOKUP(Tablo516[[#This Row],[ÜRÜN KODU]],YMKODLARI!$A$1:$K$383,4,0)," ")</f>
        <v xml:space="preserve"> </v>
      </c>
      <c r="I301" s="100"/>
      <c r="J301" s="100" t="str">
        <f>IFERROR(VLOOKUP(Tablo516[[#This Row],[ÜRÜN KODU]],YMKODLARI!$A$1:$K$383,9,0)," ")</f>
        <v xml:space="preserve"> </v>
      </c>
      <c r="K301" s="100" t="str">
        <f>IFERROR(VLOOKUP(Tablo516[[#This Row],[BOYA KODU]],Tablo14[#All],4,0)," ")</f>
        <v xml:space="preserve"> </v>
      </c>
      <c r="L301" s="100" t="str">
        <f>IFERROR(VLOOKUP(Tablo516[[#This Row],[BOYA KODU]],Tablo14[#All],6,0)," ")</f>
        <v xml:space="preserve"> </v>
      </c>
      <c r="M301" s="100" t="str">
        <f t="shared" si="28"/>
        <v xml:space="preserve"> </v>
      </c>
      <c r="N301" s="100" t="str">
        <f>IFERROR(VLOOKUP(Tablo516[[#This Row],[ÜRÜN KODU]],YMKODLARI!$A$1:$K$383,8,0)," ")</f>
        <v xml:space="preserve"> </v>
      </c>
      <c r="O301" s="100" t="str">
        <f>IFERROR(VLOOKUP(Tablo516[[#This Row],[HAMMADDE KODU]],Tablo1[#All],3,0)," ")</f>
        <v xml:space="preserve"> </v>
      </c>
      <c r="P301" s="100" t="str">
        <f>IFERROR(VLOOKUP(Tablo516[[#This Row],[HAMMADDE KODU]],Tablo1[#All],4,0)," ")</f>
        <v xml:space="preserve"> </v>
      </c>
      <c r="Q301" s="100" t="str">
        <f>IFERROR(VLOOKUP(Tablo516[[#This Row],[ÜRÜN KODU]],YMKODLARI!$A$1:$K$383,5,0)," ")</f>
        <v xml:space="preserve"> </v>
      </c>
      <c r="R301" s="100" t="str">
        <f>IFERROR(VLOOKUP(Tablo516[[#This Row],[ÜRÜN KODU]],YMKODLARI!$A$1:$K$383,6,0)," ")</f>
        <v xml:space="preserve"> </v>
      </c>
      <c r="S301" s="100" t="str">
        <f>IFERROR(Tablo516[[#This Row],[YOLLUK HARİÇ BASKI GRAMI]]/Tablo516[[#This Row],[KALIP GÖZ ADEDİ]]," ")</f>
        <v xml:space="preserve"> </v>
      </c>
      <c r="T301" s="100" t="str">
        <f t="shared" si="30"/>
        <v xml:space="preserve"> </v>
      </c>
      <c r="U301" s="100"/>
      <c r="V301" s="100" t="str">
        <f t="shared" si="29"/>
        <v xml:space="preserve"> </v>
      </c>
      <c r="W301" s="101">
        <f t="shared" si="31"/>
        <v>24</v>
      </c>
      <c r="X301" s="102">
        <f t="shared" si="32"/>
        <v>0</v>
      </c>
      <c r="Y301" s="100" t="str">
        <f t="shared" si="33"/>
        <v xml:space="preserve"> </v>
      </c>
      <c r="Z301" s="100" t="str">
        <f t="shared" si="34"/>
        <v xml:space="preserve"> </v>
      </c>
    </row>
    <row r="302" spans="1:26">
      <c r="A302" s="100"/>
      <c r="B302" s="108" t="str">
        <f>IFERROR(VLOOKUP(Tablo516[[#This Row],[ÜRÜN KODU]],YMKODLARI!$A$1:$K$383,2,0)," ")</f>
        <v xml:space="preserve"> </v>
      </c>
      <c r="C302" s="99"/>
      <c r="D302" s="100"/>
      <c r="E302" s="101"/>
      <c r="F302" s="101"/>
      <c r="G302" s="100" t="str">
        <f>IFERROR(VLOOKUP(Tablo516[[#This Row],[ÜRÜN KODU]],YMKODLARI!$A$1:$K$383,3,0)," ")</f>
        <v xml:space="preserve"> </v>
      </c>
      <c r="H302" s="100" t="str">
        <f>IFERROR(VLOOKUP(Tablo516[[#This Row],[ÜRÜN KODU]],YMKODLARI!$A$1:$K$383,4,0)," ")</f>
        <v xml:space="preserve"> </v>
      </c>
      <c r="I302" s="100"/>
      <c r="J302" s="100" t="str">
        <f>IFERROR(VLOOKUP(Tablo516[[#This Row],[ÜRÜN KODU]],YMKODLARI!$A$1:$K$383,9,0)," ")</f>
        <v xml:space="preserve"> </v>
      </c>
      <c r="K302" s="100" t="str">
        <f>IFERROR(VLOOKUP(Tablo516[[#This Row],[BOYA KODU]],Tablo14[#All],4,0)," ")</f>
        <v xml:space="preserve"> </v>
      </c>
      <c r="L302" s="100" t="str">
        <f>IFERROR(VLOOKUP(Tablo516[[#This Row],[BOYA KODU]],Tablo14[#All],6,0)," ")</f>
        <v xml:space="preserve"> </v>
      </c>
      <c r="M302" s="100" t="str">
        <f t="shared" si="28"/>
        <v xml:space="preserve"> </v>
      </c>
      <c r="N302" s="100" t="str">
        <f>IFERROR(VLOOKUP(Tablo516[[#This Row],[ÜRÜN KODU]],YMKODLARI!$A$1:$K$383,8,0)," ")</f>
        <v xml:space="preserve"> </v>
      </c>
      <c r="O302" s="100" t="str">
        <f>IFERROR(VLOOKUP(Tablo516[[#This Row],[HAMMADDE KODU]],Tablo1[#All],3,0)," ")</f>
        <v xml:space="preserve"> </v>
      </c>
      <c r="P302" s="100" t="str">
        <f>IFERROR(VLOOKUP(Tablo516[[#This Row],[HAMMADDE KODU]],Tablo1[#All],4,0)," ")</f>
        <v xml:space="preserve"> </v>
      </c>
      <c r="Q302" s="100" t="str">
        <f>IFERROR(VLOOKUP(Tablo516[[#This Row],[ÜRÜN KODU]],YMKODLARI!$A$1:$K$383,5,0)," ")</f>
        <v xml:space="preserve"> </v>
      </c>
      <c r="R302" s="100" t="str">
        <f>IFERROR(VLOOKUP(Tablo516[[#This Row],[ÜRÜN KODU]],YMKODLARI!$A$1:$K$383,6,0)," ")</f>
        <v xml:space="preserve"> </v>
      </c>
      <c r="S302" s="100" t="str">
        <f>IFERROR(Tablo516[[#This Row],[YOLLUK HARİÇ BASKI GRAMI]]/Tablo516[[#This Row],[KALIP GÖZ ADEDİ]]," ")</f>
        <v xml:space="preserve"> </v>
      </c>
      <c r="T302" s="100" t="str">
        <f t="shared" si="30"/>
        <v xml:space="preserve"> </v>
      </c>
      <c r="U302" s="100"/>
      <c r="V302" s="100" t="str">
        <f t="shared" si="29"/>
        <v xml:space="preserve"> </v>
      </c>
      <c r="W302" s="101">
        <f t="shared" si="31"/>
        <v>24</v>
      </c>
      <c r="X302" s="102">
        <f t="shared" si="32"/>
        <v>0</v>
      </c>
      <c r="Y302" s="100" t="str">
        <f t="shared" si="33"/>
        <v xml:space="preserve"> </v>
      </c>
      <c r="Z302" s="100" t="str">
        <f t="shared" si="34"/>
        <v xml:space="preserve"> </v>
      </c>
    </row>
    <row r="303" spans="1:26">
      <c r="A303" s="100"/>
      <c r="B303" s="108" t="str">
        <f>IFERROR(VLOOKUP(Tablo516[[#This Row],[ÜRÜN KODU]],YMKODLARI!$A$1:$K$383,2,0)," ")</f>
        <v xml:space="preserve"> </v>
      </c>
      <c r="C303" s="99"/>
      <c r="D303" s="100"/>
      <c r="E303" s="101"/>
      <c r="F303" s="101"/>
      <c r="G303" s="100" t="str">
        <f>IFERROR(VLOOKUP(Tablo516[[#This Row],[ÜRÜN KODU]],YMKODLARI!$A$1:$K$383,3,0)," ")</f>
        <v xml:space="preserve"> </v>
      </c>
      <c r="H303" s="100" t="str">
        <f>IFERROR(VLOOKUP(Tablo516[[#This Row],[ÜRÜN KODU]],YMKODLARI!$A$1:$K$383,4,0)," ")</f>
        <v xml:space="preserve"> </v>
      </c>
      <c r="I303" s="100"/>
      <c r="J303" s="100" t="str">
        <f>IFERROR(VLOOKUP(Tablo516[[#This Row],[ÜRÜN KODU]],YMKODLARI!$A$1:$K$383,9,0)," ")</f>
        <v xml:space="preserve"> </v>
      </c>
      <c r="K303" s="100" t="str">
        <f>IFERROR(VLOOKUP(Tablo516[[#This Row],[BOYA KODU]],Tablo14[#All],4,0)," ")</f>
        <v xml:space="preserve"> </v>
      </c>
      <c r="L303" s="100" t="str">
        <f>IFERROR(VLOOKUP(Tablo516[[#This Row],[BOYA KODU]],Tablo14[#All],6,0)," ")</f>
        <v xml:space="preserve"> </v>
      </c>
      <c r="M303" s="100" t="str">
        <f t="shared" si="28"/>
        <v xml:space="preserve"> </v>
      </c>
      <c r="N303" s="100" t="str">
        <f>IFERROR(VLOOKUP(Tablo516[[#This Row],[ÜRÜN KODU]],YMKODLARI!$A$1:$K$383,8,0)," ")</f>
        <v xml:space="preserve"> </v>
      </c>
      <c r="O303" s="100" t="str">
        <f>IFERROR(VLOOKUP(Tablo516[[#This Row],[HAMMADDE KODU]],Tablo1[#All],3,0)," ")</f>
        <v xml:space="preserve"> </v>
      </c>
      <c r="P303" s="100" t="str">
        <f>IFERROR(VLOOKUP(Tablo516[[#This Row],[HAMMADDE KODU]],Tablo1[#All],4,0)," ")</f>
        <v xml:space="preserve"> </v>
      </c>
      <c r="Q303" s="100" t="str">
        <f>IFERROR(VLOOKUP(Tablo516[[#This Row],[ÜRÜN KODU]],YMKODLARI!$A$1:$K$383,5,0)," ")</f>
        <v xml:space="preserve"> </v>
      </c>
      <c r="R303" s="100" t="str">
        <f>IFERROR(VLOOKUP(Tablo516[[#This Row],[ÜRÜN KODU]],YMKODLARI!$A$1:$K$383,6,0)," ")</f>
        <v xml:space="preserve"> </v>
      </c>
      <c r="S303" s="100" t="str">
        <f>IFERROR(Tablo516[[#This Row],[YOLLUK HARİÇ BASKI GRAMI]]/Tablo516[[#This Row],[KALIP GÖZ ADEDİ]]," ")</f>
        <v xml:space="preserve"> </v>
      </c>
      <c r="T303" s="100" t="str">
        <f t="shared" si="30"/>
        <v xml:space="preserve"> </v>
      </c>
      <c r="U303" s="100"/>
      <c r="V303" s="100" t="str">
        <f t="shared" si="29"/>
        <v xml:space="preserve"> </v>
      </c>
      <c r="W303" s="101">
        <f t="shared" si="31"/>
        <v>24</v>
      </c>
      <c r="X303" s="102">
        <f t="shared" si="32"/>
        <v>0</v>
      </c>
      <c r="Y303" s="100" t="str">
        <f t="shared" si="33"/>
        <v xml:space="preserve"> </v>
      </c>
      <c r="Z303" s="100" t="str">
        <f t="shared" si="34"/>
        <v xml:space="preserve"> </v>
      </c>
    </row>
    <row r="304" spans="1:26">
      <c r="A304" s="100"/>
      <c r="B304" s="108" t="str">
        <f>IFERROR(VLOOKUP(Tablo516[[#This Row],[ÜRÜN KODU]],YMKODLARI!$A$1:$K$383,2,0)," ")</f>
        <v xml:space="preserve"> </v>
      </c>
      <c r="C304" s="99"/>
      <c r="D304" s="100"/>
      <c r="E304" s="101"/>
      <c r="F304" s="101"/>
      <c r="G304" s="100" t="str">
        <f>IFERROR(VLOOKUP(Tablo516[[#This Row],[ÜRÜN KODU]],YMKODLARI!$A$1:$K$383,3,0)," ")</f>
        <v xml:space="preserve"> </v>
      </c>
      <c r="H304" s="100" t="str">
        <f>IFERROR(VLOOKUP(Tablo516[[#This Row],[ÜRÜN KODU]],YMKODLARI!$A$1:$K$383,4,0)," ")</f>
        <v xml:space="preserve"> </v>
      </c>
      <c r="I304" s="100"/>
      <c r="J304" s="100" t="str">
        <f>IFERROR(VLOOKUP(Tablo516[[#This Row],[ÜRÜN KODU]],YMKODLARI!$A$1:$K$383,9,0)," ")</f>
        <v xml:space="preserve"> </v>
      </c>
      <c r="K304" s="100" t="str">
        <f>IFERROR(VLOOKUP(Tablo516[[#This Row],[BOYA KODU]],Tablo14[#All],4,0)," ")</f>
        <v xml:space="preserve"> </v>
      </c>
      <c r="L304" s="100" t="str">
        <f>IFERROR(VLOOKUP(Tablo516[[#This Row],[BOYA KODU]],Tablo14[#All],6,0)," ")</f>
        <v xml:space="preserve"> </v>
      </c>
      <c r="M304" s="100" t="str">
        <f t="shared" si="28"/>
        <v xml:space="preserve"> </v>
      </c>
      <c r="N304" s="100" t="str">
        <f>IFERROR(VLOOKUP(Tablo516[[#This Row],[ÜRÜN KODU]],YMKODLARI!$A$1:$K$383,8,0)," ")</f>
        <v xml:space="preserve"> </v>
      </c>
      <c r="O304" s="100" t="str">
        <f>IFERROR(VLOOKUP(Tablo516[[#This Row],[HAMMADDE KODU]],Tablo1[#All],3,0)," ")</f>
        <v xml:space="preserve"> </v>
      </c>
      <c r="P304" s="100" t="str">
        <f>IFERROR(VLOOKUP(Tablo516[[#This Row],[HAMMADDE KODU]],Tablo1[#All],4,0)," ")</f>
        <v xml:space="preserve"> </v>
      </c>
      <c r="Q304" s="100" t="str">
        <f>IFERROR(VLOOKUP(Tablo516[[#This Row],[ÜRÜN KODU]],YMKODLARI!$A$1:$K$383,5,0)," ")</f>
        <v xml:space="preserve"> </v>
      </c>
      <c r="R304" s="100" t="str">
        <f>IFERROR(VLOOKUP(Tablo516[[#This Row],[ÜRÜN KODU]],YMKODLARI!$A$1:$K$383,6,0)," ")</f>
        <v xml:space="preserve"> </v>
      </c>
      <c r="S304" s="100" t="str">
        <f>IFERROR(Tablo516[[#This Row],[YOLLUK HARİÇ BASKI GRAMI]]/Tablo516[[#This Row],[KALIP GÖZ ADEDİ]]," ")</f>
        <v xml:space="preserve"> </v>
      </c>
      <c r="T304" s="100" t="str">
        <f t="shared" si="30"/>
        <v xml:space="preserve"> </v>
      </c>
      <c r="U304" s="100"/>
      <c r="V304" s="100" t="str">
        <f t="shared" si="29"/>
        <v xml:space="preserve"> </v>
      </c>
      <c r="W304" s="101">
        <f t="shared" si="31"/>
        <v>24</v>
      </c>
      <c r="X304" s="102">
        <f t="shared" si="32"/>
        <v>0</v>
      </c>
      <c r="Y304" s="100" t="str">
        <f t="shared" si="33"/>
        <v xml:space="preserve"> </v>
      </c>
      <c r="Z304" s="100" t="str">
        <f t="shared" si="34"/>
        <v xml:space="preserve"> </v>
      </c>
    </row>
    <row r="305" spans="1:26">
      <c r="A305" s="100"/>
      <c r="B305" s="108" t="str">
        <f>IFERROR(VLOOKUP(Tablo516[[#This Row],[ÜRÜN KODU]],YMKODLARI!$A$1:$K$383,2,0)," ")</f>
        <v xml:space="preserve"> </v>
      </c>
      <c r="C305" s="99"/>
      <c r="D305" s="100"/>
      <c r="E305" s="101"/>
      <c r="F305" s="101"/>
      <c r="G305" s="100" t="str">
        <f>IFERROR(VLOOKUP(Tablo516[[#This Row],[ÜRÜN KODU]],YMKODLARI!$A$1:$K$383,3,0)," ")</f>
        <v xml:space="preserve"> </v>
      </c>
      <c r="H305" s="100" t="str">
        <f>IFERROR(VLOOKUP(Tablo516[[#This Row],[ÜRÜN KODU]],YMKODLARI!$A$1:$K$383,4,0)," ")</f>
        <v xml:space="preserve"> </v>
      </c>
      <c r="I305" s="100"/>
      <c r="J305" s="100" t="str">
        <f>IFERROR(VLOOKUP(Tablo516[[#This Row],[ÜRÜN KODU]],YMKODLARI!$A$1:$K$383,9,0)," ")</f>
        <v xml:space="preserve"> </v>
      </c>
      <c r="K305" s="100" t="str">
        <f>IFERROR(VLOOKUP(Tablo516[[#This Row],[BOYA KODU]],Tablo14[#All],4,0)," ")</f>
        <v xml:space="preserve"> </v>
      </c>
      <c r="L305" s="100" t="str">
        <f>IFERROR(VLOOKUP(Tablo516[[#This Row],[BOYA KODU]],Tablo14[#All],6,0)," ")</f>
        <v xml:space="preserve"> </v>
      </c>
      <c r="M305" s="100" t="str">
        <f t="shared" si="28"/>
        <v xml:space="preserve"> </v>
      </c>
      <c r="N305" s="100" t="str">
        <f>IFERROR(VLOOKUP(Tablo516[[#This Row],[ÜRÜN KODU]],YMKODLARI!$A$1:$K$383,8,0)," ")</f>
        <v xml:space="preserve"> </v>
      </c>
      <c r="O305" s="100" t="str">
        <f>IFERROR(VLOOKUP(Tablo516[[#This Row],[HAMMADDE KODU]],Tablo1[#All],3,0)," ")</f>
        <v xml:space="preserve"> </v>
      </c>
      <c r="P305" s="100" t="str">
        <f>IFERROR(VLOOKUP(Tablo516[[#This Row],[HAMMADDE KODU]],Tablo1[#All],4,0)," ")</f>
        <v xml:space="preserve"> </v>
      </c>
      <c r="Q305" s="100" t="str">
        <f>IFERROR(VLOOKUP(Tablo516[[#This Row],[ÜRÜN KODU]],YMKODLARI!$A$1:$K$383,5,0)," ")</f>
        <v xml:space="preserve"> </v>
      </c>
      <c r="R305" s="100" t="str">
        <f>IFERROR(VLOOKUP(Tablo516[[#This Row],[ÜRÜN KODU]],YMKODLARI!$A$1:$K$383,6,0)," ")</f>
        <v xml:space="preserve"> </v>
      </c>
      <c r="S305" s="100" t="str">
        <f>IFERROR(Tablo516[[#This Row],[YOLLUK HARİÇ BASKI GRAMI]]/Tablo516[[#This Row],[KALIP GÖZ ADEDİ]]," ")</f>
        <v xml:space="preserve"> </v>
      </c>
      <c r="T305" s="100" t="str">
        <f t="shared" si="30"/>
        <v xml:space="preserve"> </v>
      </c>
      <c r="U305" s="100"/>
      <c r="V305" s="100" t="str">
        <f t="shared" si="29"/>
        <v xml:space="preserve"> </v>
      </c>
      <c r="W305" s="101">
        <f t="shared" si="31"/>
        <v>24</v>
      </c>
      <c r="X305" s="102">
        <f t="shared" si="32"/>
        <v>0</v>
      </c>
      <c r="Y305" s="100" t="str">
        <f t="shared" si="33"/>
        <v xml:space="preserve"> </v>
      </c>
      <c r="Z305" s="100" t="str">
        <f t="shared" si="34"/>
        <v xml:space="preserve"> </v>
      </c>
    </row>
    <row r="306" spans="1:26">
      <c r="A306" s="100"/>
      <c r="B306" s="108" t="str">
        <f>IFERROR(VLOOKUP(Tablo516[[#This Row],[ÜRÜN KODU]],YMKODLARI!$A$1:$K$383,2,0)," ")</f>
        <v xml:space="preserve"> </v>
      </c>
      <c r="C306" s="99"/>
      <c r="D306" s="100"/>
      <c r="E306" s="101"/>
      <c r="F306" s="101"/>
      <c r="G306" s="100" t="str">
        <f>IFERROR(VLOOKUP(Tablo516[[#This Row],[ÜRÜN KODU]],YMKODLARI!$A$1:$K$383,3,0)," ")</f>
        <v xml:space="preserve"> </v>
      </c>
      <c r="H306" s="100" t="str">
        <f>IFERROR(VLOOKUP(Tablo516[[#This Row],[ÜRÜN KODU]],YMKODLARI!$A$1:$K$383,4,0)," ")</f>
        <v xml:space="preserve"> </v>
      </c>
      <c r="I306" s="100"/>
      <c r="J306" s="100" t="str">
        <f>IFERROR(VLOOKUP(Tablo516[[#This Row],[ÜRÜN KODU]],YMKODLARI!$A$1:$K$383,9,0)," ")</f>
        <v xml:space="preserve"> </v>
      </c>
      <c r="K306" s="100" t="str">
        <f>IFERROR(VLOOKUP(Tablo516[[#This Row],[BOYA KODU]],Tablo14[#All],4,0)," ")</f>
        <v xml:space="preserve"> </v>
      </c>
      <c r="L306" s="100" t="str">
        <f>IFERROR(VLOOKUP(Tablo516[[#This Row],[BOYA KODU]],Tablo14[#All],6,0)," ")</f>
        <v xml:space="preserve"> </v>
      </c>
      <c r="M306" s="100" t="str">
        <f t="shared" si="28"/>
        <v xml:space="preserve"> </v>
      </c>
      <c r="N306" s="100" t="str">
        <f>IFERROR(VLOOKUP(Tablo516[[#This Row],[ÜRÜN KODU]],YMKODLARI!$A$1:$K$383,8,0)," ")</f>
        <v xml:space="preserve"> </v>
      </c>
      <c r="O306" s="100" t="str">
        <f>IFERROR(VLOOKUP(Tablo516[[#This Row],[HAMMADDE KODU]],Tablo1[#All],3,0)," ")</f>
        <v xml:space="preserve"> </v>
      </c>
      <c r="P306" s="100" t="str">
        <f>IFERROR(VLOOKUP(Tablo516[[#This Row],[HAMMADDE KODU]],Tablo1[#All],4,0)," ")</f>
        <v xml:space="preserve"> </v>
      </c>
      <c r="Q306" s="100" t="str">
        <f>IFERROR(VLOOKUP(Tablo516[[#This Row],[ÜRÜN KODU]],YMKODLARI!$A$1:$K$383,5,0)," ")</f>
        <v xml:space="preserve"> </v>
      </c>
      <c r="R306" s="100" t="str">
        <f>IFERROR(VLOOKUP(Tablo516[[#This Row],[ÜRÜN KODU]],YMKODLARI!$A$1:$K$383,6,0)," ")</f>
        <v xml:space="preserve"> </v>
      </c>
      <c r="S306" s="100" t="str">
        <f>IFERROR(Tablo516[[#This Row],[YOLLUK HARİÇ BASKI GRAMI]]/Tablo516[[#This Row],[KALIP GÖZ ADEDİ]]," ")</f>
        <v xml:space="preserve"> </v>
      </c>
      <c r="T306" s="100" t="str">
        <f t="shared" si="30"/>
        <v xml:space="preserve"> </v>
      </c>
      <c r="U306" s="100"/>
      <c r="V306" s="100" t="str">
        <f t="shared" si="29"/>
        <v xml:space="preserve"> </v>
      </c>
      <c r="W306" s="101">
        <f t="shared" si="31"/>
        <v>24</v>
      </c>
      <c r="X306" s="102">
        <f t="shared" si="32"/>
        <v>0</v>
      </c>
      <c r="Y306" s="100" t="str">
        <f t="shared" si="33"/>
        <v xml:space="preserve"> </v>
      </c>
      <c r="Z306" s="100" t="str">
        <f t="shared" si="34"/>
        <v xml:space="preserve"> </v>
      </c>
    </row>
    <row r="307" spans="1:26">
      <c r="A307" s="100"/>
      <c r="B307" s="108" t="str">
        <f>IFERROR(VLOOKUP(Tablo516[[#This Row],[ÜRÜN KODU]],YMKODLARI!$A$1:$K$383,2,0)," ")</f>
        <v xml:space="preserve"> </v>
      </c>
      <c r="C307" s="99"/>
      <c r="D307" s="100"/>
      <c r="E307" s="101"/>
      <c r="F307" s="101"/>
      <c r="G307" s="100" t="str">
        <f>IFERROR(VLOOKUP(Tablo516[[#This Row],[ÜRÜN KODU]],YMKODLARI!$A$1:$K$383,3,0)," ")</f>
        <v xml:space="preserve"> </v>
      </c>
      <c r="H307" s="100" t="str">
        <f>IFERROR(VLOOKUP(Tablo516[[#This Row],[ÜRÜN KODU]],YMKODLARI!$A$1:$K$383,4,0)," ")</f>
        <v xml:space="preserve"> </v>
      </c>
      <c r="I307" s="100"/>
      <c r="J307" s="100" t="str">
        <f>IFERROR(VLOOKUP(Tablo516[[#This Row],[ÜRÜN KODU]],YMKODLARI!$A$1:$K$383,9,0)," ")</f>
        <v xml:space="preserve"> </v>
      </c>
      <c r="K307" s="100" t="str">
        <f>IFERROR(VLOOKUP(Tablo516[[#This Row],[BOYA KODU]],Tablo14[#All],4,0)," ")</f>
        <v xml:space="preserve"> </v>
      </c>
      <c r="L307" s="100" t="str">
        <f>IFERROR(VLOOKUP(Tablo516[[#This Row],[BOYA KODU]],Tablo14[#All],6,0)," ")</f>
        <v xml:space="preserve"> </v>
      </c>
      <c r="M307" s="100" t="str">
        <f t="shared" si="28"/>
        <v xml:space="preserve"> </v>
      </c>
      <c r="N307" s="100" t="str">
        <f>IFERROR(VLOOKUP(Tablo516[[#This Row],[ÜRÜN KODU]],YMKODLARI!$A$1:$K$383,8,0)," ")</f>
        <v xml:space="preserve"> </v>
      </c>
      <c r="O307" s="100" t="str">
        <f>IFERROR(VLOOKUP(Tablo516[[#This Row],[HAMMADDE KODU]],Tablo1[#All],3,0)," ")</f>
        <v xml:space="preserve"> </v>
      </c>
      <c r="P307" s="100" t="str">
        <f>IFERROR(VLOOKUP(Tablo516[[#This Row],[HAMMADDE KODU]],Tablo1[#All],4,0)," ")</f>
        <v xml:space="preserve"> </v>
      </c>
      <c r="Q307" s="100" t="str">
        <f>IFERROR(VLOOKUP(Tablo516[[#This Row],[ÜRÜN KODU]],YMKODLARI!$A$1:$K$383,5,0)," ")</f>
        <v xml:space="preserve"> </v>
      </c>
      <c r="R307" s="100" t="str">
        <f>IFERROR(VLOOKUP(Tablo516[[#This Row],[ÜRÜN KODU]],YMKODLARI!$A$1:$K$383,6,0)," ")</f>
        <v xml:space="preserve"> </v>
      </c>
      <c r="S307" s="100" t="str">
        <f>IFERROR(Tablo516[[#This Row],[YOLLUK HARİÇ BASKI GRAMI]]/Tablo516[[#This Row],[KALIP GÖZ ADEDİ]]," ")</f>
        <v xml:space="preserve"> </v>
      </c>
      <c r="T307" s="100" t="str">
        <f t="shared" si="30"/>
        <v xml:space="preserve"> </v>
      </c>
      <c r="U307" s="100"/>
      <c r="V307" s="100" t="str">
        <f t="shared" si="29"/>
        <v xml:space="preserve"> </v>
      </c>
      <c r="W307" s="101">
        <f t="shared" si="31"/>
        <v>24</v>
      </c>
      <c r="X307" s="102">
        <f t="shared" si="32"/>
        <v>0</v>
      </c>
      <c r="Y307" s="100" t="str">
        <f t="shared" si="33"/>
        <v xml:space="preserve"> </v>
      </c>
      <c r="Z307" s="100" t="str">
        <f t="shared" si="34"/>
        <v xml:space="preserve"> </v>
      </c>
    </row>
    <row r="308" spans="1:26">
      <c r="A308" s="100"/>
      <c r="B308" s="108" t="str">
        <f>IFERROR(VLOOKUP(Tablo516[[#This Row],[ÜRÜN KODU]],YMKODLARI!$A$1:$K$383,2,0)," ")</f>
        <v xml:space="preserve"> </v>
      </c>
      <c r="C308" s="99"/>
      <c r="D308" s="100"/>
      <c r="E308" s="101"/>
      <c r="F308" s="101"/>
      <c r="G308" s="100" t="str">
        <f>IFERROR(VLOOKUP(Tablo516[[#This Row],[ÜRÜN KODU]],YMKODLARI!$A$1:$K$383,3,0)," ")</f>
        <v xml:space="preserve"> </v>
      </c>
      <c r="H308" s="100" t="str">
        <f>IFERROR(VLOOKUP(Tablo516[[#This Row],[ÜRÜN KODU]],YMKODLARI!$A$1:$K$383,4,0)," ")</f>
        <v xml:space="preserve"> </v>
      </c>
      <c r="I308" s="100"/>
      <c r="J308" s="100" t="str">
        <f>IFERROR(VLOOKUP(Tablo516[[#This Row],[ÜRÜN KODU]],YMKODLARI!$A$1:$K$383,9,0)," ")</f>
        <v xml:space="preserve"> </v>
      </c>
      <c r="K308" s="100" t="str">
        <f>IFERROR(VLOOKUP(Tablo516[[#This Row],[BOYA KODU]],Tablo14[#All],4,0)," ")</f>
        <v xml:space="preserve"> </v>
      </c>
      <c r="L308" s="100" t="str">
        <f>IFERROR(VLOOKUP(Tablo516[[#This Row],[BOYA KODU]],Tablo14[#All],6,0)," ")</f>
        <v xml:space="preserve"> </v>
      </c>
      <c r="M308" s="100" t="str">
        <f t="shared" si="28"/>
        <v xml:space="preserve"> </v>
      </c>
      <c r="N308" s="100" t="str">
        <f>IFERROR(VLOOKUP(Tablo516[[#This Row],[ÜRÜN KODU]],YMKODLARI!$A$1:$K$383,8,0)," ")</f>
        <v xml:space="preserve"> </v>
      </c>
      <c r="O308" s="100" t="str">
        <f>IFERROR(VLOOKUP(Tablo516[[#This Row],[HAMMADDE KODU]],Tablo1[#All],3,0)," ")</f>
        <v xml:space="preserve"> </v>
      </c>
      <c r="P308" s="100" t="str">
        <f>IFERROR(VLOOKUP(Tablo516[[#This Row],[HAMMADDE KODU]],Tablo1[#All],4,0)," ")</f>
        <v xml:space="preserve"> </v>
      </c>
      <c r="Q308" s="100" t="str">
        <f>IFERROR(VLOOKUP(Tablo516[[#This Row],[ÜRÜN KODU]],YMKODLARI!$A$1:$K$383,5,0)," ")</f>
        <v xml:space="preserve"> </v>
      </c>
      <c r="R308" s="100" t="str">
        <f>IFERROR(VLOOKUP(Tablo516[[#This Row],[ÜRÜN KODU]],YMKODLARI!$A$1:$K$383,6,0)," ")</f>
        <v xml:space="preserve"> </v>
      </c>
      <c r="S308" s="100" t="str">
        <f>IFERROR(Tablo516[[#This Row],[YOLLUK HARİÇ BASKI GRAMI]]/Tablo516[[#This Row],[KALIP GÖZ ADEDİ]]," ")</f>
        <v xml:space="preserve"> </v>
      </c>
      <c r="T308" s="100" t="str">
        <f t="shared" si="30"/>
        <v xml:space="preserve"> </v>
      </c>
      <c r="U308" s="100"/>
      <c r="V308" s="100" t="str">
        <f t="shared" si="29"/>
        <v xml:space="preserve"> </v>
      </c>
      <c r="W308" s="101">
        <f t="shared" si="31"/>
        <v>24</v>
      </c>
      <c r="X308" s="102">
        <f t="shared" si="32"/>
        <v>0</v>
      </c>
      <c r="Y308" s="100" t="str">
        <f t="shared" si="33"/>
        <v xml:space="preserve"> </v>
      </c>
      <c r="Z308" s="100" t="str">
        <f t="shared" si="34"/>
        <v xml:space="preserve"> </v>
      </c>
    </row>
    <row r="309" spans="1:26">
      <c r="A309" s="100"/>
      <c r="B309" s="108" t="str">
        <f>IFERROR(VLOOKUP(Tablo516[[#This Row],[ÜRÜN KODU]],YMKODLARI!$A$1:$K$383,2,0)," ")</f>
        <v xml:space="preserve"> </v>
      </c>
      <c r="C309" s="99"/>
      <c r="D309" s="100"/>
      <c r="E309" s="101"/>
      <c r="F309" s="101"/>
      <c r="G309" s="100" t="str">
        <f>IFERROR(VLOOKUP(Tablo516[[#This Row],[ÜRÜN KODU]],YMKODLARI!$A$1:$K$383,3,0)," ")</f>
        <v xml:space="preserve"> </v>
      </c>
      <c r="H309" s="100" t="str">
        <f>IFERROR(VLOOKUP(Tablo516[[#This Row],[ÜRÜN KODU]],YMKODLARI!$A$1:$K$383,4,0)," ")</f>
        <v xml:space="preserve"> </v>
      </c>
      <c r="I309" s="100"/>
      <c r="J309" s="100" t="str">
        <f>IFERROR(VLOOKUP(Tablo516[[#This Row],[ÜRÜN KODU]],YMKODLARI!$A$1:$K$383,9,0)," ")</f>
        <v xml:space="preserve"> </v>
      </c>
      <c r="K309" s="100" t="str">
        <f>IFERROR(VLOOKUP(Tablo516[[#This Row],[BOYA KODU]],Tablo14[#All],4,0)," ")</f>
        <v xml:space="preserve"> </v>
      </c>
      <c r="L309" s="100" t="str">
        <f>IFERROR(VLOOKUP(Tablo516[[#This Row],[BOYA KODU]],Tablo14[#All],6,0)," ")</f>
        <v xml:space="preserve"> </v>
      </c>
      <c r="M309" s="100" t="str">
        <f t="shared" si="28"/>
        <v xml:space="preserve"> </v>
      </c>
      <c r="N309" s="100" t="str">
        <f>IFERROR(VLOOKUP(Tablo516[[#This Row],[ÜRÜN KODU]],YMKODLARI!$A$1:$K$383,8,0)," ")</f>
        <v xml:space="preserve"> </v>
      </c>
      <c r="O309" s="100" t="str">
        <f>IFERROR(VLOOKUP(Tablo516[[#This Row],[HAMMADDE KODU]],Tablo1[#All],3,0)," ")</f>
        <v xml:space="preserve"> </v>
      </c>
      <c r="P309" s="100" t="str">
        <f>IFERROR(VLOOKUP(Tablo516[[#This Row],[HAMMADDE KODU]],Tablo1[#All],4,0)," ")</f>
        <v xml:space="preserve"> </v>
      </c>
      <c r="Q309" s="100" t="str">
        <f>IFERROR(VLOOKUP(Tablo516[[#This Row],[ÜRÜN KODU]],YMKODLARI!$A$1:$K$383,5,0)," ")</f>
        <v xml:space="preserve"> </v>
      </c>
      <c r="R309" s="100" t="str">
        <f>IFERROR(VLOOKUP(Tablo516[[#This Row],[ÜRÜN KODU]],YMKODLARI!$A$1:$K$383,6,0)," ")</f>
        <v xml:space="preserve"> </v>
      </c>
      <c r="S309" s="100" t="str">
        <f>IFERROR(Tablo516[[#This Row],[YOLLUK HARİÇ BASKI GRAMI]]/Tablo516[[#This Row],[KALIP GÖZ ADEDİ]]," ")</f>
        <v xml:space="preserve"> </v>
      </c>
      <c r="T309" s="100" t="str">
        <f t="shared" si="30"/>
        <v xml:space="preserve"> </v>
      </c>
      <c r="U309" s="100"/>
      <c r="V309" s="100" t="str">
        <f t="shared" si="29"/>
        <v xml:space="preserve"> </v>
      </c>
      <c r="W309" s="101">
        <f t="shared" si="31"/>
        <v>24</v>
      </c>
      <c r="X309" s="102">
        <f t="shared" si="32"/>
        <v>0</v>
      </c>
      <c r="Y309" s="100" t="str">
        <f t="shared" si="33"/>
        <v xml:space="preserve"> </v>
      </c>
      <c r="Z309" s="100" t="str">
        <f t="shared" si="34"/>
        <v xml:space="preserve"> </v>
      </c>
    </row>
    <row r="310" spans="1:26">
      <c r="A310" s="100"/>
      <c r="B310" s="108" t="str">
        <f>IFERROR(VLOOKUP(Tablo516[[#This Row],[ÜRÜN KODU]],YMKODLARI!$A$1:$K$383,2,0)," ")</f>
        <v xml:space="preserve"> </v>
      </c>
      <c r="C310" s="99"/>
      <c r="D310" s="100"/>
      <c r="E310" s="101"/>
      <c r="F310" s="101"/>
      <c r="G310" s="100" t="str">
        <f>IFERROR(VLOOKUP(Tablo516[[#This Row],[ÜRÜN KODU]],YMKODLARI!$A$1:$K$383,3,0)," ")</f>
        <v xml:space="preserve"> </v>
      </c>
      <c r="H310" s="100" t="str">
        <f>IFERROR(VLOOKUP(Tablo516[[#This Row],[ÜRÜN KODU]],YMKODLARI!$A$1:$K$383,4,0)," ")</f>
        <v xml:space="preserve"> </v>
      </c>
      <c r="I310" s="100"/>
      <c r="J310" s="100" t="str">
        <f>IFERROR(VLOOKUP(Tablo516[[#This Row],[ÜRÜN KODU]],YMKODLARI!$A$1:$K$383,9,0)," ")</f>
        <v xml:space="preserve"> </v>
      </c>
      <c r="K310" s="100" t="str">
        <f>IFERROR(VLOOKUP(Tablo516[[#This Row],[BOYA KODU]],Tablo14[#All],4,0)," ")</f>
        <v xml:space="preserve"> </v>
      </c>
      <c r="L310" s="100" t="str">
        <f>IFERROR(VLOOKUP(Tablo516[[#This Row],[BOYA KODU]],Tablo14[#All],6,0)," ")</f>
        <v xml:space="preserve"> </v>
      </c>
      <c r="M310" s="100" t="str">
        <f t="shared" si="28"/>
        <v xml:space="preserve"> </v>
      </c>
      <c r="N310" s="100" t="str">
        <f>IFERROR(VLOOKUP(Tablo516[[#This Row],[ÜRÜN KODU]],YMKODLARI!$A$1:$K$383,8,0)," ")</f>
        <v xml:space="preserve"> </v>
      </c>
      <c r="O310" s="100" t="str">
        <f>IFERROR(VLOOKUP(Tablo516[[#This Row],[HAMMADDE KODU]],Tablo1[#All],3,0)," ")</f>
        <v xml:space="preserve"> </v>
      </c>
      <c r="P310" s="100" t="str">
        <f>IFERROR(VLOOKUP(Tablo516[[#This Row],[HAMMADDE KODU]],Tablo1[#All],4,0)," ")</f>
        <v xml:space="preserve"> </v>
      </c>
      <c r="Q310" s="100" t="str">
        <f>IFERROR(VLOOKUP(Tablo516[[#This Row],[ÜRÜN KODU]],YMKODLARI!$A$1:$K$383,5,0)," ")</f>
        <v xml:space="preserve"> </v>
      </c>
      <c r="R310" s="100" t="str">
        <f>IFERROR(VLOOKUP(Tablo516[[#This Row],[ÜRÜN KODU]],YMKODLARI!$A$1:$K$383,6,0)," ")</f>
        <v xml:space="preserve"> </v>
      </c>
      <c r="S310" s="100" t="str">
        <f>IFERROR(Tablo516[[#This Row],[YOLLUK HARİÇ BASKI GRAMI]]/Tablo516[[#This Row],[KALIP GÖZ ADEDİ]]," ")</f>
        <v xml:space="preserve"> </v>
      </c>
      <c r="T310" s="100" t="str">
        <f t="shared" si="30"/>
        <v xml:space="preserve"> </v>
      </c>
      <c r="U310" s="100"/>
      <c r="V310" s="100" t="str">
        <f t="shared" si="29"/>
        <v xml:space="preserve"> </v>
      </c>
      <c r="W310" s="101">
        <f t="shared" si="31"/>
        <v>24</v>
      </c>
      <c r="X310" s="102">
        <f t="shared" si="32"/>
        <v>0</v>
      </c>
      <c r="Y310" s="100" t="str">
        <f t="shared" si="33"/>
        <v xml:space="preserve"> </v>
      </c>
      <c r="Z310" s="100" t="str">
        <f t="shared" si="34"/>
        <v xml:space="preserve"> </v>
      </c>
    </row>
    <row r="311" spans="1:26">
      <c r="A311" s="100"/>
      <c r="B311" s="108" t="str">
        <f>IFERROR(VLOOKUP(Tablo516[[#This Row],[ÜRÜN KODU]],YMKODLARI!$A$1:$K$383,2,0)," ")</f>
        <v xml:space="preserve"> </v>
      </c>
      <c r="C311" s="99"/>
      <c r="D311" s="100"/>
      <c r="E311" s="101"/>
      <c r="F311" s="101"/>
      <c r="G311" s="100" t="str">
        <f>IFERROR(VLOOKUP(Tablo516[[#This Row],[ÜRÜN KODU]],YMKODLARI!$A$1:$K$383,3,0)," ")</f>
        <v xml:space="preserve"> </v>
      </c>
      <c r="H311" s="100" t="str">
        <f>IFERROR(VLOOKUP(Tablo516[[#This Row],[ÜRÜN KODU]],YMKODLARI!$A$1:$K$383,4,0)," ")</f>
        <v xml:space="preserve"> </v>
      </c>
      <c r="I311" s="100"/>
      <c r="J311" s="100" t="str">
        <f>IFERROR(VLOOKUP(Tablo516[[#This Row],[ÜRÜN KODU]],YMKODLARI!$A$1:$K$383,9,0)," ")</f>
        <v xml:space="preserve"> </v>
      </c>
      <c r="K311" s="100" t="str">
        <f>IFERROR(VLOOKUP(Tablo516[[#This Row],[BOYA KODU]],Tablo14[#All],4,0)," ")</f>
        <v xml:space="preserve"> </v>
      </c>
      <c r="L311" s="100" t="str">
        <f>IFERROR(VLOOKUP(Tablo516[[#This Row],[BOYA KODU]],Tablo14[#All],6,0)," ")</f>
        <v xml:space="preserve"> </v>
      </c>
      <c r="M311" s="100" t="str">
        <f t="shared" si="28"/>
        <v xml:space="preserve"> </v>
      </c>
      <c r="N311" s="100" t="str">
        <f>IFERROR(VLOOKUP(Tablo516[[#This Row],[ÜRÜN KODU]],YMKODLARI!$A$1:$K$383,8,0)," ")</f>
        <v xml:space="preserve"> </v>
      </c>
      <c r="O311" s="100" t="str">
        <f>IFERROR(VLOOKUP(Tablo516[[#This Row],[HAMMADDE KODU]],Tablo1[#All],3,0)," ")</f>
        <v xml:space="preserve"> </v>
      </c>
      <c r="P311" s="100" t="str">
        <f>IFERROR(VLOOKUP(Tablo516[[#This Row],[HAMMADDE KODU]],Tablo1[#All],4,0)," ")</f>
        <v xml:space="preserve"> </v>
      </c>
      <c r="Q311" s="100" t="str">
        <f>IFERROR(VLOOKUP(Tablo516[[#This Row],[ÜRÜN KODU]],YMKODLARI!$A$1:$K$383,5,0)," ")</f>
        <v xml:space="preserve"> </v>
      </c>
      <c r="R311" s="100" t="str">
        <f>IFERROR(VLOOKUP(Tablo516[[#This Row],[ÜRÜN KODU]],YMKODLARI!$A$1:$K$383,6,0)," ")</f>
        <v xml:space="preserve"> </v>
      </c>
      <c r="S311" s="100" t="str">
        <f>IFERROR(Tablo516[[#This Row],[YOLLUK HARİÇ BASKI GRAMI]]/Tablo516[[#This Row],[KALIP GÖZ ADEDİ]]," ")</f>
        <v xml:space="preserve"> </v>
      </c>
      <c r="T311" s="100" t="str">
        <f t="shared" si="30"/>
        <v xml:space="preserve"> </v>
      </c>
      <c r="U311" s="100"/>
      <c r="V311" s="100" t="str">
        <f t="shared" si="29"/>
        <v xml:space="preserve"> </v>
      </c>
      <c r="W311" s="101">
        <f t="shared" si="31"/>
        <v>24</v>
      </c>
      <c r="X311" s="102">
        <f t="shared" si="32"/>
        <v>0</v>
      </c>
      <c r="Y311" s="100" t="str">
        <f t="shared" si="33"/>
        <v xml:space="preserve"> </v>
      </c>
      <c r="Z311" s="100" t="str">
        <f t="shared" si="34"/>
        <v xml:space="preserve"> </v>
      </c>
    </row>
    <row r="312" spans="1:26">
      <c r="A312" s="100"/>
      <c r="B312" s="108" t="str">
        <f>IFERROR(VLOOKUP(Tablo516[[#This Row],[ÜRÜN KODU]],YMKODLARI!$A$1:$K$383,2,0)," ")</f>
        <v xml:space="preserve"> </v>
      </c>
      <c r="C312" s="99"/>
      <c r="D312" s="100"/>
      <c r="E312" s="101"/>
      <c r="F312" s="101"/>
      <c r="G312" s="100" t="str">
        <f>IFERROR(VLOOKUP(Tablo516[[#This Row],[ÜRÜN KODU]],YMKODLARI!$A$1:$K$383,3,0)," ")</f>
        <v xml:space="preserve"> </v>
      </c>
      <c r="H312" s="100" t="str">
        <f>IFERROR(VLOOKUP(Tablo516[[#This Row],[ÜRÜN KODU]],YMKODLARI!$A$1:$K$383,4,0)," ")</f>
        <v xml:space="preserve"> </v>
      </c>
      <c r="I312" s="100"/>
      <c r="J312" s="100" t="str">
        <f>IFERROR(VLOOKUP(Tablo516[[#This Row],[ÜRÜN KODU]],YMKODLARI!$A$1:$K$383,9,0)," ")</f>
        <v xml:space="preserve"> </v>
      </c>
      <c r="K312" s="100" t="str">
        <f>IFERROR(VLOOKUP(Tablo516[[#This Row],[BOYA KODU]],Tablo14[#All],4,0)," ")</f>
        <v xml:space="preserve"> </v>
      </c>
      <c r="L312" s="100" t="str">
        <f>IFERROR(VLOOKUP(Tablo516[[#This Row],[BOYA KODU]],Tablo14[#All],6,0)," ")</f>
        <v xml:space="preserve"> </v>
      </c>
      <c r="M312" s="100" t="str">
        <f t="shared" si="28"/>
        <v xml:space="preserve"> </v>
      </c>
      <c r="N312" s="100" t="str">
        <f>IFERROR(VLOOKUP(Tablo516[[#This Row],[ÜRÜN KODU]],YMKODLARI!$A$1:$K$383,8,0)," ")</f>
        <v xml:space="preserve"> </v>
      </c>
      <c r="O312" s="100" t="str">
        <f>IFERROR(VLOOKUP(Tablo516[[#This Row],[HAMMADDE KODU]],Tablo1[#All],3,0)," ")</f>
        <v xml:space="preserve"> </v>
      </c>
      <c r="P312" s="100" t="str">
        <f>IFERROR(VLOOKUP(Tablo516[[#This Row],[HAMMADDE KODU]],Tablo1[#All],4,0)," ")</f>
        <v xml:space="preserve"> </v>
      </c>
      <c r="Q312" s="100" t="str">
        <f>IFERROR(VLOOKUP(Tablo516[[#This Row],[ÜRÜN KODU]],YMKODLARI!$A$1:$K$383,5,0)," ")</f>
        <v xml:space="preserve"> </v>
      </c>
      <c r="R312" s="100" t="str">
        <f>IFERROR(VLOOKUP(Tablo516[[#This Row],[ÜRÜN KODU]],YMKODLARI!$A$1:$K$383,6,0)," ")</f>
        <v xml:space="preserve"> </v>
      </c>
      <c r="S312" s="100" t="str">
        <f>IFERROR(Tablo516[[#This Row],[YOLLUK HARİÇ BASKI GRAMI]]/Tablo516[[#This Row],[KALIP GÖZ ADEDİ]]," ")</f>
        <v xml:space="preserve"> </v>
      </c>
      <c r="T312" s="100" t="str">
        <f t="shared" si="30"/>
        <v xml:space="preserve"> </v>
      </c>
      <c r="U312" s="100"/>
      <c r="V312" s="100" t="str">
        <f t="shared" si="29"/>
        <v xml:space="preserve"> </v>
      </c>
      <c r="W312" s="101">
        <f t="shared" si="31"/>
        <v>24</v>
      </c>
      <c r="X312" s="102">
        <f t="shared" si="32"/>
        <v>0</v>
      </c>
      <c r="Y312" s="100" t="str">
        <f t="shared" si="33"/>
        <v xml:space="preserve"> </v>
      </c>
      <c r="Z312" s="100" t="str">
        <f t="shared" si="34"/>
        <v xml:space="preserve"> </v>
      </c>
    </row>
    <row r="313" spans="1:26">
      <c r="A313" s="100"/>
      <c r="B313" s="108" t="str">
        <f>IFERROR(VLOOKUP(Tablo516[[#This Row],[ÜRÜN KODU]],YMKODLARI!$A$1:$K$383,2,0)," ")</f>
        <v xml:space="preserve"> </v>
      </c>
      <c r="C313" s="99"/>
      <c r="D313" s="100"/>
      <c r="E313" s="101"/>
      <c r="F313" s="101"/>
      <c r="G313" s="100" t="str">
        <f>IFERROR(VLOOKUP(Tablo516[[#This Row],[ÜRÜN KODU]],YMKODLARI!$A$1:$K$383,3,0)," ")</f>
        <v xml:space="preserve"> </v>
      </c>
      <c r="H313" s="100" t="str">
        <f>IFERROR(VLOOKUP(Tablo516[[#This Row],[ÜRÜN KODU]],YMKODLARI!$A$1:$K$383,4,0)," ")</f>
        <v xml:space="preserve"> </v>
      </c>
      <c r="I313" s="100"/>
      <c r="J313" s="100" t="str">
        <f>IFERROR(VLOOKUP(Tablo516[[#This Row],[ÜRÜN KODU]],YMKODLARI!$A$1:$K$383,9,0)," ")</f>
        <v xml:space="preserve"> </v>
      </c>
      <c r="K313" s="100" t="str">
        <f>IFERROR(VLOOKUP(Tablo516[[#This Row],[BOYA KODU]],Tablo14[#All],4,0)," ")</f>
        <v xml:space="preserve"> </v>
      </c>
      <c r="L313" s="100" t="str">
        <f>IFERROR(VLOOKUP(Tablo516[[#This Row],[BOYA KODU]],Tablo14[#All],6,0)," ")</f>
        <v xml:space="preserve"> </v>
      </c>
      <c r="M313" s="100" t="str">
        <f t="shared" si="28"/>
        <v xml:space="preserve"> </v>
      </c>
      <c r="N313" s="100" t="str">
        <f>IFERROR(VLOOKUP(Tablo516[[#This Row],[ÜRÜN KODU]],YMKODLARI!$A$1:$K$383,8,0)," ")</f>
        <v xml:space="preserve"> </v>
      </c>
      <c r="O313" s="100" t="str">
        <f>IFERROR(VLOOKUP(Tablo516[[#This Row],[HAMMADDE KODU]],Tablo1[#All],3,0)," ")</f>
        <v xml:space="preserve"> </v>
      </c>
      <c r="P313" s="100" t="str">
        <f>IFERROR(VLOOKUP(Tablo516[[#This Row],[HAMMADDE KODU]],Tablo1[#All],4,0)," ")</f>
        <v xml:space="preserve"> </v>
      </c>
      <c r="Q313" s="100" t="str">
        <f>IFERROR(VLOOKUP(Tablo516[[#This Row],[ÜRÜN KODU]],YMKODLARI!$A$1:$K$383,5,0)," ")</f>
        <v xml:space="preserve"> </v>
      </c>
      <c r="R313" s="100" t="str">
        <f>IFERROR(VLOOKUP(Tablo516[[#This Row],[ÜRÜN KODU]],YMKODLARI!$A$1:$K$383,6,0)," ")</f>
        <v xml:space="preserve"> </v>
      </c>
      <c r="S313" s="100" t="str">
        <f>IFERROR(Tablo516[[#This Row],[YOLLUK HARİÇ BASKI GRAMI]]/Tablo516[[#This Row],[KALIP GÖZ ADEDİ]]," ")</f>
        <v xml:space="preserve"> </v>
      </c>
      <c r="T313" s="100" t="str">
        <f t="shared" si="30"/>
        <v xml:space="preserve"> </v>
      </c>
      <c r="U313" s="100"/>
      <c r="V313" s="100" t="str">
        <f t="shared" si="29"/>
        <v xml:space="preserve"> </v>
      </c>
      <c r="W313" s="101">
        <f t="shared" si="31"/>
        <v>24</v>
      </c>
      <c r="X313" s="102">
        <f t="shared" si="32"/>
        <v>0</v>
      </c>
      <c r="Y313" s="100" t="str">
        <f t="shared" si="33"/>
        <v xml:space="preserve"> </v>
      </c>
      <c r="Z313" s="100" t="str">
        <f t="shared" si="34"/>
        <v xml:space="preserve"> </v>
      </c>
    </row>
    <row r="314" spans="1:26">
      <c r="A314" s="100"/>
      <c r="B314" s="108" t="str">
        <f>IFERROR(VLOOKUP(Tablo516[[#This Row],[ÜRÜN KODU]],YMKODLARI!$A$1:$K$383,2,0)," ")</f>
        <v xml:space="preserve"> </v>
      </c>
      <c r="C314" s="99"/>
      <c r="D314" s="100"/>
      <c r="E314" s="101"/>
      <c r="F314" s="101"/>
      <c r="G314" s="100" t="str">
        <f>IFERROR(VLOOKUP(Tablo516[[#This Row],[ÜRÜN KODU]],YMKODLARI!$A$1:$K$383,3,0)," ")</f>
        <v xml:space="preserve"> </v>
      </c>
      <c r="H314" s="100" t="str">
        <f>IFERROR(VLOOKUP(Tablo516[[#This Row],[ÜRÜN KODU]],YMKODLARI!$A$1:$K$383,4,0)," ")</f>
        <v xml:space="preserve"> </v>
      </c>
      <c r="I314" s="100"/>
      <c r="J314" s="100" t="str">
        <f>IFERROR(VLOOKUP(Tablo516[[#This Row],[ÜRÜN KODU]],YMKODLARI!$A$1:$K$383,9,0)," ")</f>
        <v xml:space="preserve"> </v>
      </c>
      <c r="K314" s="100" t="str">
        <f>IFERROR(VLOOKUP(Tablo516[[#This Row],[BOYA KODU]],Tablo14[#All],4,0)," ")</f>
        <v xml:space="preserve"> </v>
      </c>
      <c r="L314" s="100" t="str">
        <f>IFERROR(VLOOKUP(Tablo516[[#This Row],[BOYA KODU]],Tablo14[#All],6,0)," ")</f>
        <v xml:space="preserve"> </v>
      </c>
      <c r="M314" s="100" t="str">
        <f t="shared" si="28"/>
        <v xml:space="preserve"> </v>
      </c>
      <c r="N314" s="100" t="str">
        <f>IFERROR(VLOOKUP(Tablo516[[#This Row],[ÜRÜN KODU]],YMKODLARI!$A$1:$K$383,8,0)," ")</f>
        <v xml:space="preserve"> </v>
      </c>
      <c r="O314" s="100" t="str">
        <f>IFERROR(VLOOKUP(Tablo516[[#This Row],[HAMMADDE KODU]],Tablo1[#All],3,0)," ")</f>
        <v xml:space="preserve"> </v>
      </c>
      <c r="P314" s="100" t="str">
        <f>IFERROR(VLOOKUP(Tablo516[[#This Row],[HAMMADDE KODU]],Tablo1[#All],4,0)," ")</f>
        <v xml:space="preserve"> </v>
      </c>
      <c r="Q314" s="100" t="str">
        <f>IFERROR(VLOOKUP(Tablo516[[#This Row],[ÜRÜN KODU]],YMKODLARI!$A$1:$K$383,5,0)," ")</f>
        <v xml:space="preserve"> </v>
      </c>
      <c r="R314" s="100" t="str">
        <f>IFERROR(VLOOKUP(Tablo516[[#This Row],[ÜRÜN KODU]],YMKODLARI!$A$1:$K$383,6,0)," ")</f>
        <v xml:space="preserve"> </v>
      </c>
      <c r="S314" s="100" t="str">
        <f>IFERROR(Tablo516[[#This Row],[YOLLUK HARİÇ BASKI GRAMI]]/Tablo516[[#This Row],[KALIP GÖZ ADEDİ]]," ")</f>
        <v xml:space="preserve"> </v>
      </c>
      <c r="T314" s="100" t="str">
        <f t="shared" si="30"/>
        <v xml:space="preserve"> </v>
      </c>
      <c r="U314" s="100"/>
      <c r="V314" s="100" t="str">
        <f t="shared" si="29"/>
        <v xml:space="preserve"> </v>
      </c>
      <c r="W314" s="101">
        <f t="shared" si="31"/>
        <v>24</v>
      </c>
      <c r="X314" s="102">
        <f t="shared" si="32"/>
        <v>0</v>
      </c>
      <c r="Y314" s="100" t="str">
        <f t="shared" si="33"/>
        <v xml:space="preserve"> </v>
      </c>
      <c r="Z314" s="100" t="str">
        <f t="shared" si="34"/>
        <v xml:space="preserve"> </v>
      </c>
    </row>
    <row r="315" spans="1:26">
      <c r="A315" s="100"/>
      <c r="B315" s="108" t="str">
        <f>IFERROR(VLOOKUP(Tablo516[[#This Row],[ÜRÜN KODU]],YMKODLARI!$A$1:$K$383,2,0)," ")</f>
        <v xml:space="preserve"> </v>
      </c>
      <c r="C315" s="99"/>
      <c r="D315" s="100"/>
      <c r="E315" s="101"/>
      <c r="F315" s="101"/>
      <c r="G315" s="100" t="str">
        <f>IFERROR(VLOOKUP(Tablo516[[#This Row],[ÜRÜN KODU]],YMKODLARI!$A$1:$K$383,3,0)," ")</f>
        <v xml:space="preserve"> </v>
      </c>
      <c r="H315" s="100" t="str">
        <f>IFERROR(VLOOKUP(Tablo516[[#This Row],[ÜRÜN KODU]],YMKODLARI!$A$1:$K$383,4,0)," ")</f>
        <v xml:space="preserve"> </v>
      </c>
      <c r="I315" s="100"/>
      <c r="J315" s="100" t="str">
        <f>IFERROR(VLOOKUP(Tablo516[[#This Row],[ÜRÜN KODU]],YMKODLARI!$A$1:$K$383,9,0)," ")</f>
        <v xml:space="preserve"> </v>
      </c>
      <c r="K315" s="100" t="str">
        <f>IFERROR(VLOOKUP(Tablo516[[#This Row],[BOYA KODU]],Tablo14[#All],4,0)," ")</f>
        <v xml:space="preserve"> </v>
      </c>
      <c r="L315" s="100" t="str">
        <f>IFERROR(VLOOKUP(Tablo516[[#This Row],[BOYA KODU]],Tablo14[#All],6,0)," ")</f>
        <v xml:space="preserve"> </v>
      </c>
      <c r="M315" s="100" t="str">
        <f t="shared" si="28"/>
        <v xml:space="preserve"> </v>
      </c>
      <c r="N315" s="100" t="str">
        <f>IFERROR(VLOOKUP(Tablo516[[#This Row],[ÜRÜN KODU]],YMKODLARI!$A$1:$K$383,8,0)," ")</f>
        <v xml:space="preserve"> </v>
      </c>
      <c r="O315" s="100" t="str">
        <f>IFERROR(VLOOKUP(Tablo516[[#This Row],[HAMMADDE KODU]],Tablo1[#All],3,0)," ")</f>
        <v xml:space="preserve"> </v>
      </c>
      <c r="P315" s="100" t="str">
        <f>IFERROR(VLOOKUP(Tablo516[[#This Row],[HAMMADDE KODU]],Tablo1[#All],4,0)," ")</f>
        <v xml:space="preserve"> </v>
      </c>
      <c r="Q315" s="100" t="str">
        <f>IFERROR(VLOOKUP(Tablo516[[#This Row],[ÜRÜN KODU]],YMKODLARI!$A$1:$K$383,5,0)," ")</f>
        <v xml:space="preserve"> </v>
      </c>
      <c r="R315" s="100" t="str">
        <f>IFERROR(VLOOKUP(Tablo516[[#This Row],[ÜRÜN KODU]],YMKODLARI!$A$1:$K$383,6,0)," ")</f>
        <v xml:space="preserve"> </v>
      </c>
      <c r="S315" s="100" t="str">
        <f>IFERROR(Tablo516[[#This Row],[YOLLUK HARİÇ BASKI GRAMI]]/Tablo516[[#This Row],[KALIP GÖZ ADEDİ]]," ")</f>
        <v xml:space="preserve"> </v>
      </c>
      <c r="T315" s="100" t="str">
        <f t="shared" si="30"/>
        <v xml:space="preserve"> </v>
      </c>
      <c r="U315" s="100"/>
      <c r="V315" s="100" t="str">
        <f t="shared" si="29"/>
        <v xml:space="preserve"> </v>
      </c>
      <c r="W315" s="101">
        <f t="shared" si="31"/>
        <v>24</v>
      </c>
      <c r="X315" s="102">
        <f t="shared" si="32"/>
        <v>0</v>
      </c>
      <c r="Y315" s="100" t="str">
        <f t="shared" si="33"/>
        <v xml:space="preserve"> </v>
      </c>
      <c r="Z315" s="100" t="str">
        <f t="shared" si="34"/>
        <v xml:space="preserve"> </v>
      </c>
    </row>
    <row r="316" spans="1:26">
      <c r="A316" s="100"/>
      <c r="B316" s="108" t="str">
        <f>IFERROR(VLOOKUP(Tablo516[[#This Row],[ÜRÜN KODU]],YMKODLARI!$A$1:$K$383,2,0)," ")</f>
        <v xml:space="preserve"> </v>
      </c>
      <c r="C316" s="99"/>
      <c r="D316" s="100"/>
      <c r="E316" s="101"/>
      <c r="F316" s="101"/>
      <c r="G316" s="100" t="str">
        <f>IFERROR(VLOOKUP(Tablo516[[#This Row],[ÜRÜN KODU]],YMKODLARI!$A$1:$K$383,3,0)," ")</f>
        <v xml:space="preserve"> </v>
      </c>
      <c r="H316" s="100" t="str">
        <f>IFERROR(VLOOKUP(Tablo516[[#This Row],[ÜRÜN KODU]],YMKODLARI!$A$1:$K$383,4,0)," ")</f>
        <v xml:space="preserve"> </v>
      </c>
      <c r="I316" s="100"/>
      <c r="J316" s="100" t="str">
        <f>IFERROR(VLOOKUP(Tablo516[[#This Row],[ÜRÜN KODU]],YMKODLARI!$A$1:$K$383,9,0)," ")</f>
        <v xml:space="preserve"> </v>
      </c>
      <c r="K316" s="100" t="str">
        <f>IFERROR(VLOOKUP(Tablo516[[#This Row],[BOYA KODU]],Tablo14[#All],4,0)," ")</f>
        <v xml:space="preserve"> </v>
      </c>
      <c r="L316" s="100" t="str">
        <f>IFERROR(VLOOKUP(Tablo516[[#This Row],[BOYA KODU]],Tablo14[#All],6,0)," ")</f>
        <v xml:space="preserve"> </v>
      </c>
      <c r="M316" s="100" t="str">
        <f t="shared" si="28"/>
        <v xml:space="preserve"> </v>
      </c>
      <c r="N316" s="100" t="str">
        <f>IFERROR(VLOOKUP(Tablo516[[#This Row],[ÜRÜN KODU]],YMKODLARI!$A$1:$K$383,8,0)," ")</f>
        <v xml:space="preserve"> </v>
      </c>
      <c r="O316" s="100" t="str">
        <f>IFERROR(VLOOKUP(Tablo516[[#This Row],[HAMMADDE KODU]],Tablo1[#All],3,0)," ")</f>
        <v xml:space="preserve"> </v>
      </c>
      <c r="P316" s="100" t="str">
        <f>IFERROR(VLOOKUP(Tablo516[[#This Row],[HAMMADDE KODU]],Tablo1[#All],4,0)," ")</f>
        <v xml:space="preserve"> </v>
      </c>
      <c r="Q316" s="100" t="str">
        <f>IFERROR(VLOOKUP(Tablo516[[#This Row],[ÜRÜN KODU]],YMKODLARI!$A$1:$K$383,5,0)," ")</f>
        <v xml:space="preserve"> </v>
      </c>
      <c r="R316" s="100" t="str">
        <f>IFERROR(VLOOKUP(Tablo516[[#This Row],[ÜRÜN KODU]],YMKODLARI!$A$1:$K$383,6,0)," ")</f>
        <v xml:space="preserve"> </v>
      </c>
      <c r="S316" s="100" t="str">
        <f>IFERROR(Tablo516[[#This Row],[YOLLUK HARİÇ BASKI GRAMI]]/Tablo516[[#This Row],[KALIP GÖZ ADEDİ]]," ")</f>
        <v xml:space="preserve"> </v>
      </c>
      <c r="T316" s="100" t="str">
        <f t="shared" si="30"/>
        <v xml:space="preserve"> </v>
      </c>
      <c r="U316" s="100"/>
      <c r="V316" s="100" t="str">
        <f t="shared" si="29"/>
        <v xml:space="preserve"> </v>
      </c>
      <c r="W316" s="101">
        <f t="shared" si="31"/>
        <v>24</v>
      </c>
      <c r="X316" s="102">
        <f t="shared" si="32"/>
        <v>0</v>
      </c>
      <c r="Y316" s="100" t="str">
        <f t="shared" si="33"/>
        <v xml:space="preserve"> </v>
      </c>
      <c r="Z316" s="100" t="str">
        <f t="shared" si="34"/>
        <v xml:space="preserve"> </v>
      </c>
    </row>
    <row r="317" spans="1:26">
      <c r="A317" s="100"/>
      <c r="B317" s="108" t="str">
        <f>IFERROR(VLOOKUP(Tablo516[[#This Row],[ÜRÜN KODU]],YMKODLARI!$A$1:$K$383,2,0)," ")</f>
        <v xml:space="preserve"> </v>
      </c>
      <c r="C317" s="99"/>
      <c r="D317" s="100"/>
      <c r="E317" s="101"/>
      <c r="F317" s="101"/>
      <c r="G317" s="100" t="str">
        <f>IFERROR(VLOOKUP(Tablo516[[#This Row],[ÜRÜN KODU]],YMKODLARI!$A$1:$K$383,3,0)," ")</f>
        <v xml:space="preserve"> </v>
      </c>
      <c r="H317" s="100" t="str">
        <f>IFERROR(VLOOKUP(Tablo516[[#This Row],[ÜRÜN KODU]],YMKODLARI!$A$1:$K$383,4,0)," ")</f>
        <v xml:space="preserve"> </v>
      </c>
      <c r="I317" s="100"/>
      <c r="J317" s="100" t="str">
        <f>IFERROR(VLOOKUP(Tablo516[[#This Row],[ÜRÜN KODU]],YMKODLARI!$A$1:$K$383,9,0)," ")</f>
        <v xml:space="preserve"> </v>
      </c>
      <c r="K317" s="100" t="str">
        <f>IFERROR(VLOOKUP(Tablo516[[#This Row],[BOYA KODU]],Tablo14[#All],4,0)," ")</f>
        <v xml:space="preserve"> </v>
      </c>
      <c r="L317" s="100" t="str">
        <f>IFERROR(VLOOKUP(Tablo516[[#This Row],[BOYA KODU]],Tablo14[#All],6,0)," ")</f>
        <v xml:space="preserve"> </v>
      </c>
      <c r="M317" s="100" t="str">
        <f t="shared" si="28"/>
        <v xml:space="preserve"> </v>
      </c>
      <c r="N317" s="100" t="str">
        <f>IFERROR(VLOOKUP(Tablo516[[#This Row],[ÜRÜN KODU]],YMKODLARI!$A$1:$K$383,8,0)," ")</f>
        <v xml:space="preserve"> </v>
      </c>
      <c r="O317" s="100" t="str">
        <f>IFERROR(VLOOKUP(Tablo516[[#This Row],[HAMMADDE KODU]],Tablo1[#All],3,0)," ")</f>
        <v xml:space="preserve"> </v>
      </c>
      <c r="P317" s="100" t="str">
        <f>IFERROR(VLOOKUP(Tablo516[[#This Row],[HAMMADDE KODU]],Tablo1[#All],4,0)," ")</f>
        <v xml:space="preserve"> </v>
      </c>
      <c r="Q317" s="100" t="str">
        <f>IFERROR(VLOOKUP(Tablo516[[#This Row],[ÜRÜN KODU]],YMKODLARI!$A$1:$K$383,5,0)," ")</f>
        <v xml:space="preserve"> </v>
      </c>
      <c r="R317" s="100" t="str">
        <f>IFERROR(VLOOKUP(Tablo516[[#This Row],[ÜRÜN KODU]],YMKODLARI!$A$1:$K$383,6,0)," ")</f>
        <v xml:space="preserve"> </v>
      </c>
      <c r="S317" s="100" t="str">
        <f>IFERROR(Tablo516[[#This Row],[YOLLUK HARİÇ BASKI GRAMI]]/Tablo516[[#This Row],[KALIP GÖZ ADEDİ]]," ")</f>
        <v xml:space="preserve"> </v>
      </c>
      <c r="T317" s="100" t="str">
        <f t="shared" si="30"/>
        <v xml:space="preserve"> </v>
      </c>
      <c r="U317" s="100"/>
      <c r="V317" s="100" t="str">
        <f t="shared" si="29"/>
        <v xml:space="preserve"> </v>
      </c>
      <c r="W317" s="101">
        <f t="shared" si="31"/>
        <v>24</v>
      </c>
      <c r="X317" s="102">
        <f t="shared" si="32"/>
        <v>0</v>
      </c>
      <c r="Y317" s="100" t="str">
        <f t="shared" si="33"/>
        <v xml:space="preserve"> </v>
      </c>
      <c r="Z317" s="100" t="str">
        <f t="shared" si="34"/>
        <v xml:space="preserve"> </v>
      </c>
    </row>
    <row r="318" spans="1:26">
      <c r="A318" s="100"/>
      <c r="B318" s="108" t="str">
        <f>IFERROR(VLOOKUP(Tablo516[[#This Row],[ÜRÜN KODU]],YMKODLARI!$A$1:$K$383,2,0)," ")</f>
        <v xml:space="preserve"> </v>
      </c>
      <c r="C318" s="99"/>
      <c r="D318" s="100"/>
      <c r="E318" s="101"/>
      <c r="F318" s="101"/>
      <c r="G318" s="100" t="str">
        <f>IFERROR(VLOOKUP(Tablo516[[#This Row],[ÜRÜN KODU]],YMKODLARI!$A$1:$K$383,3,0)," ")</f>
        <v xml:space="preserve"> </v>
      </c>
      <c r="H318" s="100" t="str">
        <f>IFERROR(VLOOKUP(Tablo516[[#This Row],[ÜRÜN KODU]],YMKODLARI!$A$1:$K$383,4,0)," ")</f>
        <v xml:space="preserve"> </v>
      </c>
      <c r="I318" s="100"/>
      <c r="J318" s="100" t="str">
        <f>IFERROR(VLOOKUP(Tablo516[[#This Row],[ÜRÜN KODU]],YMKODLARI!$A$1:$K$383,9,0)," ")</f>
        <v xml:space="preserve"> </v>
      </c>
      <c r="K318" s="100" t="str">
        <f>IFERROR(VLOOKUP(Tablo516[[#This Row],[BOYA KODU]],Tablo14[#All],4,0)," ")</f>
        <v xml:space="preserve"> </v>
      </c>
      <c r="L318" s="100" t="str">
        <f>IFERROR(VLOOKUP(Tablo516[[#This Row],[BOYA KODU]],Tablo14[#All],6,0)," ")</f>
        <v xml:space="preserve"> </v>
      </c>
      <c r="M318" s="100" t="str">
        <f t="shared" si="28"/>
        <v xml:space="preserve"> </v>
      </c>
      <c r="N318" s="100" t="str">
        <f>IFERROR(VLOOKUP(Tablo516[[#This Row],[ÜRÜN KODU]],YMKODLARI!$A$1:$K$383,8,0)," ")</f>
        <v xml:space="preserve"> </v>
      </c>
      <c r="O318" s="100" t="str">
        <f>IFERROR(VLOOKUP(Tablo516[[#This Row],[HAMMADDE KODU]],Tablo1[#All],3,0)," ")</f>
        <v xml:space="preserve"> </v>
      </c>
      <c r="P318" s="100" t="str">
        <f>IFERROR(VLOOKUP(Tablo516[[#This Row],[HAMMADDE KODU]],Tablo1[#All],4,0)," ")</f>
        <v xml:space="preserve"> </v>
      </c>
      <c r="Q318" s="100" t="str">
        <f>IFERROR(VLOOKUP(Tablo516[[#This Row],[ÜRÜN KODU]],YMKODLARI!$A$1:$K$383,5,0)," ")</f>
        <v xml:space="preserve"> </v>
      </c>
      <c r="R318" s="100" t="str">
        <f>IFERROR(VLOOKUP(Tablo516[[#This Row],[ÜRÜN KODU]],YMKODLARI!$A$1:$K$383,6,0)," ")</f>
        <v xml:space="preserve"> </v>
      </c>
      <c r="S318" s="100" t="str">
        <f>IFERROR(Tablo516[[#This Row],[YOLLUK HARİÇ BASKI GRAMI]]/Tablo516[[#This Row],[KALIP GÖZ ADEDİ]]," ")</f>
        <v xml:space="preserve"> </v>
      </c>
      <c r="T318" s="100" t="str">
        <f t="shared" si="30"/>
        <v xml:space="preserve"> </v>
      </c>
      <c r="U318" s="100"/>
      <c r="V318" s="100" t="str">
        <f t="shared" si="29"/>
        <v xml:space="preserve"> </v>
      </c>
      <c r="W318" s="101">
        <f t="shared" si="31"/>
        <v>24</v>
      </c>
      <c r="X318" s="102">
        <f t="shared" si="32"/>
        <v>0</v>
      </c>
      <c r="Y318" s="100" t="str">
        <f t="shared" si="33"/>
        <v xml:space="preserve"> </v>
      </c>
      <c r="Z318" s="100" t="str">
        <f t="shared" si="34"/>
        <v xml:space="preserve"> </v>
      </c>
    </row>
    <row r="319" spans="1:26">
      <c r="A319" s="100"/>
      <c r="B319" s="108" t="str">
        <f>IFERROR(VLOOKUP(Tablo516[[#This Row],[ÜRÜN KODU]],YMKODLARI!$A$1:$K$383,2,0)," ")</f>
        <v xml:space="preserve"> </v>
      </c>
      <c r="C319" s="99"/>
      <c r="D319" s="100"/>
      <c r="E319" s="101"/>
      <c r="F319" s="101"/>
      <c r="G319" s="100" t="str">
        <f>IFERROR(VLOOKUP(Tablo516[[#This Row],[ÜRÜN KODU]],YMKODLARI!$A$1:$K$383,3,0)," ")</f>
        <v xml:space="preserve"> </v>
      </c>
      <c r="H319" s="100" t="str">
        <f>IFERROR(VLOOKUP(Tablo516[[#This Row],[ÜRÜN KODU]],YMKODLARI!$A$1:$K$383,4,0)," ")</f>
        <v xml:space="preserve"> </v>
      </c>
      <c r="I319" s="100"/>
      <c r="J319" s="100" t="str">
        <f>IFERROR(VLOOKUP(Tablo516[[#This Row],[ÜRÜN KODU]],YMKODLARI!$A$1:$K$383,9,0)," ")</f>
        <v xml:space="preserve"> </v>
      </c>
      <c r="K319" s="100" t="str">
        <f>IFERROR(VLOOKUP(Tablo516[[#This Row],[BOYA KODU]],Tablo14[#All],4,0)," ")</f>
        <v xml:space="preserve"> </v>
      </c>
      <c r="L319" s="100" t="str">
        <f>IFERROR(VLOOKUP(Tablo516[[#This Row],[BOYA KODU]],Tablo14[#All],6,0)," ")</f>
        <v xml:space="preserve"> </v>
      </c>
      <c r="M319" s="100" t="str">
        <f t="shared" si="28"/>
        <v xml:space="preserve"> </v>
      </c>
      <c r="N319" s="100" t="str">
        <f>IFERROR(VLOOKUP(Tablo516[[#This Row],[ÜRÜN KODU]],YMKODLARI!$A$1:$K$383,8,0)," ")</f>
        <v xml:space="preserve"> </v>
      </c>
      <c r="O319" s="100" t="str">
        <f>IFERROR(VLOOKUP(Tablo516[[#This Row],[HAMMADDE KODU]],Tablo1[#All],3,0)," ")</f>
        <v xml:space="preserve"> </v>
      </c>
      <c r="P319" s="100" t="str">
        <f>IFERROR(VLOOKUP(Tablo516[[#This Row],[HAMMADDE KODU]],Tablo1[#All],4,0)," ")</f>
        <v xml:space="preserve"> </v>
      </c>
      <c r="Q319" s="100" t="str">
        <f>IFERROR(VLOOKUP(Tablo516[[#This Row],[ÜRÜN KODU]],YMKODLARI!$A$1:$K$383,5,0)," ")</f>
        <v xml:space="preserve"> </v>
      </c>
      <c r="R319" s="100" t="str">
        <f>IFERROR(VLOOKUP(Tablo516[[#This Row],[ÜRÜN KODU]],YMKODLARI!$A$1:$K$383,6,0)," ")</f>
        <v xml:space="preserve"> </v>
      </c>
      <c r="S319" s="100" t="str">
        <f>IFERROR(Tablo516[[#This Row],[YOLLUK HARİÇ BASKI GRAMI]]/Tablo516[[#This Row],[KALIP GÖZ ADEDİ]]," ")</f>
        <v xml:space="preserve"> </v>
      </c>
      <c r="T319" s="100" t="str">
        <f t="shared" si="30"/>
        <v xml:space="preserve"> </v>
      </c>
      <c r="U319" s="100"/>
      <c r="V319" s="100" t="str">
        <f t="shared" si="29"/>
        <v xml:space="preserve"> </v>
      </c>
      <c r="W319" s="101">
        <f t="shared" si="31"/>
        <v>24</v>
      </c>
      <c r="X319" s="102">
        <f t="shared" si="32"/>
        <v>0</v>
      </c>
      <c r="Y319" s="100" t="str">
        <f t="shared" si="33"/>
        <v xml:space="preserve"> </v>
      </c>
      <c r="Z319" s="100" t="str">
        <f t="shared" si="34"/>
        <v xml:space="preserve"> </v>
      </c>
    </row>
    <row r="320" spans="1:26">
      <c r="A320" s="100"/>
      <c r="B320" s="108" t="str">
        <f>IFERROR(VLOOKUP(Tablo516[[#This Row],[ÜRÜN KODU]],YMKODLARI!$A$1:$K$383,2,0)," ")</f>
        <v xml:space="preserve"> </v>
      </c>
      <c r="C320" s="99"/>
      <c r="D320" s="100"/>
      <c r="E320" s="101"/>
      <c r="F320" s="101"/>
      <c r="G320" s="100" t="str">
        <f>IFERROR(VLOOKUP(Tablo516[[#This Row],[ÜRÜN KODU]],YMKODLARI!$A$1:$K$383,3,0)," ")</f>
        <v xml:space="preserve"> </v>
      </c>
      <c r="H320" s="100" t="str">
        <f>IFERROR(VLOOKUP(Tablo516[[#This Row],[ÜRÜN KODU]],YMKODLARI!$A$1:$K$383,4,0)," ")</f>
        <v xml:space="preserve"> </v>
      </c>
      <c r="I320" s="100"/>
      <c r="J320" s="100" t="str">
        <f>IFERROR(VLOOKUP(Tablo516[[#This Row],[ÜRÜN KODU]],YMKODLARI!$A$1:$K$383,9,0)," ")</f>
        <v xml:space="preserve"> </v>
      </c>
      <c r="K320" s="100" t="str">
        <f>IFERROR(VLOOKUP(Tablo516[[#This Row],[BOYA KODU]],Tablo14[#All],4,0)," ")</f>
        <v xml:space="preserve"> </v>
      </c>
      <c r="L320" s="100" t="str">
        <f>IFERROR(VLOOKUP(Tablo516[[#This Row],[BOYA KODU]],Tablo14[#All],6,0)," ")</f>
        <v xml:space="preserve"> </v>
      </c>
      <c r="M320" s="100" t="str">
        <f t="shared" si="28"/>
        <v xml:space="preserve"> </v>
      </c>
      <c r="N320" s="100" t="str">
        <f>IFERROR(VLOOKUP(Tablo516[[#This Row],[ÜRÜN KODU]],YMKODLARI!$A$1:$K$383,8,0)," ")</f>
        <v xml:space="preserve"> </v>
      </c>
      <c r="O320" s="100" t="str">
        <f>IFERROR(VLOOKUP(Tablo516[[#This Row],[HAMMADDE KODU]],Tablo1[#All],3,0)," ")</f>
        <v xml:space="preserve"> </v>
      </c>
      <c r="P320" s="100" t="str">
        <f>IFERROR(VLOOKUP(Tablo516[[#This Row],[HAMMADDE KODU]],Tablo1[#All],4,0)," ")</f>
        <v xml:space="preserve"> </v>
      </c>
      <c r="Q320" s="100" t="str">
        <f>IFERROR(VLOOKUP(Tablo516[[#This Row],[ÜRÜN KODU]],YMKODLARI!$A$1:$K$383,5,0)," ")</f>
        <v xml:space="preserve"> </v>
      </c>
      <c r="R320" s="100" t="str">
        <f>IFERROR(VLOOKUP(Tablo516[[#This Row],[ÜRÜN KODU]],YMKODLARI!$A$1:$K$383,6,0)," ")</f>
        <v xml:space="preserve"> </v>
      </c>
      <c r="S320" s="100" t="str">
        <f>IFERROR(Tablo516[[#This Row],[YOLLUK HARİÇ BASKI GRAMI]]/Tablo516[[#This Row],[KALIP GÖZ ADEDİ]]," ")</f>
        <v xml:space="preserve"> </v>
      </c>
      <c r="T320" s="100" t="str">
        <f t="shared" si="30"/>
        <v xml:space="preserve"> </v>
      </c>
      <c r="U320" s="100"/>
      <c r="V320" s="100" t="str">
        <f t="shared" si="29"/>
        <v xml:space="preserve"> </v>
      </c>
      <c r="W320" s="101">
        <f t="shared" si="31"/>
        <v>24</v>
      </c>
      <c r="X320" s="102">
        <f t="shared" si="32"/>
        <v>0</v>
      </c>
      <c r="Y320" s="100" t="str">
        <f t="shared" si="33"/>
        <v xml:space="preserve"> </v>
      </c>
      <c r="Z320" s="100" t="str">
        <f t="shared" si="34"/>
        <v xml:space="preserve"> </v>
      </c>
    </row>
    <row r="321" spans="1:26">
      <c r="A321" s="100"/>
      <c r="B321" s="108" t="str">
        <f>IFERROR(VLOOKUP(Tablo516[[#This Row],[ÜRÜN KODU]],YMKODLARI!$A$1:$K$383,2,0)," ")</f>
        <v xml:space="preserve"> </v>
      </c>
      <c r="C321" s="99"/>
      <c r="D321" s="100"/>
      <c r="E321" s="101"/>
      <c r="F321" s="101"/>
      <c r="G321" s="100" t="str">
        <f>IFERROR(VLOOKUP(Tablo516[[#This Row],[ÜRÜN KODU]],YMKODLARI!$A$1:$K$383,3,0)," ")</f>
        <v xml:space="preserve"> </v>
      </c>
      <c r="H321" s="100" t="str">
        <f>IFERROR(VLOOKUP(Tablo516[[#This Row],[ÜRÜN KODU]],YMKODLARI!$A$1:$K$383,4,0)," ")</f>
        <v xml:space="preserve"> </v>
      </c>
      <c r="I321" s="100"/>
      <c r="J321" s="100" t="str">
        <f>IFERROR(VLOOKUP(Tablo516[[#This Row],[ÜRÜN KODU]],YMKODLARI!$A$1:$K$383,9,0)," ")</f>
        <v xml:space="preserve"> </v>
      </c>
      <c r="K321" s="100" t="str">
        <f>IFERROR(VLOOKUP(Tablo516[[#This Row],[BOYA KODU]],Tablo14[#All],4,0)," ")</f>
        <v xml:space="preserve"> </v>
      </c>
      <c r="L321" s="100" t="str">
        <f>IFERROR(VLOOKUP(Tablo516[[#This Row],[BOYA KODU]],Tablo14[#All],6,0)," ")</f>
        <v xml:space="preserve"> </v>
      </c>
      <c r="M321" s="100" t="str">
        <f t="shared" si="28"/>
        <v xml:space="preserve"> </v>
      </c>
      <c r="N321" s="100" t="str">
        <f>IFERROR(VLOOKUP(Tablo516[[#This Row],[ÜRÜN KODU]],YMKODLARI!$A$1:$K$383,8,0)," ")</f>
        <v xml:space="preserve"> </v>
      </c>
      <c r="O321" s="100" t="str">
        <f>IFERROR(VLOOKUP(Tablo516[[#This Row],[HAMMADDE KODU]],Tablo1[#All],3,0)," ")</f>
        <v xml:space="preserve"> </v>
      </c>
      <c r="P321" s="100" t="str">
        <f>IFERROR(VLOOKUP(Tablo516[[#This Row],[HAMMADDE KODU]],Tablo1[#All],4,0)," ")</f>
        <v xml:space="preserve"> </v>
      </c>
      <c r="Q321" s="100" t="str">
        <f>IFERROR(VLOOKUP(Tablo516[[#This Row],[ÜRÜN KODU]],YMKODLARI!$A$1:$K$383,5,0)," ")</f>
        <v xml:space="preserve"> </v>
      </c>
      <c r="R321" s="100" t="str">
        <f>IFERROR(VLOOKUP(Tablo516[[#This Row],[ÜRÜN KODU]],YMKODLARI!$A$1:$K$383,6,0)," ")</f>
        <v xml:space="preserve"> </v>
      </c>
      <c r="S321" s="100" t="str">
        <f>IFERROR(Tablo516[[#This Row],[YOLLUK HARİÇ BASKI GRAMI]]/Tablo516[[#This Row],[KALIP GÖZ ADEDİ]]," ")</f>
        <v xml:space="preserve"> </v>
      </c>
      <c r="T321" s="100" t="str">
        <f t="shared" si="30"/>
        <v xml:space="preserve"> </v>
      </c>
      <c r="U321" s="100"/>
      <c r="V321" s="100" t="str">
        <f t="shared" si="29"/>
        <v xml:space="preserve"> </v>
      </c>
      <c r="W321" s="101">
        <f t="shared" si="31"/>
        <v>24</v>
      </c>
      <c r="X321" s="102">
        <f t="shared" si="32"/>
        <v>0</v>
      </c>
      <c r="Y321" s="100" t="str">
        <f t="shared" si="33"/>
        <v xml:space="preserve"> </v>
      </c>
      <c r="Z321" s="100" t="str">
        <f t="shared" si="34"/>
        <v xml:space="preserve"> </v>
      </c>
    </row>
    <row r="322" spans="1:26">
      <c r="A322" s="100"/>
      <c r="B322" s="108" t="str">
        <f>IFERROR(VLOOKUP(Tablo516[[#This Row],[ÜRÜN KODU]],YMKODLARI!$A$1:$K$383,2,0)," ")</f>
        <v xml:space="preserve"> </v>
      </c>
      <c r="C322" s="99"/>
      <c r="D322" s="100"/>
      <c r="E322" s="101"/>
      <c r="F322" s="101"/>
      <c r="G322" s="100" t="str">
        <f>IFERROR(VLOOKUP(Tablo516[[#This Row],[ÜRÜN KODU]],YMKODLARI!$A$1:$K$383,3,0)," ")</f>
        <v xml:space="preserve"> </v>
      </c>
      <c r="H322" s="100" t="str">
        <f>IFERROR(VLOOKUP(Tablo516[[#This Row],[ÜRÜN KODU]],YMKODLARI!$A$1:$K$383,4,0)," ")</f>
        <v xml:space="preserve"> </v>
      </c>
      <c r="I322" s="100"/>
      <c r="J322" s="100" t="str">
        <f>IFERROR(VLOOKUP(Tablo516[[#This Row],[ÜRÜN KODU]],YMKODLARI!$A$1:$K$383,9,0)," ")</f>
        <v xml:space="preserve"> </v>
      </c>
      <c r="K322" s="100" t="str">
        <f>IFERROR(VLOOKUP(Tablo516[[#This Row],[BOYA KODU]],Tablo14[#All],4,0)," ")</f>
        <v xml:space="preserve"> </v>
      </c>
      <c r="L322" s="100" t="str">
        <f>IFERROR(VLOOKUP(Tablo516[[#This Row],[BOYA KODU]],Tablo14[#All],6,0)," ")</f>
        <v xml:space="preserve"> </v>
      </c>
      <c r="M322" s="100" t="str">
        <f t="shared" ref="M322:M385" si="35">IFERROR((I322*Q322)*L322," ")</f>
        <v xml:space="preserve"> </v>
      </c>
      <c r="N322" s="100" t="str">
        <f>IFERROR(VLOOKUP(Tablo516[[#This Row],[ÜRÜN KODU]],YMKODLARI!$A$1:$K$383,8,0)," ")</f>
        <v xml:space="preserve"> </v>
      </c>
      <c r="O322" s="100" t="str">
        <f>IFERROR(VLOOKUP(Tablo516[[#This Row],[HAMMADDE KODU]],Tablo1[#All],3,0)," ")</f>
        <v xml:space="preserve"> </v>
      </c>
      <c r="P322" s="100" t="str">
        <f>IFERROR(VLOOKUP(Tablo516[[#This Row],[HAMMADDE KODU]],Tablo1[#All],4,0)," ")</f>
        <v xml:space="preserve"> </v>
      </c>
      <c r="Q322" s="100" t="str">
        <f>IFERROR(VLOOKUP(Tablo516[[#This Row],[ÜRÜN KODU]],YMKODLARI!$A$1:$K$383,5,0)," ")</f>
        <v xml:space="preserve"> </v>
      </c>
      <c r="R322" s="100" t="str">
        <f>IFERROR(VLOOKUP(Tablo516[[#This Row],[ÜRÜN KODU]],YMKODLARI!$A$1:$K$383,6,0)," ")</f>
        <v xml:space="preserve"> </v>
      </c>
      <c r="S322" s="100" t="str">
        <f>IFERROR(Tablo516[[#This Row],[YOLLUK HARİÇ BASKI GRAMI]]/Tablo516[[#This Row],[KALIP GÖZ ADEDİ]]," ")</f>
        <v xml:space="preserve"> </v>
      </c>
      <c r="T322" s="100" t="str">
        <f t="shared" si="30"/>
        <v xml:space="preserve"> </v>
      </c>
      <c r="U322" s="100"/>
      <c r="V322" s="100" t="str">
        <f t="shared" ref="V322:V385" si="36">IFERROR(U322+(R322*I322) /1000," ")</f>
        <v xml:space="preserve"> </v>
      </c>
      <c r="W322" s="101">
        <f t="shared" si="31"/>
        <v>24</v>
      </c>
      <c r="X322" s="102">
        <f t="shared" si="32"/>
        <v>0</v>
      </c>
      <c r="Y322" s="100" t="str">
        <f t="shared" si="33"/>
        <v xml:space="preserve"> </v>
      </c>
      <c r="Z322" s="100" t="str">
        <f t="shared" si="34"/>
        <v xml:space="preserve"> </v>
      </c>
    </row>
    <row r="323" spans="1:26">
      <c r="A323" s="100"/>
      <c r="B323" s="108" t="str">
        <f>IFERROR(VLOOKUP(Tablo516[[#This Row],[ÜRÜN KODU]],YMKODLARI!$A$1:$K$383,2,0)," ")</f>
        <v xml:space="preserve"> </v>
      </c>
      <c r="C323" s="99"/>
      <c r="D323" s="100"/>
      <c r="E323" s="101"/>
      <c r="F323" s="101"/>
      <c r="G323" s="100" t="str">
        <f>IFERROR(VLOOKUP(Tablo516[[#This Row],[ÜRÜN KODU]],YMKODLARI!$A$1:$K$383,3,0)," ")</f>
        <v xml:space="preserve"> </v>
      </c>
      <c r="H323" s="100" t="str">
        <f>IFERROR(VLOOKUP(Tablo516[[#This Row],[ÜRÜN KODU]],YMKODLARI!$A$1:$K$383,4,0)," ")</f>
        <v xml:space="preserve"> </v>
      </c>
      <c r="I323" s="100"/>
      <c r="J323" s="100" t="str">
        <f>IFERROR(VLOOKUP(Tablo516[[#This Row],[ÜRÜN KODU]],YMKODLARI!$A$1:$K$383,9,0)," ")</f>
        <v xml:space="preserve"> </v>
      </c>
      <c r="K323" s="100" t="str">
        <f>IFERROR(VLOOKUP(Tablo516[[#This Row],[BOYA KODU]],Tablo14[#All],4,0)," ")</f>
        <v xml:space="preserve"> </v>
      </c>
      <c r="L323" s="100" t="str">
        <f>IFERROR(VLOOKUP(Tablo516[[#This Row],[BOYA KODU]],Tablo14[#All],6,0)," ")</f>
        <v xml:space="preserve"> </v>
      </c>
      <c r="M323" s="100" t="str">
        <f t="shared" si="35"/>
        <v xml:space="preserve"> </v>
      </c>
      <c r="N323" s="100" t="str">
        <f>IFERROR(VLOOKUP(Tablo516[[#This Row],[ÜRÜN KODU]],YMKODLARI!$A$1:$K$383,8,0)," ")</f>
        <v xml:space="preserve"> </v>
      </c>
      <c r="O323" s="100" t="str">
        <f>IFERROR(VLOOKUP(Tablo516[[#This Row],[HAMMADDE KODU]],Tablo1[#All],3,0)," ")</f>
        <v xml:space="preserve"> </v>
      </c>
      <c r="P323" s="100" t="str">
        <f>IFERROR(VLOOKUP(Tablo516[[#This Row],[HAMMADDE KODU]],Tablo1[#All],4,0)," ")</f>
        <v xml:space="preserve"> </v>
      </c>
      <c r="Q323" s="100" t="str">
        <f>IFERROR(VLOOKUP(Tablo516[[#This Row],[ÜRÜN KODU]],YMKODLARI!$A$1:$K$383,5,0)," ")</f>
        <v xml:space="preserve"> </v>
      </c>
      <c r="R323" s="100" t="str">
        <f>IFERROR(VLOOKUP(Tablo516[[#This Row],[ÜRÜN KODU]],YMKODLARI!$A$1:$K$383,6,0)," ")</f>
        <v xml:space="preserve"> </v>
      </c>
      <c r="S323" s="100" t="str">
        <f>IFERROR(Tablo516[[#This Row],[YOLLUK HARİÇ BASKI GRAMI]]/Tablo516[[#This Row],[KALIP GÖZ ADEDİ]]," ")</f>
        <v xml:space="preserve"> </v>
      </c>
      <c r="T323" s="100" t="str">
        <f t="shared" ref="T323:T386" si="37">IFERROR(Q323-R323," ")</f>
        <v xml:space="preserve"> </v>
      </c>
      <c r="U323" s="100"/>
      <c r="V323" s="100" t="str">
        <f t="shared" si="36"/>
        <v xml:space="preserve"> </v>
      </c>
      <c r="W323" s="101">
        <f t="shared" ref="W323:W386" si="38">IFERROR(24-(E323-F323)," ")</f>
        <v>24</v>
      </c>
      <c r="X323" s="102">
        <f t="shared" ref="X323:X386" si="39">IFERROR((W323-INT(W323))*24," ")</f>
        <v>0</v>
      </c>
      <c r="Y323" s="100" t="str">
        <f t="shared" ref="Y323:Y386" si="40">IFERROR(H323*I323/3600," ")</f>
        <v xml:space="preserve"> </v>
      </c>
      <c r="Z323" s="100" t="str">
        <f t="shared" ref="Z323:Z386" si="41">IFERROR(I323*G323," " )</f>
        <v xml:space="preserve"> </v>
      </c>
    </row>
    <row r="324" spans="1:26">
      <c r="A324" s="100"/>
      <c r="B324" s="108" t="str">
        <f>IFERROR(VLOOKUP(Tablo516[[#This Row],[ÜRÜN KODU]],YMKODLARI!$A$1:$K$383,2,0)," ")</f>
        <v xml:space="preserve"> </v>
      </c>
      <c r="C324" s="99"/>
      <c r="D324" s="100"/>
      <c r="E324" s="101"/>
      <c r="F324" s="101"/>
      <c r="G324" s="100" t="str">
        <f>IFERROR(VLOOKUP(Tablo516[[#This Row],[ÜRÜN KODU]],YMKODLARI!$A$1:$K$383,3,0)," ")</f>
        <v xml:space="preserve"> </v>
      </c>
      <c r="H324" s="100" t="str">
        <f>IFERROR(VLOOKUP(Tablo516[[#This Row],[ÜRÜN KODU]],YMKODLARI!$A$1:$K$383,4,0)," ")</f>
        <v xml:space="preserve"> </v>
      </c>
      <c r="I324" s="100"/>
      <c r="J324" s="100" t="str">
        <f>IFERROR(VLOOKUP(Tablo516[[#This Row],[ÜRÜN KODU]],YMKODLARI!$A$1:$K$383,9,0)," ")</f>
        <v xml:space="preserve"> </v>
      </c>
      <c r="K324" s="100" t="str">
        <f>IFERROR(VLOOKUP(Tablo516[[#This Row],[BOYA KODU]],Tablo14[#All],4,0)," ")</f>
        <v xml:space="preserve"> </v>
      </c>
      <c r="L324" s="100" t="str">
        <f>IFERROR(VLOOKUP(Tablo516[[#This Row],[BOYA KODU]],Tablo14[#All],6,0)," ")</f>
        <v xml:space="preserve"> </v>
      </c>
      <c r="M324" s="100" t="str">
        <f t="shared" si="35"/>
        <v xml:space="preserve"> </v>
      </c>
      <c r="N324" s="100" t="str">
        <f>IFERROR(VLOOKUP(Tablo516[[#This Row],[ÜRÜN KODU]],YMKODLARI!$A$1:$K$383,8,0)," ")</f>
        <v xml:space="preserve"> </v>
      </c>
      <c r="O324" s="100" t="str">
        <f>IFERROR(VLOOKUP(Tablo516[[#This Row],[HAMMADDE KODU]],Tablo1[#All],3,0)," ")</f>
        <v xml:space="preserve"> </v>
      </c>
      <c r="P324" s="100" t="str">
        <f>IFERROR(VLOOKUP(Tablo516[[#This Row],[HAMMADDE KODU]],Tablo1[#All],4,0)," ")</f>
        <v xml:space="preserve"> </v>
      </c>
      <c r="Q324" s="100" t="str">
        <f>IFERROR(VLOOKUP(Tablo516[[#This Row],[ÜRÜN KODU]],YMKODLARI!$A$1:$K$383,5,0)," ")</f>
        <v xml:space="preserve"> </v>
      </c>
      <c r="R324" s="100" t="str">
        <f>IFERROR(VLOOKUP(Tablo516[[#This Row],[ÜRÜN KODU]],YMKODLARI!$A$1:$K$383,6,0)," ")</f>
        <v xml:space="preserve"> </v>
      </c>
      <c r="S324" s="100" t="str">
        <f>IFERROR(Tablo516[[#This Row],[YOLLUK HARİÇ BASKI GRAMI]]/Tablo516[[#This Row],[KALIP GÖZ ADEDİ]]," ")</f>
        <v xml:space="preserve"> </v>
      </c>
      <c r="T324" s="100" t="str">
        <f t="shared" si="37"/>
        <v xml:space="preserve"> </v>
      </c>
      <c r="U324" s="100"/>
      <c r="V324" s="100" t="str">
        <f t="shared" si="36"/>
        <v xml:space="preserve"> </v>
      </c>
      <c r="W324" s="101">
        <f t="shared" si="38"/>
        <v>24</v>
      </c>
      <c r="X324" s="102">
        <f t="shared" si="39"/>
        <v>0</v>
      </c>
      <c r="Y324" s="100" t="str">
        <f t="shared" si="40"/>
        <v xml:space="preserve"> </v>
      </c>
      <c r="Z324" s="100" t="str">
        <f t="shared" si="41"/>
        <v xml:space="preserve"> </v>
      </c>
    </row>
    <row r="325" spans="1:26">
      <c r="A325" s="100"/>
      <c r="B325" s="108" t="str">
        <f>IFERROR(VLOOKUP(Tablo516[[#This Row],[ÜRÜN KODU]],YMKODLARI!$A$1:$K$383,2,0)," ")</f>
        <v xml:space="preserve"> </v>
      </c>
      <c r="C325" s="99"/>
      <c r="D325" s="100"/>
      <c r="E325" s="101"/>
      <c r="F325" s="101"/>
      <c r="G325" s="100" t="str">
        <f>IFERROR(VLOOKUP(Tablo516[[#This Row],[ÜRÜN KODU]],YMKODLARI!$A$1:$K$383,3,0)," ")</f>
        <v xml:space="preserve"> </v>
      </c>
      <c r="H325" s="100" t="str">
        <f>IFERROR(VLOOKUP(Tablo516[[#This Row],[ÜRÜN KODU]],YMKODLARI!$A$1:$K$383,4,0)," ")</f>
        <v xml:space="preserve"> </v>
      </c>
      <c r="I325" s="100"/>
      <c r="J325" s="100" t="str">
        <f>IFERROR(VLOOKUP(Tablo516[[#This Row],[ÜRÜN KODU]],YMKODLARI!$A$1:$K$383,9,0)," ")</f>
        <v xml:space="preserve"> </v>
      </c>
      <c r="K325" s="100" t="str">
        <f>IFERROR(VLOOKUP(Tablo516[[#This Row],[BOYA KODU]],Tablo14[#All],4,0)," ")</f>
        <v xml:space="preserve"> </v>
      </c>
      <c r="L325" s="100" t="str">
        <f>IFERROR(VLOOKUP(Tablo516[[#This Row],[BOYA KODU]],Tablo14[#All],6,0)," ")</f>
        <v xml:space="preserve"> </v>
      </c>
      <c r="M325" s="100" t="str">
        <f t="shared" si="35"/>
        <v xml:space="preserve"> </v>
      </c>
      <c r="N325" s="100" t="str">
        <f>IFERROR(VLOOKUP(Tablo516[[#This Row],[ÜRÜN KODU]],YMKODLARI!$A$1:$K$383,8,0)," ")</f>
        <v xml:space="preserve"> </v>
      </c>
      <c r="O325" s="100" t="str">
        <f>IFERROR(VLOOKUP(Tablo516[[#This Row],[HAMMADDE KODU]],Tablo1[#All],3,0)," ")</f>
        <v xml:space="preserve"> </v>
      </c>
      <c r="P325" s="100" t="str">
        <f>IFERROR(VLOOKUP(Tablo516[[#This Row],[HAMMADDE KODU]],Tablo1[#All],4,0)," ")</f>
        <v xml:space="preserve"> </v>
      </c>
      <c r="Q325" s="100" t="str">
        <f>IFERROR(VLOOKUP(Tablo516[[#This Row],[ÜRÜN KODU]],YMKODLARI!$A$1:$K$383,5,0)," ")</f>
        <v xml:space="preserve"> </v>
      </c>
      <c r="R325" s="100" t="str">
        <f>IFERROR(VLOOKUP(Tablo516[[#This Row],[ÜRÜN KODU]],YMKODLARI!$A$1:$K$383,6,0)," ")</f>
        <v xml:space="preserve"> </v>
      </c>
      <c r="S325" s="100" t="str">
        <f>IFERROR(Tablo516[[#This Row],[YOLLUK HARİÇ BASKI GRAMI]]/Tablo516[[#This Row],[KALIP GÖZ ADEDİ]]," ")</f>
        <v xml:space="preserve"> </v>
      </c>
      <c r="T325" s="100" t="str">
        <f t="shared" si="37"/>
        <v xml:space="preserve"> </v>
      </c>
      <c r="U325" s="100"/>
      <c r="V325" s="100" t="str">
        <f t="shared" si="36"/>
        <v xml:space="preserve"> </v>
      </c>
      <c r="W325" s="101">
        <f t="shared" si="38"/>
        <v>24</v>
      </c>
      <c r="X325" s="102">
        <f t="shared" si="39"/>
        <v>0</v>
      </c>
      <c r="Y325" s="100" t="str">
        <f t="shared" si="40"/>
        <v xml:space="preserve"> </v>
      </c>
      <c r="Z325" s="100" t="str">
        <f t="shared" si="41"/>
        <v xml:space="preserve"> </v>
      </c>
    </row>
    <row r="326" spans="1:26">
      <c r="A326" s="100"/>
      <c r="B326" s="108" t="str">
        <f>IFERROR(VLOOKUP(Tablo516[[#This Row],[ÜRÜN KODU]],YMKODLARI!$A$1:$K$383,2,0)," ")</f>
        <v xml:space="preserve"> </v>
      </c>
      <c r="C326" s="99"/>
      <c r="D326" s="100"/>
      <c r="E326" s="101"/>
      <c r="F326" s="101"/>
      <c r="G326" s="100" t="str">
        <f>IFERROR(VLOOKUP(Tablo516[[#This Row],[ÜRÜN KODU]],YMKODLARI!$A$1:$K$383,3,0)," ")</f>
        <v xml:space="preserve"> </v>
      </c>
      <c r="H326" s="100" t="str">
        <f>IFERROR(VLOOKUP(Tablo516[[#This Row],[ÜRÜN KODU]],YMKODLARI!$A$1:$K$383,4,0)," ")</f>
        <v xml:space="preserve"> </v>
      </c>
      <c r="I326" s="100"/>
      <c r="J326" s="100" t="str">
        <f>IFERROR(VLOOKUP(Tablo516[[#This Row],[ÜRÜN KODU]],YMKODLARI!$A$1:$K$383,9,0)," ")</f>
        <v xml:space="preserve"> </v>
      </c>
      <c r="K326" s="100" t="str">
        <f>IFERROR(VLOOKUP(Tablo516[[#This Row],[BOYA KODU]],Tablo14[#All],4,0)," ")</f>
        <v xml:space="preserve"> </v>
      </c>
      <c r="L326" s="100" t="str">
        <f>IFERROR(VLOOKUP(Tablo516[[#This Row],[BOYA KODU]],Tablo14[#All],6,0)," ")</f>
        <v xml:space="preserve"> </v>
      </c>
      <c r="M326" s="100" t="str">
        <f t="shared" si="35"/>
        <v xml:space="preserve"> </v>
      </c>
      <c r="N326" s="100" t="str">
        <f>IFERROR(VLOOKUP(Tablo516[[#This Row],[ÜRÜN KODU]],YMKODLARI!$A$1:$K$383,8,0)," ")</f>
        <v xml:space="preserve"> </v>
      </c>
      <c r="O326" s="100" t="str">
        <f>IFERROR(VLOOKUP(Tablo516[[#This Row],[HAMMADDE KODU]],Tablo1[#All],3,0)," ")</f>
        <v xml:space="preserve"> </v>
      </c>
      <c r="P326" s="100" t="str">
        <f>IFERROR(VLOOKUP(Tablo516[[#This Row],[HAMMADDE KODU]],Tablo1[#All],4,0)," ")</f>
        <v xml:space="preserve"> </v>
      </c>
      <c r="Q326" s="100" t="str">
        <f>IFERROR(VLOOKUP(Tablo516[[#This Row],[ÜRÜN KODU]],YMKODLARI!$A$1:$K$383,5,0)," ")</f>
        <v xml:space="preserve"> </v>
      </c>
      <c r="R326" s="100" t="str">
        <f>IFERROR(VLOOKUP(Tablo516[[#This Row],[ÜRÜN KODU]],YMKODLARI!$A$1:$K$383,6,0)," ")</f>
        <v xml:space="preserve"> </v>
      </c>
      <c r="S326" s="100" t="str">
        <f>IFERROR(Tablo516[[#This Row],[YOLLUK HARİÇ BASKI GRAMI]]/Tablo516[[#This Row],[KALIP GÖZ ADEDİ]]," ")</f>
        <v xml:space="preserve"> </v>
      </c>
      <c r="T326" s="100" t="str">
        <f t="shared" si="37"/>
        <v xml:space="preserve"> </v>
      </c>
      <c r="U326" s="100"/>
      <c r="V326" s="100" t="str">
        <f t="shared" si="36"/>
        <v xml:space="preserve"> </v>
      </c>
      <c r="W326" s="101">
        <f t="shared" si="38"/>
        <v>24</v>
      </c>
      <c r="X326" s="102">
        <f t="shared" si="39"/>
        <v>0</v>
      </c>
      <c r="Y326" s="100" t="str">
        <f t="shared" si="40"/>
        <v xml:space="preserve"> </v>
      </c>
      <c r="Z326" s="100" t="str">
        <f t="shared" si="41"/>
        <v xml:space="preserve"> </v>
      </c>
    </row>
    <row r="327" spans="1:26">
      <c r="A327" s="100"/>
      <c r="B327" s="108" t="str">
        <f>IFERROR(VLOOKUP(Tablo516[[#This Row],[ÜRÜN KODU]],YMKODLARI!$A$1:$K$383,2,0)," ")</f>
        <v xml:space="preserve"> </v>
      </c>
      <c r="C327" s="99"/>
      <c r="D327" s="100"/>
      <c r="E327" s="101"/>
      <c r="F327" s="101"/>
      <c r="G327" s="100" t="str">
        <f>IFERROR(VLOOKUP(Tablo516[[#This Row],[ÜRÜN KODU]],YMKODLARI!$A$1:$K$383,3,0)," ")</f>
        <v xml:space="preserve"> </v>
      </c>
      <c r="H327" s="100" t="str">
        <f>IFERROR(VLOOKUP(Tablo516[[#This Row],[ÜRÜN KODU]],YMKODLARI!$A$1:$K$383,4,0)," ")</f>
        <v xml:space="preserve"> </v>
      </c>
      <c r="I327" s="100"/>
      <c r="J327" s="100" t="str">
        <f>IFERROR(VLOOKUP(Tablo516[[#This Row],[ÜRÜN KODU]],YMKODLARI!$A$1:$K$383,9,0)," ")</f>
        <v xml:space="preserve"> </v>
      </c>
      <c r="K327" s="100" t="str">
        <f>IFERROR(VLOOKUP(Tablo516[[#This Row],[BOYA KODU]],Tablo14[#All],4,0)," ")</f>
        <v xml:space="preserve"> </v>
      </c>
      <c r="L327" s="100" t="str">
        <f>IFERROR(VLOOKUP(Tablo516[[#This Row],[BOYA KODU]],Tablo14[#All],6,0)," ")</f>
        <v xml:space="preserve"> </v>
      </c>
      <c r="M327" s="100" t="str">
        <f t="shared" si="35"/>
        <v xml:space="preserve"> </v>
      </c>
      <c r="N327" s="100" t="str">
        <f>IFERROR(VLOOKUP(Tablo516[[#This Row],[ÜRÜN KODU]],YMKODLARI!$A$1:$K$383,8,0)," ")</f>
        <v xml:space="preserve"> </v>
      </c>
      <c r="O327" s="100" t="str">
        <f>IFERROR(VLOOKUP(Tablo516[[#This Row],[HAMMADDE KODU]],Tablo1[#All],3,0)," ")</f>
        <v xml:space="preserve"> </v>
      </c>
      <c r="P327" s="100" t="str">
        <f>IFERROR(VLOOKUP(Tablo516[[#This Row],[HAMMADDE KODU]],Tablo1[#All],4,0)," ")</f>
        <v xml:space="preserve"> </v>
      </c>
      <c r="Q327" s="100" t="str">
        <f>IFERROR(VLOOKUP(Tablo516[[#This Row],[ÜRÜN KODU]],YMKODLARI!$A$1:$K$383,5,0)," ")</f>
        <v xml:space="preserve"> </v>
      </c>
      <c r="R327" s="100" t="str">
        <f>IFERROR(VLOOKUP(Tablo516[[#This Row],[ÜRÜN KODU]],YMKODLARI!$A$1:$K$383,6,0)," ")</f>
        <v xml:space="preserve"> </v>
      </c>
      <c r="S327" s="100" t="str">
        <f>IFERROR(Tablo516[[#This Row],[YOLLUK HARİÇ BASKI GRAMI]]/Tablo516[[#This Row],[KALIP GÖZ ADEDİ]]," ")</f>
        <v xml:space="preserve"> </v>
      </c>
      <c r="T327" s="100" t="str">
        <f t="shared" si="37"/>
        <v xml:space="preserve"> </v>
      </c>
      <c r="U327" s="100"/>
      <c r="V327" s="100" t="str">
        <f t="shared" si="36"/>
        <v xml:space="preserve"> </v>
      </c>
      <c r="W327" s="101">
        <f t="shared" si="38"/>
        <v>24</v>
      </c>
      <c r="X327" s="102">
        <f t="shared" si="39"/>
        <v>0</v>
      </c>
      <c r="Y327" s="100" t="str">
        <f t="shared" si="40"/>
        <v xml:space="preserve"> </v>
      </c>
      <c r="Z327" s="100" t="str">
        <f t="shared" si="41"/>
        <v xml:space="preserve"> </v>
      </c>
    </row>
    <row r="328" spans="1:26">
      <c r="A328" s="100"/>
      <c r="B328" s="108" t="str">
        <f>IFERROR(VLOOKUP(Tablo516[[#This Row],[ÜRÜN KODU]],YMKODLARI!$A$1:$K$383,2,0)," ")</f>
        <v xml:space="preserve"> </v>
      </c>
      <c r="C328" s="99"/>
      <c r="D328" s="100"/>
      <c r="E328" s="101"/>
      <c r="F328" s="101"/>
      <c r="G328" s="100" t="str">
        <f>IFERROR(VLOOKUP(Tablo516[[#This Row],[ÜRÜN KODU]],YMKODLARI!$A$1:$K$383,3,0)," ")</f>
        <v xml:space="preserve"> </v>
      </c>
      <c r="H328" s="100" t="str">
        <f>IFERROR(VLOOKUP(Tablo516[[#This Row],[ÜRÜN KODU]],YMKODLARI!$A$1:$K$383,4,0)," ")</f>
        <v xml:space="preserve"> </v>
      </c>
      <c r="I328" s="100"/>
      <c r="J328" s="100" t="str">
        <f>IFERROR(VLOOKUP(Tablo516[[#This Row],[ÜRÜN KODU]],YMKODLARI!$A$1:$K$383,9,0)," ")</f>
        <v xml:space="preserve"> </v>
      </c>
      <c r="K328" s="100" t="str">
        <f>IFERROR(VLOOKUP(Tablo516[[#This Row],[BOYA KODU]],Tablo14[#All],4,0)," ")</f>
        <v xml:space="preserve"> </v>
      </c>
      <c r="L328" s="100" t="str">
        <f>IFERROR(VLOOKUP(Tablo516[[#This Row],[BOYA KODU]],Tablo14[#All],6,0)," ")</f>
        <v xml:space="preserve"> </v>
      </c>
      <c r="M328" s="100" t="str">
        <f t="shared" si="35"/>
        <v xml:space="preserve"> </v>
      </c>
      <c r="N328" s="100" t="str">
        <f>IFERROR(VLOOKUP(Tablo516[[#This Row],[ÜRÜN KODU]],YMKODLARI!$A$1:$K$383,8,0)," ")</f>
        <v xml:space="preserve"> </v>
      </c>
      <c r="O328" s="100" t="str">
        <f>IFERROR(VLOOKUP(Tablo516[[#This Row],[HAMMADDE KODU]],Tablo1[#All],3,0)," ")</f>
        <v xml:space="preserve"> </v>
      </c>
      <c r="P328" s="100" t="str">
        <f>IFERROR(VLOOKUP(Tablo516[[#This Row],[HAMMADDE KODU]],Tablo1[#All],4,0)," ")</f>
        <v xml:space="preserve"> </v>
      </c>
      <c r="Q328" s="100" t="str">
        <f>IFERROR(VLOOKUP(Tablo516[[#This Row],[ÜRÜN KODU]],YMKODLARI!$A$1:$K$383,5,0)," ")</f>
        <v xml:space="preserve"> </v>
      </c>
      <c r="R328" s="100" t="str">
        <f>IFERROR(VLOOKUP(Tablo516[[#This Row],[ÜRÜN KODU]],YMKODLARI!$A$1:$K$383,6,0)," ")</f>
        <v xml:space="preserve"> </v>
      </c>
      <c r="S328" s="100" t="str">
        <f>IFERROR(Tablo516[[#This Row],[YOLLUK HARİÇ BASKI GRAMI]]/Tablo516[[#This Row],[KALIP GÖZ ADEDİ]]," ")</f>
        <v xml:space="preserve"> </v>
      </c>
      <c r="T328" s="100" t="str">
        <f t="shared" si="37"/>
        <v xml:space="preserve"> </v>
      </c>
      <c r="U328" s="100"/>
      <c r="V328" s="100" t="str">
        <f t="shared" si="36"/>
        <v xml:space="preserve"> </v>
      </c>
      <c r="W328" s="101">
        <f t="shared" si="38"/>
        <v>24</v>
      </c>
      <c r="X328" s="102">
        <f t="shared" si="39"/>
        <v>0</v>
      </c>
      <c r="Y328" s="100" t="str">
        <f t="shared" si="40"/>
        <v xml:space="preserve"> </v>
      </c>
      <c r="Z328" s="100" t="str">
        <f t="shared" si="41"/>
        <v xml:space="preserve"> </v>
      </c>
    </row>
    <row r="329" spans="1:26">
      <c r="A329" s="100"/>
      <c r="B329" s="108" t="str">
        <f>IFERROR(VLOOKUP(Tablo516[[#This Row],[ÜRÜN KODU]],YMKODLARI!$A$1:$K$383,2,0)," ")</f>
        <v xml:space="preserve"> </v>
      </c>
      <c r="C329" s="99"/>
      <c r="D329" s="100"/>
      <c r="E329" s="101"/>
      <c r="F329" s="101"/>
      <c r="G329" s="100" t="str">
        <f>IFERROR(VLOOKUP(Tablo516[[#This Row],[ÜRÜN KODU]],YMKODLARI!$A$1:$K$383,3,0)," ")</f>
        <v xml:space="preserve"> </v>
      </c>
      <c r="H329" s="100" t="str">
        <f>IFERROR(VLOOKUP(Tablo516[[#This Row],[ÜRÜN KODU]],YMKODLARI!$A$1:$K$383,4,0)," ")</f>
        <v xml:space="preserve"> </v>
      </c>
      <c r="I329" s="100"/>
      <c r="J329" s="100" t="str">
        <f>IFERROR(VLOOKUP(Tablo516[[#This Row],[ÜRÜN KODU]],YMKODLARI!$A$1:$K$383,9,0)," ")</f>
        <v xml:space="preserve"> </v>
      </c>
      <c r="K329" s="100" t="str">
        <f>IFERROR(VLOOKUP(Tablo516[[#This Row],[BOYA KODU]],Tablo14[#All],4,0)," ")</f>
        <v xml:space="preserve"> </v>
      </c>
      <c r="L329" s="100" t="str">
        <f>IFERROR(VLOOKUP(Tablo516[[#This Row],[BOYA KODU]],Tablo14[#All],6,0)," ")</f>
        <v xml:space="preserve"> </v>
      </c>
      <c r="M329" s="100" t="str">
        <f t="shared" si="35"/>
        <v xml:space="preserve"> </v>
      </c>
      <c r="N329" s="100" t="str">
        <f>IFERROR(VLOOKUP(Tablo516[[#This Row],[ÜRÜN KODU]],YMKODLARI!$A$1:$K$383,8,0)," ")</f>
        <v xml:space="preserve"> </v>
      </c>
      <c r="O329" s="100" t="str">
        <f>IFERROR(VLOOKUP(Tablo516[[#This Row],[HAMMADDE KODU]],Tablo1[#All],3,0)," ")</f>
        <v xml:space="preserve"> </v>
      </c>
      <c r="P329" s="100" t="str">
        <f>IFERROR(VLOOKUP(Tablo516[[#This Row],[HAMMADDE KODU]],Tablo1[#All],4,0)," ")</f>
        <v xml:space="preserve"> </v>
      </c>
      <c r="Q329" s="100" t="str">
        <f>IFERROR(VLOOKUP(Tablo516[[#This Row],[ÜRÜN KODU]],YMKODLARI!$A$1:$K$383,5,0)," ")</f>
        <v xml:space="preserve"> </v>
      </c>
      <c r="R329" s="100" t="str">
        <f>IFERROR(VLOOKUP(Tablo516[[#This Row],[ÜRÜN KODU]],YMKODLARI!$A$1:$K$383,6,0)," ")</f>
        <v xml:space="preserve"> </v>
      </c>
      <c r="S329" s="100" t="str">
        <f>IFERROR(Tablo516[[#This Row],[YOLLUK HARİÇ BASKI GRAMI]]/Tablo516[[#This Row],[KALIP GÖZ ADEDİ]]," ")</f>
        <v xml:space="preserve"> </v>
      </c>
      <c r="T329" s="100" t="str">
        <f t="shared" si="37"/>
        <v xml:space="preserve"> </v>
      </c>
      <c r="U329" s="100"/>
      <c r="V329" s="100" t="str">
        <f t="shared" si="36"/>
        <v xml:space="preserve"> </v>
      </c>
      <c r="W329" s="101">
        <f t="shared" si="38"/>
        <v>24</v>
      </c>
      <c r="X329" s="102">
        <f t="shared" si="39"/>
        <v>0</v>
      </c>
      <c r="Y329" s="100" t="str">
        <f t="shared" si="40"/>
        <v xml:space="preserve"> </v>
      </c>
      <c r="Z329" s="100" t="str">
        <f t="shared" si="41"/>
        <v xml:space="preserve"> </v>
      </c>
    </row>
    <row r="330" spans="1:26">
      <c r="A330" s="100"/>
      <c r="B330" s="108" t="str">
        <f>IFERROR(VLOOKUP(Tablo516[[#This Row],[ÜRÜN KODU]],YMKODLARI!$A$1:$K$383,2,0)," ")</f>
        <v xml:space="preserve"> </v>
      </c>
      <c r="C330" s="99"/>
      <c r="D330" s="100"/>
      <c r="E330" s="101"/>
      <c r="F330" s="101"/>
      <c r="G330" s="100" t="str">
        <f>IFERROR(VLOOKUP(Tablo516[[#This Row],[ÜRÜN KODU]],YMKODLARI!$A$1:$K$383,3,0)," ")</f>
        <v xml:space="preserve"> </v>
      </c>
      <c r="H330" s="100" t="str">
        <f>IFERROR(VLOOKUP(Tablo516[[#This Row],[ÜRÜN KODU]],YMKODLARI!$A$1:$K$383,4,0)," ")</f>
        <v xml:space="preserve"> </v>
      </c>
      <c r="I330" s="100"/>
      <c r="J330" s="100" t="str">
        <f>IFERROR(VLOOKUP(Tablo516[[#This Row],[ÜRÜN KODU]],YMKODLARI!$A$1:$K$383,9,0)," ")</f>
        <v xml:space="preserve"> </v>
      </c>
      <c r="K330" s="100" t="str">
        <f>IFERROR(VLOOKUP(Tablo516[[#This Row],[BOYA KODU]],Tablo14[#All],4,0)," ")</f>
        <v xml:space="preserve"> </v>
      </c>
      <c r="L330" s="100" t="str">
        <f>IFERROR(VLOOKUP(Tablo516[[#This Row],[BOYA KODU]],Tablo14[#All],6,0)," ")</f>
        <v xml:space="preserve"> </v>
      </c>
      <c r="M330" s="100" t="str">
        <f t="shared" si="35"/>
        <v xml:space="preserve"> </v>
      </c>
      <c r="N330" s="100" t="str">
        <f>IFERROR(VLOOKUP(Tablo516[[#This Row],[ÜRÜN KODU]],YMKODLARI!$A$1:$K$383,8,0)," ")</f>
        <v xml:space="preserve"> </v>
      </c>
      <c r="O330" s="100" t="str">
        <f>IFERROR(VLOOKUP(Tablo516[[#This Row],[HAMMADDE KODU]],Tablo1[#All],3,0)," ")</f>
        <v xml:space="preserve"> </v>
      </c>
      <c r="P330" s="100" t="str">
        <f>IFERROR(VLOOKUP(Tablo516[[#This Row],[HAMMADDE KODU]],Tablo1[#All],4,0)," ")</f>
        <v xml:space="preserve"> </v>
      </c>
      <c r="Q330" s="100" t="str">
        <f>IFERROR(VLOOKUP(Tablo516[[#This Row],[ÜRÜN KODU]],YMKODLARI!$A$1:$K$383,5,0)," ")</f>
        <v xml:space="preserve"> </v>
      </c>
      <c r="R330" s="100" t="str">
        <f>IFERROR(VLOOKUP(Tablo516[[#This Row],[ÜRÜN KODU]],YMKODLARI!$A$1:$K$383,6,0)," ")</f>
        <v xml:space="preserve"> </v>
      </c>
      <c r="S330" s="100" t="str">
        <f>IFERROR(Tablo516[[#This Row],[YOLLUK HARİÇ BASKI GRAMI]]/Tablo516[[#This Row],[KALIP GÖZ ADEDİ]]," ")</f>
        <v xml:space="preserve"> </v>
      </c>
      <c r="T330" s="100" t="str">
        <f t="shared" si="37"/>
        <v xml:space="preserve"> </v>
      </c>
      <c r="U330" s="100"/>
      <c r="V330" s="100" t="str">
        <f t="shared" si="36"/>
        <v xml:space="preserve"> </v>
      </c>
      <c r="W330" s="101">
        <f t="shared" si="38"/>
        <v>24</v>
      </c>
      <c r="X330" s="102">
        <f t="shared" si="39"/>
        <v>0</v>
      </c>
      <c r="Y330" s="100" t="str">
        <f t="shared" si="40"/>
        <v xml:space="preserve"> </v>
      </c>
      <c r="Z330" s="100" t="str">
        <f t="shared" si="41"/>
        <v xml:space="preserve"> </v>
      </c>
    </row>
    <row r="331" spans="1:26">
      <c r="A331" s="100"/>
      <c r="B331" s="108" t="str">
        <f>IFERROR(VLOOKUP(Tablo516[[#This Row],[ÜRÜN KODU]],YMKODLARI!$A$1:$K$383,2,0)," ")</f>
        <v xml:space="preserve"> </v>
      </c>
      <c r="C331" s="99"/>
      <c r="D331" s="100"/>
      <c r="E331" s="101"/>
      <c r="F331" s="101"/>
      <c r="G331" s="100" t="str">
        <f>IFERROR(VLOOKUP(Tablo516[[#This Row],[ÜRÜN KODU]],YMKODLARI!$A$1:$K$383,3,0)," ")</f>
        <v xml:space="preserve"> </v>
      </c>
      <c r="H331" s="100" t="str">
        <f>IFERROR(VLOOKUP(Tablo516[[#This Row],[ÜRÜN KODU]],YMKODLARI!$A$1:$K$383,4,0)," ")</f>
        <v xml:space="preserve"> </v>
      </c>
      <c r="I331" s="100"/>
      <c r="J331" s="100" t="str">
        <f>IFERROR(VLOOKUP(Tablo516[[#This Row],[ÜRÜN KODU]],YMKODLARI!$A$1:$K$383,9,0)," ")</f>
        <v xml:space="preserve"> </v>
      </c>
      <c r="K331" s="100" t="str">
        <f>IFERROR(VLOOKUP(Tablo516[[#This Row],[BOYA KODU]],Tablo14[#All],4,0)," ")</f>
        <v xml:space="preserve"> </v>
      </c>
      <c r="L331" s="100" t="str">
        <f>IFERROR(VLOOKUP(Tablo516[[#This Row],[BOYA KODU]],Tablo14[#All],6,0)," ")</f>
        <v xml:space="preserve"> </v>
      </c>
      <c r="M331" s="100" t="str">
        <f t="shared" si="35"/>
        <v xml:space="preserve"> </v>
      </c>
      <c r="N331" s="100" t="str">
        <f>IFERROR(VLOOKUP(Tablo516[[#This Row],[ÜRÜN KODU]],YMKODLARI!$A$1:$K$383,8,0)," ")</f>
        <v xml:space="preserve"> </v>
      </c>
      <c r="O331" s="100" t="str">
        <f>IFERROR(VLOOKUP(Tablo516[[#This Row],[HAMMADDE KODU]],Tablo1[#All],3,0)," ")</f>
        <v xml:space="preserve"> </v>
      </c>
      <c r="P331" s="100" t="str">
        <f>IFERROR(VLOOKUP(Tablo516[[#This Row],[HAMMADDE KODU]],Tablo1[#All],4,0)," ")</f>
        <v xml:space="preserve"> </v>
      </c>
      <c r="Q331" s="100" t="str">
        <f>IFERROR(VLOOKUP(Tablo516[[#This Row],[ÜRÜN KODU]],YMKODLARI!$A$1:$K$383,5,0)," ")</f>
        <v xml:space="preserve"> </v>
      </c>
      <c r="R331" s="100" t="str">
        <f>IFERROR(VLOOKUP(Tablo516[[#This Row],[ÜRÜN KODU]],YMKODLARI!$A$1:$K$383,6,0)," ")</f>
        <v xml:space="preserve"> </v>
      </c>
      <c r="S331" s="100" t="str">
        <f>IFERROR(Tablo516[[#This Row],[YOLLUK HARİÇ BASKI GRAMI]]/Tablo516[[#This Row],[KALIP GÖZ ADEDİ]]," ")</f>
        <v xml:space="preserve"> </v>
      </c>
      <c r="T331" s="100" t="str">
        <f t="shared" si="37"/>
        <v xml:space="preserve"> </v>
      </c>
      <c r="U331" s="100"/>
      <c r="V331" s="100" t="str">
        <f t="shared" si="36"/>
        <v xml:space="preserve"> </v>
      </c>
      <c r="W331" s="101">
        <f t="shared" si="38"/>
        <v>24</v>
      </c>
      <c r="X331" s="102">
        <f t="shared" si="39"/>
        <v>0</v>
      </c>
      <c r="Y331" s="100" t="str">
        <f t="shared" si="40"/>
        <v xml:space="preserve"> </v>
      </c>
      <c r="Z331" s="100" t="str">
        <f t="shared" si="41"/>
        <v xml:space="preserve"> </v>
      </c>
    </row>
    <row r="332" spans="1:26">
      <c r="A332" s="100"/>
      <c r="B332" s="108" t="str">
        <f>IFERROR(VLOOKUP(Tablo516[[#This Row],[ÜRÜN KODU]],YMKODLARI!$A$1:$K$383,2,0)," ")</f>
        <v xml:space="preserve"> </v>
      </c>
      <c r="C332" s="99"/>
      <c r="D332" s="100"/>
      <c r="E332" s="101"/>
      <c r="F332" s="101"/>
      <c r="G332" s="100" t="str">
        <f>IFERROR(VLOOKUP(Tablo516[[#This Row],[ÜRÜN KODU]],YMKODLARI!$A$1:$K$383,3,0)," ")</f>
        <v xml:space="preserve"> </v>
      </c>
      <c r="H332" s="100" t="str">
        <f>IFERROR(VLOOKUP(Tablo516[[#This Row],[ÜRÜN KODU]],YMKODLARI!$A$1:$K$383,4,0)," ")</f>
        <v xml:space="preserve"> </v>
      </c>
      <c r="I332" s="100"/>
      <c r="J332" s="100" t="str">
        <f>IFERROR(VLOOKUP(Tablo516[[#This Row],[ÜRÜN KODU]],YMKODLARI!$A$1:$K$383,9,0)," ")</f>
        <v xml:space="preserve"> </v>
      </c>
      <c r="K332" s="100" t="str">
        <f>IFERROR(VLOOKUP(Tablo516[[#This Row],[BOYA KODU]],Tablo14[#All],4,0)," ")</f>
        <v xml:space="preserve"> </v>
      </c>
      <c r="L332" s="100" t="str">
        <f>IFERROR(VLOOKUP(Tablo516[[#This Row],[BOYA KODU]],Tablo14[#All],6,0)," ")</f>
        <v xml:space="preserve"> </v>
      </c>
      <c r="M332" s="100" t="str">
        <f t="shared" si="35"/>
        <v xml:space="preserve"> </v>
      </c>
      <c r="N332" s="100" t="str">
        <f>IFERROR(VLOOKUP(Tablo516[[#This Row],[ÜRÜN KODU]],YMKODLARI!$A$1:$K$383,8,0)," ")</f>
        <v xml:space="preserve"> </v>
      </c>
      <c r="O332" s="100" t="str">
        <f>IFERROR(VLOOKUP(Tablo516[[#This Row],[HAMMADDE KODU]],Tablo1[#All],3,0)," ")</f>
        <v xml:space="preserve"> </v>
      </c>
      <c r="P332" s="100" t="str">
        <f>IFERROR(VLOOKUP(Tablo516[[#This Row],[HAMMADDE KODU]],Tablo1[#All],4,0)," ")</f>
        <v xml:space="preserve"> </v>
      </c>
      <c r="Q332" s="100" t="str">
        <f>IFERROR(VLOOKUP(Tablo516[[#This Row],[ÜRÜN KODU]],YMKODLARI!$A$1:$K$383,5,0)," ")</f>
        <v xml:space="preserve"> </v>
      </c>
      <c r="R332" s="100" t="str">
        <f>IFERROR(VLOOKUP(Tablo516[[#This Row],[ÜRÜN KODU]],YMKODLARI!$A$1:$K$383,6,0)," ")</f>
        <v xml:space="preserve"> </v>
      </c>
      <c r="S332" s="100" t="str">
        <f>IFERROR(Tablo516[[#This Row],[YOLLUK HARİÇ BASKI GRAMI]]/Tablo516[[#This Row],[KALIP GÖZ ADEDİ]]," ")</f>
        <v xml:space="preserve"> </v>
      </c>
      <c r="T332" s="100" t="str">
        <f t="shared" si="37"/>
        <v xml:space="preserve"> </v>
      </c>
      <c r="U332" s="100"/>
      <c r="V332" s="100" t="str">
        <f t="shared" si="36"/>
        <v xml:space="preserve"> </v>
      </c>
      <c r="W332" s="101">
        <f t="shared" si="38"/>
        <v>24</v>
      </c>
      <c r="X332" s="102">
        <f t="shared" si="39"/>
        <v>0</v>
      </c>
      <c r="Y332" s="100" t="str">
        <f t="shared" si="40"/>
        <v xml:space="preserve"> </v>
      </c>
      <c r="Z332" s="100" t="str">
        <f t="shared" si="41"/>
        <v xml:space="preserve"> </v>
      </c>
    </row>
    <row r="333" spans="1:26">
      <c r="A333" s="100"/>
      <c r="B333" s="108" t="str">
        <f>IFERROR(VLOOKUP(Tablo516[[#This Row],[ÜRÜN KODU]],YMKODLARI!$A$1:$K$383,2,0)," ")</f>
        <v xml:space="preserve"> </v>
      </c>
      <c r="C333" s="99"/>
      <c r="D333" s="100"/>
      <c r="E333" s="101"/>
      <c r="F333" s="101"/>
      <c r="G333" s="100" t="str">
        <f>IFERROR(VLOOKUP(Tablo516[[#This Row],[ÜRÜN KODU]],YMKODLARI!$A$1:$K$383,3,0)," ")</f>
        <v xml:space="preserve"> </v>
      </c>
      <c r="H333" s="100" t="str">
        <f>IFERROR(VLOOKUP(Tablo516[[#This Row],[ÜRÜN KODU]],YMKODLARI!$A$1:$K$383,4,0)," ")</f>
        <v xml:space="preserve"> </v>
      </c>
      <c r="I333" s="100"/>
      <c r="J333" s="100" t="str">
        <f>IFERROR(VLOOKUP(Tablo516[[#This Row],[ÜRÜN KODU]],YMKODLARI!$A$1:$K$383,9,0)," ")</f>
        <v xml:space="preserve"> </v>
      </c>
      <c r="K333" s="100" t="str">
        <f>IFERROR(VLOOKUP(Tablo516[[#This Row],[BOYA KODU]],Tablo14[#All],4,0)," ")</f>
        <v xml:space="preserve"> </v>
      </c>
      <c r="L333" s="100" t="str">
        <f>IFERROR(VLOOKUP(Tablo516[[#This Row],[BOYA KODU]],Tablo14[#All],6,0)," ")</f>
        <v xml:space="preserve"> </v>
      </c>
      <c r="M333" s="100" t="str">
        <f t="shared" si="35"/>
        <v xml:space="preserve"> </v>
      </c>
      <c r="N333" s="100" t="str">
        <f>IFERROR(VLOOKUP(Tablo516[[#This Row],[ÜRÜN KODU]],YMKODLARI!$A$1:$K$383,8,0)," ")</f>
        <v xml:space="preserve"> </v>
      </c>
      <c r="O333" s="100" t="str">
        <f>IFERROR(VLOOKUP(Tablo516[[#This Row],[HAMMADDE KODU]],Tablo1[#All],3,0)," ")</f>
        <v xml:space="preserve"> </v>
      </c>
      <c r="P333" s="100" t="str">
        <f>IFERROR(VLOOKUP(Tablo516[[#This Row],[HAMMADDE KODU]],Tablo1[#All],4,0)," ")</f>
        <v xml:space="preserve"> </v>
      </c>
      <c r="Q333" s="100" t="str">
        <f>IFERROR(VLOOKUP(Tablo516[[#This Row],[ÜRÜN KODU]],YMKODLARI!$A$1:$K$383,5,0)," ")</f>
        <v xml:space="preserve"> </v>
      </c>
      <c r="R333" s="100" t="str">
        <f>IFERROR(VLOOKUP(Tablo516[[#This Row],[ÜRÜN KODU]],YMKODLARI!$A$1:$K$383,6,0)," ")</f>
        <v xml:space="preserve"> </v>
      </c>
      <c r="S333" s="100" t="str">
        <f>IFERROR(Tablo516[[#This Row],[YOLLUK HARİÇ BASKI GRAMI]]/Tablo516[[#This Row],[KALIP GÖZ ADEDİ]]," ")</f>
        <v xml:space="preserve"> </v>
      </c>
      <c r="T333" s="100" t="str">
        <f t="shared" si="37"/>
        <v xml:space="preserve"> </v>
      </c>
      <c r="U333" s="100"/>
      <c r="V333" s="100" t="str">
        <f t="shared" si="36"/>
        <v xml:space="preserve"> </v>
      </c>
      <c r="W333" s="101">
        <f t="shared" si="38"/>
        <v>24</v>
      </c>
      <c r="X333" s="102">
        <f t="shared" si="39"/>
        <v>0</v>
      </c>
      <c r="Y333" s="100" t="str">
        <f t="shared" si="40"/>
        <v xml:space="preserve"> </v>
      </c>
      <c r="Z333" s="100" t="str">
        <f t="shared" si="41"/>
        <v xml:space="preserve"> </v>
      </c>
    </row>
    <row r="334" spans="1:26">
      <c r="A334" s="100"/>
      <c r="B334" s="108" t="str">
        <f>IFERROR(VLOOKUP(Tablo516[[#This Row],[ÜRÜN KODU]],YMKODLARI!$A$1:$K$383,2,0)," ")</f>
        <v xml:space="preserve"> </v>
      </c>
      <c r="C334" s="99"/>
      <c r="D334" s="100"/>
      <c r="E334" s="101"/>
      <c r="F334" s="101"/>
      <c r="G334" s="100" t="str">
        <f>IFERROR(VLOOKUP(Tablo516[[#This Row],[ÜRÜN KODU]],YMKODLARI!$A$1:$K$383,3,0)," ")</f>
        <v xml:space="preserve"> </v>
      </c>
      <c r="H334" s="100" t="str">
        <f>IFERROR(VLOOKUP(Tablo516[[#This Row],[ÜRÜN KODU]],YMKODLARI!$A$1:$K$383,4,0)," ")</f>
        <v xml:space="preserve"> </v>
      </c>
      <c r="I334" s="100"/>
      <c r="J334" s="100" t="str">
        <f>IFERROR(VLOOKUP(Tablo516[[#This Row],[ÜRÜN KODU]],YMKODLARI!$A$1:$K$383,9,0)," ")</f>
        <v xml:space="preserve"> </v>
      </c>
      <c r="K334" s="100" t="str">
        <f>IFERROR(VLOOKUP(Tablo516[[#This Row],[BOYA KODU]],Tablo14[#All],4,0)," ")</f>
        <v xml:space="preserve"> </v>
      </c>
      <c r="L334" s="100" t="str">
        <f>IFERROR(VLOOKUP(Tablo516[[#This Row],[BOYA KODU]],Tablo14[#All],6,0)," ")</f>
        <v xml:space="preserve"> </v>
      </c>
      <c r="M334" s="100" t="str">
        <f t="shared" si="35"/>
        <v xml:space="preserve"> </v>
      </c>
      <c r="N334" s="100" t="str">
        <f>IFERROR(VLOOKUP(Tablo516[[#This Row],[ÜRÜN KODU]],YMKODLARI!$A$1:$K$383,8,0)," ")</f>
        <v xml:space="preserve"> </v>
      </c>
      <c r="O334" s="100" t="str">
        <f>IFERROR(VLOOKUP(Tablo516[[#This Row],[HAMMADDE KODU]],Tablo1[#All],3,0)," ")</f>
        <v xml:space="preserve"> </v>
      </c>
      <c r="P334" s="100" t="str">
        <f>IFERROR(VLOOKUP(Tablo516[[#This Row],[HAMMADDE KODU]],Tablo1[#All],4,0)," ")</f>
        <v xml:space="preserve"> </v>
      </c>
      <c r="Q334" s="100" t="str">
        <f>IFERROR(VLOOKUP(Tablo516[[#This Row],[ÜRÜN KODU]],YMKODLARI!$A$1:$K$383,5,0)," ")</f>
        <v xml:space="preserve"> </v>
      </c>
      <c r="R334" s="100" t="str">
        <f>IFERROR(VLOOKUP(Tablo516[[#This Row],[ÜRÜN KODU]],YMKODLARI!$A$1:$K$383,6,0)," ")</f>
        <v xml:space="preserve"> </v>
      </c>
      <c r="S334" s="100" t="str">
        <f>IFERROR(Tablo516[[#This Row],[YOLLUK HARİÇ BASKI GRAMI]]/Tablo516[[#This Row],[KALIP GÖZ ADEDİ]]," ")</f>
        <v xml:space="preserve"> </v>
      </c>
      <c r="T334" s="100" t="str">
        <f t="shared" si="37"/>
        <v xml:space="preserve"> </v>
      </c>
      <c r="U334" s="100"/>
      <c r="V334" s="100" t="str">
        <f t="shared" si="36"/>
        <v xml:space="preserve"> </v>
      </c>
      <c r="W334" s="101">
        <f t="shared" si="38"/>
        <v>24</v>
      </c>
      <c r="X334" s="102">
        <f t="shared" si="39"/>
        <v>0</v>
      </c>
      <c r="Y334" s="100" t="str">
        <f t="shared" si="40"/>
        <v xml:space="preserve"> </v>
      </c>
      <c r="Z334" s="100" t="str">
        <f t="shared" si="41"/>
        <v xml:space="preserve"> </v>
      </c>
    </row>
    <row r="335" spans="1:26">
      <c r="A335" s="100"/>
      <c r="B335" s="108" t="str">
        <f>IFERROR(VLOOKUP(Tablo516[[#This Row],[ÜRÜN KODU]],YMKODLARI!$A$1:$K$383,2,0)," ")</f>
        <v xml:space="preserve"> </v>
      </c>
      <c r="C335" s="99"/>
      <c r="D335" s="100"/>
      <c r="E335" s="101"/>
      <c r="F335" s="101"/>
      <c r="G335" s="100" t="str">
        <f>IFERROR(VLOOKUP(Tablo516[[#This Row],[ÜRÜN KODU]],YMKODLARI!$A$1:$K$383,3,0)," ")</f>
        <v xml:space="preserve"> </v>
      </c>
      <c r="H335" s="100" t="str">
        <f>IFERROR(VLOOKUP(Tablo516[[#This Row],[ÜRÜN KODU]],YMKODLARI!$A$1:$K$383,4,0)," ")</f>
        <v xml:space="preserve"> </v>
      </c>
      <c r="I335" s="100"/>
      <c r="J335" s="100" t="str">
        <f>IFERROR(VLOOKUP(Tablo516[[#This Row],[ÜRÜN KODU]],YMKODLARI!$A$1:$K$383,9,0)," ")</f>
        <v xml:space="preserve"> </v>
      </c>
      <c r="K335" s="100" t="str">
        <f>IFERROR(VLOOKUP(Tablo516[[#This Row],[BOYA KODU]],Tablo14[#All],4,0)," ")</f>
        <v xml:space="preserve"> </v>
      </c>
      <c r="L335" s="100" t="str">
        <f>IFERROR(VLOOKUP(Tablo516[[#This Row],[BOYA KODU]],Tablo14[#All],6,0)," ")</f>
        <v xml:space="preserve"> </v>
      </c>
      <c r="M335" s="100" t="str">
        <f t="shared" si="35"/>
        <v xml:space="preserve"> </v>
      </c>
      <c r="N335" s="100" t="str">
        <f>IFERROR(VLOOKUP(Tablo516[[#This Row],[ÜRÜN KODU]],YMKODLARI!$A$1:$K$383,8,0)," ")</f>
        <v xml:space="preserve"> </v>
      </c>
      <c r="O335" s="100" t="str">
        <f>IFERROR(VLOOKUP(Tablo516[[#This Row],[HAMMADDE KODU]],Tablo1[#All],3,0)," ")</f>
        <v xml:space="preserve"> </v>
      </c>
      <c r="P335" s="100" t="str">
        <f>IFERROR(VLOOKUP(Tablo516[[#This Row],[HAMMADDE KODU]],Tablo1[#All],4,0)," ")</f>
        <v xml:space="preserve"> </v>
      </c>
      <c r="Q335" s="100" t="str">
        <f>IFERROR(VLOOKUP(Tablo516[[#This Row],[ÜRÜN KODU]],YMKODLARI!$A$1:$K$383,5,0)," ")</f>
        <v xml:space="preserve"> </v>
      </c>
      <c r="R335" s="100" t="str">
        <f>IFERROR(VLOOKUP(Tablo516[[#This Row],[ÜRÜN KODU]],YMKODLARI!$A$1:$K$383,6,0)," ")</f>
        <v xml:space="preserve"> </v>
      </c>
      <c r="S335" s="100" t="str">
        <f>IFERROR(Tablo516[[#This Row],[YOLLUK HARİÇ BASKI GRAMI]]/Tablo516[[#This Row],[KALIP GÖZ ADEDİ]]," ")</f>
        <v xml:space="preserve"> </v>
      </c>
      <c r="T335" s="100" t="str">
        <f t="shared" si="37"/>
        <v xml:space="preserve"> </v>
      </c>
      <c r="U335" s="100"/>
      <c r="V335" s="100" t="str">
        <f t="shared" si="36"/>
        <v xml:space="preserve"> </v>
      </c>
      <c r="W335" s="101">
        <f t="shared" si="38"/>
        <v>24</v>
      </c>
      <c r="X335" s="102">
        <f t="shared" si="39"/>
        <v>0</v>
      </c>
      <c r="Y335" s="100" t="str">
        <f t="shared" si="40"/>
        <v xml:space="preserve"> </v>
      </c>
      <c r="Z335" s="100" t="str">
        <f t="shared" si="41"/>
        <v xml:space="preserve"> </v>
      </c>
    </row>
    <row r="336" spans="1:26">
      <c r="A336" s="100"/>
      <c r="B336" s="108" t="str">
        <f>IFERROR(VLOOKUP(Tablo516[[#This Row],[ÜRÜN KODU]],YMKODLARI!$A$1:$K$383,2,0)," ")</f>
        <v xml:space="preserve"> </v>
      </c>
      <c r="C336" s="99"/>
      <c r="D336" s="100"/>
      <c r="E336" s="101"/>
      <c r="F336" s="101"/>
      <c r="G336" s="100" t="str">
        <f>IFERROR(VLOOKUP(Tablo516[[#This Row],[ÜRÜN KODU]],YMKODLARI!$A$1:$K$383,3,0)," ")</f>
        <v xml:space="preserve"> </v>
      </c>
      <c r="H336" s="100" t="str">
        <f>IFERROR(VLOOKUP(Tablo516[[#This Row],[ÜRÜN KODU]],YMKODLARI!$A$1:$K$383,4,0)," ")</f>
        <v xml:space="preserve"> </v>
      </c>
      <c r="I336" s="100"/>
      <c r="J336" s="100" t="str">
        <f>IFERROR(VLOOKUP(Tablo516[[#This Row],[ÜRÜN KODU]],YMKODLARI!$A$1:$K$383,9,0)," ")</f>
        <v xml:space="preserve"> </v>
      </c>
      <c r="K336" s="100" t="str">
        <f>IFERROR(VLOOKUP(Tablo516[[#This Row],[BOYA KODU]],Tablo14[#All],4,0)," ")</f>
        <v xml:space="preserve"> </v>
      </c>
      <c r="L336" s="100" t="str">
        <f>IFERROR(VLOOKUP(Tablo516[[#This Row],[BOYA KODU]],Tablo14[#All],6,0)," ")</f>
        <v xml:space="preserve"> </v>
      </c>
      <c r="M336" s="100" t="str">
        <f t="shared" si="35"/>
        <v xml:space="preserve"> </v>
      </c>
      <c r="N336" s="100" t="str">
        <f>IFERROR(VLOOKUP(Tablo516[[#This Row],[ÜRÜN KODU]],YMKODLARI!$A$1:$K$383,8,0)," ")</f>
        <v xml:space="preserve"> </v>
      </c>
      <c r="O336" s="100" t="str">
        <f>IFERROR(VLOOKUP(Tablo516[[#This Row],[HAMMADDE KODU]],Tablo1[#All],3,0)," ")</f>
        <v xml:space="preserve"> </v>
      </c>
      <c r="P336" s="100" t="str">
        <f>IFERROR(VLOOKUP(Tablo516[[#This Row],[HAMMADDE KODU]],Tablo1[#All],4,0)," ")</f>
        <v xml:space="preserve"> </v>
      </c>
      <c r="Q336" s="100" t="str">
        <f>IFERROR(VLOOKUP(Tablo516[[#This Row],[ÜRÜN KODU]],YMKODLARI!$A$1:$K$383,5,0)," ")</f>
        <v xml:space="preserve"> </v>
      </c>
      <c r="R336" s="100" t="str">
        <f>IFERROR(VLOOKUP(Tablo516[[#This Row],[ÜRÜN KODU]],YMKODLARI!$A$1:$K$383,6,0)," ")</f>
        <v xml:space="preserve"> </v>
      </c>
      <c r="S336" s="100" t="str">
        <f>IFERROR(Tablo516[[#This Row],[YOLLUK HARİÇ BASKI GRAMI]]/Tablo516[[#This Row],[KALIP GÖZ ADEDİ]]," ")</f>
        <v xml:space="preserve"> </v>
      </c>
      <c r="T336" s="100" t="str">
        <f t="shared" si="37"/>
        <v xml:space="preserve"> </v>
      </c>
      <c r="U336" s="100"/>
      <c r="V336" s="100" t="str">
        <f t="shared" si="36"/>
        <v xml:space="preserve"> </v>
      </c>
      <c r="W336" s="101">
        <f t="shared" si="38"/>
        <v>24</v>
      </c>
      <c r="X336" s="102">
        <f t="shared" si="39"/>
        <v>0</v>
      </c>
      <c r="Y336" s="100" t="str">
        <f t="shared" si="40"/>
        <v xml:space="preserve"> </v>
      </c>
      <c r="Z336" s="100" t="str">
        <f t="shared" si="41"/>
        <v xml:space="preserve"> </v>
      </c>
    </row>
    <row r="337" spans="1:26">
      <c r="A337" s="100"/>
      <c r="B337" s="108" t="str">
        <f>IFERROR(VLOOKUP(Tablo516[[#This Row],[ÜRÜN KODU]],YMKODLARI!$A$1:$K$383,2,0)," ")</f>
        <v xml:space="preserve"> </v>
      </c>
      <c r="C337" s="99"/>
      <c r="D337" s="100"/>
      <c r="E337" s="101"/>
      <c r="F337" s="101"/>
      <c r="G337" s="100" t="str">
        <f>IFERROR(VLOOKUP(Tablo516[[#This Row],[ÜRÜN KODU]],YMKODLARI!$A$1:$K$383,3,0)," ")</f>
        <v xml:space="preserve"> </v>
      </c>
      <c r="H337" s="100" t="str">
        <f>IFERROR(VLOOKUP(Tablo516[[#This Row],[ÜRÜN KODU]],YMKODLARI!$A$1:$K$383,4,0)," ")</f>
        <v xml:space="preserve"> </v>
      </c>
      <c r="I337" s="100"/>
      <c r="J337" s="100" t="str">
        <f>IFERROR(VLOOKUP(Tablo516[[#This Row],[ÜRÜN KODU]],YMKODLARI!$A$1:$K$383,9,0)," ")</f>
        <v xml:space="preserve"> </v>
      </c>
      <c r="K337" s="100" t="str">
        <f>IFERROR(VLOOKUP(Tablo516[[#This Row],[BOYA KODU]],Tablo14[#All],4,0)," ")</f>
        <v xml:space="preserve"> </v>
      </c>
      <c r="L337" s="100" t="str">
        <f>IFERROR(VLOOKUP(Tablo516[[#This Row],[BOYA KODU]],Tablo14[#All],6,0)," ")</f>
        <v xml:space="preserve"> </v>
      </c>
      <c r="M337" s="100" t="str">
        <f t="shared" si="35"/>
        <v xml:space="preserve"> </v>
      </c>
      <c r="N337" s="100" t="str">
        <f>IFERROR(VLOOKUP(Tablo516[[#This Row],[ÜRÜN KODU]],YMKODLARI!$A$1:$K$383,8,0)," ")</f>
        <v xml:space="preserve"> </v>
      </c>
      <c r="O337" s="100" t="str">
        <f>IFERROR(VLOOKUP(Tablo516[[#This Row],[HAMMADDE KODU]],Tablo1[#All],3,0)," ")</f>
        <v xml:space="preserve"> </v>
      </c>
      <c r="P337" s="100" t="str">
        <f>IFERROR(VLOOKUP(Tablo516[[#This Row],[HAMMADDE KODU]],Tablo1[#All],4,0)," ")</f>
        <v xml:space="preserve"> </v>
      </c>
      <c r="Q337" s="100" t="str">
        <f>IFERROR(VLOOKUP(Tablo516[[#This Row],[ÜRÜN KODU]],YMKODLARI!$A$1:$K$383,5,0)," ")</f>
        <v xml:space="preserve"> </v>
      </c>
      <c r="R337" s="100" t="str">
        <f>IFERROR(VLOOKUP(Tablo516[[#This Row],[ÜRÜN KODU]],YMKODLARI!$A$1:$K$383,6,0)," ")</f>
        <v xml:space="preserve"> </v>
      </c>
      <c r="S337" s="100" t="str">
        <f>IFERROR(Tablo516[[#This Row],[YOLLUK HARİÇ BASKI GRAMI]]/Tablo516[[#This Row],[KALIP GÖZ ADEDİ]]," ")</f>
        <v xml:space="preserve"> </v>
      </c>
      <c r="T337" s="100" t="str">
        <f t="shared" si="37"/>
        <v xml:space="preserve"> </v>
      </c>
      <c r="U337" s="100"/>
      <c r="V337" s="100" t="str">
        <f t="shared" si="36"/>
        <v xml:space="preserve"> </v>
      </c>
      <c r="W337" s="101">
        <f t="shared" si="38"/>
        <v>24</v>
      </c>
      <c r="X337" s="102">
        <f t="shared" si="39"/>
        <v>0</v>
      </c>
      <c r="Y337" s="100" t="str">
        <f t="shared" si="40"/>
        <v xml:space="preserve"> </v>
      </c>
      <c r="Z337" s="100" t="str">
        <f t="shared" si="41"/>
        <v xml:space="preserve"> </v>
      </c>
    </row>
    <row r="338" spans="1:26">
      <c r="A338" s="100"/>
      <c r="B338" s="108" t="str">
        <f>IFERROR(VLOOKUP(Tablo516[[#This Row],[ÜRÜN KODU]],YMKODLARI!$A$1:$K$383,2,0)," ")</f>
        <v xml:space="preserve"> </v>
      </c>
      <c r="C338" s="99"/>
      <c r="D338" s="100"/>
      <c r="E338" s="101"/>
      <c r="F338" s="101"/>
      <c r="G338" s="100" t="str">
        <f>IFERROR(VLOOKUP(Tablo516[[#This Row],[ÜRÜN KODU]],YMKODLARI!$A$1:$K$383,3,0)," ")</f>
        <v xml:space="preserve"> </v>
      </c>
      <c r="H338" s="100" t="str">
        <f>IFERROR(VLOOKUP(Tablo516[[#This Row],[ÜRÜN KODU]],YMKODLARI!$A$1:$K$383,4,0)," ")</f>
        <v xml:space="preserve"> </v>
      </c>
      <c r="I338" s="100"/>
      <c r="J338" s="100" t="str">
        <f>IFERROR(VLOOKUP(Tablo516[[#This Row],[ÜRÜN KODU]],YMKODLARI!$A$1:$K$383,9,0)," ")</f>
        <v xml:space="preserve"> </v>
      </c>
      <c r="K338" s="100" t="str">
        <f>IFERROR(VLOOKUP(Tablo516[[#This Row],[BOYA KODU]],Tablo14[#All],4,0)," ")</f>
        <v xml:space="preserve"> </v>
      </c>
      <c r="L338" s="100" t="str">
        <f>IFERROR(VLOOKUP(Tablo516[[#This Row],[BOYA KODU]],Tablo14[#All],6,0)," ")</f>
        <v xml:space="preserve"> </v>
      </c>
      <c r="M338" s="100" t="str">
        <f t="shared" si="35"/>
        <v xml:space="preserve"> </v>
      </c>
      <c r="N338" s="100" t="str">
        <f>IFERROR(VLOOKUP(Tablo516[[#This Row],[ÜRÜN KODU]],YMKODLARI!$A$1:$K$383,8,0)," ")</f>
        <v xml:space="preserve"> </v>
      </c>
      <c r="O338" s="100" t="str">
        <f>IFERROR(VLOOKUP(Tablo516[[#This Row],[HAMMADDE KODU]],Tablo1[#All],3,0)," ")</f>
        <v xml:space="preserve"> </v>
      </c>
      <c r="P338" s="100" t="str">
        <f>IFERROR(VLOOKUP(Tablo516[[#This Row],[HAMMADDE KODU]],Tablo1[#All],4,0)," ")</f>
        <v xml:space="preserve"> </v>
      </c>
      <c r="Q338" s="100" t="str">
        <f>IFERROR(VLOOKUP(Tablo516[[#This Row],[ÜRÜN KODU]],YMKODLARI!$A$1:$K$383,5,0)," ")</f>
        <v xml:space="preserve"> </v>
      </c>
      <c r="R338" s="100" t="str">
        <f>IFERROR(VLOOKUP(Tablo516[[#This Row],[ÜRÜN KODU]],YMKODLARI!$A$1:$K$383,6,0)," ")</f>
        <v xml:space="preserve"> </v>
      </c>
      <c r="S338" s="100" t="str">
        <f>IFERROR(Tablo516[[#This Row],[YOLLUK HARİÇ BASKI GRAMI]]/Tablo516[[#This Row],[KALIP GÖZ ADEDİ]]," ")</f>
        <v xml:space="preserve"> </v>
      </c>
      <c r="T338" s="100" t="str">
        <f t="shared" si="37"/>
        <v xml:space="preserve"> </v>
      </c>
      <c r="U338" s="100"/>
      <c r="V338" s="100" t="str">
        <f t="shared" si="36"/>
        <v xml:space="preserve"> </v>
      </c>
      <c r="W338" s="101">
        <f t="shared" si="38"/>
        <v>24</v>
      </c>
      <c r="X338" s="102">
        <f t="shared" si="39"/>
        <v>0</v>
      </c>
      <c r="Y338" s="100" t="str">
        <f t="shared" si="40"/>
        <v xml:space="preserve"> </v>
      </c>
      <c r="Z338" s="100" t="str">
        <f t="shared" si="41"/>
        <v xml:space="preserve"> </v>
      </c>
    </row>
    <row r="339" spans="1:26">
      <c r="A339" s="100"/>
      <c r="B339" s="108" t="str">
        <f>IFERROR(VLOOKUP(Tablo516[[#This Row],[ÜRÜN KODU]],YMKODLARI!$A$1:$K$383,2,0)," ")</f>
        <v xml:space="preserve"> </v>
      </c>
      <c r="C339" s="99"/>
      <c r="D339" s="100"/>
      <c r="E339" s="101"/>
      <c r="F339" s="101"/>
      <c r="G339" s="100" t="str">
        <f>IFERROR(VLOOKUP(Tablo516[[#This Row],[ÜRÜN KODU]],YMKODLARI!$A$1:$K$383,3,0)," ")</f>
        <v xml:space="preserve"> </v>
      </c>
      <c r="H339" s="100" t="str">
        <f>IFERROR(VLOOKUP(Tablo516[[#This Row],[ÜRÜN KODU]],YMKODLARI!$A$1:$K$383,4,0)," ")</f>
        <v xml:space="preserve"> </v>
      </c>
      <c r="I339" s="100"/>
      <c r="J339" s="100" t="str">
        <f>IFERROR(VLOOKUP(Tablo516[[#This Row],[ÜRÜN KODU]],YMKODLARI!$A$1:$K$383,9,0)," ")</f>
        <v xml:space="preserve"> </v>
      </c>
      <c r="K339" s="100" t="str">
        <f>IFERROR(VLOOKUP(Tablo516[[#This Row],[BOYA KODU]],Tablo14[#All],4,0)," ")</f>
        <v xml:space="preserve"> </v>
      </c>
      <c r="L339" s="100" t="str">
        <f>IFERROR(VLOOKUP(Tablo516[[#This Row],[BOYA KODU]],Tablo14[#All],6,0)," ")</f>
        <v xml:space="preserve"> </v>
      </c>
      <c r="M339" s="100" t="str">
        <f t="shared" si="35"/>
        <v xml:space="preserve"> </v>
      </c>
      <c r="N339" s="100" t="str">
        <f>IFERROR(VLOOKUP(Tablo516[[#This Row],[ÜRÜN KODU]],YMKODLARI!$A$1:$K$383,8,0)," ")</f>
        <v xml:space="preserve"> </v>
      </c>
      <c r="O339" s="100" t="str">
        <f>IFERROR(VLOOKUP(Tablo516[[#This Row],[HAMMADDE KODU]],Tablo1[#All],3,0)," ")</f>
        <v xml:space="preserve"> </v>
      </c>
      <c r="P339" s="100" t="str">
        <f>IFERROR(VLOOKUP(Tablo516[[#This Row],[HAMMADDE KODU]],Tablo1[#All],4,0)," ")</f>
        <v xml:space="preserve"> </v>
      </c>
      <c r="Q339" s="100" t="str">
        <f>IFERROR(VLOOKUP(Tablo516[[#This Row],[ÜRÜN KODU]],YMKODLARI!$A$1:$K$383,5,0)," ")</f>
        <v xml:space="preserve"> </v>
      </c>
      <c r="R339" s="100" t="str">
        <f>IFERROR(VLOOKUP(Tablo516[[#This Row],[ÜRÜN KODU]],YMKODLARI!$A$1:$K$383,6,0)," ")</f>
        <v xml:space="preserve"> </v>
      </c>
      <c r="S339" s="100" t="str">
        <f>IFERROR(Tablo516[[#This Row],[YOLLUK HARİÇ BASKI GRAMI]]/Tablo516[[#This Row],[KALIP GÖZ ADEDİ]]," ")</f>
        <v xml:space="preserve"> </v>
      </c>
      <c r="T339" s="100" t="str">
        <f t="shared" si="37"/>
        <v xml:space="preserve"> </v>
      </c>
      <c r="U339" s="100"/>
      <c r="V339" s="100" t="str">
        <f t="shared" si="36"/>
        <v xml:space="preserve"> </v>
      </c>
      <c r="W339" s="101">
        <f t="shared" si="38"/>
        <v>24</v>
      </c>
      <c r="X339" s="102">
        <f t="shared" si="39"/>
        <v>0</v>
      </c>
      <c r="Y339" s="100" t="str">
        <f t="shared" si="40"/>
        <v xml:space="preserve"> </v>
      </c>
      <c r="Z339" s="100" t="str">
        <f t="shared" si="41"/>
        <v xml:space="preserve"> </v>
      </c>
    </row>
    <row r="340" spans="1:26">
      <c r="A340" s="100"/>
      <c r="B340" s="108" t="str">
        <f>IFERROR(VLOOKUP(Tablo516[[#This Row],[ÜRÜN KODU]],YMKODLARI!$A$1:$K$383,2,0)," ")</f>
        <v xml:space="preserve"> </v>
      </c>
      <c r="C340" s="99"/>
      <c r="D340" s="100"/>
      <c r="E340" s="101"/>
      <c r="F340" s="101"/>
      <c r="G340" s="100" t="str">
        <f>IFERROR(VLOOKUP(Tablo516[[#This Row],[ÜRÜN KODU]],YMKODLARI!$A$1:$K$383,3,0)," ")</f>
        <v xml:space="preserve"> </v>
      </c>
      <c r="H340" s="100" t="str">
        <f>IFERROR(VLOOKUP(Tablo516[[#This Row],[ÜRÜN KODU]],YMKODLARI!$A$1:$K$383,4,0)," ")</f>
        <v xml:space="preserve"> </v>
      </c>
      <c r="I340" s="100"/>
      <c r="J340" s="100" t="str">
        <f>IFERROR(VLOOKUP(Tablo516[[#This Row],[ÜRÜN KODU]],YMKODLARI!$A$1:$K$383,9,0)," ")</f>
        <v xml:space="preserve"> </v>
      </c>
      <c r="K340" s="100" t="str">
        <f>IFERROR(VLOOKUP(Tablo516[[#This Row],[BOYA KODU]],Tablo14[#All],4,0)," ")</f>
        <v xml:space="preserve"> </v>
      </c>
      <c r="L340" s="100" t="str">
        <f>IFERROR(VLOOKUP(Tablo516[[#This Row],[BOYA KODU]],Tablo14[#All],6,0)," ")</f>
        <v xml:space="preserve"> </v>
      </c>
      <c r="M340" s="100" t="str">
        <f t="shared" si="35"/>
        <v xml:space="preserve"> </v>
      </c>
      <c r="N340" s="100" t="str">
        <f>IFERROR(VLOOKUP(Tablo516[[#This Row],[ÜRÜN KODU]],YMKODLARI!$A$1:$K$383,8,0)," ")</f>
        <v xml:space="preserve"> </v>
      </c>
      <c r="O340" s="100" t="str">
        <f>IFERROR(VLOOKUP(Tablo516[[#This Row],[HAMMADDE KODU]],Tablo1[#All],3,0)," ")</f>
        <v xml:space="preserve"> </v>
      </c>
      <c r="P340" s="100" t="str">
        <f>IFERROR(VLOOKUP(Tablo516[[#This Row],[HAMMADDE KODU]],Tablo1[#All],4,0)," ")</f>
        <v xml:space="preserve"> </v>
      </c>
      <c r="Q340" s="100" t="str">
        <f>IFERROR(VLOOKUP(Tablo516[[#This Row],[ÜRÜN KODU]],YMKODLARI!$A$1:$K$383,5,0)," ")</f>
        <v xml:space="preserve"> </v>
      </c>
      <c r="R340" s="100" t="str">
        <f>IFERROR(VLOOKUP(Tablo516[[#This Row],[ÜRÜN KODU]],YMKODLARI!$A$1:$K$383,6,0)," ")</f>
        <v xml:space="preserve"> </v>
      </c>
      <c r="S340" s="100" t="str">
        <f>IFERROR(Tablo516[[#This Row],[YOLLUK HARİÇ BASKI GRAMI]]/Tablo516[[#This Row],[KALIP GÖZ ADEDİ]]," ")</f>
        <v xml:space="preserve"> </v>
      </c>
      <c r="T340" s="100" t="str">
        <f t="shared" si="37"/>
        <v xml:space="preserve"> </v>
      </c>
      <c r="U340" s="100"/>
      <c r="V340" s="100" t="str">
        <f t="shared" si="36"/>
        <v xml:space="preserve"> </v>
      </c>
      <c r="W340" s="101">
        <f t="shared" si="38"/>
        <v>24</v>
      </c>
      <c r="X340" s="102">
        <f t="shared" si="39"/>
        <v>0</v>
      </c>
      <c r="Y340" s="100" t="str">
        <f t="shared" si="40"/>
        <v xml:space="preserve"> </v>
      </c>
      <c r="Z340" s="100" t="str">
        <f t="shared" si="41"/>
        <v xml:space="preserve"> </v>
      </c>
    </row>
    <row r="341" spans="1:26">
      <c r="A341" s="100"/>
      <c r="B341" s="108" t="str">
        <f>IFERROR(VLOOKUP(Tablo516[[#This Row],[ÜRÜN KODU]],YMKODLARI!$A$1:$K$383,2,0)," ")</f>
        <v xml:space="preserve"> </v>
      </c>
      <c r="C341" s="99"/>
      <c r="D341" s="100"/>
      <c r="E341" s="101"/>
      <c r="F341" s="101"/>
      <c r="G341" s="100" t="str">
        <f>IFERROR(VLOOKUP(Tablo516[[#This Row],[ÜRÜN KODU]],YMKODLARI!$A$1:$K$383,3,0)," ")</f>
        <v xml:space="preserve"> </v>
      </c>
      <c r="H341" s="100" t="str">
        <f>IFERROR(VLOOKUP(Tablo516[[#This Row],[ÜRÜN KODU]],YMKODLARI!$A$1:$K$383,4,0)," ")</f>
        <v xml:space="preserve"> </v>
      </c>
      <c r="I341" s="100"/>
      <c r="J341" s="100" t="str">
        <f>IFERROR(VLOOKUP(Tablo516[[#This Row],[ÜRÜN KODU]],YMKODLARI!$A$1:$K$383,9,0)," ")</f>
        <v xml:space="preserve"> </v>
      </c>
      <c r="K341" s="100" t="str">
        <f>IFERROR(VLOOKUP(Tablo516[[#This Row],[BOYA KODU]],Tablo14[#All],4,0)," ")</f>
        <v xml:space="preserve"> </v>
      </c>
      <c r="L341" s="100" t="str">
        <f>IFERROR(VLOOKUP(Tablo516[[#This Row],[BOYA KODU]],Tablo14[#All],6,0)," ")</f>
        <v xml:space="preserve"> </v>
      </c>
      <c r="M341" s="100" t="str">
        <f t="shared" si="35"/>
        <v xml:space="preserve"> </v>
      </c>
      <c r="N341" s="100" t="str">
        <f>IFERROR(VLOOKUP(Tablo516[[#This Row],[ÜRÜN KODU]],YMKODLARI!$A$1:$K$383,8,0)," ")</f>
        <v xml:space="preserve"> </v>
      </c>
      <c r="O341" s="100" t="str">
        <f>IFERROR(VLOOKUP(Tablo516[[#This Row],[HAMMADDE KODU]],Tablo1[#All],3,0)," ")</f>
        <v xml:space="preserve"> </v>
      </c>
      <c r="P341" s="100" t="str">
        <f>IFERROR(VLOOKUP(Tablo516[[#This Row],[HAMMADDE KODU]],Tablo1[#All],4,0)," ")</f>
        <v xml:space="preserve"> </v>
      </c>
      <c r="Q341" s="100" t="str">
        <f>IFERROR(VLOOKUP(Tablo516[[#This Row],[ÜRÜN KODU]],YMKODLARI!$A$1:$K$383,5,0)," ")</f>
        <v xml:space="preserve"> </v>
      </c>
      <c r="R341" s="100" t="str">
        <f>IFERROR(VLOOKUP(Tablo516[[#This Row],[ÜRÜN KODU]],YMKODLARI!$A$1:$K$383,6,0)," ")</f>
        <v xml:space="preserve"> </v>
      </c>
      <c r="S341" s="100" t="str">
        <f>IFERROR(Tablo516[[#This Row],[YOLLUK HARİÇ BASKI GRAMI]]/Tablo516[[#This Row],[KALIP GÖZ ADEDİ]]," ")</f>
        <v xml:space="preserve"> </v>
      </c>
      <c r="T341" s="100" t="str">
        <f t="shared" si="37"/>
        <v xml:space="preserve"> </v>
      </c>
      <c r="U341" s="100"/>
      <c r="V341" s="100" t="str">
        <f t="shared" si="36"/>
        <v xml:space="preserve"> </v>
      </c>
      <c r="W341" s="101">
        <f t="shared" si="38"/>
        <v>24</v>
      </c>
      <c r="X341" s="102">
        <f t="shared" si="39"/>
        <v>0</v>
      </c>
      <c r="Y341" s="100" t="str">
        <f t="shared" si="40"/>
        <v xml:space="preserve"> </v>
      </c>
      <c r="Z341" s="100" t="str">
        <f t="shared" si="41"/>
        <v xml:space="preserve"> </v>
      </c>
    </row>
    <row r="342" spans="1:26">
      <c r="A342" s="100"/>
      <c r="B342" s="108" t="str">
        <f>IFERROR(VLOOKUP(Tablo516[[#This Row],[ÜRÜN KODU]],YMKODLARI!$A$1:$K$383,2,0)," ")</f>
        <v xml:space="preserve"> </v>
      </c>
      <c r="C342" s="99"/>
      <c r="D342" s="100"/>
      <c r="E342" s="101"/>
      <c r="F342" s="101"/>
      <c r="G342" s="100" t="str">
        <f>IFERROR(VLOOKUP(Tablo516[[#This Row],[ÜRÜN KODU]],YMKODLARI!$A$1:$K$383,3,0)," ")</f>
        <v xml:space="preserve"> </v>
      </c>
      <c r="H342" s="100" t="str">
        <f>IFERROR(VLOOKUP(Tablo516[[#This Row],[ÜRÜN KODU]],YMKODLARI!$A$1:$K$383,4,0)," ")</f>
        <v xml:space="preserve"> </v>
      </c>
      <c r="I342" s="100"/>
      <c r="J342" s="100" t="str">
        <f>IFERROR(VLOOKUP(Tablo516[[#This Row],[ÜRÜN KODU]],YMKODLARI!$A$1:$K$383,9,0)," ")</f>
        <v xml:space="preserve"> </v>
      </c>
      <c r="K342" s="100" t="str">
        <f>IFERROR(VLOOKUP(Tablo516[[#This Row],[BOYA KODU]],Tablo14[#All],4,0)," ")</f>
        <v xml:space="preserve"> </v>
      </c>
      <c r="L342" s="100" t="str">
        <f>IFERROR(VLOOKUP(Tablo516[[#This Row],[BOYA KODU]],Tablo14[#All],6,0)," ")</f>
        <v xml:space="preserve"> </v>
      </c>
      <c r="M342" s="100" t="str">
        <f t="shared" si="35"/>
        <v xml:space="preserve"> </v>
      </c>
      <c r="N342" s="100" t="str">
        <f>IFERROR(VLOOKUP(Tablo516[[#This Row],[ÜRÜN KODU]],YMKODLARI!$A$1:$K$383,8,0)," ")</f>
        <v xml:space="preserve"> </v>
      </c>
      <c r="O342" s="100" t="str">
        <f>IFERROR(VLOOKUP(Tablo516[[#This Row],[HAMMADDE KODU]],Tablo1[#All],3,0)," ")</f>
        <v xml:space="preserve"> </v>
      </c>
      <c r="P342" s="100" t="str">
        <f>IFERROR(VLOOKUP(Tablo516[[#This Row],[HAMMADDE KODU]],Tablo1[#All],4,0)," ")</f>
        <v xml:space="preserve"> </v>
      </c>
      <c r="Q342" s="100" t="str">
        <f>IFERROR(VLOOKUP(Tablo516[[#This Row],[ÜRÜN KODU]],YMKODLARI!$A$1:$K$383,5,0)," ")</f>
        <v xml:space="preserve"> </v>
      </c>
      <c r="R342" s="100" t="str">
        <f>IFERROR(VLOOKUP(Tablo516[[#This Row],[ÜRÜN KODU]],YMKODLARI!$A$1:$K$383,6,0)," ")</f>
        <v xml:space="preserve"> </v>
      </c>
      <c r="S342" s="100" t="str">
        <f>IFERROR(Tablo516[[#This Row],[YOLLUK HARİÇ BASKI GRAMI]]/Tablo516[[#This Row],[KALIP GÖZ ADEDİ]]," ")</f>
        <v xml:space="preserve"> </v>
      </c>
      <c r="T342" s="100" t="str">
        <f t="shared" si="37"/>
        <v xml:space="preserve"> </v>
      </c>
      <c r="U342" s="100"/>
      <c r="V342" s="100" t="str">
        <f t="shared" si="36"/>
        <v xml:space="preserve"> </v>
      </c>
      <c r="W342" s="101">
        <f t="shared" si="38"/>
        <v>24</v>
      </c>
      <c r="X342" s="102">
        <f t="shared" si="39"/>
        <v>0</v>
      </c>
      <c r="Y342" s="100" t="str">
        <f t="shared" si="40"/>
        <v xml:space="preserve"> </v>
      </c>
      <c r="Z342" s="100" t="str">
        <f t="shared" si="41"/>
        <v xml:space="preserve"> </v>
      </c>
    </row>
    <row r="343" spans="1:26">
      <c r="A343" s="100"/>
      <c r="B343" s="108" t="str">
        <f>IFERROR(VLOOKUP(Tablo516[[#This Row],[ÜRÜN KODU]],YMKODLARI!$A$1:$K$383,2,0)," ")</f>
        <v xml:space="preserve"> </v>
      </c>
      <c r="C343" s="99"/>
      <c r="D343" s="100"/>
      <c r="E343" s="101"/>
      <c r="F343" s="101"/>
      <c r="G343" s="100" t="str">
        <f>IFERROR(VLOOKUP(Tablo516[[#This Row],[ÜRÜN KODU]],YMKODLARI!$A$1:$K$383,3,0)," ")</f>
        <v xml:space="preserve"> </v>
      </c>
      <c r="H343" s="100" t="str">
        <f>IFERROR(VLOOKUP(Tablo516[[#This Row],[ÜRÜN KODU]],YMKODLARI!$A$1:$K$383,4,0)," ")</f>
        <v xml:space="preserve"> </v>
      </c>
      <c r="I343" s="100"/>
      <c r="J343" s="100" t="str">
        <f>IFERROR(VLOOKUP(Tablo516[[#This Row],[ÜRÜN KODU]],YMKODLARI!$A$1:$K$383,9,0)," ")</f>
        <v xml:space="preserve"> </v>
      </c>
      <c r="K343" s="100" t="str">
        <f>IFERROR(VLOOKUP(Tablo516[[#This Row],[BOYA KODU]],Tablo14[#All],4,0)," ")</f>
        <v xml:space="preserve"> </v>
      </c>
      <c r="L343" s="100" t="str">
        <f>IFERROR(VLOOKUP(Tablo516[[#This Row],[BOYA KODU]],Tablo14[#All],6,0)," ")</f>
        <v xml:space="preserve"> </v>
      </c>
      <c r="M343" s="100" t="str">
        <f t="shared" si="35"/>
        <v xml:space="preserve"> </v>
      </c>
      <c r="N343" s="100" t="str">
        <f>IFERROR(VLOOKUP(Tablo516[[#This Row],[ÜRÜN KODU]],YMKODLARI!$A$1:$K$383,8,0)," ")</f>
        <v xml:space="preserve"> </v>
      </c>
      <c r="O343" s="100" t="str">
        <f>IFERROR(VLOOKUP(Tablo516[[#This Row],[HAMMADDE KODU]],Tablo1[#All],3,0)," ")</f>
        <v xml:space="preserve"> </v>
      </c>
      <c r="P343" s="100" t="str">
        <f>IFERROR(VLOOKUP(Tablo516[[#This Row],[HAMMADDE KODU]],Tablo1[#All],4,0)," ")</f>
        <v xml:space="preserve"> </v>
      </c>
      <c r="Q343" s="100" t="str">
        <f>IFERROR(VLOOKUP(Tablo516[[#This Row],[ÜRÜN KODU]],YMKODLARI!$A$1:$K$383,5,0)," ")</f>
        <v xml:space="preserve"> </v>
      </c>
      <c r="R343" s="100" t="str">
        <f>IFERROR(VLOOKUP(Tablo516[[#This Row],[ÜRÜN KODU]],YMKODLARI!$A$1:$K$383,6,0)," ")</f>
        <v xml:space="preserve"> </v>
      </c>
      <c r="S343" s="100" t="str">
        <f>IFERROR(Tablo516[[#This Row],[YOLLUK HARİÇ BASKI GRAMI]]/Tablo516[[#This Row],[KALIP GÖZ ADEDİ]]," ")</f>
        <v xml:space="preserve"> </v>
      </c>
      <c r="T343" s="100" t="str">
        <f t="shared" si="37"/>
        <v xml:space="preserve"> </v>
      </c>
      <c r="U343" s="100"/>
      <c r="V343" s="100" t="str">
        <f t="shared" si="36"/>
        <v xml:space="preserve"> </v>
      </c>
      <c r="W343" s="101">
        <f t="shared" si="38"/>
        <v>24</v>
      </c>
      <c r="X343" s="102">
        <f t="shared" si="39"/>
        <v>0</v>
      </c>
      <c r="Y343" s="100" t="str">
        <f t="shared" si="40"/>
        <v xml:space="preserve"> </v>
      </c>
      <c r="Z343" s="100" t="str">
        <f t="shared" si="41"/>
        <v xml:space="preserve"> </v>
      </c>
    </row>
    <row r="344" spans="1:26">
      <c r="A344" s="100"/>
      <c r="B344" s="108" t="str">
        <f>IFERROR(VLOOKUP(Tablo516[[#This Row],[ÜRÜN KODU]],YMKODLARI!$A$1:$K$383,2,0)," ")</f>
        <v xml:space="preserve"> </v>
      </c>
      <c r="C344" s="99"/>
      <c r="D344" s="100"/>
      <c r="E344" s="101"/>
      <c r="F344" s="101"/>
      <c r="G344" s="100" t="str">
        <f>IFERROR(VLOOKUP(Tablo516[[#This Row],[ÜRÜN KODU]],YMKODLARI!$A$1:$K$383,3,0)," ")</f>
        <v xml:space="preserve"> </v>
      </c>
      <c r="H344" s="100" t="str">
        <f>IFERROR(VLOOKUP(Tablo516[[#This Row],[ÜRÜN KODU]],YMKODLARI!$A$1:$K$383,4,0)," ")</f>
        <v xml:space="preserve"> </v>
      </c>
      <c r="I344" s="100"/>
      <c r="J344" s="100" t="str">
        <f>IFERROR(VLOOKUP(Tablo516[[#This Row],[ÜRÜN KODU]],YMKODLARI!$A$1:$K$383,9,0)," ")</f>
        <v xml:space="preserve"> </v>
      </c>
      <c r="K344" s="100" t="str">
        <f>IFERROR(VLOOKUP(Tablo516[[#This Row],[BOYA KODU]],Tablo14[#All],4,0)," ")</f>
        <v xml:space="preserve"> </v>
      </c>
      <c r="L344" s="100" t="str">
        <f>IFERROR(VLOOKUP(Tablo516[[#This Row],[BOYA KODU]],Tablo14[#All],6,0)," ")</f>
        <v xml:space="preserve"> </v>
      </c>
      <c r="M344" s="100" t="str">
        <f t="shared" si="35"/>
        <v xml:space="preserve"> </v>
      </c>
      <c r="N344" s="100" t="str">
        <f>IFERROR(VLOOKUP(Tablo516[[#This Row],[ÜRÜN KODU]],YMKODLARI!$A$1:$K$383,8,0)," ")</f>
        <v xml:space="preserve"> </v>
      </c>
      <c r="O344" s="100" t="str">
        <f>IFERROR(VLOOKUP(Tablo516[[#This Row],[HAMMADDE KODU]],Tablo1[#All],3,0)," ")</f>
        <v xml:space="preserve"> </v>
      </c>
      <c r="P344" s="100" t="str">
        <f>IFERROR(VLOOKUP(Tablo516[[#This Row],[HAMMADDE KODU]],Tablo1[#All],4,0)," ")</f>
        <v xml:space="preserve"> </v>
      </c>
      <c r="Q344" s="100" t="str">
        <f>IFERROR(VLOOKUP(Tablo516[[#This Row],[ÜRÜN KODU]],YMKODLARI!$A$1:$K$383,5,0)," ")</f>
        <v xml:space="preserve"> </v>
      </c>
      <c r="R344" s="100" t="str">
        <f>IFERROR(VLOOKUP(Tablo516[[#This Row],[ÜRÜN KODU]],YMKODLARI!$A$1:$K$383,6,0)," ")</f>
        <v xml:space="preserve"> </v>
      </c>
      <c r="S344" s="100" t="str">
        <f>IFERROR(Tablo516[[#This Row],[YOLLUK HARİÇ BASKI GRAMI]]/Tablo516[[#This Row],[KALIP GÖZ ADEDİ]]," ")</f>
        <v xml:space="preserve"> </v>
      </c>
      <c r="T344" s="100" t="str">
        <f t="shared" si="37"/>
        <v xml:space="preserve"> </v>
      </c>
      <c r="U344" s="100"/>
      <c r="V344" s="100" t="str">
        <f t="shared" si="36"/>
        <v xml:space="preserve"> </v>
      </c>
      <c r="W344" s="101">
        <f t="shared" si="38"/>
        <v>24</v>
      </c>
      <c r="X344" s="102">
        <f t="shared" si="39"/>
        <v>0</v>
      </c>
      <c r="Y344" s="100" t="str">
        <f t="shared" si="40"/>
        <v xml:space="preserve"> </v>
      </c>
      <c r="Z344" s="100" t="str">
        <f t="shared" si="41"/>
        <v xml:space="preserve"> </v>
      </c>
    </row>
    <row r="345" spans="1:26">
      <c r="A345" s="100"/>
      <c r="B345" s="108" t="str">
        <f>IFERROR(VLOOKUP(Tablo516[[#This Row],[ÜRÜN KODU]],YMKODLARI!$A$1:$K$383,2,0)," ")</f>
        <v xml:space="preserve"> </v>
      </c>
      <c r="C345" s="99"/>
      <c r="D345" s="100"/>
      <c r="E345" s="101"/>
      <c r="F345" s="101"/>
      <c r="G345" s="100" t="str">
        <f>IFERROR(VLOOKUP(Tablo516[[#This Row],[ÜRÜN KODU]],YMKODLARI!$A$1:$K$383,3,0)," ")</f>
        <v xml:space="preserve"> </v>
      </c>
      <c r="H345" s="100" t="str">
        <f>IFERROR(VLOOKUP(Tablo516[[#This Row],[ÜRÜN KODU]],YMKODLARI!$A$1:$K$383,4,0)," ")</f>
        <v xml:space="preserve"> </v>
      </c>
      <c r="I345" s="100"/>
      <c r="J345" s="100" t="str">
        <f>IFERROR(VLOOKUP(Tablo516[[#This Row],[ÜRÜN KODU]],YMKODLARI!$A$1:$K$383,9,0)," ")</f>
        <v xml:space="preserve"> </v>
      </c>
      <c r="K345" s="100" t="str">
        <f>IFERROR(VLOOKUP(Tablo516[[#This Row],[BOYA KODU]],Tablo14[#All],4,0)," ")</f>
        <v xml:space="preserve"> </v>
      </c>
      <c r="L345" s="100" t="str">
        <f>IFERROR(VLOOKUP(Tablo516[[#This Row],[BOYA KODU]],Tablo14[#All],6,0)," ")</f>
        <v xml:space="preserve"> </v>
      </c>
      <c r="M345" s="100" t="str">
        <f t="shared" si="35"/>
        <v xml:space="preserve"> </v>
      </c>
      <c r="N345" s="100" t="str">
        <f>IFERROR(VLOOKUP(Tablo516[[#This Row],[ÜRÜN KODU]],YMKODLARI!$A$1:$K$383,8,0)," ")</f>
        <v xml:space="preserve"> </v>
      </c>
      <c r="O345" s="100" t="str">
        <f>IFERROR(VLOOKUP(Tablo516[[#This Row],[HAMMADDE KODU]],Tablo1[#All],3,0)," ")</f>
        <v xml:space="preserve"> </v>
      </c>
      <c r="P345" s="100" t="str">
        <f>IFERROR(VLOOKUP(Tablo516[[#This Row],[HAMMADDE KODU]],Tablo1[#All],4,0)," ")</f>
        <v xml:space="preserve"> </v>
      </c>
      <c r="Q345" s="100" t="str">
        <f>IFERROR(VLOOKUP(Tablo516[[#This Row],[ÜRÜN KODU]],YMKODLARI!$A$1:$K$383,5,0)," ")</f>
        <v xml:space="preserve"> </v>
      </c>
      <c r="R345" s="100" t="str">
        <f>IFERROR(VLOOKUP(Tablo516[[#This Row],[ÜRÜN KODU]],YMKODLARI!$A$1:$K$383,6,0)," ")</f>
        <v xml:space="preserve"> </v>
      </c>
      <c r="S345" s="100" t="str">
        <f>IFERROR(Tablo516[[#This Row],[YOLLUK HARİÇ BASKI GRAMI]]/Tablo516[[#This Row],[KALIP GÖZ ADEDİ]]," ")</f>
        <v xml:space="preserve"> </v>
      </c>
      <c r="T345" s="100" t="str">
        <f t="shared" si="37"/>
        <v xml:space="preserve"> </v>
      </c>
      <c r="U345" s="100"/>
      <c r="V345" s="100" t="str">
        <f t="shared" si="36"/>
        <v xml:space="preserve"> </v>
      </c>
      <c r="W345" s="101">
        <f t="shared" si="38"/>
        <v>24</v>
      </c>
      <c r="X345" s="102">
        <f t="shared" si="39"/>
        <v>0</v>
      </c>
      <c r="Y345" s="100" t="str">
        <f t="shared" si="40"/>
        <v xml:space="preserve"> </v>
      </c>
      <c r="Z345" s="100" t="str">
        <f t="shared" si="41"/>
        <v xml:space="preserve"> </v>
      </c>
    </row>
    <row r="346" spans="1:26">
      <c r="A346" s="100"/>
      <c r="B346" s="108" t="str">
        <f>IFERROR(VLOOKUP(Tablo516[[#This Row],[ÜRÜN KODU]],YMKODLARI!$A$1:$K$383,2,0)," ")</f>
        <v xml:space="preserve"> </v>
      </c>
      <c r="C346" s="99"/>
      <c r="D346" s="100"/>
      <c r="E346" s="101"/>
      <c r="F346" s="101"/>
      <c r="G346" s="100" t="str">
        <f>IFERROR(VLOOKUP(Tablo516[[#This Row],[ÜRÜN KODU]],YMKODLARI!$A$1:$K$383,3,0)," ")</f>
        <v xml:space="preserve"> </v>
      </c>
      <c r="H346" s="100" t="str">
        <f>IFERROR(VLOOKUP(Tablo516[[#This Row],[ÜRÜN KODU]],YMKODLARI!$A$1:$K$383,4,0)," ")</f>
        <v xml:space="preserve"> </v>
      </c>
      <c r="I346" s="100"/>
      <c r="J346" s="100" t="str">
        <f>IFERROR(VLOOKUP(Tablo516[[#This Row],[ÜRÜN KODU]],YMKODLARI!$A$1:$K$383,9,0)," ")</f>
        <v xml:space="preserve"> </v>
      </c>
      <c r="K346" s="100" t="str">
        <f>IFERROR(VLOOKUP(Tablo516[[#This Row],[BOYA KODU]],Tablo14[#All],4,0)," ")</f>
        <v xml:space="preserve"> </v>
      </c>
      <c r="L346" s="100" t="str">
        <f>IFERROR(VLOOKUP(Tablo516[[#This Row],[BOYA KODU]],Tablo14[#All],6,0)," ")</f>
        <v xml:space="preserve"> </v>
      </c>
      <c r="M346" s="100" t="str">
        <f t="shared" si="35"/>
        <v xml:space="preserve"> </v>
      </c>
      <c r="N346" s="100" t="str">
        <f>IFERROR(VLOOKUP(Tablo516[[#This Row],[ÜRÜN KODU]],YMKODLARI!$A$1:$K$383,8,0)," ")</f>
        <v xml:space="preserve"> </v>
      </c>
      <c r="O346" s="100" t="str">
        <f>IFERROR(VLOOKUP(Tablo516[[#This Row],[HAMMADDE KODU]],Tablo1[#All],3,0)," ")</f>
        <v xml:space="preserve"> </v>
      </c>
      <c r="P346" s="100" t="str">
        <f>IFERROR(VLOOKUP(Tablo516[[#This Row],[HAMMADDE KODU]],Tablo1[#All],4,0)," ")</f>
        <v xml:space="preserve"> </v>
      </c>
      <c r="Q346" s="100" t="str">
        <f>IFERROR(VLOOKUP(Tablo516[[#This Row],[ÜRÜN KODU]],YMKODLARI!$A$1:$K$383,5,0)," ")</f>
        <v xml:space="preserve"> </v>
      </c>
      <c r="R346" s="100" t="str">
        <f>IFERROR(VLOOKUP(Tablo516[[#This Row],[ÜRÜN KODU]],YMKODLARI!$A$1:$K$383,6,0)," ")</f>
        <v xml:space="preserve"> </v>
      </c>
      <c r="S346" s="100" t="str">
        <f>IFERROR(Tablo516[[#This Row],[YOLLUK HARİÇ BASKI GRAMI]]/Tablo516[[#This Row],[KALIP GÖZ ADEDİ]]," ")</f>
        <v xml:space="preserve"> </v>
      </c>
      <c r="T346" s="100" t="str">
        <f t="shared" si="37"/>
        <v xml:space="preserve"> </v>
      </c>
      <c r="U346" s="100"/>
      <c r="V346" s="100" t="str">
        <f t="shared" si="36"/>
        <v xml:space="preserve"> </v>
      </c>
      <c r="W346" s="101">
        <f t="shared" si="38"/>
        <v>24</v>
      </c>
      <c r="X346" s="102">
        <f t="shared" si="39"/>
        <v>0</v>
      </c>
      <c r="Y346" s="100" t="str">
        <f t="shared" si="40"/>
        <v xml:space="preserve"> </v>
      </c>
      <c r="Z346" s="100" t="str">
        <f t="shared" si="41"/>
        <v xml:space="preserve"> </v>
      </c>
    </row>
    <row r="347" spans="1:26">
      <c r="A347" s="100"/>
      <c r="B347" s="108" t="str">
        <f>IFERROR(VLOOKUP(Tablo516[[#This Row],[ÜRÜN KODU]],YMKODLARI!$A$1:$K$383,2,0)," ")</f>
        <v xml:space="preserve"> </v>
      </c>
      <c r="C347" s="99"/>
      <c r="D347" s="100"/>
      <c r="E347" s="101"/>
      <c r="F347" s="101"/>
      <c r="G347" s="100" t="str">
        <f>IFERROR(VLOOKUP(Tablo516[[#This Row],[ÜRÜN KODU]],YMKODLARI!$A$1:$K$383,3,0)," ")</f>
        <v xml:space="preserve"> </v>
      </c>
      <c r="H347" s="100" t="str">
        <f>IFERROR(VLOOKUP(Tablo516[[#This Row],[ÜRÜN KODU]],YMKODLARI!$A$1:$K$383,4,0)," ")</f>
        <v xml:space="preserve"> </v>
      </c>
      <c r="I347" s="100"/>
      <c r="J347" s="100" t="str">
        <f>IFERROR(VLOOKUP(Tablo516[[#This Row],[ÜRÜN KODU]],YMKODLARI!$A$1:$K$383,9,0)," ")</f>
        <v xml:space="preserve"> </v>
      </c>
      <c r="K347" s="100" t="str">
        <f>IFERROR(VLOOKUP(Tablo516[[#This Row],[BOYA KODU]],Tablo14[#All],4,0)," ")</f>
        <v xml:space="preserve"> </v>
      </c>
      <c r="L347" s="100" t="str">
        <f>IFERROR(VLOOKUP(Tablo516[[#This Row],[BOYA KODU]],Tablo14[#All],6,0)," ")</f>
        <v xml:space="preserve"> </v>
      </c>
      <c r="M347" s="100" t="str">
        <f t="shared" si="35"/>
        <v xml:space="preserve"> </v>
      </c>
      <c r="N347" s="100" t="str">
        <f>IFERROR(VLOOKUP(Tablo516[[#This Row],[ÜRÜN KODU]],YMKODLARI!$A$1:$K$383,8,0)," ")</f>
        <v xml:space="preserve"> </v>
      </c>
      <c r="O347" s="100" t="str">
        <f>IFERROR(VLOOKUP(Tablo516[[#This Row],[HAMMADDE KODU]],Tablo1[#All],3,0)," ")</f>
        <v xml:space="preserve"> </v>
      </c>
      <c r="P347" s="100" t="str">
        <f>IFERROR(VLOOKUP(Tablo516[[#This Row],[HAMMADDE KODU]],Tablo1[#All],4,0)," ")</f>
        <v xml:space="preserve"> </v>
      </c>
      <c r="Q347" s="100" t="str">
        <f>IFERROR(VLOOKUP(Tablo516[[#This Row],[ÜRÜN KODU]],YMKODLARI!$A$1:$K$383,5,0)," ")</f>
        <v xml:space="preserve"> </v>
      </c>
      <c r="R347" s="100" t="str">
        <f>IFERROR(VLOOKUP(Tablo516[[#This Row],[ÜRÜN KODU]],YMKODLARI!$A$1:$K$383,6,0)," ")</f>
        <v xml:space="preserve"> </v>
      </c>
      <c r="S347" s="100" t="str">
        <f>IFERROR(Tablo516[[#This Row],[YOLLUK HARİÇ BASKI GRAMI]]/Tablo516[[#This Row],[KALIP GÖZ ADEDİ]]," ")</f>
        <v xml:space="preserve"> </v>
      </c>
      <c r="T347" s="100" t="str">
        <f t="shared" si="37"/>
        <v xml:space="preserve"> </v>
      </c>
      <c r="U347" s="100"/>
      <c r="V347" s="100" t="str">
        <f t="shared" si="36"/>
        <v xml:space="preserve"> </v>
      </c>
      <c r="W347" s="101">
        <f t="shared" si="38"/>
        <v>24</v>
      </c>
      <c r="X347" s="102">
        <f t="shared" si="39"/>
        <v>0</v>
      </c>
      <c r="Y347" s="100" t="str">
        <f t="shared" si="40"/>
        <v xml:space="preserve"> </v>
      </c>
      <c r="Z347" s="100" t="str">
        <f t="shared" si="41"/>
        <v xml:space="preserve"> </v>
      </c>
    </row>
    <row r="348" spans="1:26">
      <c r="A348" s="100"/>
      <c r="B348" s="108" t="str">
        <f>IFERROR(VLOOKUP(Tablo516[[#This Row],[ÜRÜN KODU]],YMKODLARI!$A$1:$K$383,2,0)," ")</f>
        <v xml:space="preserve"> </v>
      </c>
      <c r="C348" s="99"/>
      <c r="D348" s="100"/>
      <c r="E348" s="101"/>
      <c r="F348" s="101"/>
      <c r="G348" s="100" t="str">
        <f>IFERROR(VLOOKUP(Tablo516[[#This Row],[ÜRÜN KODU]],YMKODLARI!$A$1:$K$383,3,0)," ")</f>
        <v xml:space="preserve"> </v>
      </c>
      <c r="H348" s="100" t="str">
        <f>IFERROR(VLOOKUP(Tablo516[[#This Row],[ÜRÜN KODU]],YMKODLARI!$A$1:$K$383,4,0)," ")</f>
        <v xml:space="preserve"> </v>
      </c>
      <c r="I348" s="100"/>
      <c r="J348" s="100" t="str">
        <f>IFERROR(VLOOKUP(Tablo516[[#This Row],[ÜRÜN KODU]],YMKODLARI!$A$1:$K$383,9,0)," ")</f>
        <v xml:space="preserve"> </v>
      </c>
      <c r="K348" s="100" t="str">
        <f>IFERROR(VLOOKUP(Tablo516[[#This Row],[BOYA KODU]],Tablo14[#All],4,0)," ")</f>
        <v xml:space="preserve"> </v>
      </c>
      <c r="L348" s="100" t="str">
        <f>IFERROR(VLOOKUP(Tablo516[[#This Row],[BOYA KODU]],Tablo14[#All],6,0)," ")</f>
        <v xml:space="preserve"> </v>
      </c>
      <c r="M348" s="100" t="str">
        <f t="shared" si="35"/>
        <v xml:space="preserve"> </v>
      </c>
      <c r="N348" s="100" t="str">
        <f>IFERROR(VLOOKUP(Tablo516[[#This Row],[ÜRÜN KODU]],YMKODLARI!$A$1:$K$383,8,0)," ")</f>
        <v xml:space="preserve"> </v>
      </c>
      <c r="O348" s="100" t="str">
        <f>IFERROR(VLOOKUP(Tablo516[[#This Row],[HAMMADDE KODU]],Tablo1[#All],3,0)," ")</f>
        <v xml:space="preserve"> </v>
      </c>
      <c r="P348" s="100" t="str">
        <f>IFERROR(VLOOKUP(Tablo516[[#This Row],[HAMMADDE KODU]],Tablo1[#All],4,0)," ")</f>
        <v xml:space="preserve"> </v>
      </c>
      <c r="Q348" s="100" t="str">
        <f>IFERROR(VLOOKUP(Tablo516[[#This Row],[ÜRÜN KODU]],YMKODLARI!$A$1:$K$383,5,0)," ")</f>
        <v xml:space="preserve"> </v>
      </c>
      <c r="R348" s="100" t="str">
        <f>IFERROR(VLOOKUP(Tablo516[[#This Row],[ÜRÜN KODU]],YMKODLARI!$A$1:$K$383,6,0)," ")</f>
        <v xml:space="preserve"> </v>
      </c>
      <c r="S348" s="100" t="str">
        <f>IFERROR(Tablo516[[#This Row],[YOLLUK HARİÇ BASKI GRAMI]]/Tablo516[[#This Row],[KALIP GÖZ ADEDİ]]," ")</f>
        <v xml:space="preserve"> </v>
      </c>
      <c r="T348" s="100" t="str">
        <f t="shared" si="37"/>
        <v xml:space="preserve"> </v>
      </c>
      <c r="U348" s="100"/>
      <c r="V348" s="100" t="str">
        <f t="shared" si="36"/>
        <v xml:space="preserve"> </v>
      </c>
      <c r="W348" s="101">
        <f t="shared" si="38"/>
        <v>24</v>
      </c>
      <c r="X348" s="102">
        <f t="shared" si="39"/>
        <v>0</v>
      </c>
      <c r="Y348" s="100" t="str">
        <f t="shared" si="40"/>
        <v xml:space="preserve"> </v>
      </c>
      <c r="Z348" s="100" t="str">
        <f t="shared" si="41"/>
        <v xml:space="preserve"> </v>
      </c>
    </row>
    <row r="349" spans="1:26">
      <c r="A349" s="100"/>
      <c r="B349" s="108" t="str">
        <f>IFERROR(VLOOKUP(Tablo516[[#This Row],[ÜRÜN KODU]],YMKODLARI!$A$1:$K$383,2,0)," ")</f>
        <v xml:space="preserve"> </v>
      </c>
      <c r="C349" s="99"/>
      <c r="D349" s="100"/>
      <c r="E349" s="101"/>
      <c r="F349" s="101"/>
      <c r="G349" s="100" t="str">
        <f>IFERROR(VLOOKUP(Tablo516[[#This Row],[ÜRÜN KODU]],YMKODLARI!$A$1:$K$383,3,0)," ")</f>
        <v xml:space="preserve"> </v>
      </c>
      <c r="H349" s="100" t="str">
        <f>IFERROR(VLOOKUP(Tablo516[[#This Row],[ÜRÜN KODU]],YMKODLARI!$A$1:$K$383,4,0)," ")</f>
        <v xml:space="preserve"> </v>
      </c>
      <c r="I349" s="100"/>
      <c r="J349" s="100" t="str">
        <f>IFERROR(VLOOKUP(Tablo516[[#This Row],[ÜRÜN KODU]],YMKODLARI!$A$1:$K$383,9,0)," ")</f>
        <v xml:space="preserve"> </v>
      </c>
      <c r="K349" s="100" t="str">
        <f>IFERROR(VLOOKUP(Tablo516[[#This Row],[BOYA KODU]],Tablo14[#All],4,0)," ")</f>
        <v xml:space="preserve"> </v>
      </c>
      <c r="L349" s="100" t="str">
        <f>IFERROR(VLOOKUP(Tablo516[[#This Row],[BOYA KODU]],Tablo14[#All],6,0)," ")</f>
        <v xml:space="preserve"> </v>
      </c>
      <c r="M349" s="100" t="str">
        <f t="shared" si="35"/>
        <v xml:space="preserve"> </v>
      </c>
      <c r="N349" s="100" t="str">
        <f>IFERROR(VLOOKUP(Tablo516[[#This Row],[ÜRÜN KODU]],YMKODLARI!$A$1:$K$383,8,0)," ")</f>
        <v xml:space="preserve"> </v>
      </c>
      <c r="O349" s="100" t="str">
        <f>IFERROR(VLOOKUP(Tablo516[[#This Row],[HAMMADDE KODU]],Tablo1[#All],3,0)," ")</f>
        <v xml:space="preserve"> </v>
      </c>
      <c r="P349" s="100" t="str">
        <f>IFERROR(VLOOKUP(Tablo516[[#This Row],[HAMMADDE KODU]],Tablo1[#All],4,0)," ")</f>
        <v xml:space="preserve"> </v>
      </c>
      <c r="Q349" s="100" t="str">
        <f>IFERROR(VLOOKUP(Tablo516[[#This Row],[ÜRÜN KODU]],YMKODLARI!$A$1:$K$383,5,0)," ")</f>
        <v xml:space="preserve"> </v>
      </c>
      <c r="R349" s="100" t="str">
        <f>IFERROR(VLOOKUP(Tablo516[[#This Row],[ÜRÜN KODU]],YMKODLARI!$A$1:$K$383,6,0)," ")</f>
        <v xml:space="preserve"> </v>
      </c>
      <c r="S349" s="100" t="str">
        <f>IFERROR(Tablo516[[#This Row],[YOLLUK HARİÇ BASKI GRAMI]]/Tablo516[[#This Row],[KALIP GÖZ ADEDİ]]," ")</f>
        <v xml:space="preserve"> </v>
      </c>
      <c r="T349" s="100" t="str">
        <f t="shared" si="37"/>
        <v xml:space="preserve"> </v>
      </c>
      <c r="U349" s="100"/>
      <c r="V349" s="100" t="str">
        <f t="shared" si="36"/>
        <v xml:space="preserve"> </v>
      </c>
      <c r="W349" s="101">
        <f t="shared" si="38"/>
        <v>24</v>
      </c>
      <c r="X349" s="102">
        <f t="shared" si="39"/>
        <v>0</v>
      </c>
      <c r="Y349" s="100" t="str">
        <f t="shared" si="40"/>
        <v xml:space="preserve"> </v>
      </c>
      <c r="Z349" s="100" t="str">
        <f t="shared" si="41"/>
        <v xml:space="preserve"> </v>
      </c>
    </row>
    <row r="350" spans="1:26">
      <c r="A350" s="100"/>
      <c r="B350" s="108" t="str">
        <f>IFERROR(VLOOKUP(Tablo516[[#This Row],[ÜRÜN KODU]],YMKODLARI!$A$1:$K$383,2,0)," ")</f>
        <v xml:space="preserve"> </v>
      </c>
      <c r="C350" s="99"/>
      <c r="D350" s="100"/>
      <c r="E350" s="101"/>
      <c r="F350" s="101"/>
      <c r="G350" s="100" t="str">
        <f>IFERROR(VLOOKUP(Tablo516[[#This Row],[ÜRÜN KODU]],YMKODLARI!$A$1:$K$383,3,0)," ")</f>
        <v xml:space="preserve"> </v>
      </c>
      <c r="H350" s="100" t="str">
        <f>IFERROR(VLOOKUP(Tablo516[[#This Row],[ÜRÜN KODU]],YMKODLARI!$A$1:$K$383,4,0)," ")</f>
        <v xml:space="preserve"> </v>
      </c>
      <c r="I350" s="100"/>
      <c r="J350" s="100" t="str">
        <f>IFERROR(VLOOKUP(Tablo516[[#This Row],[ÜRÜN KODU]],YMKODLARI!$A$1:$K$383,9,0)," ")</f>
        <v xml:space="preserve"> </v>
      </c>
      <c r="K350" s="100" t="str">
        <f>IFERROR(VLOOKUP(Tablo516[[#This Row],[BOYA KODU]],Tablo14[#All],4,0)," ")</f>
        <v xml:space="preserve"> </v>
      </c>
      <c r="L350" s="100" t="str">
        <f>IFERROR(VLOOKUP(Tablo516[[#This Row],[BOYA KODU]],Tablo14[#All],6,0)," ")</f>
        <v xml:space="preserve"> </v>
      </c>
      <c r="M350" s="100" t="str">
        <f t="shared" si="35"/>
        <v xml:space="preserve"> </v>
      </c>
      <c r="N350" s="100" t="str">
        <f>IFERROR(VLOOKUP(Tablo516[[#This Row],[ÜRÜN KODU]],YMKODLARI!$A$1:$K$383,8,0)," ")</f>
        <v xml:space="preserve"> </v>
      </c>
      <c r="O350" s="100" t="str">
        <f>IFERROR(VLOOKUP(Tablo516[[#This Row],[HAMMADDE KODU]],Tablo1[#All],3,0)," ")</f>
        <v xml:space="preserve"> </v>
      </c>
      <c r="P350" s="100" t="str">
        <f>IFERROR(VLOOKUP(Tablo516[[#This Row],[HAMMADDE KODU]],Tablo1[#All],4,0)," ")</f>
        <v xml:space="preserve"> </v>
      </c>
      <c r="Q350" s="100" t="str">
        <f>IFERROR(VLOOKUP(Tablo516[[#This Row],[ÜRÜN KODU]],YMKODLARI!$A$1:$K$383,5,0)," ")</f>
        <v xml:space="preserve"> </v>
      </c>
      <c r="R350" s="100" t="str">
        <f>IFERROR(VLOOKUP(Tablo516[[#This Row],[ÜRÜN KODU]],YMKODLARI!$A$1:$K$383,6,0)," ")</f>
        <v xml:space="preserve"> </v>
      </c>
      <c r="S350" s="100" t="str">
        <f>IFERROR(Tablo516[[#This Row],[YOLLUK HARİÇ BASKI GRAMI]]/Tablo516[[#This Row],[KALIP GÖZ ADEDİ]]," ")</f>
        <v xml:space="preserve"> </v>
      </c>
      <c r="T350" s="100" t="str">
        <f t="shared" si="37"/>
        <v xml:space="preserve"> </v>
      </c>
      <c r="U350" s="100"/>
      <c r="V350" s="100" t="str">
        <f t="shared" si="36"/>
        <v xml:space="preserve"> </v>
      </c>
      <c r="W350" s="101">
        <f t="shared" si="38"/>
        <v>24</v>
      </c>
      <c r="X350" s="102">
        <f t="shared" si="39"/>
        <v>0</v>
      </c>
      <c r="Y350" s="100" t="str">
        <f t="shared" si="40"/>
        <v xml:space="preserve"> </v>
      </c>
      <c r="Z350" s="100" t="str">
        <f t="shared" si="41"/>
        <v xml:space="preserve"> </v>
      </c>
    </row>
    <row r="351" spans="1:26">
      <c r="A351" s="100"/>
      <c r="B351" s="108" t="str">
        <f>IFERROR(VLOOKUP(Tablo516[[#This Row],[ÜRÜN KODU]],YMKODLARI!$A$1:$K$383,2,0)," ")</f>
        <v xml:space="preserve"> </v>
      </c>
      <c r="C351" s="99"/>
      <c r="D351" s="100"/>
      <c r="E351" s="101"/>
      <c r="F351" s="101"/>
      <c r="G351" s="100" t="str">
        <f>IFERROR(VLOOKUP(Tablo516[[#This Row],[ÜRÜN KODU]],YMKODLARI!$A$1:$K$383,3,0)," ")</f>
        <v xml:space="preserve"> </v>
      </c>
      <c r="H351" s="100" t="str">
        <f>IFERROR(VLOOKUP(Tablo516[[#This Row],[ÜRÜN KODU]],YMKODLARI!$A$1:$K$383,4,0)," ")</f>
        <v xml:space="preserve"> </v>
      </c>
      <c r="I351" s="100"/>
      <c r="J351" s="100" t="str">
        <f>IFERROR(VLOOKUP(Tablo516[[#This Row],[ÜRÜN KODU]],YMKODLARI!$A$1:$K$383,9,0)," ")</f>
        <v xml:space="preserve"> </v>
      </c>
      <c r="K351" s="100" t="str">
        <f>IFERROR(VLOOKUP(Tablo516[[#This Row],[BOYA KODU]],Tablo14[#All],4,0)," ")</f>
        <v xml:space="preserve"> </v>
      </c>
      <c r="L351" s="100" t="str">
        <f>IFERROR(VLOOKUP(Tablo516[[#This Row],[BOYA KODU]],Tablo14[#All],6,0)," ")</f>
        <v xml:space="preserve"> </v>
      </c>
      <c r="M351" s="100" t="str">
        <f t="shared" si="35"/>
        <v xml:space="preserve"> </v>
      </c>
      <c r="N351" s="100" t="str">
        <f>IFERROR(VLOOKUP(Tablo516[[#This Row],[ÜRÜN KODU]],YMKODLARI!$A$1:$K$383,8,0)," ")</f>
        <v xml:space="preserve"> </v>
      </c>
      <c r="O351" s="100" t="str">
        <f>IFERROR(VLOOKUP(Tablo516[[#This Row],[HAMMADDE KODU]],Tablo1[#All],3,0)," ")</f>
        <v xml:space="preserve"> </v>
      </c>
      <c r="P351" s="100" t="str">
        <f>IFERROR(VLOOKUP(Tablo516[[#This Row],[HAMMADDE KODU]],Tablo1[#All],4,0)," ")</f>
        <v xml:space="preserve"> </v>
      </c>
      <c r="Q351" s="100" t="str">
        <f>IFERROR(VLOOKUP(Tablo516[[#This Row],[ÜRÜN KODU]],YMKODLARI!$A$1:$K$383,5,0)," ")</f>
        <v xml:space="preserve"> </v>
      </c>
      <c r="R351" s="100" t="str">
        <f>IFERROR(VLOOKUP(Tablo516[[#This Row],[ÜRÜN KODU]],YMKODLARI!$A$1:$K$383,6,0)," ")</f>
        <v xml:space="preserve"> </v>
      </c>
      <c r="S351" s="100" t="str">
        <f>IFERROR(Tablo516[[#This Row],[YOLLUK HARİÇ BASKI GRAMI]]/Tablo516[[#This Row],[KALIP GÖZ ADEDİ]]," ")</f>
        <v xml:space="preserve"> </v>
      </c>
      <c r="T351" s="100" t="str">
        <f t="shared" si="37"/>
        <v xml:space="preserve"> </v>
      </c>
      <c r="U351" s="100"/>
      <c r="V351" s="100" t="str">
        <f t="shared" si="36"/>
        <v xml:space="preserve"> </v>
      </c>
      <c r="W351" s="101">
        <f t="shared" si="38"/>
        <v>24</v>
      </c>
      <c r="X351" s="102">
        <f t="shared" si="39"/>
        <v>0</v>
      </c>
      <c r="Y351" s="100" t="str">
        <f t="shared" si="40"/>
        <v xml:space="preserve"> </v>
      </c>
      <c r="Z351" s="100" t="str">
        <f t="shared" si="41"/>
        <v xml:space="preserve"> </v>
      </c>
    </row>
    <row r="352" spans="1:26">
      <c r="A352" s="100"/>
      <c r="B352" s="108" t="str">
        <f>IFERROR(VLOOKUP(Tablo516[[#This Row],[ÜRÜN KODU]],YMKODLARI!$A$1:$K$383,2,0)," ")</f>
        <v xml:space="preserve"> </v>
      </c>
      <c r="C352" s="99"/>
      <c r="D352" s="100"/>
      <c r="E352" s="101"/>
      <c r="F352" s="101"/>
      <c r="G352" s="100" t="str">
        <f>IFERROR(VLOOKUP(Tablo516[[#This Row],[ÜRÜN KODU]],YMKODLARI!$A$1:$K$383,3,0)," ")</f>
        <v xml:space="preserve"> </v>
      </c>
      <c r="H352" s="100" t="str">
        <f>IFERROR(VLOOKUP(Tablo516[[#This Row],[ÜRÜN KODU]],YMKODLARI!$A$1:$K$383,4,0)," ")</f>
        <v xml:space="preserve"> </v>
      </c>
      <c r="I352" s="100"/>
      <c r="J352" s="100" t="str">
        <f>IFERROR(VLOOKUP(Tablo516[[#This Row],[ÜRÜN KODU]],YMKODLARI!$A$1:$K$383,9,0)," ")</f>
        <v xml:space="preserve"> </v>
      </c>
      <c r="K352" s="100" t="str">
        <f>IFERROR(VLOOKUP(Tablo516[[#This Row],[BOYA KODU]],Tablo14[#All],4,0)," ")</f>
        <v xml:space="preserve"> </v>
      </c>
      <c r="L352" s="100" t="str">
        <f>IFERROR(VLOOKUP(Tablo516[[#This Row],[BOYA KODU]],Tablo14[#All],6,0)," ")</f>
        <v xml:space="preserve"> </v>
      </c>
      <c r="M352" s="100" t="str">
        <f t="shared" si="35"/>
        <v xml:space="preserve"> </v>
      </c>
      <c r="N352" s="100" t="str">
        <f>IFERROR(VLOOKUP(Tablo516[[#This Row],[ÜRÜN KODU]],YMKODLARI!$A$1:$K$383,8,0)," ")</f>
        <v xml:space="preserve"> </v>
      </c>
      <c r="O352" s="100" t="str">
        <f>IFERROR(VLOOKUP(Tablo516[[#This Row],[HAMMADDE KODU]],Tablo1[#All],3,0)," ")</f>
        <v xml:space="preserve"> </v>
      </c>
      <c r="P352" s="100" t="str">
        <f>IFERROR(VLOOKUP(Tablo516[[#This Row],[HAMMADDE KODU]],Tablo1[#All],4,0)," ")</f>
        <v xml:space="preserve"> </v>
      </c>
      <c r="Q352" s="100" t="str">
        <f>IFERROR(VLOOKUP(Tablo516[[#This Row],[ÜRÜN KODU]],YMKODLARI!$A$1:$K$383,5,0)," ")</f>
        <v xml:space="preserve"> </v>
      </c>
      <c r="R352" s="100" t="str">
        <f>IFERROR(VLOOKUP(Tablo516[[#This Row],[ÜRÜN KODU]],YMKODLARI!$A$1:$K$383,6,0)," ")</f>
        <v xml:space="preserve"> </v>
      </c>
      <c r="S352" s="100" t="str">
        <f>IFERROR(Tablo516[[#This Row],[YOLLUK HARİÇ BASKI GRAMI]]/Tablo516[[#This Row],[KALIP GÖZ ADEDİ]]," ")</f>
        <v xml:space="preserve"> </v>
      </c>
      <c r="T352" s="100" t="str">
        <f t="shared" si="37"/>
        <v xml:space="preserve"> </v>
      </c>
      <c r="U352" s="100"/>
      <c r="V352" s="100" t="str">
        <f t="shared" si="36"/>
        <v xml:space="preserve"> </v>
      </c>
      <c r="W352" s="101">
        <f t="shared" si="38"/>
        <v>24</v>
      </c>
      <c r="X352" s="102">
        <f t="shared" si="39"/>
        <v>0</v>
      </c>
      <c r="Y352" s="100" t="str">
        <f t="shared" si="40"/>
        <v xml:space="preserve"> </v>
      </c>
      <c r="Z352" s="100" t="str">
        <f t="shared" si="41"/>
        <v xml:space="preserve"> </v>
      </c>
    </row>
    <row r="353" spans="1:26">
      <c r="A353" s="100"/>
      <c r="B353" s="108" t="str">
        <f>IFERROR(VLOOKUP(Tablo516[[#This Row],[ÜRÜN KODU]],YMKODLARI!$A$1:$K$383,2,0)," ")</f>
        <v xml:space="preserve"> </v>
      </c>
      <c r="C353" s="99"/>
      <c r="D353" s="100"/>
      <c r="E353" s="101"/>
      <c r="F353" s="101"/>
      <c r="G353" s="100" t="str">
        <f>IFERROR(VLOOKUP(Tablo516[[#This Row],[ÜRÜN KODU]],YMKODLARI!$A$1:$K$383,3,0)," ")</f>
        <v xml:space="preserve"> </v>
      </c>
      <c r="H353" s="100" t="str">
        <f>IFERROR(VLOOKUP(Tablo516[[#This Row],[ÜRÜN KODU]],YMKODLARI!$A$1:$K$383,4,0)," ")</f>
        <v xml:space="preserve"> </v>
      </c>
      <c r="I353" s="100"/>
      <c r="J353" s="100" t="str">
        <f>IFERROR(VLOOKUP(Tablo516[[#This Row],[ÜRÜN KODU]],YMKODLARI!$A$1:$K$383,9,0)," ")</f>
        <v xml:space="preserve"> </v>
      </c>
      <c r="K353" s="100" t="str">
        <f>IFERROR(VLOOKUP(Tablo516[[#This Row],[BOYA KODU]],Tablo14[#All],4,0)," ")</f>
        <v xml:space="preserve"> </v>
      </c>
      <c r="L353" s="100" t="str">
        <f>IFERROR(VLOOKUP(Tablo516[[#This Row],[BOYA KODU]],Tablo14[#All],6,0)," ")</f>
        <v xml:space="preserve"> </v>
      </c>
      <c r="M353" s="100" t="str">
        <f t="shared" si="35"/>
        <v xml:space="preserve"> </v>
      </c>
      <c r="N353" s="100" t="str">
        <f>IFERROR(VLOOKUP(Tablo516[[#This Row],[ÜRÜN KODU]],YMKODLARI!$A$1:$K$383,8,0)," ")</f>
        <v xml:space="preserve"> </v>
      </c>
      <c r="O353" s="100" t="str">
        <f>IFERROR(VLOOKUP(Tablo516[[#This Row],[HAMMADDE KODU]],Tablo1[#All],3,0)," ")</f>
        <v xml:space="preserve"> </v>
      </c>
      <c r="P353" s="100" t="str">
        <f>IFERROR(VLOOKUP(Tablo516[[#This Row],[HAMMADDE KODU]],Tablo1[#All],4,0)," ")</f>
        <v xml:space="preserve"> </v>
      </c>
      <c r="Q353" s="100" t="str">
        <f>IFERROR(VLOOKUP(Tablo516[[#This Row],[ÜRÜN KODU]],YMKODLARI!$A$1:$K$383,5,0)," ")</f>
        <v xml:space="preserve"> </v>
      </c>
      <c r="R353" s="100" t="str">
        <f>IFERROR(VLOOKUP(Tablo516[[#This Row],[ÜRÜN KODU]],YMKODLARI!$A$1:$K$383,6,0)," ")</f>
        <v xml:space="preserve"> </v>
      </c>
      <c r="S353" s="100" t="str">
        <f>IFERROR(Tablo516[[#This Row],[YOLLUK HARİÇ BASKI GRAMI]]/Tablo516[[#This Row],[KALIP GÖZ ADEDİ]]," ")</f>
        <v xml:space="preserve"> </v>
      </c>
      <c r="T353" s="100" t="str">
        <f t="shared" si="37"/>
        <v xml:space="preserve"> </v>
      </c>
      <c r="U353" s="100"/>
      <c r="V353" s="100" t="str">
        <f t="shared" si="36"/>
        <v xml:space="preserve"> </v>
      </c>
      <c r="W353" s="101">
        <f t="shared" si="38"/>
        <v>24</v>
      </c>
      <c r="X353" s="102">
        <f t="shared" si="39"/>
        <v>0</v>
      </c>
      <c r="Y353" s="100" t="str">
        <f t="shared" si="40"/>
        <v xml:space="preserve"> </v>
      </c>
      <c r="Z353" s="100" t="str">
        <f t="shared" si="41"/>
        <v xml:space="preserve"> </v>
      </c>
    </row>
    <row r="354" spans="1:26">
      <c r="A354" s="100"/>
      <c r="B354" s="108" t="str">
        <f>IFERROR(VLOOKUP(Tablo516[[#This Row],[ÜRÜN KODU]],YMKODLARI!$A$1:$K$383,2,0)," ")</f>
        <v xml:space="preserve"> </v>
      </c>
      <c r="C354" s="99"/>
      <c r="D354" s="100"/>
      <c r="E354" s="101"/>
      <c r="F354" s="101"/>
      <c r="G354" s="100" t="str">
        <f>IFERROR(VLOOKUP(Tablo516[[#This Row],[ÜRÜN KODU]],YMKODLARI!$A$1:$K$383,3,0)," ")</f>
        <v xml:space="preserve"> </v>
      </c>
      <c r="H354" s="100" t="str">
        <f>IFERROR(VLOOKUP(Tablo516[[#This Row],[ÜRÜN KODU]],YMKODLARI!$A$1:$K$383,4,0)," ")</f>
        <v xml:space="preserve"> </v>
      </c>
      <c r="I354" s="100"/>
      <c r="J354" s="100" t="str">
        <f>IFERROR(VLOOKUP(Tablo516[[#This Row],[ÜRÜN KODU]],YMKODLARI!$A$1:$K$383,9,0)," ")</f>
        <v xml:space="preserve"> </v>
      </c>
      <c r="K354" s="100" t="str">
        <f>IFERROR(VLOOKUP(Tablo516[[#This Row],[BOYA KODU]],Tablo14[#All],4,0)," ")</f>
        <v xml:space="preserve"> </v>
      </c>
      <c r="L354" s="100" t="str">
        <f>IFERROR(VLOOKUP(Tablo516[[#This Row],[BOYA KODU]],Tablo14[#All],6,0)," ")</f>
        <v xml:space="preserve"> </v>
      </c>
      <c r="M354" s="100" t="str">
        <f t="shared" si="35"/>
        <v xml:space="preserve"> </v>
      </c>
      <c r="N354" s="100" t="str">
        <f>IFERROR(VLOOKUP(Tablo516[[#This Row],[ÜRÜN KODU]],YMKODLARI!$A$1:$K$383,8,0)," ")</f>
        <v xml:space="preserve"> </v>
      </c>
      <c r="O354" s="100" t="str">
        <f>IFERROR(VLOOKUP(Tablo516[[#This Row],[HAMMADDE KODU]],Tablo1[#All],3,0)," ")</f>
        <v xml:space="preserve"> </v>
      </c>
      <c r="P354" s="100" t="str">
        <f>IFERROR(VLOOKUP(Tablo516[[#This Row],[HAMMADDE KODU]],Tablo1[#All],4,0)," ")</f>
        <v xml:space="preserve"> </v>
      </c>
      <c r="Q354" s="100" t="str">
        <f>IFERROR(VLOOKUP(Tablo516[[#This Row],[ÜRÜN KODU]],YMKODLARI!$A$1:$K$383,5,0)," ")</f>
        <v xml:space="preserve"> </v>
      </c>
      <c r="R354" s="100" t="str">
        <f>IFERROR(VLOOKUP(Tablo516[[#This Row],[ÜRÜN KODU]],YMKODLARI!$A$1:$K$383,6,0)," ")</f>
        <v xml:space="preserve"> </v>
      </c>
      <c r="S354" s="100" t="str">
        <f>IFERROR(Tablo516[[#This Row],[YOLLUK HARİÇ BASKI GRAMI]]/Tablo516[[#This Row],[KALIP GÖZ ADEDİ]]," ")</f>
        <v xml:space="preserve"> </v>
      </c>
      <c r="T354" s="100" t="str">
        <f t="shared" si="37"/>
        <v xml:space="preserve"> </v>
      </c>
      <c r="U354" s="100"/>
      <c r="V354" s="100" t="str">
        <f t="shared" si="36"/>
        <v xml:space="preserve"> </v>
      </c>
      <c r="W354" s="101">
        <f t="shared" si="38"/>
        <v>24</v>
      </c>
      <c r="X354" s="102">
        <f t="shared" si="39"/>
        <v>0</v>
      </c>
      <c r="Y354" s="100" t="str">
        <f t="shared" si="40"/>
        <v xml:space="preserve"> </v>
      </c>
      <c r="Z354" s="100" t="str">
        <f t="shared" si="41"/>
        <v xml:space="preserve"> </v>
      </c>
    </row>
    <row r="355" spans="1:26">
      <c r="A355" s="100"/>
      <c r="B355" s="108" t="str">
        <f>IFERROR(VLOOKUP(Tablo516[[#This Row],[ÜRÜN KODU]],YMKODLARI!$A$1:$K$383,2,0)," ")</f>
        <v xml:space="preserve"> </v>
      </c>
      <c r="C355" s="99"/>
      <c r="D355" s="100"/>
      <c r="E355" s="101"/>
      <c r="F355" s="101"/>
      <c r="G355" s="100" t="str">
        <f>IFERROR(VLOOKUP(Tablo516[[#This Row],[ÜRÜN KODU]],YMKODLARI!$A$1:$K$383,3,0)," ")</f>
        <v xml:space="preserve"> </v>
      </c>
      <c r="H355" s="100" t="str">
        <f>IFERROR(VLOOKUP(Tablo516[[#This Row],[ÜRÜN KODU]],YMKODLARI!$A$1:$K$383,4,0)," ")</f>
        <v xml:space="preserve"> </v>
      </c>
      <c r="I355" s="100"/>
      <c r="J355" s="100" t="str">
        <f>IFERROR(VLOOKUP(Tablo516[[#This Row],[ÜRÜN KODU]],YMKODLARI!$A$1:$K$383,9,0)," ")</f>
        <v xml:space="preserve"> </v>
      </c>
      <c r="K355" s="100" t="str">
        <f>IFERROR(VLOOKUP(Tablo516[[#This Row],[BOYA KODU]],Tablo14[#All],4,0)," ")</f>
        <v xml:space="preserve"> </v>
      </c>
      <c r="L355" s="100" t="str">
        <f>IFERROR(VLOOKUP(Tablo516[[#This Row],[BOYA KODU]],Tablo14[#All],6,0)," ")</f>
        <v xml:space="preserve"> </v>
      </c>
      <c r="M355" s="100" t="str">
        <f t="shared" si="35"/>
        <v xml:space="preserve"> </v>
      </c>
      <c r="N355" s="100" t="str">
        <f>IFERROR(VLOOKUP(Tablo516[[#This Row],[ÜRÜN KODU]],YMKODLARI!$A$1:$K$383,8,0)," ")</f>
        <v xml:space="preserve"> </v>
      </c>
      <c r="O355" s="100" t="str">
        <f>IFERROR(VLOOKUP(Tablo516[[#This Row],[HAMMADDE KODU]],Tablo1[#All],3,0)," ")</f>
        <v xml:space="preserve"> </v>
      </c>
      <c r="P355" s="100" t="str">
        <f>IFERROR(VLOOKUP(Tablo516[[#This Row],[HAMMADDE KODU]],Tablo1[#All],4,0)," ")</f>
        <v xml:space="preserve"> </v>
      </c>
      <c r="Q355" s="100" t="str">
        <f>IFERROR(VLOOKUP(Tablo516[[#This Row],[ÜRÜN KODU]],YMKODLARI!$A$1:$K$383,5,0)," ")</f>
        <v xml:space="preserve"> </v>
      </c>
      <c r="R355" s="100" t="str">
        <f>IFERROR(VLOOKUP(Tablo516[[#This Row],[ÜRÜN KODU]],YMKODLARI!$A$1:$K$383,6,0)," ")</f>
        <v xml:space="preserve"> </v>
      </c>
      <c r="S355" s="100" t="str">
        <f>IFERROR(Tablo516[[#This Row],[YOLLUK HARİÇ BASKI GRAMI]]/Tablo516[[#This Row],[KALIP GÖZ ADEDİ]]," ")</f>
        <v xml:space="preserve"> </v>
      </c>
      <c r="T355" s="100" t="str">
        <f t="shared" si="37"/>
        <v xml:space="preserve"> </v>
      </c>
      <c r="U355" s="100"/>
      <c r="V355" s="100" t="str">
        <f t="shared" si="36"/>
        <v xml:space="preserve"> </v>
      </c>
      <c r="W355" s="101">
        <f t="shared" si="38"/>
        <v>24</v>
      </c>
      <c r="X355" s="102">
        <f t="shared" si="39"/>
        <v>0</v>
      </c>
      <c r="Y355" s="100" t="str">
        <f t="shared" si="40"/>
        <v xml:space="preserve"> </v>
      </c>
      <c r="Z355" s="100" t="str">
        <f t="shared" si="41"/>
        <v xml:space="preserve"> </v>
      </c>
    </row>
    <row r="356" spans="1:26">
      <c r="A356" s="100"/>
      <c r="B356" s="108" t="str">
        <f>IFERROR(VLOOKUP(Tablo516[[#This Row],[ÜRÜN KODU]],YMKODLARI!$A$1:$K$383,2,0)," ")</f>
        <v xml:space="preserve"> </v>
      </c>
      <c r="C356" s="99"/>
      <c r="D356" s="100"/>
      <c r="E356" s="101"/>
      <c r="F356" s="101"/>
      <c r="G356" s="100" t="str">
        <f>IFERROR(VLOOKUP(Tablo516[[#This Row],[ÜRÜN KODU]],YMKODLARI!$A$1:$K$383,3,0)," ")</f>
        <v xml:space="preserve"> </v>
      </c>
      <c r="H356" s="100" t="str">
        <f>IFERROR(VLOOKUP(Tablo516[[#This Row],[ÜRÜN KODU]],YMKODLARI!$A$1:$K$383,4,0)," ")</f>
        <v xml:space="preserve"> </v>
      </c>
      <c r="I356" s="100"/>
      <c r="J356" s="100" t="str">
        <f>IFERROR(VLOOKUP(Tablo516[[#This Row],[ÜRÜN KODU]],YMKODLARI!$A$1:$K$383,9,0)," ")</f>
        <v xml:space="preserve"> </v>
      </c>
      <c r="K356" s="100" t="str">
        <f>IFERROR(VLOOKUP(Tablo516[[#This Row],[BOYA KODU]],Tablo14[#All],4,0)," ")</f>
        <v xml:space="preserve"> </v>
      </c>
      <c r="L356" s="100" t="str">
        <f>IFERROR(VLOOKUP(Tablo516[[#This Row],[BOYA KODU]],Tablo14[#All],6,0)," ")</f>
        <v xml:space="preserve"> </v>
      </c>
      <c r="M356" s="100" t="str">
        <f t="shared" si="35"/>
        <v xml:space="preserve"> </v>
      </c>
      <c r="N356" s="100" t="str">
        <f>IFERROR(VLOOKUP(Tablo516[[#This Row],[ÜRÜN KODU]],YMKODLARI!$A$1:$K$383,8,0)," ")</f>
        <v xml:space="preserve"> </v>
      </c>
      <c r="O356" s="100" t="str">
        <f>IFERROR(VLOOKUP(Tablo516[[#This Row],[HAMMADDE KODU]],Tablo1[#All],3,0)," ")</f>
        <v xml:space="preserve"> </v>
      </c>
      <c r="P356" s="100" t="str">
        <f>IFERROR(VLOOKUP(Tablo516[[#This Row],[HAMMADDE KODU]],Tablo1[#All],4,0)," ")</f>
        <v xml:space="preserve"> </v>
      </c>
      <c r="Q356" s="100" t="str">
        <f>IFERROR(VLOOKUP(Tablo516[[#This Row],[ÜRÜN KODU]],YMKODLARI!$A$1:$K$383,5,0)," ")</f>
        <v xml:space="preserve"> </v>
      </c>
      <c r="R356" s="100" t="str">
        <f>IFERROR(VLOOKUP(Tablo516[[#This Row],[ÜRÜN KODU]],YMKODLARI!$A$1:$K$383,6,0)," ")</f>
        <v xml:space="preserve"> </v>
      </c>
      <c r="S356" s="100" t="str">
        <f>IFERROR(Tablo516[[#This Row],[YOLLUK HARİÇ BASKI GRAMI]]/Tablo516[[#This Row],[KALIP GÖZ ADEDİ]]," ")</f>
        <v xml:space="preserve"> </v>
      </c>
      <c r="T356" s="100" t="str">
        <f t="shared" si="37"/>
        <v xml:space="preserve"> </v>
      </c>
      <c r="U356" s="100"/>
      <c r="V356" s="100" t="str">
        <f t="shared" si="36"/>
        <v xml:space="preserve"> </v>
      </c>
      <c r="W356" s="101">
        <f t="shared" si="38"/>
        <v>24</v>
      </c>
      <c r="X356" s="102">
        <f t="shared" si="39"/>
        <v>0</v>
      </c>
      <c r="Y356" s="100" t="str">
        <f t="shared" si="40"/>
        <v xml:space="preserve"> </v>
      </c>
      <c r="Z356" s="100" t="str">
        <f t="shared" si="41"/>
        <v xml:space="preserve"> </v>
      </c>
    </row>
    <row r="357" spans="1:26">
      <c r="A357" s="100"/>
      <c r="B357" s="108" t="str">
        <f>IFERROR(VLOOKUP(Tablo516[[#This Row],[ÜRÜN KODU]],YMKODLARI!$A$1:$K$383,2,0)," ")</f>
        <v xml:space="preserve"> </v>
      </c>
      <c r="C357" s="99"/>
      <c r="D357" s="100"/>
      <c r="E357" s="101"/>
      <c r="F357" s="101"/>
      <c r="G357" s="100" t="str">
        <f>IFERROR(VLOOKUP(Tablo516[[#This Row],[ÜRÜN KODU]],YMKODLARI!$A$1:$K$383,3,0)," ")</f>
        <v xml:space="preserve"> </v>
      </c>
      <c r="H357" s="100" t="str">
        <f>IFERROR(VLOOKUP(Tablo516[[#This Row],[ÜRÜN KODU]],YMKODLARI!$A$1:$K$383,4,0)," ")</f>
        <v xml:space="preserve"> </v>
      </c>
      <c r="I357" s="100"/>
      <c r="J357" s="100" t="str">
        <f>IFERROR(VLOOKUP(Tablo516[[#This Row],[ÜRÜN KODU]],YMKODLARI!$A$1:$K$383,9,0)," ")</f>
        <v xml:space="preserve"> </v>
      </c>
      <c r="K357" s="100" t="str">
        <f>IFERROR(VLOOKUP(Tablo516[[#This Row],[BOYA KODU]],Tablo14[#All],4,0)," ")</f>
        <v xml:space="preserve"> </v>
      </c>
      <c r="L357" s="100" t="str">
        <f>IFERROR(VLOOKUP(Tablo516[[#This Row],[BOYA KODU]],Tablo14[#All],6,0)," ")</f>
        <v xml:space="preserve"> </v>
      </c>
      <c r="M357" s="100" t="str">
        <f t="shared" si="35"/>
        <v xml:space="preserve"> </v>
      </c>
      <c r="N357" s="100" t="str">
        <f>IFERROR(VLOOKUP(Tablo516[[#This Row],[ÜRÜN KODU]],YMKODLARI!$A$1:$K$383,8,0)," ")</f>
        <v xml:space="preserve"> </v>
      </c>
      <c r="O357" s="100" t="str">
        <f>IFERROR(VLOOKUP(Tablo516[[#This Row],[HAMMADDE KODU]],Tablo1[#All],3,0)," ")</f>
        <v xml:space="preserve"> </v>
      </c>
      <c r="P357" s="100" t="str">
        <f>IFERROR(VLOOKUP(Tablo516[[#This Row],[HAMMADDE KODU]],Tablo1[#All],4,0)," ")</f>
        <v xml:space="preserve"> </v>
      </c>
      <c r="Q357" s="100" t="str">
        <f>IFERROR(VLOOKUP(Tablo516[[#This Row],[ÜRÜN KODU]],YMKODLARI!$A$1:$K$383,5,0)," ")</f>
        <v xml:space="preserve"> </v>
      </c>
      <c r="R357" s="100" t="str">
        <f>IFERROR(VLOOKUP(Tablo516[[#This Row],[ÜRÜN KODU]],YMKODLARI!$A$1:$K$383,6,0)," ")</f>
        <v xml:space="preserve"> </v>
      </c>
      <c r="S357" s="100" t="str">
        <f>IFERROR(Tablo516[[#This Row],[YOLLUK HARİÇ BASKI GRAMI]]/Tablo516[[#This Row],[KALIP GÖZ ADEDİ]]," ")</f>
        <v xml:space="preserve"> </v>
      </c>
      <c r="T357" s="100" t="str">
        <f t="shared" si="37"/>
        <v xml:space="preserve"> </v>
      </c>
      <c r="U357" s="100"/>
      <c r="V357" s="100" t="str">
        <f t="shared" si="36"/>
        <v xml:space="preserve"> </v>
      </c>
      <c r="W357" s="101">
        <f t="shared" si="38"/>
        <v>24</v>
      </c>
      <c r="X357" s="102">
        <f t="shared" si="39"/>
        <v>0</v>
      </c>
      <c r="Y357" s="100" t="str">
        <f t="shared" si="40"/>
        <v xml:space="preserve"> </v>
      </c>
      <c r="Z357" s="100" t="str">
        <f t="shared" si="41"/>
        <v xml:space="preserve"> </v>
      </c>
    </row>
    <row r="358" spans="1:26">
      <c r="A358" s="100"/>
      <c r="B358" s="108" t="str">
        <f>IFERROR(VLOOKUP(Tablo516[[#This Row],[ÜRÜN KODU]],YMKODLARI!$A$1:$K$383,2,0)," ")</f>
        <v xml:space="preserve"> </v>
      </c>
      <c r="C358" s="99"/>
      <c r="D358" s="100"/>
      <c r="E358" s="101"/>
      <c r="F358" s="101"/>
      <c r="G358" s="100" t="str">
        <f>IFERROR(VLOOKUP(Tablo516[[#This Row],[ÜRÜN KODU]],YMKODLARI!$A$1:$K$383,3,0)," ")</f>
        <v xml:space="preserve"> </v>
      </c>
      <c r="H358" s="100" t="str">
        <f>IFERROR(VLOOKUP(Tablo516[[#This Row],[ÜRÜN KODU]],YMKODLARI!$A$1:$K$383,4,0)," ")</f>
        <v xml:space="preserve"> </v>
      </c>
      <c r="I358" s="100"/>
      <c r="J358" s="100" t="str">
        <f>IFERROR(VLOOKUP(Tablo516[[#This Row],[ÜRÜN KODU]],YMKODLARI!$A$1:$K$383,9,0)," ")</f>
        <v xml:space="preserve"> </v>
      </c>
      <c r="K358" s="100" t="str">
        <f>IFERROR(VLOOKUP(Tablo516[[#This Row],[BOYA KODU]],Tablo14[#All],4,0)," ")</f>
        <v xml:space="preserve"> </v>
      </c>
      <c r="L358" s="100" t="str">
        <f>IFERROR(VLOOKUP(Tablo516[[#This Row],[BOYA KODU]],Tablo14[#All],6,0)," ")</f>
        <v xml:space="preserve"> </v>
      </c>
      <c r="M358" s="100" t="str">
        <f t="shared" si="35"/>
        <v xml:space="preserve"> </v>
      </c>
      <c r="N358" s="100" t="str">
        <f>IFERROR(VLOOKUP(Tablo516[[#This Row],[ÜRÜN KODU]],YMKODLARI!$A$1:$K$383,8,0)," ")</f>
        <v xml:space="preserve"> </v>
      </c>
      <c r="O358" s="100" t="str">
        <f>IFERROR(VLOOKUP(Tablo516[[#This Row],[HAMMADDE KODU]],Tablo1[#All],3,0)," ")</f>
        <v xml:space="preserve"> </v>
      </c>
      <c r="P358" s="100" t="str">
        <f>IFERROR(VLOOKUP(Tablo516[[#This Row],[HAMMADDE KODU]],Tablo1[#All],4,0)," ")</f>
        <v xml:space="preserve"> </v>
      </c>
      <c r="Q358" s="100" t="str">
        <f>IFERROR(VLOOKUP(Tablo516[[#This Row],[ÜRÜN KODU]],YMKODLARI!$A$1:$K$383,5,0)," ")</f>
        <v xml:space="preserve"> </v>
      </c>
      <c r="R358" s="100" t="str">
        <f>IFERROR(VLOOKUP(Tablo516[[#This Row],[ÜRÜN KODU]],YMKODLARI!$A$1:$K$383,6,0)," ")</f>
        <v xml:space="preserve"> </v>
      </c>
      <c r="S358" s="100" t="str">
        <f>IFERROR(Tablo516[[#This Row],[YOLLUK HARİÇ BASKI GRAMI]]/Tablo516[[#This Row],[KALIP GÖZ ADEDİ]]," ")</f>
        <v xml:space="preserve"> </v>
      </c>
      <c r="T358" s="100" t="str">
        <f t="shared" si="37"/>
        <v xml:space="preserve"> </v>
      </c>
      <c r="U358" s="100"/>
      <c r="V358" s="100" t="str">
        <f t="shared" si="36"/>
        <v xml:space="preserve"> </v>
      </c>
      <c r="W358" s="101">
        <f t="shared" si="38"/>
        <v>24</v>
      </c>
      <c r="X358" s="102">
        <f t="shared" si="39"/>
        <v>0</v>
      </c>
      <c r="Y358" s="100" t="str">
        <f t="shared" si="40"/>
        <v xml:space="preserve"> </v>
      </c>
      <c r="Z358" s="100" t="str">
        <f t="shared" si="41"/>
        <v xml:space="preserve"> </v>
      </c>
    </row>
    <row r="359" spans="1:26">
      <c r="A359" s="100"/>
      <c r="B359" s="108" t="str">
        <f>IFERROR(VLOOKUP(Tablo516[[#This Row],[ÜRÜN KODU]],YMKODLARI!$A$1:$K$383,2,0)," ")</f>
        <v xml:space="preserve"> </v>
      </c>
      <c r="C359" s="99"/>
      <c r="D359" s="100"/>
      <c r="E359" s="101"/>
      <c r="F359" s="101"/>
      <c r="G359" s="100" t="str">
        <f>IFERROR(VLOOKUP(Tablo516[[#This Row],[ÜRÜN KODU]],YMKODLARI!$A$1:$K$383,3,0)," ")</f>
        <v xml:space="preserve"> </v>
      </c>
      <c r="H359" s="100" t="str">
        <f>IFERROR(VLOOKUP(Tablo516[[#This Row],[ÜRÜN KODU]],YMKODLARI!$A$1:$K$383,4,0)," ")</f>
        <v xml:space="preserve"> </v>
      </c>
      <c r="I359" s="100"/>
      <c r="J359" s="100" t="str">
        <f>IFERROR(VLOOKUP(Tablo516[[#This Row],[ÜRÜN KODU]],YMKODLARI!$A$1:$K$383,9,0)," ")</f>
        <v xml:space="preserve"> </v>
      </c>
      <c r="K359" s="100" t="str">
        <f>IFERROR(VLOOKUP(Tablo516[[#This Row],[BOYA KODU]],Tablo14[#All],4,0)," ")</f>
        <v xml:space="preserve"> </v>
      </c>
      <c r="L359" s="100" t="str">
        <f>IFERROR(VLOOKUP(Tablo516[[#This Row],[BOYA KODU]],Tablo14[#All],6,0)," ")</f>
        <v xml:space="preserve"> </v>
      </c>
      <c r="M359" s="100" t="str">
        <f t="shared" si="35"/>
        <v xml:space="preserve"> </v>
      </c>
      <c r="N359" s="100" t="str">
        <f>IFERROR(VLOOKUP(Tablo516[[#This Row],[ÜRÜN KODU]],YMKODLARI!$A$1:$K$383,8,0)," ")</f>
        <v xml:space="preserve"> </v>
      </c>
      <c r="O359" s="100" t="str">
        <f>IFERROR(VLOOKUP(Tablo516[[#This Row],[HAMMADDE KODU]],Tablo1[#All],3,0)," ")</f>
        <v xml:space="preserve"> </v>
      </c>
      <c r="P359" s="100" t="str">
        <f>IFERROR(VLOOKUP(Tablo516[[#This Row],[HAMMADDE KODU]],Tablo1[#All],4,0)," ")</f>
        <v xml:space="preserve"> </v>
      </c>
      <c r="Q359" s="100" t="str">
        <f>IFERROR(VLOOKUP(Tablo516[[#This Row],[ÜRÜN KODU]],YMKODLARI!$A$1:$K$383,5,0)," ")</f>
        <v xml:space="preserve"> </v>
      </c>
      <c r="R359" s="100" t="str">
        <f>IFERROR(VLOOKUP(Tablo516[[#This Row],[ÜRÜN KODU]],YMKODLARI!$A$1:$K$383,6,0)," ")</f>
        <v xml:space="preserve"> </v>
      </c>
      <c r="S359" s="100" t="str">
        <f>IFERROR(Tablo516[[#This Row],[YOLLUK HARİÇ BASKI GRAMI]]/Tablo516[[#This Row],[KALIP GÖZ ADEDİ]]," ")</f>
        <v xml:space="preserve"> </v>
      </c>
      <c r="T359" s="100" t="str">
        <f t="shared" si="37"/>
        <v xml:space="preserve"> </v>
      </c>
      <c r="U359" s="100"/>
      <c r="V359" s="100" t="str">
        <f t="shared" si="36"/>
        <v xml:space="preserve"> </v>
      </c>
      <c r="W359" s="101">
        <f t="shared" si="38"/>
        <v>24</v>
      </c>
      <c r="X359" s="102">
        <f t="shared" si="39"/>
        <v>0</v>
      </c>
      <c r="Y359" s="100" t="str">
        <f t="shared" si="40"/>
        <v xml:space="preserve"> </v>
      </c>
      <c r="Z359" s="100" t="str">
        <f t="shared" si="41"/>
        <v xml:space="preserve"> </v>
      </c>
    </row>
    <row r="360" spans="1:26">
      <c r="A360" s="100"/>
      <c r="B360" s="108" t="str">
        <f>IFERROR(VLOOKUP(Tablo516[[#This Row],[ÜRÜN KODU]],YMKODLARI!$A$1:$K$383,2,0)," ")</f>
        <v xml:space="preserve"> </v>
      </c>
      <c r="C360" s="99"/>
      <c r="D360" s="100"/>
      <c r="E360" s="101"/>
      <c r="F360" s="101"/>
      <c r="G360" s="100" t="str">
        <f>IFERROR(VLOOKUP(Tablo516[[#This Row],[ÜRÜN KODU]],YMKODLARI!$A$1:$K$383,3,0)," ")</f>
        <v xml:space="preserve"> </v>
      </c>
      <c r="H360" s="100" t="str">
        <f>IFERROR(VLOOKUP(Tablo516[[#This Row],[ÜRÜN KODU]],YMKODLARI!$A$1:$K$383,4,0)," ")</f>
        <v xml:space="preserve"> </v>
      </c>
      <c r="I360" s="100"/>
      <c r="J360" s="100" t="str">
        <f>IFERROR(VLOOKUP(Tablo516[[#This Row],[ÜRÜN KODU]],YMKODLARI!$A$1:$K$383,9,0)," ")</f>
        <v xml:space="preserve"> </v>
      </c>
      <c r="K360" s="100" t="str">
        <f>IFERROR(VLOOKUP(Tablo516[[#This Row],[BOYA KODU]],Tablo14[#All],4,0)," ")</f>
        <v xml:space="preserve"> </v>
      </c>
      <c r="L360" s="100" t="str">
        <f>IFERROR(VLOOKUP(Tablo516[[#This Row],[BOYA KODU]],Tablo14[#All],6,0)," ")</f>
        <v xml:space="preserve"> </v>
      </c>
      <c r="M360" s="100" t="str">
        <f t="shared" si="35"/>
        <v xml:space="preserve"> </v>
      </c>
      <c r="N360" s="100" t="str">
        <f>IFERROR(VLOOKUP(Tablo516[[#This Row],[ÜRÜN KODU]],YMKODLARI!$A$1:$K$383,8,0)," ")</f>
        <v xml:space="preserve"> </v>
      </c>
      <c r="O360" s="100" t="str">
        <f>IFERROR(VLOOKUP(Tablo516[[#This Row],[HAMMADDE KODU]],Tablo1[#All],3,0)," ")</f>
        <v xml:space="preserve"> </v>
      </c>
      <c r="P360" s="100" t="str">
        <f>IFERROR(VLOOKUP(Tablo516[[#This Row],[HAMMADDE KODU]],Tablo1[#All],4,0)," ")</f>
        <v xml:space="preserve"> </v>
      </c>
      <c r="Q360" s="100" t="str">
        <f>IFERROR(VLOOKUP(Tablo516[[#This Row],[ÜRÜN KODU]],YMKODLARI!$A$1:$K$383,5,0)," ")</f>
        <v xml:space="preserve"> </v>
      </c>
      <c r="R360" s="100" t="str">
        <f>IFERROR(VLOOKUP(Tablo516[[#This Row],[ÜRÜN KODU]],YMKODLARI!$A$1:$K$383,6,0)," ")</f>
        <v xml:space="preserve"> </v>
      </c>
      <c r="S360" s="100" t="str">
        <f>IFERROR(Tablo516[[#This Row],[YOLLUK HARİÇ BASKI GRAMI]]/Tablo516[[#This Row],[KALIP GÖZ ADEDİ]]," ")</f>
        <v xml:space="preserve"> </v>
      </c>
      <c r="T360" s="100" t="str">
        <f t="shared" si="37"/>
        <v xml:space="preserve"> </v>
      </c>
      <c r="U360" s="100"/>
      <c r="V360" s="100" t="str">
        <f t="shared" si="36"/>
        <v xml:space="preserve"> </v>
      </c>
      <c r="W360" s="101">
        <f t="shared" si="38"/>
        <v>24</v>
      </c>
      <c r="X360" s="102">
        <f t="shared" si="39"/>
        <v>0</v>
      </c>
      <c r="Y360" s="100" t="str">
        <f t="shared" si="40"/>
        <v xml:space="preserve"> </v>
      </c>
      <c r="Z360" s="100" t="str">
        <f t="shared" si="41"/>
        <v xml:space="preserve"> </v>
      </c>
    </row>
    <row r="361" spans="1:26">
      <c r="A361" s="100"/>
      <c r="B361" s="108" t="str">
        <f>IFERROR(VLOOKUP(Tablo516[[#This Row],[ÜRÜN KODU]],YMKODLARI!$A$1:$K$383,2,0)," ")</f>
        <v xml:space="preserve"> </v>
      </c>
      <c r="C361" s="99"/>
      <c r="D361" s="100"/>
      <c r="E361" s="101"/>
      <c r="F361" s="101"/>
      <c r="G361" s="100" t="str">
        <f>IFERROR(VLOOKUP(Tablo516[[#This Row],[ÜRÜN KODU]],YMKODLARI!$A$1:$K$383,3,0)," ")</f>
        <v xml:space="preserve"> </v>
      </c>
      <c r="H361" s="100" t="str">
        <f>IFERROR(VLOOKUP(Tablo516[[#This Row],[ÜRÜN KODU]],YMKODLARI!$A$1:$K$383,4,0)," ")</f>
        <v xml:space="preserve"> </v>
      </c>
      <c r="I361" s="100"/>
      <c r="J361" s="100" t="str">
        <f>IFERROR(VLOOKUP(Tablo516[[#This Row],[ÜRÜN KODU]],YMKODLARI!$A$1:$K$383,9,0)," ")</f>
        <v xml:space="preserve"> </v>
      </c>
      <c r="K361" s="100" t="str">
        <f>IFERROR(VLOOKUP(Tablo516[[#This Row],[BOYA KODU]],Tablo14[#All],4,0)," ")</f>
        <v xml:space="preserve"> </v>
      </c>
      <c r="L361" s="100" t="str">
        <f>IFERROR(VLOOKUP(Tablo516[[#This Row],[BOYA KODU]],Tablo14[#All],6,0)," ")</f>
        <v xml:space="preserve"> </v>
      </c>
      <c r="M361" s="100" t="str">
        <f t="shared" si="35"/>
        <v xml:space="preserve"> </v>
      </c>
      <c r="N361" s="100" t="str">
        <f>IFERROR(VLOOKUP(Tablo516[[#This Row],[ÜRÜN KODU]],YMKODLARI!$A$1:$K$383,8,0)," ")</f>
        <v xml:space="preserve"> </v>
      </c>
      <c r="O361" s="100" t="str">
        <f>IFERROR(VLOOKUP(Tablo516[[#This Row],[HAMMADDE KODU]],Tablo1[#All],3,0)," ")</f>
        <v xml:space="preserve"> </v>
      </c>
      <c r="P361" s="100" t="str">
        <f>IFERROR(VLOOKUP(Tablo516[[#This Row],[HAMMADDE KODU]],Tablo1[#All],4,0)," ")</f>
        <v xml:space="preserve"> </v>
      </c>
      <c r="Q361" s="100" t="str">
        <f>IFERROR(VLOOKUP(Tablo516[[#This Row],[ÜRÜN KODU]],YMKODLARI!$A$1:$K$383,5,0)," ")</f>
        <v xml:space="preserve"> </v>
      </c>
      <c r="R361" s="100" t="str">
        <f>IFERROR(VLOOKUP(Tablo516[[#This Row],[ÜRÜN KODU]],YMKODLARI!$A$1:$K$383,6,0)," ")</f>
        <v xml:space="preserve"> </v>
      </c>
      <c r="S361" s="100" t="str">
        <f>IFERROR(Tablo516[[#This Row],[YOLLUK HARİÇ BASKI GRAMI]]/Tablo516[[#This Row],[KALIP GÖZ ADEDİ]]," ")</f>
        <v xml:space="preserve"> </v>
      </c>
      <c r="T361" s="100" t="str">
        <f t="shared" si="37"/>
        <v xml:space="preserve"> </v>
      </c>
      <c r="U361" s="100"/>
      <c r="V361" s="100" t="str">
        <f t="shared" si="36"/>
        <v xml:space="preserve"> </v>
      </c>
      <c r="W361" s="101">
        <f t="shared" si="38"/>
        <v>24</v>
      </c>
      <c r="X361" s="102">
        <f t="shared" si="39"/>
        <v>0</v>
      </c>
      <c r="Y361" s="100" t="str">
        <f t="shared" si="40"/>
        <v xml:space="preserve"> </v>
      </c>
      <c r="Z361" s="100" t="str">
        <f t="shared" si="41"/>
        <v xml:space="preserve"> </v>
      </c>
    </row>
    <row r="362" spans="1:26">
      <c r="A362" s="100"/>
      <c r="B362" s="108" t="str">
        <f>IFERROR(VLOOKUP(Tablo516[[#This Row],[ÜRÜN KODU]],YMKODLARI!$A$1:$K$383,2,0)," ")</f>
        <v xml:space="preserve"> </v>
      </c>
      <c r="C362" s="99"/>
      <c r="D362" s="100"/>
      <c r="E362" s="101"/>
      <c r="F362" s="101"/>
      <c r="G362" s="100" t="str">
        <f>IFERROR(VLOOKUP(Tablo516[[#This Row],[ÜRÜN KODU]],YMKODLARI!$A$1:$K$383,3,0)," ")</f>
        <v xml:space="preserve"> </v>
      </c>
      <c r="H362" s="100" t="str">
        <f>IFERROR(VLOOKUP(Tablo516[[#This Row],[ÜRÜN KODU]],YMKODLARI!$A$1:$K$383,4,0)," ")</f>
        <v xml:space="preserve"> </v>
      </c>
      <c r="I362" s="100"/>
      <c r="J362" s="100" t="str">
        <f>IFERROR(VLOOKUP(Tablo516[[#This Row],[ÜRÜN KODU]],YMKODLARI!$A$1:$K$383,9,0)," ")</f>
        <v xml:space="preserve"> </v>
      </c>
      <c r="K362" s="100" t="str">
        <f>IFERROR(VLOOKUP(Tablo516[[#This Row],[BOYA KODU]],Tablo14[#All],4,0)," ")</f>
        <v xml:space="preserve"> </v>
      </c>
      <c r="L362" s="100" t="str">
        <f>IFERROR(VLOOKUP(Tablo516[[#This Row],[BOYA KODU]],Tablo14[#All],6,0)," ")</f>
        <v xml:space="preserve"> </v>
      </c>
      <c r="M362" s="100" t="str">
        <f t="shared" si="35"/>
        <v xml:space="preserve"> </v>
      </c>
      <c r="N362" s="100" t="str">
        <f>IFERROR(VLOOKUP(Tablo516[[#This Row],[ÜRÜN KODU]],YMKODLARI!$A$1:$K$383,8,0)," ")</f>
        <v xml:space="preserve"> </v>
      </c>
      <c r="O362" s="100" t="str">
        <f>IFERROR(VLOOKUP(Tablo516[[#This Row],[HAMMADDE KODU]],Tablo1[#All],3,0)," ")</f>
        <v xml:space="preserve"> </v>
      </c>
      <c r="P362" s="100" t="str">
        <f>IFERROR(VLOOKUP(Tablo516[[#This Row],[HAMMADDE KODU]],Tablo1[#All],4,0)," ")</f>
        <v xml:space="preserve"> </v>
      </c>
      <c r="Q362" s="100" t="str">
        <f>IFERROR(VLOOKUP(Tablo516[[#This Row],[ÜRÜN KODU]],YMKODLARI!$A$1:$K$383,5,0)," ")</f>
        <v xml:space="preserve"> </v>
      </c>
      <c r="R362" s="100" t="str">
        <f>IFERROR(VLOOKUP(Tablo516[[#This Row],[ÜRÜN KODU]],YMKODLARI!$A$1:$K$383,6,0)," ")</f>
        <v xml:space="preserve"> </v>
      </c>
      <c r="S362" s="100" t="str">
        <f>IFERROR(Tablo516[[#This Row],[YOLLUK HARİÇ BASKI GRAMI]]/Tablo516[[#This Row],[KALIP GÖZ ADEDİ]]," ")</f>
        <v xml:space="preserve"> </v>
      </c>
      <c r="T362" s="100" t="str">
        <f t="shared" si="37"/>
        <v xml:space="preserve"> </v>
      </c>
      <c r="U362" s="100"/>
      <c r="V362" s="100" t="str">
        <f t="shared" si="36"/>
        <v xml:space="preserve"> </v>
      </c>
      <c r="W362" s="101">
        <f t="shared" si="38"/>
        <v>24</v>
      </c>
      <c r="X362" s="102">
        <f t="shared" si="39"/>
        <v>0</v>
      </c>
      <c r="Y362" s="100" t="str">
        <f t="shared" si="40"/>
        <v xml:space="preserve"> </v>
      </c>
      <c r="Z362" s="100" t="str">
        <f t="shared" si="41"/>
        <v xml:space="preserve"> </v>
      </c>
    </row>
    <row r="363" spans="1:26">
      <c r="A363" s="100"/>
      <c r="B363" s="108" t="str">
        <f>IFERROR(VLOOKUP(Tablo516[[#This Row],[ÜRÜN KODU]],YMKODLARI!$A$1:$K$383,2,0)," ")</f>
        <v xml:space="preserve"> </v>
      </c>
      <c r="C363" s="99"/>
      <c r="D363" s="100"/>
      <c r="E363" s="101"/>
      <c r="F363" s="101"/>
      <c r="G363" s="100" t="str">
        <f>IFERROR(VLOOKUP(Tablo516[[#This Row],[ÜRÜN KODU]],YMKODLARI!$A$1:$K$383,3,0)," ")</f>
        <v xml:space="preserve"> </v>
      </c>
      <c r="H363" s="100" t="str">
        <f>IFERROR(VLOOKUP(Tablo516[[#This Row],[ÜRÜN KODU]],YMKODLARI!$A$1:$K$383,4,0)," ")</f>
        <v xml:space="preserve"> </v>
      </c>
      <c r="I363" s="100"/>
      <c r="J363" s="100" t="str">
        <f>IFERROR(VLOOKUP(Tablo516[[#This Row],[ÜRÜN KODU]],YMKODLARI!$A$1:$K$383,9,0)," ")</f>
        <v xml:space="preserve"> </v>
      </c>
      <c r="K363" s="100" t="str">
        <f>IFERROR(VLOOKUP(Tablo516[[#This Row],[BOYA KODU]],Tablo14[#All],4,0)," ")</f>
        <v xml:space="preserve"> </v>
      </c>
      <c r="L363" s="100" t="str">
        <f>IFERROR(VLOOKUP(Tablo516[[#This Row],[BOYA KODU]],Tablo14[#All],6,0)," ")</f>
        <v xml:space="preserve"> </v>
      </c>
      <c r="M363" s="100" t="str">
        <f t="shared" si="35"/>
        <v xml:space="preserve"> </v>
      </c>
      <c r="N363" s="100" t="str">
        <f>IFERROR(VLOOKUP(Tablo516[[#This Row],[ÜRÜN KODU]],YMKODLARI!$A$1:$K$383,8,0)," ")</f>
        <v xml:space="preserve"> </v>
      </c>
      <c r="O363" s="100" t="str">
        <f>IFERROR(VLOOKUP(Tablo516[[#This Row],[HAMMADDE KODU]],Tablo1[#All],3,0)," ")</f>
        <v xml:space="preserve"> </v>
      </c>
      <c r="P363" s="100" t="str">
        <f>IFERROR(VLOOKUP(Tablo516[[#This Row],[HAMMADDE KODU]],Tablo1[#All],4,0)," ")</f>
        <v xml:space="preserve"> </v>
      </c>
      <c r="Q363" s="100" t="str">
        <f>IFERROR(VLOOKUP(Tablo516[[#This Row],[ÜRÜN KODU]],YMKODLARI!$A$1:$K$383,5,0)," ")</f>
        <v xml:space="preserve"> </v>
      </c>
      <c r="R363" s="100" t="str">
        <f>IFERROR(VLOOKUP(Tablo516[[#This Row],[ÜRÜN KODU]],YMKODLARI!$A$1:$K$383,6,0)," ")</f>
        <v xml:space="preserve"> </v>
      </c>
      <c r="S363" s="100" t="str">
        <f>IFERROR(Tablo516[[#This Row],[YOLLUK HARİÇ BASKI GRAMI]]/Tablo516[[#This Row],[KALIP GÖZ ADEDİ]]," ")</f>
        <v xml:space="preserve"> </v>
      </c>
      <c r="T363" s="100" t="str">
        <f t="shared" si="37"/>
        <v xml:space="preserve"> </v>
      </c>
      <c r="U363" s="100"/>
      <c r="V363" s="100" t="str">
        <f t="shared" si="36"/>
        <v xml:space="preserve"> </v>
      </c>
      <c r="W363" s="101">
        <f t="shared" si="38"/>
        <v>24</v>
      </c>
      <c r="X363" s="102">
        <f t="shared" si="39"/>
        <v>0</v>
      </c>
      <c r="Y363" s="100" t="str">
        <f t="shared" si="40"/>
        <v xml:space="preserve"> </v>
      </c>
      <c r="Z363" s="100" t="str">
        <f t="shared" si="41"/>
        <v xml:space="preserve"> </v>
      </c>
    </row>
    <row r="364" spans="1:26">
      <c r="A364" s="100"/>
      <c r="B364" s="108" t="str">
        <f>IFERROR(VLOOKUP(Tablo516[[#This Row],[ÜRÜN KODU]],YMKODLARI!$A$1:$K$383,2,0)," ")</f>
        <v xml:space="preserve"> </v>
      </c>
      <c r="C364" s="99"/>
      <c r="D364" s="100"/>
      <c r="E364" s="101"/>
      <c r="F364" s="101"/>
      <c r="G364" s="100" t="str">
        <f>IFERROR(VLOOKUP(Tablo516[[#This Row],[ÜRÜN KODU]],YMKODLARI!$A$1:$K$383,3,0)," ")</f>
        <v xml:space="preserve"> </v>
      </c>
      <c r="H364" s="100" t="str">
        <f>IFERROR(VLOOKUP(Tablo516[[#This Row],[ÜRÜN KODU]],YMKODLARI!$A$1:$K$383,4,0)," ")</f>
        <v xml:space="preserve"> </v>
      </c>
      <c r="I364" s="100"/>
      <c r="J364" s="100" t="str">
        <f>IFERROR(VLOOKUP(Tablo516[[#This Row],[ÜRÜN KODU]],YMKODLARI!$A$1:$K$383,9,0)," ")</f>
        <v xml:space="preserve"> </v>
      </c>
      <c r="K364" s="100" t="str">
        <f>IFERROR(VLOOKUP(Tablo516[[#This Row],[BOYA KODU]],Tablo14[#All],4,0)," ")</f>
        <v xml:space="preserve"> </v>
      </c>
      <c r="L364" s="100" t="str">
        <f>IFERROR(VLOOKUP(Tablo516[[#This Row],[BOYA KODU]],Tablo14[#All],6,0)," ")</f>
        <v xml:space="preserve"> </v>
      </c>
      <c r="M364" s="100" t="str">
        <f t="shared" si="35"/>
        <v xml:space="preserve"> </v>
      </c>
      <c r="N364" s="100" t="str">
        <f>IFERROR(VLOOKUP(Tablo516[[#This Row],[ÜRÜN KODU]],YMKODLARI!$A$1:$K$383,8,0)," ")</f>
        <v xml:space="preserve"> </v>
      </c>
      <c r="O364" s="100" t="str">
        <f>IFERROR(VLOOKUP(Tablo516[[#This Row],[HAMMADDE KODU]],Tablo1[#All],3,0)," ")</f>
        <v xml:space="preserve"> </v>
      </c>
      <c r="P364" s="100" t="str">
        <f>IFERROR(VLOOKUP(Tablo516[[#This Row],[HAMMADDE KODU]],Tablo1[#All],4,0)," ")</f>
        <v xml:space="preserve"> </v>
      </c>
      <c r="Q364" s="100" t="str">
        <f>IFERROR(VLOOKUP(Tablo516[[#This Row],[ÜRÜN KODU]],YMKODLARI!$A$1:$K$383,5,0)," ")</f>
        <v xml:space="preserve"> </v>
      </c>
      <c r="R364" s="100" t="str">
        <f>IFERROR(VLOOKUP(Tablo516[[#This Row],[ÜRÜN KODU]],YMKODLARI!$A$1:$K$383,6,0)," ")</f>
        <v xml:space="preserve"> </v>
      </c>
      <c r="S364" s="100" t="str">
        <f>IFERROR(Tablo516[[#This Row],[YOLLUK HARİÇ BASKI GRAMI]]/Tablo516[[#This Row],[KALIP GÖZ ADEDİ]]," ")</f>
        <v xml:space="preserve"> </v>
      </c>
      <c r="T364" s="100" t="str">
        <f t="shared" si="37"/>
        <v xml:space="preserve"> </v>
      </c>
      <c r="U364" s="100"/>
      <c r="V364" s="100" t="str">
        <f t="shared" si="36"/>
        <v xml:space="preserve"> </v>
      </c>
      <c r="W364" s="101">
        <f t="shared" si="38"/>
        <v>24</v>
      </c>
      <c r="X364" s="102">
        <f t="shared" si="39"/>
        <v>0</v>
      </c>
      <c r="Y364" s="100" t="str">
        <f t="shared" si="40"/>
        <v xml:space="preserve"> </v>
      </c>
      <c r="Z364" s="100" t="str">
        <f t="shared" si="41"/>
        <v xml:space="preserve"> </v>
      </c>
    </row>
    <row r="365" spans="1:26">
      <c r="A365" s="100"/>
      <c r="B365" s="108" t="str">
        <f>IFERROR(VLOOKUP(Tablo516[[#This Row],[ÜRÜN KODU]],YMKODLARI!$A$1:$K$383,2,0)," ")</f>
        <v xml:space="preserve"> </v>
      </c>
      <c r="C365" s="99"/>
      <c r="D365" s="100"/>
      <c r="E365" s="101"/>
      <c r="F365" s="101"/>
      <c r="G365" s="100" t="str">
        <f>IFERROR(VLOOKUP(Tablo516[[#This Row],[ÜRÜN KODU]],YMKODLARI!$A$1:$K$383,3,0)," ")</f>
        <v xml:space="preserve"> </v>
      </c>
      <c r="H365" s="100" t="str">
        <f>IFERROR(VLOOKUP(Tablo516[[#This Row],[ÜRÜN KODU]],YMKODLARI!$A$1:$K$383,4,0)," ")</f>
        <v xml:space="preserve"> </v>
      </c>
      <c r="I365" s="100"/>
      <c r="J365" s="100" t="str">
        <f>IFERROR(VLOOKUP(Tablo516[[#This Row],[ÜRÜN KODU]],YMKODLARI!$A$1:$K$383,9,0)," ")</f>
        <v xml:space="preserve"> </v>
      </c>
      <c r="K365" s="100" t="str">
        <f>IFERROR(VLOOKUP(Tablo516[[#This Row],[BOYA KODU]],Tablo14[#All],4,0)," ")</f>
        <v xml:space="preserve"> </v>
      </c>
      <c r="L365" s="100" t="str">
        <f>IFERROR(VLOOKUP(Tablo516[[#This Row],[BOYA KODU]],Tablo14[#All],6,0)," ")</f>
        <v xml:space="preserve"> </v>
      </c>
      <c r="M365" s="100" t="str">
        <f t="shared" si="35"/>
        <v xml:space="preserve"> </v>
      </c>
      <c r="N365" s="100" t="str">
        <f>IFERROR(VLOOKUP(Tablo516[[#This Row],[ÜRÜN KODU]],YMKODLARI!$A$1:$K$383,8,0)," ")</f>
        <v xml:space="preserve"> </v>
      </c>
      <c r="O365" s="100" t="str">
        <f>IFERROR(VLOOKUP(Tablo516[[#This Row],[HAMMADDE KODU]],Tablo1[#All],3,0)," ")</f>
        <v xml:space="preserve"> </v>
      </c>
      <c r="P365" s="100" t="str">
        <f>IFERROR(VLOOKUP(Tablo516[[#This Row],[HAMMADDE KODU]],Tablo1[#All],4,0)," ")</f>
        <v xml:space="preserve"> </v>
      </c>
      <c r="Q365" s="100" t="str">
        <f>IFERROR(VLOOKUP(Tablo516[[#This Row],[ÜRÜN KODU]],YMKODLARI!$A$1:$K$383,5,0)," ")</f>
        <v xml:space="preserve"> </v>
      </c>
      <c r="R365" s="100" t="str">
        <f>IFERROR(VLOOKUP(Tablo516[[#This Row],[ÜRÜN KODU]],YMKODLARI!$A$1:$K$383,6,0)," ")</f>
        <v xml:space="preserve"> </v>
      </c>
      <c r="S365" s="100" t="str">
        <f>IFERROR(Tablo516[[#This Row],[YOLLUK HARİÇ BASKI GRAMI]]/Tablo516[[#This Row],[KALIP GÖZ ADEDİ]]," ")</f>
        <v xml:space="preserve"> </v>
      </c>
      <c r="T365" s="100" t="str">
        <f t="shared" si="37"/>
        <v xml:space="preserve"> </v>
      </c>
      <c r="U365" s="100"/>
      <c r="V365" s="100" t="str">
        <f t="shared" si="36"/>
        <v xml:space="preserve"> </v>
      </c>
      <c r="W365" s="101">
        <f t="shared" si="38"/>
        <v>24</v>
      </c>
      <c r="X365" s="102">
        <f t="shared" si="39"/>
        <v>0</v>
      </c>
      <c r="Y365" s="100" t="str">
        <f t="shared" si="40"/>
        <v xml:space="preserve"> </v>
      </c>
      <c r="Z365" s="100" t="str">
        <f t="shared" si="41"/>
        <v xml:space="preserve"> </v>
      </c>
    </row>
    <row r="366" spans="1:26">
      <c r="A366" s="100"/>
      <c r="B366" s="108" t="str">
        <f>IFERROR(VLOOKUP(Tablo516[[#This Row],[ÜRÜN KODU]],YMKODLARI!$A$1:$K$383,2,0)," ")</f>
        <v xml:space="preserve"> </v>
      </c>
      <c r="C366" s="99"/>
      <c r="D366" s="100"/>
      <c r="E366" s="101"/>
      <c r="F366" s="101"/>
      <c r="G366" s="100" t="str">
        <f>IFERROR(VLOOKUP(Tablo516[[#This Row],[ÜRÜN KODU]],YMKODLARI!$A$1:$K$383,3,0)," ")</f>
        <v xml:space="preserve"> </v>
      </c>
      <c r="H366" s="100" t="str">
        <f>IFERROR(VLOOKUP(Tablo516[[#This Row],[ÜRÜN KODU]],YMKODLARI!$A$1:$K$383,4,0)," ")</f>
        <v xml:space="preserve"> </v>
      </c>
      <c r="I366" s="100"/>
      <c r="J366" s="100" t="str">
        <f>IFERROR(VLOOKUP(Tablo516[[#This Row],[ÜRÜN KODU]],YMKODLARI!$A$1:$K$383,9,0)," ")</f>
        <v xml:space="preserve"> </v>
      </c>
      <c r="K366" s="100" t="str">
        <f>IFERROR(VLOOKUP(Tablo516[[#This Row],[BOYA KODU]],Tablo14[#All],4,0)," ")</f>
        <v xml:space="preserve"> </v>
      </c>
      <c r="L366" s="100" t="str">
        <f>IFERROR(VLOOKUP(Tablo516[[#This Row],[BOYA KODU]],Tablo14[#All],6,0)," ")</f>
        <v xml:space="preserve"> </v>
      </c>
      <c r="M366" s="100" t="str">
        <f t="shared" si="35"/>
        <v xml:space="preserve"> </v>
      </c>
      <c r="N366" s="100" t="str">
        <f>IFERROR(VLOOKUP(Tablo516[[#This Row],[ÜRÜN KODU]],YMKODLARI!$A$1:$K$383,8,0)," ")</f>
        <v xml:space="preserve"> </v>
      </c>
      <c r="O366" s="100" t="str">
        <f>IFERROR(VLOOKUP(Tablo516[[#This Row],[HAMMADDE KODU]],Tablo1[#All],3,0)," ")</f>
        <v xml:space="preserve"> </v>
      </c>
      <c r="P366" s="100" t="str">
        <f>IFERROR(VLOOKUP(Tablo516[[#This Row],[HAMMADDE KODU]],Tablo1[#All],4,0)," ")</f>
        <v xml:space="preserve"> </v>
      </c>
      <c r="Q366" s="100" t="str">
        <f>IFERROR(VLOOKUP(Tablo516[[#This Row],[ÜRÜN KODU]],YMKODLARI!$A$1:$K$383,5,0)," ")</f>
        <v xml:space="preserve"> </v>
      </c>
      <c r="R366" s="100" t="str">
        <f>IFERROR(VLOOKUP(Tablo516[[#This Row],[ÜRÜN KODU]],YMKODLARI!$A$1:$K$383,6,0)," ")</f>
        <v xml:space="preserve"> </v>
      </c>
      <c r="S366" s="100" t="str">
        <f>IFERROR(Tablo516[[#This Row],[YOLLUK HARİÇ BASKI GRAMI]]/Tablo516[[#This Row],[KALIP GÖZ ADEDİ]]," ")</f>
        <v xml:space="preserve"> </v>
      </c>
      <c r="T366" s="100" t="str">
        <f t="shared" si="37"/>
        <v xml:space="preserve"> </v>
      </c>
      <c r="U366" s="100"/>
      <c r="V366" s="100" t="str">
        <f t="shared" si="36"/>
        <v xml:space="preserve"> </v>
      </c>
      <c r="W366" s="101">
        <f t="shared" si="38"/>
        <v>24</v>
      </c>
      <c r="X366" s="102">
        <f t="shared" si="39"/>
        <v>0</v>
      </c>
      <c r="Y366" s="100" t="str">
        <f t="shared" si="40"/>
        <v xml:space="preserve"> </v>
      </c>
      <c r="Z366" s="100" t="str">
        <f t="shared" si="41"/>
        <v xml:space="preserve"> </v>
      </c>
    </row>
    <row r="367" spans="1:26">
      <c r="A367" s="100"/>
      <c r="B367" s="108" t="str">
        <f>IFERROR(VLOOKUP(Tablo516[[#This Row],[ÜRÜN KODU]],YMKODLARI!$A$1:$K$383,2,0)," ")</f>
        <v xml:space="preserve"> </v>
      </c>
      <c r="C367" s="99"/>
      <c r="D367" s="100"/>
      <c r="E367" s="101"/>
      <c r="F367" s="101"/>
      <c r="G367" s="100" t="str">
        <f>IFERROR(VLOOKUP(Tablo516[[#This Row],[ÜRÜN KODU]],YMKODLARI!$A$1:$K$383,3,0)," ")</f>
        <v xml:space="preserve"> </v>
      </c>
      <c r="H367" s="100" t="str">
        <f>IFERROR(VLOOKUP(Tablo516[[#This Row],[ÜRÜN KODU]],YMKODLARI!$A$1:$K$383,4,0)," ")</f>
        <v xml:space="preserve"> </v>
      </c>
      <c r="I367" s="100"/>
      <c r="J367" s="100" t="str">
        <f>IFERROR(VLOOKUP(Tablo516[[#This Row],[ÜRÜN KODU]],YMKODLARI!$A$1:$K$383,9,0)," ")</f>
        <v xml:space="preserve"> </v>
      </c>
      <c r="K367" s="100" t="str">
        <f>IFERROR(VLOOKUP(Tablo516[[#This Row],[BOYA KODU]],Tablo14[#All],4,0)," ")</f>
        <v xml:space="preserve"> </v>
      </c>
      <c r="L367" s="100" t="str">
        <f>IFERROR(VLOOKUP(Tablo516[[#This Row],[BOYA KODU]],Tablo14[#All],6,0)," ")</f>
        <v xml:space="preserve"> </v>
      </c>
      <c r="M367" s="100" t="str">
        <f t="shared" si="35"/>
        <v xml:space="preserve"> </v>
      </c>
      <c r="N367" s="100" t="str">
        <f>IFERROR(VLOOKUP(Tablo516[[#This Row],[ÜRÜN KODU]],YMKODLARI!$A$1:$K$383,8,0)," ")</f>
        <v xml:space="preserve"> </v>
      </c>
      <c r="O367" s="100" t="str">
        <f>IFERROR(VLOOKUP(Tablo516[[#This Row],[HAMMADDE KODU]],Tablo1[#All],3,0)," ")</f>
        <v xml:space="preserve"> </v>
      </c>
      <c r="P367" s="100" t="str">
        <f>IFERROR(VLOOKUP(Tablo516[[#This Row],[HAMMADDE KODU]],Tablo1[#All],4,0)," ")</f>
        <v xml:space="preserve"> </v>
      </c>
      <c r="Q367" s="100" t="str">
        <f>IFERROR(VLOOKUP(Tablo516[[#This Row],[ÜRÜN KODU]],YMKODLARI!$A$1:$K$383,5,0)," ")</f>
        <v xml:space="preserve"> </v>
      </c>
      <c r="R367" s="100" t="str">
        <f>IFERROR(VLOOKUP(Tablo516[[#This Row],[ÜRÜN KODU]],YMKODLARI!$A$1:$K$383,6,0)," ")</f>
        <v xml:space="preserve"> </v>
      </c>
      <c r="S367" s="100" t="str">
        <f>IFERROR(Tablo516[[#This Row],[YOLLUK HARİÇ BASKI GRAMI]]/Tablo516[[#This Row],[KALIP GÖZ ADEDİ]]," ")</f>
        <v xml:space="preserve"> </v>
      </c>
      <c r="T367" s="100" t="str">
        <f t="shared" si="37"/>
        <v xml:space="preserve"> </v>
      </c>
      <c r="U367" s="100"/>
      <c r="V367" s="100" t="str">
        <f t="shared" si="36"/>
        <v xml:space="preserve"> </v>
      </c>
      <c r="W367" s="101">
        <f t="shared" si="38"/>
        <v>24</v>
      </c>
      <c r="X367" s="102">
        <f t="shared" si="39"/>
        <v>0</v>
      </c>
      <c r="Y367" s="100" t="str">
        <f t="shared" si="40"/>
        <v xml:space="preserve"> </v>
      </c>
      <c r="Z367" s="100" t="str">
        <f t="shared" si="41"/>
        <v xml:space="preserve"> </v>
      </c>
    </row>
    <row r="368" spans="1:26">
      <c r="A368" s="100"/>
      <c r="B368" s="108" t="str">
        <f>IFERROR(VLOOKUP(Tablo516[[#This Row],[ÜRÜN KODU]],YMKODLARI!$A$1:$K$383,2,0)," ")</f>
        <v xml:space="preserve"> </v>
      </c>
      <c r="C368" s="99"/>
      <c r="D368" s="100"/>
      <c r="E368" s="101"/>
      <c r="F368" s="101"/>
      <c r="G368" s="100" t="str">
        <f>IFERROR(VLOOKUP(Tablo516[[#This Row],[ÜRÜN KODU]],YMKODLARI!$A$1:$K$383,3,0)," ")</f>
        <v xml:space="preserve"> </v>
      </c>
      <c r="H368" s="100" t="str">
        <f>IFERROR(VLOOKUP(Tablo516[[#This Row],[ÜRÜN KODU]],YMKODLARI!$A$1:$K$383,4,0)," ")</f>
        <v xml:space="preserve"> </v>
      </c>
      <c r="I368" s="100"/>
      <c r="J368" s="100" t="str">
        <f>IFERROR(VLOOKUP(Tablo516[[#This Row],[ÜRÜN KODU]],YMKODLARI!$A$1:$K$383,9,0)," ")</f>
        <v xml:space="preserve"> </v>
      </c>
      <c r="K368" s="100" t="str">
        <f>IFERROR(VLOOKUP(Tablo516[[#This Row],[BOYA KODU]],Tablo14[#All],4,0)," ")</f>
        <v xml:space="preserve"> </v>
      </c>
      <c r="L368" s="100" t="str">
        <f>IFERROR(VLOOKUP(Tablo516[[#This Row],[BOYA KODU]],Tablo14[#All],6,0)," ")</f>
        <v xml:space="preserve"> </v>
      </c>
      <c r="M368" s="100" t="str">
        <f t="shared" si="35"/>
        <v xml:space="preserve"> </v>
      </c>
      <c r="N368" s="100" t="str">
        <f>IFERROR(VLOOKUP(Tablo516[[#This Row],[ÜRÜN KODU]],YMKODLARI!$A$1:$K$383,8,0)," ")</f>
        <v xml:space="preserve"> </v>
      </c>
      <c r="O368" s="100" t="str">
        <f>IFERROR(VLOOKUP(Tablo516[[#This Row],[HAMMADDE KODU]],Tablo1[#All],3,0)," ")</f>
        <v xml:space="preserve"> </v>
      </c>
      <c r="P368" s="100" t="str">
        <f>IFERROR(VLOOKUP(Tablo516[[#This Row],[HAMMADDE KODU]],Tablo1[#All],4,0)," ")</f>
        <v xml:space="preserve"> </v>
      </c>
      <c r="Q368" s="100" t="str">
        <f>IFERROR(VLOOKUP(Tablo516[[#This Row],[ÜRÜN KODU]],YMKODLARI!$A$1:$K$383,5,0)," ")</f>
        <v xml:space="preserve"> </v>
      </c>
      <c r="R368" s="100" t="str">
        <f>IFERROR(VLOOKUP(Tablo516[[#This Row],[ÜRÜN KODU]],YMKODLARI!$A$1:$K$383,6,0)," ")</f>
        <v xml:space="preserve"> </v>
      </c>
      <c r="S368" s="100" t="str">
        <f>IFERROR(Tablo516[[#This Row],[YOLLUK HARİÇ BASKI GRAMI]]/Tablo516[[#This Row],[KALIP GÖZ ADEDİ]]," ")</f>
        <v xml:space="preserve"> </v>
      </c>
      <c r="T368" s="100" t="str">
        <f t="shared" si="37"/>
        <v xml:space="preserve"> </v>
      </c>
      <c r="U368" s="100"/>
      <c r="V368" s="100" t="str">
        <f t="shared" si="36"/>
        <v xml:space="preserve"> </v>
      </c>
      <c r="W368" s="101">
        <f t="shared" si="38"/>
        <v>24</v>
      </c>
      <c r="X368" s="102">
        <f t="shared" si="39"/>
        <v>0</v>
      </c>
      <c r="Y368" s="100" t="str">
        <f t="shared" si="40"/>
        <v xml:space="preserve"> </v>
      </c>
      <c r="Z368" s="100" t="str">
        <f t="shared" si="41"/>
        <v xml:space="preserve"> </v>
      </c>
    </row>
    <row r="369" spans="1:26">
      <c r="A369" s="100"/>
      <c r="B369" s="108" t="str">
        <f>IFERROR(VLOOKUP(Tablo516[[#This Row],[ÜRÜN KODU]],YMKODLARI!$A$1:$K$383,2,0)," ")</f>
        <v xml:space="preserve"> </v>
      </c>
      <c r="C369" s="99"/>
      <c r="D369" s="100"/>
      <c r="E369" s="101"/>
      <c r="F369" s="101"/>
      <c r="G369" s="100" t="str">
        <f>IFERROR(VLOOKUP(Tablo516[[#This Row],[ÜRÜN KODU]],YMKODLARI!$A$1:$K$383,3,0)," ")</f>
        <v xml:space="preserve"> </v>
      </c>
      <c r="H369" s="100" t="str">
        <f>IFERROR(VLOOKUP(Tablo516[[#This Row],[ÜRÜN KODU]],YMKODLARI!$A$1:$K$383,4,0)," ")</f>
        <v xml:space="preserve"> </v>
      </c>
      <c r="I369" s="100"/>
      <c r="J369" s="100" t="str">
        <f>IFERROR(VLOOKUP(Tablo516[[#This Row],[ÜRÜN KODU]],YMKODLARI!$A$1:$K$383,9,0)," ")</f>
        <v xml:space="preserve"> </v>
      </c>
      <c r="K369" s="100" t="str">
        <f>IFERROR(VLOOKUP(Tablo516[[#This Row],[BOYA KODU]],Tablo14[#All],4,0)," ")</f>
        <v xml:space="preserve"> </v>
      </c>
      <c r="L369" s="100" t="str">
        <f>IFERROR(VLOOKUP(Tablo516[[#This Row],[BOYA KODU]],Tablo14[#All],6,0)," ")</f>
        <v xml:space="preserve"> </v>
      </c>
      <c r="M369" s="100" t="str">
        <f t="shared" si="35"/>
        <v xml:space="preserve"> </v>
      </c>
      <c r="N369" s="100" t="str">
        <f>IFERROR(VLOOKUP(Tablo516[[#This Row],[ÜRÜN KODU]],YMKODLARI!$A$1:$K$383,8,0)," ")</f>
        <v xml:space="preserve"> </v>
      </c>
      <c r="O369" s="100" t="str">
        <f>IFERROR(VLOOKUP(Tablo516[[#This Row],[HAMMADDE KODU]],Tablo1[#All],3,0)," ")</f>
        <v xml:space="preserve"> </v>
      </c>
      <c r="P369" s="100" t="str">
        <f>IFERROR(VLOOKUP(Tablo516[[#This Row],[HAMMADDE KODU]],Tablo1[#All],4,0)," ")</f>
        <v xml:space="preserve"> </v>
      </c>
      <c r="Q369" s="100" t="str">
        <f>IFERROR(VLOOKUP(Tablo516[[#This Row],[ÜRÜN KODU]],YMKODLARI!$A$1:$K$383,5,0)," ")</f>
        <v xml:space="preserve"> </v>
      </c>
      <c r="R369" s="100" t="str">
        <f>IFERROR(VLOOKUP(Tablo516[[#This Row],[ÜRÜN KODU]],YMKODLARI!$A$1:$K$383,6,0)," ")</f>
        <v xml:space="preserve"> </v>
      </c>
      <c r="S369" s="100" t="str">
        <f>IFERROR(Tablo516[[#This Row],[YOLLUK HARİÇ BASKI GRAMI]]/Tablo516[[#This Row],[KALIP GÖZ ADEDİ]]," ")</f>
        <v xml:space="preserve"> </v>
      </c>
      <c r="T369" s="100" t="str">
        <f t="shared" si="37"/>
        <v xml:space="preserve"> </v>
      </c>
      <c r="U369" s="100"/>
      <c r="V369" s="100" t="str">
        <f t="shared" si="36"/>
        <v xml:space="preserve"> </v>
      </c>
      <c r="W369" s="101">
        <f t="shared" si="38"/>
        <v>24</v>
      </c>
      <c r="X369" s="102">
        <f t="shared" si="39"/>
        <v>0</v>
      </c>
      <c r="Y369" s="100" t="str">
        <f t="shared" si="40"/>
        <v xml:space="preserve"> </v>
      </c>
      <c r="Z369" s="100" t="str">
        <f t="shared" si="41"/>
        <v xml:space="preserve"> </v>
      </c>
    </row>
    <row r="370" spans="1:26">
      <c r="A370" s="100"/>
      <c r="B370" s="108" t="str">
        <f>IFERROR(VLOOKUP(Tablo516[[#This Row],[ÜRÜN KODU]],YMKODLARI!$A$1:$K$383,2,0)," ")</f>
        <v xml:space="preserve"> </v>
      </c>
      <c r="C370" s="99"/>
      <c r="D370" s="100"/>
      <c r="E370" s="101"/>
      <c r="F370" s="101"/>
      <c r="G370" s="100" t="str">
        <f>IFERROR(VLOOKUP(Tablo516[[#This Row],[ÜRÜN KODU]],YMKODLARI!$A$1:$K$383,3,0)," ")</f>
        <v xml:space="preserve"> </v>
      </c>
      <c r="H370" s="100" t="str">
        <f>IFERROR(VLOOKUP(Tablo516[[#This Row],[ÜRÜN KODU]],YMKODLARI!$A$1:$K$383,4,0)," ")</f>
        <v xml:space="preserve"> </v>
      </c>
      <c r="I370" s="100"/>
      <c r="J370" s="100" t="str">
        <f>IFERROR(VLOOKUP(Tablo516[[#This Row],[ÜRÜN KODU]],YMKODLARI!$A$1:$K$383,9,0)," ")</f>
        <v xml:space="preserve"> </v>
      </c>
      <c r="K370" s="100" t="str">
        <f>IFERROR(VLOOKUP(Tablo516[[#This Row],[BOYA KODU]],Tablo14[#All],4,0)," ")</f>
        <v xml:space="preserve"> </v>
      </c>
      <c r="L370" s="100" t="str">
        <f>IFERROR(VLOOKUP(Tablo516[[#This Row],[BOYA KODU]],Tablo14[#All],6,0)," ")</f>
        <v xml:space="preserve"> </v>
      </c>
      <c r="M370" s="100" t="str">
        <f t="shared" si="35"/>
        <v xml:space="preserve"> </v>
      </c>
      <c r="N370" s="100" t="str">
        <f>IFERROR(VLOOKUP(Tablo516[[#This Row],[ÜRÜN KODU]],YMKODLARI!$A$1:$K$383,8,0)," ")</f>
        <v xml:space="preserve"> </v>
      </c>
      <c r="O370" s="100" t="str">
        <f>IFERROR(VLOOKUP(Tablo516[[#This Row],[HAMMADDE KODU]],Tablo1[#All],3,0)," ")</f>
        <v xml:space="preserve"> </v>
      </c>
      <c r="P370" s="100" t="str">
        <f>IFERROR(VLOOKUP(Tablo516[[#This Row],[HAMMADDE KODU]],Tablo1[#All],4,0)," ")</f>
        <v xml:space="preserve"> </v>
      </c>
      <c r="Q370" s="100" t="str">
        <f>IFERROR(VLOOKUP(Tablo516[[#This Row],[ÜRÜN KODU]],YMKODLARI!$A$1:$K$383,5,0)," ")</f>
        <v xml:space="preserve"> </v>
      </c>
      <c r="R370" s="100" t="str">
        <f>IFERROR(VLOOKUP(Tablo516[[#This Row],[ÜRÜN KODU]],YMKODLARI!$A$1:$K$383,6,0)," ")</f>
        <v xml:space="preserve"> </v>
      </c>
      <c r="S370" s="100" t="str">
        <f>IFERROR(Tablo516[[#This Row],[YOLLUK HARİÇ BASKI GRAMI]]/Tablo516[[#This Row],[KALIP GÖZ ADEDİ]]," ")</f>
        <v xml:space="preserve"> </v>
      </c>
      <c r="T370" s="100" t="str">
        <f t="shared" si="37"/>
        <v xml:space="preserve"> </v>
      </c>
      <c r="U370" s="100"/>
      <c r="V370" s="100" t="str">
        <f t="shared" si="36"/>
        <v xml:space="preserve"> </v>
      </c>
      <c r="W370" s="101">
        <f t="shared" si="38"/>
        <v>24</v>
      </c>
      <c r="X370" s="102">
        <f t="shared" si="39"/>
        <v>0</v>
      </c>
      <c r="Y370" s="100" t="str">
        <f t="shared" si="40"/>
        <v xml:space="preserve"> </v>
      </c>
      <c r="Z370" s="100" t="str">
        <f t="shared" si="41"/>
        <v xml:space="preserve"> </v>
      </c>
    </row>
    <row r="371" spans="1:26">
      <c r="A371" s="100"/>
      <c r="B371" s="108" t="str">
        <f>IFERROR(VLOOKUP(Tablo516[[#This Row],[ÜRÜN KODU]],YMKODLARI!$A$1:$K$383,2,0)," ")</f>
        <v xml:space="preserve"> </v>
      </c>
      <c r="C371" s="99"/>
      <c r="D371" s="100"/>
      <c r="E371" s="101"/>
      <c r="F371" s="101"/>
      <c r="G371" s="100" t="str">
        <f>IFERROR(VLOOKUP(Tablo516[[#This Row],[ÜRÜN KODU]],YMKODLARI!$A$1:$K$383,3,0)," ")</f>
        <v xml:space="preserve"> </v>
      </c>
      <c r="H371" s="100" t="str">
        <f>IFERROR(VLOOKUP(Tablo516[[#This Row],[ÜRÜN KODU]],YMKODLARI!$A$1:$K$383,4,0)," ")</f>
        <v xml:space="preserve"> </v>
      </c>
      <c r="I371" s="100"/>
      <c r="J371" s="100" t="str">
        <f>IFERROR(VLOOKUP(Tablo516[[#This Row],[ÜRÜN KODU]],YMKODLARI!$A$1:$K$383,9,0)," ")</f>
        <v xml:space="preserve"> </v>
      </c>
      <c r="K371" s="100" t="str">
        <f>IFERROR(VLOOKUP(Tablo516[[#This Row],[BOYA KODU]],Tablo14[#All],4,0)," ")</f>
        <v xml:space="preserve"> </v>
      </c>
      <c r="L371" s="100" t="str">
        <f>IFERROR(VLOOKUP(Tablo516[[#This Row],[BOYA KODU]],Tablo14[#All],6,0)," ")</f>
        <v xml:space="preserve"> </v>
      </c>
      <c r="M371" s="100" t="str">
        <f t="shared" si="35"/>
        <v xml:space="preserve"> </v>
      </c>
      <c r="N371" s="100" t="str">
        <f>IFERROR(VLOOKUP(Tablo516[[#This Row],[ÜRÜN KODU]],YMKODLARI!$A$1:$K$383,8,0)," ")</f>
        <v xml:space="preserve"> </v>
      </c>
      <c r="O371" s="100" t="str">
        <f>IFERROR(VLOOKUP(Tablo516[[#This Row],[HAMMADDE KODU]],Tablo1[#All],3,0)," ")</f>
        <v xml:space="preserve"> </v>
      </c>
      <c r="P371" s="100" t="str">
        <f>IFERROR(VLOOKUP(Tablo516[[#This Row],[HAMMADDE KODU]],Tablo1[#All],4,0)," ")</f>
        <v xml:space="preserve"> </v>
      </c>
      <c r="Q371" s="100" t="str">
        <f>IFERROR(VLOOKUP(Tablo516[[#This Row],[ÜRÜN KODU]],YMKODLARI!$A$1:$K$383,5,0)," ")</f>
        <v xml:space="preserve"> </v>
      </c>
      <c r="R371" s="100" t="str">
        <f>IFERROR(VLOOKUP(Tablo516[[#This Row],[ÜRÜN KODU]],YMKODLARI!$A$1:$K$383,6,0)," ")</f>
        <v xml:space="preserve"> </v>
      </c>
      <c r="S371" s="100" t="str">
        <f>IFERROR(Tablo516[[#This Row],[YOLLUK HARİÇ BASKI GRAMI]]/Tablo516[[#This Row],[KALIP GÖZ ADEDİ]]," ")</f>
        <v xml:space="preserve"> </v>
      </c>
      <c r="T371" s="100" t="str">
        <f t="shared" si="37"/>
        <v xml:space="preserve"> </v>
      </c>
      <c r="U371" s="100"/>
      <c r="V371" s="100" t="str">
        <f t="shared" si="36"/>
        <v xml:space="preserve"> </v>
      </c>
      <c r="W371" s="101">
        <f t="shared" si="38"/>
        <v>24</v>
      </c>
      <c r="X371" s="102">
        <f t="shared" si="39"/>
        <v>0</v>
      </c>
      <c r="Y371" s="100" t="str">
        <f t="shared" si="40"/>
        <v xml:space="preserve"> </v>
      </c>
      <c r="Z371" s="100" t="str">
        <f t="shared" si="41"/>
        <v xml:space="preserve"> </v>
      </c>
    </row>
    <row r="372" spans="1:26">
      <c r="A372" s="100"/>
      <c r="B372" s="108" t="str">
        <f>IFERROR(VLOOKUP(Tablo516[[#This Row],[ÜRÜN KODU]],YMKODLARI!$A$1:$K$383,2,0)," ")</f>
        <v xml:space="preserve"> </v>
      </c>
      <c r="C372" s="99"/>
      <c r="D372" s="100"/>
      <c r="E372" s="101"/>
      <c r="F372" s="101"/>
      <c r="G372" s="100" t="str">
        <f>IFERROR(VLOOKUP(Tablo516[[#This Row],[ÜRÜN KODU]],YMKODLARI!$A$1:$K$383,3,0)," ")</f>
        <v xml:space="preserve"> </v>
      </c>
      <c r="H372" s="100" t="str">
        <f>IFERROR(VLOOKUP(Tablo516[[#This Row],[ÜRÜN KODU]],YMKODLARI!$A$1:$K$383,4,0)," ")</f>
        <v xml:space="preserve"> </v>
      </c>
      <c r="I372" s="100"/>
      <c r="J372" s="100" t="str">
        <f>IFERROR(VLOOKUP(Tablo516[[#This Row],[ÜRÜN KODU]],YMKODLARI!$A$1:$K$383,9,0)," ")</f>
        <v xml:space="preserve"> </v>
      </c>
      <c r="K372" s="100" t="str">
        <f>IFERROR(VLOOKUP(Tablo516[[#This Row],[BOYA KODU]],Tablo14[#All],4,0)," ")</f>
        <v xml:space="preserve"> </v>
      </c>
      <c r="L372" s="100" t="str">
        <f>IFERROR(VLOOKUP(Tablo516[[#This Row],[BOYA KODU]],Tablo14[#All],6,0)," ")</f>
        <v xml:space="preserve"> </v>
      </c>
      <c r="M372" s="100" t="str">
        <f t="shared" si="35"/>
        <v xml:space="preserve"> </v>
      </c>
      <c r="N372" s="100" t="str">
        <f>IFERROR(VLOOKUP(Tablo516[[#This Row],[ÜRÜN KODU]],YMKODLARI!$A$1:$K$383,8,0)," ")</f>
        <v xml:space="preserve"> </v>
      </c>
      <c r="O372" s="100" t="str">
        <f>IFERROR(VLOOKUP(Tablo516[[#This Row],[HAMMADDE KODU]],Tablo1[#All],3,0)," ")</f>
        <v xml:space="preserve"> </v>
      </c>
      <c r="P372" s="100" t="str">
        <f>IFERROR(VLOOKUP(Tablo516[[#This Row],[HAMMADDE KODU]],Tablo1[#All],4,0)," ")</f>
        <v xml:space="preserve"> </v>
      </c>
      <c r="Q372" s="100" t="str">
        <f>IFERROR(VLOOKUP(Tablo516[[#This Row],[ÜRÜN KODU]],YMKODLARI!$A$1:$K$383,5,0)," ")</f>
        <v xml:space="preserve"> </v>
      </c>
      <c r="R372" s="100" t="str">
        <f>IFERROR(VLOOKUP(Tablo516[[#This Row],[ÜRÜN KODU]],YMKODLARI!$A$1:$K$383,6,0)," ")</f>
        <v xml:space="preserve"> </v>
      </c>
      <c r="S372" s="100" t="str">
        <f>IFERROR(Tablo516[[#This Row],[YOLLUK HARİÇ BASKI GRAMI]]/Tablo516[[#This Row],[KALIP GÖZ ADEDİ]]," ")</f>
        <v xml:space="preserve"> </v>
      </c>
      <c r="T372" s="100" t="str">
        <f t="shared" si="37"/>
        <v xml:space="preserve"> </v>
      </c>
      <c r="U372" s="100"/>
      <c r="V372" s="100" t="str">
        <f t="shared" si="36"/>
        <v xml:space="preserve"> </v>
      </c>
      <c r="W372" s="101">
        <f t="shared" si="38"/>
        <v>24</v>
      </c>
      <c r="X372" s="102">
        <f t="shared" si="39"/>
        <v>0</v>
      </c>
      <c r="Y372" s="100" t="str">
        <f t="shared" si="40"/>
        <v xml:space="preserve"> </v>
      </c>
      <c r="Z372" s="100" t="str">
        <f t="shared" si="41"/>
        <v xml:space="preserve"> </v>
      </c>
    </row>
    <row r="373" spans="1:26">
      <c r="A373" s="100"/>
      <c r="B373" s="108" t="str">
        <f>IFERROR(VLOOKUP(Tablo516[[#This Row],[ÜRÜN KODU]],YMKODLARI!$A$1:$K$383,2,0)," ")</f>
        <v xml:space="preserve"> </v>
      </c>
      <c r="C373" s="99"/>
      <c r="D373" s="100"/>
      <c r="E373" s="101"/>
      <c r="F373" s="101"/>
      <c r="G373" s="100" t="str">
        <f>IFERROR(VLOOKUP(Tablo516[[#This Row],[ÜRÜN KODU]],YMKODLARI!$A$1:$K$383,3,0)," ")</f>
        <v xml:space="preserve"> </v>
      </c>
      <c r="H373" s="100" t="str">
        <f>IFERROR(VLOOKUP(Tablo516[[#This Row],[ÜRÜN KODU]],YMKODLARI!$A$1:$K$383,4,0)," ")</f>
        <v xml:space="preserve"> </v>
      </c>
      <c r="I373" s="100"/>
      <c r="J373" s="100" t="str">
        <f>IFERROR(VLOOKUP(Tablo516[[#This Row],[ÜRÜN KODU]],YMKODLARI!$A$1:$K$383,9,0)," ")</f>
        <v xml:space="preserve"> </v>
      </c>
      <c r="K373" s="100" t="str">
        <f>IFERROR(VLOOKUP(Tablo516[[#This Row],[BOYA KODU]],Tablo14[#All],4,0)," ")</f>
        <v xml:space="preserve"> </v>
      </c>
      <c r="L373" s="100" t="str">
        <f>IFERROR(VLOOKUP(Tablo516[[#This Row],[BOYA KODU]],Tablo14[#All],6,0)," ")</f>
        <v xml:space="preserve"> </v>
      </c>
      <c r="M373" s="100" t="str">
        <f t="shared" si="35"/>
        <v xml:space="preserve"> </v>
      </c>
      <c r="N373" s="100" t="str">
        <f>IFERROR(VLOOKUP(Tablo516[[#This Row],[ÜRÜN KODU]],YMKODLARI!$A$1:$K$383,8,0)," ")</f>
        <v xml:space="preserve"> </v>
      </c>
      <c r="O373" s="100" t="str">
        <f>IFERROR(VLOOKUP(Tablo516[[#This Row],[HAMMADDE KODU]],Tablo1[#All],3,0)," ")</f>
        <v xml:space="preserve"> </v>
      </c>
      <c r="P373" s="100" t="str">
        <f>IFERROR(VLOOKUP(Tablo516[[#This Row],[HAMMADDE KODU]],Tablo1[#All],4,0)," ")</f>
        <v xml:space="preserve"> </v>
      </c>
      <c r="Q373" s="100" t="str">
        <f>IFERROR(VLOOKUP(Tablo516[[#This Row],[ÜRÜN KODU]],YMKODLARI!$A$1:$K$383,5,0)," ")</f>
        <v xml:space="preserve"> </v>
      </c>
      <c r="R373" s="100" t="str">
        <f>IFERROR(VLOOKUP(Tablo516[[#This Row],[ÜRÜN KODU]],YMKODLARI!$A$1:$K$383,6,0)," ")</f>
        <v xml:space="preserve"> </v>
      </c>
      <c r="S373" s="100" t="str">
        <f>IFERROR(Tablo516[[#This Row],[YOLLUK HARİÇ BASKI GRAMI]]/Tablo516[[#This Row],[KALIP GÖZ ADEDİ]]," ")</f>
        <v xml:space="preserve"> </v>
      </c>
      <c r="T373" s="100" t="str">
        <f t="shared" si="37"/>
        <v xml:space="preserve"> </v>
      </c>
      <c r="U373" s="100"/>
      <c r="V373" s="100" t="str">
        <f t="shared" si="36"/>
        <v xml:space="preserve"> </v>
      </c>
      <c r="W373" s="101">
        <f t="shared" si="38"/>
        <v>24</v>
      </c>
      <c r="X373" s="102">
        <f t="shared" si="39"/>
        <v>0</v>
      </c>
      <c r="Y373" s="100" t="str">
        <f t="shared" si="40"/>
        <v xml:space="preserve"> </v>
      </c>
      <c r="Z373" s="100" t="str">
        <f t="shared" si="41"/>
        <v xml:space="preserve"> </v>
      </c>
    </row>
    <row r="374" spans="1:26">
      <c r="A374" s="100"/>
      <c r="B374" s="108" t="str">
        <f>IFERROR(VLOOKUP(Tablo516[[#This Row],[ÜRÜN KODU]],YMKODLARI!$A$1:$K$383,2,0)," ")</f>
        <v xml:space="preserve"> </v>
      </c>
      <c r="C374" s="99"/>
      <c r="D374" s="100"/>
      <c r="E374" s="101"/>
      <c r="F374" s="101"/>
      <c r="G374" s="100" t="str">
        <f>IFERROR(VLOOKUP(Tablo516[[#This Row],[ÜRÜN KODU]],YMKODLARI!$A$1:$K$383,3,0)," ")</f>
        <v xml:space="preserve"> </v>
      </c>
      <c r="H374" s="100" t="str">
        <f>IFERROR(VLOOKUP(Tablo516[[#This Row],[ÜRÜN KODU]],YMKODLARI!$A$1:$K$383,4,0)," ")</f>
        <v xml:space="preserve"> </v>
      </c>
      <c r="I374" s="100"/>
      <c r="J374" s="100" t="str">
        <f>IFERROR(VLOOKUP(Tablo516[[#This Row],[ÜRÜN KODU]],YMKODLARI!$A$1:$K$383,9,0)," ")</f>
        <v xml:space="preserve"> </v>
      </c>
      <c r="K374" s="100" t="str">
        <f>IFERROR(VLOOKUP(Tablo516[[#This Row],[BOYA KODU]],Tablo14[#All],4,0)," ")</f>
        <v xml:space="preserve"> </v>
      </c>
      <c r="L374" s="100" t="str">
        <f>IFERROR(VLOOKUP(Tablo516[[#This Row],[BOYA KODU]],Tablo14[#All],6,0)," ")</f>
        <v xml:space="preserve"> </v>
      </c>
      <c r="M374" s="100" t="str">
        <f t="shared" si="35"/>
        <v xml:space="preserve"> </v>
      </c>
      <c r="N374" s="100" t="str">
        <f>IFERROR(VLOOKUP(Tablo516[[#This Row],[ÜRÜN KODU]],YMKODLARI!$A$1:$K$383,8,0)," ")</f>
        <v xml:space="preserve"> </v>
      </c>
      <c r="O374" s="100" t="str">
        <f>IFERROR(VLOOKUP(Tablo516[[#This Row],[HAMMADDE KODU]],Tablo1[#All],3,0)," ")</f>
        <v xml:space="preserve"> </v>
      </c>
      <c r="P374" s="100" t="str">
        <f>IFERROR(VLOOKUP(Tablo516[[#This Row],[HAMMADDE KODU]],Tablo1[#All],4,0)," ")</f>
        <v xml:space="preserve"> </v>
      </c>
      <c r="Q374" s="100" t="str">
        <f>IFERROR(VLOOKUP(Tablo516[[#This Row],[ÜRÜN KODU]],YMKODLARI!$A$1:$K$383,5,0)," ")</f>
        <v xml:space="preserve"> </v>
      </c>
      <c r="R374" s="100" t="str">
        <f>IFERROR(VLOOKUP(Tablo516[[#This Row],[ÜRÜN KODU]],YMKODLARI!$A$1:$K$383,6,0)," ")</f>
        <v xml:space="preserve"> </v>
      </c>
      <c r="S374" s="100" t="str">
        <f>IFERROR(Tablo516[[#This Row],[YOLLUK HARİÇ BASKI GRAMI]]/Tablo516[[#This Row],[KALIP GÖZ ADEDİ]]," ")</f>
        <v xml:space="preserve"> </v>
      </c>
      <c r="T374" s="100" t="str">
        <f t="shared" si="37"/>
        <v xml:space="preserve"> </v>
      </c>
      <c r="U374" s="100"/>
      <c r="V374" s="100" t="str">
        <f t="shared" si="36"/>
        <v xml:space="preserve"> </v>
      </c>
      <c r="W374" s="101">
        <f t="shared" si="38"/>
        <v>24</v>
      </c>
      <c r="X374" s="102">
        <f t="shared" si="39"/>
        <v>0</v>
      </c>
      <c r="Y374" s="100" t="str">
        <f t="shared" si="40"/>
        <v xml:space="preserve"> </v>
      </c>
      <c r="Z374" s="100" t="str">
        <f t="shared" si="41"/>
        <v xml:space="preserve"> </v>
      </c>
    </row>
    <row r="375" spans="1:26">
      <c r="A375" s="100"/>
      <c r="B375" s="108" t="str">
        <f>IFERROR(VLOOKUP(Tablo516[[#This Row],[ÜRÜN KODU]],YMKODLARI!$A$1:$K$383,2,0)," ")</f>
        <v xml:space="preserve"> </v>
      </c>
      <c r="C375" s="99"/>
      <c r="D375" s="100"/>
      <c r="E375" s="101"/>
      <c r="F375" s="101"/>
      <c r="G375" s="100" t="str">
        <f>IFERROR(VLOOKUP(Tablo516[[#This Row],[ÜRÜN KODU]],YMKODLARI!$A$1:$K$383,3,0)," ")</f>
        <v xml:space="preserve"> </v>
      </c>
      <c r="H375" s="100" t="str">
        <f>IFERROR(VLOOKUP(Tablo516[[#This Row],[ÜRÜN KODU]],YMKODLARI!$A$1:$K$383,4,0)," ")</f>
        <v xml:space="preserve"> </v>
      </c>
      <c r="I375" s="100"/>
      <c r="J375" s="100" t="str">
        <f>IFERROR(VLOOKUP(Tablo516[[#This Row],[ÜRÜN KODU]],YMKODLARI!$A$1:$K$383,9,0)," ")</f>
        <v xml:space="preserve"> </v>
      </c>
      <c r="K375" s="100" t="str">
        <f>IFERROR(VLOOKUP(Tablo516[[#This Row],[BOYA KODU]],Tablo14[#All],4,0)," ")</f>
        <v xml:space="preserve"> </v>
      </c>
      <c r="L375" s="100" t="str">
        <f>IFERROR(VLOOKUP(Tablo516[[#This Row],[BOYA KODU]],Tablo14[#All],6,0)," ")</f>
        <v xml:space="preserve"> </v>
      </c>
      <c r="M375" s="100" t="str">
        <f t="shared" si="35"/>
        <v xml:space="preserve"> </v>
      </c>
      <c r="N375" s="100" t="str">
        <f>IFERROR(VLOOKUP(Tablo516[[#This Row],[ÜRÜN KODU]],YMKODLARI!$A$1:$K$383,8,0)," ")</f>
        <v xml:space="preserve"> </v>
      </c>
      <c r="O375" s="100" t="str">
        <f>IFERROR(VLOOKUP(Tablo516[[#This Row],[HAMMADDE KODU]],Tablo1[#All],3,0)," ")</f>
        <v xml:space="preserve"> </v>
      </c>
      <c r="P375" s="100" t="str">
        <f>IFERROR(VLOOKUP(Tablo516[[#This Row],[HAMMADDE KODU]],Tablo1[#All],4,0)," ")</f>
        <v xml:space="preserve"> </v>
      </c>
      <c r="Q375" s="100" t="str">
        <f>IFERROR(VLOOKUP(Tablo516[[#This Row],[ÜRÜN KODU]],YMKODLARI!$A$1:$K$383,5,0)," ")</f>
        <v xml:space="preserve"> </v>
      </c>
      <c r="R375" s="100" t="str">
        <f>IFERROR(VLOOKUP(Tablo516[[#This Row],[ÜRÜN KODU]],YMKODLARI!$A$1:$K$383,6,0)," ")</f>
        <v xml:space="preserve"> </v>
      </c>
      <c r="S375" s="100" t="str">
        <f>IFERROR(Tablo516[[#This Row],[YOLLUK HARİÇ BASKI GRAMI]]/Tablo516[[#This Row],[KALIP GÖZ ADEDİ]]," ")</f>
        <v xml:space="preserve"> </v>
      </c>
      <c r="T375" s="100" t="str">
        <f t="shared" si="37"/>
        <v xml:space="preserve"> </v>
      </c>
      <c r="U375" s="100"/>
      <c r="V375" s="100" t="str">
        <f t="shared" si="36"/>
        <v xml:space="preserve"> </v>
      </c>
      <c r="W375" s="101">
        <f t="shared" si="38"/>
        <v>24</v>
      </c>
      <c r="X375" s="102">
        <f t="shared" si="39"/>
        <v>0</v>
      </c>
      <c r="Y375" s="100" t="str">
        <f t="shared" si="40"/>
        <v xml:space="preserve"> </v>
      </c>
      <c r="Z375" s="100" t="str">
        <f t="shared" si="41"/>
        <v xml:space="preserve"> </v>
      </c>
    </row>
    <row r="376" spans="1:26">
      <c r="A376" s="100"/>
      <c r="B376" s="108" t="str">
        <f>IFERROR(VLOOKUP(Tablo516[[#This Row],[ÜRÜN KODU]],YMKODLARI!$A$1:$K$383,2,0)," ")</f>
        <v xml:space="preserve"> </v>
      </c>
      <c r="C376" s="99"/>
      <c r="D376" s="100"/>
      <c r="E376" s="101"/>
      <c r="F376" s="101"/>
      <c r="G376" s="100" t="str">
        <f>IFERROR(VLOOKUP(Tablo516[[#This Row],[ÜRÜN KODU]],YMKODLARI!$A$1:$K$383,3,0)," ")</f>
        <v xml:space="preserve"> </v>
      </c>
      <c r="H376" s="100" t="str">
        <f>IFERROR(VLOOKUP(Tablo516[[#This Row],[ÜRÜN KODU]],YMKODLARI!$A$1:$K$383,4,0)," ")</f>
        <v xml:space="preserve"> </v>
      </c>
      <c r="I376" s="100"/>
      <c r="J376" s="100" t="str">
        <f>IFERROR(VLOOKUP(Tablo516[[#This Row],[ÜRÜN KODU]],YMKODLARI!$A$1:$K$383,9,0)," ")</f>
        <v xml:space="preserve"> </v>
      </c>
      <c r="K376" s="100" t="str">
        <f>IFERROR(VLOOKUP(Tablo516[[#This Row],[BOYA KODU]],Tablo14[#All],4,0)," ")</f>
        <v xml:space="preserve"> </v>
      </c>
      <c r="L376" s="100" t="str">
        <f>IFERROR(VLOOKUP(Tablo516[[#This Row],[BOYA KODU]],Tablo14[#All],6,0)," ")</f>
        <v xml:space="preserve"> </v>
      </c>
      <c r="M376" s="100" t="str">
        <f t="shared" si="35"/>
        <v xml:space="preserve"> </v>
      </c>
      <c r="N376" s="100" t="str">
        <f>IFERROR(VLOOKUP(Tablo516[[#This Row],[ÜRÜN KODU]],YMKODLARI!$A$1:$K$383,8,0)," ")</f>
        <v xml:space="preserve"> </v>
      </c>
      <c r="O376" s="100" t="str">
        <f>IFERROR(VLOOKUP(Tablo516[[#This Row],[HAMMADDE KODU]],Tablo1[#All],3,0)," ")</f>
        <v xml:space="preserve"> </v>
      </c>
      <c r="P376" s="100" t="str">
        <f>IFERROR(VLOOKUP(Tablo516[[#This Row],[HAMMADDE KODU]],Tablo1[#All],4,0)," ")</f>
        <v xml:space="preserve"> </v>
      </c>
      <c r="Q376" s="100" t="str">
        <f>IFERROR(VLOOKUP(Tablo516[[#This Row],[ÜRÜN KODU]],YMKODLARI!$A$1:$K$383,5,0)," ")</f>
        <v xml:space="preserve"> </v>
      </c>
      <c r="R376" s="100" t="str">
        <f>IFERROR(VLOOKUP(Tablo516[[#This Row],[ÜRÜN KODU]],YMKODLARI!$A$1:$K$383,6,0)," ")</f>
        <v xml:space="preserve"> </v>
      </c>
      <c r="S376" s="100" t="str">
        <f>IFERROR(Tablo516[[#This Row],[YOLLUK HARİÇ BASKI GRAMI]]/Tablo516[[#This Row],[KALIP GÖZ ADEDİ]]," ")</f>
        <v xml:space="preserve"> </v>
      </c>
      <c r="T376" s="100" t="str">
        <f t="shared" si="37"/>
        <v xml:space="preserve"> </v>
      </c>
      <c r="U376" s="100"/>
      <c r="V376" s="100" t="str">
        <f t="shared" si="36"/>
        <v xml:space="preserve"> </v>
      </c>
      <c r="W376" s="101">
        <f t="shared" si="38"/>
        <v>24</v>
      </c>
      <c r="X376" s="102">
        <f t="shared" si="39"/>
        <v>0</v>
      </c>
      <c r="Y376" s="100" t="str">
        <f t="shared" si="40"/>
        <v xml:space="preserve"> </v>
      </c>
      <c r="Z376" s="100" t="str">
        <f t="shared" si="41"/>
        <v xml:space="preserve"> </v>
      </c>
    </row>
    <row r="377" spans="1:26">
      <c r="A377" s="100"/>
      <c r="B377" s="108" t="str">
        <f>IFERROR(VLOOKUP(Tablo516[[#This Row],[ÜRÜN KODU]],YMKODLARI!$A$1:$K$383,2,0)," ")</f>
        <v xml:space="preserve"> </v>
      </c>
      <c r="C377" s="99"/>
      <c r="D377" s="100"/>
      <c r="E377" s="101"/>
      <c r="F377" s="101"/>
      <c r="G377" s="100" t="str">
        <f>IFERROR(VLOOKUP(Tablo516[[#This Row],[ÜRÜN KODU]],YMKODLARI!$A$1:$K$383,3,0)," ")</f>
        <v xml:space="preserve"> </v>
      </c>
      <c r="H377" s="100" t="str">
        <f>IFERROR(VLOOKUP(Tablo516[[#This Row],[ÜRÜN KODU]],YMKODLARI!$A$1:$K$383,4,0)," ")</f>
        <v xml:space="preserve"> </v>
      </c>
      <c r="I377" s="100"/>
      <c r="J377" s="100" t="str">
        <f>IFERROR(VLOOKUP(Tablo516[[#This Row],[ÜRÜN KODU]],YMKODLARI!$A$1:$K$383,9,0)," ")</f>
        <v xml:space="preserve"> </v>
      </c>
      <c r="K377" s="100" t="str">
        <f>IFERROR(VLOOKUP(Tablo516[[#This Row],[BOYA KODU]],Tablo14[#All],4,0)," ")</f>
        <v xml:space="preserve"> </v>
      </c>
      <c r="L377" s="100" t="str">
        <f>IFERROR(VLOOKUP(Tablo516[[#This Row],[BOYA KODU]],Tablo14[#All],6,0)," ")</f>
        <v xml:space="preserve"> </v>
      </c>
      <c r="M377" s="100" t="str">
        <f t="shared" si="35"/>
        <v xml:space="preserve"> </v>
      </c>
      <c r="N377" s="100" t="str">
        <f>IFERROR(VLOOKUP(Tablo516[[#This Row],[ÜRÜN KODU]],YMKODLARI!$A$1:$K$383,8,0)," ")</f>
        <v xml:space="preserve"> </v>
      </c>
      <c r="O377" s="100" t="str">
        <f>IFERROR(VLOOKUP(Tablo516[[#This Row],[HAMMADDE KODU]],Tablo1[#All],3,0)," ")</f>
        <v xml:space="preserve"> </v>
      </c>
      <c r="P377" s="100" t="str">
        <f>IFERROR(VLOOKUP(Tablo516[[#This Row],[HAMMADDE KODU]],Tablo1[#All],4,0)," ")</f>
        <v xml:space="preserve"> </v>
      </c>
      <c r="Q377" s="100" t="str">
        <f>IFERROR(VLOOKUP(Tablo516[[#This Row],[ÜRÜN KODU]],YMKODLARI!$A$1:$K$383,5,0)," ")</f>
        <v xml:space="preserve"> </v>
      </c>
      <c r="R377" s="100" t="str">
        <f>IFERROR(VLOOKUP(Tablo516[[#This Row],[ÜRÜN KODU]],YMKODLARI!$A$1:$K$383,6,0)," ")</f>
        <v xml:space="preserve"> </v>
      </c>
      <c r="S377" s="100" t="str">
        <f>IFERROR(Tablo516[[#This Row],[YOLLUK HARİÇ BASKI GRAMI]]/Tablo516[[#This Row],[KALIP GÖZ ADEDİ]]," ")</f>
        <v xml:space="preserve"> </v>
      </c>
      <c r="T377" s="100" t="str">
        <f t="shared" si="37"/>
        <v xml:space="preserve"> </v>
      </c>
      <c r="U377" s="100"/>
      <c r="V377" s="100" t="str">
        <f t="shared" si="36"/>
        <v xml:space="preserve"> </v>
      </c>
      <c r="W377" s="101">
        <f t="shared" si="38"/>
        <v>24</v>
      </c>
      <c r="X377" s="102">
        <f t="shared" si="39"/>
        <v>0</v>
      </c>
      <c r="Y377" s="100" t="str">
        <f t="shared" si="40"/>
        <v xml:space="preserve"> </v>
      </c>
      <c r="Z377" s="100" t="str">
        <f t="shared" si="41"/>
        <v xml:space="preserve"> </v>
      </c>
    </row>
    <row r="378" spans="1:26">
      <c r="A378" s="100"/>
      <c r="B378" s="108" t="str">
        <f>IFERROR(VLOOKUP(Tablo516[[#This Row],[ÜRÜN KODU]],YMKODLARI!$A$1:$K$383,2,0)," ")</f>
        <v xml:space="preserve"> </v>
      </c>
      <c r="C378" s="99"/>
      <c r="D378" s="100"/>
      <c r="E378" s="101"/>
      <c r="F378" s="101"/>
      <c r="G378" s="100" t="str">
        <f>IFERROR(VLOOKUP(Tablo516[[#This Row],[ÜRÜN KODU]],YMKODLARI!$A$1:$K$383,3,0)," ")</f>
        <v xml:space="preserve"> </v>
      </c>
      <c r="H378" s="100" t="str">
        <f>IFERROR(VLOOKUP(Tablo516[[#This Row],[ÜRÜN KODU]],YMKODLARI!$A$1:$K$383,4,0)," ")</f>
        <v xml:space="preserve"> </v>
      </c>
      <c r="I378" s="100"/>
      <c r="J378" s="100" t="str">
        <f>IFERROR(VLOOKUP(Tablo516[[#This Row],[ÜRÜN KODU]],YMKODLARI!$A$1:$K$383,9,0)," ")</f>
        <v xml:space="preserve"> </v>
      </c>
      <c r="K378" s="100" t="str">
        <f>IFERROR(VLOOKUP(Tablo516[[#This Row],[BOYA KODU]],Tablo14[#All],4,0)," ")</f>
        <v xml:space="preserve"> </v>
      </c>
      <c r="L378" s="100" t="str">
        <f>IFERROR(VLOOKUP(Tablo516[[#This Row],[BOYA KODU]],Tablo14[#All],6,0)," ")</f>
        <v xml:space="preserve"> </v>
      </c>
      <c r="M378" s="100" t="str">
        <f t="shared" si="35"/>
        <v xml:space="preserve"> </v>
      </c>
      <c r="N378" s="100" t="str">
        <f>IFERROR(VLOOKUP(Tablo516[[#This Row],[ÜRÜN KODU]],YMKODLARI!$A$1:$K$383,8,0)," ")</f>
        <v xml:space="preserve"> </v>
      </c>
      <c r="O378" s="100" t="str">
        <f>IFERROR(VLOOKUP(Tablo516[[#This Row],[HAMMADDE KODU]],Tablo1[#All],3,0)," ")</f>
        <v xml:space="preserve"> </v>
      </c>
      <c r="P378" s="100" t="str">
        <f>IFERROR(VLOOKUP(Tablo516[[#This Row],[HAMMADDE KODU]],Tablo1[#All],4,0)," ")</f>
        <v xml:space="preserve"> </v>
      </c>
      <c r="Q378" s="100" t="str">
        <f>IFERROR(VLOOKUP(Tablo516[[#This Row],[ÜRÜN KODU]],YMKODLARI!$A$1:$K$383,5,0)," ")</f>
        <v xml:space="preserve"> </v>
      </c>
      <c r="R378" s="100" t="str">
        <f>IFERROR(VLOOKUP(Tablo516[[#This Row],[ÜRÜN KODU]],YMKODLARI!$A$1:$K$383,6,0)," ")</f>
        <v xml:space="preserve"> </v>
      </c>
      <c r="S378" s="100" t="str">
        <f>IFERROR(Tablo516[[#This Row],[YOLLUK HARİÇ BASKI GRAMI]]/Tablo516[[#This Row],[KALIP GÖZ ADEDİ]]," ")</f>
        <v xml:space="preserve"> </v>
      </c>
      <c r="T378" s="100" t="str">
        <f t="shared" si="37"/>
        <v xml:space="preserve"> </v>
      </c>
      <c r="U378" s="100"/>
      <c r="V378" s="100" t="str">
        <f t="shared" si="36"/>
        <v xml:space="preserve"> </v>
      </c>
      <c r="W378" s="101">
        <f t="shared" si="38"/>
        <v>24</v>
      </c>
      <c r="X378" s="102">
        <f t="shared" si="39"/>
        <v>0</v>
      </c>
      <c r="Y378" s="100" t="str">
        <f t="shared" si="40"/>
        <v xml:space="preserve"> </v>
      </c>
      <c r="Z378" s="100" t="str">
        <f t="shared" si="41"/>
        <v xml:space="preserve"> </v>
      </c>
    </row>
    <row r="379" spans="1:26">
      <c r="A379" s="100"/>
      <c r="B379" s="108" t="str">
        <f>IFERROR(VLOOKUP(Tablo516[[#This Row],[ÜRÜN KODU]],YMKODLARI!$A$1:$K$383,2,0)," ")</f>
        <v xml:space="preserve"> </v>
      </c>
      <c r="C379" s="99"/>
      <c r="D379" s="100"/>
      <c r="E379" s="101"/>
      <c r="F379" s="101"/>
      <c r="G379" s="100" t="str">
        <f>IFERROR(VLOOKUP(Tablo516[[#This Row],[ÜRÜN KODU]],YMKODLARI!$A$1:$K$383,3,0)," ")</f>
        <v xml:space="preserve"> </v>
      </c>
      <c r="H379" s="100" t="str">
        <f>IFERROR(VLOOKUP(Tablo516[[#This Row],[ÜRÜN KODU]],YMKODLARI!$A$1:$K$383,4,0)," ")</f>
        <v xml:space="preserve"> </v>
      </c>
      <c r="I379" s="100"/>
      <c r="J379" s="100" t="str">
        <f>IFERROR(VLOOKUP(Tablo516[[#This Row],[ÜRÜN KODU]],YMKODLARI!$A$1:$K$383,9,0)," ")</f>
        <v xml:space="preserve"> </v>
      </c>
      <c r="K379" s="100" t="str">
        <f>IFERROR(VLOOKUP(Tablo516[[#This Row],[BOYA KODU]],Tablo14[#All],4,0)," ")</f>
        <v xml:space="preserve"> </v>
      </c>
      <c r="L379" s="100" t="str">
        <f>IFERROR(VLOOKUP(Tablo516[[#This Row],[BOYA KODU]],Tablo14[#All],6,0)," ")</f>
        <v xml:space="preserve"> </v>
      </c>
      <c r="M379" s="100" t="str">
        <f t="shared" si="35"/>
        <v xml:space="preserve"> </v>
      </c>
      <c r="N379" s="100" t="str">
        <f>IFERROR(VLOOKUP(Tablo516[[#This Row],[ÜRÜN KODU]],YMKODLARI!$A$1:$K$383,8,0)," ")</f>
        <v xml:space="preserve"> </v>
      </c>
      <c r="O379" s="100" t="str">
        <f>IFERROR(VLOOKUP(Tablo516[[#This Row],[HAMMADDE KODU]],Tablo1[#All],3,0)," ")</f>
        <v xml:space="preserve"> </v>
      </c>
      <c r="P379" s="100" t="str">
        <f>IFERROR(VLOOKUP(Tablo516[[#This Row],[HAMMADDE KODU]],Tablo1[#All],4,0)," ")</f>
        <v xml:space="preserve"> </v>
      </c>
      <c r="Q379" s="100" t="str">
        <f>IFERROR(VLOOKUP(Tablo516[[#This Row],[ÜRÜN KODU]],YMKODLARI!$A$1:$K$383,5,0)," ")</f>
        <v xml:space="preserve"> </v>
      </c>
      <c r="R379" s="100" t="str">
        <f>IFERROR(VLOOKUP(Tablo516[[#This Row],[ÜRÜN KODU]],YMKODLARI!$A$1:$K$383,6,0)," ")</f>
        <v xml:space="preserve"> </v>
      </c>
      <c r="S379" s="100" t="str">
        <f>IFERROR(Tablo516[[#This Row],[YOLLUK HARİÇ BASKI GRAMI]]/Tablo516[[#This Row],[KALIP GÖZ ADEDİ]]," ")</f>
        <v xml:space="preserve"> </v>
      </c>
      <c r="T379" s="100" t="str">
        <f t="shared" si="37"/>
        <v xml:space="preserve"> </v>
      </c>
      <c r="U379" s="100"/>
      <c r="V379" s="100" t="str">
        <f t="shared" si="36"/>
        <v xml:space="preserve"> </v>
      </c>
      <c r="W379" s="101">
        <f t="shared" si="38"/>
        <v>24</v>
      </c>
      <c r="X379" s="102">
        <f t="shared" si="39"/>
        <v>0</v>
      </c>
      <c r="Y379" s="100" t="str">
        <f t="shared" si="40"/>
        <v xml:space="preserve"> </v>
      </c>
      <c r="Z379" s="100" t="str">
        <f t="shared" si="41"/>
        <v xml:space="preserve"> </v>
      </c>
    </row>
    <row r="380" spans="1:26">
      <c r="A380" s="100"/>
      <c r="B380" s="108" t="str">
        <f>IFERROR(VLOOKUP(Tablo516[[#This Row],[ÜRÜN KODU]],YMKODLARI!$A$1:$K$383,2,0)," ")</f>
        <v xml:space="preserve"> </v>
      </c>
      <c r="C380" s="99"/>
      <c r="D380" s="100"/>
      <c r="E380" s="101"/>
      <c r="F380" s="101"/>
      <c r="G380" s="100" t="str">
        <f>IFERROR(VLOOKUP(Tablo516[[#This Row],[ÜRÜN KODU]],YMKODLARI!$A$1:$K$383,3,0)," ")</f>
        <v xml:space="preserve"> </v>
      </c>
      <c r="H380" s="100" t="str">
        <f>IFERROR(VLOOKUP(Tablo516[[#This Row],[ÜRÜN KODU]],YMKODLARI!$A$1:$K$383,4,0)," ")</f>
        <v xml:space="preserve"> </v>
      </c>
      <c r="I380" s="100"/>
      <c r="J380" s="100" t="str">
        <f>IFERROR(VLOOKUP(Tablo516[[#This Row],[ÜRÜN KODU]],YMKODLARI!$A$1:$K$383,9,0)," ")</f>
        <v xml:space="preserve"> </v>
      </c>
      <c r="K380" s="100" t="str">
        <f>IFERROR(VLOOKUP(Tablo516[[#This Row],[BOYA KODU]],Tablo14[#All],4,0)," ")</f>
        <v xml:space="preserve"> </v>
      </c>
      <c r="L380" s="100" t="str">
        <f>IFERROR(VLOOKUP(Tablo516[[#This Row],[BOYA KODU]],Tablo14[#All],6,0)," ")</f>
        <v xml:space="preserve"> </v>
      </c>
      <c r="M380" s="100" t="str">
        <f t="shared" si="35"/>
        <v xml:space="preserve"> </v>
      </c>
      <c r="N380" s="100" t="str">
        <f>IFERROR(VLOOKUP(Tablo516[[#This Row],[ÜRÜN KODU]],YMKODLARI!$A$1:$K$383,8,0)," ")</f>
        <v xml:space="preserve"> </v>
      </c>
      <c r="O380" s="100" t="str">
        <f>IFERROR(VLOOKUP(Tablo516[[#This Row],[HAMMADDE KODU]],Tablo1[#All],3,0)," ")</f>
        <v xml:space="preserve"> </v>
      </c>
      <c r="P380" s="100" t="str">
        <f>IFERROR(VLOOKUP(Tablo516[[#This Row],[HAMMADDE KODU]],Tablo1[#All],4,0)," ")</f>
        <v xml:space="preserve"> </v>
      </c>
      <c r="Q380" s="100" t="str">
        <f>IFERROR(VLOOKUP(Tablo516[[#This Row],[ÜRÜN KODU]],YMKODLARI!$A$1:$K$383,5,0)," ")</f>
        <v xml:space="preserve"> </v>
      </c>
      <c r="R380" s="100" t="str">
        <f>IFERROR(VLOOKUP(Tablo516[[#This Row],[ÜRÜN KODU]],YMKODLARI!$A$1:$K$383,6,0)," ")</f>
        <v xml:space="preserve"> </v>
      </c>
      <c r="S380" s="100" t="str">
        <f>IFERROR(Tablo516[[#This Row],[YOLLUK HARİÇ BASKI GRAMI]]/Tablo516[[#This Row],[KALIP GÖZ ADEDİ]]," ")</f>
        <v xml:space="preserve"> </v>
      </c>
      <c r="T380" s="100" t="str">
        <f t="shared" si="37"/>
        <v xml:space="preserve"> </v>
      </c>
      <c r="U380" s="100"/>
      <c r="V380" s="100" t="str">
        <f t="shared" si="36"/>
        <v xml:space="preserve"> </v>
      </c>
      <c r="W380" s="101">
        <f t="shared" si="38"/>
        <v>24</v>
      </c>
      <c r="X380" s="102">
        <f t="shared" si="39"/>
        <v>0</v>
      </c>
      <c r="Y380" s="100" t="str">
        <f t="shared" si="40"/>
        <v xml:space="preserve"> </v>
      </c>
      <c r="Z380" s="100" t="str">
        <f t="shared" si="41"/>
        <v xml:space="preserve"> </v>
      </c>
    </row>
    <row r="381" spans="1:26">
      <c r="A381" s="100"/>
      <c r="B381" s="108" t="str">
        <f>IFERROR(VLOOKUP(Tablo516[[#This Row],[ÜRÜN KODU]],YMKODLARI!$A$1:$K$383,2,0)," ")</f>
        <v xml:space="preserve"> </v>
      </c>
      <c r="C381" s="99"/>
      <c r="D381" s="100"/>
      <c r="E381" s="101"/>
      <c r="F381" s="101"/>
      <c r="G381" s="100" t="str">
        <f>IFERROR(VLOOKUP(Tablo516[[#This Row],[ÜRÜN KODU]],YMKODLARI!$A$1:$K$383,3,0)," ")</f>
        <v xml:space="preserve"> </v>
      </c>
      <c r="H381" s="100" t="str">
        <f>IFERROR(VLOOKUP(Tablo516[[#This Row],[ÜRÜN KODU]],YMKODLARI!$A$1:$K$383,4,0)," ")</f>
        <v xml:space="preserve"> </v>
      </c>
      <c r="I381" s="100"/>
      <c r="J381" s="100" t="str">
        <f>IFERROR(VLOOKUP(Tablo516[[#This Row],[ÜRÜN KODU]],YMKODLARI!$A$1:$K$383,9,0)," ")</f>
        <v xml:space="preserve"> </v>
      </c>
      <c r="K381" s="100" t="str">
        <f>IFERROR(VLOOKUP(Tablo516[[#This Row],[BOYA KODU]],Tablo14[#All],4,0)," ")</f>
        <v xml:space="preserve"> </v>
      </c>
      <c r="L381" s="100" t="str">
        <f>IFERROR(VLOOKUP(Tablo516[[#This Row],[BOYA KODU]],Tablo14[#All],6,0)," ")</f>
        <v xml:space="preserve"> </v>
      </c>
      <c r="M381" s="100" t="str">
        <f t="shared" si="35"/>
        <v xml:space="preserve"> </v>
      </c>
      <c r="N381" s="100" t="str">
        <f>IFERROR(VLOOKUP(Tablo516[[#This Row],[ÜRÜN KODU]],YMKODLARI!$A$1:$K$383,8,0)," ")</f>
        <v xml:space="preserve"> </v>
      </c>
      <c r="O381" s="100" t="str">
        <f>IFERROR(VLOOKUP(Tablo516[[#This Row],[HAMMADDE KODU]],Tablo1[#All],3,0)," ")</f>
        <v xml:space="preserve"> </v>
      </c>
      <c r="P381" s="100" t="str">
        <f>IFERROR(VLOOKUP(Tablo516[[#This Row],[HAMMADDE KODU]],Tablo1[#All],4,0)," ")</f>
        <v xml:space="preserve"> </v>
      </c>
      <c r="Q381" s="100" t="str">
        <f>IFERROR(VLOOKUP(Tablo516[[#This Row],[ÜRÜN KODU]],YMKODLARI!$A$1:$K$383,5,0)," ")</f>
        <v xml:space="preserve"> </v>
      </c>
      <c r="R381" s="100" t="str">
        <f>IFERROR(VLOOKUP(Tablo516[[#This Row],[ÜRÜN KODU]],YMKODLARI!$A$1:$K$383,6,0)," ")</f>
        <v xml:space="preserve"> </v>
      </c>
      <c r="S381" s="100" t="str">
        <f>IFERROR(Tablo516[[#This Row],[YOLLUK HARİÇ BASKI GRAMI]]/Tablo516[[#This Row],[KALIP GÖZ ADEDİ]]," ")</f>
        <v xml:space="preserve"> </v>
      </c>
      <c r="T381" s="100" t="str">
        <f t="shared" si="37"/>
        <v xml:space="preserve"> </v>
      </c>
      <c r="U381" s="100"/>
      <c r="V381" s="100" t="str">
        <f t="shared" si="36"/>
        <v xml:space="preserve"> </v>
      </c>
      <c r="W381" s="101">
        <f t="shared" si="38"/>
        <v>24</v>
      </c>
      <c r="X381" s="102">
        <f t="shared" si="39"/>
        <v>0</v>
      </c>
      <c r="Y381" s="100" t="str">
        <f t="shared" si="40"/>
        <v xml:space="preserve"> </v>
      </c>
      <c r="Z381" s="100" t="str">
        <f t="shared" si="41"/>
        <v xml:space="preserve"> </v>
      </c>
    </row>
    <row r="382" spans="1:26">
      <c r="A382" s="100"/>
      <c r="B382" s="108" t="str">
        <f>IFERROR(VLOOKUP(Tablo516[[#This Row],[ÜRÜN KODU]],YMKODLARI!$A$1:$K$383,2,0)," ")</f>
        <v xml:space="preserve"> </v>
      </c>
      <c r="C382" s="99"/>
      <c r="D382" s="100"/>
      <c r="E382" s="101"/>
      <c r="F382" s="101"/>
      <c r="G382" s="100" t="str">
        <f>IFERROR(VLOOKUP(Tablo516[[#This Row],[ÜRÜN KODU]],YMKODLARI!$A$1:$K$383,3,0)," ")</f>
        <v xml:space="preserve"> </v>
      </c>
      <c r="H382" s="100" t="str">
        <f>IFERROR(VLOOKUP(Tablo516[[#This Row],[ÜRÜN KODU]],YMKODLARI!$A$1:$K$383,4,0)," ")</f>
        <v xml:space="preserve"> </v>
      </c>
      <c r="I382" s="100"/>
      <c r="J382" s="100" t="str">
        <f>IFERROR(VLOOKUP(Tablo516[[#This Row],[ÜRÜN KODU]],YMKODLARI!$A$1:$K$383,9,0)," ")</f>
        <v xml:space="preserve"> </v>
      </c>
      <c r="K382" s="100" t="str">
        <f>IFERROR(VLOOKUP(Tablo516[[#This Row],[BOYA KODU]],Tablo14[#All],4,0)," ")</f>
        <v xml:space="preserve"> </v>
      </c>
      <c r="L382" s="100" t="str">
        <f>IFERROR(VLOOKUP(Tablo516[[#This Row],[BOYA KODU]],Tablo14[#All],6,0)," ")</f>
        <v xml:space="preserve"> </v>
      </c>
      <c r="M382" s="100" t="str">
        <f t="shared" si="35"/>
        <v xml:space="preserve"> </v>
      </c>
      <c r="N382" s="100" t="str">
        <f>IFERROR(VLOOKUP(Tablo516[[#This Row],[ÜRÜN KODU]],YMKODLARI!$A$1:$K$383,8,0)," ")</f>
        <v xml:space="preserve"> </v>
      </c>
      <c r="O382" s="100" t="str">
        <f>IFERROR(VLOOKUP(Tablo516[[#This Row],[HAMMADDE KODU]],Tablo1[#All],3,0)," ")</f>
        <v xml:space="preserve"> </v>
      </c>
      <c r="P382" s="100" t="str">
        <f>IFERROR(VLOOKUP(Tablo516[[#This Row],[HAMMADDE KODU]],Tablo1[#All],4,0)," ")</f>
        <v xml:space="preserve"> </v>
      </c>
      <c r="Q382" s="100" t="str">
        <f>IFERROR(VLOOKUP(Tablo516[[#This Row],[ÜRÜN KODU]],YMKODLARI!$A$1:$K$383,5,0)," ")</f>
        <v xml:space="preserve"> </v>
      </c>
      <c r="R382" s="100" t="str">
        <f>IFERROR(VLOOKUP(Tablo516[[#This Row],[ÜRÜN KODU]],YMKODLARI!$A$1:$K$383,6,0)," ")</f>
        <v xml:space="preserve"> </v>
      </c>
      <c r="S382" s="100" t="str">
        <f>IFERROR(Tablo516[[#This Row],[YOLLUK HARİÇ BASKI GRAMI]]/Tablo516[[#This Row],[KALIP GÖZ ADEDİ]]," ")</f>
        <v xml:space="preserve"> </v>
      </c>
      <c r="T382" s="100" t="str">
        <f t="shared" si="37"/>
        <v xml:space="preserve"> </v>
      </c>
      <c r="U382" s="100"/>
      <c r="V382" s="100" t="str">
        <f t="shared" si="36"/>
        <v xml:space="preserve"> </v>
      </c>
      <c r="W382" s="101">
        <f t="shared" si="38"/>
        <v>24</v>
      </c>
      <c r="X382" s="102">
        <f t="shared" si="39"/>
        <v>0</v>
      </c>
      <c r="Y382" s="100" t="str">
        <f t="shared" si="40"/>
        <v xml:space="preserve"> </v>
      </c>
      <c r="Z382" s="100" t="str">
        <f t="shared" si="41"/>
        <v xml:space="preserve"> </v>
      </c>
    </row>
    <row r="383" spans="1:26">
      <c r="A383" s="100"/>
      <c r="B383" s="108" t="str">
        <f>IFERROR(VLOOKUP(Tablo516[[#This Row],[ÜRÜN KODU]],YMKODLARI!$A$1:$K$383,2,0)," ")</f>
        <v xml:space="preserve"> </v>
      </c>
      <c r="C383" s="99"/>
      <c r="D383" s="100"/>
      <c r="E383" s="101"/>
      <c r="F383" s="101"/>
      <c r="G383" s="100" t="str">
        <f>IFERROR(VLOOKUP(Tablo516[[#This Row],[ÜRÜN KODU]],YMKODLARI!$A$1:$K$383,3,0)," ")</f>
        <v xml:space="preserve"> </v>
      </c>
      <c r="H383" s="100" t="str">
        <f>IFERROR(VLOOKUP(Tablo516[[#This Row],[ÜRÜN KODU]],YMKODLARI!$A$1:$K$383,4,0)," ")</f>
        <v xml:space="preserve"> </v>
      </c>
      <c r="I383" s="100"/>
      <c r="J383" s="100" t="str">
        <f>IFERROR(VLOOKUP(Tablo516[[#This Row],[ÜRÜN KODU]],YMKODLARI!$A$1:$K$383,9,0)," ")</f>
        <v xml:space="preserve"> </v>
      </c>
      <c r="K383" s="100" t="str">
        <f>IFERROR(VLOOKUP(Tablo516[[#This Row],[BOYA KODU]],Tablo14[#All],4,0)," ")</f>
        <v xml:space="preserve"> </v>
      </c>
      <c r="L383" s="100" t="str">
        <f>IFERROR(VLOOKUP(Tablo516[[#This Row],[BOYA KODU]],Tablo14[#All],6,0)," ")</f>
        <v xml:space="preserve"> </v>
      </c>
      <c r="M383" s="100" t="str">
        <f t="shared" si="35"/>
        <v xml:space="preserve"> </v>
      </c>
      <c r="N383" s="100" t="str">
        <f>IFERROR(VLOOKUP(Tablo516[[#This Row],[ÜRÜN KODU]],YMKODLARI!$A$1:$K$383,8,0)," ")</f>
        <v xml:space="preserve"> </v>
      </c>
      <c r="O383" s="100" t="str">
        <f>IFERROR(VLOOKUP(Tablo516[[#This Row],[HAMMADDE KODU]],Tablo1[#All],3,0)," ")</f>
        <v xml:space="preserve"> </v>
      </c>
      <c r="P383" s="100" t="str">
        <f>IFERROR(VLOOKUP(Tablo516[[#This Row],[HAMMADDE KODU]],Tablo1[#All],4,0)," ")</f>
        <v xml:space="preserve"> </v>
      </c>
      <c r="Q383" s="100" t="str">
        <f>IFERROR(VLOOKUP(Tablo516[[#This Row],[ÜRÜN KODU]],YMKODLARI!$A$1:$K$383,5,0)," ")</f>
        <v xml:space="preserve"> </v>
      </c>
      <c r="R383" s="100" t="str">
        <f>IFERROR(VLOOKUP(Tablo516[[#This Row],[ÜRÜN KODU]],YMKODLARI!$A$1:$K$383,6,0)," ")</f>
        <v xml:space="preserve"> </v>
      </c>
      <c r="S383" s="100" t="str">
        <f>IFERROR(Tablo516[[#This Row],[YOLLUK HARİÇ BASKI GRAMI]]/Tablo516[[#This Row],[KALIP GÖZ ADEDİ]]," ")</f>
        <v xml:space="preserve"> </v>
      </c>
      <c r="T383" s="100" t="str">
        <f t="shared" si="37"/>
        <v xml:space="preserve"> </v>
      </c>
      <c r="U383" s="100"/>
      <c r="V383" s="100" t="str">
        <f t="shared" si="36"/>
        <v xml:space="preserve"> </v>
      </c>
      <c r="W383" s="101">
        <f t="shared" si="38"/>
        <v>24</v>
      </c>
      <c r="X383" s="102">
        <f t="shared" si="39"/>
        <v>0</v>
      </c>
      <c r="Y383" s="100" t="str">
        <f t="shared" si="40"/>
        <v xml:space="preserve"> </v>
      </c>
      <c r="Z383" s="100" t="str">
        <f t="shared" si="41"/>
        <v xml:space="preserve"> </v>
      </c>
    </row>
    <row r="384" spans="1:26">
      <c r="A384" s="100"/>
      <c r="B384" s="108" t="str">
        <f>IFERROR(VLOOKUP(Tablo516[[#This Row],[ÜRÜN KODU]],YMKODLARI!$A$1:$K$383,2,0)," ")</f>
        <v xml:space="preserve"> </v>
      </c>
      <c r="C384" s="99"/>
      <c r="D384" s="100"/>
      <c r="E384" s="101"/>
      <c r="F384" s="101"/>
      <c r="G384" s="100" t="str">
        <f>IFERROR(VLOOKUP(Tablo516[[#This Row],[ÜRÜN KODU]],YMKODLARI!$A$1:$K$383,3,0)," ")</f>
        <v xml:space="preserve"> </v>
      </c>
      <c r="H384" s="100" t="str">
        <f>IFERROR(VLOOKUP(Tablo516[[#This Row],[ÜRÜN KODU]],YMKODLARI!$A$1:$K$383,4,0)," ")</f>
        <v xml:space="preserve"> </v>
      </c>
      <c r="I384" s="100"/>
      <c r="J384" s="100" t="str">
        <f>IFERROR(VLOOKUP(Tablo516[[#This Row],[ÜRÜN KODU]],YMKODLARI!$A$1:$K$383,9,0)," ")</f>
        <v xml:space="preserve"> </v>
      </c>
      <c r="K384" s="100" t="str">
        <f>IFERROR(VLOOKUP(Tablo516[[#This Row],[BOYA KODU]],Tablo14[#All],4,0)," ")</f>
        <v xml:space="preserve"> </v>
      </c>
      <c r="L384" s="100" t="str">
        <f>IFERROR(VLOOKUP(Tablo516[[#This Row],[BOYA KODU]],Tablo14[#All],6,0)," ")</f>
        <v xml:space="preserve"> </v>
      </c>
      <c r="M384" s="100" t="str">
        <f t="shared" si="35"/>
        <v xml:space="preserve"> </v>
      </c>
      <c r="N384" s="100" t="str">
        <f>IFERROR(VLOOKUP(Tablo516[[#This Row],[ÜRÜN KODU]],YMKODLARI!$A$1:$K$383,8,0)," ")</f>
        <v xml:space="preserve"> </v>
      </c>
      <c r="O384" s="100" t="str">
        <f>IFERROR(VLOOKUP(Tablo516[[#This Row],[HAMMADDE KODU]],Tablo1[#All],3,0)," ")</f>
        <v xml:space="preserve"> </v>
      </c>
      <c r="P384" s="100" t="str">
        <f>IFERROR(VLOOKUP(Tablo516[[#This Row],[HAMMADDE KODU]],Tablo1[#All],4,0)," ")</f>
        <v xml:space="preserve"> </v>
      </c>
      <c r="Q384" s="100" t="str">
        <f>IFERROR(VLOOKUP(Tablo516[[#This Row],[ÜRÜN KODU]],YMKODLARI!$A$1:$K$383,5,0)," ")</f>
        <v xml:space="preserve"> </v>
      </c>
      <c r="R384" s="100" t="str">
        <f>IFERROR(VLOOKUP(Tablo516[[#This Row],[ÜRÜN KODU]],YMKODLARI!$A$1:$K$383,6,0)," ")</f>
        <v xml:space="preserve"> </v>
      </c>
      <c r="S384" s="100" t="str">
        <f>IFERROR(Tablo516[[#This Row],[YOLLUK HARİÇ BASKI GRAMI]]/Tablo516[[#This Row],[KALIP GÖZ ADEDİ]]," ")</f>
        <v xml:space="preserve"> </v>
      </c>
      <c r="T384" s="100" t="str">
        <f t="shared" si="37"/>
        <v xml:space="preserve"> </v>
      </c>
      <c r="U384" s="100"/>
      <c r="V384" s="100" t="str">
        <f t="shared" si="36"/>
        <v xml:space="preserve"> </v>
      </c>
      <c r="W384" s="101">
        <f t="shared" si="38"/>
        <v>24</v>
      </c>
      <c r="X384" s="102">
        <f t="shared" si="39"/>
        <v>0</v>
      </c>
      <c r="Y384" s="100" t="str">
        <f t="shared" si="40"/>
        <v xml:space="preserve"> </v>
      </c>
      <c r="Z384" s="100" t="str">
        <f t="shared" si="41"/>
        <v xml:space="preserve"> </v>
      </c>
    </row>
    <row r="385" spans="1:26">
      <c r="A385" s="100"/>
      <c r="B385" s="108" t="str">
        <f>IFERROR(VLOOKUP(Tablo516[[#This Row],[ÜRÜN KODU]],YMKODLARI!$A$1:$K$383,2,0)," ")</f>
        <v xml:space="preserve"> </v>
      </c>
      <c r="C385" s="99"/>
      <c r="D385" s="100"/>
      <c r="E385" s="101"/>
      <c r="F385" s="101"/>
      <c r="G385" s="100" t="str">
        <f>IFERROR(VLOOKUP(Tablo516[[#This Row],[ÜRÜN KODU]],YMKODLARI!$A$1:$K$383,3,0)," ")</f>
        <v xml:space="preserve"> </v>
      </c>
      <c r="H385" s="100" t="str">
        <f>IFERROR(VLOOKUP(Tablo516[[#This Row],[ÜRÜN KODU]],YMKODLARI!$A$1:$K$383,4,0)," ")</f>
        <v xml:space="preserve"> </v>
      </c>
      <c r="I385" s="100"/>
      <c r="J385" s="100" t="str">
        <f>IFERROR(VLOOKUP(Tablo516[[#This Row],[ÜRÜN KODU]],YMKODLARI!$A$1:$K$383,9,0)," ")</f>
        <v xml:space="preserve"> </v>
      </c>
      <c r="K385" s="100" t="str">
        <f>IFERROR(VLOOKUP(Tablo516[[#This Row],[BOYA KODU]],Tablo14[#All],4,0)," ")</f>
        <v xml:space="preserve"> </v>
      </c>
      <c r="L385" s="100" t="str">
        <f>IFERROR(VLOOKUP(Tablo516[[#This Row],[BOYA KODU]],Tablo14[#All],6,0)," ")</f>
        <v xml:space="preserve"> </v>
      </c>
      <c r="M385" s="100" t="str">
        <f t="shared" si="35"/>
        <v xml:space="preserve"> </v>
      </c>
      <c r="N385" s="100" t="str">
        <f>IFERROR(VLOOKUP(Tablo516[[#This Row],[ÜRÜN KODU]],YMKODLARI!$A$1:$K$383,8,0)," ")</f>
        <v xml:space="preserve"> </v>
      </c>
      <c r="O385" s="100" t="str">
        <f>IFERROR(VLOOKUP(Tablo516[[#This Row],[HAMMADDE KODU]],Tablo1[#All],3,0)," ")</f>
        <v xml:space="preserve"> </v>
      </c>
      <c r="P385" s="100" t="str">
        <f>IFERROR(VLOOKUP(Tablo516[[#This Row],[HAMMADDE KODU]],Tablo1[#All],4,0)," ")</f>
        <v xml:space="preserve"> </v>
      </c>
      <c r="Q385" s="100" t="str">
        <f>IFERROR(VLOOKUP(Tablo516[[#This Row],[ÜRÜN KODU]],YMKODLARI!$A$1:$K$383,5,0)," ")</f>
        <v xml:space="preserve"> </v>
      </c>
      <c r="R385" s="100" t="str">
        <f>IFERROR(VLOOKUP(Tablo516[[#This Row],[ÜRÜN KODU]],YMKODLARI!$A$1:$K$383,6,0)," ")</f>
        <v xml:space="preserve"> </v>
      </c>
      <c r="S385" s="100" t="str">
        <f>IFERROR(Tablo516[[#This Row],[YOLLUK HARİÇ BASKI GRAMI]]/Tablo516[[#This Row],[KALIP GÖZ ADEDİ]]," ")</f>
        <v xml:space="preserve"> </v>
      </c>
      <c r="T385" s="100" t="str">
        <f t="shared" si="37"/>
        <v xml:space="preserve"> </v>
      </c>
      <c r="U385" s="100"/>
      <c r="V385" s="100" t="str">
        <f t="shared" si="36"/>
        <v xml:space="preserve"> </v>
      </c>
      <c r="W385" s="101">
        <f t="shared" si="38"/>
        <v>24</v>
      </c>
      <c r="X385" s="102">
        <f t="shared" si="39"/>
        <v>0</v>
      </c>
      <c r="Y385" s="100" t="str">
        <f t="shared" si="40"/>
        <v xml:space="preserve"> </v>
      </c>
      <c r="Z385" s="100" t="str">
        <f t="shared" si="41"/>
        <v xml:space="preserve"> </v>
      </c>
    </row>
    <row r="386" spans="1:26">
      <c r="A386" s="100"/>
      <c r="B386" s="108" t="str">
        <f>IFERROR(VLOOKUP(Tablo516[[#This Row],[ÜRÜN KODU]],YMKODLARI!$A$1:$K$383,2,0)," ")</f>
        <v xml:space="preserve"> </v>
      </c>
      <c r="C386" s="99"/>
      <c r="D386" s="100"/>
      <c r="E386" s="101"/>
      <c r="F386" s="101"/>
      <c r="G386" s="100" t="str">
        <f>IFERROR(VLOOKUP(Tablo516[[#This Row],[ÜRÜN KODU]],YMKODLARI!$A$1:$K$383,3,0)," ")</f>
        <v xml:space="preserve"> </v>
      </c>
      <c r="H386" s="100" t="str">
        <f>IFERROR(VLOOKUP(Tablo516[[#This Row],[ÜRÜN KODU]],YMKODLARI!$A$1:$K$383,4,0)," ")</f>
        <v xml:space="preserve"> </v>
      </c>
      <c r="I386" s="100"/>
      <c r="J386" s="100" t="str">
        <f>IFERROR(VLOOKUP(Tablo516[[#This Row],[ÜRÜN KODU]],YMKODLARI!$A$1:$K$383,9,0)," ")</f>
        <v xml:space="preserve"> </v>
      </c>
      <c r="K386" s="100" t="str">
        <f>IFERROR(VLOOKUP(Tablo516[[#This Row],[BOYA KODU]],Tablo14[#All],4,0)," ")</f>
        <v xml:space="preserve"> </v>
      </c>
      <c r="L386" s="100" t="str">
        <f>IFERROR(VLOOKUP(Tablo516[[#This Row],[BOYA KODU]],Tablo14[#All],6,0)," ")</f>
        <v xml:space="preserve"> </v>
      </c>
      <c r="M386" s="100" t="str">
        <f t="shared" ref="M386:M449" si="42">IFERROR((I386*Q386)*L386," ")</f>
        <v xml:space="preserve"> </v>
      </c>
      <c r="N386" s="100" t="str">
        <f>IFERROR(VLOOKUP(Tablo516[[#This Row],[ÜRÜN KODU]],YMKODLARI!$A$1:$K$383,8,0)," ")</f>
        <v xml:space="preserve"> </v>
      </c>
      <c r="O386" s="100" t="str">
        <f>IFERROR(VLOOKUP(Tablo516[[#This Row],[HAMMADDE KODU]],Tablo1[#All],3,0)," ")</f>
        <v xml:space="preserve"> </v>
      </c>
      <c r="P386" s="100" t="str">
        <f>IFERROR(VLOOKUP(Tablo516[[#This Row],[HAMMADDE KODU]],Tablo1[#All],4,0)," ")</f>
        <v xml:space="preserve"> </v>
      </c>
      <c r="Q386" s="100" t="str">
        <f>IFERROR(VLOOKUP(Tablo516[[#This Row],[ÜRÜN KODU]],YMKODLARI!$A$1:$K$383,5,0)," ")</f>
        <v xml:space="preserve"> </v>
      </c>
      <c r="R386" s="100" t="str">
        <f>IFERROR(VLOOKUP(Tablo516[[#This Row],[ÜRÜN KODU]],YMKODLARI!$A$1:$K$383,6,0)," ")</f>
        <v xml:space="preserve"> </v>
      </c>
      <c r="S386" s="100" t="str">
        <f>IFERROR(Tablo516[[#This Row],[YOLLUK HARİÇ BASKI GRAMI]]/Tablo516[[#This Row],[KALIP GÖZ ADEDİ]]," ")</f>
        <v xml:space="preserve"> </v>
      </c>
      <c r="T386" s="100" t="str">
        <f t="shared" si="37"/>
        <v xml:space="preserve"> </v>
      </c>
      <c r="U386" s="100"/>
      <c r="V386" s="100" t="str">
        <f t="shared" ref="V386:V449" si="43">IFERROR(U386+(R386*I386) /1000," ")</f>
        <v xml:space="preserve"> </v>
      </c>
      <c r="W386" s="101">
        <f t="shared" si="38"/>
        <v>24</v>
      </c>
      <c r="X386" s="102">
        <f t="shared" si="39"/>
        <v>0</v>
      </c>
      <c r="Y386" s="100" t="str">
        <f t="shared" si="40"/>
        <v xml:space="preserve"> </v>
      </c>
      <c r="Z386" s="100" t="str">
        <f t="shared" si="41"/>
        <v xml:space="preserve"> </v>
      </c>
    </row>
    <row r="387" spans="1:26">
      <c r="A387" s="100"/>
      <c r="B387" s="108" t="str">
        <f>IFERROR(VLOOKUP(Tablo516[[#This Row],[ÜRÜN KODU]],YMKODLARI!$A$1:$K$383,2,0)," ")</f>
        <v xml:space="preserve"> </v>
      </c>
      <c r="C387" s="99"/>
      <c r="D387" s="100"/>
      <c r="E387" s="101"/>
      <c r="F387" s="101"/>
      <c r="G387" s="100" t="str">
        <f>IFERROR(VLOOKUP(Tablo516[[#This Row],[ÜRÜN KODU]],YMKODLARI!$A$1:$K$383,3,0)," ")</f>
        <v xml:space="preserve"> </v>
      </c>
      <c r="H387" s="100" t="str">
        <f>IFERROR(VLOOKUP(Tablo516[[#This Row],[ÜRÜN KODU]],YMKODLARI!$A$1:$K$383,4,0)," ")</f>
        <v xml:space="preserve"> </v>
      </c>
      <c r="I387" s="100"/>
      <c r="J387" s="100" t="str">
        <f>IFERROR(VLOOKUP(Tablo516[[#This Row],[ÜRÜN KODU]],YMKODLARI!$A$1:$K$383,9,0)," ")</f>
        <v xml:space="preserve"> </v>
      </c>
      <c r="K387" s="100" t="str">
        <f>IFERROR(VLOOKUP(Tablo516[[#This Row],[BOYA KODU]],Tablo14[#All],4,0)," ")</f>
        <v xml:space="preserve"> </v>
      </c>
      <c r="L387" s="100" t="str">
        <f>IFERROR(VLOOKUP(Tablo516[[#This Row],[BOYA KODU]],Tablo14[#All],6,0)," ")</f>
        <v xml:space="preserve"> </v>
      </c>
      <c r="M387" s="100" t="str">
        <f t="shared" si="42"/>
        <v xml:space="preserve"> </v>
      </c>
      <c r="N387" s="100" t="str">
        <f>IFERROR(VLOOKUP(Tablo516[[#This Row],[ÜRÜN KODU]],YMKODLARI!$A$1:$K$383,8,0)," ")</f>
        <v xml:space="preserve"> </v>
      </c>
      <c r="O387" s="100" t="str">
        <f>IFERROR(VLOOKUP(Tablo516[[#This Row],[HAMMADDE KODU]],Tablo1[#All],3,0)," ")</f>
        <v xml:space="preserve"> </v>
      </c>
      <c r="P387" s="100" t="str">
        <f>IFERROR(VLOOKUP(Tablo516[[#This Row],[HAMMADDE KODU]],Tablo1[#All],4,0)," ")</f>
        <v xml:space="preserve"> </v>
      </c>
      <c r="Q387" s="100" t="str">
        <f>IFERROR(VLOOKUP(Tablo516[[#This Row],[ÜRÜN KODU]],YMKODLARI!$A$1:$K$383,5,0)," ")</f>
        <v xml:space="preserve"> </v>
      </c>
      <c r="R387" s="100" t="str">
        <f>IFERROR(VLOOKUP(Tablo516[[#This Row],[ÜRÜN KODU]],YMKODLARI!$A$1:$K$383,6,0)," ")</f>
        <v xml:space="preserve"> </v>
      </c>
      <c r="S387" s="100" t="str">
        <f>IFERROR(Tablo516[[#This Row],[YOLLUK HARİÇ BASKI GRAMI]]/Tablo516[[#This Row],[KALIP GÖZ ADEDİ]]," ")</f>
        <v xml:space="preserve"> </v>
      </c>
      <c r="T387" s="100" t="str">
        <f t="shared" ref="T387:T450" si="44">IFERROR(Q387-R387," ")</f>
        <v xml:space="preserve"> </v>
      </c>
      <c r="U387" s="100"/>
      <c r="V387" s="100" t="str">
        <f t="shared" si="43"/>
        <v xml:space="preserve"> </v>
      </c>
      <c r="W387" s="101">
        <f t="shared" ref="W387:W450" si="45">IFERROR(24-(E387-F387)," ")</f>
        <v>24</v>
      </c>
      <c r="X387" s="102">
        <f t="shared" ref="X387:X450" si="46">IFERROR((W387-INT(W387))*24," ")</f>
        <v>0</v>
      </c>
      <c r="Y387" s="100" t="str">
        <f t="shared" ref="Y387:Y450" si="47">IFERROR(H387*I387/3600," ")</f>
        <v xml:space="preserve"> </v>
      </c>
      <c r="Z387" s="100" t="str">
        <f t="shared" ref="Z387:Z450" si="48">IFERROR(I387*G387," " )</f>
        <v xml:space="preserve"> </v>
      </c>
    </row>
    <row r="388" spans="1:26">
      <c r="A388" s="100"/>
      <c r="B388" s="108" t="str">
        <f>IFERROR(VLOOKUP(Tablo516[[#This Row],[ÜRÜN KODU]],YMKODLARI!$A$1:$K$383,2,0)," ")</f>
        <v xml:space="preserve"> </v>
      </c>
      <c r="C388" s="99"/>
      <c r="D388" s="100"/>
      <c r="E388" s="101"/>
      <c r="F388" s="101"/>
      <c r="G388" s="100" t="str">
        <f>IFERROR(VLOOKUP(Tablo516[[#This Row],[ÜRÜN KODU]],YMKODLARI!$A$1:$K$383,3,0)," ")</f>
        <v xml:space="preserve"> </v>
      </c>
      <c r="H388" s="100" t="str">
        <f>IFERROR(VLOOKUP(Tablo516[[#This Row],[ÜRÜN KODU]],YMKODLARI!$A$1:$K$383,4,0)," ")</f>
        <v xml:space="preserve"> </v>
      </c>
      <c r="I388" s="100"/>
      <c r="J388" s="100" t="str">
        <f>IFERROR(VLOOKUP(Tablo516[[#This Row],[ÜRÜN KODU]],YMKODLARI!$A$1:$K$383,9,0)," ")</f>
        <v xml:space="preserve"> </v>
      </c>
      <c r="K388" s="100" t="str">
        <f>IFERROR(VLOOKUP(Tablo516[[#This Row],[BOYA KODU]],Tablo14[#All],4,0)," ")</f>
        <v xml:space="preserve"> </v>
      </c>
      <c r="L388" s="100" t="str">
        <f>IFERROR(VLOOKUP(Tablo516[[#This Row],[BOYA KODU]],Tablo14[#All],6,0)," ")</f>
        <v xml:space="preserve"> </v>
      </c>
      <c r="M388" s="100" t="str">
        <f t="shared" si="42"/>
        <v xml:space="preserve"> </v>
      </c>
      <c r="N388" s="100" t="str">
        <f>IFERROR(VLOOKUP(Tablo516[[#This Row],[ÜRÜN KODU]],YMKODLARI!$A$1:$K$383,8,0)," ")</f>
        <v xml:space="preserve"> </v>
      </c>
      <c r="O388" s="100" t="str">
        <f>IFERROR(VLOOKUP(Tablo516[[#This Row],[HAMMADDE KODU]],Tablo1[#All],3,0)," ")</f>
        <v xml:space="preserve"> </v>
      </c>
      <c r="P388" s="100" t="str">
        <f>IFERROR(VLOOKUP(Tablo516[[#This Row],[HAMMADDE KODU]],Tablo1[#All],4,0)," ")</f>
        <v xml:space="preserve"> </v>
      </c>
      <c r="Q388" s="100" t="str">
        <f>IFERROR(VLOOKUP(Tablo516[[#This Row],[ÜRÜN KODU]],YMKODLARI!$A$1:$K$383,5,0)," ")</f>
        <v xml:space="preserve"> </v>
      </c>
      <c r="R388" s="100" t="str">
        <f>IFERROR(VLOOKUP(Tablo516[[#This Row],[ÜRÜN KODU]],YMKODLARI!$A$1:$K$383,6,0)," ")</f>
        <v xml:space="preserve"> </v>
      </c>
      <c r="S388" s="100" t="str">
        <f>IFERROR(Tablo516[[#This Row],[YOLLUK HARİÇ BASKI GRAMI]]/Tablo516[[#This Row],[KALIP GÖZ ADEDİ]]," ")</f>
        <v xml:space="preserve"> </v>
      </c>
      <c r="T388" s="100" t="str">
        <f t="shared" si="44"/>
        <v xml:space="preserve"> </v>
      </c>
      <c r="U388" s="100"/>
      <c r="V388" s="100" t="str">
        <f t="shared" si="43"/>
        <v xml:space="preserve"> </v>
      </c>
      <c r="W388" s="101">
        <f t="shared" si="45"/>
        <v>24</v>
      </c>
      <c r="X388" s="102">
        <f t="shared" si="46"/>
        <v>0</v>
      </c>
      <c r="Y388" s="100" t="str">
        <f t="shared" si="47"/>
        <v xml:space="preserve"> </v>
      </c>
      <c r="Z388" s="100" t="str">
        <f t="shared" si="48"/>
        <v xml:space="preserve"> </v>
      </c>
    </row>
    <row r="389" spans="1:26">
      <c r="A389" s="100"/>
      <c r="B389" s="108" t="str">
        <f>IFERROR(VLOOKUP(Tablo516[[#This Row],[ÜRÜN KODU]],YMKODLARI!$A$1:$K$383,2,0)," ")</f>
        <v xml:space="preserve"> </v>
      </c>
      <c r="C389" s="99"/>
      <c r="D389" s="100"/>
      <c r="E389" s="101"/>
      <c r="F389" s="101"/>
      <c r="G389" s="100" t="str">
        <f>IFERROR(VLOOKUP(Tablo516[[#This Row],[ÜRÜN KODU]],YMKODLARI!$A$1:$K$383,3,0)," ")</f>
        <v xml:space="preserve"> </v>
      </c>
      <c r="H389" s="100" t="str">
        <f>IFERROR(VLOOKUP(Tablo516[[#This Row],[ÜRÜN KODU]],YMKODLARI!$A$1:$K$383,4,0)," ")</f>
        <v xml:space="preserve"> </v>
      </c>
      <c r="I389" s="100"/>
      <c r="J389" s="100" t="str">
        <f>IFERROR(VLOOKUP(Tablo516[[#This Row],[ÜRÜN KODU]],YMKODLARI!$A$1:$K$383,9,0)," ")</f>
        <v xml:space="preserve"> </v>
      </c>
      <c r="K389" s="100" t="str">
        <f>IFERROR(VLOOKUP(Tablo516[[#This Row],[BOYA KODU]],Tablo14[#All],4,0)," ")</f>
        <v xml:space="preserve"> </v>
      </c>
      <c r="L389" s="100" t="str">
        <f>IFERROR(VLOOKUP(Tablo516[[#This Row],[BOYA KODU]],Tablo14[#All],6,0)," ")</f>
        <v xml:space="preserve"> </v>
      </c>
      <c r="M389" s="100" t="str">
        <f t="shared" si="42"/>
        <v xml:space="preserve"> </v>
      </c>
      <c r="N389" s="100" t="str">
        <f>IFERROR(VLOOKUP(Tablo516[[#This Row],[ÜRÜN KODU]],YMKODLARI!$A$1:$K$383,8,0)," ")</f>
        <v xml:space="preserve"> </v>
      </c>
      <c r="O389" s="100" t="str">
        <f>IFERROR(VLOOKUP(Tablo516[[#This Row],[HAMMADDE KODU]],Tablo1[#All],3,0)," ")</f>
        <v xml:space="preserve"> </v>
      </c>
      <c r="P389" s="100" t="str">
        <f>IFERROR(VLOOKUP(Tablo516[[#This Row],[HAMMADDE KODU]],Tablo1[#All],4,0)," ")</f>
        <v xml:space="preserve"> </v>
      </c>
      <c r="Q389" s="100" t="str">
        <f>IFERROR(VLOOKUP(Tablo516[[#This Row],[ÜRÜN KODU]],YMKODLARI!$A$1:$K$383,5,0)," ")</f>
        <v xml:space="preserve"> </v>
      </c>
      <c r="R389" s="100" t="str">
        <f>IFERROR(VLOOKUP(Tablo516[[#This Row],[ÜRÜN KODU]],YMKODLARI!$A$1:$K$383,6,0)," ")</f>
        <v xml:space="preserve"> </v>
      </c>
      <c r="S389" s="100" t="str">
        <f>IFERROR(Tablo516[[#This Row],[YOLLUK HARİÇ BASKI GRAMI]]/Tablo516[[#This Row],[KALIP GÖZ ADEDİ]]," ")</f>
        <v xml:space="preserve"> </v>
      </c>
      <c r="T389" s="100" t="str">
        <f t="shared" si="44"/>
        <v xml:space="preserve"> </v>
      </c>
      <c r="U389" s="100"/>
      <c r="V389" s="100" t="str">
        <f t="shared" si="43"/>
        <v xml:space="preserve"> </v>
      </c>
      <c r="W389" s="101">
        <f t="shared" si="45"/>
        <v>24</v>
      </c>
      <c r="X389" s="102">
        <f t="shared" si="46"/>
        <v>0</v>
      </c>
      <c r="Y389" s="100" t="str">
        <f t="shared" si="47"/>
        <v xml:space="preserve"> </v>
      </c>
      <c r="Z389" s="100" t="str">
        <f t="shared" si="48"/>
        <v xml:space="preserve"> </v>
      </c>
    </row>
    <row r="390" spans="1:26">
      <c r="A390" s="100"/>
      <c r="B390" s="108" t="str">
        <f>IFERROR(VLOOKUP(Tablo516[[#This Row],[ÜRÜN KODU]],YMKODLARI!$A$1:$K$383,2,0)," ")</f>
        <v xml:space="preserve"> </v>
      </c>
      <c r="C390" s="99"/>
      <c r="D390" s="100"/>
      <c r="E390" s="101"/>
      <c r="F390" s="101"/>
      <c r="G390" s="100" t="str">
        <f>IFERROR(VLOOKUP(Tablo516[[#This Row],[ÜRÜN KODU]],YMKODLARI!$A$1:$K$383,3,0)," ")</f>
        <v xml:space="preserve"> </v>
      </c>
      <c r="H390" s="100" t="str">
        <f>IFERROR(VLOOKUP(Tablo516[[#This Row],[ÜRÜN KODU]],YMKODLARI!$A$1:$K$383,4,0)," ")</f>
        <v xml:space="preserve"> </v>
      </c>
      <c r="I390" s="100"/>
      <c r="J390" s="100" t="str">
        <f>IFERROR(VLOOKUP(Tablo516[[#This Row],[ÜRÜN KODU]],YMKODLARI!$A$1:$K$383,9,0)," ")</f>
        <v xml:space="preserve"> </v>
      </c>
      <c r="K390" s="100" t="str">
        <f>IFERROR(VLOOKUP(Tablo516[[#This Row],[BOYA KODU]],Tablo14[#All],4,0)," ")</f>
        <v xml:space="preserve"> </v>
      </c>
      <c r="L390" s="100" t="str">
        <f>IFERROR(VLOOKUP(Tablo516[[#This Row],[BOYA KODU]],Tablo14[#All],6,0)," ")</f>
        <v xml:space="preserve"> </v>
      </c>
      <c r="M390" s="100" t="str">
        <f t="shared" si="42"/>
        <v xml:space="preserve"> </v>
      </c>
      <c r="N390" s="100" t="str">
        <f>IFERROR(VLOOKUP(Tablo516[[#This Row],[ÜRÜN KODU]],YMKODLARI!$A$1:$K$383,8,0)," ")</f>
        <v xml:space="preserve"> </v>
      </c>
      <c r="O390" s="100" t="str">
        <f>IFERROR(VLOOKUP(Tablo516[[#This Row],[HAMMADDE KODU]],Tablo1[#All],3,0)," ")</f>
        <v xml:space="preserve"> </v>
      </c>
      <c r="P390" s="100" t="str">
        <f>IFERROR(VLOOKUP(Tablo516[[#This Row],[HAMMADDE KODU]],Tablo1[#All],4,0)," ")</f>
        <v xml:space="preserve"> </v>
      </c>
      <c r="Q390" s="100" t="str">
        <f>IFERROR(VLOOKUP(Tablo516[[#This Row],[ÜRÜN KODU]],YMKODLARI!$A$1:$K$383,5,0)," ")</f>
        <v xml:space="preserve"> </v>
      </c>
      <c r="R390" s="100" t="str">
        <f>IFERROR(VLOOKUP(Tablo516[[#This Row],[ÜRÜN KODU]],YMKODLARI!$A$1:$K$383,6,0)," ")</f>
        <v xml:space="preserve"> </v>
      </c>
      <c r="S390" s="100" t="str">
        <f>IFERROR(Tablo516[[#This Row],[YOLLUK HARİÇ BASKI GRAMI]]/Tablo516[[#This Row],[KALIP GÖZ ADEDİ]]," ")</f>
        <v xml:space="preserve"> </v>
      </c>
      <c r="T390" s="100" t="str">
        <f t="shared" si="44"/>
        <v xml:space="preserve"> </v>
      </c>
      <c r="U390" s="100"/>
      <c r="V390" s="100" t="str">
        <f t="shared" si="43"/>
        <v xml:space="preserve"> </v>
      </c>
      <c r="W390" s="101">
        <f t="shared" si="45"/>
        <v>24</v>
      </c>
      <c r="X390" s="102">
        <f t="shared" si="46"/>
        <v>0</v>
      </c>
      <c r="Y390" s="100" t="str">
        <f t="shared" si="47"/>
        <v xml:space="preserve"> </v>
      </c>
      <c r="Z390" s="100" t="str">
        <f t="shared" si="48"/>
        <v xml:space="preserve"> </v>
      </c>
    </row>
    <row r="391" spans="1:26">
      <c r="A391" s="100"/>
      <c r="B391" s="108" t="str">
        <f>IFERROR(VLOOKUP(Tablo516[[#This Row],[ÜRÜN KODU]],YMKODLARI!$A$1:$K$383,2,0)," ")</f>
        <v xml:space="preserve"> </v>
      </c>
      <c r="C391" s="99"/>
      <c r="D391" s="100"/>
      <c r="E391" s="101"/>
      <c r="F391" s="101"/>
      <c r="G391" s="100" t="str">
        <f>IFERROR(VLOOKUP(Tablo516[[#This Row],[ÜRÜN KODU]],YMKODLARI!$A$1:$K$383,3,0)," ")</f>
        <v xml:space="preserve"> </v>
      </c>
      <c r="H391" s="100" t="str">
        <f>IFERROR(VLOOKUP(Tablo516[[#This Row],[ÜRÜN KODU]],YMKODLARI!$A$1:$K$383,4,0)," ")</f>
        <v xml:space="preserve"> </v>
      </c>
      <c r="I391" s="100"/>
      <c r="J391" s="100" t="str">
        <f>IFERROR(VLOOKUP(Tablo516[[#This Row],[ÜRÜN KODU]],YMKODLARI!$A$1:$K$383,9,0)," ")</f>
        <v xml:space="preserve"> </v>
      </c>
      <c r="K391" s="100" t="str">
        <f>IFERROR(VLOOKUP(Tablo516[[#This Row],[BOYA KODU]],Tablo14[#All],4,0)," ")</f>
        <v xml:space="preserve"> </v>
      </c>
      <c r="L391" s="100" t="str">
        <f>IFERROR(VLOOKUP(Tablo516[[#This Row],[BOYA KODU]],Tablo14[#All],6,0)," ")</f>
        <v xml:space="preserve"> </v>
      </c>
      <c r="M391" s="100" t="str">
        <f t="shared" si="42"/>
        <v xml:space="preserve"> </v>
      </c>
      <c r="N391" s="100" t="str">
        <f>IFERROR(VLOOKUP(Tablo516[[#This Row],[ÜRÜN KODU]],YMKODLARI!$A$1:$K$383,8,0)," ")</f>
        <v xml:space="preserve"> </v>
      </c>
      <c r="O391" s="100" t="str">
        <f>IFERROR(VLOOKUP(Tablo516[[#This Row],[HAMMADDE KODU]],Tablo1[#All],3,0)," ")</f>
        <v xml:space="preserve"> </v>
      </c>
      <c r="P391" s="100" t="str">
        <f>IFERROR(VLOOKUP(Tablo516[[#This Row],[HAMMADDE KODU]],Tablo1[#All],4,0)," ")</f>
        <v xml:space="preserve"> </v>
      </c>
      <c r="Q391" s="100" t="str">
        <f>IFERROR(VLOOKUP(Tablo516[[#This Row],[ÜRÜN KODU]],YMKODLARI!$A$1:$K$383,5,0)," ")</f>
        <v xml:space="preserve"> </v>
      </c>
      <c r="R391" s="100" t="str">
        <f>IFERROR(VLOOKUP(Tablo516[[#This Row],[ÜRÜN KODU]],YMKODLARI!$A$1:$K$383,6,0)," ")</f>
        <v xml:space="preserve"> </v>
      </c>
      <c r="S391" s="100" t="str">
        <f>IFERROR(Tablo516[[#This Row],[YOLLUK HARİÇ BASKI GRAMI]]/Tablo516[[#This Row],[KALIP GÖZ ADEDİ]]," ")</f>
        <v xml:space="preserve"> </v>
      </c>
      <c r="T391" s="100" t="str">
        <f t="shared" si="44"/>
        <v xml:space="preserve"> </v>
      </c>
      <c r="U391" s="100"/>
      <c r="V391" s="100" t="str">
        <f t="shared" si="43"/>
        <v xml:space="preserve"> </v>
      </c>
      <c r="W391" s="101">
        <f t="shared" si="45"/>
        <v>24</v>
      </c>
      <c r="X391" s="102">
        <f t="shared" si="46"/>
        <v>0</v>
      </c>
      <c r="Y391" s="100" t="str">
        <f t="shared" si="47"/>
        <v xml:space="preserve"> </v>
      </c>
      <c r="Z391" s="100" t="str">
        <f t="shared" si="48"/>
        <v xml:space="preserve"> </v>
      </c>
    </row>
    <row r="392" spans="1:26">
      <c r="A392" s="100"/>
      <c r="B392" s="108" t="str">
        <f>IFERROR(VLOOKUP(Tablo516[[#This Row],[ÜRÜN KODU]],YMKODLARI!$A$1:$K$383,2,0)," ")</f>
        <v xml:space="preserve"> </v>
      </c>
      <c r="C392" s="99"/>
      <c r="D392" s="100"/>
      <c r="E392" s="101"/>
      <c r="F392" s="101"/>
      <c r="G392" s="100" t="str">
        <f>IFERROR(VLOOKUP(Tablo516[[#This Row],[ÜRÜN KODU]],YMKODLARI!$A$1:$K$383,3,0)," ")</f>
        <v xml:space="preserve"> </v>
      </c>
      <c r="H392" s="100" t="str">
        <f>IFERROR(VLOOKUP(Tablo516[[#This Row],[ÜRÜN KODU]],YMKODLARI!$A$1:$K$383,4,0)," ")</f>
        <v xml:space="preserve"> </v>
      </c>
      <c r="I392" s="100"/>
      <c r="J392" s="100" t="str">
        <f>IFERROR(VLOOKUP(Tablo516[[#This Row],[ÜRÜN KODU]],YMKODLARI!$A$1:$K$383,9,0)," ")</f>
        <v xml:space="preserve"> </v>
      </c>
      <c r="K392" s="100" t="str">
        <f>IFERROR(VLOOKUP(Tablo516[[#This Row],[BOYA KODU]],Tablo14[#All],4,0)," ")</f>
        <v xml:space="preserve"> </v>
      </c>
      <c r="L392" s="100" t="str">
        <f>IFERROR(VLOOKUP(Tablo516[[#This Row],[BOYA KODU]],Tablo14[#All],6,0)," ")</f>
        <v xml:space="preserve"> </v>
      </c>
      <c r="M392" s="100" t="str">
        <f t="shared" si="42"/>
        <v xml:space="preserve"> </v>
      </c>
      <c r="N392" s="100" t="str">
        <f>IFERROR(VLOOKUP(Tablo516[[#This Row],[ÜRÜN KODU]],YMKODLARI!$A$1:$K$383,8,0)," ")</f>
        <v xml:space="preserve"> </v>
      </c>
      <c r="O392" s="100" t="str">
        <f>IFERROR(VLOOKUP(Tablo516[[#This Row],[HAMMADDE KODU]],Tablo1[#All],3,0)," ")</f>
        <v xml:space="preserve"> </v>
      </c>
      <c r="P392" s="100" t="str">
        <f>IFERROR(VLOOKUP(Tablo516[[#This Row],[HAMMADDE KODU]],Tablo1[#All],4,0)," ")</f>
        <v xml:space="preserve"> </v>
      </c>
      <c r="Q392" s="100" t="str">
        <f>IFERROR(VLOOKUP(Tablo516[[#This Row],[ÜRÜN KODU]],YMKODLARI!$A$1:$K$383,5,0)," ")</f>
        <v xml:space="preserve"> </v>
      </c>
      <c r="R392" s="100" t="str">
        <f>IFERROR(VLOOKUP(Tablo516[[#This Row],[ÜRÜN KODU]],YMKODLARI!$A$1:$K$383,6,0)," ")</f>
        <v xml:space="preserve"> </v>
      </c>
      <c r="S392" s="100" t="str">
        <f>IFERROR(Tablo516[[#This Row],[YOLLUK HARİÇ BASKI GRAMI]]/Tablo516[[#This Row],[KALIP GÖZ ADEDİ]]," ")</f>
        <v xml:space="preserve"> </v>
      </c>
      <c r="T392" s="100" t="str">
        <f t="shared" si="44"/>
        <v xml:space="preserve"> </v>
      </c>
      <c r="U392" s="100"/>
      <c r="V392" s="100" t="str">
        <f t="shared" si="43"/>
        <v xml:space="preserve"> </v>
      </c>
      <c r="W392" s="101">
        <f t="shared" si="45"/>
        <v>24</v>
      </c>
      <c r="X392" s="102">
        <f t="shared" si="46"/>
        <v>0</v>
      </c>
      <c r="Y392" s="100" t="str">
        <f t="shared" si="47"/>
        <v xml:space="preserve"> </v>
      </c>
      <c r="Z392" s="100" t="str">
        <f t="shared" si="48"/>
        <v xml:space="preserve"> </v>
      </c>
    </row>
    <row r="393" spans="1:26">
      <c r="A393" s="100"/>
      <c r="B393" s="108" t="str">
        <f>IFERROR(VLOOKUP(Tablo516[[#This Row],[ÜRÜN KODU]],YMKODLARI!$A$1:$K$383,2,0)," ")</f>
        <v xml:space="preserve"> </v>
      </c>
      <c r="C393" s="99"/>
      <c r="D393" s="100"/>
      <c r="E393" s="101"/>
      <c r="F393" s="101"/>
      <c r="G393" s="100" t="str">
        <f>IFERROR(VLOOKUP(Tablo516[[#This Row],[ÜRÜN KODU]],YMKODLARI!$A$1:$K$383,3,0)," ")</f>
        <v xml:space="preserve"> </v>
      </c>
      <c r="H393" s="100" t="str">
        <f>IFERROR(VLOOKUP(Tablo516[[#This Row],[ÜRÜN KODU]],YMKODLARI!$A$1:$K$383,4,0)," ")</f>
        <v xml:space="preserve"> </v>
      </c>
      <c r="I393" s="100"/>
      <c r="J393" s="100" t="str">
        <f>IFERROR(VLOOKUP(Tablo516[[#This Row],[ÜRÜN KODU]],YMKODLARI!$A$1:$K$383,9,0)," ")</f>
        <v xml:space="preserve"> </v>
      </c>
      <c r="K393" s="100" t="str">
        <f>IFERROR(VLOOKUP(Tablo516[[#This Row],[BOYA KODU]],Tablo14[#All],4,0)," ")</f>
        <v xml:space="preserve"> </v>
      </c>
      <c r="L393" s="100" t="str">
        <f>IFERROR(VLOOKUP(Tablo516[[#This Row],[BOYA KODU]],Tablo14[#All],6,0)," ")</f>
        <v xml:space="preserve"> </v>
      </c>
      <c r="M393" s="100" t="str">
        <f t="shared" si="42"/>
        <v xml:space="preserve"> </v>
      </c>
      <c r="N393" s="100" t="str">
        <f>IFERROR(VLOOKUP(Tablo516[[#This Row],[ÜRÜN KODU]],YMKODLARI!$A$1:$K$383,8,0)," ")</f>
        <v xml:space="preserve"> </v>
      </c>
      <c r="O393" s="100" t="str">
        <f>IFERROR(VLOOKUP(Tablo516[[#This Row],[HAMMADDE KODU]],Tablo1[#All],3,0)," ")</f>
        <v xml:space="preserve"> </v>
      </c>
      <c r="P393" s="100" t="str">
        <f>IFERROR(VLOOKUP(Tablo516[[#This Row],[HAMMADDE KODU]],Tablo1[#All],4,0)," ")</f>
        <v xml:space="preserve"> </v>
      </c>
      <c r="Q393" s="100" t="str">
        <f>IFERROR(VLOOKUP(Tablo516[[#This Row],[ÜRÜN KODU]],YMKODLARI!$A$1:$K$383,5,0)," ")</f>
        <v xml:space="preserve"> </v>
      </c>
      <c r="R393" s="100" t="str">
        <f>IFERROR(VLOOKUP(Tablo516[[#This Row],[ÜRÜN KODU]],YMKODLARI!$A$1:$K$383,6,0)," ")</f>
        <v xml:space="preserve"> </v>
      </c>
      <c r="S393" s="100" t="str">
        <f>IFERROR(Tablo516[[#This Row],[YOLLUK HARİÇ BASKI GRAMI]]/Tablo516[[#This Row],[KALIP GÖZ ADEDİ]]," ")</f>
        <v xml:space="preserve"> </v>
      </c>
      <c r="T393" s="100" t="str">
        <f t="shared" si="44"/>
        <v xml:space="preserve"> </v>
      </c>
      <c r="U393" s="100"/>
      <c r="V393" s="100" t="str">
        <f t="shared" si="43"/>
        <v xml:space="preserve"> </v>
      </c>
      <c r="W393" s="101">
        <f t="shared" si="45"/>
        <v>24</v>
      </c>
      <c r="X393" s="102">
        <f t="shared" si="46"/>
        <v>0</v>
      </c>
      <c r="Y393" s="100" t="str">
        <f t="shared" si="47"/>
        <v xml:space="preserve"> </v>
      </c>
      <c r="Z393" s="100" t="str">
        <f t="shared" si="48"/>
        <v xml:space="preserve"> </v>
      </c>
    </row>
    <row r="394" spans="1:26">
      <c r="A394" s="100"/>
      <c r="B394" s="108" t="str">
        <f>IFERROR(VLOOKUP(Tablo516[[#This Row],[ÜRÜN KODU]],YMKODLARI!$A$1:$K$383,2,0)," ")</f>
        <v xml:space="preserve"> </v>
      </c>
      <c r="C394" s="99"/>
      <c r="D394" s="100"/>
      <c r="E394" s="101"/>
      <c r="F394" s="101"/>
      <c r="G394" s="100" t="str">
        <f>IFERROR(VLOOKUP(Tablo516[[#This Row],[ÜRÜN KODU]],YMKODLARI!$A$1:$K$383,3,0)," ")</f>
        <v xml:space="preserve"> </v>
      </c>
      <c r="H394" s="100" t="str">
        <f>IFERROR(VLOOKUP(Tablo516[[#This Row],[ÜRÜN KODU]],YMKODLARI!$A$1:$K$383,4,0)," ")</f>
        <v xml:space="preserve"> </v>
      </c>
      <c r="I394" s="100"/>
      <c r="J394" s="100" t="str">
        <f>IFERROR(VLOOKUP(Tablo516[[#This Row],[ÜRÜN KODU]],YMKODLARI!$A$1:$K$383,9,0)," ")</f>
        <v xml:space="preserve"> </v>
      </c>
      <c r="K394" s="100" t="str">
        <f>IFERROR(VLOOKUP(Tablo516[[#This Row],[BOYA KODU]],Tablo14[#All],4,0)," ")</f>
        <v xml:space="preserve"> </v>
      </c>
      <c r="L394" s="100" t="str">
        <f>IFERROR(VLOOKUP(Tablo516[[#This Row],[BOYA KODU]],Tablo14[#All],6,0)," ")</f>
        <v xml:space="preserve"> </v>
      </c>
      <c r="M394" s="100" t="str">
        <f t="shared" si="42"/>
        <v xml:space="preserve"> </v>
      </c>
      <c r="N394" s="100" t="str">
        <f>IFERROR(VLOOKUP(Tablo516[[#This Row],[ÜRÜN KODU]],YMKODLARI!$A$1:$K$383,8,0)," ")</f>
        <v xml:space="preserve"> </v>
      </c>
      <c r="O394" s="100" t="str">
        <f>IFERROR(VLOOKUP(Tablo516[[#This Row],[HAMMADDE KODU]],Tablo1[#All],3,0)," ")</f>
        <v xml:space="preserve"> </v>
      </c>
      <c r="P394" s="100" t="str">
        <f>IFERROR(VLOOKUP(Tablo516[[#This Row],[HAMMADDE KODU]],Tablo1[#All],4,0)," ")</f>
        <v xml:space="preserve"> </v>
      </c>
      <c r="Q394" s="100" t="str">
        <f>IFERROR(VLOOKUP(Tablo516[[#This Row],[ÜRÜN KODU]],YMKODLARI!$A$1:$K$383,5,0)," ")</f>
        <v xml:space="preserve"> </v>
      </c>
      <c r="R394" s="100" t="str">
        <f>IFERROR(VLOOKUP(Tablo516[[#This Row],[ÜRÜN KODU]],YMKODLARI!$A$1:$K$383,6,0)," ")</f>
        <v xml:space="preserve"> </v>
      </c>
      <c r="S394" s="100" t="str">
        <f>IFERROR(Tablo516[[#This Row],[YOLLUK HARİÇ BASKI GRAMI]]/Tablo516[[#This Row],[KALIP GÖZ ADEDİ]]," ")</f>
        <v xml:space="preserve"> </v>
      </c>
      <c r="T394" s="100" t="str">
        <f t="shared" si="44"/>
        <v xml:space="preserve"> </v>
      </c>
      <c r="U394" s="100"/>
      <c r="V394" s="100" t="str">
        <f t="shared" si="43"/>
        <v xml:space="preserve"> </v>
      </c>
      <c r="W394" s="101">
        <f t="shared" si="45"/>
        <v>24</v>
      </c>
      <c r="X394" s="102">
        <f t="shared" si="46"/>
        <v>0</v>
      </c>
      <c r="Y394" s="100" t="str">
        <f t="shared" si="47"/>
        <v xml:space="preserve"> </v>
      </c>
      <c r="Z394" s="100" t="str">
        <f t="shared" si="48"/>
        <v xml:space="preserve"> </v>
      </c>
    </row>
    <row r="395" spans="1:26">
      <c r="A395" s="100"/>
      <c r="B395" s="108" t="str">
        <f>IFERROR(VLOOKUP(Tablo516[[#This Row],[ÜRÜN KODU]],YMKODLARI!$A$1:$K$383,2,0)," ")</f>
        <v xml:space="preserve"> </v>
      </c>
      <c r="C395" s="99"/>
      <c r="D395" s="100"/>
      <c r="E395" s="101"/>
      <c r="F395" s="101"/>
      <c r="G395" s="100" t="str">
        <f>IFERROR(VLOOKUP(Tablo516[[#This Row],[ÜRÜN KODU]],YMKODLARI!$A$1:$K$383,3,0)," ")</f>
        <v xml:space="preserve"> </v>
      </c>
      <c r="H395" s="100" t="str">
        <f>IFERROR(VLOOKUP(Tablo516[[#This Row],[ÜRÜN KODU]],YMKODLARI!$A$1:$K$383,4,0)," ")</f>
        <v xml:space="preserve"> </v>
      </c>
      <c r="I395" s="100"/>
      <c r="J395" s="100" t="str">
        <f>IFERROR(VLOOKUP(Tablo516[[#This Row],[ÜRÜN KODU]],YMKODLARI!$A$1:$K$383,9,0)," ")</f>
        <v xml:space="preserve"> </v>
      </c>
      <c r="K395" s="100" t="str">
        <f>IFERROR(VLOOKUP(Tablo516[[#This Row],[BOYA KODU]],Tablo14[#All],4,0)," ")</f>
        <v xml:space="preserve"> </v>
      </c>
      <c r="L395" s="100" t="str">
        <f>IFERROR(VLOOKUP(Tablo516[[#This Row],[BOYA KODU]],Tablo14[#All],6,0)," ")</f>
        <v xml:space="preserve"> </v>
      </c>
      <c r="M395" s="100" t="str">
        <f t="shared" si="42"/>
        <v xml:space="preserve"> </v>
      </c>
      <c r="N395" s="100" t="str">
        <f>IFERROR(VLOOKUP(Tablo516[[#This Row],[ÜRÜN KODU]],YMKODLARI!$A$1:$K$383,8,0)," ")</f>
        <v xml:space="preserve"> </v>
      </c>
      <c r="O395" s="100" t="str">
        <f>IFERROR(VLOOKUP(Tablo516[[#This Row],[HAMMADDE KODU]],Tablo1[#All],3,0)," ")</f>
        <v xml:space="preserve"> </v>
      </c>
      <c r="P395" s="100" t="str">
        <f>IFERROR(VLOOKUP(Tablo516[[#This Row],[HAMMADDE KODU]],Tablo1[#All],4,0)," ")</f>
        <v xml:space="preserve"> </v>
      </c>
      <c r="Q395" s="100" t="str">
        <f>IFERROR(VLOOKUP(Tablo516[[#This Row],[ÜRÜN KODU]],YMKODLARI!$A$1:$K$383,5,0)," ")</f>
        <v xml:space="preserve"> </v>
      </c>
      <c r="R395" s="100" t="str">
        <f>IFERROR(VLOOKUP(Tablo516[[#This Row],[ÜRÜN KODU]],YMKODLARI!$A$1:$K$383,6,0)," ")</f>
        <v xml:space="preserve"> </v>
      </c>
      <c r="S395" s="100" t="str">
        <f>IFERROR(Tablo516[[#This Row],[YOLLUK HARİÇ BASKI GRAMI]]/Tablo516[[#This Row],[KALIP GÖZ ADEDİ]]," ")</f>
        <v xml:space="preserve"> </v>
      </c>
      <c r="T395" s="100" t="str">
        <f t="shared" si="44"/>
        <v xml:space="preserve"> </v>
      </c>
      <c r="U395" s="100"/>
      <c r="V395" s="100" t="str">
        <f t="shared" si="43"/>
        <v xml:space="preserve"> </v>
      </c>
      <c r="W395" s="101">
        <f t="shared" si="45"/>
        <v>24</v>
      </c>
      <c r="X395" s="102">
        <f t="shared" si="46"/>
        <v>0</v>
      </c>
      <c r="Y395" s="100" t="str">
        <f t="shared" si="47"/>
        <v xml:space="preserve"> </v>
      </c>
      <c r="Z395" s="100" t="str">
        <f t="shared" si="48"/>
        <v xml:space="preserve"> </v>
      </c>
    </row>
    <row r="396" spans="1:26">
      <c r="A396" s="100"/>
      <c r="B396" s="108" t="str">
        <f>IFERROR(VLOOKUP(Tablo516[[#This Row],[ÜRÜN KODU]],YMKODLARI!$A$1:$K$383,2,0)," ")</f>
        <v xml:space="preserve"> </v>
      </c>
      <c r="C396" s="99"/>
      <c r="D396" s="100"/>
      <c r="E396" s="101"/>
      <c r="F396" s="101"/>
      <c r="G396" s="100" t="str">
        <f>IFERROR(VLOOKUP(Tablo516[[#This Row],[ÜRÜN KODU]],YMKODLARI!$A$1:$K$383,3,0)," ")</f>
        <v xml:space="preserve"> </v>
      </c>
      <c r="H396" s="100" t="str">
        <f>IFERROR(VLOOKUP(Tablo516[[#This Row],[ÜRÜN KODU]],YMKODLARI!$A$1:$K$383,4,0)," ")</f>
        <v xml:space="preserve"> </v>
      </c>
      <c r="I396" s="100"/>
      <c r="J396" s="100" t="str">
        <f>IFERROR(VLOOKUP(Tablo516[[#This Row],[ÜRÜN KODU]],YMKODLARI!$A$1:$K$383,9,0)," ")</f>
        <v xml:space="preserve"> </v>
      </c>
      <c r="K396" s="100" t="str">
        <f>IFERROR(VLOOKUP(Tablo516[[#This Row],[BOYA KODU]],Tablo14[#All],4,0)," ")</f>
        <v xml:space="preserve"> </v>
      </c>
      <c r="L396" s="100" t="str">
        <f>IFERROR(VLOOKUP(Tablo516[[#This Row],[BOYA KODU]],Tablo14[#All],6,0)," ")</f>
        <v xml:space="preserve"> </v>
      </c>
      <c r="M396" s="100" t="str">
        <f t="shared" si="42"/>
        <v xml:space="preserve"> </v>
      </c>
      <c r="N396" s="100" t="str">
        <f>IFERROR(VLOOKUP(Tablo516[[#This Row],[ÜRÜN KODU]],YMKODLARI!$A$1:$K$383,8,0)," ")</f>
        <v xml:space="preserve"> </v>
      </c>
      <c r="O396" s="100" t="str">
        <f>IFERROR(VLOOKUP(Tablo516[[#This Row],[HAMMADDE KODU]],Tablo1[#All],3,0)," ")</f>
        <v xml:space="preserve"> </v>
      </c>
      <c r="P396" s="100" t="str">
        <f>IFERROR(VLOOKUP(Tablo516[[#This Row],[HAMMADDE KODU]],Tablo1[#All],4,0)," ")</f>
        <v xml:space="preserve"> </v>
      </c>
      <c r="Q396" s="100" t="str">
        <f>IFERROR(VLOOKUP(Tablo516[[#This Row],[ÜRÜN KODU]],YMKODLARI!$A$1:$K$383,5,0)," ")</f>
        <v xml:space="preserve"> </v>
      </c>
      <c r="R396" s="100" t="str">
        <f>IFERROR(VLOOKUP(Tablo516[[#This Row],[ÜRÜN KODU]],YMKODLARI!$A$1:$K$383,6,0)," ")</f>
        <v xml:space="preserve"> </v>
      </c>
      <c r="S396" s="100" t="str">
        <f>IFERROR(Tablo516[[#This Row],[YOLLUK HARİÇ BASKI GRAMI]]/Tablo516[[#This Row],[KALIP GÖZ ADEDİ]]," ")</f>
        <v xml:space="preserve"> </v>
      </c>
      <c r="T396" s="100" t="str">
        <f t="shared" si="44"/>
        <v xml:space="preserve"> </v>
      </c>
      <c r="U396" s="100"/>
      <c r="V396" s="100" t="str">
        <f t="shared" si="43"/>
        <v xml:space="preserve"> </v>
      </c>
      <c r="W396" s="101">
        <f t="shared" si="45"/>
        <v>24</v>
      </c>
      <c r="X396" s="102">
        <f t="shared" si="46"/>
        <v>0</v>
      </c>
      <c r="Y396" s="100" t="str">
        <f t="shared" si="47"/>
        <v xml:space="preserve"> </v>
      </c>
      <c r="Z396" s="100" t="str">
        <f t="shared" si="48"/>
        <v xml:space="preserve"> </v>
      </c>
    </row>
    <row r="397" spans="1:26">
      <c r="A397" s="100"/>
      <c r="B397" s="108" t="str">
        <f>IFERROR(VLOOKUP(Tablo516[[#This Row],[ÜRÜN KODU]],YMKODLARI!$A$1:$K$383,2,0)," ")</f>
        <v xml:space="preserve"> </v>
      </c>
      <c r="C397" s="99"/>
      <c r="D397" s="100"/>
      <c r="E397" s="101"/>
      <c r="F397" s="101"/>
      <c r="G397" s="100" t="str">
        <f>IFERROR(VLOOKUP(Tablo516[[#This Row],[ÜRÜN KODU]],YMKODLARI!$A$1:$K$383,3,0)," ")</f>
        <v xml:space="preserve"> </v>
      </c>
      <c r="H397" s="100" t="str">
        <f>IFERROR(VLOOKUP(Tablo516[[#This Row],[ÜRÜN KODU]],YMKODLARI!$A$1:$K$383,4,0)," ")</f>
        <v xml:space="preserve"> </v>
      </c>
      <c r="I397" s="100"/>
      <c r="J397" s="100" t="str">
        <f>IFERROR(VLOOKUP(Tablo516[[#This Row],[ÜRÜN KODU]],YMKODLARI!$A$1:$K$383,9,0)," ")</f>
        <v xml:space="preserve"> </v>
      </c>
      <c r="K397" s="100" t="str">
        <f>IFERROR(VLOOKUP(Tablo516[[#This Row],[BOYA KODU]],Tablo14[#All],4,0)," ")</f>
        <v xml:space="preserve"> </v>
      </c>
      <c r="L397" s="100" t="str">
        <f>IFERROR(VLOOKUP(Tablo516[[#This Row],[BOYA KODU]],Tablo14[#All],6,0)," ")</f>
        <v xml:space="preserve"> </v>
      </c>
      <c r="M397" s="100" t="str">
        <f t="shared" si="42"/>
        <v xml:space="preserve"> </v>
      </c>
      <c r="N397" s="100" t="str">
        <f>IFERROR(VLOOKUP(Tablo516[[#This Row],[ÜRÜN KODU]],YMKODLARI!$A$1:$K$383,8,0)," ")</f>
        <v xml:space="preserve"> </v>
      </c>
      <c r="O397" s="100" t="str">
        <f>IFERROR(VLOOKUP(Tablo516[[#This Row],[HAMMADDE KODU]],Tablo1[#All],3,0)," ")</f>
        <v xml:space="preserve"> </v>
      </c>
      <c r="P397" s="100" t="str">
        <f>IFERROR(VLOOKUP(Tablo516[[#This Row],[HAMMADDE KODU]],Tablo1[#All],4,0)," ")</f>
        <v xml:space="preserve"> </v>
      </c>
      <c r="Q397" s="100" t="str">
        <f>IFERROR(VLOOKUP(Tablo516[[#This Row],[ÜRÜN KODU]],YMKODLARI!$A$1:$K$383,5,0)," ")</f>
        <v xml:space="preserve"> </v>
      </c>
      <c r="R397" s="100" t="str">
        <f>IFERROR(VLOOKUP(Tablo516[[#This Row],[ÜRÜN KODU]],YMKODLARI!$A$1:$K$383,6,0)," ")</f>
        <v xml:space="preserve"> </v>
      </c>
      <c r="S397" s="100" t="str">
        <f>IFERROR(Tablo516[[#This Row],[YOLLUK HARİÇ BASKI GRAMI]]/Tablo516[[#This Row],[KALIP GÖZ ADEDİ]]," ")</f>
        <v xml:space="preserve"> </v>
      </c>
      <c r="T397" s="100" t="str">
        <f t="shared" si="44"/>
        <v xml:space="preserve"> </v>
      </c>
      <c r="U397" s="100"/>
      <c r="V397" s="100" t="str">
        <f t="shared" si="43"/>
        <v xml:space="preserve"> </v>
      </c>
      <c r="W397" s="101">
        <f t="shared" si="45"/>
        <v>24</v>
      </c>
      <c r="X397" s="102">
        <f t="shared" si="46"/>
        <v>0</v>
      </c>
      <c r="Y397" s="100" t="str">
        <f t="shared" si="47"/>
        <v xml:space="preserve"> </v>
      </c>
      <c r="Z397" s="100" t="str">
        <f t="shared" si="48"/>
        <v xml:space="preserve"> </v>
      </c>
    </row>
    <row r="398" spans="1:26">
      <c r="A398" s="100"/>
      <c r="B398" s="108" t="str">
        <f>IFERROR(VLOOKUP(Tablo516[[#This Row],[ÜRÜN KODU]],YMKODLARI!$A$1:$K$383,2,0)," ")</f>
        <v xml:space="preserve"> </v>
      </c>
      <c r="C398" s="99"/>
      <c r="D398" s="100"/>
      <c r="E398" s="101"/>
      <c r="F398" s="101"/>
      <c r="G398" s="100" t="str">
        <f>IFERROR(VLOOKUP(Tablo516[[#This Row],[ÜRÜN KODU]],YMKODLARI!$A$1:$K$383,3,0)," ")</f>
        <v xml:space="preserve"> </v>
      </c>
      <c r="H398" s="100" t="str">
        <f>IFERROR(VLOOKUP(Tablo516[[#This Row],[ÜRÜN KODU]],YMKODLARI!$A$1:$K$383,4,0)," ")</f>
        <v xml:space="preserve"> </v>
      </c>
      <c r="I398" s="100"/>
      <c r="J398" s="100" t="str">
        <f>IFERROR(VLOOKUP(Tablo516[[#This Row],[ÜRÜN KODU]],YMKODLARI!$A$1:$K$383,9,0)," ")</f>
        <v xml:space="preserve"> </v>
      </c>
      <c r="K398" s="100" t="str">
        <f>IFERROR(VLOOKUP(Tablo516[[#This Row],[BOYA KODU]],Tablo14[#All],4,0)," ")</f>
        <v xml:space="preserve"> </v>
      </c>
      <c r="L398" s="100" t="str">
        <f>IFERROR(VLOOKUP(Tablo516[[#This Row],[BOYA KODU]],Tablo14[#All],6,0)," ")</f>
        <v xml:space="preserve"> </v>
      </c>
      <c r="M398" s="100" t="str">
        <f t="shared" si="42"/>
        <v xml:space="preserve"> </v>
      </c>
      <c r="N398" s="100" t="str">
        <f>IFERROR(VLOOKUP(Tablo516[[#This Row],[ÜRÜN KODU]],YMKODLARI!$A$1:$K$383,8,0)," ")</f>
        <v xml:space="preserve"> </v>
      </c>
      <c r="O398" s="100" t="str">
        <f>IFERROR(VLOOKUP(Tablo516[[#This Row],[HAMMADDE KODU]],Tablo1[#All],3,0)," ")</f>
        <v xml:space="preserve"> </v>
      </c>
      <c r="P398" s="100" t="str">
        <f>IFERROR(VLOOKUP(Tablo516[[#This Row],[HAMMADDE KODU]],Tablo1[#All],4,0)," ")</f>
        <v xml:space="preserve"> </v>
      </c>
      <c r="Q398" s="100" t="str">
        <f>IFERROR(VLOOKUP(Tablo516[[#This Row],[ÜRÜN KODU]],YMKODLARI!$A$1:$K$383,5,0)," ")</f>
        <v xml:space="preserve"> </v>
      </c>
      <c r="R398" s="100" t="str">
        <f>IFERROR(VLOOKUP(Tablo516[[#This Row],[ÜRÜN KODU]],YMKODLARI!$A$1:$K$383,6,0)," ")</f>
        <v xml:space="preserve"> </v>
      </c>
      <c r="S398" s="100" t="str">
        <f>IFERROR(Tablo516[[#This Row],[YOLLUK HARİÇ BASKI GRAMI]]/Tablo516[[#This Row],[KALIP GÖZ ADEDİ]]," ")</f>
        <v xml:space="preserve"> </v>
      </c>
      <c r="T398" s="100" t="str">
        <f t="shared" si="44"/>
        <v xml:space="preserve"> </v>
      </c>
      <c r="U398" s="100"/>
      <c r="V398" s="100" t="str">
        <f t="shared" si="43"/>
        <v xml:space="preserve"> </v>
      </c>
      <c r="W398" s="101">
        <f t="shared" si="45"/>
        <v>24</v>
      </c>
      <c r="X398" s="102">
        <f t="shared" si="46"/>
        <v>0</v>
      </c>
      <c r="Y398" s="100" t="str">
        <f t="shared" si="47"/>
        <v xml:space="preserve"> </v>
      </c>
      <c r="Z398" s="100" t="str">
        <f t="shared" si="48"/>
        <v xml:space="preserve"> </v>
      </c>
    </row>
    <row r="399" spans="1:26">
      <c r="A399" s="100"/>
      <c r="B399" s="108" t="str">
        <f>IFERROR(VLOOKUP(Tablo516[[#This Row],[ÜRÜN KODU]],YMKODLARI!$A$1:$K$383,2,0)," ")</f>
        <v xml:space="preserve"> </v>
      </c>
      <c r="C399" s="99"/>
      <c r="D399" s="100"/>
      <c r="E399" s="101"/>
      <c r="F399" s="101"/>
      <c r="G399" s="100" t="str">
        <f>IFERROR(VLOOKUP(Tablo516[[#This Row],[ÜRÜN KODU]],YMKODLARI!$A$1:$K$383,3,0)," ")</f>
        <v xml:space="preserve"> </v>
      </c>
      <c r="H399" s="100" t="str">
        <f>IFERROR(VLOOKUP(Tablo516[[#This Row],[ÜRÜN KODU]],YMKODLARI!$A$1:$K$383,4,0)," ")</f>
        <v xml:space="preserve"> </v>
      </c>
      <c r="I399" s="100"/>
      <c r="J399" s="100" t="str">
        <f>IFERROR(VLOOKUP(Tablo516[[#This Row],[ÜRÜN KODU]],YMKODLARI!$A$1:$K$383,9,0)," ")</f>
        <v xml:space="preserve"> </v>
      </c>
      <c r="K399" s="100" t="str">
        <f>IFERROR(VLOOKUP(Tablo516[[#This Row],[BOYA KODU]],Tablo14[#All],4,0)," ")</f>
        <v xml:space="preserve"> </v>
      </c>
      <c r="L399" s="100" t="str">
        <f>IFERROR(VLOOKUP(Tablo516[[#This Row],[BOYA KODU]],Tablo14[#All],6,0)," ")</f>
        <v xml:space="preserve"> </v>
      </c>
      <c r="M399" s="100" t="str">
        <f t="shared" si="42"/>
        <v xml:space="preserve"> </v>
      </c>
      <c r="N399" s="100" t="str">
        <f>IFERROR(VLOOKUP(Tablo516[[#This Row],[ÜRÜN KODU]],YMKODLARI!$A$1:$K$383,8,0)," ")</f>
        <v xml:space="preserve"> </v>
      </c>
      <c r="O399" s="100" t="str">
        <f>IFERROR(VLOOKUP(Tablo516[[#This Row],[HAMMADDE KODU]],Tablo1[#All],3,0)," ")</f>
        <v xml:space="preserve"> </v>
      </c>
      <c r="P399" s="100" t="str">
        <f>IFERROR(VLOOKUP(Tablo516[[#This Row],[HAMMADDE KODU]],Tablo1[#All],4,0)," ")</f>
        <v xml:space="preserve"> </v>
      </c>
      <c r="Q399" s="100" t="str">
        <f>IFERROR(VLOOKUP(Tablo516[[#This Row],[ÜRÜN KODU]],YMKODLARI!$A$1:$K$383,5,0)," ")</f>
        <v xml:space="preserve"> </v>
      </c>
      <c r="R399" s="100" t="str">
        <f>IFERROR(VLOOKUP(Tablo516[[#This Row],[ÜRÜN KODU]],YMKODLARI!$A$1:$K$383,6,0)," ")</f>
        <v xml:space="preserve"> </v>
      </c>
      <c r="S399" s="100" t="str">
        <f>IFERROR(Tablo516[[#This Row],[YOLLUK HARİÇ BASKI GRAMI]]/Tablo516[[#This Row],[KALIP GÖZ ADEDİ]]," ")</f>
        <v xml:space="preserve"> </v>
      </c>
      <c r="T399" s="100" t="str">
        <f t="shared" si="44"/>
        <v xml:space="preserve"> </v>
      </c>
      <c r="U399" s="100"/>
      <c r="V399" s="100" t="str">
        <f t="shared" si="43"/>
        <v xml:space="preserve"> </v>
      </c>
      <c r="W399" s="101">
        <f t="shared" si="45"/>
        <v>24</v>
      </c>
      <c r="X399" s="102">
        <f t="shared" si="46"/>
        <v>0</v>
      </c>
      <c r="Y399" s="100" t="str">
        <f t="shared" si="47"/>
        <v xml:space="preserve"> </v>
      </c>
      <c r="Z399" s="100" t="str">
        <f t="shared" si="48"/>
        <v xml:space="preserve"> </v>
      </c>
    </row>
    <row r="400" spans="1:26">
      <c r="A400" s="100"/>
      <c r="B400" s="108" t="str">
        <f>IFERROR(VLOOKUP(Tablo516[[#This Row],[ÜRÜN KODU]],YMKODLARI!$A$1:$K$383,2,0)," ")</f>
        <v xml:space="preserve"> </v>
      </c>
      <c r="C400" s="99"/>
      <c r="D400" s="100"/>
      <c r="E400" s="101"/>
      <c r="F400" s="101"/>
      <c r="G400" s="100" t="str">
        <f>IFERROR(VLOOKUP(Tablo516[[#This Row],[ÜRÜN KODU]],YMKODLARI!$A$1:$K$383,3,0)," ")</f>
        <v xml:space="preserve"> </v>
      </c>
      <c r="H400" s="100" t="str">
        <f>IFERROR(VLOOKUP(Tablo516[[#This Row],[ÜRÜN KODU]],YMKODLARI!$A$1:$K$383,4,0)," ")</f>
        <v xml:space="preserve"> </v>
      </c>
      <c r="I400" s="100"/>
      <c r="J400" s="100" t="str">
        <f>IFERROR(VLOOKUP(Tablo516[[#This Row],[ÜRÜN KODU]],YMKODLARI!$A$1:$K$383,9,0)," ")</f>
        <v xml:space="preserve"> </v>
      </c>
      <c r="K400" s="100" t="str">
        <f>IFERROR(VLOOKUP(Tablo516[[#This Row],[BOYA KODU]],Tablo14[#All],4,0)," ")</f>
        <v xml:space="preserve"> </v>
      </c>
      <c r="L400" s="100" t="str">
        <f>IFERROR(VLOOKUP(Tablo516[[#This Row],[BOYA KODU]],Tablo14[#All],6,0)," ")</f>
        <v xml:space="preserve"> </v>
      </c>
      <c r="M400" s="100" t="str">
        <f t="shared" si="42"/>
        <v xml:space="preserve"> </v>
      </c>
      <c r="N400" s="100" t="str">
        <f>IFERROR(VLOOKUP(Tablo516[[#This Row],[ÜRÜN KODU]],YMKODLARI!$A$1:$K$383,8,0)," ")</f>
        <v xml:space="preserve"> </v>
      </c>
      <c r="O400" s="100" t="str">
        <f>IFERROR(VLOOKUP(Tablo516[[#This Row],[HAMMADDE KODU]],Tablo1[#All],3,0)," ")</f>
        <v xml:space="preserve"> </v>
      </c>
      <c r="P400" s="100" t="str">
        <f>IFERROR(VLOOKUP(Tablo516[[#This Row],[HAMMADDE KODU]],Tablo1[#All],4,0)," ")</f>
        <v xml:space="preserve"> </v>
      </c>
      <c r="Q400" s="100" t="str">
        <f>IFERROR(VLOOKUP(Tablo516[[#This Row],[ÜRÜN KODU]],YMKODLARI!$A$1:$K$383,5,0)," ")</f>
        <v xml:space="preserve"> </v>
      </c>
      <c r="R400" s="100" t="str">
        <f>IFERROR(VLOOKUP(Tablo516[[#This Row],[ÜRÜN KODU]],YMKODLARI!$A$1:$K$383,6,0)," ")</f>
        <v xml:space="preserve"> </v>
      </c>
      <c r="S400" s="100" t="str">
        <f>IFERROR(Tablo516[[#This Row],[YOLLUK HARİÇ BASKI GRAMI]]/Tablo516[[#This Row],[KALIP GÖZ ADEDİ]]," ")</f>
        <v xml:space="preserve"> </v>
      </c>
      <c r="T400" s="100" t="str">
        <f t="shared" si="44"/>
        <v xml:space="preserve"> </v>
      </c>
      <c r="U400" s="100"/>
      <c r="V400" s="100" t="str">
        <f t="shared" si="43"/>
        <v xml:space="preserve"> </v>
      </c>
      <c r="W400" s="101">
        <f t="shared" si="45"/>
        <v>24</v>
      </c>
      <c r="X400" s="102">
        <f t="shared" si="46"/>
        <v>0</v>
      </c>
      <c r="Y400" s="100" t="str">
        <f t="shared" si="47"/>
        <v xml:space="preserve"> </v>
      </c>
      <c r="Z400" s="100" t="str">
        <f t="shared" si="48"/>
        <v xml:space="preserve"> </v>
      </c>
    </row>
    <row r="401" spans="1:26">
      <c r="A401" s="100"/>
      <c r="B401" s="108" t="str">
        <f>IFERROR(VLOOKUP(Tablo516[[#This Row],[ÜRÜN KODU]],YMKODLARI!$A$1:$K$383,2,0)," ")</f>
        <v xml:space="preserve"> </v>
      </c>
      <c r="C401" s="99"/>
      <c r="D401" s="100"/>
      <c r="E401" s="101"/>
      <c r="F401" s="101"/>
      <c r="G401" s="100" t="str">
        <f>IFERROR(VLOOKUP(Tablo516[[#This Row],[ÜRÜN KODU]],YMKODLARI!$A$1:$K$383,3,0)," ")</f>
        <v xml:space="preserve"> </v>
      </c>
      <c r="H401" s="100" t="str">
        <f>IFERROR(VLOOKUP(Tablo516[[#This Row],[ÜRÜN KODU]],YMKODLARI!$A$1:$K$383,4,0)," ")</f>
        <v xml:space="preserve"> </v>
      </c>
      <c r="I401" s="100"/>
      <c r="J401" s="100" t="str">
        <f>IFERROR(VLOOKUP(Tablo516[[#This Row],[ÜRÜN KODU]],YMKODLARI!$A$1:$K$383,9,0)," ")</f>
        <v xml:space="preserve"> </v>
      </c>
      <c r="K401" s="100" t="str">
        <f>IFERROR(VLOOKUP(Tablo516[[#This Row],[BOYA KODU]],Tablo14[#All],4,0)," ")</f>
        <v xml:space="preserve"> </v>
      </c>
      <c r="L401" s="100" t="str">
        <f>IFERROR(VLOOKUP(Tablo516[[#This Row],[BOYA KODU]],Tablo14[#All],6,0)," ")</f>
        <v xml:space="preserve"> </v>
      </c>
      <c r="M401" s="100" t="str">
        <f t="shared" si="42"/>
        <v xml:space="preserve"> </v>
      </c>
      <c r="N401" s="100" t="str">
        <f>IFERROR(VLOOKUP(Tablo516[[#This Row],[ÜRÜN KODU]],YMKODLARI!$A$1:$K$383,8,0)," ")</f>
        <v xml:space="preserve"> </v>
      </c>
      <c r="O401" s="100" t="str">
        <f>IFERROR(VLOOKUP(Tablo516[[#This Row],[HAMMADDE KODU]],Tablo1[#All],3,0)," ")</f>
        <v xml:space="preserve"> </v>
      </c>
      <c r="P401" s="100" t="str">
        <f>IFERROR(VLOOKUP(Tablo516[[#This Row],[HAMMADDE KODU]],Tablo1[#All],4,0)," ")</f>
        <v xml:space="preserve"> </v>
      </c>
      <c r="Q401" s="100" t="str">
        <f>IFERROR(VLOOKUP(Tablo516[[#This Row],[ÜRÜN KODU]],YMKODLARI!$A$1:$K$383,5,0)," ")</f>
        <v xml:space="preserve"> </v>
      </c>
      <c r="R401" s="100" t="str">
        <f>IFERROR(VLOOKUP(Tablo516[[#This Row],[ÜRÜN KODU]],YMKODLARI!$A$1:$K$383,6,0)," ")</f>
        <v xml:space="preserve"> </v>
      </c>
      <c r="S401" s="100" t="str">
        <f>IFERROR(Tablo516[[#This Row],[YOLLUK HARİÇ BASKI GRAMI]]/Tablo516[[#This Row],[KALIP GÖZ ADEDİ]]," ")</f>
        <v xml:space="preserve"> </v>
      </c>
      <c r="T401" s="100" t="str">
        <f t="shared" si="44"/>
        <v xml:space="preserve"> </v>
      </c>
      <c r="U401" s="100"/>
      <c r="V401" s="100" t="str">
        <f t="shared" si="43"/>
        <v xml:space="preserve"> </v>
      </c>
      <c r="W401" s="101">
        <f t="shared" si="45"/>
        <v>24</v>
      </c>
      <c r="X401" s="102">
        <f t="shared" si="46"/>
        <v>0</v>
      </c>
      <c r="Y401" s="100" t="str">
        <f t="shared" si="47"/>
        <v xml:space="preserve"> </v>
      </c>
      <c r="Z401" s="100" t="str">
        <f t="shared" si="48"/>
        <v xml:space="preserve"> </v>
      </c>
    </row>
    <row r="402" spans="1:26">
      <c r="A402" s="100"/>
      <c r="B402" s="108" t="str">
        <f>IFERROR(VLOOKUP(Tablo516[[#This Row],[ÜRÜN KODU]],YMKODLARI!$A$1:$K$383,2,0)," ")</f>
        <v xml:space="preserve"> </v>
      </c>
      <c r="C402" s="99"/>
      <c r="D402" s="100"/>
      <c r="E402" s="101"/>
      <c r="F402" s="101"/>
      <c r="G402" s="100" t="str">
        <f>IFERROR(VLOOKUP(Tablo516[[#This Row],[ÜRÜN KODU]],YMKODLARI!$A$1:$K$383,3,0)," ")</f>
        <v xml:space="preserve"> </v>
      </c>
      <c r="H402" s="100" t="str">
        <f>IFERROR(VLOOKUP(Tablo516[[#This Row],[ÜRÜN KODU]],YMKODLARI!$A$1:$K$383,4,0)," ")</f>
        <v xml:space="preserve"> </v>
      </c>
      <c r="I402" s="100"/>
      <c r="J402" s="100" t="str">
        <f>IFERROR(VLOOKUP(Tablo516[[#This Row],[ÜRÜN KODU]],YMKODLARI!$A$1:$K$383,9,0)," ")</f>
        <v xml:space="preserve"> </v>
      </c>
      <c r="K402" s="100" t="str">
        <f>IFERROR(VLOOKUP(Tablo516[[#This Row],[BOYA KODU]],Tablo14[#All],4,0)," ")</f>
        <v xml:space="preserve"> </v>
      </c>
      <c r="L402" s="100" t="str">
        <f>IFERROR(VLOOKUP(Tablo516[[#This Row],[BOYA KODU]],Tablo14[#All],6,0)," ")</f>
        <v xml:space="preserve"> </v>
      </c>
      <c r="M402" s="100" t="str">
        <f t="shared" si="42"/>
        <v xml:space="preserve"> </v>
      </c>
      <c r="N402" s="100" t="str">
        <f>IFERROR(VLOOKUP(Tablo516[[#This Row],[ÜRÜN KODU]],YMKODLARI!$A$1:$K$383,8,0)," ")</f>
        <v xml:space="preserve"> </v>
      </c>
      <c r="O402" s="100" t="str">
        <f>IFERROR(VLOOKUP(Tablo516[[#This Row],[HAMMADDE KODU]],Tablo1[#All],3,0)," ")</f>
        <v xml:space="preserve"> </v>
      </c>
      <c r="P402" s="100" t="str">
        <f>IFERROR(VLOOKUP(Tablo516[[#This Row],[HAMMADDE KODU]],Tablo1[#All],4,0)," ")</f>
        <v xml:space="preserve"> </v>
      </c>
      <c r="Q402" s="100" t="str">
        <f>IFERROR(VLOOKUP(Tablo516[[#This Row],[ÜRÜN KODU]],YMKODLARI!$A$1:$K$383,5,0)," ")</f>
        <v xml:space="preserve"> </v>
      </c>
      <c r="R402" s="100" t="str">
        <f>IFERROR(VLOOKUP(Tablo516[[#This Row],[ÜRÜN KODU]],YMKODLARI!$A$1:$K$383,6,0)," ")</f>
        <v xml:space="preserve"> </v>
      </c>
      <c r="S402" s="100" t="str">
        <f>IFERROR(Tablo516[[#This Row],[YOLLUK HARİÇ BASKI GRAMI]]/Tablo516[[#This Row],[KALIP GÖZ ADEDİ]]," ")</f>
        <v xml:space="preserve"> </v>
      </c>
      <c r="T402" s="100" t="str">
        <f t="shared" si="44"/>
        <v xml:space="preserve"> </v>
      </c>
      <c r="U402" s="100"/>
      <c r="V402" s="100" t="str">
        <f t="shared" si="43"/>
        <v xml:space="preserve"> </v>
      </c>
      <c r="W402" s="101">
        <f t="shared" si="45"/>
        <v>24</v>
      </c>
      <c r="X402" s="102">
        <f t="shared" si="46"/>
        <v>0</v>
      </c>
      <c r="Y402" s="100" t="str">
        <f t="shared" si="47"/>
        <v xml:space="preserve"> </v>
      </c>
      <c r="Z402" s="100" t="str">
        <f t="shared" si="48"/>
        <v xml:space="preserve"> </v>
      </c>
    </row>
    <row r="403" spans="1:26">
      <c r="A403" s="100"/>
      <c r="B403" s="108" t="str">
        <f>IFERROR(VLOOKUP(Tablo516[[#This Row],[ÜRÜN KODU]],YMKODLARI!$A$1:$K$383,2,0)," ")</f>
        <v xml:space="preserve"> </v>
      </c>
      <c r="C403" s="99"/>
      <c r="D403" s="100"/>
      <c r="E403" s="101"/>
      <c r="F403" s="101"/>
      <c r="G403" s="100" t="str">
        <f>IFERROR(VLOOKUP(Tablo516[[#This Row],[ÜRÜN KODU]],YMKODLARI!$A$1:$K$383,3,0)," ")</f>
        <v xml:space="preserve"> </v>
      </c>
      <c r="H403" s="100" t="str">
        <f>IFERROR(VLOOKUP(Tablo516[[#This Row],[ÜRÜN KODU]],YMKODLARI!$A$1:$K$383,4,0)," ")</f>
        <v xml:space="preserve"> </v>
      </c>
      <c r="I403" s="100"/>
      <c r="J403" s="100" t="str">
        <f>IFERROR(VLOOKUP(Tablo516[[#This Row],[ÜRÜN KODU]],YMKODLARI!$A$1:$K$383,9,0)," ")</f>
        <v xml:space="preserve"> </v>
      </c>
      <c r="K403" s="100" t="str">
        <f>IFERROR(VLOOKUP(Tablo516[[#This Row],[BOYA KODU]],Tablo14[#All],4,0)," ")</f>
        <v xml:space="preserve"> </v>
      </c>
      <c r="L403" s="100" t="str">
        <f>IFERROR(VLOOKUP(Tablo516[[#This Row],[BOYA KODU]],Tablo14[#All],6,0)," ")</f>
        <v xml:space="preserve"> </v>
      </c>
      <c r="M403" s="100" t="str">
        <f t="shared" si="42"/>
        <v xml:space="preserve"> </v>
      </c>
      <c r="N403" s="100" t="str">
        <f>IFERROR(VLOOKUP(Tablo516[[#This Row],[ÜRÜN KODU]],YMKODLARI!$A$1:$K$383,8,0)," ")</f>
        <v xml:space="preserve"> </v>
      </c>
      <c r="O403" s="100" t="str">
        <f>IFERROR(VLOOKUP(Tablo516[[#This Row],[HAMMADDE KODU]],Tablo1[#All],3,0)," ")</f>
        <v xml:space="preserve"> </v>
      </c>
      <c r="P403" s="100" t="str">
        <f>IFERROR(VLOOKUP(Tablo516[[#This Row],[HAMMADDE KODU]],Tablo1[#All],4,0)," ")</f>
        <v xml:space="preserve"> </v>
      </c>
      <c r="Q403" s="100" t="str">
        <f>IFERROR(VLOOKUP(Tablo516[[#This Row],[ÜRÜN KODU]],YMKODLARI!$A$1:$K$383,5,0)," ")</f>
        <v xml:space="preserve"> </v>
      </c>
      <c r="R403" s="100" t="str">
        <f>IFERROR(VLOOKUP(Tablo516[[#This Row],[ÜRÜN KODU]],YMKODLARI!$A$1:$K$383,6,0)," ")</f>
        <v xml:space="preserve"> </v>
      </c>
      <c r="S403" s="100" t="str">
        <f>IFERROR(Tablo516[[#This Row],[YOLLUK HARİÇ BASKI GRAMI]]/Tablo516[[#This Row],[KALIP GÖZ ADEDİ]]," ")</f>
        <v xml:space="preserve"> </v>
      </c>
      <c r="T403" s="100" t="str">
        <f t="shared" si="44"/>
        <v xml:space="preserve"> </v>
      </c>
      <c r="U403" s="100"/>
      <c r="V403" s="100" t="str">
        <f t="shared" si="43"/>
        <v xml:space="preserve"> </v>
      </c>
      <c r="W403" s="101">
        <f t="shared" si="45"/>
        <v>24</v>
      </c>
      <c r="X403" s="102">
        <f t="shared" si="46"/>
        <v>0</v>
      </c>
      <c r="Y403" s="100" t="str">
        <f t="shared" si="47"/>
        <v xml:space="preserve"> </v>
      </c>
      <c r="Z403" s="100" t="str">
        <f t="shared" si="48"/>
        <v xml:space="preserve"> </v>
      </c>
    </row>
    <row r="404" spans="1:26">
      <c r="A404" s="100"/>
      <c r="B404" s="108" t="str">
        <f>IFERROR(VLOOKUP(Tablo516[[#This Row],[ÜRÜN KODU]],YMKODLARI!$A$1:$K$383,2,0)," ")</f>
        <v xml:space="preserve"> </v>
      </c>
      <c r="C404" s="99"/>
      <c r="D404" s="100"/>
      <c r="E404" s="101"/>
      <c r="F404" s="101"/>
      <c r="G404" s="100" t="str">
        <f>IFERROR(VLOOKUP(Tablo516[[#This Row],[ÜRÜN KODU]],YMKODLARI!$A$1:$K$383,3,0)," ")</f>
        <v xml:space="preserve"> </v>
      </c>
      <c r="H404" s="100" t="str">
        <f>IFERROR(VLOOKUP(Tablo516[[#This Row],[ÜRÜN KODU]],YMKODLARI!$A$1:$K$383,4,0)," ")</f>
        <v xml:space="preserve"> </v>
      </c>
      <c r="I404" s="100"/>
      <c r="J404" s="100" t="str">
        <f>IFERROR(VLOOKUP(Tablo516[[#This Row],[ÜRÜN KODU]],YMKODLARI!$A$1:$K$383,9,0)," ")</f>
        <v xml:space="preserve"> </v>
      </c>
      <c r="K404" s="100" t="str">
        <f>IFERROR(VLOOKUP(Tablo516[[#This Row],[BOYA KODU]],Tablo14[#All],4,0)," ")</f>
        <v xml:space="preserve"> </v>
      </c>
      <c r="L404" s="100" t="str">
        <f>IFERROR(VLOOKUP(Tablo516[[#This Row],[BOYA KODU]],Tablo14[#All],6,0)," ")</f>
        <v xml:space="preserve"> </v>
      </c>
      <c r="M404" s="100" t="str">
        <f t="shared" si="42"/>
        <v xml:space="preserve"> </v>
      </c>
      <c r="N404" s="100" t="str">
        <f>IFERROR(VLOOKUP(Tablo516[[#This Row],[ÜRÜN KODU]],YMKODLARI!$A$1:$K$383,8,0)," ")</f>
        <v xml:space="preserve"> </v>
      </c>
      <c r="O404" s="100" t="str">
        <f>IFERROR(VLOOKUP(Tablo516[[#This Row],[HAMMADDE KODU]],Tablo1[#All],3,0)," ")</f>
        <v xml:space="preserve"> </v>
      </c>
      <c r="P404" s="100" t="str">
        <f>IFERROR(VLOOKUP(Tablo516[[#This Row],[HAMMADDE KODU]],Tablo1[#All],4,0)," ")</f>
        <v xml:space="preserve"> </v>
      </c>
      <c r="Q404" s="100" t="str">
        <f>IFERROR(VLOOKUP(Tablo516[[#This Row],[ÜRÜN KODU]],YMKODLARI!$A$1:$K$383,5,0)," ")</f>
        <v xml:space="preserve"> </v>
      </c>
      <c r="R404" s="100" t="str">
        <f>IFERROR(VLOOKUP(Tablo516[[#This Row],[ÜRÜN KODU]],YMKODLARI!$A$1:$K$383,6,0)," ")</f>
        <v xml:space="preserve"> </v>
      </c>
      <c r="S404" s="100" t="str">
        <f>IFERROR(Tablo516[[#This Row],[YOLLUK HARİÇ BASKI GRAMI]]/Tablo516[[#This Row],[KALIP GÖZ ADEDİ]]," ")</f>
        <v xml:space="preserve"> </v>
      </c>
      <c r="T404" s="100" t="str">
        <f t="shared" si="44"/>
        <v xml:space="preserve"> </v>
      </c>
      <c r="U404" s="100"/>
      <c r="V404" s="100" t="str">
        <f t="shared" si="43"/>
        <v xml:space="preserve"> </v>
      </c>
      <c r="W404" s="101">
        <f t="shared" si="45"/>
        <v>24</v>
      </c>
      <c r="X404" s="102">
        <f t="shared" si="46"/>
        <v>0</v>
      </c>
      <c r="Y404" s="100" t="str">
        <f t="shared" si="47"/>
        <v xml:space="preserve"> </v>
      </c>
      <c r="Z404" s="100" t="str">
        <f t="shared" si="48"/>
        <v xml:space="preserve"> </v>
      </c>
    </row>
    <row r="405" spans="1:26">
      <c r="A405" s="100"/>
      <c r="B405" s="108" t="str">
        <f>IFERROR(VLOOKUP(Tablo516[[#This Row],[ÜRÜN KODU]],YMKODLARI!$A$1:$K$383,2,0)," ")</f>
        <v xml:space="preserve"> </v>
      </c>
      <c r="C405" s="99"/>
      <c r="D405" s="100"/>
      <c r="E405" s="101"/>
      <c r="F405" s="101"/>
      <c r="G405" s="100" t="str">
        <f>IFERROR(VLOOKUP(Tablo516[[#This Row],[ÜRÜN KODU]],YMKODLARI!$A$1:$K$383,3,0)," ")</f>
        <v xml:space="preserve"> </v>
      </c>
      <c r="H405" s="100" t="str">
        <f>IFERROR(VLOOKUP(Tablo516[[#This Row],[ÜRÜN KODU]],YMKODLARI!$A$1:$K$383,4,0)," ")</f>
        <v xml:space="preserve"> </v>
      </c>
      <c r="I405" s="100"/>
      <c r="J405" s="100" t="str">
        <f>IFERROR(VLOOKUP(Tablo516[[#This Row],[ÜRÜN KODU]],YMKODLARI!$A$1:$K$383,9,0)," ")</f>
        <v xml:space="preserve"> </v>
      </c>
      <c r="K405" s="100" t="str">
        <f>IFERROR(VLOOKUP(Tablo516[[#This Row],[BOYA KODU]],Tablo14[#All],4,0)," ")</f>
        <v xml:space="preserve"> </v>
      </c>
      <c r="L405" s="100" t="str">
        <f>IFERROR(VLOOKUP(Tablo516[[#This Row],[BOYA KODU]],Tablo14[#All],6,0)," ")</f>
        <v xml:space="preserve"> </v>
      </c>
      <c r="M405" s="100" t="str">
        <f t="shared" si="42"/>
        <v xml:space="preserve"> </v>
      </c>
      <c r="N405" s="100" t="str">
        <f>IFERROR(VLOOKUP(Tablo516[[#This Row],[ÜRÜN KODU]],YMKODLARI!$A$1:$K$383,8,0)," ")</f>
        <v xml:space="preserve"> </v>
      </c>
      <c r="O405" s="100" t="str">
        <f>IFERROR(VLOOKUP(Tablo516[[#This Row],[HAMMADDE KODU]],Tablo1[#All],3,0)," ")</f>
        <v xml:space="preserve"> </v>
      </c>
      <c r="P405" s="100" t="str">
        <f>IFERROR(VLOOKUP(Tablo516[[#This Row],[HAMMADDE KODU]],Tablo1[#All],4,0)," ")</f>
        <v xml:space="preserve"> </v>
      </c>
      <c r="Q405" s="100" t="str">
        <f>IFERROR(VLOOKUP(Tablo516[[#This Row],[ÜRÜN KODU]],YMKODLARI!$A$1:$K$383,5,0)," ")</f>
        <v xml:space="preserve"> </v>
      </c>
      <c r="R405" s="100" t="str">
        <f>IFERROR(VLOOKUP(Tablo516[[#This Row],[ÜRÜN KODU]],YMKODLARI!$A$1:$K$383,6,0)," ")</f>
        <v xml:space="preserve"> </v>
      </c>
      <c r="S405" s="100" t="str">
        <f>IFERROR(Tablo516[[#This Row],[YOLLUK HARİÇ BASKI GRAMI]]/Tablo516[[#This Row],[KALIP GÖZ ADEDİ]]," ")</f>
        <v xml:space="preserve"> </v>
      </c>
      <c r="T405" s="100" t="str">
        <f t="shared" si="44"/>
        <v xml:space="preserve"> </v>
      </c>
      <c r="U405" s="100"/>
      <c r="V405" s="100" t="str">
        <f t="shared" si="43"/>
        <v xml:space="preserve"> </v>
      </c>
      <c r="W405" s="101">
        <f t="shared" si="45"/>
        <v>24</v>
      </c>
      <c r="X405" s="102">
        <f t="shared" si="46"/>
        <v>0</v>
      </c>
      <c r="Y405" s="100" t="str">
        <f t="shared" si="47"/>
        <v xml:space="preserve"> </v>
      </c>
      <c r="Z405" s="100" t="str">
        <f t="shared" si="48"/>
        <v xml:space="preserve"> </v>
      </c>
    </row>
    <row r="406" spans="1:26">
      <c r="A406" s="100"/>
      <c r="B406" s="108" t="str">
        <f>IFERROR(VLOOKUP(Tablo516[[#This Row],[ÜRÜN KODU]],YMKODLARI!$A$1:$K$383,2,0)," ")</f>
        <v xml:space="preserve"> </v>
      </c>
      <c r="C406" s="99"/>
      <c r="D406" s="100"/>
      <c r="E406" s="101"/>
      <c r="F406" s="101"/>
      <c r="G406" s="100" t="str">
        <f>IFERROR(VLOOKUP(Tablo516[[#This Row],[ÜRÜN KODU]],YMKODLARI!$A$1:$K$383,3,0)," ")</f>
        <v xml:space="preserve"> </v>
      </c>
      <c r="H406" s="100" t="str">
        <f>IFERROR(VLOOKUP(Tablo516[[#This Row],[ÜRÜN KODU]],YMKODLARI!$A$1:$K$383,4,0)," ")</f>
        <v xml:space="preserve"> </v>
      </c>
      <c r="I406" s="100"/>
      <c r="J406" s="100" t="str">
        <f>IFERROR(VLOOKUP(Tablo516[[#This Row],[ÜRÜN KODU]],YMKODLARI!$A$1:$K$383,9,0)," ")</f>
        <v xml:space="preserve"> </v>
      </c>
      <c r="K406" s="100" t="str">
        <f>IFERROR(VLOOKUP(Tablo516[[#This Row],[BOYA KODU]],Tablo14[#All],4,0)," ")</f>
        <v xml:space="preserve"> </v>
      </c>
      <c r="L406" s="100" t="str">
        <f>IFERROR(VLOOKUP(Tablo516[[#This Row],[BOYA KODU]],Tablo14[#All],6,0)," ")</f>
        <v xml:space="preserve"> </v>
      </c>
      <c r="M406" s="100" t="str">
        <f t="shared" si="42"/>
        <v xml:space="preserve"> </v>
      </c>
      <c r="N406" s="100" t="str">
        <f>IFERROR(VLOOKUP(Tablo516[[#This Row],[ÜRÜN KODU]],YMKODLARI!$A$1:$K$383,8,0)," ")</f>
        <v xml:space="preserve"> </v>
      </c>
      <c r="O406" s="100" t="str">
        <f>IFERROR(VLOOKUP(Tablo516[[#This Row],[HAMMADDE KODU]],Tablo1[#All],3,0)," ")</f>
        <v xml:space="preserve"> </v>
      </c>
      <c r="P406" s="100" t="str">
        <f>IFERROR(VLOOKUP(Tablo516[[#This Row],[HAMMADDE KODU]],Tablo1[#All],4,0)," ")</f>
        <v xml:space="preserve"> </v>
      </c>
      <c r="Q406" s="100" t="str">
        <f>IFERROR(VLOOKUP(Tablo516[[#This Row],[ÜRÜN KODU]],YMKODLARI!$A$1:$K$383,5,0)," ")</f>
        <v xml:space="preserve"> </v>
      </c>
      <c r="R406" s="100" t="str">
        <f>IFERROR(VLOOKUP(Tablo516[[#This Row],[ÜRÜN KODU]],YMKODLARI!$A$1:$K$383,6,0)," ")</f>
        <v xml:space="preserve"> </v>
      </c>
      <c r="S406" s="100" t="str">
        <f>IFERROR(Tablo516[[#This Row],[YOLLUK HARİÇ BASKI GRAMI]]/Tablo516[[#This Row],[KALIP GÖZ ADEDİ]]," ")</f>
        <v xml:space="preserve"> </v>
      </c>
      <c r="T406" s="100" t="str">
        <f t="shared" si="44"/>
        <v xml:space="preserve"> </v>
      </c>
      <c r="U406" s="100"/>
      <c r="V406" s="100" t="str">
        <f t="shared" si="43"/>
        <v xml:space="preserve"> </v>
      </c>
      <c r="W406" s="101">
        <f t="shared" si="45"/>
        <v>24</v>
      </c>
      <c r="X406" s="102">
        <f t="shared" si="46"/>
        <v>0</v>
      </c>
      <c r="Y406" s="100" t="str">
        <f t="shared" si="47"/>
        <v xml:space="preserve"> </v>
      </c>
      <c r="Z406" s="100" t="str">
        <f t="shared" si="48"/>
        <v xml:space="preserve"> </v>
      </c>
    </row>
    <row r="407" spans="1:26">
      <c r="A407" s="100"/>
      <c r="B407" s="108" t="str">
        <f>IFERROR(VLOOKUP(Tablo516[[#This Row],[ÜRÜN KODU]],YMKODLARI!$A$1:$K$383,2,0)," ")</f>
        <v xml:space="preserve"> </v>
      </c>
      <c r="C407" s="99"/>
      <c r="D407" s="100"/>
      <c r="E407" s="101"/>
      <c r="F407" s="101"/>
      <c r="G407" s="100" t="str">
        <f>IFERROR(VLOOKUP(Tablo516[[#This Row],[ÜRÜN KODU]],YMKODLARI!$A$1:$K$383,3,0)," ")</f>
        <v xml:space="preserve"> </v>
      </c>
      <c r="H407" s="100" t="str">
        <f>IFERROR(VLOOKUP(Tablo516[[#This Row],[ÜRÜN KODU]],YMKODLARI!$A$1:$K$383,4,0)," ")</f>
        <v xml:space="preserve"> </v>
      </c>
      <c r="I407" s="100"/>
      <c r="J407" s="100" t="str">
        <f>IFERROR(VLOOKUP(Tablo516[[#This Row],[ÜRÜN KODU]],YMKODLARI!$A$1:$K$383,9,0)," ")</f>
        <v xml:space="preserve"> </v>
      </c>
      <c r="K407" s="100" t="str">
        <f>IFERROR(VLOOKUP(Tablo516[[#This Row],[BOYA KODU]],Tablo14[#All],4,0)," ")</f>
        <v xml:space="preserve"> </v>
      </c>
      <c r="L407" s="100" t="str">
        <f>IFERROR(VLOOKUP(Tablo516[[#This Row],[BOYA KODU]],Tablo14[#All],6,0)," ")</f>
        <v xml:space="preserve"> </v>
      </c>
      <c r="M407" s="100" t="str">
        <f t="shared" si="42"/>
        <v xml:space="preserve"> </v>
      </c>
      <c r="N407" s="100" t="str">
        <f>IFERROR(VLOOKUP(Tablo516[[#This Row],[ÜRÜN KODU]],YMKODLARI!$A$1:$K$383,8,0)," ")</f>
        <v xml:space="preserve"> </v>
      </c>
      <c r="O407" s="100" t="str">
        <f>IFERROR(VLOOKUP(Tablo516[[#This Row],[HAMMADDE KODU]],Tablo1[#All],3,0)," ")</f>
        <v xml:space="preserve"> </v>
      </c>
      <c r="P407" s="100" t="str">
        <f>IFERROR(VLOOKUP(Tablo516[[#This Row],[HAMMADDE KODU]],Tablo1[#All],4,0)," ")</f>
        <v xml:space="preserve"> </v>
      </c>
      <c r="Q407" s="100" t="str">
        <f>IFERROR(VLOOKUP(Tablo516[[#This Row],[ÜRÜN KODU]],YMKODLARI!$A$1:$K$383,5,0)," ")</f>
        <v xml:space="preserve"> </v>
      </c>
      <c r="R407" s="100" t="str">
        <f>IFERROR(VLOOKUP(Tablo516[[#This Row],[ÜRÜN KODU]],YMKODLARI!$A$1:$K$383,6,0)," ")</f>
        <v xml:space="preserve"> </v>
      </c>
      <c r="S407" s="100" t="str">
        <f>IFERROR(Tablo516[[#This Row],[YOLLUK HARİÇ BASKI GRAMI]]/Tablo516[[#This Row],[KALIP GÖZ ADEDİ]]," ")</f>
        <v xml:space="preserve"> </v>
      </c>
      <c r="T407" s="100" t="str">
        <f t="shared" si="44"/>
        <v xml:space="preserve"> </v>
      </c>
      <c r="U407" s="100"/>
      <c r="V407" s="100" t="str">
        <f t="shared" si="43"/>
        <v xml:space="preserve"> </v>
      </c>
      <c r="W407" s="101">
        <f t="shared" si="45"/>
        <v>24</v>
      </c>
      <c r="X407" s="102">
        <f t="shared" si="46"/>
        <v>0</v>
      </c>
      <c r="Y407" s="100" t="str">
        <f t="shared" si="47"/>
        <v xml:space="preserve"> </v>
      </c>
      <c r="Z407" s="100" t="str">
        <f t="shared" si="48"/>
        <v xml:space="preserve"> </v>
      </c>
    </row>
    <row r="408" spans="1:26">
      <c r="A408" s="100"/>
      <c r="B408" s="108" t="str">
        <f>IFERROR(VLOOKUP(Tablo516[[#This Row],[ÜRÜN KODU]],YMKODLARI!$A$1:$K$383,2,0)," ")</f>
        <v xml:space="preserve"> </v>
      </c>
      <c r="C408" s="99"/>
      <c r="D408" s="100"/>
      <c r="E408" s="101"/>
      <c r="F408" s="101"/>
      <c r="G408" s="100" t="str">
        <f>IFERROR(VLOOKUP(Tablo516[[#This Row],[ÜRÜN KODU]],YMKODLARI!$A$1:$K$383,3,0)," ")</f>
        <v xml:space="preserve"> </v>
      </c>
      <c r="H408" s="100" t="str">
        <f>IFERROR(VLOOKUP(Tablo516[[#This Row],[ÜRÜN KODU]],YMKODLARI!$A$1:$K$383,4,0)," ")</f>
        <v xml:space="preserve"> </v>
      </c>
      <c r="I408" s="100"/>
      <c r="J408" s="100" t="str">
        <f>IFERROR(VLOOKUP(Tablo516[[#This Row],[ÜRÜN KODU]],YMKODLARI!$A$1:$K$383,9,0)," ")</f>
        <v xml:space="preserve"> </v>
      </c>
      <c r="K408" s="100" t="str">
        <f>IFERROR(VLOOKUP(Tablo516[[#This Row],[BOYA KODU]],Tablo14[#All],4,0)," ")</f>
        <v xml:space="preserve"> </v>
      </c>
      <c r="L408" s="100" t="str">
        <f>IFERROR(VLOOKUP(Tablo516[[#This Row],[BOYA KODU]],Tablo14[#All],6,0)," ")</f>
        <v xml:space="preserve"> </v>
      </c>
      <c r="M408" s="100" t="str">
        <f t="shared" si="42"/>
        <v xml:space="preserve"> </v>
      </c>
      <c r="N408" s="100" t="str">
        <f>IFERROR(VLOOKUP(Tablo516[[#This Row],[ÜRÜN KODU]],YMKODLARI!$A$1:$K$383,8,0)," ")</f>
        <v xml:space="preserve"> </v>
      </c>
      <c r="O408" s="100" t="str">
        <f>IFERROR(VLOOKUP(Tablo516[[#This Row],[HAMMADDE KODU]],Tablo1[#All],3,0)," ")</f>
        <v xml:space="preserve"> </v>
      </c>
      <c r="P408" s="100" t="str">
        <f>IFERROR(VLOOKUP(Tablo516[[#This Row],[HAMMADDE KODU]],Tablo1[#All],4,0)," ")</f>
        <v xml:space="preserve"> </v>
      </c>
      <c r="Q408" s="100" t="str">
        <f>IFERROR(VLOOKUP(Tablo516[[#This Row],[ÜRÜN KODU]],YMKODLARI!$A$1:$K$383,5,0)," ")</f>
        <v xml:space="preserve"> </v>
      </c>
      <c r="R408" s="100" t="str">
        <f>IFERROR(VLOOKUP(Tablo516[[#This Row],[ÜRÜN KODU]],YMKODLARI!$A$1:$K$383,6,0)," ")</f>
        <v xml:space="preserve"> </v>
      </c>
      <c r="S408" s="100" t="str">
        <f>IFERROR(Tablo516[[#This Row],[YOLLUK HARİÇ BASKI GRAMI]]/Tablo516[[#This Row],[KALIP GÖZ ADEDİ]]," ")</f>
        <v xml:space="preserve"> </v>
      </c>
      <c r="T408" s="100" t="str">
        <f t="shared" si="44"/>
        <v xml:space="preserve"> </v>
      </c>
      <c r="U408" s="100"/>
      <c r="V408" s="100" t="str">
        <f t="shared" si="43"/>
        <v xml:space="preserve"> </v>
      </c>
      <c r="W408" s="101">
        <f t="shared" si="45"/>
        <v>24</v>
      </c>
      <c r="X408" s="102">
        <f t="shared" si="46"/>
        <v>0</v>
      </c>
      <c r="Y408" s="100" t="str">
        <f t="shared" si="47"/>
        <v xml:space="preserve"> </v>
      </c>
      <c r="Z408" s="100" t="str">
        <f t="shared" si="48"/>
        <v xml:space="preserve"> </v>
      </c>
    </row>
    <row r="409" spans="1:26">
      <c r="A409" s="100"/>
      <c r="B409" s="108" t="str">
        <f>IFERROR(VLOOKUP(Tablo516[[#This Row],[ÜRÜN KODU]],YMKODLARI!$A$1:$K$383,2,0)," ")</f>
        <v xml:space="preserve"> </v>
      </c>
      <c r="C409" s="99"/>
      <c r="D409" s="100"/>
      <c r="E409" s="101"/>
      <c r="F409" s="101"/>
      <c r="G409" s="100" t="str">
        <f>IFERROR(VLOOKUP(Tablo516[[#This Row],[ÜRÜN KODU]],YMKODLARI!$A$1:$K$383,3,0)," ")</f>
        <v xml:space="preserve"> </v>
      </c>
      <c r="H409" s="100" t="str">
        <f>IFERROR(VLOOKUP(Tablo516[[#This Row],[ÜRÜN KODU]],YMKODLARI!$A$1:$K$383,4,0)," ")</f>
        <v xml:space="preserve"> </v>
      </c>
      <c r="I409" s="100"/>
      <c r="J409" s="100" t="str">
        <f>IFERROR(VLOOKUP(Tablo516[[#This Row],[ÜRÜN KODU]],YMKODLARI!$A$1:$K$383,9,0)," ")</f>
        <v xml:space="preserve"> </v>
      </c>
      <c r="K409" s="100" t="str">
        <f>IFERROR(VLOOKUP(Tablo516[[#This Row],[BOYA KODU]],Tablo14[#All],4,0)," ")</f>
        <v xml:space="preserve"> </v>
      </c>
      <c r="L409" s="100" t="str">
        <f>IFERROR(VLOOKUP(Tablo516[[#This Row],[BOYA KODU]],Tablo14[#All],6,0)," ")</f>
        <v xml:space="preserve"> </v>
      </c>
      <c r="M409" s="100" t="str">
        <f t="shared" si="42"/>
        <v xml:space="preserve"> </v>
      </c>
      <c r="N409" s="100" t="str">
        <f>IFERROR(VLOOKUP(Tablo516[[#This Row],[ÜRÜN KODU]],YMKODLARI!$A$1:$K$383,8,0)," ")</f>
        <v xml:space="preserve"> </v>
      </c>
      <c r="O409" s="100" t="str">
        <f>IFERROR(VLOOKUP(Tablo516[[#This Row],[HAMMADDE KODU]],Tablo1[#All],3,0)," ")</f>
        <v xml:space="preserve"> </v>
      </c>
      <c r="P409" s="100" t="str">
        <f>IFERROR(VLOOKUP(Tablo516[[#This Row],[HAMMADDE KODU]],Tablo1[#All],4,0)," ")</f>
        <v xml:space="preserve"> </v>
      </c>
      <c r="Q409" s="100" t="str">
        <f>IFERROR(VLOOKUP(Tablo516[[#This Row],[ÜRÜN KODU]],YMKODLARI!$A$1:$K$383,5,0)," ")</f>
        <v xml:space="preserve"> </v>
      </c>
      <c r="R409" s="100" t="str">
        <f>IFERROR(VLOOKUP(Tablo516[[#This Row],[ÜRÜN KODU]],YMKODLARI!$A$1:$K$383,6,0)," ")</f>
        <v xml:space="preserve"> </v>
      </c>
      <c r="S409" s="100" t="str">
        <f>IFERROR(Tablo516[[#This Row],[YOLLUK HARİÇ BASKI GRAMI]]/Tablo516[[#This Row],[KALIP GÖZ ADEDİ]]," ")</f>
        <v xml:space="preserve"> </v>
      </c>
      <c r="T409" s="100" t="str">
        <f t="shared" si="44"/>
        <v xml:space="preserve"> </v>
      </c>
      <c r="U409" s="100"/>
      <c r="V409" s="100" t="str">
        <f t="shared" si="43"/>
        <v xml:space="preserve"> </v>
      </c>
      <c r="W409" s="101">
        <f t="shared" si="45"/>
        <v>24</v>
      </c>
      <c r="X409" s="102">
        <f t="shared" si="46"/>
        <v>0</v>
      </c>
      <c r="Y409" s="100" t="str">
        <f t="shared" si="47"/>
        <v xml:space="preserve"> </v>
      </c>
      <c r="Z409" s="100" t="str">
        <f t="shared" si="48"/>
        <v xml:space="preserve"> </v>
      </c>
    </row>
    <row r="410" spans="1:26">
      <c r="A410" s="100"/>
      <c r="B410" s="108" t="str">
        <f>IFERROR(VLOOKUP(Tablo516[[#This Row],[ÜRÜN KODU]],YMKODLARI!$A$1:$K$383,2,0)," ")</f>
        <v xml:space="preserve"> </v>
      </c>
      <c r="C410" s="99"/>
      <c r="D410" s="100"/>
      <c r="E410" s="101"/>
      <c r="F410" s="101"/>
      <c r="G410" s="100" t="str">
        <f>IFERROR(VLOOKUP(Tablo516[[#This Row],[ÜRÜN KODU]],YMKODLARI!$A$1:$K$383,3,0)," ")</f>
        <v xml:space="preserve"> </v>
      </c>
      <c r="H410" s="100" t="str">
        <f>IFERROR(VLOOKUP(Tablo516[[#This Row],[ÜRÜN KODU]],YMKODLARI!$A$1:$K$383,4,0)," ")</f>
        <v xml:space="preserve"> </v>
      </c>
      <c r="I410" s="100"/>
      <c r="J410" s="100" t="str">
        <f>IFERROR(VLOOKUP(Tablo516[[#This Row],[ÜRÜN KODU]],YMKODLARI!$A$1:$K$383,9,0)," ")</f>
        <v xml:space="preserve"> </v>
      </c>
      <c r="K410" s="100" t="str">
        <f>IFERROR(VLOOKUP(Tablo516[[#This Row],[BOYA KODU]],Tablo14[#All],4,0)," ")</f>
        <v xml:space="preserve"> </v>
      </c>
      <c r="L410" s="100" t="str">
        <f>IFERROR(VLOOKUP(Tablo516[[#This Row],[BOYA KODU]],Tablo14[#All],6,0)," ")</f>
        <v xml:space="preserve"> </v>
      </c>
      <c r="M410" s="100" t="str">
        <f t="shared" si="42"/>
        <v xml:space="preserve"> </v>
      </c>
      <c r="N410" s="100" t="str">
        <f>IFERROR(VLOOKUP(Tablo516[[#This Row],[ÜRÜN KODU]],YMKODLARI!$A$1:$K$383,8,0)," ")</f>
        <v xml:space="preserve"> </v>
      </c>
      <c r="O410" s="100" t="str">
        <f>IFERROR(VLOOKUP(Tablo516[[#This Row],[HAMMADDE KODU]],Tablo1[#All],3,0)," ")</f>
        <v xml:space="preserve"> </v>
      </c>
      <c r="P410" s="100" t="str">
        <f>IFERROR(VLOOKUP(Tablo516[[#This Row],[HAMMADDE KODU]],Tablo1[#All],4,0)," ")</f>
        <v xml:space="preserve"> </v>
      </c>
      <c r="Q410" s="100" t="str">
        <f>IFERROR(VLOOKUP(Tablo516[[#This Row],[ÜRÜN KODU]],YMKODLARI!$A$1:$K$383,5,0)," ")</f>
        <v xml:space="preserve"> </v>
      </c>
      <c r="R410" s="100" t="str">
        <f>IFERROR(VLOOKUP(Tablo516[[#This Row],[ÜRÜN KODU]],YMKODLARI!$A$1:$K$383,6,0)," ")</f>
        <v xml:space="preserve"> </v>
      </c>
      <c r="S410" s="100" t="str">
        <f>IFERROR(Tablo516[[#This Row],[YOLLUK HARİÇ BASKI GRAMI]]/Tablo516[[#This Row],[KALIP GÖZ ADEDİ]]," ")</f>
        <v xml:space="preserve"> </v>
      </c>
      <c r="T410" s="100" t="str">
        <f t="shared" si="44"/>
        <v xml:space="preserve"> </v>
      </c>
      <c r="U410" s="100"/>
      <c r="V410" s="100" t="str">
        <f t="shared" si="43"/>
        <v xml:space="preserve"> </v>
      </c>
      <c r="W410" s="101">
        <f t="shared" si="45"/>
        <v>24</v>
      </c>
      <c r="X410" s="102">
        <f t="shared" si="46"/>
        <v>0</v>
      </c>
      <c r="Y410" s="100" t="str">
        <f t="shared" si="47"/>
        <v xml:space="preserve"> </v>
      </c>
      <c r="Z410" s="100" t="str">
        <f t="shared" si="48"/>
        <v xml:space="preserve"> </v>
      </c>
    </row>
    <row r="411" spans="1:26">
      <c r="A411" s="100"/>
      <c r="B411" s="108" t="str">
        <f>IFERROR(VLOOKUP(Tablo516[[#This Row],[ÜRÜN KODU]],YMKODLARI!$A$1:$K$383,2,0)," ")</f>
        <v xml:space="preserve"> </v>
      </c>
      <c r="C411" s="99"/>
      <c r="D411" s="100"/>
      <c r="E411" s="101"/>
      <c r="F411" s="101"/>
      <c r="G411" s="100" t="str">
        <f>IFERROR(VLOOKUP(Tablo516[[#This Row],[ÜRÜN KODU]],YMKODLARI!$A$1:$K$383,3,0)," ")</f>
        <v xml:space="preserve"> </v>
      </c>
      <c r="H411" s="100" t="str">
        <f>IFERROR(VLOOKUP(Tablo516[[#This Row],[ÜRÜN KODU]],YMKODLARI!$A$1:$K$383,4,0)," ")</f>
        <v xml:space="preserve"> </v>
      </c>
      <c r="I411" s="100"/>
      <c r="J411" s="100" t="str">
        <f>IFERROR(VLOOKUP(Tablo516[[#This Row],[ÜRÜN KODU]],YMKODLARI!$A$1:$K$383,9,0)," ")</f>
        <v xml:space="preserve"> </v>
      </c>
      <c r="K411" s="100" t="str">
        <f>IFERROR(VLOOKUP(Tablo516[[#This Row],[BOYA KODU]],Tablo14[#All],4,0)," ")</f>
        <v xml:space="preserve"> </v>
      </c>
      <c r="L411" s="100" t="str">
        <f>IFERROR(VLOOKUP(Tablo516[[#This Row],[BOYA KODU]],Tablo14[#All],6,0)," ")</f>
        <v xml:space="preserve"> </v>
      </c>
      <c r="M411" s="100" t="str">
        <f t="shared" si="42"/>
        <v xml:space="preserve"> </v>
      </c>
      <c r="N411" s="100" t="str">
        <f>IFERROR(VLOOKUP(Tablo516[[#This Row],[ÜRÜN KODU]],YMKODLARI!$A$1:$K$383,8,0)," ")</f>
        <v xml:space="preserve"> </v>
      </c>
      <c r="O411" s="100" t="str">
        <f>IFERROR(VLOOKUP(Tablo516[[#This Row],[HAMMADDE KODU]],Tablo1[#All],3,0)," ")</f>
        <v xml:space="preserve"> </v>
      </c>
      <c r="P411" s="100" t="str">
        <f>IFERROR(VLOOKUP(Tablo516[[#This Row],[HAMMADDE KODU]],Tablo1[#All],4,0)," ")</f>
        <v xml:space="preserve"> </v>
      </c>
      <c r="Q411" s="100" t="str">
        <f>IFERROR(VLOOKUP(Tablo516[[#This Row],[ÜRÜN KODU]],YMKODLARI!$A$1:$K$383,5,0)," ")</f>
        <v xml:space="preserve"> </v>
      </c>
      <c r="R411" s="100" t="str">
        <f>IFERROR(VLOOKUP(Tablo516[[#This Row],[ÜRÜN KODU]],YMKODLARI!$A$1:$K$383,6,0)," ")</f>
        <v xml:space="preserve"> </v>
      </c>
      <c r="S411" s="100" t="str">
        <f>IFERROR(Tablo516[[#This Row],[YOLLUK HARİÇ BASKI GRAMI]]/Tablo516[[#This Row],[KALIP GÖZ ADEDİ]]," ")</f>
        <v xml:space="preserve"> </v>
      </c>
      <c r="T411" s="100" t="str">
        <f t="shared" si="44"/>
        <v xml:space="preserve"> </v>
      </c>
      <c r="U411" s="100"/>
      <c r="V411" s="100" t="str">
        <f t="shared" si="43"/>
        <v xml:space="preserve"> </v>
      </c>
      <c r="W411" s="101">
        <f t="shared" si="45"/>
        <v>24</v>
      </c>
      <c r="X411" s="102">
        <f t="shared" si="46"/>
        <v>0</v>
      </c>
      <c r="Y411" s="100" t="str">
        <f t="shared" si="47"/>
        <v xml:space="preserve"> </v>
      </c>
      <c r="Z411" s="100" t="str">
        <f t="shared" si="48"/>
        <v xml:space="preserve"> </v>
      </c>
    </row>
    <row r="412" spans="1:26">
      <c r="A412" s="100"/>
      <c r="B412" s="108" t="str">
        <f>IFERROR(VLOOKUP(Tablo516[[#This Row],[ÜRÜN KODU]],YMKODLARI!$A$1:$K$383,2,0)," ")</f>
        <v xml:space="preserve"> </v>
      </c>
      <c r="C412" s="99"/>
      <c r="D412" s="100"/>
      <c r="E412" s="101"/>
      <c r="F412" s="101"/>
      <c r="G412" s="100" t="str">
        <f>IFERROR(VLOOKUP(Tablo516[[#This Row],[ÜRÜN KODU]],YMKODLARI!$A$1:$K$383,3,0)," ")</f>
        <v xml:space="preserve"> </v>
      </c>
      <c r="H412" s="100" t="str">
        <f>IFERROR(VLOOKUP(Tablo516[[#This Row],[ÜRÜN KODU]],YMKODLARI!$A$1:$K$383,4,0)," ")</f>
        <v xml:space="preserve"> </v>
      </c>
      <c r="I412" s="100"/>
      <c r="J412" s="100" t="str">
        <f>IFERROR(VLOOKUP(Tablo516[[#This Row],[ÜRÜN KODU]],YMKODLARI!$A$1:$K$383,9,0)," ")</f>
        <v xml:space="preserve"> </v>
      </c>
      <c r="K412" s="100" t="str">
        <f>IFERROR(VLOOKUP(Tablo516[[#This Row],[BOYA KODU]],Tablo14[#All],4,0)," ")</f>
        <v xml:space="preserve"> </v>
      </c>
      <c r="L412" s="100" t="str">
        <f>IFERROR(VLOOKUP(Tablo516[[#This Row],[BOYA KODU]],Tablo14[#All],6,0)," ")</f>
        <v xml:space="preserve"> </v>
      </c>
      <c r="M412" s="100" t="str">
        <f t="shared" si="42"/>
        <v xml:space="preserve"> </v>
      </c>
      <c r="N412" s="100" t="str">
        <f>IFERROR(VLOOKUP(Tablo516[[#This Row],[ÜRÜN KODU]],YMKODLARI!$A$1:$K$383,8,0)," ")</f>
        <v xml:space="preserve"> </v>
      </c>
      <c r="O412" s="100" t="str">
        <f>IFERROR(VLOOKUP(Tablo516[[#This Row],[HAMMADDE KODU]],Tablo1[#All],3,0)," ")</f>
        <v xml:space="preserve"> </v>
      </c>
      <c r="P412" s="100" t="str">
        <f>IFERROR(VLOOKUP(Tablo516[[#This Row],[HAMMADDE KODU]],Tablo1[#All],4,0)," ")</f>
        <v xml:space="preserve"> </v>
      </c>
      <c r="Q412" s="100" t="str">
        <f>IFERROR(VLOOKUP(Tablo516[[#This Row],[ÜRÜN KODU]],YMKODLARI!$A$1:$K$383,5,0)," ")</f>
        <v xml:space="preserve"> </v>
      </c>
      <c r="R412" s="100" t="str">
        <f>IFERROR(VLOOKUP(Tablo516[[#This Row],[ÜRÜN KODU]],YMKODLARI!$A$1:$K$383,6,0)," ")</f>
        <v xml:space="preserve"> </v>
      </c>
      <c r="S412" s="100" t="str">
        <f>IFERROR(Tablo516[[#This Row],[YOLLUK HARİÇ BASKI GRAMI]]/Tablo516[[#This Row],[KALIP GÖZ ADEDİ]]," ")</f>
        <v xml:space="preserve"> </v>
      </c>
      <c r="T412" s="100" t="str">
        <f t="shared" si="44"/>
        <v xml:space="preserve"> </v>
      </c>
      <c r="U412" s="100"/>
      <c r="V412" s="100" t="str">
        <f t="shared" si="43"/>
        <v xml:space="preserve"> </v>
      </c>
      <c r="W412" s="101">
        <f t="shared" si="45"/>
        <v>24</v>
      </c>
      <c r="X412" s="102">
        <f t="shared" si="46"/>
        <v>0</v>
      </c>
      <c r="Y412" s="100" t="str">
        <f t="shared" si="47"/>
        <v xml:space="preserve"> </v>
      </c>
      <c r="Z412" s="100" t="str">
        <f t="shared" si="48"/>
        <v xml:space="preserve"> </v>
      </c>
    </row>
    <row r="413" spans="1:26">
      <c r="A413" s="100"/>
      <c r="B413" s="108" t="str">
        <f>IFERROR(VLOOKUP(Tablo516[[#This Row],[ÜRÜN KODU]],YMKODLARI!$A$1:$K$383,2,0)," ")</f>
        <v xml:space="preserve"> </v>
      </c>
      <c r="C413" s="99"/>
      <c r="D413" s="100"/>
      <c r="E413" s="101"/>
      <c r="F413" s="101"/>
      <c r="G413" s="100" t="str">
        <f>IFERROR(VLOOKUP(Tablo516[[#This Row],[ÜRÜN KODU]],YMKODLARI!$A$1:$K$383,3,0)," ")</f>
        <v xml:space="preserve"> </v>
      </c>
      <c r="H413" s="100" t="str">
        <f>IFERROR(VLOOKUP(Tablo516[[#This Row],[ÜRÜN KODU]],YMKODLARI!$A$1:$K$383,4,0)," ")</f>
        <v xml:space="preserve"> </v>
      </c>
      <c r="I413" s="100"/>
      <c r="J413" s="100" t="str">
        <f>IFERROR(VLOOKUP(Tablo516[[#This Row],[ÜRÜN KODU]],YMKODLARI!$A$1:$K$383,9,0)," ")</f>
        <v xml:space="preserve"> </v>
      </c>
      <c r="K413" s="100" t="str">
        <f>IFERROR(VLOOKUP(Tablo516[[#This Row],[BOYA KODU]],Tablo14[#All],4,0)," ")</f>
        <v xml:space="preserve"> </v>
      </c>
      <c r="L413" s="100" t="str">
        <f>IFERROR(VLOOKUP(Tablo516[[#This Row],[BOYA KODU]],Tablo14[#All],6,0)," ")</f>
        <v xml:space="preserve"> </v>
      </c>
      <c r="M413" s="100" t="str">
        <f t="shared" si="42"/>
        <v xml:space="preserve"> </v>
      </c>
      <c r="N413" s="100" t="str">
        <f>IFERROR(VLOOKUP(Tablo516[[#This Row],[ÜRÜN KODU]],YMKODLARI!$A$1:$K$383,8,0)," ")</f>
        <v xml:space="preserve"> </v>
      </c>
      <c r="O413" s="100" t="str">
        <f>IFERROR(VLOOKUP(Tablo516[[#This Row],[HAMMADDE KODU]],Tablo1[#All],3,0)," ")</f>
        <v xml:space="preserve"> </v>
      </c>
      <c r="P413" s="100" t="str">
        <f>IFERROR(VLOOKUP(Tablo516[[#This Row],[HAMMADDE KODU]],Tablo1[#All],4,0)," ")</f>
        <v xml:space="preserve"> </v>
      </c>
      <c r="Q413" s="100" t="str">
        <f>IFERROR(VLOOKUP(Tablo516[[#This Row],[ÜRÜN KODU]],YMKODLARI!$A$1:$K$383,5,0)," ")</f>
        <v xml:space="preserve"> </v>
      </c>
      <c r="R413" s="100" t="str">
        <f>IFERROR(VLOOKUP(Tablo516[[#This Row],[ÜRÜN KODU]],YMKODLARI!$A$1:$K$383,6,0)," ")</f>
        <v xml:space="preserve"> </v>
      </c>
      <c r="S413" s="100" t="str">
        <f>IFERROR(Tablo516[[#This Row],[YOLLUK HARİÇ BASKI GRAMI]]/Tablo516[[#This Row],[KALIP GÖZ ADEDİ]]," ")</f>
        <v xml:space="preserve"> </v>
      </c>
      <c r="T413" s="100" t="str">
        <f t="shared" si="44"/>
        <v xml:space="preserve"> </v>
      </c>
      <c r="U413" s="100"/>
      <c r="V413" s="100" t="str">
        <f t="shared" si="43"/>
        <v xml:space="preserve"> </v>
      </c>
      <c r="W413" s="101">
        <f t="shared" si="45"/>
        <v>24</v>
      </c>
      <c r="X413" s="102">
        <f t="shared" si="46"/>
        <v>0</v>
      </c>
      <c r="Y413" s="100" t="str">
        <f t="shared" si="47"/>
        <v xml:space="preserve"> </v>
      </c>
      <c r="Z413" s="100" t="str">
        <f t="shared" si="48"/>
        <v xml:space="preserve"> </v>
      </c>
    </row>
    <row r="414" spans="1:26">
      <c r="A414" s="100"/>
      <c r="B414" s="108" t="str">
        <f>IFERROR(VLOOKUP(Tablo516[[#This Row],[ÜRÜN KODU]],YMKODLARI!$A$1:$K$383,2,0)," ")</f>
        <v xml:space="preserve"> </v>
      </c>
      <c r="C414" s="99"/>
      <c r="D414" s="100"/>
      <c r="E414" s="101"/>
      <c r="F414" s="101"/>
      <c r="G414" s="100" t="str">
        <f>IFERROR(VLOOKUP(Tablo516[[#This Row],[ÜRÜN KODU]],YMKODLARI!$A$1:$K$383,3,0)," ")</f>
        <v xml:space="preserve"> </v>
      </c>
      <c r="H414" s="100" t="str">
        <f>IFERROR(VLOOKUP(Tablo516[[#This Row],[ÜRÜN KODU]],YMKODLARI!$A$1:$K$383,4,0)," ")</f>
        <v xml:space="preserve"> </v>
      </c>
      <c r="I414" s="100"/>
      <c r="J414" s="100" t="str">
        <f>IFERROR(VLOOKUP(Tablo516[[#This Row],[ÜRÜN KODU]],YMKODLARI!$A$1:$K$383,9,0)," ")</f>
        <v xml:space="preserve"> </v>
      </c>
      <c r="K414" s="100" t="str">
        <f>IFERROR(VLOOKUP(Tablo516[[#This Row],[BOYA KODU]],Tablo14[#All],4,0)," ")</f>
        <v xml:space="preserve"> </v>
      </c>
      <c r="L414" s="100" t="str">
        <f>IFERROR(VLOOKUP(Tablo516[[#This Row],[BOYA KODU]],Tablo14[#All],6,0)," ")</f>
        <v xml:space="preserve"> </v>
      </c>
      <c r="M414" s="100" t="str">
        <f t="shared" si="42"/>
        <v xml:space="preserve"> </v>
      </c>
      <c r="N414" s="100" t="str">
        <f>IFERROR(VLOOKUP(Tablo516[[#This Row],[ÜRÜN KODU]],YMKODLARI!$A$1:$K$383,8,0)," ")</f>
        <v xml:space="preserve"> </v>
      </c>
      <c r="O414" s="100" t="str">
        <f>IFERROR(VLOOKUP(Tablo516[[#This Row],[HAMMADDE KODU]],Tablo1[#All],3,0)," ")</f>
        <v xml:space="preserve"> </v>
      </c>
      <c r="P414" s="100" t="str">
        <f>IFERROR(VLOOKUP(Tablo516[[#This Row],[HAMMADDE KODU]],Tablo1[#All],4,0)," ")</f>
        <v xml:space="preserve"> </v>
      </c>
      <c r="Q414" s="100" t="str">
        <f>IFERROR(VLOOKUP(Tablo516[[#This Row],[ÜRÜN KODU]],YMKODLARI!$A$1:$K$383,5,0)," ")</f>
        <v xml:space="preserve"> </v>
      </c>
      <c r="R414" s="100" t="str">
        <f>IFERROR(VLOOKUP(Tablo516[[#This Row],[ÜRÜN KODU]],YMKODLARI!$A$1:$K$383,6,0)," ")</f>
        <v xml:space="preserve"> </v>
      </c>
      <c r="S414" s="100" t="str">
        <f>IFERROR(Tablo516[[#This Row],[YOLLUK HARİÇ BASKI GRAMI]]/Tablo516[[#This Row],[KALIP GÖZ ADEDİ]]," ")</f>
        <v xml:space="preserve"> </v>
      </c>
      <c r="T414" s="100" t="str">
        <f t="shared" si="44"/>
        <v xml:space="preserve"> </v>
      </c>
      <c r="U414" s="100"/>
      <c r="V414" s="100" t="str">
        <f t="shared" si="43"/>
        <v xml:space="preserve"> </v>
      </c>
      <c r="W414" s="101">
        <f t="shared" si="45"/>
        <v>24</v>
      </c>
      <c r="X414" s="102">
        <f t="shared" si="46"/>
        <v>0</v>
      </c>
      <c r="Y414" s="100" t="str">
        <f t="shared" si="47"/>
        <v xml:space="preserve"> </v>
      </c>
      <c r="Z414" s="100" t="str">
        <f t="shared" si="48"/>
        <v xml:space="preserve"> </v>
      </c>
    </row>
    <row r="415" spans="1:26">
      <c r="A415" s="100"/>
      <c r="B415" s="108" t="str">
        <f>IFERROR(VLOOKUP(Tablo516[[#This Row],[ÜRÜN KODU]],YMKODLARI!$A$1:$K$383,2,0)," ")</f>
        <v xml:space="preserve"> </v>
      </c>
      <c r="C415" s="99"/>
      <c r="D415" s="100"/>
      <c r="E415" s="101"/>
      <c r="F415" s="101"/>
      <c r="G415" s="100" t="str">
        <f>IFERROR(VLOOKUP(Tablo516[[#This Row],[ÜRÜN KODU]],YMKODLARI!$A$1:$K$383,3,0)," ")</f>
        <v xml:space="preserve"> </v>
      </c>
      <c r="H415" s="100" t="str">
        <f>IFERROR(VLOOKUP(Tablo516[[#This Row],[ÜRÜN KODU]],YMKODLARI!$A$1:$K$383,4,0)," ")</f>
        <v xml:space="preserve"> </v>
      </c>
      <c r="I415" s="100"/>
      <c r="J415" s="100" t="str">
        <f>IFERROR(VLOOKUP(Tablo516[[#This Row],[ÜRÜN KODU]],YMKODLARI!$A$1:$K$383,9,0)," ")</f>
        <v xml:space="preserve"> </v>
      </c>
      <c r="K415" s="100" t="str">
        <f>IFERROR(VLOOKUP(Tablo516[[#This Row],[BOYA KODU]],Tablo14[#All],4,0)," ")</f>
        <v xml:space="preserve"> </v>
      </c>
      <c r="L415" s="100" t="str">
        <f>IFERROR(VLOOKUP(Tablo516[[#This Row],[BOYA KODU]],Tablo14[#All],6,0)," ")</f>
        <v xml:space="preserve"> </v>
      </c>
      <c r="M415" s="100" t="str">
        <f t="shared" si="42"/>
        <v xml:space="preserve"> </v>
      </c>
      <c r="N415" s="100" t="str">
        <f>IFERROR(VLOOKUP(Tablo516[[#This Row],[ÜRÜN KODU]],YMKODLARI!$A$1:$K$383,8,0)," ")</f>
        <v xml:space="preserve"> </v>
      </c>
      <c r="O415" s="100" t="str">
        <f>IFERROR(VLOOKUP(Tablo516[[#This Row],[HAMMADDE KODU]],Tablo1[#All],3,0)," ")</f>
        <v xml:space="preserve"> </v>
      </c>
      <c r="P415" s="100" t="str">
        <f>IFERROR(VLOOKUP(Tablo516[[#This Row],[HAMMADDE KODU]],Tablo1[#All],4,0)," ")</f>
        <v xml:space="preserve"> </v>
      </c>
      <c r="Q415" s="100" t="str">
        <f>IFERROR(VLOOKUP(Tablo516[[#This Row],[ÜRÜN KODU]],YMKODLARI!$A$1:$K$383,5,0)," ")</f>
        <v xml:space="preserve"> </v>
      </c>
      <c r="R415" s="100" t="str">
        <f>IFERROR(VLOOKUP(Tablo516[[#This Row],[ÜRÜN KODU]],YMKODLARI!$A$1:$K$383,6,0)," ")</f>
        <v xml:space="preserve"> </v>
      </c>
      <c r="S415" s="100" t="str">
        <f>IFERROR(Tablo516[[#This Row],[YOLLUK HARİÇ BASKI GRAMI]]/Tablo516[[#This Row],[KALIP GÖZ ADEDİ]]," ")</f>
        <v xml:space="preserve"> </v>
      </c>
      <c r="T415" s="100" t="str">
        <f t="shared" si="44"/>
        <v xml:space="preserve"> </v>
      </c>
      <c r="U415" s="100"/>
      <c r="V415" s="100" t="str">
        <f t="shared" si="43"/>
        <v xml:space="preserve"> </v>
      </c>
      <c r="W415" s="101">
        <f t="shared" si="45"/>
        <v>24</v>
      </c>
      <c r="X415" s="102">
        <f t="shared" si="46"/>
        <v>0</v>
      </c>
      <c r="Y415" s="100" t="str">
        <f t="shared" si="47"/>
        <v xml:space="preserve"> </v>
      </c>
      <c r="Z415" s="100" t="str">
        <f t="shared" si="48"/>
        <v xml:space="preserve"> </v>
      </c>
    </row>
    <row r="416" spans="1:26">
      <c r="A416" s="100"/>
      <c r="B416" s="108" t="str">
        <f>IFERROR(VLOOKUP(Tablo516[[#This Row],[ÜRÜN KODU]],YMKODLARI!$A$1:$K$383,2,0)," ")</f>
        <v xml:space="preserve"> </v>
      </c>
      <c r="C416" s="99"/>
      <c r="D416" s="100"/>
      <c r="E416" s="101"/>
      <c r="F416" s="101"/>
      <c r="G416" s="100" t="str">
        <f>IFERROR(VLOOKUP(Tablo516[[#This Row],[ÜRÜN KODU]],YMKODLARI!$A$1:$K$383,3,0)," ")</f>
        <v xml:space="preserve"> </v>
      </c>
      <c r="H416" s="100" t="str">
        <f>IFERROR(VLOOKUP(Tablo516[[#This Row],[ÜRÜN KODU]],YMKODLARI!$A$1:$K$383,4,0)," ")</f>
        <v xml:space="preserve"> </v>
      </c>
      <c r="I416" s="100"/>
      <c r="J416" s="100" t="str">
        <f>IFERROR(VLOOKUP(Tablo516[[#This Row],[ÜRÜN KODU]],YMKODLARI!$A$1:$K$383,9,0)," ")</f>
        <v xml:space="preserve"> </v>
      </c>
      <c r="K416" s="100" t="str">
        <f>IFERROR(VLOOKUP(Tablo516[[#This Row],[BOYA KODU]],Tablo14[#All],4,0)," ")</f>
        <v xml:space="preserve"> </v>
      </c>
      <c r="L416" s="100" t="str">
        <f>IFERROR(VLOOKUP(Tablo516[[#This Row],[BOYA KODU]],Tablo14[#All],6,0)," ")</f>
        <v xml:space="preserve"> </v>
      </c>
      <c r="M416" s="100" t="str">
        <f t="shared" si="42"/>
        <v xml:space="preserve"> </v>
      </c>
      <c r="N416" s="100" t="str">
        <f>IFERROR(VLOOKUP(Tablo516[[#This Row],[ÜRÜN KODU]],YMKODLARI!$A$1:$K$383,8,0)," ")</f>
        <v xml:space="preserve"> </v>
      </c>
      <c r="O416" s="100" t="str">
        <f>IFERROR(VLOOKUP(Tablo516[[#This Row],[HAMMADDE KODU]],Tablo1[#All],3,0)," ")</f>
        <v xml:space="preserve"> </v>
      </c>
      <c r="P416" s="100" t="str">
        <f>IFERROR(VLOOKUP(Tablo516[[#This Row],[HAMMADDE KODU]],Tablo1[#All],4,0)," ")</f>
        <v xml:space="preserve"> </v>
      </c>
      <c r="Q416" s="100" t="str">
        <f>IFERROR(VLOOKUP(Tablo516[[#This Row],[ÜRÜN KODU]],YMKODLARI!$A$1:$K$383,5,0)," ")</f>
        <v xml:space="preserve"> </v>
      </c>
      <c r="R416" s="100" t="str">
        <f>IFERROR(VLOOKUP(Tablo516[[#This Row],[ÜRÜN KODU]],YMKODLARI!$A$1:$K$383,6,0)," ")</f>
        <v xml:space="preserve"> </v>
      </c>
      <c r="S416" s="100" t="str">
        <f>IFERROR(Tablo516[[#This Row],[YOLLUK HARİÇ BASKI GRAMI]]/Tablo516[[#This Row],[KALIP GÖZ ADEDİ]]," ")</f>
        <v xml:space="preserve"> </v>
      </c>
      <c r="T416" s="100" t="str">
        <f t="shared" si="44"/>
        <v xml:space="preserve"> </v>
      </c>
      <c r="U416" s="100"/>
      <c r="V416" s="100" t="str">
        <f t="shared" si="43"/>
        <v xml:space="preserve"> </v>
      </c>
      <c r="W416" s="101">
        <f t="shared" si="45"/>
        <v>24</v>
      </c>
      <c r="X416" s="102">
        <f t="shared" si="46"/>
        <v>0</v>
      </c>
      <c r="Y416" s="100" t="str">
        <f t="shared" si="47"/>
        <v xml:space="preserve"> </v>
      </c>
      <c r="Z416" s="100" t="str">
        <f t="shared" si="48"/>
        <v xml:space="preserve"> </v>
      </c>
    </row>
    <row r="417" spans="1:26">
      <c r="A417" s="100"/>
      <c r="B417" s="108" t="str">
        <f>IFERROR(VLOOKUP(Tablo516[[#This Row],[ÜRÜN KODU]],YMKODLARI!$A$1:$K$383,2,0)," ")</f>
        <v xml:space="preserve"> </v>
      </c>
      <c r="C417" s="99"/>
      <c r="D417" s="100"/>
      <c r="E417" s="101"/>
      <c r="F417" s="101"/>
      <c r="G417" s="100" t="str">
        <f>IFERROR(VLOOKUP(Tablo516[[#This Row],[ÜRÜN KODU]],YMKODLARI!$A$1:$K$383,3,0)," ")</f>
        <v xml:space="preserve"> </v>
      </c>
      <c r="H417" s="100" t="str">
        <f>IFERROR(VLOOKUP(Tablo516[[#This Row],[ÜRÜN KODU]],YMKODLARI!$A$1:$K$383,4,0)," ")</f>
        <v xml:space="preserve"> </v>
      </c>
      <c r="I417" s="100"/>
      <c r="J417" s="100" t="str">
        <f>IFERROR(VLOOKUP(Tablo516[[#This Row],[ÜRÜN KODU]],YMKODLARI!$A$1:$K$383,9,0)," ")</f>
        <v xml:space="preserve"> </v>
      </c>
      <c r="K417" s="100" t="str">
        <f>IFERROR(VLOOKUP(Tablo516[[#This Row],[BOYA KODU]],Tablo14[#All],4,0)," ")</f>
        <v xml:space="preserve"> </v>
      </c>
      <c r="L417" s="100" t="str">
        <f>IFERROR(VLOOKUP(Tablo516[[#This Row],[BOYA KODU]],Tablo14[#All],6,0)," ")</f>
        <v xml:space="preserve"> </v>
      </c>
      <c r="M417" s="100" t="str">
        <f t="shared" si="42"/>
        <v xml:space="preserve"> </v>
      </c>
      <c r="N417" s="100" t="str">
        <f>IFERROR(VLOOKUP(Tablo516[[#This Row],[ÜRÜN KODU]],YMKODLARI!$A$1:$K$383,8,0)," ")</f>
        <v xml:space="preserve"> </v>
      </c>
      <c r="O417" s="100" t="str">
        <f>IFERROR(VLOOKUP(Tablo516[[#This Row],[HAMMADDE KODU]],Tablo1[#All],3,0)," ")</f>
        <v xml:space="preserve"> </v>
      </c>
      <c r="P417" s="100" t="str">
        <f>IFERROR(VLOOKUP(Tablo516[[#This Row],[HAMMADDE KODU]],Tablo1[#All],4,0)," ")</f>
        <v xml:space="preserve"> </v>
      </c>
      <c r="Q417" s="100" t="str">
        <f>IFERROR(VLOOKUP(Tablo516[[#This Row],[ÜRÜN KODU]],YMKODLARI!$A$1:$K$383,5,0)," ")</f>
        <v xml:space="preserve"> </v>
      </c>
      <c r="R417" s="100" t="str">
        <f>IFERROR(VLOOKUP(Tablo516[[#This Row],[ÜRÜN KODU]],YMKODLARI!$A$1:$K$383,6,0)," ")</f>
        <v xml:space="preserve"> </v>
      </c>
      <c r="S417" s="100" t="str">
        <f>IFERROR(Tablo516[[#This Row],[YOLLUK HARİÇ BASKI GRAMI]]/Tablo516[[#This Row],[KALIP GÖZ ADEDİ]]," ")</f>
        <v xml:space="preserve"> </v>
      </c>
      <c r="T417" s="100" t="str">
        <f t="shared" si="44"/>
        <v xml:space="preserve"> </v>
      </c>
      <c r="U417" s="100"/>
      <c r="V417" s="100" t="str">
        <f t="shared" si="43"/>
        <v xml:space="preserve"> </v>
      </c>
      <c r="W417" s="101">
        <f t="shared" si="45"/>
        <v>24</v>
      </c>
      <c r="X417" s="102">
        <f t="shared" si="46"/>
        <v>0</v>
      </c>
      <c r="Y417" s="100" t="str">
        <f t="shared" si="47"/>
        <v xml:space="preserve"> </v>
      </c>
      <c r="Z417" s="100" t="str">
        <f t="shared" si="48"/>
        <v xml:space="preserve"> </v>
      </c>
    </row>
    <row r="418" spans="1:26">
      <c r="A418" s="100"/>
      <c r="B418" s="108" t="str">
        <f>IFERROR(VLOOKUP(Tablo516[[#This Row],[ÜRÜN KODU]],YMKODLARI!$A$1:$K$383,2,0)," ")</f>
        <v xml:space="preserve"> </v>
      </c>
      <c r="C418" s="99"/>
      <c r="D418" s="100"/>
      <c r="E418" s="101"/>
      <c r="F418" s="101"/>
      <c r="G418" s="100" t="str">
        <f>IFERROR(VLOOKUP(Tablo516[[#This Row],[ÜRÜN KODU]],YMKODLARI!$A$1:$K$383,3,0)," ")</f>
        <v xml:space="preserve"> </v>
      </c>
      <c r="H418" s="100" t="str">
        <f>IFERROR(VLOOKUP(Tablo516[[#This Row],[ÜRÜN KODU]],YMKODLARI!$A$1:$K$383,4,0)," ")</f>
        <v xml:space="preserve"> </v>
      </c>
      <c r="I418" s="100"/>
      <c r="J418" s="100" t="str">
        <f>IFERROR(VLOOKUP(Tablo516[[#This Row],[ÜRÜN KODU]],YMKODLARI!$A$1:$K$383,9,0)," ")</f>
        <v xml:space="preserve"> </v>
      </c>
      <c r="K418" s="100" t="str">
        <f>IFERROR(VLOOKUP(Tablo516[[#This Row],[BOYA KODU]],Tablo14[#All],4,0)," ")</f>
        <v xml:space="preserve"> </v>
      </c>
      <c r="L418" s="100" t="str">
        <f>IFERROR(VLOOKUP(Tablo516[[#This Row],[BOYA KODU]],Tablo14[#All],6,0)," ")</f>
        <v xml:space="preserve"> </v>
      </c>
      <c r="M418" s="100" t="str">
        <f t="shared" si="42"/>
        <v xml:space="preserve"> </v>
      </c>
      <c r="N418" s="100" t="str">
        <f>IFERROR(VLOOKUP(Tablo516[[#This Row],[ÜRÜN KODU]],YMKODLARI!$A$1:$K$383,8,0)," ")</f>
        <v xml:space="preserve"> </v>
      </c>
      <c r="O418" s="100" t="str">
        <f>IFERROR(VLOOKUP(Tablo516[[#This Row],[HAMMADDE KODU]],Tablo1[#All],3,0)," ")</f>
        <v xml:space="preserve"> </v>
      </c>
      <c r="P418" s="100" t="str">
        <f>IFERROR(VLOOKUP(Tablo516[[#This Row],[HAMMADDE KODU]],Tablo1[#All],4,0)," ")</f>
        <v xml:space="preserve"> </v>
      </c>
      <c r="Q418" s="100" t="str">
        <f>IFERROR(VLOOKUP(Tablo516[[#This Row],[ÜRÜN KODU]],YMKODLARI!$A$1:$K$383,5,0)," ")</f>
        <v xml:space="preserve"> </v>
      </c>
      <c r="R418" s="100" t="str">
        <f>IFERROR(VLOOKUP(Tablo516[[#This Row],[ÜRÜN KODU]],YMKODLARI!$A$1:$K$383,6,0)," ")</f>
        <v xml:space="preserve"> </v>
      </c>
      <c r="S418" s="100" t="str">
        <f>IFERROR(Tablo516[[#This Row],[YOLLUK HARİÇ BASKI GRAMI]]/Tablo516[[#This Row],[KALIP GÖZ ADEDİ]]," ")</f>
        <v xml:space="preserve"> </v>
      </c>
      <c r="T418" s="100" t="str">
        <f t="shared" si="44"/>
        <v xml:space="preserve"> </v>
      </c>
      <c r="U418" s="100"/>
      <c r="V418" s="100" t="str">
        <f t="shared" si="43"/>
        <v xml:space="preserve"> </v>
      </c>
      <c r="W418" s="101">
        <f t="shared" si="45"/>
        <v>24</v>
      </c>
      <c r="X418" s="102">
        <f t="shared" si="46"/>
        <v>0</v>
      </c>
      <c r="Y418" s="100" t="str">
        <f t="shared" si="47"/>
        <v xml:space="preserve"> </v>
      </c>
      <c r="Z418" s="100" t="str">
        <f t="shared" si="48"/>
        <v xml:space="preserve"> </v>
      </c>
    </row>
    <row r="419" spans="1:26">
      <c r="A419" s="100"/>
      <c r="B419" s="108" t="str">
        <f>IFERROR(VLOOKUP(Tablo516[[#This Row],[ÜRÜN KODU]],YMKODLARI!$A$1:$K$383,2,0)," ")</f>
        <v xml:space="preserve"> </v>
      </c>
      <c r="C419" s="99"/>
      <c r="D419" s="100"/>
      <c r="E419" s="101"/>
      <c r="F419" s="101"/>
      <c r="G419" s="100" t="str">
        <f>IFERROR(VLOOKUP(Tablo516[[#This Row],[ÜRÜN KODU]],YMKODLARI!$A$1:$K$383,3,0)," ")</f>
        <v xml:space="preserve"> </v>
      </c>
      <c r="H419" s="100" t="str">
        <f>IFERROR(VLOOKUP(Tablo516[[#This Row],[ÜRÜN KODU]],YMKODLARI!$A$1:$K$383,4,0)," ")</f>
        <v xml:space="preserve"> </v>
      </c>
      <c r="I419" s="100"/>
      <c r="J419" s="100" t="str">
        <f>IFERROR(VLOOKUP(Tablo516[[#This Row],[ÜRÜN KODU]],YMKODLARI!$A$1:$K$383,9,0)," ")</f>
        <v xml:space="preserve"> </v>
      </c>
      <c r="K419" s="100" t="str">
        <f>IFERROR(VLOOKUP(Tablo516[[#This Row],[BOYA KODU]],Tablo14[#All],4,0)," ")</f>
        <v xml:space="preserve"> </v>
      </c>
      <c r="L419" s="100" t="str">
        <f>IFERROR(VLOOKUP(Tablo516[[#This Row],[BOYA KODU]],Tablo14[#All],6,0)," ")</f>
        <v xml:space="preserve"> </v>
      </c>
      <c r="M419" s="100" t="str">
        <f t="shared" si="42"/>
        <v xml:space="preserve"> </v>
      </c>
      <c r="N419" s="100" t="str">
        <f>IFERROR(VLOOKUP(Tablo516[[#This Row],[ÜRÜN KODU]],YMKODLARI!$A$1:$K$383,8,0)," ")</f>
        <v xml:space="preserve"> </v>
      </c>
      <c r="O419" s="100" t="str">
        <f>IFERROR(VLOOKUP(Tablo516[[#This Row],[HAMMADDE KODU]],Tablo1[#All],3,0)," ")</f>
        <v xml:space="preserve"> </v>
      </c>
      <c r="P419" s="100" t="str">
        <f>IFERROR(VLOOKUP(Tablo516[[#This Row],[HAMMADDE KODU]],Tablo1[#All],4,0)," ")</f>
        <v xml:space="preserve"> </v>
      </c>
      <c r="Q419" s="100" t="str">
        <f>IFERROR(VLOOKUP(Tablo516[[#This Row],[ÜRÜN KODU]],YMKODLARI!$A$1:$K$383,5,0)," ")</f>
        <v xml:space="preserve"> </v>
      </c>
      <c r="R419" s="100" t="str">
        <f>IFERROR(VLOOKUP(Tablo516[[#This Row],[ÜRÜN KODU]],YMKODLARI!$A$1:$K$383,6,0)," ")</f>
        <v xml:space="preserve"> </v>
      </c>
      <c r="S419" s="100" t="str">
        <f>IFERROR(Tablo516[[#This Row],[YOLLUK HARİÇ BASKI GRAMI]]/Tablo516[[#This Row],[KALIP GÖZ ADEDİ]]," ")</f>
        <v xml:space="preserve"> </v>
      </c>
      <c r="T419" s="100" t="str">
        <f t="shared" si="44"/>
        <v xml:space="preserve"> </v>
      </c>
      <c r="U419" s="100"/>
      <c r="V419" s="100" t="str">
        <f t="shared" si="43"/>
        <v xml:space="preserve"> </v>
      </c>
      <c r="W419" s="101">
        <f t="shared" si="45"/>
        <v>24</v>
      </c>
      <c r="X419" s="102">
        <f t="shared" si="46"/>
        <v>0</v>
      </c>
      <c r="Y419" s="100" t="str">
        <f t="shared" si="47"/>
        <v xml:space="preserve"> </v>
      </c>
      <c r="Z419" s="100" t="str">
        <f t="shared" si="48"/>
        <v xml:space="preserve"> </v>
      </c>
    </row>
    <row r="420" spans="1:26">
      <c r="A420" s="100"/>
      <c r="B420" s="108" t="str">
        <f>IFERROR(VLOOKUP(Tablo516[[#This Row],[ÜRÜN KODU]],YMKODLARI!$A$1:$K$383,2,0)," ")</f>
        <v xml:space="preserve"> </v>
      </c>
      <c r="C420" s="99"/>
      <c r="D420" s="100"/>
      <c r="E420" s="101"/>
      <c r="F420" s="101"/>
      <c r="G420" s="100" t="str">
        <f>IFERROR(VLOOKUP(Tablo516[[#This Row],[ÜRÜN KODU]],YMKODLARI!$A$1:$K$383,3,0)," ")</f>
        <v xml:space="preserve"> </v>
      </c>
      <c r="H420" s="100" t="str">
        <f>IFERROR(VLOOKUP(Tablo516[[#This Row],[ÜRÜN KODU]],YMKODLARI!$A$1:$K$383,4,0)," ")</f>
        <v xml:space="preserve"> </v>
      </c>
      <c r="I420" s="100"/>
      <c r="J420" s="100" t="str">
        <f>IFERROR(VLOOKUP(Tablo516[[#This Row],[ÜRÜN KODU]],YMKODLARI!$A$1:$K$383,9,0)," ")</f>
        <v xml:space="preserve"> </v>
      </c>
      <c r="K420" s="100" t="str">
        <f>IFERROR(VLOOKUP(Tablo516[[#This Row],[BOYA KODU]],Tablo14[#All],4,0)," ")</f>
        <v xml:space="preserve"> </v>
      </c>
      <c r="L420" s="100" t="str">
        <f>IFERROR(VLOOKUP(Tablo516[[#This Row],[BOYA KODU]],Tablo14[#All],6,0)," ")</f>
        <v xml:space="preserve"> </v>
      </c>
      <c r="M420" s="100" t="str">
        <f t="shared" si="42"/>
        <v xml:space="preserve"> </v>
      </c>
      <c r="N420" s="100" t="str">
        <f>IFERROR(VLOOKUP(Tablo516[[#This Row],[ÜRÜN KODU]],YMKODLARI!$A$1:$K$383,8,0)," ")</f>
        <v xml:space="preserve"> </v>
      </c>
      <c r="O420" s="100" t="str">
        <f>IFERROR(VLOOKUP(Tablo516[[#This Row],[HAMMADDE KODU]],Tablo1[#All],3,0)," ")</f>
        <v xml:space="preserve"> </v>
      </c>
      <c r="P420" s="100" t="str">
        <f>IFERROR(VLOOKUP(Tablo516[[#This Row],[HAMMADDE KODU]],Tablo1[#All],4,0)," ")</f>
        <v xml:space="preserve"> </v>
      </c>
      <c r="Q420" s="100" t="str">
        <f>IFERROR(VLOOKUP(Tablo516[[#This Row],[ÜRÜN KODU]],YMKODLARI!$A$1:$K$383,5,0)," ")</f>
        <v xml:space="preserve"> </v>
      </c>
      <c r="R420" s="100" t="str">
        <f>IFERROR(VLOOKUP(Tablo516[[#This Row],[ÜRÜN KODU]],YMKODLARI!$A$1:$K$383,6,0)," ")</f>
        <v xml:space="preserve"> </v>
      </c>
      <c r="S420" s="100" t="str">
        <f>IFERROR(Tablo516[[#This Row],[YOLLUK HARİÇ BASKI GRAMI]]/Tablo516[[#This Row],[KALIP GÖZ ADEDİ]]," ")</f>
        <v xml:space="preserve"> </v>
      </c>
      <c r="T420" s="100" t="str">
        <f t="shared" si="44"/>
        <v xml:space="preserve"> </v>
      </c>
      <c r="U420" s="100"/>
      <c r="V420" s="100" t="str">
        <f t="shared" si="43"/>
        <v xml:space="preserve"> </v>
      </c>
      <c r="W420" s="101">
        <f t="shared" si="45"/>
        <v>24</v>
      </c>
      <c r="X420" s="102">
        <f t="shared" si="46"/>
        <v>0</v>
      </c>
      <c r="Y420" s="100" t="str">
        <f t="shared" si="47"/>
        <v xml:space="preserve"> </v>
      </c>
      <c r="Z420" s="100" t="str">
        <f t="shared" si="48"/>
        <v xml:space="preserve"> </v>
      </c>
    </row>
    <row r="421" spans="1:26">
      <c r="A421" s="100"/>
      <c r="B421" s="108" t="str">
        <f>IFERROR(VLOOKUP(Tablo516[[#This Row],[ÜRÜN KODU]],YMKODLARI!$A$1:$K$383,2,0)," ")</f>
        <v xml:space="preserve"> </v>
      </c>
      <c r="C421" s="99"/>
      <c r="D421" s="100"/>
      <c r="E421" s="101"/>
      <c r="F421" s="101"/>
      <c r="G421" s="100" t="str">
        <f>IFERROR(VLOOKUP(Tablo516[[#This Row],[ÜRÜN KODU]],YMKODLARI!$A$1:$K$383,3,0)," ")</f>
        <v xml:space="preserve"> </v>
      </c>
      <c r="H421" s="100" t="str">
        <f>IFERROR(VLOOKUP(Tablo516[[#This Row],[ÜRÜN KODU]],YMKODLARI!$A$1:$K$383,4,0)," ")</f>
        <v xml:space="preserve"> </v>
      </c>
      <c r="I421" s="100"/>
      <c r="J421" s="100" t="str">
        <f>IFERROR(VLOOKUP(Tablo516[[#This Row],[ÜRÜN KODU]],YMKODLARI!$A$1:$K$383,9,0)," ")</f>
        <v xml:space="preserve"> </v>
      </c>
      <c r="K421" s="100" t="str">
        <f>IFERROR(VLOOKUP(Tablo516[[#This Row],[BOYA KODU]],Tablo14[#All],4,0)," ")</f>
        <v xml:space="preserve"> </v>
      </c>
      <c r="L421" s="100" t="str">
        <f>IFERROR(VLOOKUP(Tablo516[[#This Row],[BOYA KODU]],Tablo14[#All],6,0)," ")</f>
        <v xml:space="preserve"> </v>
      </c>
      <c r="M421" s="100" t="str">
        <f t="shared" si="42"/>
        <v xml:space="preserve"> </v>
      </c>
      <c r="N421" s="100" t="str">
        <f>IFERROR(VLOOKUP(Tablo516[[#This Row],[ÜRÜN KODU]],YMKODLARI!$A$1:$K$383,8,0)," ")</f>
        <v xml:space="preserve"> </v>
      </c>
      <c r="O421" s="100" t="str">
        <f>IFERROR(VLOOKUP(Tablo516[[#This Row],[HAMMADDE KODU]],Tablo1[#All],3,0)," ")</f>
        <v xml:space="preserve"> </v>
      </c>
      <c r="P421" s="100" t="str">
        <f>IFERROR(VLOOKUP(Tablo516[[#This Row],[HAMMADDE KODU]],Tablo1[#All],4,0)," ")</f>
        <v xml:space="preserve"> </v>
      </c>
      <c r="Q421" s="100" t="str">
        <f>IFERROR(VLOOKUP(Tablo516[[#This Row],[ÜRÜN KODU]],YMKODLARI!$A$1:$K$383,5,0)," ")</f>
        <v xml:space="preserve"> </v>
      </c>
      <c r="R421" s="100" t="str">
        <f>IFERROR(VLOOKUP(Tablo516[[#This Row],[ÜRÜN KODU]],YMKODLARI!$A$1:$K$383,6,0)," ")</f>
        <v xml:space="preserve"> </v>
      </c>
      <c r="S421" s="100" t="str">
        <f>IFERROR(Tablo516[[#This Row],[YOLLUK HARİÇ BASKI GRAMI]]/Tablo516[[#This Row],[KALIP GÖZ ADEDİ]]," ")</f>
        <v xml:space="preserve"> </v>
      </c>
      <c r="T421" s="100" t="str">
        <f t="shared" si="44"/>
        <v xml:space="preserve"> </v>
      </c>
      <c r="U421" s="100"/>
      <c r="V421" s="100" t="str">
        <f t="shared" si="43"/>
        <v xml:space="preserve"> </v>
      </c>
      <c r="W421" s="101">
        <f t="shared" si="45"/>
        <v>24</v>
      </c>
      <c r="X421" s="102">
        <f t="shared" si="46"/>
        <v>0</v>
      </c>
      <c r="Y421" s="100" t="str">
        <f t="shared" si="47"/>
        <v xml:space="preserve"> </v>
      </c>
      <c r="Z421" s="100" t="str">
        <f t="shared" si="48"/>
        <v xml:space="preserve"> </v>
      </c>
    </row>
    <row r="422" spans="1:26">
      <c r="A422" s="100"/>
      <c r="B422" s="108" t="str">
        <f>IFERROR(VLOOKUP(Tablo516[[#This Row],[ÜRÜN KODU]],YMKODLARI!$A$1:$K$383,2,0)," ")</f>
        <v xml:space="preserve"> </v>
      </c>
      <c r="C422" s="99"/>
      <c r="D422" s="100"/>
      <c r="E422" s="101"/>
      <c r="F422" s="101"/>
      <c r="G422" s="100" t="str">
        <f>IFERROR(VLOOKUP(Tablo516[[#This Row],[ÜRÜN KODU]],YMKODLARI!$A$1:$K$383,3,0)," ")</f>
        <v xml:space="preserve"> </v>
      </c>
      <c r="H422" s="100" t="str">
        <f>IFERROR(VLOOKUP(Tablo516[[#This Row],[ÜRÜN KODU]],YMKODLARI!$A$1:$K$383,4,0)," ")</f>
        <v xml:space="preserve"> </v>
      </c>
      <c r="I422" s="100"/>
      <c r="J422" s="100" t="str">
        <f>IFERROR(VLOOKUP(Tablo516[[#This Row],[ÜRÜN KODU]],YMKODLARI!$A$1:$K$383,9,0)," ")</f>
        <v xml:space="preserve"> </v>
      </c>
      <c r="K422" s="100" t="str">
        <f>IFERROR(VLOOKUP(Tablo516[[#This Row],[BOYA KODU]],Tablo14[#All],4,0)," ")</f>
        <v xml:space="preserve"> </v>
      </c>
      <c r="L422" s="100" t="str">
        <f>IFERROR(VLOOKUP(Tablo516[[#This Row],[BOYA KODU]],Tablo14[#All],6,0)," ")</f>
        <v xml:space="preserve"> </v>
      </c>
      <c r="M422" s="100" t="str">
        <f t="shared" si="42"/>
        <v xml:space="preserve"> </v>
      </c>
      <c r="N422" s="100" t="str">
        <f>IFERROR(VLOOKUP(Tablo516[[#This Row],[ÜRÜN KODU]],YMKODLARI!$A$1:$K$383,8,0)," ")</f>
        <v xml:space="preserve"> </v>
      </c>
      <c r="O422" s="100" t="str">
        <f>IFERROR(VLOOKUP(Tablo516[[#This Row],[HAMMADDE KODU]],Tablo1[#All],3,0)," ")</f>
        <v xml:space="preserve"> </v>
      </c>
      <c r="P422" s="100" t="str">
        <f>IFERROR(VLOOKUP(Tablo516[[#This Row],[HAMMADDE KODU]],Tablo1[#All],4,0)," ")</f>
        <v xml:space="preserve"> </v>
      </c>
      <c r="Q422" s="100" t="str">
        <f>IFERROR(VLOOKUP(Tablo516[[#This Row],[ÜRÜN KODU]],YMKODLARI!$A$1:$K$383,5,0)," ")</f>
        <v xml:space="preserve"> </v>
      </c>
      <c r="R422" s="100" t="str">
        <f>IFERROR(VLOOKUP(Tablo516[[#This Row],[ÜRÜN KODU]],YMKODLARI!$A$1:$K$383,6,0)," ")</f>
        <v xml:space="preserve"> </v>
      </c>
      <c r="S422" s="100" t="str">
        <f>IFERROR(Tablo516[[#This Row],[YOLLUK HARİÇ BASKI GRAMI]]/Tablo516[[#This Row],[KALIP GÖZ ADEDİ]]," ")</f>
        <v xml:space="preserve"> </v>
      </c>
      <c r="T422" s="100" t="str">
        <f t="shared" si="44"/>
        <v xml:space="preserve"> </v>
      </c>
      <c r="U422" s="100"/>
      <c r="V422" s="100" t="str">
        <f t="shared" si="43"/>
        <v xml:space="preserve"> </v>
      </c>
      <c r="W422" s="101">
        <f t="shared" si="45"/>
        <v>24</v>
      </c>
      <c r="X422" s="102">
        <f t="shared" si="46"/>
        <v>0</v>
      </c>
      <c r="Y422" s="100" t="str">
        <f t="shared" si="47"/>
        <v xml:space="preserve"> </v>
      </c>
      <c r="Z422" s="100" t="str">
        <f t="shared" si="48"/>
        <v xml:space="preserve"> </v>
      </c>
    </row>
    <row r="423" spans="1:26">
      <c r="A423" s="100"/>
      <c r="B423" s="108" t="str">
        <f>IFERROR(VLOOKUP(Tablo516[[#This Row],[ÜRÜN KODU]],YMKODLARI!$A$1:$K$383,2,0)," ")</f>
        <v xml:space="preserve"> </v>
      </c>
      <c r="C423" s="99"/>
      <c r="D423" s="100"/>
      <c r="E423" s="101"/>
      <c r="F423" s="101"/>
      <c r="G423" s="100" t="str">
        <f>IFERROR(VLOOKUP(Tablo516[[#This Row],[ÜRÜN KODU]],YMKODLARI!$A$1:$K$383,3,0)," ")</f>
        <v xml:space="preserve"> </v>
      </c>
      <c r="H423" s="100" t="str">
        <f>IFERROR(VLOOKUP(Tablo516[[#This Row],[ÜRÜN KODU]],YMKODLARI!$A$1:$K$383,4,0)," ")</f>
        <v xml:space="preserve"> </v>
      </c>
      <c r="I423" s="100"/>
      <c r="J423" s="100" t="str">
        <f>IFERROR(VLOOKUP(Tablo516[[#This Row],[ÜRÜN KODU]],YMKODLARI!$A$1:$K$383,9,0)," ")</f>
        <v xml:space="preserve"> </v>
      </c>
      <c r="K423" s="100" t="str">
        <f>IFERROR(VLOOKUP(Tablo516[[#This Row],[BOYA KODU]],Tablo14[#All],4,0)," ")</f>
        <v xml:space="preserve"> </v>
      </c>
      <c r="L423" s="100" t="str">
        <f>IFERROR(VLOOKUP(Tablo516[[#This Row],[BOYA KODU]],Tablo14[#All],6,0)," ")</f>
        <v xml:space="preserve"> </v>
      </c>
      <c r="M423" s="100" t="str">
        <f t="shared" si="42"/>
        <v xml:space="preserve"> </v>
      </c>
      <c r="N423" s="100" t="str">
        <f>IFERROR(VLOOKUP(Tablo516[[#This Row],[ÜRÜN KODU]],YMKODLARI!$A$1:$K$383,8,0)," ")</f>
        <v xml:space="preserve"> </v>
      </c>
      <c r="O423" s="100" t="str">
        <f>IFERROR(VLOOKUP(Tablo516[[#This Row],[HAMMADDE KODU]],Tablo1[#All],3,0)," ")</f>
        <v xml:space="preserve"> </v>
      </c>
      <c r="P423" s="100" t="str">
        <f>IFERROR(VLOOKUP(Tablo516[[#This Row],[HAMMADDE KODU]],Tablo1[#All],4,0)," ")</f>
        <v xml:space="preserve"> </v>
      </c>
      <c r="Q423" s="100" t="str">
        <f>IFERROR(VLOOKUP(Tablo516[[#This Row],[ÜRÜN KODU]],YMKODLARI!$A$1:$K$383,5,0)," ")</f>
        <v xml:space="preserve"> </v>
      </c>
      <c r="R423" s="100" t="str">
        <f>IFERROR(VLOOKUP(Tablo516[[#This Row],[ÜRÜN KODU]],YMKODLARI!$A$1:$K$383,6,0)," ")</f>
        <v xml:space="preserve"> </v>
      </c>
      <c r="S423" s="100" t="str">
        <f>IFERROR(Tablo516[[#This Row],[YOLLUK HARİÇ BASKI GRAMI]]/Tablo516[[#This Row],[KALIP GÖZ ADEDİ]]," ")</f>
        <v xml:space="preserve"> </v>
      </c>
      <c r="T423" s="100" t="str">
        <f t="shared" si="44"/>
        <v xml:space="preserve"> </v>
      </c>
      <c r="U423" s="100"/>
      <c r="V423" s="100" t="str">
        <f t="shared" si="43"/>
        <v xml:space="preserve"> </v>
      </c>
      <c r="W423" s="101">
        <f t="shared" si="45"/>
        <v>24</v>
      </c>
      <c r="X423" s="102">
        <f t="shared" si="46"/>
        <v>0</v>
      </c>
      <c r="Y423" s="100" t="str">
        <f t="shared" si="47"/>
        <v xml:space="preserve"> </v>
      </c>
      <c r="Z423" s="100" t="str">
        <f t="shared" si="48"/>
        <v xml:space="preserve"> </v>
      </c>
    </row>
    <row r="424" spans="1:26">
      <c r="A424" s="100"/>
      <c r="B424" s="108" t="str">
        <f>IFERROR(VLOOKUP(Tablo516[[#This Row],[ÜRÜN KODU]],YMKODLARI!$A$1:$K$383,2,0)," ")</f>
        <v xml:space="preserve"> </v>
      </c>
      <c r="C424" s="99"/>
      <c r="D424" s="100"/>
      <c r="E424" s="101"/>
      <c r="F424" s="101"/>
      <c r="G424" s="100" t="str">
        <f>IFERROR(VLOOKUP(Tablo516[[#This Row],[ÜRÜN KODU]],YMKODLARI!$A$1:$K$383,3,0)," ")</f>
        <v xml:space="preserve"> </v>
      </c>
      <c r="H424" s="100" t="str">
        <f>IFERROR(VLOOKUP(Tablo516[[#This Row],[ÜRÜN KODU]],YMKODLARI!$A$1:$K$383,4,0)," ")</f>
        <v xml:space="preserve"> </v>
      </c>
      <c r="I424" s="100"/>
      <c r="J424" s="100" t="str">
        <f>IFERROR(VLOOKUP(Tablo516[[#This Row],[ÜRÜN KODU]],YMKODLARI!$A$1:$K$383,9,0)," ")</f>
        <v xml:space="preserve"> </v>
      </c>
      <c r="K424" s="100" t="str">
        <f>IFERROR(VLOOKUP(Tablo516[[#This Row],[BOYA KODU]],Tablo14[#All],4,0)," ")</f>
        <v xml:space="preserve"> </v>
      </c>
      <c r="L424" s="100" t="str">
        <f>IFERROR(VLOOKUP(Tablo516[[#This Row],[BOYA KODU]],Tablo14[#All],6,0)," ")</f>
        <v xml:space="preserve"> </v>
      </c>
      <c r="M424" s="100" t="str">
        <f t="shared" si="42"/>
        <v xml:space="preserve"> </v>
      </c>
      <c r="N424" s="100" t="str">
        <f>IFERROR(VLOOKUP(Tablo516[[#This Row],[ÜRÜN KODU]],YMKODLARI!$A$1:$K$383,8,0)," ")</f>
        <v xml:space="preserve"> </v>
      </c>
      <c r="O424" s="100" t="str">
        <f>IFERROR(VLOOKUP(Tablo516[[#This Row],[HAMMADDE KODU]],Tablo1[#All],3,0)," ")</f>
        <v xml:space="preserve"> </v>
      </c>
      <c r="P424" s="100" t="str">
        <f>IFERROR(VLOOKUP(Tablo516[[#This Row],[HAMMADDE KODU]],Tablo1[#All],4,0)," ")</f>
        <v xml:space="preserve"> </v>
      </c>
      <c r="Q424" s="100" t="str">
        <f>IFERROR(VLOOKUP(Tablo516[[#This Row],[ÜRÜN KODU]],YMKODLARI!$A$1:$K$383,5,0)," ")</f>
        <v xml:space="preserve"> </v>
      </c>
      <c r="R424" s="100" t="str">
        <f>IFERROR(VLOOKUP(Tablo516[[#This Row],[ÜRÜN KODU]],YMKODLARI!$A$1:$K$383,6,0)," ")</f>
        <v xml:space="preserve"> </v>
      </c>
      <c r="S424" s="100" t="str">
        <f>IFERROR(Tablo516[[#This Row],[YOLLUK HARİÇ BASKI GRAMI]]/Tablo516[[#This Row],[KALIP GÖZ ADEDİ]]," ")</f>
        <v xml:space="preserve"> </v>
      </c>
      <c r="T424" s="100" t="str">
        <f t="shared" si="44"/>
        <v xml:space="preserve"> </v>
      </c>
      <c r="U424" s="100"/>
      <c r="V424" s="100" t="str">
        <f t="shared" si="43"/>
        <v xml:space="preserve"> </v>
      </c>
      <c r="W424" s="101">
        <f t="shared" si="45"/>
        <v>24</v>
      </c>
      <c r="X424" s="102">
        <f t="shared" si="46"/>
        <v>0</v>
      </c>
      <c r="Y424" s="100" t="str">
        <f t="shared" si="47"/>
        <v xml:space="preserve"> </v>
      </c>
      <c r="Z424" s="100" t="str">
        <f t="shared" si="48"/>
        <v xml:space="preserve"> </v>
      </c>
    </row>
    <row r="425" spans="1:26">
      <c r="A425" s="100"/>
      <c r="B425" s="108" t="str">
        <f>IFERROR(VLOOKUP(Tablo516[[#This Row],[ÜRÜN KODU]],YMKODLARI!$A$1:$K$383,2,0)," ")</f>
        <v xml:space="preserve"> </v>
      </c>
      <c r="C425" s="99"/>
      <c r="D425" s="100"/>
      <c r="E425" s="101"/>
      <c r="F425" s="101"/>
      <c r="G425" s="100" t="str">
        <f>IFERROR(VLOOKUP(Tablo516[[#This Row],[ÜRÜN KODU]],YMKODLARI!$A$1:$K$383,3,0)," ")</f>
        <v xml:space="preserve"> </v>
      </c>
      <c r="H425" s="100" t="str">
        <f>IFERROR(VLOOKUP(Tablo516[[#This Row],[ÜRÜN KODU]],YMKODLARI!$A$1:$K$383,4,0)," ")</f>
        <v xml:space="preserve"> </v>
      </c>
      <c r="I425" s="100"/>
      <c r="J425" s="100" t="str">
        <f>IFERROR(VLOOKUP(Tablo516[[#This Row],[ÜRÜN KODU]],YMKODLARI!$A$1:$K$383,9,0)," ")</f>
        <v xml:space="preserve"> </v>
      </c>
      <c r="K425" s="100" t="str">
        <f>IFERROR(VLOOKUP(Tablo516[[#This Row],[BOYA KODU]],Tablo14[#All],4,0)," ")</f>
        <v xml:space="preserve"> </v>
      </c>
      <c r="L425" s="100" t="str">
        <f>IFERROR(VLOOKUP(Tablo516[[#This Row],[BOYA KODU]],Tablo14[#All],6,0)," ")</f>
        <v xml:space="preserve"> </v>
      </c>
      <c r="M425" s="100" t="str">
        <f t="shared" si="42"/>
        <v xml:space="preserve"> </v>
      </c>
      <c r="N425" s="100" t="str">
        <f>IFERROR(VLOOKUP(Tablo516[[#This Row],[ÜRÜN KODU]],YMKODLARI!$A$1:$K$383,8,0)," ")</f>
        <v xml:space="preserve"> </v>
      </c>
      <c r="O425" s="100" t="str">
        <f>IFERROR(VLOOKUP(Tablo516[[#This Row],[HAMMADDE KODU]],Tablo1[#All],3,0)," ")</f>
        <v xml:space="preserve"> </v>
      </c>
      <c r="P425" s="100" t="str">
        <f>IFERROR(VLOOKUP(Tablo516[[#This Row],[HAMMADDE KODU]],Tablo1[#All],4,0)," ")</f>
        <v xml:space="preserve"> </v>
      </c>
      <c r="Q425" s="100" t="str">
        <f>IFERROR(VLOOKUP(Tablo516[[#This Row],[ÜRÜN KODU]],YMKODLARI!$A$1:$K$383,5,0)," ")</f>
        <v xml:space="preserve"> </v>
      </c>
      <c r="R425" s="100" t="str">
        <f>IFERROR(VLOOKUP(Tablo516[[#This Row],[ÜRÜN KODU]],YMKODLARI!$A$1:$K$383,6,0)," ")</f>
        <v xml:space="preserve"> </v>
      </c>
      <c r="S425" s="100" t="str">
        <f>IFERROR(Tablo516[[#This Row],[YOLLUK HARİÇ BASKI GRAMI]]/Tablo516[[#This Row],[KALIP GÖZ ADEDİ]]," ")</f>
        <v xml:space="preserve"> </v>
      </c>
      <c r="T425" s="100" t="str">
        <f t="shared" si="44"/>
        <v xml:space="preserve"> </v>
      </c>
      <c r="U425" s="100"/>
      <c r="V425" s="100" t="str">
        <f t="shared" si="43"/>
        <v xml:space="preserve"> </v>
      </c>
      <c r="W425" s="101">
        <f t="shared" si="45"/>
        <v>24</v>
      </c>
      <c r="X425" s="102">
        <f t="shared" si="46"/>
        <v>0</v>
      </c>
      <c r="Y425" s="100" t="str">
        <f t="shared" si="47"/>
        <v xml:space="preserve"> </v>
      </c>
      <c r="Z425" s="100" t="str">
        <f t="shared" si="48"/>
        <v xml:space="preserve"> </v>
      </c>
    </row>
    <row r="426" spans="1:26">
      <c r="A426" s="100"/>
      <c r="B426" s="108" t="str">
        <f>IFERROR(VLOOKUP(Tablo516[[#This Row],[ÜRÜN KODU]],YMKODLARI!$A$1:$K$383,2,0)," ")</f>
        <v xml:space="preserve"> </v>
      </c>
      <c r="C426" s="99"/>
      <c r="D426" s="100"/>
      <c r="E426" s="101"/>
      <c r="F426" s="101"/>
      <c r="G426" s="100" t="str">
        <f>IFERROR(VLOOKUP(Tablo516[[#This Row],[ÜRÜN KODU]],YMKODLARI!$A$1:$K$383,3,0)," ")</f>
        <v xml:space="preserve"> </v>
      </c>
      <c r="H426" s="100" t="str">
        <f>IFERROR(VLOOKUP(Tablo516[[#This Row],[ÜRÜN KODU]],YMKODLARI!$A$1:$K$383,4,0)," ")</f>
        <v xml:space="preserve"> </v>
      </c>
      <c r="I426" s="100"/>
      <c r="J426" s="100" t="str">
        <f>IFERROR(VLOOKUP(Tablo516[[#This Row],[ÜRÜN KODU]],YMKODLARI!$A$1:$K$383,9,0)," ")</f>
        <v xml:space="preserve"> </v>
      </c>
      <c r="K426" s="100" t="str">
        <f>IFERROR(VLOOKUP(Tablo516[[#This Row],[BOYA KODU]],Tablo14[#All],4,0)," ")</f>
        <v xml:space="preserve"> </v>
      </c>
      <c r="L426" s="100" t="str">
        <f>IFERROR(VLOOKUP(Tablo516[[#This Row],[BOYA KODU]],Tablo14[#All],6,0)," ")</f>
        <v xml:space="preserve"> </v>
      </c>
      <c r="M426" s="100" t="str">
        <f t="shared" si="42"/>
        <v xml:space="preserve"> </v>
      </c>
      <c r="N426" s="100" t="str">
        <f>IFERROR(VLOOKUP(Tablo516[[#This Row],[ÜRÜN KODU]],YMKODLARI!$A$1:$K$383,8,0)," ")</f>
        <v xml:space="preserve"> </v>
      </c>
      <c r="O426" s="100" t="str">
        <f>IFERROR(VLOOKUP(Tablo516[[#This Row],[HAMMADDE KODU]],Tablo1[#All],3,0)," ")</f>
        <v xml:space="preserve"> </v>
      </c>
      <c r="P426" s="100" t="str">
        <f>IFERROR(VLOOKUP(Tablo516[[#This Row],[HAMMADDE KODU]],Tablo1[#All],4,0)," ")</f>
        <v xml:space="preserve"> </v>
      </c>
      <c r="Q426" s="100" t="str">
        <f>IFERROR(VLOOKUP(Tablo516[[#This Row],[ÜRÜN KODU]],YMKODLARI!$A$1:$K$383,5,0)," ")</f>
        <v xml:space="preserve"> </v>
      </c>
      <c r="R426" s="100" t="str">
        <f>IFERROR(VLOOKUP(Tablo516[[#This Row],[ÜRÜN KODU]],YMKODLARI!$A$1:$K$383,6,0)," ")</f>
        <v xml:space="preserve"> </v>
      </c>
      <c r="S426" s="100" t="str">
        <f>IFERROR(Tablo516[[#This Row],[YOLLUK HARİÇ BASKI GRAMI]]/Tablo516[[#This Row],[KALIP GÖZ ADEDİ]]," ")</f>
        <v xml:space="preserve"> </v>
      </c>
      <c r="T426" s="100" t="str">
        <f t="shared" si="44"/>
        <v xml:space="preserve"> </v>
      </c>
      <c r="U426" s="100"/>
      <c r="V426" s="100" t="str">
        <f t="shared" si="43"/>
        <v xml:space="preserve"> </v>
      </c>
      <c r="W426" s="101">
        <f t="shared" si="45"/>
        <v>24</v>
      </c>
      <c r="X426" s="102">
        <f t="shared" si="46"/>
        <v>0</v>
      </c>
      <c r="Y426" s="100" t="str">
        <f t="shared" si="47"/>
        <v xml:space="preserve"> </v>
      </c>
      <c r="Z426" s="100" t="str">
        <f t="shared" si="48"/>
        <v xml:space="preserve"> </v>
      </c>
    </row>
    <row r="427" spans="1:26">
      <c r="A427" s="100"/>
      <c r="B427" s="108" t="str">
        <f>IFERROR(VLOOKUP(Tablo516[[#This Row],[ÜRÜN KODU]],YMKODLARI!$A$1:$K$383,2,0)," ")</f>
        <v xml:space="preserve"> </v>
      </c>
      <c r="C427" s="99"/>
      <c r="D427" s="100"/>
      <c r="E427" s="101"/>
      <c r="F427" s="101"/>
      <c r="G427" s="100" t="str">
        <f>IFERROR(VLOOKUP(Tablo516[[#This Row],[ÜRÜN KODU]],YMKODLARI!$A$1:$K$383,3,0)," ")</f>
        <v xml:space="preserve"> </v>
      </c>
      <c r="H427" s="100" t="str">
        <f>IFERROR(VLOOKUP(Tablo516[[#This Row],[ÜRÜN KODU]],YMKODLARI!$A$1:$K$383,4,0)," ")</f>
        <v xml:space="preserve"> </v>
      </c>
      <c r="I427" s="100"/>
      <c r="J427" s="100" t="str">
        <f>IFERROR(VLOOKUP(Tablo516[[#This Row],[ÜRÜN KODU]],YMKODLARI!$A$1:$K$383,9,0)," ")</f>
        <v xml:space="preserve"> </v>
      </c>
      <c r="K427" s="100" t="str">
        <f>IFERROR(VLOOKUP(Tablo516[[#This Row],[BOYA KODU]],Tablo14[#All],4,0)," ")</f>
        <v xml:space="preserve"> </v>
      </c>
      <c r="L427" s="100" t="str">
        <f>IFERROR(VLOOKUP(Tablo516[[#This Row],[BOYA KODU]],Tablo14[#All],6,0)," ")</f>
        <v xml:space="preserve"> </v>
      </c>
      <c r="M427" s="100" t="str">
        <f t="shared" si="42"/>
        <v xml:space="preserve"> </v>
      </c>
      <c r="N427" s="100" t="str">
        <f>IFERROR(VLOOKUP(Tablo516[[#This Row],[ÜRÜN KODU]],YMKODLARI!$A$1:$K$383,8,0)," ")</f>
        <v xml:space="preserve"> </v>
      </c>
      <c r="O427" s="100" t="str">
        <f>IFERROR(VLOOKUP(Tablo516[[#This Row],[HAMMADDE KODU]],Tablo1[#All],3,0)," ")</f>
        <v xml:space="preserve"> </v>
      </c>
      <c r="P427" s="100" t="str">
        <f>IFERROR(VLOOKUP(Tablo516[[#This Row],[HAMMADDE KODU]],Tablo1[#All],4,0)," ")</f>
        <v xml:space="preserve"> </v>
      </c>
      <c r="Q427" s="100" t="str">
        <f>IFERROR(VLOOKUP(Tablo516[[#This Row],[ÜRÜN KODU]],YMKODLARI!$A$1:$K$383,5,0)," ")</f>
        <v xml:space="preserve"> </v>
      </c>
      <c r="R427" s="100" t="str">
        <f>IFERROR(VLOOKUP(Tablo516[[#This Row],[ÜRÜN KODU]],YMKODLARI!$A$1:$K$383,6,0)," ")</f>
        <v xml:space="preserve"> </v>
      </c>
      <c r="S427" s="100" t="str">
        <f>IFERROR(Tablo516[[#This Row],[YOLLUK HARİÇ BASKI GRAMI]]/Tablo516[[#This Row],[KALIP GÖZ ADEDİ]]," ")</f>
        <v xml:space="preserve"> </v>
      </c>
      <c r="T427" s="100" t="str">
        <f t="shared" si="44"/>
        <v xml:space="preserve"> </v>
      </c>
      <c r="U427" s="100"/>
      <c r="V427" s="100" t="str">
        <f t="shared" si="43"/>
        <v xml:space="preserve"> </v>
      </c>
      <c r="W427" s="101">
        <f t="shared" si="45"/>
        <v>24</v>
      </c>
      <c r="X427" s="102">
        <f t="shared" si="46"/>
        <v>0</v>
      </c>
      <c r="Y427" s="100" t="str">
        <f t="shared" si="47"/>
        <v xml:space="preserve"> </v>
      </c>
      <c r="Z427" s="100" t="str">
        <f t="shared" si="48"/>
        <v xml:space="preserve"> </v>
      </c>
    </row>
    <row r="428" spans="1:26">
      <c r="A428" s="100"/>
      <c r="B428" s="108" t="str">
        <f>IFERROR(VLOOKUP(Tablo516[[#This Row],[ÜRÜN KODU]],YMKODLARI!$A$1:$K$383,2,0)," ")</f>
        <v xml:space="preserve"> </v>
      </c>
      <c r="C428" s="99"/>
      <c r="D428" s="100"/>
      <c r="E428" s="101"/>
      <c r="F428" s="101"/>
      <c r="G428" s="100" t="str">
        <f>IFERROR(VLOOKUP(Tablo516[[#This Row],[ÜRÜN KODU]],YMKODLARI!$A$1:$K$383,3,0)," ")</f>
        <v xml:space="preserve"> </v>
      </c>
      <c r="H428" s="100" t="str">
        <f>IFERROR(VLOOKUP(Tablo516[[#This Row],[ÜRÜN KODU]],YMKODLARI!$A$1:$K$383,4,0)," ")</f>
        <v xml:space="preserve"> </v>
      </c>
      <c r="I428" s="100"/>
      <c r="J428" s="100" t="str">
        <f>IFERROR(VLOOKUP(Tablo516[[#This Row],[ÜRÜN KODU]],YMKODLARI!$A$1:$K$383,9,0)," ")</f>
        <v xml:space="preserve"> </v>
      </c>
      <c r="K428" s="100" t="str">
        <f>IFERROR(VLOOKUP(Tablo516[[#This Row],[BOYA KODU]],Tablo14[#All],4,0)," ")</f>
        <v xml:space="preserve"> </v>
      </c>
      <c r="L428" s="100" t="str">
        <f>IFERROR(VLOOKUP(Tablo516[[#This Row],[BOYA KODU]],Tablo14[#All],6,0)," ")</f>
        <v xml:space="preserve"> </v>
      </c>
      <c r="M428" s="100" t="str">
        <f t="shared" si="42"/>
        <v xml:space="preserve"> </v>
      </c>
      <c r="N428" s="100" t="str">
        <f>IFERROR(VLOOKUP(Tablo516[[#This Row],[ÜRÜN KODU]],YMKODLARI!$A$1:$K$383,8,0)," ")</f>
        <v xml:space="preserve"> </v>
      </c>
      <c r="O428" s="100" t="str">
        <f>IFERROR(VLOOKUP(Tablo516[[#This Row],[HAMMADDE KODU]],Tablo1[#All],3,0)," ")</f>
        <v xml:space="preserve"> </v>
      </c>
      <c r="P428" s="100" t="str">
        <f>IFERROR(VLOOKUP(Tablo516[[#This Row],[HAMMADDE KODU]],Tablo1[#All],4,0)," ")</f>
        <v xml:space="preserve"> </v>
      </c>
      <c r="Q428" s="100" t="str">
        <f>IFERROR(VLOOKUP(Tablo516[[#This Row],[ÜRÜN KODU]],YMKODLARI!$A$1:$K$383,5,0)," ")</f>
        <v xml:space="preserve"> </v>
      </c>
      <c r="R428" s="100" t="str">
        <f>IFERROR(VLOOKUP(Tablo516[[#This Row],[ÜRÜN KODU]],YMKODLARI!$A$1:$K$383,6,0)," ")</f>
        <v xml:space="preserve"> </v>
      </c>
      <c r="S428" s="100" t="str">
        <f>IFERROR(Tablo516[[#This Row],[YOLLUK HARİÇ BASKI GRAMI]]/Tablo516[[#This Row],[KALIP GÖZ ADEDİ]]," ")</f>
        <v xml:space="preserve"> </v>
      </c>
      <c r="T428" s="100" t="str">
        <f t="shared" si="44"/>
        <v xml:space="preserve"> </v>
      </c>
      <c r="U428" s="100"/>
      <c r="V428" s="100" t="str">
        <f t="shared" si="43"/>
        <v xml:space="preserve"> </v>
      </c>
      <c r="W428" s="101">
        <f t="shared" si="45"/>
        <v>24</v>
      </c>
      <c r="X428" s="102">
        <f t="shared" si="46"/>
        <v>0</v>
      </c>
      <c r="Y428" s="100" t="str">
        <f t="shared" si="47"/>
        <v xml:space="preserve"> </v>
      </c>
      <c r="Z428" s="100" t="str">
        <f t="shared" si="48"/>
        <v xml:space="preserve"> </v>
      </c>
    </row>
    <row r="429" spans="1:26">
      <c r="A429" s="100"/>
      <c r="B429" s="108" t="str">
        <f>IFERROR(VLOOKUP(Tablo516[[#This Row],[ÜRÜN KODU]],YMKODLARI!$A$1:$K$383,2,0)," ")</f>
        <v xml:space="preserve"> </v>
      </c>
      <c r="C429" s="99"/>
      <c r="D429" s="100"/>
      <c r="E429" s="101"/>
      <c r="F429" s="101"/>
      <c r="G429" s="100" t="str">
        <f>IFERROR(VLOOKUP(Tablo516[[#This Row],[ÜRÜN KODU]],YMKODLARI!$A$1:$K$383,3,0)," ")</f>
        <v xml:space="preserve"> </v>
      </c>
      <c r="H429" s="100" t="str">
        <f>IFERROR(VLOOKUP(Tablo516[[#This Row],[ÜRÜN KODU]],YMKODLARI!$A$1:$K$383,4,0)," ")</f>
        <v xml:space="preserve"> </v>
      </c>
      <c r="I429" s="100"/>
      <c r="J429" s="100" t="str">
        <f>IFERROR(VLOOKUP(Tablo516[[#This Row],[ÜRÜN KODU]],YMKODLARI!$A$1:$K$383,9,0)," ")</f>
        <v xml:space="preserve"> </v>
      </c>
      <c r="K429" s="100" t="str">
        <f>IFERROR(VLOOKUP(Tablo516[[#This Row],[BOYA KODU]],Tablo14[#All],4,0)," ")</f>
        <v xml:space="preserve"> </v>
      </c>
      <c r="L429" s="100" t="str">
        <f>IFERROR(VLOOKUP(Tablo516[[#This Row],[BOYA KODU]],Tablo14[#All],6,0)," ")</f>
        <v xml:space="preserve"> </v>
      </c>
      <c r="M429" s="100" t="str">
        <f t="shared" si="42"/>
        <v xml:space="preserve"> </v>
      </c>
      <c r="N429" s="100" t="str">
        <f>IFERROR(VLOOKUP(Tablo516[[#This Row],[ÜRÜN KODU]],YMKODLARI!$A$1:$K$383,8,0)," ")</f>
        <v xml:space="preserve"> </v>
      </c>
      <c r="O429" s="100" t="str">
        <f>IFERROR(VLOOKUP(Tablo516[[#This Row],[HAMMADDE KODU]],Tablo1[#All],3,0)," ")</f>
        <v xml:space="preserve"> </v>
      </c>
      <c r="P429" s="100" t="str">
        <f>IFERROR(VLOOKUP(Tablo516[[#This Row],[HAMMADDE KODU]],Tablo1[#All],4,0)," ")</f>
        <v xml:space="preserve"> </v>
      </c>
      <c r="Q429" s="100" t="str">
        <f>IFERROR(VLOOKUP(Tablo516[[#This Row],[ÜRÜN KODU]],YMKODLARI!$A$1:$K$383,5,0)," ")</f>
        <v xml:space="preserve"> </v>
      </c>
      <c r="R429" s="100" t="str">
        <f>IFERROR(VLOOKUP(Tablo516[[#This Row],[ÜRÜN KODU]],YMKODLARI!$A$1:$K$383,6,0)," ")</f>
        <v xml:space="preserve"> </v>
      </c>
      <c r="S429" s="100" t="str">
        <f>IFERROR(Tablo516[[#This Row],[YOLLUK HARİÇ BASKI GRAMI]]/Tablo516[[#This Row],[KALIP GÖZ ADEDİ]]," ")</f>
        <v xml:space="preserve"> </v>
      </c>
      <c r="T429" s="100" t="str">
        <f t="shared" si="44"/>
        <v xml:space="preserve"> </v>
      </c>
      <c r="U429" s="100"/>
      <c r="V429" s="100" t="str">
        <f t="shared" si="43"/>
        <v xml:space="preserve"> </v>
      </c>
      <c r="W429" s="101">
        <f t="shared" si="45"/>
        <v>24</v>
      </c>
      <c r="X429" s="102">
        <f t="shared" si="46"/>
        <v>0</v>
      </c>
      <c r="Y429" s="100" t="str">
        <f t="shared" si="47"/>
        <v xml:space="preserve"> </v>
      </c>
      <c r="Z429" s="100" t="str">
        <f t="shared" si="48"/>
        <v xml:space="preserve"> </v>
      </c>
    </row>
    <row r="430" spans="1:26">
      <c r="A430" s="100"/>
      <c r="B430" s="108" t="str">
        <f>IFERROR(VLOOKUP(Tablo516[[#This Row],[ÜRÜN KODU]],YMKODLARI!$A$1:$K$383,2,0)," ")</f>
        <v xml:space="preserve"> </v>
      </c>
      <c r="C430" s="99"/>
      <c r="D430" s="100"/>
      <c r="E430" s="101"/>
      <c r="F430" s="101"/>
      <c r="G430" s="100" t="str">
        <f>IFERROR(VLOOKUP(Tablo516[[#This Row],[ÜRÜN KODU]],YMKODLARI!$A$1:$K$383,3,0)," ")</f>
        <v xml:space="preserve"> </v>
      </c>
      <c r="H430" s="100" t="str">
        <f>IFERROR(VLOOKUP(Tablo516[[#This Row],[ÜRÜN KODU]],YMKODLARI!$A$1:$K$383,4,0)," ")</f>
        <v xml:space="preserve"> </v>
      </c>
      <c r="I430" s="100"/>
      <c r="J430" s="100" t="str">
        <f>IFERROR(VLOOKUP(Tablo516[[#This Row],[ÜRÜN KODU]],YMKODLARI!$A$1:$K$383,9,0)," ")</f>
        <v xml:space="preserve"> </v>
      </c>
      <c r="K430" s="100" t="str">
        <f>IFERROR(VLOOKUP(Tablo516[[#This Row],[BOYA KODU]],Tablo14[#All],4,0)," ")</f>
        <v xml:space="preserve"> </v>
      </c>
      <c r="L430" s="100" t="str">
        <f>IFERROR(VLOOKUP(Tablo516[[#This Row],[BOYA KODU]],Tablo14[#All],6,0)," ")</f>
        <v xml:space="preserve"> </v>
      </c>
      <c r="M430" s="100" t="str">
        <f t="shared" si="42"/>
        <v xml:space="preserve"> </v>
      </c>
      <c r="N430" s="100" t="str">
        <f>IFERROR(VLOOKUP(Tablo516[[#This Row],[ÜRÜN KODU]],YMKODLARI!$A$1:$K$383,8,0)," ")</f>
        <v xml:space="preserve"> </v>
      </c>
      <c r="O430" s="100" t="str">
        <f>IFERROR(VLOOKUP(Tablo516[[#This Row],[HAMMADDE KODU]],Tablo1[#All],3,0)," ")</f>
        <v xml:space="preserve"> </v>
      </c>
      <c r="P430" s="100" t="str">
        <f>IFERROR(VLOOKUP(Tablo516[[#This Row],[HAMMADDE KODU]],Tablo1[#All],4,0)," ")</f>
        <v xml:space="preserve"> </v>
      </c>
      <c r="Q430" s="100" t="str">
        <f>IFERROR(VLOOKUP(Tablo516[[#This Row],[ÜRÜN KODU]],YMKODLARI!$A$1:$K$383,5,0)," ")</f>
        <v xml:space="preserve"> </v>
      </c>
      <c r="R430" s="100" t="str">
        <f>IFERROR(VLOOKUP(Tablo516[[#This Row],[ÜRÜN KODU]],YMKODLARI!$A$1:$K$383,6,0)," ")</f>
        <v xml:space="preserve"> </v>
      </c>
      <c r="S430" s="100" t="str">
        <f>IFERROR(Tablo516[[#This Row],[YOLLUK HARİÇ BASKI GRAMI]]/Tablo516[[#This Row],[KALIP GÖZ ADEDİ]]," ")</f>
        <v xml:space="preserve"> </v>
      </c>
      <c r="T430" s="100" t="str">
        <f t="shared" si="44"/>
        <v xml:space="preserve"> </v>
      </c>
      <c r="U430" s="100"/>
      <c r="V430" s="100" t="str">
        <f t="shared" si="43"/>
        <v xml:space="preserve"> </v>
      </c>
      <c r="W430" s="101">
        <f t="shared" si="45"/>
        <v>24</v>
      </c>
      <c r="X430" s="102">
        <f t="shared" si="46"/>
        <v>0</v>
      </c>
      <c r="Y430" s="100" t="str">
        <f t="shared" si="47"/>
        <v xml:space="preserve"> </v>
      </c>
      <c r="Z430" s="100" t="str">
        <f t="shared" si="48"/>
        <v xml:space="preserve"> </v>
      </c>
    </row>
    <row r="431" spans="1:26">
      <c r="A431" s="100"/>
      <c r="B431" s="108" t="str">
        <f>IFERROR(VLOOKUP(Tablo516[[#This Row],[ÜRÜN KODU]],YMKODLARI!$A$1:$K$383,2,0)," ")</f>
        <v xml:space="preserve"> </v>
      </c>
      <c r="C431" s="99"/>
      <c r="D431" s="100"/>
      <c r="E431" s="101"/>
      <c r="F431" s="101"/>
      <c r="G431" s="100" t="str">
        <f>IFERROR(VLOOKUP(Tablo516[[#This Row],[ÜRÜN KODU]],YMKODLARI!$A$1:$K$383,3,0)," ")</f>
        <v xml:space="preserve"> </v>
      </c>
      <c r="H431" s="100" t="str">
        <f>IFERROR(VLOOKUP(Tablo516[[#This Row],[ÜRÜN KODU]],YMKODLARI!$A$1:$K$383,4,0)," ")</f>
        <v xml:space="preserve"> </v>
      </c>
      <c r="I431" s="100"/>
      <c r="J431" s="100" t="str">
        <f>IFERROR(VLOOKUP(Tablo516[[#This Row],[ÜRÜN KODU]],YMKODLARI!$A$1:$K$383,9,0)," ")</f>
        <v xml:space="preserve"> </v>
      </c>
      <c r="K431" s="100" t="str">
        <f>IFERROR(VLOOKUP(Tablo516[[#This Row],[BOYA KODU]],Tablo14[#All],4,0)," ")</f>
        <v xml:space="preserve"> </v>
      </c>
      <c r="L431" s="100" t="str">
        <f>IFERROR(VLOOKUP(Tablo516[[#This Row],[BOYA KODU]],Tablo14[#All],6,0)," ")</f>
        <v xml:space="preserve"> </v>
      </c>
      <c r="M431" s="100" t="str">
        <f t="shared" si="42"/>
        <v xml:space="preserve"> </v>
      </c>
      <c r="N431" s="100" t="str">
        <f>IFERROR(VLOOKUP(Tablo516[[#This Row],[ÜRÜN KODU]],YMKODLARI!$A$1:$K$383,8,0)," ")</f>
        <v xml:space="preserve"> </v>
      </c>
      <c r="O431" s="100" t="str">
        <f>IFERROR(VLOOKUP(Tablo516[[#This Row],[HAMMADDE KODU]],Tablo1[#All],3,0)," ")</f>
        <v xml:space="preserve"> </v>
      </c>
      <c r="P431" s="100" t="str">
        <f>IFERROR(VLOOKUP(Tablo516[[#This Row],[HAMMADDE KODU]],Tablo1[#All],4,0)," ")</f>
        <v xml:space="preserve"> </v>
      </c>
      <c r="Q431" s="100" t="str">
        <f>IFERROR(VLOOKUP(Tablo516[[#This Row],[ÜRÜN KODU]],YMKODLARI!$A$1:$K$383,5,0)," ")</f>
        <v xml:space="preserve"> </v>
      </c>
      <c r="R431" s="100" t="str">
        <f>IFERROR(VLOOKUP(Tablo516[[#This Row],[ÜRÜN KODU]],YMKODLARI!$A$1:$K$383,6,0)," ")</f>
        <v xml:space="preserve"> </v>
      </c>
      <c r="S431" s="100" t="str">
        <f>IFERROR(Tablo516[[#This Row],[YOLLUK HARİÇ BASKI GRAMI]]/Tablo516[[#This Row],[KALIP GÖZ ADEDİ]]," ")</f>
        <v xml:space="preserve"> </v>
      </c>
      <c r="T431" s="100" t="str">
        <f t="shared" si="44"/>
        <v xml:space="preserve"> </v>
      </c>
      <c r="U431" s="100"/>
      <c r="V431" s="100" t="str">
        <f t="shared" si="43"/>
        <v xml:space="preserve"> </v>
      </c>
      <c r="W431" s="101">
        <f t="shared" si="45"/>
        <v>24</v>
      </c>
      <c r="X431" s="102">
        <f t="shared" si="46"/>
        <v>0</v>
      </c>
      <c r="Y431" s="100" t="str">
        <f t="shared" si="47"/>
        <v xml:space="preserve"> </v>
      </c>
      <c r="Z431" s="100" t="str">
        <f t="shared" si="48"/>
        <v xml:space="preserve"> </v>
      </c>
    </row>
    <row r="432" spans="1:26">
      <c r="A432" s="100"/>
      <c r="B432" s="108" t="str">
        <f>IFERROR(VLOOKUP(Tablo516[[#This Row],[ÜRÜN KODU]],YMKODLARI!$A$1:$K$383,2,0)," ")</f>
        <v xml:space="preserve"> </v>
      </c>
      <c r="C432" s="99"/>
      <c r="D432" s="100"/>
      <c r="E432" s="101"/>
      <c r="F432" s="101"/>
      <c r="G432" s="100" t="str">
        <f>IFERROR(VLOOKUP(Tablo516[[#This Row],[ÜRÜN KODU]],YMKODLARI!$A$1:$K$383,3,0)," ")</f>
        <v xml:space="preserve"> </v>
      </c>
      <c r="H432" s="100" t="str">
        <f>IFERROR(VLOOKUP(Tablo516[[#This Row],[ÜRÜN KODU]],YMKODLARI!$A$1:$K$383,4,0)," ")</f>
        <v xml:space="preserve"> </v>
      </c>
      <c r="I432" s="100"/>
      <c r="J432" s="100" t="str">
        <f>IFERROR(VLOOKUP(Tablo516[[#This Row],[ÜRÜN KODU]],YMKODLARI!$A$1:$K$383,9,0)," ")</f>
        <v xml:space="preserve"> </v>
      </c>
      <c r="K432" s="100" t="str">
        <f>IFERROR(VLOOKUP(Tablo516[[#This Row],[BOYA KODU]],Tablo14[#All],4,0)," ")</f>
        <v xml:space="preserve"> </v>
      </c>
      <c r="L432" s="100" t="str">
        <f>IFERROR(VLOOKUP(Tablo516[[#This Row],[BOYA KODU]],Tablo14[#All],6,0)," ")</f>
        <v xml:space="preserve"> </v>
      </c>
      <c r="M432" s="100" t="str">
        <f t="shared" si="42"/>
        <v xml:space="preserve"> </v>
      </c>
      <c r="N432" s="100" t="str">
        <f>IFERROR(VLOOKUP(Tablo516[[#This Row],[ÜRÜN KODU]],YMKODLARI!$A$1:$K$383,8,0)," ")</f>
        <v xml:space="preserve"> </v>
      </c>
      <c r="O432" s="100" t="str">
        <f>IFERROR(VLOOKUP(Tablo516[[#This Row],[HAMMADDE KODU]],Tablo1[#All],3,0)," ")</f>
        <v xml:space="preserve"> </v>
      </c>
      <c r="P432" s="100" t="str">
        <f>IFERROR(VLOOKUP(Tablo516[[#This Row],[HAMMADDE KODU]],Tablo1[#All],4,0)," ")</f>
        <v xml:space="preserve"> </v>
      </c>
      <c r="Q432" s="100" t="str">
        <f>IFERROR(VLOOKUP(Tablo516[[#This Row],[ÜRÜN KODU]],YMKODLARI!$A$1:$K$383,5,0)," ")</f>
        <v xml:space="preserve"> </v>
      </c>
      <c r="R432" s="100" t="str">
        <f>IFERROR(VLOOKUP(Tablo516[[#This Row],[ÜRÜN KODU]],YMKODLARI!$A$1:$K$383,6,0)," ")</f>
        <v xml:space="preserve"> </v>
      </c>
      <c r="S432" s="100" t="str">
        <f>IFERROR(Tablo516[[#This Row],[YOLLUK HARİÇ BASKI GRAMI]]/Tablo516[[#This Row],[KALIP GÖZ ADEDİ]]," ")</f>
        <v xml:space="preserve"> </v>
      </c>
      <c r="T432" s="100" t="str">
        <f t="shared" si="44"/>
        <v xml:space="preserve"> </v>
      </c>
      <c r="U432" s="100"/>
      <c r="V432" s="100" t="str">
        <f t="shared" si="43"/>
        <v xml:space="preserve"> </v>
      </c>
      <c r="W432" s="101">
        <f t="shared" si="45"/>
        <v>24</v>
      </c>
      <c r="X432" s="102">
        <f t="shared" si="46"/>
        <v>0</v>
      </c>
      <c r="Y432" s="100" t="str">
        <f t="shared" si="47"/>
        <v xml:space="preserve"> </v>
      </c>
      <c r="Z432" s="100" t="str">
        <f t="shared" si="48"/>
        <v xml:space="preserve"> </v>
      </c>
    </row>
    <row r="433" spans="1:26">
      <c r="A433" s="100"/>
      <c r="B433" s="108" t="str">
        <f>IFERROR(VLOOKUP(Tablo516[[#This Row],[ÜRÜN KODU]],YMKODLARI!$A$1:$K$383,2,0)," ")</f>
        <v xml:space="preserve"> </v>
      </c>
      <c r="C433" s="99"/>
      <c r="D433" s="100"/>
      <c r="E433" s="101"/>
      <c r="F433" s="101"/>
      <c r="G433" s="100" t="str">
        <f>IFERROR(VLOOKUP(Tablo516[[#This Row],[ÜRÜN KODU]],YMKODLARI!$A$1:$K$383,3,0)," ")</f>
        <v xml:space="preserve"> </v>
      </c>
      <c r="H433" s="100" t="str">
        <f>IFERROR(VLOOKUP(Tablo516[[#This Row],[ÜRÜN KODU]],YMKODLARI!$A$1:$K$383,4,0)," ")</f>
        <v xml:space="preserve"> </v>
      </c>
      <c r="I433" s="100"/>
      <c r="J433" s="100" t="str">
        <f>IFERROR(VLOOKUP(Tablo516[[#This Row],[ÜRÜN KODU]],YMKODLARI!$A$1:$K$383,9,0)," ")</f>
        <v xml:space="preserve"> </v>
      </c>
      <c r="K433" s="100" t="str">
        <f>IFERROR(VLOOKUP(Tablo516[[#This Row],[BOYA KODU]],Tablo14[#All],4,0)," ")</f>
        <v xml:space="preserve"> </v>
      </c>
      <c r="L433" s="100" t="str">
        <f>IFERROR(VLOOKUP(Tablo516[[#This Row],[BOYA KODU]],Tablo14[#All],6,0)," ")</f>
        <v xml:space="preserve"> </v>
      </c>
      <c r="M433" s="100" t="str">
        <f t="shared" si="42"/>
        <v xml:space="preserve"> </v>
      </c>
      <c r="N433" s="100" t="str">
        <f>IFERROR(VLOOKUP(Tablo516[[#This Row],[ÜRÜN KODU]],YMKODLARI!$A$1:$K$383,8,0)," ")</f>
        <v xml:space="preserve"> </v>
      </c>
      <c r="O433" s="100" t="str">
        <f>IFERROR(VLOOKUP(Tablo516[[#This Row],[HAMMADDE KODU]],Tablo1[#All],3,0)," ")</f>
        <v xml:space="preserve"> </v>
      </c>
      <c r="P433" s="100" t="str">
        <f>IFERROR(VLOOKUP(Tablo516[[#This Row],[HAMMADDE KODU]],Tablo1[#All],4,0)," ")</f>
        <v xml:space="preserve"> </v>
      </c>
      <c r="Q433" s="100" t="str">
        <f>IFERROR(VLOOKUP(Tablo516[[#This Row],[ÜRÜN KODU]],YMKODLARI!$A$1:$K$383,5,0)," ")</f>
        <v xml:space="preserve"> </v>
      </c>
      <c r="R433" s="100" t="str">
        <f>IFERROR(VLOOKUP(Tablo516[[#This Row],[ÜRÜN KODU]],YMKODLARI!$A$1:$K$383,6,0)," ")</f>
        <v xml:space="preserve"> </v>
      </c>
      <c r="S433" s="100" t="str">
        <f>IFERROR(Tablo516[[#This Row],[YOLLUK HARİÇ BASKI GRAMI]]/Tablo516[[#This Row],[KALIP GÖZ ADEDİ]]," ")</f>
        <v xml:space="preserve"> </v>
      </c>
      <c r="T433" s="100" t="str">
        <f t="shared" si="44"/>
        <v xml:space="preserve"> </v>
      </c>
      <c r="U433" s="100"/>
      <c r="V433" s="100" t="str">
        <f t="shared" si="43"/>
        <v xml:space="preserve"> </v>
      </c>
      <c r="W433" s="101">
        <f t="shared" si="45"/>
        <v>24</v>
      </c>
      <c r="X433" s="102">
        <f t="shared" si="46"/>
        <v>0</v>
      </c>
      <c r="Y433" s="100" t="str">
        <f t="shared" si="47"/>
        <v xml:space="preserve"> </v>
      </c>
      <c r="Z433" s="100" t="str">
        <f t="shared" si="48"/>
        <v xml:space="preserve"> </v>
      </c>
    </row>
    <row r="434" spans="1:26">
      <c r="A434" s="100"/>
      <c r="B434" s="108" t="str">
        <f>IFERROR(VLOOKUP(Tablo516[[#This Row],[ÜRÜN KODU]],YMKODLARI!$A$1:$K$383,2,0)," ")</f>
        <v xml:space="preserve"> </v>
      </c>
      <c r="C434" s="99"/>
      <c r="D434" s="100"/>
      <c r="E434" s="101"/>
      <c r="F434" s="101"/>
      <c r="G434" s="100" t="str">
        <f>IFERROR(VLOOKUP(Tablo516[[#This Row],[ÜRÜN KODU]],YMKODLARI!$A$1:$K$383,3,0)," ")</f>
        <v xml:space="preserve"> </v>
      </c>
      <c r="H434" s="100" t="str">
        <f>IFERROR(VLOOKUP(Tablo516[[#This Row],[ÜRÜN KODU]],YMKODLARI!$A$1:$K$383,4,0)," ")</f>
        <v xml:space="preserve"> </v>
      </c>
      <c r="I434" s="100"/>
      <c r="J434" s="100" t="str">
        <f>IFERROR(VLOOKUP(Tablo516[[#This Row],[ÜRÜN KODU]],YMKODLARI!$A$1:$K$383,9,0)," ")</f>
        <v xml:space="preserve"> </v>
      </c>
      <c r="K434" s="100" t="str">
        <f>IFERROR(VLOOKUP(Tablo516[[#This Row],[BOYA KODU]],Tablo14[#All],4,0)," ")</f>
        <v xml:space="preserve"> </v>
      </c>
      <c r="L434" s="100" t="str">
        <f>IFERROR(VLOOKUP(Tablo516[[#This Row],[BOYA KODU]],Tablo14[#All],6,0)," ")</f>
        <v xml:space="preserve"> </v>
      </c>
      <c r="M434" s="100" t="str">
        <f t="shared" si="42"/>
        <v xml:space="preserve"> </v>
      </c>
      <c r="N434" s="100" t="str">
        <f>IFERROR(VLOOKUP(Tablo516[[#This Row],[ÜRÜN KODU]],YMKODLARI!$A$1:$K$383,8,0)," ")</f>
        <v xml:space="preserve"> </v>
      </c>
      <c r="O434" s="100" t="str">
        <f>IFERROR(VLOOKUP(Tablo516[[#This Row],[HAMMADDE KODU]],Tablo1[#All],3,0)," ")</f>
        <v xml:space="preserve"> </v>
      </c>
      <c r="P434" s="100" t="str">
        <f>IFERROR(VLOOKUP(Tablo516[[#This Row],[HAMMADDE KODU]],Tablo1[#All],4,0)," ")</f>
        <v xml:space="preserve"> </v>
      </c>
      <c r="Q434" s="100" t="str">
        <f>IFERROR(VLOOKUP(Tablo516[[#This Row],[ÜRÜN KODU]],YMKODLARI!$A$1:$K$383,5,0)," ")</f>
        <v xml:space="preserve"> </v>
      </c>
      <c r="R434" s="100" t="str">
        <f>IFERROR(VLOOKUP(Tablo516[[#This Row],[ÜRÜN KODU]],YMKODLARI!$A$1:$K$383,6,0)," ")</f>
        <v xml:space="preserve"> </v>
      </c>
      <c r="S434" s="100" t="str">
        <f>IFERROR(Tablo516[[#This Row],[YOLLUK HARİÇ BASKI GRAMI]]/Tablo516[[#This Row],[KALIP GÖZ ADEDİ]]," ")</f>
        <v xml:space="preserve"> </v>
      </c>
      <c r="T434" s="100" t="str">
        <f t="shared" si="44"/>
        <v xml:space="preserve"> </v>
      </c>
      <c r="U434" s="100"/>
      <c r="V434" s="100" t="str">
        <f t="shared" si="43"/>
        <v xml:space="preserve"> </v>
      </c>
      <c r="W434" s="101">
        <f t="shared" si="45"/>
        <v>24</v>
      </c>
      <c r="X434" s="102">
        <f t="shared" si="46"/>
        <v>0</v>
      </c>
      <c r="Y434" s="100" t="str">
        <f t="shared" si="47"/>
        <v xml:space="preserve"> </v>
      </c>
      <c r="Z434" s="100" t="str">
        <f t="shared" si="48"/>
        <v xml:space="preserve"> </v>
      </c>
    </row>
    <row r="435" spans="1:26">
      <c r="A435" s="100"/>
      <c r="B435" s="108" t="str">
        <f>IFERROR(VLOOKUP(Tablo516[[#This Row],[ÜRÜN KODU]],YMKODLARI!$A$1:$K$383,2,0)," ")</f>
        <v xml:space="preserve"> </v>
      </c>
      <c r="C435" s="99"/>
      <c r="D435" s="100"/>
      <c r="E435" s="101"/>
      <c r="F435" s="101"/>
      <c r="G435" s="100" t="str">
        <f>IFERROR(VLOOKUP(Tablo516[[#This Row],[ÜRÜN KODU]],YMKODLARI!$A$1:$K$383,3,0)," ")</f>
        <v xml:space="preserve"> </v>
      </c>
      <c r="H435" s="100" t="str">
        <f>IFERROR(VLOOKUP(Tablo516[[#This Row],[ÜRÜN KODU]],YMKODLARI!$A$1:$K$383,4,0)," ")</f>
        <v xml:space="preserve"> </v>
      </c>
      <c r="I435" s="100"/>
      <c r="J435" s="100" t="str">
        <f>IFERROR(VLOOKUP(Tablo516[[#This Row],[ÜRÜN KODU]],YMKODLARI!$A$1:$K$383,9,0)," ")</f>
        <v xml:space="preserve"> </v>
      </c>
      <c r="K435" s="100" t="str">
        <f>IFERROR(VLOOKUP(Tablo516[[#This Row],[BOYA KODU]],Tablo14[#All],4,0)," ")</f>
        <v xml:space="preserve"> </v>
      </c>
      <c r="L435" s="100" t="str">
        <f>IFERROR(VLOOKUP(Tablo516[[#This Row],[BOYA KODU]],Tablo14[#All],6,0)," ")</f>
        <v xml:space="preserve"> </v>
      </c>
      <c r="M435" s="100" t="str">
        <f t="shared" si="42"/>
        <v xml:space="preserve"> </v>
      </c>
      <c r="N435" s="100" t="str">
        <f>IFERROR(VLOOKUP(Tablo516[[#This Row],[ÜRÜN KODU]],YMKODLARI!$A$1:$K$383,8,0)," ")</f>
        <v xml:space="preserve"> </v>
      </c>
      <c r="O435" s="100" t="str">
        <f>IFERROR(VLOOKUP(Tablo516[[#This Row],[HAMMADDE KODU]],Tablo1[#All],3,0)," ")</f>
        <v xml:space="preserve"> </v>
      </c>
      <c r="P435" s="100" t="str">
        <f>IFERROR(VLOOKUP(Tablo516[[#This Row],[HAMMADDE KODU]],Tablo1[#All],4,0)," ")</f>
        <v xml:space="preserve"> </v>
      </c>
      <c r="Q435" s="100" t="str">
        <f>IFERROR(VLOOKUP(Tablo516[[#This Row],[ÜRÜN KODU]],YMKODLARI!$A$1:$K$383,5,0)," ")</f>
        <v xml:space="preserve"> </v>
      </c>
      <c r="R435" s="100" t="str">
        <f>IFERROR(VLOOKUP(Tablo516[[#This Row],[ÜRÜN KODU]],YMKODLARI!$A$1:$K$383,6,0)," ")</f>
        <v xml:space="preserve"> </v>
      </c>
      <c r="S435" s="100" t="str">
        <f>IFERROR(Tablo516[[#This Row],[YOLLUK HARİÇ BASKI GRAMI]]/Tablo516[[#This Row],[KALIP GÖZ ADEDİ]]," ")</f>
        <v xml:space="preserve"> </v>
      </c>
      <c r="T435" s="100" t="str">
        <f t="shared" si="44"/>
        <v xml:space="preserve"> </v>
      </c>
      <c r="U435" s="100"/>
      <c r="V435" s="100" t="str">
        <f t="shared" si="43"/>
        <v xml:space="preserve"> </v>
      </c>
      <c r="W435" s="101">
        <f t="shared" si="45"/>
        <v>24</v>
      </c>
      <c r="X435" s="102">
        <f t="shared" si="46"/>
        <v>0</v>
      </c>
      <c r="Y435" s="100" t="str">
        <f t="shared" si="47"/>
        <v xml:space="preserve"> </v>
      </c>
      <c r="Z435" s="100" t="str">
        <f t="shared" si="48"/>
        <v xml:space="preserve"> </v>
      </c>
    </row>
    <row r="436" spans="1:26">
      <c r="A436" s="100"/>
      <c r="B436" s="108" t="str">
        <f>IFERROR(VLOOKUP(Tablo516[[#This Row],[ÜRÜN KODU]],YMKODLARI!$A$1:$K$383,2,0)," ")</f>
        <v xml:space="preserve"> </v>
      </c>
      <c r="C436" s="99"/>
      <c r="D436" s="100"/>
      <c r="E436" s="101"/>
      <c r="F436" s="101"/>
      <c r="G436" s="100" t="str">
        <f>IFERROR(VLOOKUP(Tablo516[[#This Row],[ÜRÜN KODU]],YMKODLARI!$A$1:$K$383,3,0)," ")</f>
        <v xml:space="preserve"> </v>
      </c>
      <c r="H436" s="100" t="str">
        <f>IFERROR(VLOOKUP(Tablo516[[#This Row],[ÜRÜN KODU]],YMKODLARI!$A$1:$K$383,4,0)," ")</f>
        <v xml:space="preserve"> </v>
      </c>
      <c r="I436" s="100"/>
      <c r="J436" s="100" t="str">
        <f>IFERROR(VLOOKUP(Tablo516[[#This Row],[ÜRÜN KODU]],YMKODLARI!$A$1:$K$383,9,0)," ")</f>
        <v xml:space="preserve"> </v>
      </c>
      <c r="K436" s="100" t="str">
        <f>IFERROR(VLOOKUP(Tablo516[[#This Row],[BOYA KODU]],Tablo14[#All],4,0)," ")</f>
        <v xml:space="preserve"> </v>
      </c>
      <c r="L436" s="100" t="str">
        <f>IFERROR(VLOOKUP(Tablo516[[#This Row],[BOYA KODU]],Tablo14[#All],6,0)," ")</f>
        <v xml:space="preserve"> </v>
      </c>
      <c r="M436" s="100" t="str">
        <f t="shared" si="42"/>
        <v xml:space="preserve"> </v>
      </c>
      <c r="N436" s="100" t="str">
        <f>IFERROR(VLOOKUP(Tablo516[[#This Row],[ÜRÜN KODU]],YMKODLARI!$A$1:$K$383,8,0)," ")</f>
        <v xml:space="preserve"> </v>
      </c>
      <c r="O436" s="100" t="str">
        <f>IFERROR(VLOOKUP(Tablo516[[#This Row],[HAMMADDE KODU]],Tablo1[#All],3,0)," ")</f>
        <v xml:space="preserve"> </v>
      </c>
      <c r="P436" s="100" t="str">
        <f>IFERROR(VLOOKUP(Tablo516[[#This Row],[HAMMADDE KODU]],Tablo1[#All],4,0)," ")</f>
        <v xml:space="preserve"> </v>
      </c>
      <c r="Q436" s="100" t="str">
        <f>IFERROR(VLOOKUP(Tablo516[[#This Row],[ÜRÜN KODU]],YMKODLARI!$A$1:$K$383,5,0)," ")</f>
        <v xml:space="preserve"> </v>
      </c>
      <c r="R436" s="100" t="str">
        <f>IFERROR(VLOOKUP(Tablo516[[#This Row],[ÜRÜN KODU]],YMKODLARI!$A$1:$K$383,6,0)," ")</f>
        <v xml:space="preserve"> </v>
      </c>
      <c r="S436" s="100" t="str">
        <f>IFERROR(Tablo516[[#This Row],[YOLLUK HARİÇ BASKI GRAMI]]/Tablo516[[#This Row],[KALIP GÖZ ADEDİ]]," ")</f>
        <v xml:space="preserve"> </v>
      </c>
      <c r="T436" s="100" t="str">
        <f t="shared" si="44"/>
        <v xml:space="preserve"> </v>
      </c>
      <c r="U436" s="100"/>
      <c r="V436" s="100" t="str">
        <f t="shared" si="43"/>
        <v xml:space="preserve"> </v>
      </c>
      <c r="W436" s="101">
        <f t="shared" si="45"/>
        <v>24</v>
      </c>
      <c r="X436" s="102">
        <f t="shared" si="46"/>
        <v>0</v>
      </c>
      <c r="Y436" s="100" t="str">
        <f t="shared" si="47"/>
        <v xml:space="preserve"> </v>
      </c>
      <c r="Z436" s="100" t="str">
        <f t="shared" si="48"/>
        <v xml:space="preserve"> </v>
      </c>
    </row>
    <row r="437" spans="1:26">
      <c r="A437" s="100"/>
      <c r="B437" s="108" t="str">
        <f>IFERROR(VLOOKUP(Tablo516[[#This Row],[ÜRÜN KODU]],YMKODLARI!$A$1:$K$383,2,0)," ")</f>
        <v xml:space="preserve"> </v>
      </c>
      <c r="C437" s="99"/>
      <c r="D437" s="100"/>
      <c r="E437" s="101"/>
      <c r="F437" s="101"/>
      <c r="G437" s="100" t="str">
        <f>IFERROR(VLOOKUP(Tablo516[[#This Row],[ÜRÜN KODU]],YMKODLARI!$A$1:$K$383,3,0)," ")</f>
        <v xml:space="preserve"> </v>
      </c>
      <c r="H437" s="100" t="str">
        <f>IFERROR(VLOOKUP(Tablo516[[#This Row],[ÜRÜN KODU]],YMKODLARI!$A$1:$K$383,4,0)," ")</f>
        <v xml:space="preserve"> </v>
      </c>
      <c r="I437" s="100"/>
      <c r="J437" s="100" t="str">
        <f>IFERROR(VLOOKUP(Tablo516[[#This Row],[ÜRÜN KODU]],YMKODLARI!$A$1:$K$383,9,0)," ")</f>
        <v xml:space="preserve"> </v>
      </c>
      <c r="K437" s="100" t="str">
        <f>IFERROR(VLOOKUP(Tablo516[[#This Row],[BOYA KODU]],Tablo14[#All],4,0)," ")</f>
        <v xml:space="preserve"> </v>
      </c>
      <c r="L437" s="100" t="str">
        <f>IFERROR(VLOOKUP(Tablo516[[#This Row],[BOYA KODU]],Tablo14[#All],6,0)," ")</f>
        <v xml:space="preserve"> </v>
      </c>
      <c r="M437" s="100" t="str">
        <f t="shared" si="42"/>
        <v xml:space="preserve"> </v>
      </c>
      <c r="N437" s="100" t="str">
        <f>IFERROR(VLOOKUP(Tablo516[[#This Row],[ÜRÜN KODU]],YMKODLARI!$A$1:$K$383,8,0)," ")</f>
        <v xml:space="preserve"> </v>
      </c>
      <c r="O437" s="100" t="str">
        <f>IFERROR(VLOOKUP(Tablo516[[#This Row],[HAMMADDE KODU]],Tablo1[#All],3,0)," ")</f>
        <v xml:space="preserve"> </v>
      </c>
      <c r="P437" s="100" t="str">
        <f>IFERROR(VLOOKUP(Tablo516[[#This Row],[HAMMADDE KODU]],Tablo1[#All],4,0)," ")</f>
        <v xml:space="preserve"> </v>
      </c>
      <c r="Q437" s="100" t="str">
        <f>IFERROR(VLOOKUP(Tablo516[[#This Row],[ÜRÜN KODU]],YMKODLARI!$A$1:$K$383,5,0)," ")</f>
        <v xml:space="preserve"> </v>
      </c>
      <c r="R437" s="100" t="str">
        <f>IFERROR(VLOOKUP(Tablo516[[#This Row],[ÜRÜN KODU]],YMKODLARI!$A$1:$K$383,6,0)," ")</f>
        <v xml:space="preserve"> </v>
      </c>
      <c r="S437" s="100" t="str">
        <f>IFERROR(Tablo516[[#This Row],[YOLLUK HARİÇ BASKI GRAMI]]/Tablo516[[#This Row],[KALIP GÖZ ADEDİ]]," ")</f>
        <v xml:space="preserve"> </v>
      </c>
      <c r="T437" s="100" t="str">
        <f t="shared" si="44"/>
        <v xml:space="preserve"> </v>
      </c>
      <c r="U437" s="100"/>
      <c r="V437" s="100" t="str">
        <f t="shared" si="43"/>
        <v xml:space="preserve"> </v>
      </c>
      <c r="W437" s="101">
        <f t="shared" si="45"/>
        <v>24</v>
      </c>
      <c r="X437" s="102">
        <f t="shared" si="46"/>
        <v>0</v>
      </c>
      <c r="Y437" s="100" t="str">
        <f t="shared" si="47"/>
        <v xml:space="preserve"> </v>
      </c>
      <c r="Z437" s="100" t="str">
        <f t="shared" si="48"/>
        <v xml:space="preserve"> </v>
      </c>
    </row>
    <row r="438" spans="1:26">
      <c r="A438" s="100"/>
      <c r="B438" s="108" t="str">
        <f>IFERROR(VLOOKUP(Tablo516[[#This Row],[ÜRÜN KODU]],YMKODLARI!$A$1:$K$383,2,0)," ")</f>
        <v xml:space="preserve"> </v>
      </c>
      <c r="C438" s="99"/>
      <c r="D438" s="100"/>
      <c r="E438" s="101"/>
      <c r="F438" s="101"/>
      <c r="G438" s="100" t="str">
        <f>IFERROR(VLOOKUP(Tablo516[[#This Row],[ÜRÜN KODU]],YMKODLARI!$A$1:$K$383,3,0)," ")</f>
        <v xml:space="preserve"> </v>
      </c>
      <c r="H438" s="100" t="str">
        <f>IFERROR(VLOOKUP(Tablo516[[#This Row],[ÜRÜN KODU]],YMKODLARI!$A$1:$K$383,4,0)," ")</f>
        <v xml:space="preserve"> </v>
      </c>
      <c r="I438" s="100"/>
      <c r="J438" s="100" t="str">
        <f>IFERROR(VLOOKUP(Tablo516[[#This Row],[ÜRÜN KODU]],YMKODLARI!$A$1:$K$383,9,0)," ")</f>
        <v xml:space="preserve"> </v>
      </c>
      <c r="K438" s="100" t="str">
        <f>IFERROR(VLOOKUP(Tablo516[[#This Row],[BOYA KODU]],Tablo14[#All],4,0)," ")</f>
        <v xml:space="preserve"> </v>
      </c>
      <c r="L438" s="100" t="str">
        <f>IFERROR(VLOOKUP(Tablo516[[#This Row],[BOYA KODU]],Tablo14[#All],6,0)," ")</f>
        <v xml:space="preserve"> </v>
      </c>
      <c r="M438" s="100" t="str">
        <f t="shared" si="42"/>
        <v xml:space="preserve"> </v>
      </c>
      <c r="N438" s="100" t="str">
        <f>IFERROR(VLOOKUP(Tablo516[[#This Row],[ÜRÜN KODU]],YMKODLARI!$A$1:$K$383,8,0)," ")</f>
        <v xml:space="preserve"> </v>
      </c>
      <c r="O438" s="100" t="str">
        <f>IFERROR(VLOOKUP(Tablo516[[#This Row],[HAMMADDE KODU]],Tablo1[#All],3,0)," ")</f>
        <v xml:space="preserve"> </v>
      </c>
      <c r="P438" s="100" t="str">
        <f>IFERROR(VLOOKUP(Tablo516[[#This Row],[HAMMADDE KODU]],Tablo1[#All],4,0)," ")</f>
        <v xml:space="preserve"> </v>
      </c>
      <c r="Q438" s="100" t="str">
        <f>IFERROR(VLOOKUP(Tablo516[[#This Row],[ÜRÜN KODU]],YMKODLARI!$A$1:$K$383,5,0)," ")</f>
        <v xml:space="preserve"> </v>
      </c>
      <c r="R438" s="100" t="str">
        <f>IFERROR(VLOOKUP(Tablo516[[#This Row],[ÜRÜN KODU]],YMKODLARI!$A$1:$K$383,6,0)," ")</f>
        <v xml:space="preserve"> </v>
      </c>
      <c r="S438" s="100" t="str">
        <f>IFERROR(Tablo516[[#This Row],[YOLLUK HARİÇ BASKI GRAMI]]/Tablo516[[#This Row],[KALIP GÖZ ADEDİ]]," ")</f>
        <v xml:space="preserve"> </v>
      </c>
      <c r="T438" s="100" t="str">
        <f t="shared" si="44"/>
        <v xml:space="preserve"> </v>
      </c>
      <c r="U438" s="100"/>
      <c r="V438" s="100" t="str">
        <f t="shared" si="43"/>
        <v xml:space="preserve"> </v>
      </c>
      <c r="W438" s="101">
        <f t="shared" si="45"/>
        <v>24</v>
      </c>
      <c r="X438" s="102">
        <f t="shared" si="46"/>
        <v>0</v>
      </c>
      <c r="Y438" s="100" t="str">
        <f t="shared" si="47"/>
        <v xml:space="preserve"> </v>
      </c>
      <c r="Z438" s="100" t="str">
        <f t="shared" si="48"/>
        <v xml:space="preserve"> </v>
      </c>
    </row>
    <row r="439" spans="1:26">
      <c r="A439" s="100"/>
      <c r="B439" s="108" t="str">
        <f>IFERROR(VLOOKUP(Tablo516[[#This Row],[ÜRÜN KODU]],YMKODLARI!$A$1:$K$383,2,0)," ")</f>
        <v xml:space="preserve"> </v>
      </c>
      <c r="C439" s="99"/>
      <c r="D439" s="100"/>
      <c r="E439" s="101"/>
      <c r="F439" s="101"/>
      <c r="G439" s="100" t="str">
        <f>IFERROR(VLOOKUP(Tablo516[[#This Row],[ÜRÜN KODU]],YMKODLARI!$A$1:$K$383,3,0)," ")</f>
        <v xml:space="preserve"> </v>
      </c>
      <c r="H439" s="100" t="str">
        <f>IFERROR(VLOOKUP(Tablo516[[#This Row],[ÜRÜN KODU]],YMKODLARI!$A$1:$K$383,4,0)," ")</f>
        <v xml:space="preserve"> </v>
      </c>
      <c r="I439" s="100"/>
      <c r="J439" s="100" t="str">
        <f>IFERROR(VLOOKUP(Tablo516[[#This Row],[ÜRÜN KODU]],YMKODLARI!$A$1:$K$383,9,0)," ")</f>
        <v xml:space="preserve"> </v>
      </c>
      <c r="K439" s="100" t="str">
        <f>IFERROR(VLOOKUP(Tablo516[[#This Row],[BOYA KODU]],Tablo14[#All],4,0)," ")</f>
        <v xml:space="preserve"> </v>
      </c>
      <c r="L439" s="100" t="str">
        <f>IFERROR(VLOOKUP(Tablo516[[#This Row],[BOYA KODU]],Tablo14[#All],6,0)," ")</f>
        <v xml:space="preserve"> </v>
      </c>
      <c r="M439" s="100" t="str">
        <f t="shared" si="42"/>
        <v xml:space="preserve"> </v>
      </c>
      <c r="N439" s="100" t="str">
        <f>IFERROR(VLOOKUP(Tablo516[[#This Row],[ÜRÜN KODU]],YMKODLARI!$A$1:$K$383,8,0)," ")</f>
        <v xml:space="preserve"> </v>
      </c>
      <c r="O439" s="100" t="str">
        <f>IFERROR(VLOOKUP(Tablo516[[#This Row],[HAMMADDE KODU]],Tablo1[#All],3,0)," ")</f>
        <v xml:space="preserve"> </v>
      </c>
      <c r="P439" s="100" t="str">
        <f>IFERROR(VLOOKUP(Tablo516[[#This Row],[HAMMADDE KODU]],Tablo1[#All],4,0)," ")</f>
        <v xml:space="preserve"> </v>
      </c>
      <c r="Q439" s="100" t="str">
        <f>IFERROR(VLOOKUP(Tablo516[[#This Row],[ÜRÜN KODU]],YMKODLARI!$A$1:$K$383,5,0)," ")</f>
        <v xml:space="preserve"> </v>
      </c>
      <c r="R439" s="100" t="str">
        <f>IFERROR(VLOOKUP(Tablo516[[#This Row],[ÜRÜN KODU]],YMKODLARI!$A$1:$K$383,6,0)," ")</f>
        <v xml:space="preserve"> </v>
      </c>
      <c r="S439" s="100" t="str">
        <f>IFERROR(Tablo516[[#This Row],[YOLLUK HARİÇ BASKI GRAMI]]/Tablo516[[#This Row],[KALIP GÖZ ADEDİ]]," ")</f>
        <v xml:space="preserve"> </v>
      </c>
      <c r="T439" s="100" t="str">
        <f t="shared" si="44"/>
        <v xml:space="preserve"> </v>
      </c>
      <c r="U439" s="100"/>
      <c r="V439" s="100" t="str">
        <f t="shared" si="43"/>
        <v xml:space="preserve"> </v>
      </c>
      <c r="W439" s="101">
        <f t="shared" si="45"/>
        <v>24</v>
      </c>
      <c r="X439" s="102">
        <f t="shared" si="46"/>
        <v>0</v>
      </c>
      <c r="Y439" s="100" t="str">
        <f t="shared" si="47"/>
        <v xml:space="preserve"> </v>
      </c>
      <c r="Z439" s="100" t="str">
        <f t="shared" si="48"/>
        <v xml:space="preserve"> </v>
      </c>
    </row>
    <row r="440" spans="1:26">
      <c r="A440" s="100"/>
      <c r="B440" s="108" t="str">
        <f>IFERROR(VLOOKUP(Tablo516[[#This Row],[ÜRÜN KODU]],YMKODLARI!$A$1:$K$383,2,0)," ")</f>
        <v xml:space="preserve"> </v>
      </c>
      <c r="C440" s="99"/>
      <c r="D440" s="100"/>
      <c r="E440" s="101"/>
      <c r="F440" s="101"/>
      <c r="G440" s="100" t="str">
        <f>IFERROR(VLOOKUP(Tablo516[[#This Row],[ÜRÜN KODU]],YMKODLARI!$A$1:$K$383,3,0)," ")</f>
        <v xml:space="preserve"> </v>
      </c>
      <c r="H440" s="100" t="str">
        <f>IFERROR(VLOOKUP(Tablo516[[#This Row],[ÜRÜN KODU]],YMKODLARI!$A$1:$K$383,4,0)," ")</f>
        <v xml:space="preserve"> </v>
      </c>
      <c r="I440" s="100"/>
      <c r="J440" s="100" t="str">
        <f>IFERROR(VLOOKUP(Tablo516[[#This Row],[ÜRÜN KODU]],YMKODLARI!$A$1:$K$383,9,0)," ")</f>
        <v xml:space="preserve"> </v>
      </c>
      <c r="K440" s="100" t="str">
        <f>IFERROR(VLOOKUP(Tablo516[[#This Row],[BOYA KODU]],Tablo14[#All],4,0)," ")</f>
        <v xml:space="preserve"> </v>
      </c>
      <c r="L440" s="100" t="str">
        <f>IFERROR(VLOOKUP(Tablo516[[#This Row],[BOYA KODU]],Tablo14[#All],6,0)," ")</f>
        <v xml:space="preserve"> </v>
      </c>
      <c r="M440" s="100" t="str">
        <f t="shared" si="42"/>
        <v xml:space="preserve"> </v>
      </c>
      <c r="N440" s="100" t="str">
        <f>IFERROR(VLOOKUP(Tablo516[[#This Row],[ÜRÜN KODU]],YMKODLARI!$A$1:$K$383,8,0)," ")</f>
        <v xml:space="preserve"> </v>
      </c>
      <c r="O440" s="100" t="str">
        <f>IFERROR(VLOOKUP(Tablo516[[#This Row],[HAMMADDE KODU]],Tablo1[#All],3,0)," ")</f>
        <v xml:space="preserve"> </v>
      </c>
      <c r="P440" s="100" t="str">
        <f>IFERROR(VLOOKUP(Tablo516[[#This Row],[HAMMADDE KODU]],Tablo1[#All],4,0)," ")</f>
        <v xml:space="preserve"> </v>
      </c>
      <c r="Q440" s="100" t="str">
        <f>IFERROR(VLOOKUP(Tablo516[[#This Row],[ÜRÜN KODU]],YMKODLARI!$A$1:$K$383,5,0)," ")</f>
        <v xml:space="preserve"> </v>
      </c>
      <c r="R440" s="100" t="str">
        <f>IFERROR(VLOOKUP(Tablo516[[#This Row],[ÜRÜN KODU]],YMKODLARI!$A$1:$K$383,6,0)," ")</f>
        <v xml:space="preserve"> </v>
      </c>
      <c r="S440" s="100" t="str">
        <f>IFERROR(Tablo516[[#This Row],[YOLLUK HARİÇ BASKI GRAMI]]/Tablo516[[#This Row],[KALIP GÖZ ADEDİ]]," ")</f>
        <v xml:space="preserve"> </v>
      </c>
      <c r="T440" s="100" t="str">
        <f t="shared" si="44"/>
        <v xml:space="preserve"> </v>
      </c>
      <c r="U440" s="100"/>
      <c r="V440" s="100" t="str">
        <f t="shared" si="43"/>
        <v xml:space="preserve"> </v>
      </c>
      <c r="W440" s="101">
        <f t="shared" si="45"/>
        <v>24</v>
      </c>
      <c r="X440" s="102">
        <f t="shared" si="46"/>
        <v>0</v>
      </c>
      <c r="Y440" s="100" t="str">
        <f t="shared" si="47"/>
        <v xml:space="preserve"> </v>
      </c>
      <c r="Z440" s="100" t="str">
        <f t="shared" si="48"/>
        <v xml:space="preserve"> </v>
      </c>
    </row>
    <row r="441" spans="1:26">
      <c r="A441" s="100"/>
      <c r="B441" s="108" t="str">
        <f>IFERROR(VLOOKUP(Tablo516[[#This Row],[ÜRÜN KODU]],YMKODLARI!$A$1:$K$383,2,0)," ")</f>
        <v xml:space="preserve"> </v>
      </c>
      <c r="C441" s="99"/>
      <c r="D441" s="100"/>
      <c r="E441" s="101"/>
      <c r="F441" s="101"/>
      <c r="G441" s="100" t="str">
        <f>IFERROR(VLOOKUP(Tablo516[[#This Row],[ÜRÜN KODU]],YMKODLARI!$A$1:$K$383,3,0)," ")</f>
        <v xml:space="preserve"> </v>
      </c>
      <c r="H441" s="100" t="str">
        <f>IFERROR(VLOOKUP(Tablo516[[#This Row],[ÜRÜN KODU]],YMKODLARI!$A$1:$K$383,4,0)," ")</f>
        <v xml:space="preserve"> </v>
      </c>
      <c r="I441" s="100"/>
      <c r="J441" s="100" t="str">
        <f>IFERROR(VLOOKUP(Tablo516[[#This Row],[ÜRÜN KODU]],YMKODLARI!$A$1:$K$383,9,0)," ")</f>
        <v xml:space="preserve"> </v>
      </c>
      <c r="K441" s="100" t="str">
        <f>IFERROR(VLOOKUP(Tablo516[[#This Row],[BOYA KODU]],Tablo14[#All],4,0)," ")</f>
        <v xml:space="preserve"> </v>
      </c>
      <c r="L441" s="100" t="str">
        <f>IFERROR(VLOOKUP(Tablo516[[#This Row],[BOYA KODU]],Tablo14[#All],6,0)," ")</f>
        <v xml:space="preserve"> </v>
      </c>
      <c r="M441" s="100" t="str">
        <f t="shared" si="42"/>
        <v xml:space="preserve"> </v>
      </c>
      <c r="N441" s="100" t="str">
        <f>IFERROR(VLOOKUP(Tablo516[[#This Row],[ÜRÜN KODU]],YMKODLARI!$A$1:$K$383,8,0)," ")</f>
        <v xml:space="preserve"> </v>
      </c>
      <c r="O441" s="100" t="str">
        <f>IFERROR(VLOOKUP(Tablo516[[#This Row],[HAMMADDE KODU]],Tablo1[#All],3,0)," ")</f>
        <v xml:space="preserve"> </v>
      </c>
      <c r="P441" s="100" t="str">
        <f>IFERROR(VLOOKUP(Tablo516[[#This Row],[HAMMADDE KODU]],Tablo1[#All],4,0)," ")</f>
        <v xml:space="preserve"> </v>
      </c>
      <c r="Q441" s="100" t="str">
        <f>IFERROR(VLOOKUP(Tablo516[[#This Row],[ÜRÜN KODU]],YMKODLARI!$A$1:$K$383,5,0)," ")</f>
        <v xml:space="preserve"> </v>
      </c>
      <c r="R441" s="100" t="str">
        <f>IFERROR(VLOOKUP(Tablo516[[#This Row],[ÜRÜN KODU]],YMKODLARI!$A$1:$K$383,6,0)," ")</f>
        <v xml:space="preserve"> </v>
      </c>
      <c r="S441" s="100" t="str">
        <f>IFERROR(Tablo516[[#This Row],[YOLLUK HARİÇ BASKI GRAMI]]/Tablo516[[#This Row],[KALIP GÖZ ADEDİ]]," ")</f>
        <v xml:space="preserve"> </v>
      </c>
      <c r="T441" s="100" t="str">
        <f t="shared" si="44"/>
        <v xml:space="preserve"> </v>
      </c>
      <c r="U441" s="100"/>
      <c r="V441" s="100" t="str">
        <f t="shared" si="43"/>
        <v xml:space="preserve"> </v>
      </c>
      <c r="W441" s="101">
        <f t="shared" si="45"/>
        <v>24</v>
      </c>
      <c r="X441" s="102">
        <f t="shared" si="46"/>
        <v>0</v>
      </c>
      <c r="Y441" s="100" t="str">
        <f t="shared" si="47"/>
        <v xml:space="preserve"> </v>
      </c>
      <c r="Z441" s="100" t="str">
        <f t="shared" si="48"/>
        <v xml:space="preserve"> </v>
      </c>
    </row>
    <row r="442" spans="1:26">
      <c r="A442" s="100"/>
      <c r="B442" s="108" t="str">
        <f>IFERROR(VLOOKUP(Tablo516[[#This Row],[ÜRÜN KODU]],YMKODLARI!$A$1:$K$383,2,0)," ")</f>
        <v xml:space="preserve"> </v>
      </c>
      <c r="C442" s="99"/>
      <c r="D442" s="100"/>
      <c r="E442" s="101"/>
      <c r="F442" s="101"/>
      <c r="G442" s="100" t="str">
        <f>IFERROR(VLOOKUP(Tablo516[[#This Row],[ÜRÜN KODU]],YMKODLARI!$A$1:$K$383,3,0)," ")</f>
        <v xml:space="preserve"> </v>
      </c>
      <c r="H442" s="100" t="str">
        <f>IFERROR(VLOOKUP(Tablo516[[#This Row],[ÜRÜN KODU]],YMKODLARI!$A$1:$K$383,4,0)," ")</f>
        <v xml:space="preserve"> </v>
      </c>
      <c r="I442" s="100"/>
      <c r="J442" s="100" t="str">
        <f>IFERROR(VLOOKUP(Tablo516[[#This Row],[ÜRÜN KODU]],YMKODLARI!$A$1:$K$383,9,0)," ")</f>
        <v xml:space="preserve"> </v>
      </c>
      <c r="K442" s="100" t="str">
        <f>IFERROR(VLOOKUP(Tablo516[[#This Row],[BOYA KODU]],Tablo14[#All],4,0)," ")</f>
        <v xml:space="preserve"> </v>
      </c>
      <c r="L442" s="100" t="str">
        <f>IFERROR(VLOOKUP(Tablo516[[#This Row],[BOYA KODU]],Tablo14[#All],6,0)," ")</f>
        <v xml:space="preserve"> </v>
      </c>
      <c r="M442" s="100" t="str">
        <f t="shared" si="42"/>
        <v xml:space="preserve"> </v>
      </c>
      <c r="N442" s="100" t="str">
        <f>IFERROR(VLOOKUP(Tablo516[[#This Row],[ÜRÜN KODU]],YMKODLARI!$A$1:$K$383,8,0)," ")</f>
        <v xml:space="preserve"> </v>
      </c>
      <c r="O442" s="100" t="str">
        <f>IFERROR(VLOOKUP(Tablo516[[#This Row],[HAMMADDE KODU]],Tablo1[#All],3,0)," ")</f>
        <v xml:space="preserve"> </v>
      </c>
      <c r="P442" s="100" t="str">
        <f>IFERROR(VLOOKUP(Tablo516[[#This Row],[HAMMADDE KODU]],Tablo1[#All],4,0)," ")</f>
        <v xml:space="preserve"> </v>
      </c>
      <c r="Q442" s="100" t="str">
        <f>IFERROR(VLOOKUP(Tablo516[[#This Row],[ÜRÜN KODU]],YMKODLARI!$A$1:$K$383,5,0)," ")</f>
        <v xml:space="preserve"> </v>
      </c>
      <c r="R442" s="100" t="str">
        <f>IFERROR(VLOOKUP(Tablo516[[#This Row],[ÜRÜN KODU]],YMKODLARI!$A$1:$K$383,6,0)," ")</f>
        <v xml:space="preserve"> </v>
      </c>
      <c r="S442" s="100" t="str">
        <f>IFERROR(Tablo516[[#This Row],[YOLLUK HARİÇ BASKI GRAMI]]/Tablo516[[#This Row],[KALIP GÖZ ADEDİ]]," ")</f>
        <v xml:space="preserve"> </v>
      </c>
      <c r="T442" s="100" t="str">
        <f t="shared" si="44"/>
        <v xml:space="preserve"> </v>
      </c>
      <c r="U442" s="100"/>
      <c r="V442" s="100" t="str">
        <f t="shared" si="43"/>
        <v xml:space="preserve"> </v>
      </c>
      <c r="W442" s="101">
        <f t="shared" si="45"/>
        <v>24</v>
      </c>
      <c r="X442" s="102">
        <f t="shared" si="46"/>
        <v>0</v>
      </c>
      <c r="Y442" s="100" t="str">
        <f t="shared" si="47"/>
        <v xml:space="preserve"> </v>
      </c>
      <c r="Z442" s="100" t="str">
        <f t="shared" si="48"/>
        <v xml:space="preserve"> </v>
      </c>
    </row>
    <row r="443" spans="1:26">
      <c r="A443" s="100"/>
      <c r="B443" s="108" t="str">
        <f>IFERROR(VLOOKUP(Tablo516[[#This Row],[ÜRÜN KODU]],YMKODLARI!$A$1:$K$383,2,0)," ")</f>
        <v xml:space="preserve"> </v>
      </c>
      <c r="C443" s="99"/>
      <c r="D443" s="100"/>
      <c r="E443" s="101"/>
      <c r="F443" s="101"/>
      <c r="G443" s="100" t="str">
        <f>IFERROR(VLOOKUP(Tablo516[[#This Row],[ÜRÜN KODU]],YMKODLARI!$A$1:$K$383,3,0)," ")</f>
        <v xml:space="preserve"> </v>
      </c>
      <c r="H443" s="100" t="str">
        <f>IFERROR(VLOOKUP(Tablo516[[#This Row],[ÜRÜN KODU]],YMKODLARI!$A$1:$K$383,4,0)," ")</f>
        <v xml:space="preserve"> </v>
      </c>
      <c r="I443" s="100"/>
      <c r="J443" s="100" t="str">
        <f>IFERROR(VLOOKUP(Tablo516[[#This Row],[ÜRÜN KODU]],YMKODLARI!$A$1:$K$383,9,0)," ")</f>
        <v xml:space="preserve"> </v>
      </c>
      <c r="K443" s="100" t="str">
        <f>IFERROR(VLOOKUP(Tablo516[[#This Row],[BOYA KODU]],Tablo14[#All],4,0)," ")</f>
        <v xml:space="preserve"> </v>
      </c>
      <c r="L443" s="100" t="str">
        <f>IFERROR(VLOOKUP(Tablo516[[#This Row],[BOYA KODU]],Tablo14[#All],6,0)," ")</f>
        <v xml:space="preserve"> </v>
      </c>
      <c r="M443" s="100" t="str">
        <f t="shared" si="42"/>
        <v xml:space="preserve"> </v>
      </c>
      <c r="N443" s="100" t="str">
        <f>IFERROR(VLOOKUP(Tablo516[[#This Row],[ÜRÜN KODU]],YMKODLARI!$A$1:$K$383,8,0)," ")</f>
        <v xml:space="preserve"> </v>
      </c>
      <c r="O443" s="100" t="str">
        <f>IFERROR(VLOOKUP(Tablo516[[#This Row],[HAMMADDE KODU]],Tablo1[#All],3,0)," ")</f>
        <v xml:space="preserve"> </v>
      </c>
      <c r="P443" s="100" t="str">
        <f>IFERROR(VLOOKUP(Tablo516[[#This Row],[HAMMADDE KODU]],Tablo1[#All],4,0)," ")</f>
        <v xml:space="preserve"> </v>
      </c>
      <c r="Q443" s="100" t="str">
        <f>IFERROR(VLOOKUP(Tablo516[[#This Row],[ÜRÜN KODU]],YMKODLARI!$A$1:$K$383,5,0)," ")</f>
        <v xml:space="preserve"> </v>
      </c>
      <c r="R443" s="100" t="str">
        <f>IFERROR(VLOOKUP(Tablo516[[#This Row],[ÜRÜN KODU]],YMKODLARI!$A$1:$K$383,6,0)," ")</f>
        <v xml:space="preserve"> </v>
      </c>
      <c r="S443" s="100" t="str">
        <f>IFERROR(Tablo516[[#This Row],[YOLLUK HARİÇ BASKI GRAMI]]/Tablo516[[#This Row],[KALIP GÖZ ADEDİ]]," ")</f>
        <v xml:space="preserve"> </v>
      </c>
      <c r="T443" s="100" t="str">
        <f t="shared" si="44"/>
        <v xml:space="preserve"> </v>
      </c>
      <c r="U443" s="100"/>
      <c r="V443" s="100" t="str">
        <f t="shared" si="43"/>
        <v xml:space="preserve"> </v>
      </c>
      <c r="W443" s="101">
        <f t="shared" si="45"/>
        <v>24</v>
      </c>
      <c r="X443" s="102">
        <f t="shared" si="46"/>
        <v>0</v>
      </c>
      <c r="Y443" s="100" t="str">
        <f t="shared" si="47"/>
        <v xml:space="preserve"> </v>
      </c>
      <c r="Z443" s="100" t="str">
        <f t="shared" si="48"/>
        <v xml:space="preserve"> </v>
      </c>
    </row>
    <row r="444" spans="1:26">
      <c r="A444" s="100"/>
      <c r="B444" s="108" t="str">
        <f>IFERROR(VLOOKUP(Tablo516[[#This Row],[ÜRÜN KODU]],YMKODLARI!$A$1:$K$383,2,0)," ")</f>
        <v xml:space="preserve"> </v>
      </c>
      <c r="C444" s="99"/>
      <c r="D444" s="100"/>
      <c r="E444" s="101"/>
      <c r="F444" s="101"/>
      <c r="G444" s="100" t="str">
        <f>IFERROR(VLOOKUP(Tablo516[[#This Row],[ÜRÜN KODU]],YMKODLARI!$A$1:$K$383,3,0)," ")</f>
        <v xml:space="preserve"> </v>
      </c>
      <c r="H444" s="100" t="str">
        <f>IFERROR(VLOOKUP(Tablo516[[#This Row],[ÜRÜN KODU]],YMKODLARI!$A$1:$K$383,4,0)," ")</f>
        <v xml:space="preserve"> </v>
      </c>
      <c r="I444" s="100"/>
      <c r="J444" s="100" t="str">
        <f>IFERROR(VLOOKUP(Tablo516[[#This Row],[ÜRÜN KODU]],YMKODLARI!$A$1:$K$383,9,0)," ")</f>
        <v xml:space="preserve"> </v>
      </c>
      <c r="K444" s="100" t="str">
        <f>IFERROR(VLOOKUP(Tablo516[[#This Row],[BOYA KODU]],Tablo14[#All],4,0)," ")</f>
        <v xml:space="preserve"> </v>
      </c>
      <c r="L444" s="100" t="str">
        <f>IFERROR(VLOOKUP(Tablo516[[#This Row],[BOYA KODU]],Tablo14[#All],6,0)," ")</f>
        <v xml:space="preserve"> </v>
      </c>
      <c r="M444" s="100" t="str">
        <f t="shared" si="42"/>
        <v xml:space="preserve"> </v>
      </c>
      <c r="N444" s="100" t="str">
        <f>IFERROR(VLOOKUP(Tablo516[[#This Row],[ÜRÜN KODU]],YMKODLARI!$A$1:$K$383,8,0)," ")</f>
        <v xml:space="preserve"> </v>
      </c>
      <c r="O444" s="100" t="str">
        <f>IFERROR(VLOOKUP(Tablo516[[#This Row],[HAMMADDE KODU]],Tablo1[#All],3,0)," ")</f>
        <v xml:space="preserve"> </v>
      </c>
      <c r="P444" s="100" t="str">
        <f>IFERROR(VLOOKUP(Tablo516[[#This Row],[HAMMADDE KODU]],Tablo1[#All],4,0)," ")</f>
        <v xml:space="preserve"> </v>
      </c>
      <c r="Q444" s="100" t="str">
        <f>IFERROR(VLOOKUP(Tablo516[[#This Row],[ÜRÜN KODU]],YMKODLARI!$A$1:$K$383,5,0)," ")</f>
        <v xml:space="preserve"> </v>
      </c>
      <c r="R444" s="100" t="str">
        <f>IFERROR(VLOOKUP(Tablo516[[#This Row],[ÜRÜN KODU]],YMKODLARI!$A$1:$K$383,6,0)," ")</f>
        <v xml:space="preserve"> </v>
      </c>
      <c r="S444" s="100" t="str">
        <f>IFERROR(Tablo516[[#This Row],[YOLLUK HARİÇ BASKI GRAMI]]/Tablo516[[#This Row],[KALIP GÖZ ADEDİ]]," ")</f>
        <v xml:space="preserve"> </v>
      </c>
      <c r="T444" s="100" t="str">
        <f t="shared" si="44"/>
        <v xml:space="preserve"> </v>
      </c>
      <c r="U444" s="100"/>
      <c r="V444" s="100" t="str">
        <f t="shared" si="43"/>
        <v xml:space="preserve"> </v>
      </c>
      <c r="W444" s="101">
        <f t="shared" si="45"/>
        <v>24</v>
      </c>
      <c r="X444" s="102">
        <f t="shared" si="46"/>
        <v>0</v>
      </c>
      <c r="Y444" s="100" t="str">
        <f t="shared" si="47"/>
        <v xml:space="preserve"> </v>
      </c>
      <c r="Z444" s="100" t="str">
        <f t="shared" si="48"/>
        <v xml:space="preserve"> </v>
      </c>
    </row>
    <row r="445" spans="1:26">
      <c r="A445" s="100"/>
      <c r="B445" s="108" t="str">
        <f>IFERROR(VLOOKUP(Tablo516[[#This Row],[ÜRÜN KODU]],YMKODLARI!$A$1:$K$383,2,0)," ")</f>
        <v xml:space="preserve"> </v>
      </c>
      <c r="C445" s="99"/>
      <c r="D445" s="100"/>
      <c r="E445" s="101"/>
      <c r="F445" s="101"/>
      <c r="G445" s="100" t="str">
        <f>IFERROR(VLOOKUP(Tablo516[[#This Row],[ÜRÜN KODU]],YMKODLARI!$A$1:$K$383,3,0)," ")</f>
        <v xml:space="preserve"> </v>
      </c>
      <c r="H445" s="100" t="str">
        <f>IFERROR(VLOOKUP(Tablo516[[#This Row],[ÜRÜN KODU]],YMKODLARI!$A$1:$K$383,4,0)," ")</f>
        <v xml:space="preserve"> </v>
      </c>
      <c r="I445" s="100"/>
      <c r="J445" s="100" t="str">
        <f>IFERROR(VLOOKUP(Tablo516[[#This Row],[ÜRÜN KODU]],YMKODLARI!$A$1:$K$383,9,0)," ")</f>
        <v xml:space="preserve"> </v>
      </c>
      <c r="K445" s="100" t="str">
        <f>IFERROR(VLOOKUP(Tablo516[[#This Row],[BOYA KODU]],Tablo14[#All],4,0)," ")</f>
        <v xml:space="preserve"> </v>
      </c>
      <c r="L445" s="100" t="str">
        <f>IFERROR(VLOOKUP(Tablo516[[#This Row],[BOYA KODU]],Tablo14[#All],6,0)," ")</f>
        <v xml:space="preserve"> </v>
      </c>
      <c r="M445" s="100" t="str">
        <f t="shared" si="42"/>
        <v xml:space="preserve"> </v>
      </c>
      <c r="N445" s="100" t="str">
        <f>IFERROR(VLOOKUP(Tablo516[[#This Row],[ÜRÜN KODU]],YMKODLARI!$A$1:$K$383,8,0)," ")</f>
        <v xml:space="preserve"> </v>
      </c>
      <c r="O445" s="100" t="str">
        <f>IFERROR(VLOOKUP(Tablo516[[#This Row],[HAMMADDE KODU]],Tablo1[#All],3,0)," ")</f>
        <v xml:space="preserve"> </v>
      </c>
      <c r="P445" s="100" t="str">
        <f>IFERROR(VLOOKUP(Tablo516[[#This Row],[HAMMADDE KODU]],Tablo1[#All],4,0)," ")</f>
        <v xml:space="preserve"> </v>
      </c>
      <c r="Q445" s="100" t="str">
        <f>IFERROR(VLOOKUP(Tablo516[[#This Row],[ÜRÜN KODU]],YMKODLARI!$A$1:$K$383,5,0)," ")</f>
        <v xml:space="preserve"> </v>
      </c>
      <c r="R445" s="100" t="str">
        <f>IFERROR(VLOOKUP(Tablo516[[#This Row],[ÜRÜN KODU]],YMKODLARI!$A$1:$K$383,6,0)," ")</f>
        <v xml:space="preserve"> </v>
      </c>
      <c r="S445" s="100" t="str">
        <f>IFERROR(Tablo516[[#This Row],[YOLLUK HARİÇ BASKI GRAMI]]/Tablo516[[#This Row],[KALIP GÖZ ADEDİ]]," ")</f>
        <v xml:space="preserve"> </v>
      </c>
      <c r="T445" s="100" t="str">
        <f t="shared" si="44"/>
        <v xml:space="preserve"> </v>
      </c>
      <c r="U445" s="100"/>
      <c r="V445" s="100" t="str">
        <f t="shared" si="43"/>
        <v xml:space="preserve"> </v>
      </c>
      <c r="W445" s="101">
        <f t="shared" si="45"/>
        <v>24</v>
      </c>
      <c r="X445" s="102">
        <f t="shared" si="46"/>
        <v>0</v>
      </c>
      <c r="Y445" s="100" t="str">
        <f t="shared" si="47"/>
        <v xml:space="preserve"> </v>
      </c>
      <c r="Z445" s="100" t="str">
        <f t="shared" si="48"/>
        <v xml:space="preserve"> </v>
      </c>
    </row>
    <row r="446" spans="1:26">
      <c r="A446" s="100"/>
      <c r="B446" s="108" t="str">
        <f>IFERROR(VLOOKUP(Tablo516[[#This Row],[ÜRÜN KODU]],YMKODLARI!$A$1:$K$383,2,0)," ")</f>
        <v xml:space="preserve"> </v>
      </c>
      <c r="C446" s="99"/>
      <c r="D446" s="100"/>
      <c r="E446" s="101"/>
      <c r="F446" s="101"/>
      <c r="G446" s="100" t="str">
        <f>IFERROR(VLOOKUP(Tablo516[[#This Row],[ÜRÜN KODU]],YMKODLARI!$A$1:$K$383,3,0)," ")</f>
        <v xml:space="preserve"> </v>
      </c>
      <c r="H446" s="100" t="str">
        <f>IFERROR(VLOOKUP(Tablo516[[#This Row],[ÜRÜN KODU]],YMKODLARI!$A$1:$K$383,4,0)," ")</f>
        <v xml:space="preserve"> </v>
      </c>
      <c r="I446" s="100"/>
      <c r="J446" s="100" t="str">
        <f>IFERROR(VLOOKUP(Tablo516[[#This Row],[ÜRÜN KODU]],YMKODLARI!$A$1:$K$383,9,0)," ")</f>
        <v xml:space="preserve"> </v>
      </c>
      <c r="K446" s="100" t="str">
        <f>IFERROR(VLOOKUP(Tablo516[[#This Row],[BOYA KODU]],Tablo14[#All],4,0)," ")</f>
        <v xml:space="preserve"> </v>
      </c>
      <c r="L446" s="100" t="str">
        <f>IFERROR(VLOOKUP(Tablo516[[#This Row],[BOYA KODU]],Tablo14[#All],6,0)," ")</f>
        <v xml:space="preserve"> </v>
      </c>
      <c r="M446" s="100" t="str">
        <f t="shared" si="42"/>
        <v xml:space="preserve"> </v>
      </c>
      <c r="N446" s="100" t="str">
        <f>IFERROR(VLOOKUP(Tablo516[[#This Row],[ÜRÜN KODU]],YMKODLARI!$A$1:$K$383,8,0)," ")</f>
        <v xml:space="preserve"> </v>
      </c>
      <c r="O446" s="100" t="str">
        <f>IFERROR(VLOOKUP(Tablo516[[#This Row],[HAMMADDE KODU]],Tablo1[#All],3,0)," ")</f>
        <v xml:space="preserve"> </v>
      </c>
      <c r="P446" s="100" t="str">
        <f>IFERROR(VLOOKUP(Tablo516[[#This Row],[HAMMADDE KODU]],Tablo1[#All],4,0)," ")</f>
        <v xml:space="preserve"> </v>
      </c>
      <c r="Q446" s="100" t="str">
        <f>IFERROR(VLOOKUP(Tablo516[[#This Row],[ÜRÜN KODU]],YMKODLARI!$A$1:$K$383,5,0)," ")</f>
        <v xml:space="preserve"> </v>
      </c>
      <c r="R446" s="100" t="str">
        <f>IFERROR(VLOOKUP(Tablo516[[#This Row],[ÜRÜN KODU]],YMKODLARI!$A$1:$K$383,6,0)," ")</f>
        <v xml:space="preserve"> </v>
      </c>
      <c r="S446" s="100" t="str">
        <f>IFERROR(Tablo516[[#This Row],[YOLLUK HARİÇ BASKI GRAMI]]/Tablo516[[#This Row],[KALIP GÖZ ADEDİ]]," ")</f>
        <v xml:space="preserve"> </v>
      </c>
      <c r="T446" s="100" t="str">
        <f t="shared" si="44"/>
        <v xml:space="preserve"> </v>
      </c>
      <c r="U446" s="100"/>
      <c r="V446" s="100" t="str">
        <f t="shared" si="43"/>
        <v xml:space="preserve"> </v>
      </c>
      <c r="W446" s="101">
        <f t="shared" si="45"/>
        <v>24</v>
      </c>
      <c r="X446" s="102">
        <f t="shared" si="46"/>
        <v>0</v>
      </c>
      <c r="Y446" s="100" t="str">
        <f t="shared" si="47"/>
        <v xml:space="preserve"> </v>
      </c>
      <c r="Z446" s="100" t="str">
        <f t="shared" si="48"/>
        <v xml:space="preserve"> </v>
      </c>
    </row>
    <row r="447" spans="1:26">
      <c r="A447" s="100"/>
      <c r="B447" s="108" t="str">
        <f>IFERROR(VLOOKUP(Tablo516[[#This Row],[ÜRÜN KODU]],YMKODLARI!$A$1:$K$383,2,0)," ")</f>
        <v xml:space="preserve"> </v>
      </c>
      <c r="C447" s="99"/>
      <c r="D447" s="100"/>
      <c r="E447" s="101"/>
      <c r="F447" s="101"/>
      <c r="G447" s="100" t="str">
        <f>IFERROR(VLOOKUP(Tablo516[[#This Row],[ÜRÜN KODU]],YMKODLARI!$A$1:$K$383,3,0)," ")</f>
        <v xml:space="preserve"> </v>
      </c>
      <c r="H447" s="100" t="str">
        <f>IFERROR(VLOOKUP(Tablo516[[#This Row],[ÜRÜN KODU]],YMKODLARI!$A$1:$K$383,4,0)," ")</f>
        <v xml:space="preserve"> </v>
      </c>
      <c r="I447" s="100"/>
      <c r="J447" s="100" t="str">
        <f>IFERROR(VLOOKUP(Tablo516[[#This Row],[ÜRÜN KODU]],YMKODLARI!$A$1:$K$383,9,0)," ")</f>
        <v xml:space="preserve"> </v>
      </c>
      <c r="K447" s="100" t="str">
        <f>IFERROR(VLOOKUP(Tablo516[[#This Row],[BOYA KODU]],Tablo14[#All],4,0)," ")</f>
        <v xml:space="preserve"> </v>
      </c>
      <c r="L447" s="100" t="str">
        <f>IFERROR(VLOOKUP(Tablo516[[#This Row],[BOYA KODU]],Tablo14[#All],6,0)," ")</f>
        <v xml:space="preserve"> </v>
      </c>
      <c r="M447" s="100" t="str">
        <f t="shared" si="42"/>
        <v xml:space="preserve"> </v>
      </c>
      <c r="N447" s="100" t="str">
        <f>IFERROR(VLOOKUP(Tablo516[[#This Row],[ÜRÜN KODU]],YMKODLARI!$A$1:$K$383,8,0)," ")</f>
        <v xml:space="preserve"> </v>
      </c>
      <c r="O447" s="100" t="str">
        <f>IFERROR(VLOOKUP(Tablo516[[#This Row],[HAMMADDE KODU]],Tablo1[#All],3,0)," ")</f>
        <v xml:space="preserve"> </v>
      </c>
      <c r="P447" s="100" t="str">
        <f>IFERROR(VLOOKUP(Tablo516[[#This Row],[HAMMADDE KODU]],Tablo1[#All],4,0)," ")</f>
        <v xml:space="preserve"> </v>
      </c>
      <c r="Q447" s="100" t="str">
        <f>IFERROR(VLOOKUP(Tablo516[[#This Row],[ÜRÜN KODU]],YMKODLARI!$A$1:$K$383,5,0)," ")</f>
        <v xml:space="preserve"> </v>
      </c>
      <c r="R447" s="100" t="str">
        <f>IFERROR(VLOOKUP(Tablo516[[#This Row],[ÜRÜN KODU]],YMKODLARI!$A$1:$K$383,6,0)," ")</f>
        <v xml:space="preserve"> </v>
      </c>
      <c r="S447" s="100" t="str">
        <f>IFERROR(Tablo516[[#This Row],[YOLLUK HARİÇ BASKI GRAMI]]/Tablo516[[#This Row],[KALIP GÖZ ADEDİ]]," ")</f>
        <v xml:space="preserve"> </v>
      </c>
      <c r="T447" s="100" t="str">
        <f t="shared" si="44"/>
        <v xml:space="preserve"> </v>
      </c>
      <c r="U447" s="100"/>
      <c r="V447" s="100" t="str">
        <f t="shared" si="43"/>
        <v xml:space="preserve"> </v>
      </c>
      <c r="W447" s="101">
        <f t="shared" si="45"/>
        <v>24</v>
      </c>
      <c r="X447" s="102">
        <f t="shared" si="46"/>
        <v>0</v>
      </c>
      <c r="Y447" s="100" t="str">
        <f t="shared" si="47"/>
        <v xml:space="preserve"> </v>
      </c>
      <c r="Z447" s="100" t="str">
        <f t="shared" si="48"/>
        <v xml:space="preserve"> </v>
      </c>
    </row>
    <row r="448" spans="1:26">
      <c r="A448" s="100"/>
      <c r="B448" s="108" t="str">
        <f>IFERROR(VLOOKUP(Tablo516[[#This Row],[ÜRÜN KODU]],YMKODLARI!$A$1:$K$383,2,0)," ")</f>
        <v xml:space="preserve"> </v>
      </c>
      <c r="C448" s="99"/>
      <c r="D448" s="100"/>
      <c r="E448" s="101"/>
      <c r="F448" s="101"/>
      <c r="G448" s="100" t="str">
        <f>IFERROR(VLOOKUP(Tablo516[[#This Row],[ÜRÜN KODU]],YMKODLARI!$A$1:$K$383,3,0)," ")</f>
        <v xml:space="preserve"> </v>
      </c>
      <c r="H448" s="100" t="str">
        <f>IFERROR(VLOOKUP(Tablo516[[#This Row],[ÜRÜN KODU]],YMKODLARI!$A$1:$K$383,4,0)," ")</f>
        <v xml:space="preserve"> </v>
      </c>
      <c r="I448" s="100"/>
      <c r="J448" s="100" t="str">
        <f>IFERROR(VLOOKUP(Tablo516[[#This Row],[ÜRÜN KODU]],YMKODLARI!$A$1:$K$383,9,0)," ")</f>
        <v xml:space="preserve"> </v>
      </c>
      <c r="K448" s="100" t="str">
        <f>IFERROR(VLOOKUP(Tablo516[[#This Row],[BOYA KODU]],Tablo14[#All],4,0)," ")</f>
        <v xml:space="preserve"> </v>
      </c>
      <c r="L448" s="100" t="str">
        <f>IFERROR(VLOOKUP(Tablo516[[#This Row],[BOYA KODU]],Tablo14[#All],6,0)," ")</f>
        <v xml:space="preserve"> </v>
      </c>
      <c r="M448" s="100" t="str">
        <f t="shared" si="42"/>
        <v xml:space="preserve"> </v>
      </c>
      <c r="N448" s="100" t="str">
        <f>IFERROR(VLOOKUP(Tablo516[[#This Row],[ÜRÜN KODU]],YMKODLARI!$A$1:$K$383,8,0)," ")</f>
        <v xml:space="preserve"> </v>
      </c>
      <c r="O448" s="100" t="str">
        <f>IFERROR(VLOOKUP(Tablo516[[#This Row],[HAMMADDE KODU]],Tablo1[#All],3,0)," ")</f>
        <v xml:space="preserve"> </v>
      </c>
      <c r="P448" s="100" t="str">
        <f>IFERROR(VLOOKUP(Tablo516[[#This Row],[HAMMADDE KODU]],Tablo1[#All],4,0)," ")</f>
        <v xml:space="preserve"> </v>
      </c>
      <c r="Q448" s="100" t="str">
        <f>IFERROR(VLOOKUP(Tablo516[[#This Row],[ÜRÜN KODU]],YMKODLARI!$A$1:$K$383,5,0)," ")</f>
        <v xml:space="preserve"> </v>
      </c>
      <c r="R448" s="100" t="str">
        <f>IFERROR(VLOOKUP(Tablo516[[#This Row],[ÜRÜN KODU]],YMKODLARI!$A$1:$K$383,6,0)," ")</f>
        <v xml:space="preserve"> </v>
      </c>
      <c r="S448" s="100" t="str">
        <f>IFERROR(Tablo516[[#This Row],[YOLLUK HARİÇ BASKI GRAMI]]/Tablo516[[#This Row],[KALIP GÖZ ADEDİ]]," ")</f>
        <v xml:space="preserve"> </v>
      </c>
      <c r="T448" s="100" t="str">
        <f t="shared" si="44"/>
        <v xml:space="preserve"> </v>
      </c>
      <c r="U448" s="100"/>
      <c r="V448" s="100" t="str">
        <f t="shared" si="43"/>
        <v xml:space="preserve"> </v>
      </c>
      <c r="W448" s="101">
        <f t="shared" si="45"/>
        <v>24</v>
      </c>
      <c r="X448" s="102">
        <f t="shared" si="46"/>
        <v>0</v>
      </c>
      <c r="Y448" s="100" t="str">
        <f t="shared" si="47"/>
        <v xml:space="preserve"> </v>
      </c>
      <c r="Z448" s="100" t="str">
        <f t="shared" si="48"/>
        <v xml:space="preserve"> </v>
      </c>
    </row>
    <row r="449" spans="1:26">
      <c r="A449" s="100"/>
      <c r="B449" s="108" t="str">
        <f>IFERROR(VLOOKUP(Tablo516[[#This Row],[ÜRÜN KODU]],YMKODLARI!$A$1:$K$383,2,0)," ")</f>
        <v xml:space="preserve"> </v>
      </c>
      <c r="C449" s="99"/>
      <c r="D449" s="100"/>
      <c r="E449" s="101"/>
      <c r="F449" s="101"/>
      <c r="G449" s="100" t="str">
        <f>IFERROR(VLOOKUP(Tablo516[[#This Row],[ÜRÜN KODU]],YMKODLARI!$A$1:$K$383,3,0)," ")</f>
        <v xml:space="preserve"> </v>
      </c>
      <c r="H449" s="100" t="str">
        <f>IFERROR(VLOOKUP(Tablo516[[#This Row],[ÜRÜN KODU]],YMKODLARI!$A$1:$K$383,4,0)," ")</f>
        <v xml:space="preserve"> </v>
      </c>
      <c r="I449" s="100"/>
      <c r="J449" s="100" t="str">
        <f>IFERROR(VLOOKUP(Tablo516[[#This Row],[ÜRÜN KODU]],YMKODLARI!$A$1:$K$383,9,0)," ")</f>
        <v xml:space="preserve"> </v>
      </c>
      <c r="K449" s="100" t="str">
        <f>IFERROR(VLOOKUP(Tablo516[[#This Row],[BOYA KODU]],Tablo14[#All],4,0)," ")</f>
        <v xml:space="preserve"> </v>
      </c>
      <c r="L449" s="100" t="str">
        <f>IFERROR(VLOOKUP(Tablo516[[#This Row],[BOYA KODU]],Tablo14[#All],6,0)," ")</f>
        <v xml:space="preserve"> </v>
      </c>
      <c r="M449" s="100" t="str">
        <f t="shared" si="42"/>
        <v xml:space="preserve"> </v>
      </c>
      <c r="N449" s="100" t="str">
        <f>IFERROR(VLOOKUP(Tablo516[[#This Row],[ÜRÜN KODU]],YMKODLARI!$A$1:$K$383,8,0)," ")</f>
        <v xml:space="preserve"> </v>
      </c>
      <c r="O449" s="100" t="str">
        <f>IFERROR(VLOOKUP(Tablo516[[#This Row],[HAMMADDE KODU]],Tablo1[#All],3,0)," ")</f>
        <v xml:space="preserve"> </v>
      </c>
      <c r="P449" s="100" t="str">
        <f>IFERROR(VLOOKUP(Tablo516[[#This Row],[HAMMADDE KODU]],Tablo1[#All],4,0)," ")</f>
        <v xml:space="preserve"> </v>
      </c>
      <c r="Q449" s="100" t="str">
        <f>IFERROR(VLOOKUP(Tablo516[[#This Row],[ÜRÜN KODU]],YMKODLARI!$A$1:$K$383,5,0)," ")</f>
        <v xml:space="preserve"> </v>
      </c>
      <c r="R449" s="100" t="str">
        <f>IFERROR(VLOOKUP(Tablo516[[#This Row],[ÜRÜN KODU]],YMKODLARI!$A$1:$K$383,6,0)," ")</f>
        <v xml:space="preserve"> </v>
      </c>
      <c r="S449" s="100" t="str">
        <f>IFERROR(Tablo516[[#This Row],[YOLLUK HARİÇ BASKI GRAMI]]/Tablo516[[#This Row],[KALIP GÖZ ADEDİ]]," ")</f>
        <v xml:space="preserve"> </v>
      </c>
      <c r="T449" s="100" t="str">
        <f t="shared" si="44"/>
        <v xml:space="preserve"> </v>
      </c>
      <c r="U449" s="100"/>
      <c r="V449" s="100" t="str">
        <f t="shared" si="43"/>
        <v xml:space="preserve"> </v>
      </c>
      <c r="W449" s="101">
        <f t="shared" si="45"/>
        <v>24</v>
      </c>
      <c r="X449" s="102">
        <f t="shared" si="46"/>
        <v>0</v>
      </c>
      <c r="Y449" s="100" t="str">
        <f t="shared" si="47"/>
        <v xml:space="preserve"> </v>
      </c>
      <c r="Z449" s="100" t="str">
        <f t="shared" si="48"/>
        <v xml:space="preserve"> </v>
      </c>
    </row>
    <row r="450" spans="1:26">
      <c r="A450" s="100"/>
      <c r="B450" s="108" t="str">
        <f>IFERROR(VLOOKUP(Tablo516[[#This Row],[ÜRÜN KODU]],YMKODLARI!$A$1:$K$383,2,0)," ")</f>
        <v xml:space="preserve"> </v>
      </c>
      <c r="C450" s="99"/>
      <c r="D450" s="100"/>
      <c r="E450" s="101"/>
      <c r="F450" s="101"/>
      <c r="G450" s="100" t="str">
        <f>IFERROR(VLOOKUP(Tablo516[[#This Row],[ÜRÜN KODU]],YMKODLARI!$A$1:$K$383,3,0)," ")</f>
        <v xml:space="preserve"> </v>
      </c>
      <c r="H450" s="100" t="str">
        <f>IFERROR(VLOOKUP(Tablo516[[#This Row],[ÜRÜN KODU]],YMKODLARI!$A$1:$K$383,4,0)," ")</f>
        <v xml:space="preserve"> </v>
      </c>
      <c r="I450" s="100"/>
      <c r="J450" s="100" t="str">
        <f>IFERROR(VLOOKUP(Tablo516[[#This Row],[ÜRÜN KODU]],YMKODLARI!$A$1:$K$383,9,0)," ")</f>
        <v xml:space="preserve"> </v>
      </c>
      <c r="K450" s="100" t="str">
        <f>IFERROR(VLOOKUP(Tablo516[[#This Row],[BOYA KODU]],Tablo14[#All],4,0)," ")</f>
        <v xml:space="preserve"> </v>
      </c>
      <c r="L450" s="100" t="str">
        <f>IFERROR(VLOOKUP(Tablo516[[#This Row],[BOYA KODU]],Tablo14[#All],6,0)," ")</f>
        <v xml:space="preserve"> </v>
      </c>
      <c r="M450" s="100" t="str">
        <f t="shared" ref="M450:M513" si="49">IFERROR((I450*Q450)*L450," ")</f>
        <v xml:space="preserve"> </v>
      </c>
      <c r="N450" s="100" t="str">
        <f>IFERROR(VLOOKUP(Tablo516[[#This Row],[ÜRÜN KODU]],YMKODLARI!$A$1:$K$383,8,0)," ")</f>
        <v xml:space="preserve"> </v>
      </c>
      <c r="O450" s="100" t="str">
        <f>IFERROR(VLOOKUP(Tablo516[[#This Row],[HAMMADDE KODU]],Tablo1[#All],3,0)," ")</f>
        <v xml:space="preserve"> </v>
      </c>
      <c r="P450" s="100" t="str">
        <f>IFERROR(VLOOKUP(Tablo516[[#This Row],[HAMMADDE KODU]],Tablo1[#All],4,0)," ")</f>
        <v xml:space="preserve"> </v>
      </c>
      <c r="Q450" s="100" t="str">
        <f>IFERROR(VLOOKUP(Tablo516[[#This Row],[ÜRÜN KODU]],YMKODLARI!$A$1:$K$383,5,0)," ")</f>
        <v xml:space="preserve"> </v>
      </c>
      <c r="R450" s="100" t="str">
        <f>IFERROR(VLOOKUP(Tablo516[[#This Row],[ÜRÜN KODU]],YMKODLARI!$A$1:$K$383,6,0)," ")</f>
        <v xml:space="preserve"> </v>
      </c>
      <c r="S450" s="100" t="str">
        <f>IFERROR(Tablo516[[#This Row],[YOLLUK HARİÇ BASKI GRAMI]]/Tablo516[[#This Row],[KALIP GÖZ ADEDİ]]," ")</f>
        <v xml:space="preserve"> </v>
      </c>
      <c r="T450" s="100" t="str">
        <f t="shared" si="44"/>
        <v xml:space="preserve"> </v>
      </c>
      <c r="U450" s="100"/>
      <c r="V450" s="100" t="str">
        <f t="shared" ref="V450:V513" si="50">IFERROR(U450+(R450*I450) /1000," ")</f>
        <v xml:space="preserve"> </v>
      </c>
      <c r="W450" s="101">
        <f t="shared" si="45"/>
        <v>24</v>
      </c>
      <c r="X450" s="102">
        <f t="shared" si="46"/>
        <v>0</v>
      </c>
      <c r="Y450" s="100" t="str">
        <f t="shared" si="47"/>
        <v xml:space="preserve"> </v>
      </c>
      <c r="Z450" s="100" t="str">
        <f t="shared" si="48"/>
        <v xml:space="preserve"> </v>
      </c>
    </row>
    <row r="451" spans="1:26">
      <c r="A451" s="100"/>
      <c r="B451" s="108" t="str">
        <f>IFERROR(VLOOKUP(Tablo516[[#This Row],[ÜRÜN KODU]],YMKODLARI!$A$1:$K$383,2,0)," ")</f>
        <v xml:space="preserve"> </v>
      </c>
      <c r="C451" s="99"/>
      <c r="D451" s="100"/>
      <c r="E451" s="101"/>
      <c r="F451" s="101"/>
      <c r="G451" s="100" t="str">
        <f>IFERROR(VLOOKUP(Tablo516[[#This Row],[ÜRÜN KODU]],YMKODLARI!$A$1:$K$383,3,0)," ")</f>
        <v xml:space="preserve"> </v>
      </c>
      <c r="H451" s="100" t="str">
        <f>IFERROR(VLOOKUP(Tablo516[[#This Row],[ÜRÜN KODU]],YMKODLARI!$A$1:$K$383,4,0)," ")</f>
        <v xml:space="preserve"> </v>
      </c>
      <c r="I451" s="100"/>
      <c r="J451" s="100" t="str">
        <f>IFERROR(VLOOKUP(Tablo516[[#This Row],[ÜRÜN KODU]],YMKODLARI!$A$1:$K$383,9,0)," ")</f>
        <v xml:space="preserve"> </v>
      </c>
      <c r="K451" s="100" t="str">
        <f>IFERROR(VLOOKUP(Tablo516[[#This Row],[BOYA KODU]],Tablo14[#All],4,0)," ")</f>
        <v xml:space="preserve"> </v>
      </c>
      <c r="L451" s="100" t="str">
        <f>IFERROR(VLOOKUP(Tablo516[[#This Row],[BOYA KODU]],Tablo14[#All],6,0)," ")</f>
        <v xml:space="preserve"> </v>
      </c>
      <c r="M451" s="100" t="str">
        <f t="shared" si="49"/>
        <v xml:space="preserve"> </v>
      </c>
      <c r="N451" s="100" t="str">
        <f>IFERROR(VLOOKUP(Tablo516[[#This Row],[ÜRÜN KODU]],YMKODLARI!$A$1:$K$383,8,0)," ")</f>
        <v xml:space="preserve"> </v>
      </c>
      <c r="O451" s="100" t="str">
        <f>IFERROR(VLOOKUP(Tablo516[[#This Row],[HAMMADDE KODU]],Tablo1[#All],3,0)," ")</f>
        <v xml:space="preserve"> </v>
      </c>
      <c r="P451" s="100" t="str">
        <f>IFERROR(VLOOKUP(Tablo516[[#This Row],[HAMMADDE KODU]],Tablo1[#All],4,0)," ")</f>
        <v xml:space="preserve"> </v>
      </c>
      <c r="Q451" s="100" t="str">
        <f>IFERROR(VLOOKUP(Tablo516[[#This Row],[ÜRÜN KODU]],YMKODLARI!$A$1:$K$383,5,0)," ")</f>
        <v xml:space="preserve"> </v>
      </c>
      <c r="R451" s="100" t="str">
        <f>IFERROR(VLOOKUP(Tablo516[[#This Row],[ÜRÜN KODU]],YMKODLARI!$A$1:$K$383,6,0)," ")</f>
        <v xml:space="preserve"> </v>
      </c>
      <c r="S451" s="100" t="str">
        <f>IFERROR(Tablo516[[#This Row],[YOLLUK HARİÇ BASKI GRAMI]]/Tablo516[[#This Row],[KALIP GÖZ ADEDİ]]," ")</f>
        <v xml:space="preserve"> </v>
      </c>
      <c r="T451" s="100" t="str">
        <f t="shared" ref="T451:T514" si="51">IFERROR(Q451-R451," ")</f>
        <v xml:space="preserve"> </v>
      </c>
      <c r="U451" s="100"/>
      <c r="V451" s="100" t="str">
        <f t="shared" si="50"/>
        <v xml:space="preserve"> </v>
      </c>
      <c r="W451" s="101">
        <f t="shared" ref="W451:W514" si="52">IFERROR(24-(E451-F451)," ")</f>
        <v>24</v>
      </c>
      <c r="X451" s="102">
        <f t="shared" ref="X451:X514" si="53">IFERROR((W451-INT(W451))*24," ")</f>
        <v>0</v>
      </c>
      <c r="Y451" s="100" t="str">
        <f t="shared" ref="Y451:Y514" si="54">IFERROR(H451*I451/3600," ")</f>
        <v xml:space="preserve"> </v>
      </c>
      <c r="Z451" s="100" t="str">
        <f t="shared" ref="Z451:Z514" si="55">IFERROR(I451*G451," " )</f>
        <v xml:space="preserve"> </v>
      </c>
    </row>
    <row r="452" spans="1:26">
      <c r="A452" s="100"/>
      <c r="B452" s="108" t="str">
        <f>IFERROR(VLOOKUP(Tablo516[[#This Row],[ÜRÜN KODU]],YMKODLARI!$A$1:$K$383,2,0)," ")</f>
        <v xml:space="preserve"> </v>
      </c>
      <c r="C452" s="99"/>
      <c r="D452" s="100"/>
      <c r="E452" s="101"/>
      <c r="F452" s="101"/>
      <c r="G452" s="100" t="str">
        <f>IFERROR(VLOOKUP(Tablo516[[#This Row],[ÜRÜN KODU]],YMKODLARI!$A$1:$K$383,3,0)," ")</f>
        <v xml:space="preserve"> </v>
      </c>
      <c r="H452" s="100" t="str">
        <f>IFERROR(VLOOKUP(Tablo516[[#This Row],[ÜRÜN KODU]],YMKODLARI!$A$1:$K$383,4,0)," ")</f>
        <v xml:space="preserve"> </v>
      </c>
      <c r="I452" s="100"/>
      <c r="J452" s="100" t="str">
        <f>IFERROR(VLOOKUP(Tablo516[[#This Row],[ÜRÜN KODU]],YMKODLARI!$A$1:$K$383,9,0)," ")</f>
        <v xml:space="preserve"> </v>
      </c>
      <c r="K452" s="100" t="str">
        <f>IFERROR(VLOOKUP(Tablo516[[#This Row],[BOYA KODU]],Tablo14[#All],4,0)," ")</f>
        <v xml:space="preserve"> </v>
      </c>
      <c r="L452" s="100" t="str">
        <f>IFERROR(VLOOKUP(Tablo516[[#This Row],[BOYA KODU]],Tablo14[#All],6,0)," ")</f>
        <v xml:space="preserve"> </v>
      </c>
      <c r="M452" s="100" t="str">
        <f t="shared" si="49"/>
        <v xml:space="preserve"> </v>
      </c>
      <c r="N452" s="100" t="str">
        <f>IFERROR(VLOOKUP(Tablo516[[#This Row],[ÜRÜN KODU]],YMKODLARI!$A$1:$K$383,8,0)," ")</f>
        <v xml:space="preserve"> </v>
      </c>
      <c r="O452" s="100" t="str">
        <f>IFERROR(VLOOKUP(Tablo516[[#This Row],[HAMMADDE KODU]],Tablo1[#All],3,0)," ")</f>
        <v xml:space="preserve"> </v>
      </c>
      <c r="P452" s="100" t="str">
        <f>IFERROR(VLOOKUP(Tablo516[[#This Row],[HAMMADDE KODU]],Tablo1[#All],4,0)," ")</f>
        <v xml:space="preserve"> </v>
      </c>
      <c r="Q452" s="100" t="str">
        <f>IFERROR(VLOOKUP(Tablo516[[#This Row],[ÜRÜN KODU]],YMKODLARI!$A$1:$K$383,5,0)," ")</f>
        <v xml:space="preserve"> </v>
      </c>
      <c r="R452" s="100" t="str">
        <f>IFERROR(VLOOKUP(Tablo516[[#This Row],[ÜRÜN KODU]],YMKODLARI!$A$1:$K$383,6,0)," ")</f>
        <v xml:space="preserve"> </v>
      </c>
      <c r="S452" s="100" t="str">
        <f>IFERROR(Tablo516[[#This Row],[YOLLUK HARİÇ BASKI GRAMI]]/Tablo516[[#This Row],[KALIP GÖZ ADEDİ]]," ")</f>
        <v xml:space="preserve"> </v>
      </c>
      <c r="T452" s="100" t="str">
        <f t="shared" si="51"/>
        <v xml:space="preserve"> </v>
      </c>
      <c r="U452" s="100"/>
      <c r="V452" s="100" t="str">
        <f t="shared" si="50"/>
        <v xml:space="preserve"> </v>
      </c>
      <c r="W452" s="101">
        <f t="shared" si="52"/>
        <v>24</v>
      </c>
      <c r="X452" s="102">
        <f t="shared" si="53"/>
        <v>0</v>
      </c>
      <c r="Y452" s="100" t="str">
        <f t="shared" si="54"/>
        <v xml:space="preserve"> </v>
      </c>
      <c r="Z452" s="100" t="str">
        <f t="shared" si="55"/>
        <v xml:space="preserve"> </v>
      </c>
    </row>
    <row r="453" spans="1:26">
      <c r="A453" s="100"/>
      <c r="B453" s="108" t="str">
        <f>IFERROR(VLOOKUP(Tablo516[[#This Row],[ÜRÜN KODU]],YMKODLARI!$A$1:$K$383,2,0)," ")</f>
        <v xml:space="preserve"> </v>
      </c>
      <c r="C453" s="99"/>
      <c r="D453" s="100"/>
      <c r="E453" s="101"/>
      <c r="F453" s="101"/>
      <c r="G453" s="100" t="str">
        <f>IFERROR(VLOOKUP(Tablo516[[#This Row],[ÜRÜN KODU]],YMKODLARI!$A$1:$K$383,3,0)," ")</f>
        <v xml:space="preserve"> </v>
      </c>
      <c r="H453" s="100" t="str">
        <f>IFERROR(VLOOKUP(Tablo516[[#This Row],[ÜRÜN KODU]],YMKODLARI!$A$1:$K$383,4,0)," ")</f>
        <v xml:space="preserve"> </v>
      </c>
      <c r="I453" s="100"/>
      <c r="J453" s="100" t="str">
        <f>IFERROR(VLOOKUP(Tablo516[[#This Row],[ÜRÜN KODU]],YMKODLARI!$A$1:$K$383,9,0)," ")</f>
        <v xml:space="preserve"> </v>
      </c>
      <c r="K453" s="100" t="str">
        <f>IFERROR(VLOOKUP(Tablo516[[#This Row],[BOYA KODU]],Tablo14[#All],4,0)," ")</f>
        <v xml:space="preserve"> </v>
      </c>
      <c r="L453" s="100" t="str">
        <f>IFERROR(VLOOKUP(Tablo516[[#This Row],[BOYA KODU]],Tablo14[#All],6,0)," ")</f>
        <v xml:space="preserve"> </v>
      </c>
      <c r="M453" s="100" t="str">
        <f t="shared" si="49"/>
        <v xml:space="preserve"> </v>
      </c>
      <c r="N453" s="100" t="str">
        <f>IFERROR(VLOOKUP(Tablo516[[#This Row],[ÜRÜN KODU]],YMKODLARI!$A$1:$K$383,8,0)," ")</f>
        <v xml:space="preserve"> </v>
      </c>
      <c r="O453" s="100" t="str">
        <f>IFERROR(VLOOKUP(Tablo516[[#This Row],[HAMMADDE KODU]],Tablo1[#All],3,0)," ")</f>
        <v xml:space="preserve"> </v>
      </c>
      <c r="P453" s="100" t="str">
        <f>IFERROR(VLOOKUP(Tablo516[[#This Row],[HAMMADDE KODU]],Tablo1[#All],4,0)," ")</f>
        <v xml:space="preserve"> </v>
      </c>
      <c r="Q453" s="100" t="str">
        <f>IFERROR(VLOOKUP(Tablo516[[#This Row],[ÜRÜN KODU]],YMKODLARI!$A$1:$K$383,5,0)," ")</f>
        <v xml:space="preserve"> </v>
      </c>
      <c r="R453" s="100" t="str">
        <f>IFERROR(VLOOKUP(Tablo516[[#This Row],[ÜRÜN KODU]],YMKODLARI!$A$1:$K$383,6,0)," ")</f>
        <v xml:space="preserve"> </v>
      </c>
      <c r="S453" s="100" t="str">
        <f>IFERROR(Tablo516[[#This Row],[YOLLUK HARİÇ BASKI GRAMI]]/Tablo516[[#This Row],[KALIP GÖZ ADEDİ]]," ")</f>
        <v xml:space="preserve"> </v>
      </c>
      <c r="T453" s="100" t="str">
        <f t="shared" si="51"/>
        <v xml:space="preserve"> </v>
      </c>
      <c r="U453" s="100"/>
      <c r="V453" s="100" t="str">
        <f t="shared" si="50"/>
        <v xml:space="preserve"> </v>
      </c>
      <c r="W453" s="101">
        <f t="shared" si="52"/>
        <v>24</v>
      </c>
      <c r="X453" s="102">
        <f t="shared" si="53"/>
        <v>0</v>
      </c>
      <c r="Y453" s="100" t="str">
        <f t="shared" si="54"/>
        <v xml:space="preserve"> </v>
      </c>
      <c r="Z453" s="100" t="str">
        <f t="shared" si="55"/>
        <v xml:space="preserve"> </v>
      </c>
    </row>
    <row r="454" spans="1:26">
      <c r="A454" s="100"/>
      <c r="B454" s="108" t="str">
        <f>IFERROR(VLOOKUP(Tablo516[[#This Row],[ÜRÜN KODU]],YMKODLARI!$A$1:$K$383,2,0)," ")</f>
        <v xml:space="preserve"> </v>
      </c>
      <c r="C454" s="99"/>
      <c r="D454" s="100"/>
      <c r="E454" s="101"/>
      <c r="F454" s="101"/>
      <c r="G454" s="100" t="str">
        <f>IFERROR(VLOOKUP(Tablo516[[#This Row],[ÜRÜN KODU]],YMKODLARI!$A$1:$K$383,3,0)," ")</f>
        <v xml:space="preserve"> </v>
      </c>
      <c r="H454" s="100" t="str">
        <f>IFERROR(VLOOKUP(Tablo516[[#This Row],[ÜRÜN KODU]],YMKODLARI!$A$1:$K$383,4,0)," ")</f>
        <v xml:space="preserve"> </v>
      </c>
      <c r="I454" s="100"/>
      <c r="J454" s="100" t="str">
        <f>IFERROR(VLOOKUP(Tablo516[[#This Row],[ÜRÜN KODU]],YMKODLARI!$A$1:$K$383,9,0)," ")</f>
        <v xml:space="preserve"> </v>
      </c>
      <c r="K454" s="100" t="str">
        <f>IFERROR(VLOOKUP(Tablo516[[#This Row],[BOYA KODU]],Tablo14[#All],4,0)," ")</f>
        <v xml:space="preserve"> </v>
      </c>
      <c r="L454" s="100" t="str">
        <f>IFERROR(VLOOKUP(Tablo516[[#This Row],[BOYA KODU]],Tablo14[#All],6,0)," ")</f>
        <v xml:space="preserve"> </v>
      </c>
      <c r="M454" s="100" t="str">
        <f t="shared" si="49"/>
        <v xml:space="preserve"> </v>
      </c>
      <c r="N454" s="100" t="str">
        <f>IFERROR(VLOOKUP(Tablo516[[#This Row],[ÜRÜN KODU]],YMKODLARI!$A$1:$K$383,8,0)," ")</f>
        <v xml:space="preserve"> </v>
      </c>
      <c r="O454" s="100" t="str">
        <f>IFERROR(VLOOKUP(Tablo516[[#This Row],[HAMMADDE KODU]],Tablo1[#All],3,0)," ")</f>
        <v xml:space="preserve"> </v>
      </c>
      <c r="P454" s="100" t="str">
        <f>IFERROR(VLOOKUP(Tablo516[[#This Row],[HAMMADDE KODU]],Tablo1[#All],4,0)," ")</f>
        <v xml:space="preserve"> </v>
      </c>
      <c r="Q454" s="100" t="str">
        <f>IFERROR(VLOOKUP(Tablo516[[#This Row],[ÜRÜN KODU]],YMKODLARI!$A$1:$K$383,5,0)," ")</f>
        <v xml:space="preserve"> </v>
      </c>
      <c r="R454" s="100" t="str">
        <f>IFERROR(VLOOKUP(Tablo516[[#This Row],[ÜRÜN KODU]],YMKODLARI!$A$1:$K$383,6,0)," ")</f>
        <v xml:space="preserve"> </v>
      </c>
      <c r="S454" s="100" t="str">
        <f>IFERROR(Tablo516[[#This Row],[YOLLUK HARİÇ BASKI GRAMI]]/Tablo516[[#This Row],[KALIP GÖZ ADEDİ]]," ")</f>
        <v xml:space="preserve"> </v>
      </c>
      <c r="T454" s="100" t="str">
        <f t="shared" si="51"/>
        <v xml:space="preserve"> </v>
      </c>
      <c r="U454" s="100"/>
      <c r="V454" s="100" t="str">
        <f t="shared" si="50"/>
        <v xml:space="preserve"> </v>
      </c>
      <c r="W454" s="101">
        <f t="shared" si="52"/>
        <v>24</v>
      </c>
      <c r="X454" s="102">
        <f t="shared" si="53"/>
        <v>0</v>
      </c>
      <c r="Y454" s="100" t="str">
        <f t="shared" si="54"/>
        <v xml:space="preserve"> </v>
      </c>
      <c r="Z454" s="100" t="str">
        <f t="shared" si="55"/>
        <v xml:space="preserve"> </v>
      </c>
    </row>
    <row r="455" spans="1:26">
      <c r="A455" s="100"/>
      <c r="B455" s="108" t="str">
        <f>IFERROR(VLOOKUP(Tablo516[[#This Row],[ÜRÜN KODU]],YMKODLARI!$A$1:$K$383,2,0)," ")</f>
        <v xml:space="preserve"> </v>
      </c>
      <c r="C455" s="99"/>
      <c r="D455" s="100"/>
      <c r="E455" s="101"/>
      <c r="F455" s="101"/>
      <c r="G455" s="100" t="str">
        <f>IFERROR(VLOOKUP(Tablo516[[#This Row],[ÜRÜN KODU]],YMKODLARI!$A$1:$K$383,3,0)," ")</f>
        <v xml:space="preserve"> </v>
      </c>
      <c r="H455" s="100" t="str">
        <f>IFERROR(VLOOKUP(Tablo516[[#This Row],[ÜRÜN KODU]],YMKODLARI!$A$1:$K$383,4,0)," ")</f>
        <v xml:space="preserve"> </v>
      </c>
      <c r="I455" s="100"/>
      <c r="J455" s="100" t="str">
        <f>IFERROR(VLOOKUP(Tablo516[[#This Row],[ÜRÜN KODU]],YMKODLARI!$A$1:$K$383,9,0)," ")</f>
        <v xml:space="preserve"> </v>
      </c>
      <c r="K455" s="100" t="str">
        <f>IFERROR(VLOOKUP(Tablo516[[#This Row],[BOYA KODU]],Tablo14[#All],4,0)," ")</f>
        <v xml:space="preserve"> </v>
      </c>
      <c r="L455" s="100" t="str">
        <f>IFERROR(VLOOKUP(Tablo516[[#This Row],[BOYA KODU]],Tablo14[#All],6,0)," ")</f>
        <v xml:space="preserve"> </v>
      </c>
      <c r="M455" s="100" t="str">
        <f t="shared" si="49"/>
        <v xml:space="preserve"> </v>
      </c>
      <c r="N455" s="100" t="str">
        <f>IFERROR(VLOOKUP(Tablo516[[#This Row],[ÜRÜN KODU]],YMKODLARI!$A$1:$K$383,8,0)," ")</f>
        <v xml:space="preserve"> </v>
      </c>
      <c r="O455" s="100" t="str">
        <f>IFERROR(VLOOKUP(Tablo516[[#This Row],[HAMMADDE KODU]],Tablo1[#All],3,0)," ")</f>
        <v xml:space="preserve"> </v>
      </c>
      <c r="P455" s="100" t="str">
        <f>IFERROR(VLOOKUP(Tablo516[[#This Row],[HAMMADDE KODU]],Tablo1[#All],4,0)," ")</f>
        <v xml:space="preserve"> </v>
      </c>
      <c r="Q455" s="100" t="str">
        <f>IFERROR(VLOOKUP(Tablo516[[#This Row],[ÜRÜN KODU]],YMKODLARI!$A$1:$K$383,5,0)," ")</f>
        <v xml:space="preserve"> </v>
      </c>
      <c r="R455" s="100" t="str">
        <f>IFERROR(VLOOKUP(Tablo516[[#This Row],[ÜRÜN KODU]],YMKODLARI!$A$1:$K$383,6,0)," ")</f>
        <v xml:space="preserve"> </v>
      </c>
      <c r="S455" s="100" t="str">
        <f>IFERROR(Tablo516[[#This Row],[YOLLUK HARİÇ BASKI GRAMI]]/Tablo516[[#This Row],[KALIP GÖZ ADEDİ]]," ")</f>
        <v xml:space="preserve"> </v>
      </c>
      <c r="T455" s="100" t="str">
        <f t="shared" si="51"/>
        <v xml:space="preserve"> </v>
      </c>
      <c r="U455" s="100"/>
      <c r="V455" s="100" t="str">
        <f t="shared" si="50"/>
        <v xml:space="preserve"> </v>
      </c>
      <c r="W455" s="101">
        <f t="shared" si="52"/>
        <v>24</v>
      </c>
      <c r="X455" s="102">
        <f t="shared" si="53"/>
        <v>0</v>
      </c>
      <c r="Y455" s="100" t="str">
        <f t="shared" si="54"/>
        <v xml:space="preserve"> </v>
      </c>
      <c r="Z455" s="100" t="str">
        <f t="shared" si="55"/>
        <v xml:space="preserve"> </v>
      </c>
    </row>
    <row r="456" spans="1:26">
      <c r="A456" s="100"/>
      <c r="B456" s="108" t="str">
        <f>IFERROR(VLOOKUP(Tablo516[[#This Row],[ÜRÜN KODU]],YMKODLARI!$A$1:$K$383,2,0)," ")</f>
        <v xml:space="preserve"> </v>
      </c>
      <c r="C456" s="99"/>
      <c r="D456" s="100"/>
      <c r="E456" s="101"/>
      <c r="F456" s="101"/>
      <c r="G456" s="100" t="str">
        <f>IFERROR(VLOOKUP(Tablo516[[#This Row],[ÜRÜN KODU]],YMKODLARI!$A$1:$K$383,3,0)," ")</f>
        <v xml:space="preserve"> </v>
      </c>
      <c r="H456" s="100" t="str">
        <f>IFERROR(VLOOKUP(Tablo516[[#This Row],[ÜRÜN KODU]],YMKODLARI!$A$1:$K$383,4,0)," ")</f>
        <v xml:space="preserve"> </v>
      </c>
      <c r="I456" s="100"/>
      <c r="J456" s="100" t="str">
        <f>IFERROR(VLOOKUP(Tablo516[[#This Row],[ÜRÜN KODU]],YMKODLARI!$A$1:$K$383,9,0)," ")</f>
        <v xml:space="preserve"> </v>
      </c>
      <c r="K456" s="100" t="str">
        <f>IFERROR(VLOOKUP(Tablo516[[#This Row],[BOYA KODU]],Tablo14[#All],4,0)," ")</f>
        <v xml:space="preserve"> </v>
      </c>
      <c r="L456" s="100" t="str">
        <f>IFERROR(VLOOKUP(Tablo516[[#This Row],[BOYA KODU]],Tablo14[#All],6,0)," ")</f>
        <v xml:space="preserve"> </v>
      </c>
      <c r="M456" s="100" t="str">
        <f t="shared" si="49"/>
        <v xml:space="preserve"> </v>
      </c>
      <c r="N456" s="100" t="str">
        <f>IFERROR(VLOOKUP(Tablo516[[#This Row],[ÜRÜN KODU]],YMKODLARI!$A$1:$K$383,8,0)," ")</f>
        <v xml:space="preserve"> </v>
      </c>
      <c r="O456" s="100" t="str">
        <f>IFERROR(VLOOKUP(Tablo516[[#This Row],[HAMMADDE KODU]],Tablo1[#All],3,0)," ")</f>
        <v xml:space="preserve"> </v>
      </c>
      <c r="P456" s="100" t="str">
        <f>IFERROR(VLOOKUP(Tablo516[[#This Row],[HAMMADDE KODU]],Tablo1[#All],4,0)," ")</f>
        <v xml:space="preserve"> </v>
      </c>
      <c r="Q456" s="100" t="str">
        <f>IFERROR(VLOOKUP(Tablo516[[#This Row],[ÜRÜN KODU]],YMKODLARI!$A$1:$K$383,5,0)," ")</f>
        <v xml:space="preserve"> </v>
      </c>
      <c r="R456" s="100" t="str">
        <f>IFERROR(VLOOKUP(Tablo516[[#This Row],[ÜRÜN KODU]],YMKODLARI!$A$1:$K$383,6,0)," ")</f>
        <v xml:space="preserve"> </v>
      </c>
      <c r="S456" s="100" t="str">
        <f>IFERROR(Tablo516[[#This Row],[YOLLUK HARİÇ BASKI GRAMI]]/Tablo516[[#This Row],[KALIP GÖZ ADEDİ]]," ")</f>
        <v xml:space="preserve"> </v>
      </c>
      <c r="T456" s="100" t="str">
        <f t="shared" si="51"/>
        <v xml:space="preserve"> </v>
      </c>
      <c r="U456" s="100"/>
      <c r="V456" s="100" t="str">
        <f t="shared" si="50"/>
        <v xml:space="preserve"> </v>
      </c>
      <c r="W456" s="101">
        <f t="shared" si="52"/>
        <v>24</v>
      </c>
      <c r="X456" s="102">
        <f t="shared" si="53"/>
        <v>0</v>
      </c>
      <c r="Y456" s="100" t="str">
        <f t="shared" si="54"/>
        <v xml:space="preserve"> </v>
      </c>
      <c r="Z456" s="100" t="str">
        <f t="shared" si="55"/>
        <v xml:space="preserve"> </v>
      </c>
    </row>
    <row r="457" spans="1:26">
      <c r="A457" s="100"/>
      <c r="B457" s="108" t="str">
        <f>IFERROR(VLOOKUP(Tablo516[[#This Row],[ÜRÜN KODU]],YMKODLARI!$A$1:$K$383,2,0)," ")</f>
        <v xml:space="preserve"> </v>
      </c>
      <c r="C457" s="99"/>
      <c r="D457" s="100"/>
      <c r="E457" s="101"/>
      <c r="F457" s="101"/>
      <c r="G457" s="100" t="str">
        <f>IFERROR(VLOOKUP(Tablo516[[#This Row],[ÜRÜN KODU]],YMKODLARI!$A$1:$K$383,3,0)," ")</f>
        <v xml:space="preserve"> </v>
      </c>
      <c r="H457" s="100" t="str">
        <f>IFERROR(VLOOKUP(Tablo516[[#This Row],[ÜRÜN KODU]],YMKODLARI!$A$1:$K$383,4,0)," ")</f>
        <v xml:space="preserve"> </v>
      </c>
      <c r="I457" s="100"/>
      <c r="J457" s="100" t="str">
        <f>IFERROR(VLOOKUP(Tablo516[[#This Row],[ÜRÜN KODU]],YMKODLARI!$A$1:$K$383,9,0)," ")</f>
        <v xml:space="preserve"> </v>
      </c>
      <c r="K457" s="100" t="str">
        <f>IFERROR(VLOOKUP(Tablo516[[#This Row],[BOYA KODU]],Tablo14[#All],4,0)," ")</f>
        <v xml:space="preserve"> </v>
      </c>
      <c r="L457" s="100" t="str">
        <f>IFERROR(VLOOKUP(Tablo516[[#This Row],[BOYA KODU]],Tablo14[#All],6,0)," ")</f>
        <v xml:space="preserve"> </v>
      </c>
      <c r="M457" s="100" t="str">
        <f t="shared" si="49"/>
        <v xml:space="preserve"> </v>
      </c>
      <c r="N457" s="100" t="str">
        <f>IFERROR(VLOOKUP(Tablo516[[#This Row],[ÜRÜN KODU]],YMKODLARI!$A$1:$K$383,8,0)," ")</f>
        <v xml:space="preserve"> </v>
      </c>
      <c r="O457" s="100" t="str">
        <f>IFERROR(VLOOKUP(Tablo516[[#This Row],[HAMMADDE KODU]],Tablo1[#All],3,0)," ")</f>
        <v xml:space="preserve"> </v>
      </c>
      <c r="P457" s="100" t="str">
        <f>IFERROR(VLOOKUP(Tablo516[[#This Row],[HAMMADDE KODU]],Tablo1[#All],4,0)," ")</f>
        <v xml:space="preserve"> </v>
      </c>
      <c r="Q457" s="100" t="str">
        <f>IFERROR(VLOOKUP(Tablo516[[#This Row],[ÜRÜN KODU]],YMKODLARI!$A$1:$K$383,5,0)," ")</f>
        <v xml:space="preserve"> </v>
      </c>
      <c r="R457" s="100" t="str">
        <f>IFERROR(VLOOKUP(Tablo516[[#This Row],[ÜRÜN KODU]],YMKODLARI!$A$1:$K$383,6,0)," ")</f>
        <v xml:space="preserve"> </v>
      </c>
      <c r="S457" s="100" t="str">
        <f>IFERROR(Tablo516[[#This Row],[YOLLUK HARİÇ BASKI GRAMI]]/Tablo516[[#This Row],[KALIP GÖZ ADEDİ]]," ")</f>
        <v xml:space="preserve"> </v>
      </c>
      <c r="T457" s="100" t="str">
        <f t="shared" si="51"/>
        <v xml:space="preserve"> </v>
      </c>
      <c r="U457" s="100"/>
      <c r="V457" s="100" t="str">
        <f t="shared" si="50"/>
        <v xml:space="preserve"> </v>
      </c>
      <c r="W457" s="101">
        <f t="shared" si="52"/>
        <v>24</v>
      </c>
      <c r="X457" s="102">
        <f t="shared" si="53"/>
        <v>0</v>
      </c>
      <c r="Y457" s="100" t="str">
        <f t="shared" si="54"/>
        <v xml:space="preserve"> </v>
      </c>
      <c r="Z457" s="100" t="str">
        <f t="shared" si="55"/>
        <v xml:space="preserve"> </v>
      </c>
    </row>
    <row r="458" spans="1:26">
      <c r="A458" s="100"/>
      <c r="B458" s="108" t="str">
        <f>IFERROR(VLOOKUP(Tablo516[[#This Row],[ÜRÜN KODU]],YMKODLARI!$A$1:$K$383,2,0)," ")</f>
        <v xml:space="preserve"> </v>
      </c>
      <c r="C458" s="99"/>
      <c r="D458" s="100"/>
      <c r="E458" s="101"/>
      <c r="F458" s="101"/>
      <c r="G458" s="100" t="str">
        <f>IFERROR(VLOOKUP(Tablo516[[#This Row],[ÜRÜN KODU]],YMKODLARI!$A$1:$K$383,3,0)," ")</f>
        <v xml:space="preserve"> </v>
      </c>
      <c r="H458" s="100" t="str">
        <f>IFERROR(VLOOKUP(Tablo516[[#This Row],[ÜRÜN KODU]],YMKODLARI!$A$1:$K$383,4,0)," ")</f>
        <v xml:space="preserve"> </v>
      </c>
      <c r="I458" s="100"/>
      <c r="J458" s="100" t="str">
        <f>IFERROR(VLOOKUP(Tablo516[[#This Row],[ÜRÜN KODU]],YMKODLARI!$A$1:$K$383,9,0)," ")</f>
        <v xml:space="preserve"> </v>
      </c>
      <c r="K458" s="100" t="str">
        <f>IFERROR(VLOOKUP(Tablo516[[#This Row],[BOYA KODU]],Tablo14[#All],4,0)," ")</f>
        <v xml:space="preserve"> </v>
      </c>
      <c r="L458" s="100" t="str">
        <f>IFERROR(VLOOKUP(Tablo516[[#This Row],[BOYA KODU]],Tablo14[#All],6,0)," ")</f>
        <v xml:space="preserve"> </v>
      </c>
      <c r="M458" s="100" t="str">
        <f t="shared" si="49"/>
        <v xml:space="preserve"> </v>
      </c>
      <c r="N458" s="100" t="str">
        <f>IFERROR(VLOOKUP(Tablo516[[#This Row],[ÜRÜN KODU]],YMKODLARI!$A$1:$K$383,8,0)," ")</f>
        <v xml:space="preserve"> </v>
      </c>
      <c r="O458" s="100" t="str">
        <f>IFERROR(VLOOKUP(Tablo516[[#This Row],[HAMMADDE KODU]],Tablo1[#All],3,0)," ")</f>
        <v xml:space="preserve"> </v>
      </c>
      <c r="P458" s="100" t="str">
        <f>IFERROR(VLOOKUP(Tablo516[[#This Row],[HAMMADDE KODU]],Tablo1[#All],4,0)," ")</f>
        <v xml:space="preserve"> </v>
      </c>
      <c r="Q458" s="100" t="str">
        <f>IFERROR(VLOOKUP(Tablo516[[#This Row],[ÜRÜN KODU]],YMKODLARI!$A$1:$K$383,5,0)," ")</f>
        <v xml:space="preserve"> </v>
      </c>
      <c r="R458" s="100" t="str">
        <f>IFERROR(VLOOKUP(Tablo516[[#This Row],[ÜRÜN KODU]],YMKODLARI!$A$1:$K$383,6,0)," ")</f>
        <v xml:space="preserve"> </v>
      </c>
      <c r="S458" s="100" t="str">
        <f>IFERROR(Tablo516[[#This Row],[YOLLUK HARİÇ BASKI GRAMI]]/Tablo516[[#This Row],[KALIP GÖZ ADEDİ]]," ")</f>
        <v xml:space="preserve"> </v>
      </c>
      <c r="T458" s="100" t="str">
        <f t="shared" si="51"/>
        <v xml:space="preserve"> </v>
      </c>
      <c r="U458" s="100"/>
      <c r="V458" s="100" t="str">
        <f t="shared" si="50"/>
        <v xml:space="preserve"> </v>
      </c>
      <c r="W458" s="101">
        <f t="shared" si="52"/>
        <v>24</v>
      </c>
      <c r="X458" s="102">
        <f t="shared" si="53"/>
        <v>0</v>
      </c>
      <c r="Y458" s="100" t="str">
        <f t="shared" si="54"/>
        <v xml:space="preserve"> </v>
      </c>
      <c r="Z458" s="100" t="str">
        <f t="shared" si="55"/>
        <v xml:space="preserve"> </v>
      </c>
    </row>
    <row r="459" spans="1:26">
      <c r="A459" s="100"/>
      <c r="B459" s="108" t="str">
        <f>IFERROR(VLOOKUP(Tablo516[[#This Row],[ÜRÜN KODU]],YMKODLARI!$A$1:$K$383,2,0)," ")</f>
        <v xml:space="preserve"> </v>
      </c>
      <c r="C459" s="99"/>
      <c r="D459" s="100"/>
      <c r="E459" s="101"/>
      <c r="F459" s="101"/>
      <c r="G459" s="100" t="str">
        <f>IFERROR(VLOOKUP(Tablo516[[#This Row],[ÜRÜN KODU]],YMKODLARI!$A$1:$K$383,3,0)," ")</f>
        <v xml:space="preserve"> </v>
      </c>
      <c r="H459" s="100" t="str">
        <f>IFERROR(VLOOKUP(Tablo516[[#This Row],[ÜRÜN KODU]],YMKODLARI!$A$1:$K$383,4,0)," ")</f>
        <v xml:space="preserve"> </v>
      </c>
      <c r="I459" s="100"/>
      <c r="J459" s="100" t="str">
        <f>IFERROR(VLOOKUP(Tablo516[[#This Row],[ÜRÜN KODU]],YMKODLARI!$A$1:$K$383,9,0)," ")</f>
        <v xml:space="preserve"> </v>
      </c>
      <c r="K459" s="100" t="str">
        <f>IFERROR(VLOOKUP(Tablo516[[#This Row],[BOYA KODU]],Tablo14[#All],4,0)," ")</f>
        <v xml:space="preserve"> </v>
      </c>
      <c r="L459" s="100" t="str">
        <f>IFERROR(VLOOKUP(Tablo516[[#This Row],[BOYA KODU]],Tablo14[#All],6,0)," ")</f>
        <v xml:space="preserve"> </v>
      </c>
      <c r="M459" s="100" t="str">
        <f t="shared" si="49"/>
        <v xml:space="preserve"> </v>
      </c>
      <c r="N459" s="100" t="str">
        <f>IFERROR(VLOOKUP(Tablo516[[#This Row],[ÜRÜN KODU]],YMKODLARI!$A$1:$K$383,8,0)," ")</f>
        <v xml:space="preserve"> </v>
      </c>
      <c r="O459" s="100" t="str">
        <f>IFERROR(VLOOKUP(Tablo516[[#This Row],[HAMMADDE KODU]],Tablo1[#All],3,0)," ")</f>
        <v xml:space="preserve"> </v>
      </c>
      <c r="P459" s="100" t="str">
        <f>IFERROR(VLOOKUP(Tablo516[[#This Row],[HAMMADDE KODU]],Tablo1[#All],4,0)," ")</f>
        <v xml:space="preserve"> </v>
      </c>
      <c r="Q459" s="100" t="str">
        <f>IFERROR(VLOOKUP(Tablo516[[#This Row],[ÜRÜN KODU]],YMKODLARI!$A$1:$K$383,5,0)," ")</f>
        <v xml:space="preserve"> </v>
      </c>
      <c r="R459" s="100" t="str">
        <f>IFERROR(VLOOKUP(Tablo516[[#This Row],[ÜRÜN KODU]],YMKODLARI!$A$1:$K$383,6,0)," ")</f>
        <v xml:space="preserve"> </v>
      </c>
      <c r="S459" s="100" t="str">
        <f>IFERROR(Tablo516[[#This Row],[YOLLUK HARİÇ BASKI GRAMI]]/Tablo516[[#This Row],[KALIP GÖZ ADEDİ]]," ")</f>
        <v xml:space="preserve"> </v>
      </c>
      <c r="T459" s="100" t="str">
        <f t="shared" si="51"/>
        <v xml:space="preserve"> </v>
      </c>
      <c r="U459" s="100"/>
      <c r="V459" s="100" t="str">
        <f t="shared" si="50"/>
        <v xml:space="preserve"> </v>
      </c>
      <c r="W459" s="101">
        <f t="shared" si="52"/>
        <v>24</v>
      </c>
      <c r="X459" s="102">
        <f t="shared" si="53"/>
        <v>0</v>
      </c>
      <c r="Y459" s="100" t="str">
        <f t="shared" si="54"/>
        <v xml:space="preserve"> </v>
      </c>
      <c r="Z459" s="100" t="str">
        <f t="shared" si="55"/>
        <v xml:space="preserve"> </v>
      </c>
    </row>
    <row r="460" spans="1:26">
      <c r="A460" s="100"/>
      <c r="B460" s="108" t="str">
        <f>IFERROR(VLOOKUP(Tablo516[[#This Row],[ÜRÜN KODU]],YMKODLARI!$A$1:$K$383,2,0)," ")</f>
        <v xml:space="preserve"> </v>
      </c>
      <c r="C460" s="99"/>
      <c r="D460" s="100"/>
      <c r="E460" s="101"/>
      <c r="F460" s="101"/>
      <c r="G460" s="100" t="str">
        <f>IFERROR(VLOOKUP(Tablo516[[#This Row],[ÜRÜN KODU]],YMKODLARI!$A$1:$K$383,3,0)," ")</f>
        <v xml:space="preserve"> </v>
      </c>
      <c r="H460" s="100" t="str">
        <f>IFERROR(VLOOKUP(Tablo516[[#This Row],[ÜRÜN KODU]],YMKODLARI!$A$1:$K$383,4,0)," ")</f>
        <v xml:space="preserve"> </v>
      </c>
      <c r="I460" s="100"/>
      <c r="J460" s="100" t="str">
        <f>IFERROR(VLOOKUP(Tablo516[[#This Row],[ÜRÜN KODU]],YMKODLARI!$A$1:$K$383,9,0)," ")</f>
        <v xml:space="preserve"> </v>
      </c>
      <c r="K460" s="100" t="str">
        <f>IFERROR(VLOOKUP(Tablo516[[#This Row],[BOYA KODU]],Tablo14[#All],4,0)," ")</f>
        <v xml:space="preserve"> </v>
      </c>
      <c r="L460" s="100" t="str">
        <f>IFERROR(VLOOKUP(Tablo516[[#This Row],[BOYA KODU]],Tablo14[#All],6,0)," ")</f>
        <v xml:space="preserve"> </v>
      </c>
      <c r="M460" s="100" t="str">
        <f t="shared" si="49"/>
        <v xml:space="preserve"> </v>
      </c>
      <c r="N460" s="100" t="str">
        <f>IFERROR(VLOOKUP(Tablo516[[#This Row],[ÜRÜN KODU]],YMKODLARI!$A$1:$K$383,8,0)," ")</f>
        <v xml:space="preserve"> </v>
      </c>
      <c r="O460" s="100" t="str">
        <f>IFERROR(VLOOKUP(Tablo516[[#This Row],[HAMMADDE KODU]],Tablo1[#All],3,0)," ")</f>
        <v xml:space="preserve"> </v>
      </c>
      <c r="P460" s="100" t="str">
        <f>IFERROR(VLOOKUP(Tablo516[[#This Row],[HAMMADDE KODU]],Tablo1[#All],4,0)," ")</f>
        <v xml:space="preserve"> </v>
      </c>
      <c r="Q460" s="100" t="str">
        <f>IFERROR(VLOOKUP(Tablo516[[#This Row],[ÜRÜN KODU]],YMKODLARI!$A$1:$K$383,5,0)," ")</f>
        <v xml:space="preserve"> </v>
      </c>
      <c r="R460" s="100" t="str">
        <f>IFERROR(VLOOKUP(Tablo516[[#This Row],[ÜRÜN KODU]],YMKODLARI!$A$1:$K$383,6,0)," ")</f>
        <v xml:space="preserve"> </v>
      </c>
      <c r="S460" s="100" t="str">
        <f>IFERROR(Tablo516[[#This Row],[YOLLUK HARİÇ BASKI GRAMI]]/Tablo516[[#This Row],[KALIP GÖZ ADEDİ]]," ")</f>
        <v xml:space="preserve"> </v>
      </c>
      <c r="T460" s="100" t="str">
        <f t="shared" si="51"/>
        <v xml:space="preserve"> </v>
      </c>
      <c r="U460" s="100"/>
      <c r="V460" s="100" t="str">
        <f t="shared" si="50"/>
        <v xml:space="preserve"> </v>
      </c>
      <c r="W460" s="101">
        <f t="shared" si="52"/>
        <v>24</v>
      </c>
      <c r="X460" s="102">
        <f t="shared" si="53"/>
        <v>0</v>
      </c>
      <c r="Y460" s="100" t="str">
        <f t="shared" si="54"/>
        <v xml:space="preserve"> </v>
      </c>
      <c r="Z460" s="100" t="str">
        <f t="shared" si="55"/>
        <v xml:space="preserve"> </v>
      </c>
    </row>
    <row r="461" spans="1:26">
      <c r="A461" s="100"/>
      <c r="B461" s="108" t="str">
        <f>IFERROR(VLOOKUP(Tablo516[[#This Row],[ÜRÜN KODU]],YMKODLARI!$A$1:$K$383,2,0)," ")</f>
        <v xml:space="preserve"> </v>
      </c>
      <c r="C461" s="99"/>
      <c r="D461" s="100"/>
      <c r="E461" s="101"/>
      <c r="F461" s="101"/>
      <c r="G461" s="100" t="str">
        <f>IFERROR(VLOOKUP(Tablo516[[#This Row],[ÜRÜN KODU]],YMKODLARI!$A$1:$K$383,3,0)," ")</f>
        <v xml:space="preserve"> </v>
      </c>
      <c r="H461" s="100" t="str">
        <f>IFERROR(VLOOKUP(Tablo516[[#This Row],[ÜRÜN KODU]],YMKODLARI!$A$1:$K$383,4,0)," ")</f>
        <v xml:space="preserve"> </v>
      </c>
      <c r="I461" s="100"/>
      <c r="J461" s="100" t="str">
        <f>IFERROR(VLOOKUP(Tablo516[[#This Row],[ÜRÜN KODU]],YMKODLARI!$A$1:$K$383,9,0)," ")</f>
        <v xml:space="preserve"> </v>
      </c>
      <c r="K461" s="100" t="str">
        <f>IFERROR(VLOOKUP(Tablo516[[#This Row],[BOYA KODU]],Tablo14[#All],4,0)," ")</f>
        <v xml:space="preserve"> </v>
      </c>
      <c r="L461" s="100" t="str">
        <f>IFERROR(VLOOKUP(Tablo516[[#This Row],[BOYA KODU]],Tablo14[#All],6,0)," ")</f>
        <v xml:space="preserve"> </v>
      </c>
      <c r="M461" s="100" t="str">
        <f t="shared" si="49"/>
        <v xml:space="preserve"> </v>
      </c>
      <c r="N461" s="100" t="str">
        <f>IFERROR(VLOOKUP(Tablo516[[#This Row],[ÜRÜN KODU]],YMKODLARI!$A$1:$K$383,8,0)," ")</f>
        <v xml:space="preserve"> </v>
      </c>
      <c r="O461" s="100" t="str">
        <f>IFERROR(VLOOKUP(Tablo516[[#This Row],[HAMMADDE KODU]],Tablo1[#All],3,0)," ")</f>
        <v xml:space="preserve"> </v>
      </c>
      <c r="P461" s="100" t="str">
        <f>IFERROR(VLOOKUP(Tablo516[[#This Row],[HAMMADDE KODU]],Tablo1[#All],4,0)," ")</f>
        <v xml:space="preserve"> </v>
      </c>
      <c r="Q461" s="100" t="str">
        <f>IFERROR(VLOOKUP(Tablo516[[#This Row],[ÜRÜN KODU]],YMKODLARI!$A$1:$K$383,5,0)," ")</f>
        <v xml:space="preserve"> </v>
      </c>
      <c r="R461" s="100" t="str">
        <f>IFERROR(VLOOKUP(Tablo516[[#This Row],[ÜRÜN KODU]],YMKODLARI!$A$1:$K$383,6,0)," ")</f>
        <v xml:space="preserve"> </v>
      </c>
      <c r="S461" s="100" t="str">
        <f>IFERROR(Tablo516[[#This Row],[YOLLUK HARİÇ BASKI GRAMI]]/Tablo516[[#This Row],[KALIP GÖZ ADEDİ]]," ")</f>
        <v xml:space="preserve"> </v>
      </c>
      <c r="T461" s="100" t="str">
        <f t="shared" si="51"/>
        <v xml:space="preserve"> </v>
      </c>
      <c r="U461" s="100"/>
      <c r="V461" s="100" t="str">
        <f t="shared" si="50"/>
        <v xml:space="preserve"> </v>
      </c>
      <c r="W461" s="101">
        <f t="shared" si="52"/>
        <v>24</v>
      </c>
      <c r="X461" s="102">
        <f t="shared" si="53"/>
        <v>0</v>
      </c>
      <c r="Y461" s="100" t="str">
        <f t="shared" si="54"/>
        <v xml:space="preserve"> </v>
      </c>
      <c r="Z461" s="100" t="str">
        <f t="shared" si="55"/>
        <v xml:space="preserve"> </v>
      </c>
    </row>
    <row r="462" spans="1:26">
      <c r="A462" s="100"/>
      <c r="B462" s="108" t="str">
        <f>IFERROR(VLOOKUP(Tablo516[[#This Row],[ÜRÜN KODU]],YMKODLARI!$A$1:$K$383,2,0)," ")</f>
        <v xml:space="preserve"> </v>
      </c>
      <c r="C462" s="99"/>
      <c r="D462" s="100"/>
      <c r="E462" s="101"/>
      <c r="F462" s="101"/>
      <c r="G462" s="100" t="str">
        <f>IFERROR(VLOOKUP(Tablo516[[#This Row],[ÜRÜN KODU]],YMKODLARI!$A$1:$K$383,3,0)," ")</f>
        <v xml:space="preserve"> </v>
      </c>
      <c r="H462" s="100" t="str">
        <f>IFERROR(VLOOKUP(Tablo516[[#This Row],[ÜRÜN KODU]],YMKODLARI!$A$1:$K$383,4,0)," ")</f>
        <v xml:space="preserve"> </v>
      </c>
      <c r="I462" s="100"/>
      <c r="J462" s="100" t="str">
        <f>IFERROR(VLOOKUP(Tablo516[[#This Row],[ÜRÜN KODU]],YMKODLARI!$A$1:$K$383,9,0)," ")</f>
        <v xml:space="preserve"> </v>
      </c>
      <c r="K462" s="100" t="str">
        <f>IFERROR(VLOOKUP(Tablo516[[#This Row],[BOYA KODU]],Tablo14[#All],4,0)," ")</f>
        <v xml:space="preserve"> </v>
      </c>
      <c r="L462" s="100" t="str">
        <f>IFERROR(VLOOKUP(Tablo516[[#This Row],[BOYA KODU]],Tablo14[#All],6,0)," ")</f>
        <v xml:space="preserve"> </v>
      </c>
      <c r="M462" s="100" t="str">
        <f t="shared" si="49"/>
        <v xml:space="preserve"> </v>
      </c>
      <c r="N462" s="100" t="str">
        <f>IFERROR(VLOOKUP(Tablo516[[#This Row],[ÜRÜN KODU]],YMKODLARI!$A$1:$K$383,8,0)," ")</f>
        <v xml:space="preserve"> </v>
      </c>
      <c r="O462" s="100" t="str">
        <f>IFERROR(VLOOKUP(Tablo516[[#This Row],[HAMMADDE KODU]],Tablo1[#All],3,0)," ")</f>
        <v xml:space="preserve"> </v>
      </c>
      <c r="P462" s="100" t="str">
        <f>IFERROR(VLOOKUP(Tablo516[[#This Row],[HAMMADDE KODU]],Tablo1[#All],4,0)," ")</f>
        <v xml:space="preserve"> </v>
      </c>
      <c r="Q462" s="100" t="str">
        <f>IFERROR(VLOOKUP(Tablo516[[#This Row],[ÜRÜN KODU]],YMKODLARI!$A$1:$K$383,5,0)," ")</f>
        <v xml:space="preserve"> </v>
      </c>
      <c r="R462" s="100" t="str">
        <f>IFERROR(VLOOKUP(Tablo516[[#This Row],[ÜRÜN KODU]],YMKODLARI!$A$1:$K$383,6,0)," ")</f>
        <v xml:space="preserve"> </v>
      </c>
      <c r="S462" s="100" t="str">
        <f>IFERROR(Tablo516[[#This Row],[YOLLUK HARİÇ BASKI GRAMI]]/Tablo516[[#This Row],[KALIP GÖZ ADEDİ]]," ")</f>
        <v xml:space="preserve"> </v>
      </c>
      <c r="T462" s="100" t="str">
        <f t="shared" si="51"/>
        <v xml:space="preserve"> </v>
      </c>
      <c r="U462" s="100"/>
      <c r="V462" s="100" t="str">
        <f t="shared" si="50"/>
        <v xml:space="preserve"> </v>
      </c>
      <c r="W462" s="101">
        <f t="shared" si="52"/>
        <v>24</v>
      </c>
      <c r="X462" s="102">
        <f t="shared" si="53"/>
        <v>0</v>
      </c>
      <c r="Y462" s="100" t="str">
        <f t="shared" si="54"/>
        <v xml:space="preserve"> </v>
      </c>
      <c r="Z462" s="100" t="str">
        <f t="shared" si="55"/>
        <v xml:space="preserve"> </v>
      </c>
    </row>
    <row r="463" spans="1:26">
      <c r="A463" s="100"/>
      <c r="B463" s="108" t="str">
        <f>IFERROR(VLOOKUP(Tablo516[[#This Row],[ÜRÜN KODU]],YMKODLARI!$A$1:$K$383,2,0)," ")</f>
        <v xml:space="preserve"> </v>
      </c>
      <c r="C463" s="99"/>
      <c r="D463" s="100"/>
      <c r="E463" s="101"/>
      <c r="F463" s="101"/>
      <c r="G463" s="100" t="str">
        <f>IFERROR(VLOOKUP(Tablo516[[#This Row],[ÜRÜN KODU]],YMKODLARI!$A$1:$K$383,3,0)," ")</f>
        <v xml:space="preserve"> </v>
      </c>
      <c r="H463" s="100" t="str">
        <f>IFERROR(VLOOKUP(Tablo516[[#This Row],[ÜRÜN KODU]],YMKODLARI!$A$1:$K$383,4,0)," ")</f>
        <v xml:space="preserve"> </v>
      </c>
      <c r="I463" s="100"/>
      <c r="J463" s="100" t="str">
        <f>IFERROR(VLOOKUP(Tablo516[[#This Row],[ÜRÜN KODU]],YMKODLARI!$A$1:$K$383,9,0)," ")</f>
        <v xml:space="preserve"> </v>
      </c>
      <c r="K463" s="100" t="str">
        <f>IFERROR(VLOOKUP(Tablo516[[#This Row],[BOYA KODU]],Tablo14[#All],4,0)," ")</f>
        <v xml:space="preserve"> </v>
      </c>
      <c r="L463" s="100" t="str">
        <f>IFERROR(VLOOKUP(Tablo516[[#This Row],[BOYA KODU]],Tablo14[#All],6,0)," ")</f>
        <v xml:space="preserve"> </v>
      </c>
      <c r="M463" s="100" t="str">
        <f t="shared" si="49"/>
        <v xml:space="preserve"> </v>
      </c>
      <c r="N463" s="100" t="str">
        <f>IFERROR(VLOOKUP(Tablo516[[#This Row],[ÜRÜN KODU]],YMKODLARI!$A$1:$K$383,8,0)," ")</f>
        <v xml:space="preserve"> </v>
      </c>
      <c r="O463" s="100" t="str">
        <f>IFERROR(VLOOKUP(Tablo516[[#This Row],[HAMMADDE KODU]],Tablo1[#All],3,0)," ")</f>
        <v xml:space="preserve"> </v>
      </c>
      <c r="P463" s="100" t="str">
        <f>IFERROR(VLOOKUP(Tablo516[[#This Row],[HAMMADDE KODU]],Tablo1[#All],4,0)," ")</f>
        <v xml:space="preserve"> </v>
      </c>
      <c r="Q463" s="100" t="str">
        <f>IFERROR(VLOOKUP(Tablo516[[#This Row],[ÜRÜN KODU]],YMKODLARI!$A$1:$K$383,5,0)," ")</f>
        <v xml:space="preserve"> </v>
      </c>
      <c r="R463" s="100" t="str">
        <f>IFERROR(VLOOKUP(Tablo516[[#This Row],[ÜRÜN KODU]],YMKODLARI!$A$1:$K$383,6,0)," ")</f>
        <v xml:space="preserve"> </v>
      </c>
      <c r="S463" s="100" t="str">
        <f>IFERROR(Tablo516[[#This Row],[YOLLUK HARİÇ BASKI GRAMI]]/Tablo516[[#This Row],[KALIP GÖZ ADEDİ]]," ")</f>
        <v xml:space="preserve"> </v>
      </c>
      <c r="T463" s="100" t="str">
        <f t="shared" si="51"/>
        <v xml:space="preserve"> </v>
      </c>
      <c r="U463" s="100"/>
      <c r="V463" s="100" t="str">
        <f t="shared" si="50"/>
        <v xml:space="preserve"> </v>
      </c>
      <c r="W463" s="101">
        <f t="shared" si="52"/>
        <v>24</v>
      </c>
      <c r="X463" s="102">
        <f t="shared" si="53"/>
        <v>0</v>
      </c>
      <c r="Y463" s="100" t="str">
        <f t="shared" si="54"/>
        <v xml:space="preserve"> </v>
      </c>
      <c r="Z463" s="100" t="str">
        <f t="shared" si="55"/>
        <v xml:space="preserve"> </v>
      </c>
    </row>
    <row r="464" spans="1:26">
      <c r="A464" s="100"/>
      <c r="B464" s="108" t="str">
        <f>IFERROR(VLOOKUP(Tablo516[[#This Row],[ÜRÜN KODU]],YMKODLARI!$A$1:$K$383,2,0)," ")</f>
        <v xml:space="preserve"> </v>
      </c>
      <c r="C464" s="99"/>
      <c r="D464" s="100"/>
      <c r="E464" s="101"/>
      <c r="F464" s="101"/>
      <c r="G464" s="100" t="str">
        <f>IFERROR(VLOOKUP(Tablo516[[#This Row],[ÜRÜN KODU]],YMKODLARI!$A$1:$K$383,3,0)," ")</f>
        <v xml:space="preserve"> </v>
      </c>
      <c r="H464" s="100" t="str">
        <f>IFERROR(VLOOKUP(Tablo516[[#This Row],[ÜRÜN KODU]],YMKODLARI!$A$1:$K$383,4,0)," ")</f>
        <v xml:space="preserve"> </v>
      </c>
      <c r="I464" s="100"/>
      <c r="J464" s="100" t="str">
        <f>IFERROR(VLOOKUP(Tablo516[[#This Row],[ÜRÜN KODU]],YMKODLARI!$A$1:$K$383,9,0)," ")</f>
        <v xml:space="preserve"> </v>
      </c>
      <c r="K464" s="100" t="str">
        <f>IFERROR(VLOOKUP(Tablo516[[#This Row],[BOYA KODU]],Tablo14[#All],4,0)," ")</f>
        <v xml:space="preserve"> </v>
      </c>
      <c r="L464" s="100" t="str">
        <f>IFERROR(VLOOKUP(Tablo516[[#This Row],[BOYA KODU]],Tablo14[#All],6,0)," ")</f>
        <v xml:space="preserve"> </v>
      </c>
      <c r="M464" s="100" t="str">
        <f t="shared" si="49"/>
        <v xml:space="preserve"> </v>
      </c>
      <c r="N464" s="100" t="str">
        <f>IFERROR(VLOOKUP(Tablo516[[#This Row],[ÜRÜN KODU]],YMKODLARI!$A$1:$K$383,8,0)," ")</f>
        <v xml:space="preserve"> </v>
      </c>
      <c r="O464" s="100" t="str">
        <f>IFERROR(VLOOKUP(Tablo516[[#This Row],[HAMMADDE KODU]],Tablo1[#All],3,0)," ")</f>
        <v xml:space="preserve"> </v>
      </c>
      <c r="P464" s="100" t="str">
        <f>IFERROR(VLOOKUP(Tablo516[[#This Row],[HAMMADDE KODU]],Tablo1[#All],4,0)," ")</f>
        <v xml:space="preserve"> </v>
      </c>
      <c r="Q464" s="100" t="str">
        <f>IFERROR(VLOOKUP(Tablo516[[#This Row],[ÜRÜN KODU]],YMKODLARI!$A$1:$K$383,5,0)," ")</f>
        <v xml:space="preserve"> </v>
      </c>
      <c r="R464" s="100" t="str">
        <f>IFERROR(VLOOKUP(Tablo516[[#This Row],[ÜRÜN KODU]],YMKODLARI!$A$1:$K$383,6,0)," ")</f>
        <v xml:space="preserve"> </v>
      </c>
      <c r="S464" s="100" t="str">
        <f>IFERROR(Tablo516[[#This Row],[YOLLUK HARİÇ BASKI GRAMI]]/Tablo516[[#This Row],[KALIP GÖZ ADEDİ]]," ")</f>
        <v xml:space="preserve"> </v>
      </c>
      <c r="T464" s="100" t="str">
        <f t="shared" si="51"/>
        <v xml:space="preserve"> </v>
      </c>
      <c r="U464" s="100"/>
      <c r="V464" s="100" t="str">
        <f t="shared" si="50"/>
        <v xml:space="preserve"> </v>
      </c>
      <c r="W464" s="101">
        <f t="shared" si="52"/>
        <v>24</v>
      </c>
      <c r="X464" s="102">
        <f t="shared" si="53"/>
        <v>0</v>
      </c>
      <c r="Y464" s="100" t="str">
        <f t="shared" si="54"/>
        <v xml:space="preserve"> </v>
      </c>
      <c r="Z464" s="100" t="str">
        <f t="shared" si="55"/>
        <v xml:space="preserve"> </v>
      </c>
    </row>
    <row r="465" spans="1:26">
      <c r="A465" s="100"/>
      <c r="B465" s="108" t="str">
        <f>IFERROR(VLOOKUP(Tablo516[[#This Row],[ÜRÜN KODU]],YMKODLARI!$A$1:$K$383,2,0)," ")</f>
        <v xml:space="preserve"> </v>
      </c>
      <c r="C465" s="99"/>
      <c r="D465" s="100"/>
      <c r="E465" s="101"/>
      <c r="F465" s="101"/>
      <c r="G465" s="100" t="str">
        <f>IFERROR(VLOOKUP(Tablo516[[#This Row],[ÜRÜN KODU]],YMKODLARI!$A$1:$K$383,3,0)," ")</f>
        <v xml:space="preserve"> </v>
      </c>
      <c r="H465" s="100" t="str">
        <f>IFERROR(VLOOKUP(Tablo516[[#This Row],[ÜRÜN KODU]],YMKODLARI!$A$1:$K$383,4,0)," ")</f>
        <v xml:space="preserve"> </v>
      </c>
      <c r="I465" s="100"/>
      <c r="J465" s="100" t="str">
        <f>IFERROR(VLOOKUP(Tablo516[[#This Row],[ÜRÜN KODU]],YMKODLARI!$A$1:$K$383,9,0)," ")</f>
        <v xml:space="preserve"> </v>
      </c>
      <c r="K465" s="100" t="str">
        <f>IFERROR(VLOOKUP(Tablo516[[#This Row],[BOYA KODU]],Tablo14[#All],4,0)," ")</f>
        <v xml:space="preserve"> </v>
      </c>
      <c r="L465" s="100" t="str">
        <f>IFERROR(VLOOKUP(Tablo516[[#This Row],[BOYA KODU]],Tablo14[#All],6,0)," ")</f>
        <v xml:space="preserve"> </v>
      </c>
      <c r="M465" s="100" t="str">
        <f t="shared" si="49"/>
        <v xml:space="preserve"> </v>
      </c>
      <c r="N465" s="100" t="str">
        <f>IFERROR(VLOOKUP(Tablo516[[#This Row],[ÜRÜN KODU]],YMKODLARI!$A$1:$K$383,8,0)," ")</f>
        <v xml:space="preserve"> </v>
      </c>
      <c r="O465" s="100" t="str">
        <f>IFERROR(VLOOKUP(Tablo516[[#This Row],[HAMMADDE KODU]],Tablo1[#All],3,0)," ")</f>
        <v xml:space="preserve"> </v>
      </c>
      <c r="P465" s="100" t="str">
        <f>IFERROR(VLOOKUP(Tablo516[[#This Row],[HAMMADDE KODU]],Tablo1[#All],4,0)," ")</f>
        <v xml:space="preserve"> </v>
      </c>
      <c r="Q465" s="100" t="str">
        <f>IFERROR(VLOOKUP(Tablo516[[#This Row],[ÜRÜN KODU]],YMKODLARI!$A$1:$K$383,5,0)," ")</f>
        <v xml:space="preserve"> </v>
      </c>
      <c r="R465" s="100" t="str">
        <f>IFERROR(VLOOKUP(Tablo516[[#This Row],[ÜRÜN KODU]],YMKODLARI!$A$1:$K$383,6,0)," ")</f>
        <v xml:space="preserve"> </v>
      </c>
      <c r="S465" s="100" t="str">
        <f>IFERROR(Tablo516[[#This Row],[YOLLUK HARİÇ BASKI GRAMI]]/Tablo516[[#This Row],[KALIP GÖZ ADEDİ]]," ")</f>
        <v xml:space="preserve"> </v>
      </c>
      <c r="T465" s="100" t="str">
        <f t="shared" si="51"/>
        <v xml:space="preserve"> </v>
      </c>
      <c r="U465" s="100"/>
      <c r="V465" s="100" t="str">
        <f t="shared" si="50"/>
        <v xml:space="preserve"> </v>
      </c>
      <c r="W465" s="101">
        <f t="shared" si="52"/>
        <v>24</v>
      </c>
      <c r="X465" s="102">
        <f t="shared" si="53"/>
        <v>0</v>
      </c>
      <c r="Y465" s="100" t="str">
        <f t="shared" si="54"/>
        <v xml:space="preserve"> </v>
      </c>
      <c r="Z465" s="100" t="str">
        <f t="shared" si="55"/>
        <v xml:space="preserve"> </v>
      </c>
    </row>
    <row r="466" spans="1:26">
      <c r="A466" s="100"/>
      <c r="B466" s="108" t="str">
        <f>IFERROR(VLOOKUP(Tablo516[[#This Row],[ÜRÜN KODU]],YMKODLARI!$A$1:$K$383,2,0)," ")</f>
        <v xml:space="preserve"> </v>
      </c>
      <c r="C466" s="99"/>
      <c r="D466" s="100"/>
      <c r="E466" s="101"/>
      <c r="F466" s="101"/>
      <c r="G466" s="100" t="str">
        <f>IFERROR(VLOOKUP(Tablo516[[#This Row],[ÜRÜN KODU]],YMKODLARI!$A$1:$K$383,3,0)," ")</f>
        <v xml:space="preserve"> </v>
      </c>
      <c r="H466" s="100" t="str">
        <f>IFERROR(VLOOKUP(Tablo516[[#This Row],[ÜRÜN KODU]],YMKODLARI!$A$1:$K$383,4,0)," ")</f>
        <v xml:space="preserve"> </v>
      </c>
      <c r="I466" s="100"/>
      <c r="J466" s="100" t="str">
        <f>IFERROR(VLOOKUP(Tablo516[[#This Row],[ÜRÜN KODU]],YMKODLARI!$A$1:$K$383,9,0)," ")</f>
        <v xml:space="preserve"> </v>
      </c>
      <c r="K466" s="100" t="str">
        <f>IFERROR(VLOOKUP(Tablo516[[#This Row],[BOYA KODU]],Tablo14[#All],4,0)," ")</f>
        <v xml:space="preserve"> </v>
      </c>
      <c r="L466" s="100" t="str">
        <f>IFERROR(VLOOKUP(Tablo516[[#This Row],[BOYA KODU]],Tablo14[#All],6,0)," ")</f>
        <v xml:space="preserve"> </v>
      </c>
      <c r="M466" s="100" t="str">
        <f t="shared" si="49"/>
        <v xml:space="preserve"> </v>
      </c>
      <c r="N466" s="100" t="str">
        <f>IFERROR(VLOOKUP(Tablo516[[#This Row],[ÜRÜN KODU]],YMKODLARI!$A$1:$K$383,8,0)," ")</f>
        <v xml:space="preserve"> </v>
      </c>
      <c r="O466" s="100" t="str">
        <f>IFERROR(VLOOKUP(Tablo516[[#This Row],[HAMMADDE KODU]],Tablo1[#All],3,0)," ")</f>
        <v xml:space="preserve"> </v>
      </c>
      <c r="P466" s="100" t="str">
        <f>IFERROR(VLOOKUP(Tablo516[[#This Row],[HAMMADDE KODU]],Tablo1[#All],4,0)," ")</f>
        <v xml:space="preserve"> </v>
      </c>
      <c r="Q466" s="100" t="str">
        <f>IFERROR(VLOOKUP(Tablo516[[#This Row],[ÜRÜN KODU]],YMKODLARI!$A$1:$K$383,5,0)," ")</f>
        <v xml:space="preserve"> </v>
      </c>
      <c r="R466" s="100" t="str">
        <f>IFERROR(VLOOKUP(Tablo516[[#This Row],[ÜRÜN KODU]],YMKODLARI!$A$1:$K$383,6,0)," ")</f>
        <v xml:space="preserve"> </v>
      </c>
      <c r="S466" s="100" t="str">
        <f>IFERROR(Tablo516[[#This Row],[YOLLUK HARİÇ BASKI GRAMI]]/Tablo516[[#This Row],[KALIP GÖZ ADEDİ]]," ")</f>
        <v xml:space="preserve"> </v>
      </c>
      <c r="T466" s="100" t="str">
        <f t="shared" si="51"/>
        <v xml:space="preserve"> </v>
      </c>
      <c r="U466" s="100"/>
      <c r="V466" s="100" t="str">
        <f t="shared" si="50"/>
        <v xml:space="preserve"> </v>
      </c>
      <c r="W466" s="101">
        <f t="shared" si="52"/>
        <v>24</v>
      </c>
      <c r="X466" s="102">
        <f t="shared" si="53"/>
        <v>0</v>
      </c>
      <c r="Y466" s="100" t="str">
        <f t="shared" si="54"/>
        <v xml:space="preserve"> </v>
      </c>
      <c r="Z466" s="100" t="str">
        <f t="shared" si="55"/>
        <v xml:space="preserve"> </v>
      </c>
    </row>
    <row r="467" spans="1:26">
      <c r="A467" s="100"/>
      <c r="B467" s="108" t="str">
        <f>IFERROR(VLOOKUP(Tablo516[[#This Row],[ÜRÜN KODU]],YMKODLARI!$A$1:$K$383,2,0)," ")</f>
        <v xml:space="preserve"> </v>
      </c>
      <c r="C467" s="99"/>
      <c r="D467" s="100"/>
      <c r="E467" s="101"/>
      <c r="F467" s="101"/>
      <c r="G467" s="100" t="str">
        <f>IFERROR(VLOOKUP(Tablo516[[#This Row],[ÜRÜN KODU]],YMKODLARI!$A$1:$K$383,3,0)," ")</f>
        <v xml:space="preserve"> </v>
      </c>
      <c r="H467" s="100" t="str">
        <f>IFERROR(VLOOKUP(Tablo516[[#This Row],[ÜRÜN KODU]],YMKODLARI!$A$1:$K$383,4,0)," ")</f>
        <v xml:space="preserve"> </v>
      </c>
      <c r="I467" s="100"/>
      <c r="J467" s="100" t="str">
        <f>IFERROR(VLOOKUP(Tablo516[[#This Row],[ÜRÜN KODU]],YMKODLARI!$A$1:$K$383,9,0)," ")</f>
        <v xml:space="preserve"> </v>
      </c>
      <c r="K467" s="100" t="str">
        <f>IFERROR(VLOOKUP(Tablo516[[#This Row],[BOYA KODU]],Tablo14[#All],4,0)," ")</f>
        <v xml:space="preserve"> </v>
      </c>
      <c r="L467" s="100" t="str">
        <f>IFERROR(VLOOKUP(Tablo516[[#This Row],[BOYA KODU]],Tablo14[#All],6,0)," ")</f>
        <v xml:space="preserve"> </v>
      </c>
      <c r="M467" s="100" t="str">
        <f t="shared" si="49"/>
        <v xml:space="preserve"> </v>
      </c>
      <c r="N467" s="100" t="str">
        <f>IFERROR(VLOOKUP(Tablo516[[#This Row],[ÜRÜN KODU]],YMKODLARI!$A$1:$K$383,8,0)," ")</f>
        <v xml:space="preserve"> </v>
      </c>
      <c r="O467" s="100" t="str">
        <f>IFERROR(VLOOKUP(Tablo516[[#This Row],[HAMMADDE KODU]],Tablo1[#All],3,0)," ")</f>
        <v xml:space="preserve"> </v>
      </c>
      <c r="P467" s="100" t="str">
        <f>IFERROR(VLOOKUP(Tablo516[[#This Row],[HAMMADDE KODU]],Tablo1[#All],4,0)," ")</f>
        <v xml:space="preserve"> </v>
      </c>
      <c r="Q467" s="100" t="str">
        <f>IFERROR(VLOOKUP(Tablo516[[#This Row],[ÜRÜN KODU]],YMKODLARI!$A$1:$K$383,5,0)," ")</f>
        <v xml:space="preserve"> </v>
      </c>
      <c r="R467" s="100" t="str">
        <f>IFERROR(VLOOKUP(Tablo516[[#This Row],[ÜRÜN KODU]],YMKODLARI!$A$1:$K$383,6,0)," ")</f>
        <v xml:space="preserve"> </v>
      </c>
      <c r="S467" s="100" t="str">
        <f>IFERROR(Tablo516[[#This Row],[YOLLUK HARİÇ BASKI GRAMI]]/Tablo516[[#This Row],[KALIP GÖZ ADEDİ]]," ")</f>
        <v xml:space="preserve"> </v>
      </c>
      <c r="T467" s="100" t="str">
        <f t="shared" si="51"/>
        <v xml:space="preserve"> </v>
      </c>
      <c r="U467" s="100"/>
      <c r="V467" s="100" t="str">
        <f t="shared" si="50"/>
        <v xml:space="preserve"> </v>
      </c>
      <c r="W467" s="101">
        <f t="shared" si="52"/>
        <v>24</v>
      </c>
      <c r="X467" s="102">
        <f t="shared" si="53"/>
        <v>0</v>
      </c>
      <c r="Y467" s="100" t="str">
        <f t="shared" si="54"/>
        <v xml:space="preserve"> </v>
      </c>
      <c r="Z467" s="100" t="str">
        <f t="shared" si="55"/>
        <v xml:space="preserve"> </v>
      </c>
    </row>
    <row r="468" spans="1:26">
      <c r="A468" s="100"/>
      <c r="B468" s="108" t="str">
        <f>IFERROR(VLOOKUP(Tablo516[[#This Row],[ÜRÜN KODU]],YMKODLARI!$A$1:$K$383,2,0)," ")</f>
        <v xml:space="preserve"> </v>
      </c>
      <c r="C468" s="99"/>
      <c r="D468" s="100"/>
      <c r="E468" s="101"/>
      <c r="F468" s="101"/>
      <c r="G468" s="100" t="str">
        <f>IFERROR(VLOOKUP(Tablo516[[#This Row],[ÜRÜN KODU]],YMKODLARI!$A$1:$K$383,3,0)," ")</f>
        <v xml:space="preserve"> </v>
      </c>
      <c r="H468" s="100" t="str">
        <f>IFERROR(VLOOKUP(Tablo516[[#This Row],[ÜRÜN KODU]],YMKODLARI!$A$1:$K$383,4,0)," ")</f>
        <v xml:space="preserve"> </v>
      </c>
      <c r="I468" s="100"/>
      <c r="J468" s="100" t="str">
        <f>IFERROR(VLOOKUP(Tablo516[[#This Row],[ÜRÜN KODU]],YMKODLARI!$A$1:$K$383,9,0)," ")</f>
        <v xml:space="preserve"> </v>
      </c>
      <c r="K468" s="100" t="str">
        <f>IFERROR(VLOOKUP(Tablo516[[#This Row],[BOYA KODU]],Tablo14[#All],4,0)," ")</f>
        <v xml:space="preserve"> </v>
      </c>
      <c r="L468" s="100" t="str">
        <f>IFERROR(VLOOKUP(Tablo516[[#This Row],[BOYA KODU]],Tablo14[#All],6,0)," ")</f>
        <v xml:space="preserve"> </v>
      </c>
      <c r="M468" s="100" t="str">
        <f t="shared" si="49"/>
        <v xml:space="preserve"> </v>
      </c>
      <c r="N468" s="100" t="str">
        <f>IFERROR(VLOOKUP(Tablo516[[#This Row],[ÜRÜN KODU]],YMKODLARI!$A$1:$K$383,8,0)," ")</f>
        <v xml:space="preserve"> </v>
      </c>
      <c r="O468" s="100" t="str">
        <f>IFERROR(VLOOKUP(Tablo516[[#This Row],[HAMMADDE KODU]],Tablo1[#All],3,0)," ")</f>
        <v xml:space="preserve"> </v>
      </c>
      <c r="P468" s="100" t="str">
        <f>IFERROR(VLOOKUP(Tablo516[[#This Row],[HAMMADDE KODU]],Tablo1[#All],4,0)," ")</f>
        <v xml:space="preserve"> </v>
      </c>
      <c r="Q468" s="100" t="str">
        <f>IFERROR(VLOOKUP(Tablo516[[#This Row],[ÜRÜN KODU]],YMKODLARI!$A$1:$K$383,5,0)," ")</f>
        <v xml:space="preserve"> </v>
      </c>
      <c r="R468" s="100" t="str">
        <f>IFERROR(VLOOKUP(Tablo516[[#This Row],[ÜRÜN KODU]],YMKODLARI!$A$1:$K$383,6,0)," ")</f>
        <v xml:space="preserve"> </v>
      </c>
      <c r="S468" s="100" t="str">
        <f>IFERROR(Tablo516[[#This Row],[YOLLUK HARİÇ BASKI GRAMI]]/Tablo516[[#This Row],[KALIP GÖZ ADEDİ]]," ")</f>
        <v xml:space="preserve"> </v>
      </c>
      <c r="T468" s="100" t="str">
        <f t="shared" si="51"/>
        <v xml:space="preserve"> </v>
      </c>
      <c r="U468" s="100"/>
      <c r="V468" s="100" t="str">
        <f t="shared" si="50"/>
        <v xml:space="preserve"> </v>
      </c>
      <c r="W468" s="101">
        <f t="shared" si="52"/>
        <v>24</v>
      </c>
      <c r="X468" s="102">
        <f t="shared" si="53"/>
        <v>0</v>
      </c>
      <c r="Y468" s="100" t="str">
        <f t="shared" si="54"/>
        <v xml:space="preserve"> </v>
      </c>
      <c r="Z468" s="100" t="str">
        <f t="shared" si="55"/>
        <v xml:space="preserve"> </v>
      </c>
    </row>
    <row r="469" spans="1:26">
      <c r="A469" s="100"/>
      <c r="B469" s="108" t="str">
        <f>IFERROR(VLOOKUP(Tablo516[[#This Row],[ÜRÜN KODU]],YMKODLARI!$A$1:$K$383,2,0)," ")</f>
        <v xml:space="preserve"> </v>
      </c>
      <c r="C469" s="99"/>
      <c r="D469" s="100"/>
      <c r="E469" s="101"/>
      <c r="F469" s="101"/>
      <c r="G469" s="100" t="str">
        <f>IFERROR(VLOOKUP(Tablo516[[#This Row],[ÜRÜN KODU]],YMKODLARI!$A$1:$K$383,3,0)," ")</f>
        <v xml:space="preserve"> </v>
      </c>
      <c r="H469" s="100" t="str">
        <f>IFERROR(VLOOKUP(Tablo516[[#This Row],[ÜRÜN KODU]],YMKODLARI!$A$1:$K$383,4,0)," ")</f>
        <v xml:space="preserve"> </v>
      </c>
      <c r="I469" s="100"/>
      <c r="J469" s="100" t="str">
        <f>IFERROR(VLOOKUP(Tablo516[[#This Row],[ÜRÜN KODU]],YMKODLARI!$A$1:$K$383,9,0)," ")</f>
        <v xml:space="preserve"> </v>
      </c>
      <c r="K469" s="100" t="str">
        <f>IFERROR(VLOOKUP(Tablo516[[#This Row],[BOYA KODU]],Tablo14[#All],4,0)," ")</f>
        <v xml:space="preserve"> </v>
      </c>
      <c r="L469" s="100" t="str">
        <f>IFERROR(VLOOKUP(Tablo516[[#This Row],[BOYA KODU]],Tablo14[#All],6,0)," ")</f>
        <v xml:space="preserve"> </v>
      </c>
      <c r="M469" s="100" t="str">
        <f t="shared" si="49"/>
        <v xml:space="preserve"> </v>
      </c>
      <c r="N469" s="100" t="str">
        <f>IFERROR(VLOOKUP(Tablo516[[#This Row],[ÜRÜN KODU]],YMKODLARI!$A$1:$K$383,8,0)," ")</f>
        <v xml:space="preserve"> </v>
      </c>
      <c r="O469" s="100" t="str">
        <f>IFERROR(VLOOKUP(Tablo516[[#This Row],[HAMMADDE KODU]],Tablo1[#All],3,0)," ")</f>
        <v xml:space="preserve"> </v>
      </c>
      <c r="P469" s="100" t="str">
        <f>IFERROR(VLOOKUP(Tablo516[[#This Row],[HAMMADDE KODU]],Tablo1[#All],4,0)," ")</f>
        <v xml:space="preserve"> </v>
      </c>
      <c r="Q469" s="100" t="str">
        <f>IFERROR(VLOOKUP(Tablo516[[#This Row],[ÜRÜN KODU]],YMKODLARI!$A$1:$K$383,5,0)," ")</f>
        <v xml:space="preserve"> </v>
      </c>
      <c r="R469" s="100" t="str">
        <f>IFERROR(VLOOKUP(Tablo516[[#This Row],[ÜRÜN KODU]],YMKODLARI!$A$1:$K$383,6,0)," ")</f>
        <v xml:space="preserve"> </v>
      </c>
      <c r="S469" s="100" t="str">
        <f>IFERROR(Tablo516[[#This Row],[YOLLUK HARİÇ BASKI GRAMI]]/Tablo516[[#This Row],[KALIP GÖZ ADEDİ]]," ")</f>
        <v xml:space="preserve"> </v>
      </c>
      <c r="T469" s="100" t="str">
        <f t="shared" si="51"/>
        <v xml:space="preserve"> </v>
      </c>
      <c r="U469" s="100"/>
      <c r="V469" s="100" t="str">
        <f t="shared" si="50"/>
        <v xml:space="preserve"> </v>
      </c>
      <c r="W469" s="101">
        <f t="shared" si="52"/>
        <v>24</v>
      </c>
      <c r="X469" s="102">
        <f t="shared" si="53"/>
        <v>0</v>
      </c>
      <c r="Y469" s="100" t="str">
        <f t="shared" si="54"/>
        <v xml:space="preserve"> </v>
      </c>
      <c r="Z469" s="100" t="str">
        <f t="shared" si="55"/>
        <v xml:space="preserve"> </v>
      </c>
    </row>
    <row r="470" spans="1:26">
      <c r="A470" s="100"/>
      <c r="B470" s="108" t="str">
        <f>IFERROR(VLOOKUP(Tablo516[[#This Row],[ÜRÜN KODU]],YMKODLARI!$A$1:$K$383,2,0)," ")</f>
        <v xml:space="preserve"> </v>
      </c>
      <c r="C470" s="99"/>
      <c r="D470" s="100"/>
      <c r="E470" s="101"/>
      <c r="F470" s="101"/>
      <c r="G470" s="100" t="str">
        <f>IFERROR(VLOOKUP(Tablo516[[#This Row],[ÜRÜN KODU]],YMKODLARI!$A$1:$K$383,3,0)," ")</f>
        <v xml:space="preserve"> </v>
      </c>
      <c r="H470" s="100" t="str">
        <f>IFERROR(VLOOKUP(Tablo516[[#This Row],[ÜRÜN KODU]],YMKODLARI!$A$1:$K$383,4,0)," ")</f>
        <v xml:space="preserve"> </v>
      </c>
      <c r="I470" s="100"/>
      <c r="J470" s="100" t="str">
        <f>IFERROR(VLOOKUP(Tablo516[[#This Row],[ÜRÜN KODU]],YMKODLARI!$A$1:$K$383,9,0)," ")</f>
        <v xml:space="preserve"> </v>
      </c>
      <c r="K470" s="100" t="str">
        <f>IFERROR(VLOOKUP(Tablo516[[#This Row],[BOYA KODU]],Tablo14[#All],4,0)," ")</f>
        <v xml:space="preserve"> </v>
      </c>
      <c r="L470" s="100" t="str">
        <f>IFERROR(VLOOKUP(Tablo516[[#This Row],[BOYA KODU]],Tablo14[#All],6,0)," ")</f>
        <v xml:space="preserve"> </v>
      </c>
      <c r="M470" s="100" t="str">
        <f t="shared" si="49"/>
        <v xml:space="preserve"> </v>
      </c>
      <c r="N470" s="100" t="str">
        <f>IFERROR(VLOOKUP(Tablo516[[#This Row],[ÜRÜN KODU]],YMKODLARI!$A$1:$K$383,8,0)," ")</f>
        <v xml:space="preserve"> </v>
      </c>
      <c r="O470" s="100" t="str">
        <f>IFERROR(VLOOKUP(Tablo516[[#This Row],[HAMMADDE KODU]],Tablo1[#All],3,0)," ")</f>
        <v xml:space="preserve"> </v>
      </c>
      <c r="P470" s="100" t="str">
        <f>IFERROR(VLOOKUP(Tablo516[[#This Row],[HAMMADDE KODU]],Tablo1[#All],4,0)," ")</f>
        <v xml:space="preserve"> </v>
      </c>
      <c r="Q470" s="100" t="str">
        <f>IFERROR(VLOOKUP(Tablo516[[#This Row],[ÜRÜN KODU]],YMKODLARI!$A$1:$K$383,5,0)," ")</f>
        <v xml:space="preserve"> </v>
      </c>
      <c r="R470" s="100" t="str">
        <f>IFERROR(VLOOKUP(Tablo516[[#This Row],[ÜRÜN KODU]],YMKODLARI!$A$1:$K$383,6,0)," ")</f>
        <v xml:space="preserve"> </v>
      </c>
      <c r="S470" s="100" t="str">
        <f>IFERROR(Tablo516[[#This Row],[YOLLUK HARİÇ BASKI GRAMI]]/Tablo516[[#This Row],[KALIP GÖZ ADEDİ]]," ")</f>
        <v xml:space="preserve"> </v>
      </c>
      <c r="T470" s="100" t="str">
        <f t="shared" si="51"/>
        <v xml:space="preserve"> </v>
      </c>
      <c r="U470" s="100"/>
      <c r="V470" s="100" t="str">
        <f t="shared" si="50"/>
        <v xml:space="preserve"> </v>
      </c>
      <c r="W470" s="101">
        <f t="shared" si="52"/>
        <v>24</v>
      </c>
      <c r="X470" s="102">
        <f t="shared" si="53"/>
        <v>0</v>
      </c>
      <c r="Y470" s="100" t="str">
        <f t="shared" si="54"/>
        <v xml:space="preserve"> </v>
      </c>
      <c r="Z470" s="100" t="str">
        <f t="shared" si="55"/>
        <v xml:space="preserve"> </v>
      </c>
    </row>
    <row r="471" spans="1:26">
      <c r="A471" s="100"/>
      <c r="B471" s="108" t="str">
        <f>IFERROR(VLOOKUP(Tablo516[[#This Row],[ÜRÜN KODU]],YMKODLARI!$A$1:$K$383,2,0)," ")</f>
        <v xml:space="preserve"> </v>
      </c>
      <c r="C471" s="99"/>
      <c r="D471" s="100"/>
      <c r="E471" s="101"/>
      <c r="F471" s="101"/>
      <c r="G471" s="100" t="str">
        <f>IFERROR(VLOOKUP(Tablo516[[#This Row],[ÜRÜN KODU]],YMKODLARI!$A$1:$K$383,3,0)," ")</f>
        <v xml:space="preserve"> </v>
      </c>
      <c r="H471" s="100" t="str">
        <f>IFERROR(VLOOKUP(Tablo516[[#This Row],[ÜRÜN KODU]],YMKODLARI!$A$1:$K$383,4,0)," ")</f>
        <v xml:space="preserve"> </v>
      </c>
      <c r="I471" s="100"/>
      <c r="J471" s="100" t="str">
        <f>IFERROR(VLOOKUP(Tablo516[[#This Row],[ÜRÜN KODU]],YMKODLARI!$A$1:$K$383,9,0)," ")</f>
        <v xml:space="preserve"> </v>
      </c>
      <c r="K471" s="100" t="str">
        <f>IFERROR(VLOOKUP(Tablo516[[#This Row],[BOYA KODU]],Tablo14[#All],4,0)," ")</f>
        <v xml:space="preserve"> </v>
      </c>
      <c r="L471" s="100" t="str">
        <f>IFERROR(VLOOKUP(Tablo516[[#This Row],[BOYA KODU]],Tablo14[#All],6,0)," ")</f>
        <v xml:space="preserve"> </v>
      </c>
      <c r="M471" s="100" t="str">
        <f t="shared" si="49"/>
        <v xml:space="preserve"> </v>
      </c>
      <c r="N471" s="100" t="str">
        <f>IFERROR(VLOOKUP(Tablo516[[#This Row],[ÜRÜN KODU]],YMKODLARI!$A$1:$K$383,8,0)," ")</f>
        <v xml:space="preserve"> </v>
      </c>
      <c r="O471" s="100" t="str">
        <f>IFERROR(VLOOKUP(Tablo516[[#This Row],[HAMMADDE KODU]],Tablo1[#All],3,0)," ")</f>
        <v xml:space="preserve"> </v>
      </c>
      <c r="P471" s="100" t="str">
        <f>IFERROR(VLOOKUP(Tablo516[[#This Row],[HAMMADDE KODU]],Tablo1[#All],4,0)," ")</f>
        <v xml:space="preserve"> </v>
      </c>
      <c r="Q471" s="100" t="str">
        <f>IFERROR(VLOOKUP(Tablo516[[#This Row],[ÜRÜN KODU]],YMKODLARI!$A$1:$K$383,5,0)," ")</f>
        <v xml:space="preserve"> </v>
      </c>
      <c r="R471" s="100" t="str">
        <f>IFERROR(VLOOKUP(Tablo516[[#This Row],[ÜRÜN KODU]],YMKODLARI!$A$1:$K$383,6,0)," ")</f>
        <v xml:space="preserve"> </v>
      </c>
      <c r="S471" s="100" t="str">
        <f>IFERROR(Tablo516[[#This Row],[YOLLUK HARİÇ BASKI GRAMI]]/Tablo516[[#This Row],[KALIP GÖZ ADEDİ]]," ")</f>
        <v xml:space="preserve"> </v>
      </c>
      <c r="T471" s="100" t="str">
        <f t="shared" si="51"/>
        <v xml:space="preserve"> </v>
      </c>
      <c r="U471" s="100"/>
      <c r="V471" s="100" t="str">
        <f t="shared" si="50"/>
        <v xml:space="preserve"> </v>
      </c>
      <c r="W471" s="101">
        <f t="shared" si="52"/>
        <v>24</v>
      </c>
      <c r="X471" s="102">
        <f t="shared" si="53"/>
        <v>0</v>
      </c>
      <c r="Y471" s="100" t="str">
        <f t="shared" si="54"/>
        <v xml:space="preserve"> </v>
      </c>
      <c r="Z471" s="100" t="str">
        <f t="shared" si="55"/>
        <v xml:space="preserve"> </v>
      </c>
    </row>
    <row r="472" spans="1:26">
      <c r="A472" s="100"/>
      <c r="B472" s="108" t="str">
        <f>IFERROR(VLOOKUP(Tablo516[[#This Row],[ÜRÜN KODU]],YMKODLARI!$A$1:$K$383,2,0)," ")</f>
        <v xml:space="preserve"> </v>
      </c>
      <c r="C472" s="99"/>
      <c r="D472" s="100"/>
      <c r="E472" s="101"/>
      <c r="F472" s="101"/>
      <c r="G472" s="100" t="str">
        <f>IFERROR(VLOOKUP(Tablo516[[#This Row],[ÜRÜN KODU]],YMKODLARI!$A$1:$K$383,3,0)," ")</f>
        <v xml:space="preserve"> </v>
      </c>
      <c r="H472" s="100" t="str">
        <f>IFERROR(VLOOKUP(Tablo516[[#This Row],[ÜRÜN KODU]],YMKODLARI!$A$1:$K$383,4,0)," ")</f>
        <v xml:space="preserve"> </v>
      </c>
      <c r="I472" s="100"/>
      <c r="J472" s="100" t="str">
        <f>IFERROR(VLOOKUP(Tablo516[[#This Row],[ÜRÜN KODU]],YMKODLARI!$A$1:$K$383,9,0)," ")</f>
        <v xml:space="preserve"> </v>
      </c>
      <c r="K472" s="100" t="str">
        <f>IFERROR(VLOOKUP(Tablo516[[#This Row],[BOYA KODU]],Tablo14[#All],4,0)," ")</f>
        <v xml:space="preserve"> </v>
      </c>
      <c r="L472" s="100" t="str">
        <f>IFERROR(VLOOKUP(Tablo516[[#This Row],[BOYA KODU]],Tablo14[#All],6,0)," ")</f>
        <v xml:space="preserve"> </v>
      </c>
      <c r="M472" s="100" t="str">
        <f t="shared" si="49"/>
        <v xml:space="preserve"> </v>
      </c>
      <c r="N472" s="100" t="str">
        <f>IFERROR(VLOOKUP(Tablo516[[#This Row],[ÜRÜN KODU]],YMKODLARI!$A$1:$K$383,8,0)," ")</f>
        <v xml:space="preserve"> </v>
      </c>
      <c r="O472" s="100" t="str">
        <f>IFERROR(VLOOKUP(Tablo516[[#This Row],[HAMMADDE KODU]],Tablo1[#All],3,0)," ")</f>
        <v xml:space="preserve"> </v>
      </c>
      <c r="P472" s="100" t="str">
        <f>IFERROR(VLOOKUP(Tablo516[[#This Row],[HAMMADDE KODU]],Tablo1[#All],4,0)," ")</f>
        <v xml:space="preserve"> </v>
      </c>
      <c r="Q472" s="100" t="str">
        <f>IFERROR(VLOOKUP(Tablo516[[#This Row],[ÜRÜN KODU]],YMKODLARI!$A$1:$K$383,5,0)," ")</f>
        <v xml:space="preserve"> </v>
      </c>
      <c r="R472" s="100" t="str">
        <f>IFERROR(VLOOKUP(Tablo516[[#This Row],[ÜRÜN KODU]],YMKODLARI!$A$1:$K$383,6,0)," ")</f>
        <v xml:space="preserve"> </v>
      </c>
      <c r="S472" s="100" t="str">
        <f>IFERROR(Tablo516[[#This Row],[YOLLUK HARİÇ BASKI GRAMI]]/Tablo516[[#This Row],[KALIP GÖZ ADEDİ]]," ")</f>
        <v xml:space="preserve"> </v>
      </c>
      <c r="T472" s="100" t="str">
        <f t="shared" si="51"/>
        <v xml:space="preserve"> </v>
      </c>
      <c r="U472" s="100"/>
      <c r="V472" s="100" t="str">
        <f t="shared" si="50"/>
        <v xml:space="preserve"> </v>
      </c>
      <c r="W472" s="101">
        <f t="shared" si="52"/>
        <v>24</v>
      </c>
      <c r="X472" s="102">
        <f t="shared" si="53"/>
        <v>0</v>
      </c>
      <c r="Y472" s="100" t="str">
        <f t="shared" si="54"/>
        <v xml:space="preserve"> </v>
      </c>
      <c r="Z472" s="100" t="str">
        <f t="shared" si="55"/>
        <v xml:space="preserve"> </v>
      </c>
    </row>
    <row r="473" spans="1:26">
      <c r="A473" s="100"/>
      <c r="B473" s="108" t="str">
        <f>IFERROR(VLOOKUP(Tablo516[[#This Row],[ÜRÜN KODU]],YMKODLARI!$A$1:$K$383,2,0)," ")</f>
        <v xml:space="preserve"> </v>
      </c>
      <c r="C473" s="99"/>
      <c r="D473" s="100"/>
      <c r="E473" s="101"/>
      <c r="F473" s="101"/>
      <c r="G473" s="100" t="str">
        <f>IFERROR(VLOOKUP(Tablo516[[#This Row],[ÜRÜN KODU]],YMKODLARI!$A$1:$K$383,3,0)," ")</f>
        <v xml:space="preserve"> </v>
      </c>
      <c r="H473" s="100" t="str">
        <f>IFERROR(VLOOKUP(Tablo516[[#This Row],[ÜRÜN KODU]],YMKODLARI!$A$1:$K$383,4,0)," ")</f>
        <v xml:space="preserve"> </v>
      </c>
      <c r="I473" s="100"/>
      <c r="J473" s="100" t="str">
        <f>IFERROR(VLOOKUP(Tablo516[[#This Row],[ÜRÜN KODU]],YMKODLARI!$A$1:$K$383,9,0)," ")</f>
        <v xml:space="preserve"> </v>
      </c>
      <c r="K473" s="100" t="str">
        <f>IFERROR(VLOOKUP(Tablo516[[#This Row],[BOYA KODU]],Tablo14[#All],4,0)," ")</f>
        <v xml:space="preserve"> </v>
      </c>
      <c r="L473" s="100" t="str">
        <f>IFERROR(VLOOKUP(Tablo516[[#This Row],[BOYA KODU]],Tablo14[#All],6,0)," ")</f>
        <v xml:space="preserve"> </v>
      </c>
      <c r="M473" s="100" t="str">
        <f t="shared" si="49"/>
        <v xml:space="preserve"> </v>
      </c>
      <c r="N473" s="100" t="str">
        <f>IFERROR(VLOOKUP(Tablo516[[#This Row],[ÜRÜN KODU]],YMKODLARI!$A$1:$K$383,8,0)," ")</f>
        <v xml:space="preserve"> </v>
      </c>
      <c r="O473" s="100" t="str">
        <f>IFERROR(VLOOKUP(Tablo516[[#This Row],[HAMMADDE KODU]],Tablo1[#All],3,0)," ")</f>
        <v xml:space="preserve"> </v>
      </c>
      <c r="P473" s="100" t="str">
        <f>IFERROR(VLOOKUP(Tablo516[[#This Row],[HAMMADDE KODU]],Tablo1[#All],4,0)," ")</f>
        <v xml:space="preserve"> </v>
      </c>
      <c r="Q473" s="100" t="str">
        <f>IFERROR(VLOOKUP(Tablo516[[#This Row],[ÜRÜN KODU]],YMKODLARI!$A$1:$K$383,5,0)," ")</f>
        <v xml:space="preserve"> </v>
      </c>
      <c r="R473" s="100" t="str">
        <f>IFERROR(VLOOKUP(Tablo516[[#This Row],[ÜRÜN KODU]],YMKODLARI!$A$1:$K$383,6,0)," ")</f>
        <v xml:space="preserve"> </v>
      </c>
      <c r="S473" s="100" t="str">
        <f>IFERROR(Tablo516[[#This Row],[YOLLUK HARİÇ BASKI GRAMI]]/Tablo516[[#This Row],[KALIP GÖZ ADEDİ]]," ")</f>
        <v xml:space="preserve"> </v>
      </c>
      <c r="T473" s="100" t="str">
        <f t="shared" si="51"/>
        <v xml:space="preserve"> </v>
      </c>
      <c r="U473" s="100"/>
      <c r="V473" s="100" t="str">
        <f t="shared" si="50"/>
        <v xml:space="preserve"> </v>
      </c>
      <c r="W473" s="101">
        <f t="shared" si="52"/>
        <v>24</v>
      </c>
      <c r="X473" s="102">
        <f t="shared" si="53"/>
        <v>0</v>
      </c>
      <c r="Y473" s="100" t="str">
        <f t="shared" si="54"/>
        <v xml:space="preserve"> </v>
      </c>
      <c r="Z473" s="100" t="str">
        <f t="shared" si="55"/>
        <v xml:space="preserve"> </v>
      </c>
    </row>
    <row r="474" spans="1:26">
      <c r="A474" s="100"/>
      <c r="B474" s="108" t="str">
        <f>IFERROR(VLOOKUP(Tablo516[[#This Row],[ÜRÜN KODU]],YMKODLARI!$A$1:$K$383,2,0)," ")</f>
        <v xml:space="preserve"> </v>
      </c>
      <c r="C474" s="99"/>
      <c r="D474" s="100"/>
      <c r="E474" s="101"/>
      <c r="F474" s="101"/>
      <c r="G474" s="100" t="str">
        <f>IFERROR(VLOOKUP(Tablo516[[#This Row],[ÜRÜN KODU]],YMKODLARI!$A$1:$K$383,3,0)," ")</f>
        <v xml:space="preserve"> </v>
      </c>
      <c r="H474" s="100" t="str">
        <f>IFERROR(VLOOKUP(Tablo516[[#This Row],[ÜRÜN KODU]],YMKODLARI!$A$1:$K$383,4,0)," ")</f>
        <v xml:space="preserve"> </v>
      </c>
      <c r="I474" s="100"/>
      <c r="J474" s="100" t="str">
        <f>IFERROR(VLOOKUP(Tablo516[[#This Row],[ÜRÜN KODU]],YMKODLARI!$A$1:$K$383,9,0)," ")</f>
        <v xml:space="preserve"> </v>
      </c>
      <c r="K474" s="100" t="str">
        <f>IFERROR(VLOOKUP(Tablo516[[#This Row],[BOYA KODU]],Tablo14[#All],4,0)," ")</f>
        <v xml:space="preserve"> </v>
      </c>
      <c r="L474" s="100" t="str">
        <f>IFERROR(VLOOKUP(Tablo516[[#This Row],[BOYA KODU]],Tablo14[#All],6,0)," ")</f>
        <v xml:space="preserve"> </v>
      </c>
      <c r="M474" s="100" t="str">
        <f t="shared" si="49"/>
        <v xml:space="preserve"> </v>
      </c>
      <c r="N474" s="100" t="str">
        <f>IFERROR(VLOOKUP(Tablo516[[#This Row],[ÜRÜN KODU]],YMKODLARI!$A$1:$K$383,8,0)," ")</f>
        <v xml:space="preserve"> </v>
      </c>
      <c r="O474" s="100" t="str">
        <f>IFERROR(VLOOKUP(Tablo516[[#This Row],[HAMMADDE KODU]],Tablo1[#All],3,0)," ")</f>
        <v xml:space="preserve"> </v>
      </c>
      <c r="P474" s="100" t="str">
        <f>IFERROR(VLOOKUP(Tablo516[[#This Row],[HAMMADDE KODU]],Tablo1[#All],4,0)," ")</f>
        <v xml:space="preserve"> </v>
      </c>
      <c r="Q474" s="100" t="str">
        <f>IFERROR(VLOOKUP(Tablo516[[#This Row],[ÜRÜN KODU]],YMKODLARI!$A$1:$K$383,5,0)," ")</f>
        <v xml:space="preserve"> </v>
      </c>
      <c r="R474" s="100" t="str">
        <f>IFERROR(VLOOKUP(Tablo516[[#This Row],[ÜRÜN KODU]],YMKODLARI!$A$1:$K$383,6,0)," ")</f>
        <v xml:space="preserve"> </v>
      </c>
      <c r="S474" s="100" t="str">
        <f>IFERROR(Tablo516[[#This Row],[YOLLUK HARİÇ BASKI GRAMI]]/Tablo516[[#This Row],[KALIP GÖZ ADEDİ]]," ")</f>
        <v xml:space="preserve"> </v>
      </c>
      <c r="T474" s="100" t="str">
        <f t="shared" si="51"/>
        <v xml:space="preserve"> </v>
      </c>
      <c r="U474" s="100"/>
      <c r="V474" s="100" t="str">
        <f t="shared" si="50"/>
        <v xml:space="preserve"> </v>
      </c>
      <c r="W474" s="101">
        <f t="shared" si="52"/>
        <v>24</v>
      </c>
      <c r="X474" s="102">
        <f t="shared" si="53"/>
        <v>0</v>
      </c>
      <c r="Y474" s="100" t="str">
        <f t="shared" si="54"/>
        <v xml:space="preserve"> </v>
      </c>
      <c r="Z474" s="100" t="str">
        <f t="shared" si="55"/>
        <v xml:space="preserve"> </v>
      </c>
    </row>
    <row r="475" spans="1:26">
      <c r="A475" s="100"/>
      <c r="B475" s="108" t="str">
        <f>IFERROR(VLOOKUP(Tablo516[[#This Row],[ÜRÜN KODU]],YMKODLARI!$A$1:$K$383,2,0)," ")</f>
        <v xml:space="preserve"> </v>
      </c>
      <c r="C475" s="99"/>
      <c r="D475" s="100"/>
      <c r="E475" s="101"/>
      <c r="F475" s="101"/>
      <c r="G475" s="100" t="str">
        <f>IFERROR(VLOOKUP(Tablo516[[#This Row],[ÜRÜN KODU]],YMKODLARI!$A$1:$K$383,3,0)," ")</f>
        <v xml:space="preserve"> </v>
      </c>
      <c r="H475" s="100" t="str">
        <f>IFERROR(VLOOKUP(Tablo516[[#This Row],[ÜRÜN KODU]],YMKODLARI!$A$1:$K$383,4,0)," ")</f>
        <v xml:space="preserve"> </v>
      </c>
      <c r="I475" s="100"/>
      <c r="J475" s="100" t="str">
        <f>IFERROR(VLOOKUP(Tablo516[[#This Row],[ÜRÜN KODU]],YMKODLARI!$A$1:$K$383,9,0)," ")</f>
        <v xml:space="preserve"> </v>
      </c>
      <c r="K475" s="100" t="str">
        <f>IFERROR(VLOOKUP(Tablo516[[#This Row],[BOYA KODU]],Tablo14[#All],4,0)," ")</f>
        <v xml:space="preserve"> </v>
      </c>
      <c r="L475" s="100" t="str">
        <f>IFERROR(VLOOKUP(Tablo516[[#This Row],[BOYA KODU]],Tablo14[#All],6,0)," ")</f>
        <v xml:space="preserve"> </v>
      </c>
      <c r="M475" s="100" t="str">
        <f t="shared" si="49"/>
        <v xml:space="preserve"> </v>
      </c>
      <c r="N475" s="100" t="str">
        <f>IFERROR(VLOOKUP(Tablo516[[#This Row],[ÜRÜN KODU]],YMKODLARI!$A$1:$K$383,8,0)," ")</f>
        <v xml:space="preserve"> </v>
      </c>
      <c r="O475" s="100" t="str">
        <f>IFERROR(VLOOKUP(Tablo516[[#This Row],[HAMMADDE KODU]],Tablo1[#All],3,0)," ")</f>
        <v xml:space="preserve"> </v>
      </c>
      <c r="P475" s="100" t="str">
        <f>IFERROR(VLOOKUP(Tablo516[[#This Row],[HAMMADDE KODU]],Tablo1[#All],4,0)," ")</f>
        <v xml:space="preserve"> </v>
      </c>
      <c r="Q475" s="100" t="str">
        <f>IFERROR(VLOOKUP(Tablo516[[#This Row],[ÜRÜN KODU]],YMKODLARI!$A$1:$K$383,5,0)," ")</f>
        <v xml:space="preserve"> </v>
      </c>
      <c r="R475" s="100" t="str">
        <f>IFERROR(VLOOKUP(Tablo516[[#This Row],[ÜRÜN KODU]],YMKODLARI!$A$1:$K$383,6,0)," ")</f>
        <v xml:space="preserve"> </v>
      </c>
      <c r="S475" s="100" t="str">
        <f>IFERROR(Tablo516[[#This Row],[YOLLUK HARİÇ BASKI GRAMI]]/Tablo516[[#This Row],[KALIP GÖZ ADEDİ]]," ")</f>
        <v xml:space="preserve"> </v>
      </c>
      <c r="T475" s="100" t="str">
        <f t="shared" si="51"/>
        <v xml:space="preserve"> </v>
      </c>
      <c r="U475" s="100"/>
      <c r="V475" s="100" t="str">
        <f t="shared" si="50"/>
        <v xml:space="preserve"> </v>
      </c>
      <c r="W475" s="101">
        <f t="shared" si="52"/>
        <v>24</v>
      </c>
      <c r="X475" s="102">
        <f t="shared" si="53"/>
        <v>0</v>
      </c>
      <c r="Y475" s="100" t="str">
        <f t="shared" si="54"/>
        <v xml:space="preserve"> </v>
      </c>
      <c r="Z475" s="100" t="str">
        <f t="shared" si="55"/>
        <v xml:space="preserve"> </v>
      </c>
    </row>
    <row r="476" spans="1:26">
      <c r="A476" s="100"/>
      <c r="B476" s="108" t="str">
        <f>IFERROR(VLOOKUP(Tablo516[[#This Row],[ÜRÜN KODU]],YMKODLARI!$A$1:$K$383,2,0)," ")</f>
        <v xml:space="preserve"> </v>
      </c>
      <c r="C476" s="99"/>
      <c r="D476" s="100"/>
      <c r="E476" s="101"/>
      <c r="F476" s="101"/>
      <c r="G476" s="100" t="str">
        <f>IFERROR(VLOOKUP(Tablo516[[#This Row],[ÜRÜN KODU]],YMKODLARI!$A$1:$K$383,3,0)," ")</f>
        <v xml:space="preserve"> </v>
      </c>
      <c r="H476" s="100" t="str">
        <f>IFERROR(VLOOKUP(Tablo516[[#This Row],[ÜRÜN KODU]],YMKODLARI!$A$1:$K$383,4,0)," ")</f>
        <v xml:space="preserve"> </v>
      </c>
      <c r="I476" s="100"/>
      <c r="J476" s="100" t="str">
        <f>IFERROR(VLOOKUP(Tablo516[[#This Row],[ÜRÜN KODU]],YMKODLARI!$A$1:$K$383,9,0)," ")</f>
        <v xml:space="preserve"> </v>
      </c>
      <c r="K476" s="100" t="str">
        <f>IFERROR(VLOOKUP(Tablo516[[#This Row],[BOYA KODU]],Tablo14[#All],4,0)," ")</f>
        <v xml:space="preserve"> </v>
      </c>
      <c r="L476" s="100" t="str">
        <f>IFERROR(VLOOKUP(Tablo516[[#This Row],[BOYA KODU]],Tablo14[#All],6,0)," ")</f>
        <v xml:space="preserve"> </v>
      </c>
      <c r="M476" s="100" t="str">
        <f t="shared" si="49"/>
        <v xml:space="preserve"> </v>
      </c>
      <c r="N476" s="100" t="str">
        <f>IFERROR(VLOOKUP(Tablo516[[#This Row],[ÜRÜN KODU]],YMKODLARI!$A$1:$K$383,8,0)," ")</f>
        <v xml:space="preserve"> </v>
      </c>
      <c r="O476" s="100" t="str">
        <f>IFERROR(VLOOKUP(Tablo516[[#This Row],[HAMMADDE KODU]],Tablo1[#All],3,0)," ")</f>
        <v xml:space="preserve"> </v>
      </c>
      <c r="P476" s="100" t="str">
        <f>IFERROR(VLOOKUP(Tablo516[[#This Row],[HAMMADDE KODU]],Tablo1[#All],4,0)," ")</f>
        <v xml:space="preserve"> </v>
      </c>
      <c r="Q476" s="100" t="str">
        <f>IFERROR(VLOOKUP(Tablo516[[#This Row],[ÜRÜN KODU]],YMKODLARI!$A$1:$K$383,5,0)," ")</f>
        <v xml:space="preserve"> </v>
      </c>
      <c r="R476" s="100" t="str">
        <f>IFERROR(VLOOKUP(Tablo516[[#This Row],[ÜRÜN KODU]],YMKODLARI!$A$1:$K$383,6,0)," ")</f>
        <v xml:space="preserve"> </v>
      </c>
      <c r="S476" s="100" t="str">
        <f>IFERROR(Tablo516[[#This Row],[YOLLUK HARİÇ BASKI GRAMI]]/Tablo516[[#This Row],[KALIP GÖZ ADEDİ]]," ")</f>
        <v xml:space="preserve"> </v>
      </c>
      <c r="T476" s="100" t="str">
        <f t="shared" si="51"/>
        <v xml:space="preserve"> </v>
      </c>
      <c r="U476" s="100"/>
      <c r="V476" s="100" t="str">
        <f t="shared" si="50"/>
        <v xml:space="preserve"> </v>
      </c>
      <c r="W476" s="101">
        <f t="shared" si="52"/>
        <v>24</v>
      </c>
      <c r="X476" s="102">
        <f t="shared" si="53"/>
        <v>0</v>
      </c>
      <c r="Y476" s="100" t="str">
        <f t="shared" si="54"/>
        <v xml:space="preserve"> </v>
      </c>
      <c r="Z476" s="100" t="str">
        <f t="shared" si="55"/>
        <v xml:space="preserve"> </v>
      </c>
    </row>
    <row r="477" spans="1:26">
      <c r="A477" s="100"/>
      <c r="B477" s="108" t="str">
        <f>IFERROR(VLOOKUP(Tablo516[[#This Row],[ÜRÜN KODU]],YMKODLARI!$A$1:$K$383,2,0)," ")</f>
        <v xml:space="preserve"> </v>
      </c>
      <c r="C477" s="99"/>
      <c r="D477" s="100"/>
      <c r="E477" s="101"/>
      <c r="F477" s="101"/>
      <c r="G477" s="100" t="str">
        <f>IFERROR(VLOOKUP(Tablo516[[#This Row],[ÜRÜN KODU]],YMKODLARI!$A$1:$K$383,3,0)," ")</f>
        <v xml:space="preserve"> </v>
      </c>
      <c r="H477" s="100" t="str">
        <f>IFERROR(VLOOKUP(Tablo516[[#This Row],[ÜRÜN KODU]],YMKODLARI!$A$1:$K$383,4,0)," ")</f>
        <v xml:space="preserve"> </v>
      </c>
      <c r="I477" s="100"/>
      <c r="J477" s="100" t="str">
        <f>IFERROR(VLOOKUP(Tablo516[[#This Row],[ÜRÜN KODU]],YMKODLARI!$A$1:$K$383,9,0)," ")</f>
        <v xml:space="preserve"> </v>
      </c>
      <c r="K477" s="100" t="str">
        <f>IFERROR(VLOOKUP(Tablo516[[#This Row],[BOYA KODU]],Tablo14[#All],4,0)," ")</f>
        <v xml:space="preserve"> </v>
      </c>
      <c r="L477" s="100" t="str">
        <f>IFERROR(VLOOKUP(Tablo516[[#This Row],[BOYA KODU]],Tablo14[#All],6,0)," ")</f>
        <v xml:space="preserve"> </v>
      </c>
      <c r="M477" s="100" t="str">
        <f t="shared" si="49"/>
        <v xml:space="preserve"> </v>
      </c>
      <c r="N477" s="100" t="str">
        <f>IFERROR(VLOOKUP(Tablo516[[#This Row],[ÜRÜN KODU]],YMKODLARI!$A$1:$K$383,8,0)," ")</f>
        <v xml:space="preserve"> </v>
      </c>
      <c r="O477" s="100" t="str">
        <f>IFERROR(VLOOKUP(Tablo516[[#This Row],[HAMMADDE KODU]],Tablo1[#All],3,0)," ")</f>
        <v xml:space="preserve"> </v>
      </c>
      <c r="P477" s="100" t="str">
        <f>IFERROR(VLOOKUP(Tablo516[[#This Row],[HAMMADDE KODU]],Tablo1[#All],4,0)," ")</f>
        <v xml:space="preserve"> </v>
      </c>
      <c r="Q477" s="100" t="str">
        <f>IFERROR(VLOOKUP(Tablo516[[#This Row],[ÜRÜN KODU]],YMKODLARI!$A$1:$K$383,5,0)," ")</f>
        <v xml:space="preserve"> </v>
      </c>
      <c r="R477" s="100" t="str">
        <f>IFERROR(VLOOKUP(Tablo516[[#This Row],[ÜRÜN KODU]],YMKODLARI!$A$1:$K$383,6,0)," ")</f>
        <v xml:space="preserve"> </v>
      </c>
      <c r="S477" s="100" t="str">
        <f>IFERROR(Tablo516[[#This Row],[YOLLUK HARİÇ BASKI GRAMI]]/Tablo516[[#This Row],[KALIP GÖZ ADEDİ]]," ")</f>
        <v xml:space="preserve"> </v>
      </c>
      <c r="T477" s="100" t="str">
        <f t="shared" si="51"/>
        <v xml:space="preserve"> </v>
      </c>
      <c r="U477" s="100"/>
      <c r="V477" s="100" t="str">
        <f t="shared" si="50"/>
        <v xml:space="preserve"> </v>
      </c>
      <c r="W477" s="101">
        <f t="shared" si="52"/>
        <v>24</v>
      </c>
      <c r="X477" s="102">
        <f t="shared" si="53"/>
        <v>0</v>
      </c>
      <c r="Y477" s="100" t="str">
        <f t="shared" si="54"/>
        <v xml:space="preserve"> </v>
      </c>
      <c r="Z477" s="100" t="str">
        <f t="shared" si="55"/>
        <v xml:space="preserve"> </v>
      </c>
    </row>
    <row r="478" spans="1:26">
      <c r="A478" s="100"/>
      <c r="B478" s="108" t="str">
        <f>IFERROR(VLOOKUP(Tablo516[[#This Row],[ÜRÜN KODU]],YMKODLARI!$A$1:$K$383,2,0)," ")</f>
        <v xml:space="preserve"> </v>
      </c>
      <c r="C478" s="99"/>
      <c r="D478" s="100"/>
      <c r="E478" s="101"/>
      <c r="F478" s="101"/>
      <c r="G478" s="100" t="str">
        <f>IFERROR(VLOOKUP(Tablo516[[#This Row],[ÜRÜN KODU]],YMKODLARI!$A$1:$K$383,3,0)," ")</f>
        <v xml:space="preserve"> </v>
      </c>
      <c r="H478" s="100" t="str">
        <f>IFERROR(VLOOKUP(Tablo516[[#This Row],[ÜRÜN KODU]],YMKODLARI!$A$1:$K$383,4,0)," ")</f>
        <v xml:space="preserve"> </v>
      </c>
      <c r="I478" s="100"/>
      <c r="J478" s="100" t="str">
        <f>IFERROR(VLOOKUP(Tablo516[[#This Row],[ÜRÜN KODU]],YMKODLARI!$A$1:$K$383,9,0)," ")</f>
        <v xml:space="preserve"> </v>
      </c>
      <c r="K478" s="100" t="str">
        <f>IFERROR(VLOOKUP(Tablo516[[#This Row],[BOYA KODU]],Tablo14[#All],4,0)," ")</f>
        <v xml:space="preserve"> </v>
      </c>
      <c r="L478" s="100" t="str">
        <f>IFERROR(VLOOKUP(Tablo516[[#This Row],[BOYA KODU]],Tablo14[#All],6,0)," ")</f>
        <v xml:space="preserve"> </v>
      </c>
      <c r="M478" s="100" t="str">
        <f t="shared" si="49"/>
        <v xml:space="preserve"> </v>
      </c>
      <c r="N478" s="100" t="str">
        <f>IFERROR(VLOOKUP(Tablo516[[#This Row],[ÜRÜN KODU]],YMKODLARI!$A$1:$K$383,8,0)," ")</f>
        <v xml:space="preserve"> </v>
      </c>
      <c r="O478" s="100" t="str">
        <f>IFERROR(VLOOKUP(Tablo516[[#This Row],[HAMMADDE KODU]],Tablo1[#All],3,0)," ")</f>
        <v xml:space="preserve"> </v>
      </c>
      <c r="P478" s="100" t="str">
        <f>IFERROR(VLOOKUP(Tablo516[[#This Row],[HAMMADDE KODU]],Tablo1[#All],4,0)," ")</f>
        <v xml:space="preserve"> </v>
      </c>
      <c r="Q478" s="100" t="str">
        <f>IFERROR(VLOOKUP(Tablo516[[#This Row],[ÜRÜN KODU]],YMKODLARI!$A$1:$K$383,5,0)," ")</f>
        <v xml:space="preserve"> </v>
      </c>
      <c r="R478" s="100" t="str">
        <f>IFERROR(VLOOKUP(Tablo516[[#This Row],[ÜRÜN KODU]],YMKODLARI!$A$1:$K$383,6,0)," ")</f>
        <v xml:space="preserve"> </v>
      </c>
      <c r="S478" s="100" t="str">
        <f>IFERROR(Tablo516[[#This Row],[YOLLUK HARİÇ BASKI GRAMI]]/Tablo516[[#This Row],[KALIP GÖZ ADEDİ]]," ")</f>
        <v xml:space="preserve"> </v>
      </c>
      <c r="T478" s="100" t="str">
        <f t="shared" si="51"/>
        <v xml:space="preserve"> </v>
      </c>
      <c r="U478" s="100"/>
      <c r="V478" s="100" t="str">
        <f t="shared" si="50"/>
        <v xml:space="preserve"> </v>
      </c>
      <c r="W478" s="101">
        <f t="shared" si="52"/>
        <v>24</v>
      </c>
      <c r="X478" s="102">
        <f t="shared" si="53"/>
        <v>0</v>
      </c>
      <c r="Y478" s="100" t="str">
        <f t="shared" si="54"/>
        <v xml:space="preserve"> </v>
      </c>
      <c r="Z478" s="100" t="str">
        <f t="shared" si="55"/>
        <v xml:space="preserve"> </v>
      </c>
    </row>
    <row r="479" spans="1:26">
      <c r="A479" s="100"/>
      <c r="B479" s="108" t="str">
        <f>IFERROR(VLOOKUP(Tablo516[[#This Row],[ÜRÜN KODU]],YMKODLARI!$A$1:$K$383,2,0)," ")</f>
        <v xml:space="preserve"> </v>
      </c>
      <c r="C479" s="99"/>
      <c r="D479" s="100"/>
      <c r="E479" s="101"/>
      <c r="F479" s="101"/>
      <c r="G479" s="100" t="str">
        <f>IFERROR(VLOOKUP(Tablo516[[#This Row],[ÜRÜN KODU]],YMKODLARI!$A$1:$K$383,3,0)," ")</f>
        <v xml:space="preserve"> </v>
      </c>
      <c r="H479" s="100" t="str">
        <f>IFERROR(VLOOKUP(Tablo516[[#This Row],[ÜRÜN KODU]],YMKODLARI!$A$1:$K$383,4,0)," ")</f>
        <v xml:space="preserve"> </v>
      </c>
      <c r="I479" s="100"/>
      <c r="J479" s="100" t="str">
        <f>IFERROR(VLOOKUP(Tablo516[[#This Row],[ÜRÜN KODU]],YMKODLARI!$A$1:$K$383,9,0)," ")</f>
        <v xml:space="preserve"> </v>
      </c>
      <c r="K479" s="100" t="str">
        <f>IFERROR(VLOOKUP(Tablo516[[#This Row],[BOYA KODU]],Tablo14[#All],4,0)," ")</f>
        <v xml:space="preserve"> </v>
      </c>
      <c r="L479" s="100" t="str">
        <f>IFERROR(VLOOKUP(Tablo516[[#This Row],[BOYA KODU]],Tablo14[#All],6,0)," ")</f>
        <v xml:space="preserve"> </v>
      </c>
      <c r="M479" s="100" t="str">
        <f t="shared" si="49"/>
        <v xml:space="preserve"> </v>
      </c>
      <c r="N479" s="100" t="str">
        <f>IFERROR(VLOOKUP(Tablo516[[#This Row],[ÜRÜN KODU]],YMKODLARI!$A$1:$K$383,8,0)," ")</f>
        <v xml:space="preserve"> </v>
      </c>
      <c r="O479" s="100" t="str">
        <f>IFERROR(VLOOKUP(Tablo516[[#This Row],[HAMMADDE KODU]],Tablo1[#All],3,0)," ")</f>
        <v xml:space="preserve"> </v>
      </c>
      <c r="P479" s="100" t="str">
        <f>IFERROR(VLOOKUP(Tablo516[[#This Row],[HAMMADDE KODU]],Tablo1[#All],4,0)," ")</f>
        <v xml:space="preserve"> </v>
      </c>
      <c r="Q479" s="100" t="str">
        <f>IFERROR(VLOOKUP(Tablo516[[#This Row],[ÜRÜN KODU]],YMKODLARI!$A$1:$K$383,5,0)," ")</f>
        <v xml:space="preserve"> </v>
      </c>
      <c r="R479" s="100" t="str">
        <f>IFERROR(VLOOKUP(Tablo516[[#This Row],[ÜRÜN KODU]],YMKODLARI!$A$1:$K$383,6,0)," ")</f>
        <v xml:space="preserve"> </v>
      </c>
      <c r="S479" s="100" t="str">
        <f>IFERROR(Tablo516[[#This Row],[YOLLUK HARİÇ BASKI GRAMI]]/Tablo516[[#This Row],[KALIP GÖZ ADEDİ]]," ")</f>
        <v xml:space="preserve"> </v>
      </c>
      <c r="T479" s="100" t="str">
        <f t="shared" si="51"/>
        <v xml:space="preserve"> </v>
      </c>
      <c r="U479" s="100"/>
      <c r="V479" s="100" t="str">
        <f t="shared" si="50"/>
        <v xml:space="preserve"> </v>
      </c>
      <c r="W479" s="101">
        <f t="shared" si="52"/>
        <v>24</v>
      </c>
      <c r="X479" s="102">
        <f t="shared" si="53"/>
        <v>0</v>
      </c>
      <c r="Y479" s="100" t="str">
        <f t="shared" si="54"/>
        <v xml:space="preserve"> </v>
      </c>
      <c r="Z479" s="100" t="str">
        <f t="shared" si="55"/>
        <v xml:space="preserve"> </v>
      </c>
    </row>
    <row r="480" spans="1:26">
      <c r="A480" s="100"/>
      <c r="B480" s="108" t="str">
        <f>IFERROR(VLOOKUP(Tablo516[[#This Row],[ÜRÜN KODU]],YMKODLARI!$A$1:$K$383,2,0)," ")</f>
        <v xml:space="preserve"> </v>
      </c>
      <c r="C480" s="99"/>
      <c r="D480" s="100"/>
      <c r="E480" s="101"/>
      <c r="F480" s="101"/>
      <c r="G480" s="100" t="str">
        <f>IFERROR(VLOOKUP(Tablo516[[#This Row],[ÜRÜN KODU]],YMKODLARI!$A$1:$K$383,3,0)," ")</f>
        <v xml:space="preserve"> </v>
      </c>
      <c r="H480" s="100" t="str">
        <f>IFERROR(VLOOKUP(Tablo516[[#This Row],[ÜRÜN KODU]],YMKODLARI!$A$1:$K$383,4,0)," ")</f>
        <v xml:space="preserve"> </v>
      </c>
      <c r="I480" s="100"/>
      <c r="J480" s="100" t="str">
        <f>IFERROR(VLOOKUP(Tablo516[[#This Row],[ÜRÜN KODU]],YMKODLARI!$A$1:$K$383,9,0)," ")</f>
        <v xml:space="preserve"> </v>
      </c>
      <c r="K480" s="100" t="str">
        <f>IFERROR(VLOOKUP(Tablo516[[#This Row],[BOYA KODU]],Tablo14[#All],4,0)," ")</f>
        <v xml:space="preserve"> </v>
      </c>
      <c r="L480" s="100" t="str">
        <f>IFERROR(VLOOKUP(Tablo516[[#This Row],[BOYA KODU]],Tablo14[#All],6,0)," ")</f>
        <v xml:space="preserve"> </v>
      </c>
      <c r="M480" s="100" t="str">
        <f t="shared" si="49"/>
        <v xml:space="preserve"> </v>
      </c>
      <c r="N480" s="100" t="str">
        <f>IFERROR(VLOOKUP(Tablo516[[#This Row],[ÜRÜN KODU]],YMKODLARI!$A$1:$K$383,8,0)," ")</f>
        <v xml:space="preserve"> </v>
      </c>
      <c r="O480" s="100" t="str">
        <f>IFERROR(VLOOKUP(Tablo516[[#This Row],[HAMMADDE KODU]],Tablo1[#All],3,0)," ")</f>
        <v xml:space="preserve"> </v>
      </c>
      <c r="P480" s="100" t="str">
        <f>IFERROR(VLOOKUP(Tablo516[[#This Row],[HAMMADDE KODU]],Tablo1[#All],4,0)," ")</f>
        <v xml:space="preserve"> </v>
      </c>
      <c r="Q480" s="100" t="str">
        <f>IFERROR(VLOOKUP(Tablo516[[#This Row],[ÜRÜN KODU]],YMKODLARI!$A$1:$K$383,5,0)," ")</f>
        <v xml:space="preserve"> </v>
      </c>
      <c r="R480" s="100" t="str">
        <f>IFERROR(VLOOKUP(Tablo516[[#This Row],[ÜRÜN KODU]],YMKODLARI!$A$1:$K$383,6,0)," ")</f>
        <v xml:space="preserve"> </v>
      </c>
      <c r="S480" s="100" t="str">
        <f>IFERROR(Tablo516[[#This Row],[YOLLUK HARİÇ BASKI GRAMI]]/Tablo516[[#This Row],[KALIP GÖZ ADEDİ]]," ")</f>
        <v xml:space="preserve"> </v>
      </c>
      <c r="T480" s="100" t="str">
        <f t="shared" si="51"/>
        <v xml:space="preserve"> </v>
      </c>
      <c r="U480" s="100"/>
      <c r="V480" s="100" t="str">
        <f t="shared" si="50"/>
        <v xml:space="preserve"> </v>
      </c>
      <c r="W480" s="101">
        <f t="shared" si="52"/>
        <v>24</v>
      </c>
      <c r="X480" s="102">
        <f t="shared" si="53"/>
        <v>0</v>
      </c>
      <c r="Y480" s="100" t="str">
        <f t="shared" si="54"/>
        <v xml:space="preserve"> </v>
      </c>
      <c r="Z480" s="100" t="str">
        <f t="shared" si="55"/>
        <v xml:space="preserve"> </v>
      </c>
    </row>
    <row r="481" spans="1:26">
      <c r="A481" s="100"/>
      <c r="B481" s="108" t="str">
        <f>IFERROR(VLOOKUP(Tablo516[[#This Row],[ÜRÜN KODU]],YMKODLARI!$A$1:$K$383,2,0)," ")</f>
        <v xml:space="preserve"> </v>
      </c>
      <c r="C481" s="99"/>
      <c r="D481" s="100"/>
      <c r="E481" s="101"/>
      <c r="F481" s="101"/>
      <c r="G481" s="100" t="str">
        <f>IFERROR(VLOOKUP(Tablo516[[#This Row],[ÜRÜN KODU]],YMKODLARI!$A$1:$K$383,3,0)," ")</f>
        <v xml:space="preserve"> </v>
      </c>
      <c r="H481" s="100" t="str">
        <f>IFERROR(VLOOKUP(Tablo516[[#This Row],[ÜRÜN KODU]],YMKODLARI!$A$1:$K$383,4,0)," ")</f>
        <v xml:space="preserve"> </v>
      </c>
      <c r="I481" s="100"/>
      <c r="J481" s="100" t="str">
        <f>IFERROR(VLOOKUP(Tablo516[[#This Row],[ÜRÜN KODU]],YMKODLARI!$A$1:$K$383,9,0)," ")</f>
        <v xml:space="preserve"> </v>
      </c>
      <c r="K481" s="100" t="str">
        <f>IFERROR(VLOOKUP(Tablo516[[#This Row],[BOYA KODU]],Tablo14[#All],4,0)," ")</f>
        <v xml:space="preserve"> </v>
      </c>
      <c r="L481" s="100" t="str">
        <f>IFERROR(VLOOKUP(Tablo516[[#This Row],[BOYA KODU]],Tablo14[#All],6,0)," ")</f>
        <v xml:space="preserve"> </v>
      </c>
      <c r="M481" s="100" t="str">
        <f t="shared" si="49"/>
        <v xml:space="preserve"> </v>
      </c>
      <c r="N481" s="100" t="str">
        <f>IFERROR(VLOOKUP(Tablo516[[#This Row],[ÜRÜN KODU]],YMKODLARI!$A$1:$K$383,8,0)," ")</f>
        <v xml:space="preserve"> </v>
      </c>
      <c r="O481" s="100" t="str">
        <f>IFERROR(VLOOKUP(Tablo516[[#This Row],[HAMMADDE KODU]],Tablo1[#All],3,0)," ")</f>
        <v xml:space="preserve"> </v>
      </c>
      <c r="P481" s="100" t="str">
        <f>IFERROR(VLOOKUP(Tablo516[[#This Row],[HAMMADDE KODU]],Tablo1[#All],4,0)," ")</f>
        <v xml:space="preserve"> </v>
      </c>
      <c r="Q481" s="100" t="str">
        <f>IFERROR(VLOOKUP(Tablo516[[#This Row],[ÜRÜN KODU]],YMKODLARI!$A$1:$K$383,5,0)," ")</f>
        <v xml:space="preserve"> </v>
      </c>
      <c r="R481" s="100" t="str">
        <f>IFERROR(VLOOKUP(Tablo516[[#This Row],[ÜRÜN KODU]],YMKODLARI!$A$1:$K$383,6,0)," ")</f>
        <v xml:space="preserve"> </v>
      </c>
      <c r="S481" s="100" t="str">
        <f>IFERROR(Tablo516[[#This Row],[YOLLUK HARİÇ BASKI GRAMI]]/Tablo516[[#This Row],[KALIP GÖZ ADEDİ]]," ")</f>
        <v xml:space="preserve"> </v>
      </c>
      <c r="T481" s="100" t="str">
        <f t="shared" si="51"/>
        <v xml:space="preserve"> </v>
      </c>
      <c r="U481" s="100"/>
      <c r="V481" s="100" t="str">
        <f t="shared" si="50"/>
        <v xml:space="preserve"> </v>
      </c>
      <c r="W481" s="101">
        <f t="shared" si="52"/>
        <v>24</v>
      </c>
      <c r="X481" s="102">
        <f t="shared" si="53"/>
        <v>0</v>
      </c>
      <c r="Y481" s="100" t="str">
        <f t="shared" si="54"/>
        <v xml:space="preserve"> </v>
      </c>
      <c r="Z481" s="100" t="str">
        <f t="shared" si="55"/>
        <v xml:space="preserve"> </v>
      </c>
    </row>
    <row r="482" spans="1:26">
      <c r="A482" s="100"/>
      <c r="B482" s="108" t="str">
        <f>IFERROR(VLOOKUP(Tablo516[[#This Row],[ÜRÜN KODU]],YMKODLARI!$A$1:$K$383,2,0)," ")</f>
        <v xml:space="preserve"> </v>
      </c>
      <c r="C482" s="99"/>
      <c r="D482" s="100"/>
      <c r="E482" s="101"/>
      <c r="F482" s="101"/>
      <c r="G482" s="100" t="str">
        <f>IFERROR(VLOOKUP(Tablo516[[#This Row],[ÜRÜN KODU]],YMKODLARI!$A$1:$K$383,3,0)," ")</f>
        <v xml:space="preserve"> </v>
      </c>
      <c r="H482" s="100" t="str">
        <f>IFERROR(VLOOKUP(Tablo516[[#This Row],[ÜRÜN KODU]],YMKODLARI!$A$1:$K$383,4,0)," ")</f>
        <v xml:space="preserve"> </v>
      </c>
      <c r="I482" s="100"/>
      <c r="J482" s="100" t="str">
        <f>IFERROR(VLOOKUP(Tablo516[[#This Row],[ÜRÜN KODU]],YMKODLARI!$A$1:$K$383,9,0)," ")</f>
        <v xml:space="preserve"> </v>
      </c>
      <c r="K482" s="100" t="str">
        <f>IFERROR(VLOOKUP(Tablo516[[#This Row],[BOYA KODU]],Tablo14[#All],4,0)," ")</f>
        <v xml:space="preserve"> </v>
      </c>
      <c r="L482" s="100" t="str">
        <f>IFERROR(VLOOKUP(Tablo516[[#This Row],[BOYA KODU]],Tablo14[#All],6,0)," ")</f>
        <v xml:space="preserve"> </v>
      </c>
      <c r="M482" s="100" t="str">
        <f t="shared" si="49"/>
        <v xml:space="preserve"> </v>
      </c>
      <c r="N482" s="100" t="str">
        <f>IFERROR(VLOOKUP(Tablo516[[#This Row],[ÜRÜN KODU]],YMKODLARI!$A$1:$K$383,8,0)," ")</f>
        <v xml:space="preserve"> </v>
      </c>
      <c r="O482" s="100" t="str">
        <f>IFERROR(VLOOKUP(Tablo516[[#This Row],[HAMMADDE KODU]],Tablo1[#All],3,0)," ")</f>
        <v xml:space="preserve"> </v>
      </c>
      <c r="P482" s="100" t="str">
        <f>IFERROR(VLOOKUP(Tablo516[[#This Row],[HAMMADDE KODU]],Tablo1[#All],4,0)," ")</f>
        <v xml:space="preserve"> </v>
      </c>
      <c r="Q482" s="100" t="str">
        <f>IFERROR(VLOOKUP(Tablo516[[#This Row],[ÜRÜN KODU]],YMKODLARI!$A$1:$K$383,5,0)," ")</f>
        <v xml:space="preserve"> </v>
      </c>
      <c r="R482" s="100" t="str">
        <f>IFERROR(VLOOKUP(Tablo516[[#This Row],[ÜRÜN KODU]],YMKODLARI!$A$1:$K$383,6,0)," ")</f>
        <v xml:space="preserve"> </v>
      </c>
      <c r="S482" s="100" t="str">
        <f>IFERROR(Tablo516[[#This Row],[YOLLUK HARİÇ BASKI GRAMI]]/Tablo516[[#This Row],[KALIP GÖZ ADEDİ]]," ")</f>
        <v xml:space="preserve"> </v>
      </c>
      <c r="T482" s="100" t="str">
        <f t="shared" si="51"/>
        <v xml:space="preserve"> </v>
      </c>
      <c r="U482" s="100"/>
      <c r="V482" s="100" t="str">
        <f t="shared" si="50"/>
        <v xml:space="preserve"> </v>
      </c>
      <c r="W482" s="101">
        <f t="shared" si="52"/>
        <v>24</v>
      </c>
      <c r="X482" s="102">
        <f t="shared" si="53"/>
        <v>0</v>
      </c>
      <c r="Y482" s="100" t="str">
        <f t="shared" si="54"/>
        <v xml:space="preserve"> </v>
      </c>
      <c r="Z482" s="100" t="str">
        <f t="shared" si="55"/>
        <v xml:space="preserve"> </v>
      </c>
    </row>
    <row r="483" spans="1:26">
      <c r="A483" s="100"/>
      <c r="B483" s="108" t="str">
        <f>IFERROR(VLOOKUP(Tablo516[[#This Row],[ÜRÜN KODU]],YMKODLARI!$A$1:$K$383,2,0)," ")</f>
        <v xml:space="preserve"> </v>
      </c>
      <c r="C483" s="99"/>
      <c r="D483" s="100"/>
      <c r="E483" s="101"/>
      <c r="F483" s="101"/>
      <c r="G483" s="100" t="str">
        <f>IFERROR(VLOOKUP(Tablo516[[#This Row],[ÜRÜN KODU]],YMKODLARI!$A$1:$K$383,3,0)," ")</f>
        <v xml:space="preserve"> </v>
      </c>
      <c r="H483" s="100" t="str">
        <f>IFERROR(VLOOKUP(Tablo516[[#This Row],[ÜRÜN KODU]],YMKODLARI!$A$1:$K$383,4,0)," ")</f>
        <v xml:space="preserve"> </v>
      </c>
      <c r="I483" s="100"/>
      <c r="J483" s="100" t="str">
        <f>IFERROR(VLOOKUP(Tablo516[[#This Row],[ÜRÜN KODU]],YMKODLARI!$A$1:$K$383,9,0)," ")</f>
        <v xml:space="preserve"> </v>
      </c>
      <c r="K483" s="100" t="str">
        <f>IFERROR(VLOOKUP(Tablo516[[#This Row],[BOYA KODU]],Tablo14[#All],4,0)," ")</f>
        <v xml:space="preserve"> </v>
      </c>
      <c r="L483" s="100" t="str">
        <f>IFERROR(VLOOKUP(Tablo516[[#This Row],[BOYA KODU]],Tablo14[#All],6,0)," ")</f>
        <v xml:space="preserve"> </v>
      </c>
      <c r="M483" s="100" t="str">
        <f t="shared" si="49"/>
        <v xml:space="preserve"> </v>
      </c>
      <c r="N483" s="100" t="str">
        <f>IFERROR(VLOOKUP(Tablo516[[#This Row],[ÜRÜN KODU]],YMKODLARI!$A$1:$K$383,8,0)," ")</f>
        <v xml:space="preserve"> </v>
      </c>
      <c r="O483" s="100" t="str">
        <f>IFERROR(VLOOKUP(Tablo516[[#This Row],[HAMMADDE KODU]],Tablo1[#All],3,0)," ")</f>
        <v xml:space="preserve"> </v>
      </c>
      <c r="P483" s="100" t="str">
        <f>IFERROR(VLOOKUP(Tablo516[[#This Row],[HAMMADDE KODU]],Tablo1[#All],4,0)," ")</f>
        <v xml:space="preserve"> </v>
      </c>
      <c r="Q483" s="100" t="str">
        <f>IFERROR(VLOOKUP(Tablo516[[#This Row],[ÜRÜN KODU]],YMKODLARI!$A$1:$K$383,5,0)," ")</f>
        <v xml:space="preserve"> </v>
      </c>
      <c r="R483" s="100" t="str">
        <f>IFERROR(VLOOKUP(Tablo516[[#This Row],[ÜRÜN KODU]],YMKODLARI!$A$1:$K$383,6,0)," ")</f>
        <v xml:space="preserve"> </v>
      </c>
      <c r="S483" s="100" t="str">
        <f>IFERROR(Tablo516[[#This Row],[YOLLUK HARİÇ BASKI GRAMI]]/Tablo516[[#This Row],[KALIP GÖZ ADEDİ]]," ")</f>
        <v xml:space="preserve"> </v>
      </c>
      <c r="T483" s="100" t="str">
        <f t="shared" si="51"/>
        <v xml:space="preserve"> </v>
      </c>
      <c r="U483" s="100"/>
      <c r="V483" s="100" t="str">
        <f t="shared" si="50"/>
        <v xml:space="preserve"> </v>
      </c>
      <c r="W483" s="101">
        <f t="shared" si="52"/>
        <v>24</v>
      </c>
      <c r="X483" s="102">
        <f t="shared" si="53"/>
        <v>0</v>
      </c>
      <c r="Y483" s="100" t="str">
        <f t="shared" si="54"/>
        <v xml:space="preserve"> </v>
      </c>
      <c r="Z483" s="100" t="str">
        <f t="shared" si="55"/>
        <v xml:space="preserve"> </v>
      </c>
    </row>
    <row r="484" spans="1:26">
      <c r="A484" s="100"/>
      <c r="B484" s="108" t="str">
        <f>IFERROR(VLOOKUP(Tablo516[[#This Row],[ÜRÜN KODU]],YMKODLARI!$A$1:$K$383,2,0)," ")</f>
        <v xml:space="preserve"> </v>
      </c>
      <c r="C484" s="99"/>
      <c r="D484" s="100"/>
      <c r="E484" s="101"/>
      <c r="F484" s="101"/>
      <c r="G484" s="100" t="str">
        <f>IFERROR(VLOOKUP(Tablo516[[#This Row],[ÜRÜN KODU]],YMKODLARI!$A$1:$K$383,3,0)," ")</f>
        <v xml:space="preserve"> </v>
      </c>
      <c r="H484" s="100" t="str">
        <f>IFERROR(VLOOKUP(Tablo516[[#This Row],[ÜRÜN KODU]],YMKODLARI!$A$1:$K$383,4,0)," ")</f>
        <v xml:space="preserve"> </v>
      </c>
      <c r="I484" s="100"/>
      <c r="J484" s="100" t="str">
        <f>IFERROR(VLOOKUP(Tablo516[[#This Row],[ÜRÜN KODU]],YMKODLARI!$A$1:$K$383,9,0)," ")</f>
        <v xml:space="preserve"> </v>
      </c>
      <c r="K484" s="100" t="str">
        <f>IFERROR(VLOOKUP(Tablo516[[#This Row],[BOYA KODU]],Tablo14[#All],4,0)," ")</f>
        <v xml:space="preserve"> </v>
      </c>
      <c r="L484" s="100" t="str">
        <f>IFERROR(VLOOKUP(Tablo516[[#This Row],[BOYA KODU]],Tablo14[#All],6,0)," ")</f>
        <v xml:space="preserve"> </v>
      </c>
      <c r="M484" s="100" t="str">
        <f t="shared" si="49"/>
        <v xml:space="preserve"> </v>
      </c>
      <c r="N484" s="100" t="str">
        <f>IFERROR(VLOOKUP(Tablo516[[#This Row],[ÜRÜN KODU]],YMKODLARI!$A$1:$K$383,8,0)," ")</f>
        <v xml:space="preserve"> </v>
      </c>
      <c r="O484" s="100" t="str">
        <f>IFERROR(VLOOKUP(Tablo516[[#This Row],[HAMMADDE KODU]],Tablo1[#All],3,0)," ")</f>
        <v xml:space="preserve"> </v>
      </c>
      <c r="P484" s="100" t="str">
        <f>IFERROR(VLOOKUP(Tablo516[[#This Row],[HAMMADDE KODU]],Tablo1[#All],4,0)," ")</f>
        <v xml:space="preserve"> </v>
      </c>
      <c r="Q484" s="100" t="str">
        <f>IFERROR(VLOOKUP(Tablo516[[#This Row],[ÜRÜN KODU]],YMKODLARI!$A$1:$K$383,5,0)," ")</f>
        <v xml:space="preserve"> </v>
      </c>
      <c r="R484" s="100" t="str">
        <f>IFERROR(VLOOKUP(Tablo516[[#This Row],[ÜRÜN KODU]],YMKODLARI!$A$1:$K$383,6,0)," ")</f>
        <v xml:space="preserve"> </v>
      </c>
      <c r="S484" s="100" t="str">
        <f>IFERROR(Tablo516[[#This Row],[YOLLUK HARİÇ BASKI GRAMI]]/Tablo516[[#This Row],[KALIP GÖZ ADEDİ]]," ")</f>
        <v xml:space="preserve"> </v>
      </c>
      <c r="T484" s="100" t="str">
        <f t="shared" si="51"/>
        <v xml:space="preserve"> </v>
      </c>
      <c r="U484" s="100"/>
      <c r="V484" s="100" t="str">
        <f t="shared" si="50"/>
        <v xml:space="preserve"> </v>
      </c>
      <c r="W484" s="101">
        <f t="shared" si="52"/>
        <v>24</v>
      </c>
      <c r="X484" s="102">
        <f t="shared" si="53"/>
        <v>0</v>
      </c>
      <c r="Y484" s="100" t="str">
        <f t="shared" si="54"/>
        <v xml:space="preserve"> </v>
      </c>
      <c r="Z484" s="100" t="str">
        <f t="shared" si="55"/>
        <v xml:space="preserve"> </v>
      </c>
    </row>
    <row r="485" spans="1:26">
      <c r="A485" s="100"/>
      <c r="B485" s="108" t="str">
        <f>IFERROR(VLOOKUP(Tablo516[[#This Row],[ÜRÜN KODU]],YMKODLARI!$A$1:$K$383,2,0)," ")</f>
        <v xml:space="preserve"> </v>
      </c>
      <c r="C485" s="99"/>
      <c r="D485" s="100"/>
      <c r="E485" s="101"/>
      <c r="F485" s="101"/>
      <c r="G485" s="100" t="str">
        <f>IFERROR(VLOOKUP(Tablo516[[#This Row],[ÜRÜN KODU]],YMKODLARI!$A$1:$K$383,3,0)," ")</f>
        <v xml:space="preserve"> </v>
      </c>
      <c r="H485" s="100" t="str">
        <f>IFERROR(VLOOKUP(Tablo516[[#This Row],[ÜRÜN KODU]],YMKODLARI!$A$1:$K$383,4,0)," ")</f>
        <v xml:space="preserve"> </v>
      </c>
      <c r="I485" s="100"/>
      <c r="J485" s="100" t="str">
        <f>IFERROR(VLOOKUP(Tablo516[[#This Row],[ÜRÜN KODU]],YMKODLARI!$A$1:$K$383,9,0)," ")</f>
        <v xml:space="preserve"> </v>
      </c>
      <c r="K485" s="100" t="str">
        <f>IFERROR(VLOOKUP(Tablo516[[#This Row],[BOYA KODU]],Tablo14[#All],4,0)," ")</f>
        <v xml:space="preserve"> </v>
      </c>
      <c r="L485" s="100" t="str">
        <f>IFERROR(VLOOKUP(Tablo516[[#This Row],[BOYA KODU]],Tablo14[#All],6,0)," ")</f>
        <v xml:space="preserve"> </v>
      </c>
      <c r="M485" s="100" t="str">
        <f t="shared" si="49"/>
        <v xml:space="preserve"> </v>
      </c>
      <c r="N485" s="100" t="str">
        <f>IFERROR(VLOOKUP(Tablo516[[#This Row],[ÜRÜN KODU]],YMKODLARI!$A$1:$K$383,8,0)," ")</f>
        <v xml:space="preserve"> </v>
      </c>
      <c r="O485" s="100" t="str">
        <f>IFERROR(VLOOKUP(Tablo516[[#This Row],[HAMMADDE KODU]],Tablo1[#All],3,0)," ")</f>
        <v xml:space="preserve"> </v>
      </c>
      <c r="P485" s="100" t="str">
        <f>IFERROR(VLOOKUP(Tablo516[[#This Row],[HAMMADDE KODU]],Tablo1[#All],4,0)," ")</f>
        <v xml:space="preserve"> </v>
      </c>
      <c r="Q485" s="100" t="str">
        <f>IFERROR(VLOOKUP(Tablo516[[#This Row],[ÜRÜN KODU]],YMKODLARI!$A$1:$K$383,5,0)," ")</f>
        <v xml:space="preserve"> </v>
      </c>
      <c r="R485" s="100" t="str">
        <f>IFERROR(VLOOKUP(Tablo516[[#This Row],[ÜRÜN KODU]],YMKODLARI!$A$1:$K$383,6,0)," ")</f>
        <v xml:space="preserve"> </v>
      </c>
      <c r="S485" s="100" t="str">
        <f>IFERROR(Tablo516[[#This Row],[YOLLUK HARİÇ BASKI GRAMI]]/Tablo516[[#This Row],[KALIP GÖZ ADEDİ]]," ")</f>
        <v xml:space="preserve"> </v>
      </c>
      <c r="T485" s="100" t="str">
        <f t="shared" si="51"/>
        <v xml:space="preserve"> </v>
      </c>
      <c r="U485" s="100"/>
      <c r="V485" s="100" t="str">
        <f t="shared" si="50"/>
        <v xml:space="preserve"> </v>
      </c>
      <c r="W485" s="101">
        <f t="shared" si="52"/>
        <v>24</v>
      </c>
      <c r="X485" s="102">
        <f t="shared" si="53"/>
        <v>0</v>
      </c>
      <c r="Y485" s="100" t="str">
        <f t="shared" si="54"/>
        <v xml:space="preserve"> </v>
      </c>
      <c r="Z485" s="100" t="str">
        <f t="shared" si="55"/>
        <v xml:space="preserve"> </v>
      </c>
    </row>
    <row r="486" spans="1:26">
      <c r="A486" s="100"/>
      <c r="B486" s="108" t="str">
        <f>IFERROR(VLOOKUP(Tablo516[[#This Row],[ÜRÜN KODU]],YMKODLARI!$A$1:$K$383,2,0)," ")</f>
        <v xml:space="preserve"> </v>
      </c>
      <c r="C486" s="99"/>
      <c r="D486" s="100"/>
      <c r="E486" s="101"/>
      <c r="F486" s="101"/>
      <c r="G486" s="100" t="str">
        <f>IFERROR(VLOOKUP(Tablo516[[#This Row],[ÜRÜN KODU]],YMKODLARI!$A$1:$K$383,3,0)," ")</f>
        <v xml:space="preserve"> </v>
      </c>
      <c r="H486" s="100" t="str">
        <f>IFERROR(VLOOKUP(Tablo516[[#This Row],[ÜRÜN KODU]],YMKODLARI!$A$1:$K$383,4,0)," ")</f>
        <v xml:space="preserve"> </v>
      </c>
      <c r="I486" s="100"/>
      <c r="J486" s="100" t="str">
        <f>IFERROR(VLOOKUP(Tablo516[[#This Row],[ÜRÜN KODU]],YMKODLARI!$A$1:$K$383,9,0)," ")</f>
        <v xml:space="preserve"> </v>
      </c>
      <c r="K486" s="100" t="str">
        <f>IFERROR(VLOOKUP(Tablo516[[#This Row],[BOYA KODU]],Tablo14[#All],4,0)," ")</f>
        <v xml:space="preserve"> </v>
      </c>
      <c r="L486" s="100" t="str">
        <f>IFERROR(VLOOKUP(Tablo516[[#This Row],[BOYA KODU]],Tablo14[#All],6,0)," ")</f>
        <v xml:space="preserve"> </v>
      </c>
      <c r="M486" s="100" t="str">
        <f t="shared" si="49"/>
        <v xml:space="preserve"> </v>
      </c>
      <c r="N486" s="100" t="str">
        <f>IFERROR(VLOOKUP(Tablo516[[#This Row],[ÜRÜN KODU]],YMKODLARI!$A$1:$K$383,8,0)," ")</f>
        <v xml:space="preserve"> </v>
      </c>
      <c r="O486" s="100" t="str">
        <f>IFERROR(VLOOKUP(Tablo516[[#This Row],[HAMMADDE KODU]],Tablo1[#All],3,0)," ")</f>
        <v xml:space="preserve"> </v>
      </c>
      <c r="P486" s="100" t="str">
        <f>IFERROR(VLOOKUP(Tablo516[[#This Row],[HAMMADDE KODU]],Tablo1[#All],4,0)," ")</f>
        <v xml:space="preserve"> </v>
      </c>
      <c r="Q486" s="100" t="str">
        <f>IFERROR(VLOOKUP(Tablo516[[#This Row],[ÜRÜN KODU]],YMKODLARI!$A$1:$K$383,5,0)," ")</f>
        <v xml:space="preserve"> </v>
      </c>
      <c r="R486" s="100" t="str">
        <f>IFERROR(VLOOKUP(Tablo516[[#This Row],[ÜRÜN KODU]],YMKODLARI!$A$1:$K$383,6,0)," ")</f>
        <v xml:space="preserve"> </v>
      </c>
      <c r="S486" s="100" t="str">
        <f>IFERROR(Tablo516[[#This Row],[YOLLUK HARİÇ BASKI GRAMI]]/Tablo516[[#This Row],[KALIP GÖZ ADEDİ]]," ")</f>
        <v xml:space="preserve"> </v>
      </c>
      <c r="T486" s="100" t="str">
        <f t="shared" si="51"/>
        <v xml:space="preserve"> </v>
      </c>
      <c r="U486" s="100"/>
      <c r="V486" s="100" t="str">
        <f t="shared" si="50"/>
        <v xml:space="preserve"> </v>
      </c>
      <c r="W486" s="101">
        <f t="shared" si="52"/>
        <v>24</v>
      </c>
      <c r="X486" s="102">
        <f t="shared" si="53"/>
        <v>0</v>
      </c>
      <c r="Y486" s="100" t="str">
        <f t="shared" si="54"/>
        <v xml:space="preserve"> </v>
      </c>
      <c r="Z486" s="100" t="str">
        <f t="shared" si="55"/>
        <v xml:space="preserve"> </v>
      </c>
    </row>
    <row r="487" spans="1:26">
      <c r="A487" s="100"/>
      <c r="B487" s="108" t="str">
        <f>IFERROR(VLOOKUP(Tablo516[[#This Row],[ÜRÜN KODU]],YMKODLARI!$A$1:$K$383,2,0)," ")</f>
        <v xml:space="preserve"> </v>
      </c>
      <c r="C487" s="99"/>
      <c r="D487" s="100"/>
      <c r="E487" s="101"/>
      <c r="F487" s="101"/>
      <c r="G487" s="100" t="str">
        <f>IFERROR(VLOOKUP(Tablo516[[#This Row],[ÜRÜN KODU]],YMKODLARI!$A$1:$K$383,3,0)," ")</f>
        <v xml:space="preserve"> </v>
      </c>
      <c r="H487" s="100" t="str">
        <f>IFERROR(VLOOKUP(Tablo516[[#This Row],[ÜRÜN KODU]],YMKODLARI!$A$1:$K$383,4,0)," ")</f>
        <v xml:space="preserve"> </v>
      </c>
      <c r="I487" s="100"/>
      <c r="J487" s="100" t="str">
        <f>IFERROR(VLOOKUP(Tablo516[[#This Row],[ÜRÜN KODU]],YMKODLARI!$A$1:$K$383,9,0)," ")</f>
        <v xml:space="preserve"> </v>
      </c>
      <c r="K487" s="100" t="str">
        <f>IFERROR(VLOOKUP(Tablo516[[#This Row],[BOYA KODU]],Tablo14[#All],4,0)," ")</f>
        <v xml:space="preserve"> </v>
      </c>
      <c r="L487" s="100" t="str">
        <f>IFERROR(VLOOKUP(Tablo516[[#This Row],[BOYA KODU]],Tablo14[#All],6,0)," ")</f>
        <v xml:space="preserve"> </v>
      </c>
      <c r="M487" s="100" t="str">
        <f t="shared" si="49"/>
        <v xml:space="preserve"> </v>
      </c>
      <c r="N487" s="100" t="str">
        <f>IFERROR(VLOOKUP(Tablo516[[#This Row],[ÜRÜN KODU]],YMKODLARI!$A$1:$K$383,8,0)," ")</f>
        <v xml:space="preserve"> </v>
      </c>
      <c r="O487" s="100" t="str">
        <f>IFERROR(VLOOKUP(Tablo516[[#This Row],[HAMMADDE KODU]],Tablo1[#All],3,0)," ")</f>
        <v xml:space="preserve"> </v>
      </c>
      <c r="P487" s="100" t="str">
        <f>IFERROR(VLOOKUP(Tablo516[[#This Row],[HAMMADDE KODU]],Tablo1[#All],4,0)," ")</f>
        <v xml:space="preserve"> </v>
      </c>
      <c r="Q487" s="100" t="str">
        <f>IFERROR(VLOOKUP(Tablo516[[#This Row],[ÜRÜN KODU]],YMKODLARI!$A$1:$K$383,5,0)," ")</f>
        <v xml:space="preserve"> </v>
      </c>
      <c r="R487" s="100" t="str">
        <f>IFERROR(VLOOKUP(Tablo516[[#This Row],[ÜRÜN KODU]],YMKODLARI!$A$1:$K$383,6,0)," ")</f>
        <v xml:space="preserve"> </v>
      </c>
      <c r="S487" s="100" t="str">
        <f>IFERROR(Tablo516[[#This Row],[YOLLUK HARİÇ BASKI GRAMI]]/Tablo516[[#This Row],[KALIP GÖZ ADEDİ]]," ")</f>
        <v xml:space="preserve"> </v>
      </c>
      <c r="T487" s="100" t="str">
        <f t="shared" si="51"/>
        <v xml:space="preserve"> </v>
      </c>
      <c r="U487" s="100"/>
      <c r="V487" s="100" t="str">
        <f t="shared" si="50"/>
        <v xml:space="preserve"> </v>
      </c>
      <c r="W487" s="101">
        <f t="shared" si="52"/>
        <v>24</v>
      </c>
      <c r="X487" s="102">
        <f t="shared" si="53"/>
        <v>0</v>
      </c>
      <c r="Y487" s="100" t="str">
        <f t="shared" si="54"/>
        <v xml:space="preserve"> </v>
      </c>
      <c r="Z487" s="100" t="str">
        <f t="shared" si="55"/>
        <v xml:space="preserve"> </v>
      </c>
    </row>
    <row r="488" spans="1:26">
      <c r="A488" s="100"/>
      <c r="B488" s="108" t="str">
        <f>IFERROR(VLOOKUP(Tablo516[[#This Row],[ÜRÜN KODU]],YMKODLARI!$A$1:$K$383,2,0)," ")</f>
        <v xml:space="preserve"> </v>
      </c>
      <c r="C488" s="99"/>
      <c r="D488" s="100"/>
      <c r="E488" s="101"/>
      <c r="F488" s="101"/>
      <c r="G488" s="100" t="str">
        <f>IFERROR(VLOOKUP(Tablo516[[#This Row],[ÜRÜN KODU]],YMKODLARI!$A$1:$K$383,3,0)," ")</f>
        <v xml:space="preserve"> </v>
      </c>
      <c r="H488" s="100" t="str">
        <f>IFERROR(VLOOKUP(Tablo516[[#This Row],[ÜRÜN KODU]],YMKODLARI!$A$1:$K$383,4,0)," ")</f>
        <v xml:space="preserve"> </v>
      </c>
      <c r="I488" s="100"/>
      <c r="J488" s="100" t="str">
        <f>IFERROR(VLOOKUP(Tablo516[[#This Row],[ÜRÜN KODU]],YMKODLARI!$A$1:$K$383,9,0)," ")</f>
        <v xml:space="preserve"> </v>
      </c>
      <c r="K488" s="100" t="str">
        <f>IFERROR(VLOOKUP(Tablo516[[#This Row],[BOYA KODU]],Tablo14[#All],4,0)," ")</f>
        <v xml:space="preserve"> </v>
      </c>
      <c r="L488" s="100" t="str">
        <f>IFERROR(VLOOKUP(Tablo516[[#This Row],[BOYA KODU]],Tablo14[#All],6,0)," ")</f>
        <v xml:space="preserve"> </v>
      </c>
      <c r="M488" s="100" t="str">
        <f t="shared" si="49"/>
        <v xml:space="preserve"> </v>
      </c>
      <c r="N488" s="100" t="str">
        <f>IFERROR(VLOOKUP(Tablo516[[#This Row],[ÜRÜN KODU]],YMKODLARI!$A$1:$K$383,8,0)," ")</f>
        <v xml:space="preserve"> </v>
      </c>
      <c r="O488" s="100" t="str">
        <f>IFERROR(VLOOKUP(Tablo516[[#This Row],[HAMMADDE KODU]],Tablo1[#All],3,0)," ")</f>
        <v xml:space="preserve"> </v>
      </c>
      <c r="P488" s="100" t="str">
        <f>IFERROR(VLOOKUP(Tablo516[[#This Row],[HAMMADDE KODU]],Tablo1[#All],4,0)," ")</f>
        <v xml:space="preserve"> </v>
      </c>
      <c r="Q488" s="100" t="str">
        <f>IFERROR(VLOOKUP(Tablo516[[#This Row],[ÜRÜN KODU]],YMKODLARI!$A$1:$K$383,5,0)," ")</f>
        <v xml:space="preserve"> </v>
      </c>
      <c r="R488" s="100" t="str">
        <f>IFERROR(VLOOKUP(Tablo516[[#This Row],[ÜRÜN KODU]],YMKODLARI!$A$1:$K$383,6,0)," ")</f>
        <v xml:space="preserve"> </v>
      </c>
      <c r="S488" s="100" t="str">
        <f>IFERROR(Tablo516[[#This Row],[YOLLUK HARİÇ BASKI GRAMI]]/Tablo516[[#This Row],[KALIP GÖZ ADEDİ]]," ")</f>
        <v xml:space="preserve"> </v>
      </c>
      <c r="T488" s="100" t="str">
        <f t="shared" si="51"/>
        <v xml:space="preserve"> </v>
      </c>
      <c r="U488" s="100"/>
      <c r="V488" s="100" t="str">
        <f t="shared" si="50"/>
        <v xml:space="preserve"> </v>
      </c>
      <c r="W488" s="101">
        <f t="shared" si="52"/>
        <v>24</v>
      </c>
      <c r="X488" s="102">
        <f t="shared" si="53"/>
        <v>0</v>
      </c>
      <c r="Y488" s="100" t="str">
        <f t="shared" si="54"/>
        <v xml:space="preserve"> </v>
      </c>
      <c r="Z488" s="100" t="str">
        <f t="shared" si="55"/>
        <v xml:space="preserve"> </v>
      </c>
    </row>
    <row r="489" spans="1:26">
      <c r="A489" s="100"/>
      <c r="B489" s="108" t="str">
        <f>IFERROR(VLOOKUP(Tablo516[[#This Row],[ÜRÜN KODU]],YMKODLARI!$A$1:$K$383,2,0)," ")</f>
        <v xml:space="preserve"> </v>
      </c>
      <c r="C489" s="99"/>
      <c r="D489" s="100"/>
      <c r="E489" s="101"/>
      <c r="F489" s="101"/>
      <c r="G489" s="100" t="str">
        <f>IFERROR(VLOOKUP(Tablo516[[#This Row],[ÜRÜN KODU]],YMKODLARI!$A$1:$K$383,3,0)," ")</f>
        <v xml:space="preserve"> </v>
      </c>
      <c r="H489" s="100" t="str">
        <f>IFERROR(VLOOKUP(Tablo516[[#This Row],[ÜRÜN KODU]],YMKODLARI!$A$1:$K$383,4,0)," ")</f>
        <v xml:space="preserve"> </v>
      </c>
      <c r="I489" s="100"/>
      <c r="J489" s="100" t="str">
        <f>IFERROR(VLOOKUP(Tablo516[[#This Row],[ÜRÜN KODU]],YMKODLARI!$A$1:$K$383,9,0)," ")</f>
        <v xml:space="preserve"> </v>
      </c>
      <c r="K489" s="100" t="str">
        <f>IFERROR(VLOOKUP(Tablo516[[#This Row],[BOYA KODU]],Tablo14[#All],4,0)," ")</f>
        <v xml:space="preserve"> </v>
      </c>
      <c r="L489" s="100" t="str">
        <f>IFERROR(VLOOKUP(Tablo516[[#This Row],[BOYA KODU]],Tablo14[#All],6,0)," ")</f>
        <v xml:space="preserve"> </v>
      </c>
      <c r="M489" s="100" t="str">
        <f t="shared" si="49"/>
        <v xml:space="preserve"> </v>
      </c>
      <c r="N489" s="100" t="str">
        <f>IFERROR(VLOOKUP(Tablo516[[#This Row],[ÜRÜN KODU]],YMKODLARI!$A$1:$K$383,8,0)," ")</f>
        <v xml:space="preserve"> </v>
      </c>
      <c r="O489" s="100" t="str">
        <f>IFERROR(VLOOKUP(Tablo516[[#This Row],[HAMMADDE KODU]],Tablo1[#All],3,0)," ")</f>
        <v xml:space="preserve"> </v>
      </c>
      <c r="P489" s="100" t="str">
        <f>IFERROR(VLOOKUP(Tablo516[[#This Row],[HAMMADDE KODU]],Tablo1[#All],4,0)," ")</f>
        <v xml:space="preserve"> </v>
      </c>
      <c r="Q489" s="100" t="str">
        <f>IFERROR(VLOOKUP(Tablo516[[#This Row],[ÜRÜN KODU]],YMKODLARI!$A$1:$K$383,5,0)," ")</f>
        <v xml:space="preserve"> </v>
      </c>
      <c r="R489" s="100" t="str">
        <f>IFERROR(VLOOKUP(Tablo516[[#This Row],[ÜRÜN KODU]],YMKODLARI!$A$1:$K$383,6,0)," ")</f>
        <v xml:space="preserve"> </v>
      </c>
      <c r="S489" s="100" t="str">
        <f>IFERROR(Tablo516[[#This Row],[YOLLUK HARİÇ BASKI GRAMI]]/Tablo516[[#This Row],[KALIP GÖZ ADEDİ]]," ")</f>
        <v xml:space="preserve"> </v>
      </c>
      <c r="T489" s="100" t="str">
        <f t="shared" si="51"/>
        <v xml:space="preserve"> </v>
      </c>
      <c r="U489" s="100"/>
      <c r="V489" s="100" t="str">
        <f t="shared" si="50"/>
        <v xml:space="preserve"> </v>
      </c>
      <c r="W489" s="101">
        <f t="shared" si="52"/>
        <v>24</v>
      </c>
      <c r="X489" s="102">
        <f t="shared" si="53"/>
        <v>0</v>
      </c>
      <c r="Y489" s="100" t="str">
        <f t="shared" si="54"/>
        <v xml:space="preserve"> </v>
      </c>
      <c r="Z489" s="100" t="str">
        <f t="shared" si="55"/>
        <v xml:space="preserve"> </v>
      </c>
    </row>
    <row r="490" spans="1:26">
      <c r="A490" s="100"/>
      <c r="B490" s="108" t="str">
        <f>IFERROR(VLOOKUP(Tablo516[[#This Row],[ÜRÜN KODU]],YMKODLARI!$A$1:$K$383,2,0)," ")</f>
        <v xml:space="preserve"> </v>
      </c>
      <c r="C490" s="99"/>
      <c r="D490" s="100"/>
      <c r="E490" s="101"/>
      <c r="F490" s="101"/>
      <c r="G490" s="100" t="str">
        <f>IFERROR(VLOOKUP(Tablo516[[#This Row],[ÜRÜN KODU]],YMKODLARI!$A$1:$K$383,3,0)," ")</f>
        <v xml:space="preserve"> </v>
      </c>
      <c r="H490" s="100" t="str">
        <f>IFERROR(VLOOKUP(Tablo516[[#This Row],[ÜRÜN KODU]],YMKODLARI!$A$1:$K$383,4,0)," ")</f>
        <v xml:space="preserve"> </v>
      </c>
      <c r="I490" s="100"/>
      <c r="J490" s="100" t="str">
        <f>IFERROR(VLOOKUP(Tablo516[[#This Row],[ÜRÜN KODU]],YMKODLARI!$A$1:$K$383,9,0)," ")</f>
        <v xml:space="preserve"> </v>
      </c>
      <c r="K490" s="100" t="str">
        <f>IFERROR(VLOOKUP(Tablo516[[#This Row],[BOYA KODU]],Tablo14[#All],4,0)," ")</f>
        <v xml:space="preserve"> </v>
      </c>
      <c r="L490" s="100" t="str">
        <f>IFERROR(VLOOKUP(Tablo516[[#This Row],[BOYA KODU]],Tablo14[#All],6,0)," ")</f>
        <v xml:space="preserve"> </v>
      </c>
      <c r="M490" s="100" t="str">
        <f t="shared" si="49"/>
        <v xml:space="preserve"> </v>
      </c>
      <c r="N490" s="100" t="str">
        <f>IFERROR(VLOOKUP(Tablo516[[#This Row],[ÜRÜN KODU]],YMKODLARI!$A$1:$K$383,8,0)," ")</f>
        <v xml:space="preserve"> </v>
      </c>
      <c r="O490" s="100" t="str">
        <f>IFERROR(VLOOKUP(Tablo516[[#This Row],[HAMMADDE KODU]],Tablo1[#All],3,0)," ")</f>
        <v xml:space="preserve"> </v>
      </c>
      <c r="P490" s="100" t="str">
        <f>IFERROR(VLOOKUP(Tablo516[[#This Row],[HAMMADDE KODU]],Tablo1[#All],4,0)," ")</f>
        <v xml:space="preserve"> </v>
      </c>
      <c r="Q490" s="100" t="str">
        <f>IFERROR(VLOOKUP(Tablo516[[#This Row],[ÜRÜN KODU]],YMKODLARI!$A$1:$K$383,5,0)," ")</f>
        <v xml:space="preserve"> </v>
      </c>
      <c r="R490" s="100" t="str">
        <f>IFERROR(VLOOKUP(Tablo516[[#This Row],[ÜRÜN KODU]],YMKODLARI!$A$1:$K$383,6,0)," ")</f>
        <v xml:space="preserve"> </v>
      </c>
      <c r="S490" s="100" t="str">
        <f>IFERROR(Tablo516[[#This Row],[YOLLUK HARİÇ BASKI GRAMI]]/Tablo516[[#This Row],[KALIP GÖZ ADEDİ]]," ")</f>
        <v xml:space="preserve"> </v>
      </c>
      <c r="T490" s="100" t="str">
        <f t="shared" si="51"/>
        <v xml:space="preserve"> </v>
      </c>
      <c r="U490" s="100"/>
      <c r="V490" s="100" t="str">
        <f t="shared" si="50"/>
        <v xml:space="preserve"> </v>
      </c>
      <c r="W490" s="101">
        <f t="shared" si="52"/>
        <v>24</v>
      </c>
      <c r="X490" s="102">
        <f t="shared" si="53"/>
        <v>0</v>
      </c>
      <c r="Y490" s="100" t="str">
        <f t="shared" si="54"/>
        <v xml:space="preserve"> </v>
      </c>
      <c r="Z490" s="100" t="str">
        <f t="shared" si="55"/>
        <v xml:space="preserve"> </v>
      </c>
    </row>
    <row r="491" spans="1:26">
      <c r="A491" s="100"/>
      <c r="B491" s="108" t="str">
        <f>IFERROR(VLOOKUP(Tablo516[[#This Row],[ÜRÜN KODU]],YMKODLARI!$A$1:$K$383,2,0)," ")</f>
        <v xml:space="preserve"> </v>
      </c>
      <c r="C491" s="99"/>
      <c r="D491" s="100"/>
      <c r="E491" s="101"/>
      <c r="F491" s="101"/>
      <c r="G491" s="100" t="str">
        <f>IFERROR(VLOOKUP(Tablo516[[#This Row],[ÜRÜN KODU]],YMKODLARI!$A$1:$K$383,3,0)," ")</f>
        <v xml:space="preserve"> </v>
      </c>
      <c r="H491" s="100" t="str">
        <f>IFERROR(VLOOKUP(Tablo516[[#This Row],[ÜRÜN KODU]],YMKODLARI!$A$1:$K$383,4,0)," ")</f>
        <v xml:space="preserve"> </v>
      </c>
      <c r="I491" s="100"/>
      <c r="J491" s="100" t="str">
        <f>IFERROR(VLOOKUP(Tablo516[[#This Row],[ÜRÜN KODU]],YMKODLARI!$A$1:$K$383,9,0)," ")</f>
        <v xml:space="preserve"> </v>
      </c>
      <c r="K491" s="100" t="str">
        <f>IFERROR(VLOOKUP(Tablo516[[#This Row],[BOYA KODU]],Tablo14[#All],4,0)," ")</f>
        <v xml:space="preserve"> </v>
      </c>
      <c r="L491" s="100" t="str">
        <f>IFERROR(VLOOKUP(Tablo516[[#This Row],[BOYA KODU]],Tablo14[#All],6,0)," ")</f>
        <v xml:space="preserve"> </v>
      </c>
      <c r="M491" s="100" t="str">
        <f t="shared" si="49"/>
        <v xml:space="preserve"> </v>
      </c>
      <c r="N491" s="100" t="str">
        <f>IFERROR(VLOOKUP(Tablo516[[#This Row],[ÜRÜN KODU]],YMKODLARI!$A$1:$K$383,8,0)," ")</f>
        <v xml:space="preserve"> </v>
      </c>
      <c r="O491" s="100" t="str">
        <f>IFERROR(VLOOKUP(Tablo516[[#This Row],[HAMMADDE KODU]],Tablo1[#All],3,0)," ")</f>
        <v xml:space="preserve"> </v>
      </c>
      <c r="P491" s="100" t="str">
        <f>IFERROR(VLOOKUP(Tablo516[[#This Row],[HAMMADDE KODU]],Tablo1[#All],4,0)," ")</f>
        <v xml:space="preserve"> </v>
      </c>
      <c r="Q491" s="100" t="str">
        <f>IFERROR(VLOOKUP(Tablo516[[#This Row],[ÜRÜN KODU]],YMKODLARI!$A$1:$K$383,5,0)," ")</f>
        <v xml:space="preserve"> </v>
      </c>
      <c r="R491" s="100" t="str">
        <f>IFERROR(VLOOKUP(Tablo516[[#This Row],[ÜRÜN KODU]],YMKODLARI!$A$1:$K$383,6,0)," ")</f>
        <v xml:space="preserve"> </v>
      </c>
      <c r="S491" s="100" t="str">
        <f>IFERROR(Tablo516[[#This Row],[YOLLUK HARİÇ BASKI GRAMI]]/Tablo516[[#This Row],[KALIP GÖZ ADEDİ]]," ")</f>
        <v xml:space="preserve"> </v>
      </c>
      <c r="T491" s="100" t="str">
        <f t="shared" si="51"/>
        <v xml:space="preserve"> </v>
      </c>
      <c r="U491" s="100"/>
      <c r="V491" s="100" t="str">
        <f t="shared" si="50"/>
        <v xml:space="preserve"> </v>
      </c>
      <c r="W491" s="101">
        <f t="shared" si="52"/>
        <v>24</v>
      </c>
      <c r="X491" s="102">
        <f t="shared" si="53"/>
        <v>0</v>
      </c>
      <c r="Y491" s="100" t="str">
        <f t="shared" si="54"/>
        <v xml:space="preserve"> </v>
      </c>
      <c r="Z491" s="100" t="str">
        <f t="shared" si="55"/>
        <v xml:space="preserve"> </v>
      </c>
    </row>
    <row r="492" spans="1:26">
      <c r="A492" s="100"/>
      <c r="B492" s="108" t="str">
        <f>IFERROR(VLOOKUP(Tablo516[[#This Row],[ÜRÜN KODU]],YMKODLARI!$A$1:$K$383,2,0)," ")</f>
        <v xml:space="preserve"> </v>
      </c>
      <c r="C492" s="99"/>
      <c r="D492" s="100"/>
      <c r="E492" s="101"/>
      <c r="F492" s="101"/>
      <c r="G492" s="100" t="str">
        <f>IFERROR(VLOOKUP(Tablo516[[#This Row],[ÜRÜN KODU]],YMKODLARI!$A$1:$K$383,3,0)," ")</f>
        <v xml:space="preserve"> </v>
      </c>
      <c r="H492" s="100" t="str">
        <f>IFERROR(VLOOKUP(Tablo516[[#This Row],[ÜRÜN KODU]],YMKODLARI!$A$1:$K$383,4,0)," ")</f>
        <v xml:space="preserve"> </v>
      </c>
      <c r="I492" s="100"/>
      <c r="J492" s="100" t="str">
        <f>IFERROR(VLOOKUP(Tablo516[[#This Row],[ÜRÜN KODU]],YMKODLARI!$A$1:$K$383,9,0)," ")</f>
        <v xml:space="preserve"> </v>
      </c>
      <c r="K492" s="100" t="str">
        <f>IFERROR(VLOOKUP(Tablo516[[#This Row],[BOYA KODU]],Tablo14[#All],4,0)," ")</f>
        <v xml:space="preserve"> </v>
      </c>
      <c r="L492" s="100" t="str">
        <f>IFERROR(VLOOKUP(Tablo516[[#This Row],[BOYA KODU]],Tablo14[#All],6,0)," ")</f>
        <v xml:space="preserve"> </v>
      </c>
      <c r="M492" s="100" t="str">
        <f t="shared" si="49"/>
        <v xml:space="preserve"> </v>
      </c>
      <c r="N492" s="100" t="str">
        <f>IFERROR(VLOOKUP(Tablo516[[#This Row],[ÜRÜN KODU]],YMKODLARI!$A$1:$K$383,8,0)," ")</f>
        <v xml:space="preserve"> </v>
      </c>
      <c r="O492" s="100" t="str">
        <f>IFERROR(VLOOKUP(Tablo516[[#This Row],[HAMMADDE KODU]],Tablo1[#All],3,0)," ")</f>
        <v xml:space="preserve"> </v>
      </c>
      <c r="P492" s="100" t="str">
        <f>IFERROR(VLOOKUP(Tablo516[[#This Row],[HAMMADDE KODU]],Tablo1[#All],4,0)," ")</f>
        <v xml:space="preserve"> </v>
      </c>
      <c r="Q492" s="100" t="str">
        <f>IFERROR(VLOOKUP(Tablo516[[#This Row],[ÜRÜN KODU]],YMKODLARI!$A$1:$K$383,5,0)," ")</f>
        <v xml:space="preserve"> </v>
      </c>
      <c r="R492" s="100" t="str">
        <f>IFERROR(VLOOKUP(Tablo516[[#This Row],[ÜRÜN KODU]],YMKODLARI!$A$1:$K$383,6,0)," ")</f>
        <v xml:space="preserve"> </v>
      </c>
      <c r="S492" s="100" t="str">
        <f>IFERROR(Tablo516[[#This Row],[YOLLUK HARİÇ BASKI GRAMI]]/Tablo516[[#This Row],[KALIP GÖZ ADEDİ]]," ")</f>
        <v xml:space="preserve"> </v>
      </c>
      <c r="T492" s="100" t="str">
        <f t="shared" si="51"/>
        <v xml:space="preserve"> </v>
      </c>
      <c r="U492" s="100"/>
      <c r="V492" s="100" t="str">
        <f t="shared" si="50"/>
        <v xml:space="preserve"> </v>
      </c>
      <c r="W492" s="101">
        <f t="shared" si="52"/>
        <v>24</v>
      </c>
      <c r="X492" s="102">
        <f t="shared" si="53"/>
        <v>0</v>
      </c>
      <c r="Y492" s="100" t="str">
        <f t="shared" si="54"/>
        <v xml:space="preserve"> </v>
      </c>
      <c r="Z492" s="100" t="str">
        <f t="shared" si="55"/>
        <v xml:space="preserve"> </v>
      </c>
    </row>
    <row r="493" spans="1:26">
      <c r="A493" s="100"/>
      <c r="B493" s="108" t="str">
        <f>IFERROR(VLOOKUP(Tablo516[[#This Row],[ÜRÜN KODU]],YMKODLARI!$A$1:$K$383,2,0)," ")</f>
        <v xml:space="preserve"> </v>
      </c>
      <c r="C493" s="99"/>
      <c r="D493" s="100"/>
      <c r="E493" s="101"/>
      <c r="F493" s="101"/>
      <c r="G493" s="100" t="str">
        <f>IFERROR(VLOOKUP(Tablo516[[#This Row],[ÜRÜN KODU]],YMKODLARI!$A$1:$K$383,3,0)," ")</f>
        <v xml:space="preserve"> </v>
      </c>
      <c r="H493" s="100" t="str">
        <f>IFERROR(VLOOKUP(Tablo516[[#This Row],[ÜRÜN KODU]],YMKODLARI!$A$1:$K$383,4,0)," ")</f>
        <v xml:space="preserve"> </v>
      </c>
      <c r="I493" s="100"/>
      <c r="J493" s="100" t="str">
        <f>IFERROR(VLOOKUP(Tablo516[[#This Row],[ÜRÜN KODU]],YMKODLARI!$A$1:$K$383,9,0)," ")</f>
        <v xml:space="preserve"> </v>
      </c>
      <c r="K493" s="100" t="str">
        <f>IFERROR(VLOOKUP(Tablo516[[#This Row],[BOYA KODU]],Tablo14[#All],4,0)," ")</f>
        <v xml:space="preserve"> </v>
      </c>
      <c r="L493" s="100" t="str">
        <f>IFERROR(VLOOKUP(Tablo516[[#This Row],[BOYA KODU]],Tablo14[#All],6,0)," ")</f>
        <v xml:space="preserve"> </v>
      </c>
      <c r="M493" s="100" t="str">
        <f t="shared" si="49"/>
        <v xml:space="preserve"> </v>
      </c>
      <c r="N493" s="100" t="str">
        <f>IFERROR(VLOOKUP(Tablo516[[#This Row],[ÜRÜN KODU]],YMKODLARI!$A$1:$K$383,8,0)," ")</f>
        <v xml:space="preserve"> </v>
      </c>
      <c r="O493" s="100" t="str">
        <f>IFERROR(VLOOKUP(Tablo516[[#This Row],[HAMMADDE KODU]],Tablo1[#All],3,0)," ")</f>
        <v xml:space="preserve"> </v>
      </c>
      <c r="P493" s="100" t="str">
        <f>IFERROR(VLOOKUP(Tablo516[[#This Row],[HAMMADDE KODU]],Tablo1[#All],4,0)," ")</f>
        <v xml:space="preserve"> </v>
      </c>
      <c r="Q493" s="100" t="str">
        <f>IFERROR(VLOOKUP(Tablo516[[#This Row],[ÜRÜN KODU]],YMKODLARI!$A$1:$K$383,5,0)," ")</f>
        <v xml:space="preserve"> </v>
      </c>
      <c r="R493" s="100" t="str">
        <f>IFERROR(VLOOKUP(Tablo516[[#This Row],[ÜRÜN KODU]],YMKODLARI!$A$1:$K$383,6,0)," ")</f>
        <v xml:space="preserve"> </v>
      </c>
      <c r="S493" s="100" t="str">
        <f>IFERROR(Tablo516[[#This Row],[YOLLUK HARİÇ BASKI GRAMI]]/Tablo516[[#This Row],[KALIP GÖZ ADEDİ]]," ")</f>
        <v xml:space="preserve"> </v>
      </c>
      <c r="T493" s="100" t="str">
        <f t="shared" si="51"/>
        <v xml:space="preserve"> </v>
      </c>
      <c r="U493" s="100"/>
      <c r="V493" s="100" t="str">
        <f t="shared" si="50"/>
        <v xml:space="preserve"> </v>
      </c>
      <c r="W493" s="101">
        <f t="shared" si="52"/>
        <v>24</v>
      </c>
      <c r="X493" s="102">
        <f t="shared" si="53"/>
        <v>0</v>
      </c>
      <c r="Y493" s="100" t="str">
        <f t="shared" si="54"/>
        <v xml:space="preserve"> </v>
      </c>
      <c r="Z493" s="100" t="str">
        <f t="shared" si="55"/>
        <v xml:space="preserve"> </v>
      </c>
    </row>
    <row r="494" spans="1:26">
      <c r="A494" s="100"/>
      <c r="B494" s="108" t="str">
        <f>IFERROR(VLOOKUP(Tablo516[[#This Row],[ÜRÜN KODU]],YMKODLARI!$A$1:$K$383,2,0)," ")</f>
        <v xml:space="preserve"> </v>
      </c>
      <c r="C494" s="99"/>
      <c r="D494" s="100"/>
      <c r="E494" s="101"/>
      <c r="F494" s="101"/>
      <c r="G494" s="100" t="str">
        <f>IFERROR(VLOOKUP(Tablo516[[#This Row],[ÜRÜN KODU]],YMKODLARI!$A$1:$K$383,3,0)," ")</f>
        <v xml:space="preserve"> </v>
      </c>
      <c r="H494" s="100" t="str">
        <f>IFERROR(VLOOKUP(Tablo516[[#This Row],[ÜRÜN KODU]],YMKODLARI!$A$1:$K$383,4,0)," ")</f>
        <v xml:space="preserve"> </v>
      </c>
      <c r="I494" s="100"/>
      <c r="J494" s="100" t="str">
        <f>IFERROR(VLOOKUP(Tablo516[[#This Row],[ÜRÜN KODU]],YMKODLARI!$A$1:$K$383,9,0)," ")</f>
        <v xml:space="preserve"> </v>
      </c>
      <c r="K494" s="100" t="str">
        <f>IFERROR(VLOOKUP(Tablo516[[#This Row],[BOYA KODU]],Tablo14[#All],4,0)," ")</f>
        <v xml:space="preserve"> </v>
      </c>
      <c r="L494" s="100" t="str">
        <f>IFERROR(VLOOKUP(Tablo516[[#This Row],[BOYA KODU]],Tablo14[#All],6,0)," ")</f>
        <v xml:space="preserve"> </v>
      </c>
      <c r="M494" s="100" t="str">
        <f t="shared" si="49"/>
        <v xml:space="preserve"> </v>
      </c>
      <c r="N494" s="100" t="str">
        <f>IFERROR(VLOOKUP(Tablo516[[#This Row],[ÜRÜN KODU]],YMKODLARI!$A$1:$K$383,8,0)," ")</f>
        <v xml:space="preserve"> </v>
      </c>
      <c r="O494" s="100" t="str">
        <f>IFERROR(VLOOKUP(Tablo516[[#This Row],[HAMMADDE KODU]],Tablo1[#All],3,0)," ")</f>
        <v xml:space="preserve"> </v>
      </c>
      <c r="P494" s="100" t="str">
        <f>IFERROR(VLOOKUP(Tablo516[[#This Row],[HAMMADDE KODU]],Tablo1[#All],4,0)," ")</f>
        <v xml:space="preserve"> </v>
      </c>
      <c r="Q494" s="100" t="str">
        <f>IFERROR(VLOOKUP(Tablo516[[#This Row],[ÜRÜN KODU]],YMKODLARI!$A$1:$K$383,5,0)," ")</f>
        <v xml:space="preserve"> </v>
      </c>
      <c r="R494" s="100" t="str">
        <f>IFERROR(VLOOKUP(Tablo516[[#This Row],[ÜRÜN KODU]],YMKODLARI!$A$1:$K$383,6,0)," ")</f>
        <v xml:space="preserve"> </v>
      </c>
      <c r="S494" s="100" t="str">
        <f>IFERROR(Tablo516[[#This Row],[YOLLUK HARİÇ BASKI GRAMI]]/Tablo516[[#This Row],[KALIP GÖZ ADEDİ]]," ")</f>
        <v xml:space="preserve"> </v>
      </c>
      <c r="T494" s="100" t="str">
        <f t="shared" si="51"/>
        <v xml:space="preserve"> </v>
      </c>
      <c r="U494" s="100"/>
      <c r="V494" s="100" t="str">
        <f t="shared" si="50"/>
        <v xml:space="preserve"> </v>
      </c>
      <c r="W494" s="101">
        <f t="shared" si="52"/>
        <v>24</v>
      </c>
      <c r="X494" s="102">
        <f t="shared" si="53"/>
        <v>0</v>
      </c>
      <c r="Y494" s="100" t="str">
        <f t="shared" si="54"/>
        <v xml:space="preserve"> </v>
      </c>
      <c r="Z494" s="100" t="str">
        <f t="shared" si="55"/>
        <v xml:space="preserve"> </v>
      </c>
    </row>
    <row r="495" spans="1:26">
      <c r="A495" s="100"/>
      <c r="B495" s="108" t="str">
        <f>IFERROR(VLOOKUP(Tablo516[[#This Row],[ÜRÜN KODU]],YMKODLARI!$A$1:$K$383,2,0)," ")</f>
        <v xml:space="preserve"> </v>
      </c>
      <c r="C495" s="99"/>
      <c r="D495" s="100"/>
      <c r="E495" s="101"/>
      <c r="F495" s="101"/>
      <c r="G495" s="100" t="str">
        <f>IFERROR(VLOOKUP(Tablo516[[#This Row],[ÜRÜN KODU]],YMKODLARI!$A$1:$K$383,3,0)," ")</f>
        <v xml:space="preserve"> </v>
      </c>
      <c r="H495" s="100" t="str">
        <f>IFERROR(VLOOKUP(Tablo516[[#This Row],[ÜRÜN KODU]],YMKODLARI!$A$1:$K$383,4,0)," ")</f>
        <v xml:space="preserve"> </v>
      </c>
      <c r="I495" s="100"/>
      <c r="J495" s="100" t="str">
        <f>IFERROR(VLOOKUP(Tablo516[[#This Row],[ÜRÜN KODU]],YMKODLARI!$A$1:$K$383,9,0)," ")</f>
        <v xml:space="preserve"> </v>
      </c>
      <c r="K495" s="100" t="str">
        <f>IFERROR(VLOOKUP(Tablo516[[#This Row],[BOYA KODU]],Tablo14[#All],4,0)," ")</f>
        <v xml:space="preserve"> </v>
      </c>
      <c r="L495" s="100" t="str">
        <f>IFERROR(VLOOKUP(Tablo516[[#This Row],[BOYA KODU]],Tablo14[#All],6,0)," ")</f>
        <v xml:space="preserve"> </v>
      </c>
      <c r="M495" s="100" t="str">
        <f t="shared" si="49"/>
        <v xml:space="preserve"> </v>
      </c>
      <c r="N495" s="100" t="str">
        <f>IFERROR(VLOOKUP(Tablo516[[#This Row],[ÜRÜN KODU]],YMKODLARI!$A$1:$K$383,8,0)," ")</f>
        <v xml:space="preserve"> </v>
      </c>
      <c r="O495" s="100" t="str">
        <f>IFERROR(VLOOKUP(Tablo516[[#This Row],[HAMMADDE KODU]],Tablo1[#All],3,0)," ")</f>
        <v xml:space="preserve"> </v>
      </c>
      <c r="P495" s="100" t="str">
        <f>IFERROR(VLOOKUP(Tablo516[[#This Row],[HAMMADDE KODU]],Tablo1[#All],4,0)," ")</f>
        <v xml:space="preserve"> </v>
      </c>
      <c r="Q495" s="100" t="str">
        <f>IFERROR(VLOOKUP(Tablo516[[#This Row],[ÜRÜN KODU]],YMKODLARI!$A$1:$K$383,5,0)," ")</f>
        <v xml:space="preserve"> </v>
      </c>
      <c r="R495" s="100" t="str">
        <f>IFERROR(VLOOKUP(Tablo516[[#This Row],[ÜRÜN KODU]],YMKODLARI!$A$1:$K$383,6,0)," ")</f>
        <v xml:space="preserve"> </v>
      </c>
      <c r="S495" s="100" t="str">
        <f>IFERROR(Tablo516[[#This Row],[YOLLUK HARİÇ BASKI GRAMI]]/Tablo516[[#This Row],[KALIP GÖZ ADEDİ]]," ")</f>
        <v xml:space="preserve"> </v>
      </c>
      <c r="T495" s="100" t="str">
        <f t="shared" si="51"/>
        <v xml:space="preserve"> </v>
      </c>
      <c r="U495" s="100"/>
      <c r="V495" s="100" t="str">
        <f t="shared" si="50"/>
        <v xml:space="preserve"> </v>
      </c>
      <c r="W495" s="101">
        <f t="shared" si="52"/>
        <v>24</v>
      </c>
      <c r="X495" s="102">
        <f t="shared" si="53"/>
        <v>0</v>
      </c>
      <c r="Y495" s="100" t="str">
        <f t="shared" si="54"/>
        <v xml:space="preserve"> </v>
      </c>
      <c r="Z495" s="100" t="str">
        <f t="shared" si="55"/>
        <v xml:space="preserve"> </v>
      </c>
    </row>
    <row r="496" spans="1:26">
      <c r="A496" s="100"/>
      <c r="B496" s="108" t="str">
        <f>IFERROR(VLOOKUP(Tablo516[[#This Row],[ÜRÜN KODU]],YMKODLARI!$A$1:$K$383,2,0)," ")</f>
        <v xml:space="preserve"> </v>
      </c>
      <c r="C496" s="99"/>
      <c r="D496" s="100"/>
      <c r="E496" s="101"/>
      <c r="F496" s="101"/>
      <c r="G496" s="100" t="str">
        <f>IFERROR(VLOOKUP(Tablo516[[#This Row],[ÜRÜN KODU]],YMKODLARI!$A$1:$K$383,3,0)," ")</f>
        <v xml:space="preserve"> </v>
      </c>
      <c r="H496" s="100" t="str">
        <f>IFERROR(VLOOKUP(Tablo516[[#This Row],[ÜRÜN KODU]],YMKODLARI!$A$1:$K$383,4,0)," ")</f>
        <v xml:space="preserve"> </v>
      </c>
      <c r="I496" s="100"/>
      <c r="J496" s="100" t="str">
        <f>IFERROR(VLOOKUP(Tablo516[[#This Row],[ÜRÜN KODU]],YMKODLARI!$A$1:$K$383,9,0)," ")</f>
        <v xml:space="preserve"> </v>
      </c>
      <c r="K496" s="100" t="str">
        <f>IFERROR(VLOOKUP(Tablo516[[#This Row],[BOYA KODU]],Tablo14[#All],4,0)," ")</f>
        <v xml:space="preserve"> </v>
      </c>
      <c r="L496" s="100" t="str">
        <f>IFERROR(VLOOKUP(Tablo516[[#This Row],[BOYA KODU]],Tablo14[#All],6,0)," ")</f>
        <v xml:space="preserve"> </v>
      </c>
      <c r="M496" s="100" t="str">
        <f t="shared" si="49"/>
        <v xml:space="preserve"> </v>
      </c>
      <c r="N496" s="100" t="str">
        <f>IFERROR(VLOOKUP(Tablo516[[#This Row],[ÜRÜN KODU]],YMKODLARI!$A$1:$K$383,8,0)," ")</f>
        <v xml:space="preserve"> </v>
      </c>
      <c r="O496" s="100" t="str">
        <f>IFERROR(VLOOKUP(Tablo516[[#This Row],[HAMMADDE KODU]],Tablo1[#All],3,0)," ")</f>
        <v xml:space="preserve"> </v>
      </c>
      <c r="P496" s="100" t="str">
        <f>IFERROR(VLOOKUP(Tablo516[[#This Row],[HAMMADDE KODU]],Tablo1[#All],4,0)," ")</f>
        <v xml:space="preserve"> </v>
      </c>
      <c r="Q496" s="100" t="str">
        <f>IFERROR(VLOOKUP(Tablo516[[#This Row],[ÜRÜN KODU]],YMKODLARI!$A$1:$K$383,5,0)," ")</f>
        <v xml:space="preserve"> </v>
      </c>
      <c r="R496" s="100" t="str">
        <f>IFERROR(VLOOKUP(Tablo516[[#This Row],[ÜRÜN KODU]],YMKODLARI!$A$1:$K$383,6,0)," ")</f>
        <v xml:space="preserve"> </v>
      </c>
      <c r="S496" s="100" t="str">
        <f>IFERROR(Tablo516[[#This Row],[YOLLUK HARİÇ BASKI GRAMI]]/Tablo516[[#This Row],[KALIP GÖZ ADEDİ]]," ")</f>
        <v xml:space="preserve"> </v>
      </c>
      <c r="T496" s="100" t="str">
        <f t="shared" si="51"/>
        <v xml:space="preserve"> </v>
      </c>
      <c r="U496" s="100"/>
      <c r="V496" s="100" t="str">
        <f t="shared" si="50"/>
        <v xml:space="preserve"> </v>
      </c>
      <c r="W496" s="101">
        <f t="shared" si="52"/>
        <v>24</v>
      </c>
      <c r="X496" s="102">
        <f t="shared" si="53"/>
        <v>0</v>
      </c>
      <c r="Y496" s="100" t="str">
        <f t="shared" si="54"/>
        <v xml:space="preserve"> </v>
      </c>
      <c r="Z496" s="100" t="str">
        <f t="shared" si="55"/>
        <v xml:space="preserve"> </v>
      </c>
    </row>
    <row r="497" spans="1:26">
      <c r="A497" s="100"/>
      <c r="B497" s="108" t="str">
        <f>IFERROR(VLOOKUP(Tablo516[[#This Row],[ÜRÜN KODU]],YMKODLARI!$A$1:$K$383,2,0)," ")</f>
        <v xml:space="preserve"> </v>
      </c>
      <c r="C497" s="99"/>
      <c r="D497" s="100"/>
      <c r="E497" s="101"/>
      <c r="F497" s="101"/>
      <c r="G497" s="100" t="str">
        <f>IFERROR(VLOOKUP(Tablo516[[#This Row],[ÜRÜN KODU]],YMKODLARI!$A$1:$K$383,3,0)," ")</f>
        <v xml:space="preserve"> </v>
      </c>
      <c r="H497" s="100" t="str">
        <f>IFERROR(VLOOKUP(Tablo516[[#This Row],[ÜRÜN KODU]],YMKODLARI!$A$1:$K$383,4,0)," ")</f>
        <v xml:space="preserve"> </v>
      </c>
      <c r="I497" s="100"/>
      <c r="J497" s="100" t="str">
        <f>IFERROR(VLOOKUP(Tablo516[[#This Row],[ÜRÜN KODU]],YMKODLARI!$A$1:$K$383,9,0)," ")</f>
        <v xml:space="preserve"> </v>
      </c>
      <c r="K497" s="100" t="str">
        <f>IFERROR(VLOOKUP(Tablo516[[#This Row],[BOYA KODU]],Tablo14[#All],4,0)," ")</f>
        <v xml:space="preserve"> </v>
      </c>
      <c r="L497" s="100" t="str">
        <f>IFERROR(VLOOKUP(Tablo516[[#This Row],[BOYA KODU]],Tablo14[#All],6,0)," ")</f>
        <v xml:space="preserve"> </v>
      </c>
      <c r="M497" s="100" t="str">
        <f t="shared" si="49"/>
        <v xml:space="preserve"> </v>
      </c>
      <c r="N497" s="100" t="str">
        <f>IFERROR(VLOOKUP(Tablo516[[#This Row],[ÜRÜN KODU]],YMKODLARI!$A$1:$K$383,8,0)," ")</f>
        <v xml:space="preserve"> </v>
      </c>
      <c r="O497" s="100" t="str">
        <f>IFERROR(VLOOKUP(Tablo516[[#This Row],[HAMMADDE KODU]],Tablo1[#All],3,0)," ")</f>
        <v xml:space="preserve"> </v>
      </c>
      <c r="P497" s="100" t="str">
        <f>IFERROR(VLOOKUP(Tablo516[[#This Row],[HAMMADDE KODU]],Tablo1[#All],4,0)," ")</f>
        <v xml:space="preserve"> </v>
      </c>
      <c r="Q497" s="100" t="str">
        <f>IFERROR(VLOOKUP(Tablo516[[#This Row],[ÜRÜN KODU]],YMKODLARI!$A$1:$K$383,5,0)," ")</f>
        <v xml:space="preserve"> </v>
      </c>
      <c r="R497" s="100" t="str">
        <f>IFERROR(VLOOKUP(Tablo516[[#This Row],[ÜRÜN KODU]],YMKODLARI!$A$1:$K$383,6,0)," ")</f>
        <v xml:space="preserve"> </v>
      </c>
      <c r="S497" s="100" t="str">
        <f>IFERROR(Tablo516[[#This Row],[YOLLUK HARİÇ BASKI GRAMI]]/Tablo516[[#This Row],[KALIP GÖZ ADEDİ]]," ")</f>
        <v xml:space="preserve"> </v>
      </c>
      <c r="T497" s="100" t="str">
        <f t="shared" si="51"/>
        <v xml:space="preserve"> </v>
      </c>
      <c r="U497" s="100"/>
      <c r="V497" s="100" t="str">
        <f t="shared" si="50"/>
        <v xml:space="preserve"> </v>
      </c>
      <c r="W497" s="101">
        <f t="shared" si="52"/>
        <v>24</v>
      </c>
      <c r="X497" s="102">
        <f t="shared" si="53"/>
        <v>0</v>
      </c>
      <c r="Y497" s="100" t="str">
        <f t="shared" si="54"/>
        <v xml:space="preserve"> </v>
      </c>
      <c r="Z497" s="100" t="str">
        <f t="shared" si="55"/>
        <v xml:space="preserve"> </v>
      </c>
    </row>
    <row r="498" spans="1:26">
      <c r="A498" s="100"/>
      <c r="B498" s="108" t="str">
        <f>IFERROR(VLOOKUP(Tablo516[[#This Row],[ÜRÜN KODU]],YMKODLARI!$A$1:$K$383,2,0)," ")</f>
        <v xml:space="preserve"> </v>
      </c>
      <c r="C498" s="99"/>
      <c r="D498" s="100"/>
      <c r="E498" s="101"/>
      <c r="F498" s="101"/>
      <c r="G498" s="100" t="str">
        <f>IFERROR(VLOOKUP(Tablo516[[#This Row],[ÜRÜN KODU]],YMKODLARI!$A$1:$K$383,3,0)," ")</f>
        <v xml:space="preserve"> </v>
      </c>
      <c r="H498" s="100" t="str">
        <f>IFERROR(VLOOKUP(Tablo516[[#This Row],[ÜRÜN KODU]],YMKODLARI!$A$1:$K$383,4,0)," ")</f>
        <v xml:space="preserve"> </v>
      </c>
      <c r="I498" s="100"/>
      <c r="J498" s="100" t="str">
        <f>IFERROR(VLOOKUP(Tablo516[[#This Row],[ÜRÜN KODU]],YMKODLARI!$A$1:$K$383,9,0)," ")</f>
        <v xml:space="preserve"> </v>
      </c>
      <c r="K498" s="100" t="str">
        <f>IFERROR(VLOOKUP(Tablo516[[#This Row],[BOYA KODU]],Tablo14[#All],4,0)," ")</f>
        <v xml:space="preserve"> </v>
      </c>
      <c r="L498" s="100" t="str">
        <f>IFERROR(VLOOKUP(Tablo516[[#This Row],[BOYA KODU]],Tablo14[#All],6,0)," ")</f>
        <v xml:space="preserve"> </v>
      </c>
      <c r="M498" s="100" t="str">
        <f t="shared" si="49"/>
        <v xml:space="preserve"> </v>
      </c>
      <c r="N498" s="100" t="str">
        <f>IFERROR(VLOOKUP(Tablo516[[#This Row],[ÜRÜN KODU]],YMKODLARI!$A$1:$K$383,8,0)," ")</f>
        <v xml:space="preserve"> </v>
      </c>
      <c r="O498" s="100" t="str">
        <f>IFERROR(VLOOKUP(Tablo516[[#This Row],[HAMMADDE KODU]],Tablo1[#All],3,0)," ")</f>
        <v xml:space="preserve"> </v>
      </c>
      <c r="P498" s="100" t="str">
        <f>IFERROR(VLOOKUP(Tablo516[[#This Row],[HAMMADDE KODU]],Tablo1[#All],4,0)," ")</f>
        <v xml:space="preserve"> </v>
      </c>
      <c r="Q498" s="100" t="str">
        <f>IFERROR(VLOOKUP(Tablo516[[#This Row],[ÜRÜN KODU]],YMKODLARI!$A$1:$K$383,5,0)," ")</f>
        <v xml:space="preserve"> </v>
      </c>
      <c r="R498" s="100" t="str">
        <f>IFERROR(VLOOKUP(Tablo516[[#This Row],[ÜRÜN KODU]],YMKODLARI!$A$1:$K$383,6,0)," ")</f>
        <v xml:space="preserve"> </v>
      </c>
      <c r="S498" s="100" t="str">
        <f>IFERROR(Tablo516[[#This Row],[YOLLUK HARİÇ BASKI GRAMI]]/Tablo516[[#This Row],[KALIP GÖZ ADEDİ]]," ")</f>
        <v xml:space="preserve"> </v>
      </c>
      <c r="T498" s="100" t="str">
        <f t="shared" si="51"/>
        <v xml:space="preserve"> </v>
      </c>
      <c r="U498" s="100"/>
      <c r="V498" s="100" t="str">
        <f t="shared" si="50"/>
        <v xml:space="preserve"> </v>
      </c>
      <c r="W498" s="101">
        <f t="shared" si="52"/>
        <v>24</v>
      </c>
      <c r="X498" s="102">
        <f t="shared" si="53"/>
        <v>0</v>
      </c>
      <c r="Y498" s="100" t="str">
        <f t="shared" si="54"/>
        <v xml:space="preserve"> </v>
      </c>
      <c r="Z498" s="100" t="str">
        <f t="shared" si="55"/>
        <v xml:space="preserve"> </v>
      </c>
    </row>
    <row r="499" spans="1:26">
      <c r="A499" s="100"/>
      <c r="B499" s="108" t="str">
        <f>IFERROR(VLOOKUP(Tablo516[[#This Row],[ÜRÜN KODU]],YMKODLARI!$A$1:$K$383,2,0)," ")</f>
        <v xml:space="preserve"> </v>
      </c>
      <c r="C499" s="99"/>
      <c r="D499" s="100"/>
      <c r="E499" s="101"/>
      <c r="F499" s="101"/>
      <c r="G499" s="100" t="str">
        <f>IFERROR(VLOOKUP(Tablo516[[#This Row],[ÜRÜN KODU]],YMKODLARI!$A$1:$K$383,3,0)," ")</f>
        <v xml:space="preserve"> </v>
      </c>
      <c r="H499" s="100" t="str">
        <f>IFERROR(VLOOKUP(Tablo516[[#This Row],[ÜRÜN KODU]],YMKODLARI!$A$1:$K$383,4,0)," ")</f>
        <v xml:space="preserve"> </v>
      </c>
      <c r="I499" s="100"/>
      <c r="J499" s="100" t="str">
        <f>IFERROR(VLOOKUP(Tablo516[[#This Row],[ÜRÜN KODU]],YMKODLARI!$A$1:$K$383,9,0)," ")</f>
        <v xml:space="preserve"> </v>
      </c>
      <c r="K499" s="100" t="str">
        <f>IFERROR(VLOOKUP(Tablo516[[#This Row],[BOYA KODU]],Tablo14[#All],4,0)," ")</f>
        <v xml:space="preserve"> </v>
      </c>
      <c r="L499" s="100" t="str">
        <f>IFERROR(VLOOKUP(Tablo516[[#This Row],[BOYA KODU]],Tablo14[#All],6,0)," ")</f>
        <v xml:space="preserve"> </v>
      </c>
      <c r="M499" s="100" t="str">
        <f t="shared" si="49"/>
        <v xml:space="preserve"> </v>
      </c>
      <c r="N499" s="100" t="str">
        <f>IFERROR(VLOOKUP(Tablo516[[#This Row],[ÜRÜN KODU]],YMKODLARI!$A$1:$K$383,8,0)," ")</f>
        <v xml:space="preserve"> </v>
      </c>
      <c r="O499" s="100" t="str">
        <f>IFERROR(VLOOKUP(Tablo516[[#This Row],[HAMMADDE KODU]],Tablo1[#All],3,0)," ")</f>
        <v xml:space="preserve"> </v>
      </c>
      <c r="P499" s="100" t="str">
        <f>IFERROR(VLOOKUP(Tablo516[[#This Row],[HAMMADDE KODU]],Tablo1[#All],4,0)," ")</f>
        <v xml:space="preserve"> </v>
      </c>
      <c r="Q499" s="100" t="str">
        <f>IFERROR(VLOOKUP(Tablo516[[#This Row],[ÜRÜN KODU]],YMKODLARI!$A$1:$K$383,5,0)," ")</f>
        <v xml:space="preserve"> </v>
      </c>
      <c r="R499" s="100" t="str">
        <f>IFERROR(VLOOKUP(Tablo516[[#This Row],[ÜRÜN KODU]],YMKODLARI!$A$1:$K$383,6,0)," ")</f>
        <v xml:space="preserve"> </v>
      </c>
      <c r="S499" s="100" t="str">
        <f>IFERROR(Tablo516[[#This Row],[YOLLUK HARİÇ BASKI GRAMI]]/Tablo516[[#This Row],[KALIP GÖZ ADEDİ]]," ")</f>
        <v xml:space="preserve"> </v>
      </c>
      <c r="T499" s="100" t="str">
        <f t="shared" si="51"/>
        <v xml:space="preserve"> </v>
      </c>
      <c r="U499" s="100"/>
      <c r="V499" s="100" t="str">
        <f t="shared" si="50"/>
        <v xml:space="preserve"> </v>
      </c>
      <c r="W499" s="101">
        <f t="shared" si="52"/>
        <v>24</v>
      </c>
      <c r="X499" s="102">
        <f t="shared" si="53"/>
        <v>0</v>
      </c>
      <c r="Y499" s="100" t="str">
        <f t="shared" si="54"/>
        <v xml:space="preserve"> </v>
      </c>
      <c r="Z499" s="100" t="str">
        <f t="shared" si="55"/>
        <v xml:space="preserve"> </v>
      </c>
    </row>
    <row r="500" spans="1:26">
      <c r="A500" s="100"/>
      <c r="B500" s="108" t="str">
        <f>IFERROR(VLOOKUP(Tablo516[[#This Row],[ÜRÜN KODU]],YMKODLARI!$A$1:$K$383,2,0)," ")</f>
        <v xml:space="preserve"> </v>
      </c>
      <c r="C500" s="99"/>
      <c r="D500" s="100"/>
      <c r="E500" s="101"/>
      <c r="F500" s="101"/>
      <c r="G500" s="100" t="str">
        <f>IFERROR(VLOOKUP(Tablo516[[#This Row],[ÜRÜN KODU]],YMKODLARI!$A$1:$K$383,3,0)," ")</f>
        <v xml:space="preserve"> </v>
      </c>
      <c r="H500" s="100" t="str">
        <f>IFERROR(VLOOKUP(Tablo516[[#This Row],[ÜRÜN KODU]],YMKODLARI!$A$1:$K$383,4,0)," ")</f>
        <v xml:space="preserve"> </v>
      </c>
      <c r="I500" s="100"/>
      <c r="J500" s="100" t="str">
        <f>IFERROR(VLOOKUP(Tablo516[[#This Row],[ÜRÜN KODU]],YMKODLARI!$A$1:$K$383,9,0)," ")</f>
        <v xml:space="preserve"> </v>
      </c>
      <c r="K500" s="100" t="str">
        <f>IFERROR(VLOOKUP(Tablo516[[#This Row],[BOYA KODU]],Tablo14[#All],4,0)," ")</f>
        <v xml:space="preserve"> </v>
      </c>
      <c r="L500" s="100" t="str">
        <f>IFERROR(VLOOKUP(Tablo516[[#This Row],[BOYA KODU]],Tablo14[#All],6,0)," ")</f>
        <v xml:space="preserve"> </v>
      </c>
      <c r="M500" s="100" t="str">
        <f t="shared" si="49"/>
        <v xml:space="preserve"> </v>
      </c>
      <c r="N500" s="100" t="str">
        <f>IFERROR(VLOOKUP(Tablo516[[#This Row],[ÜRÜN KODU]],YMKODLARI!$A$1:$K$383,8,0)," ")</f>
        <v xml:space="preserve"> </v>
      </c>
      <c r="O500" s="100" t="str">
        <f>IFERROR(VLOOKUP(Tablo516[[#This Row],[HAMMADDE KODU]],Tablo1[#All],3,0)," ")</f>
        <v xml:space="preserve"> </v>
      </c>
      <c r="P500" s="100" t="str">
        <f>IFERROR(VLOOKUP(Tablo516[[#This Row],[HAMMADDE KODU]],Tablo1[#All],4,0)," ")</f>
        <v xml:space="preserve"> </v>
      </c>
      <c r="Q500" s="100" t="str">
        <f>IFERROR(VLOOKUP(Tablo516[[#This Row],[ÜRÜN KODU]],YMKODLARI!$A$1:$K$383,5,0)," ")</f>
        <v xml:space="preserve"> </v>
      </c>
      <c r="R500" s="100" t="str">
        <f>IFERROR(VLOOKUP(Tablo516[[#This Row],[ÜRÜN KODU]],YMKODLARI!$A$1:$K$383,6,0)," ")</f>
        <v xml:space="preserve"> </v>
      </c>
      <c r="S500" s="100" t="str">
        <f>IFERROR(Tablo516[[#This Row],[YOLLUK HARİÇ BASKI GRAMI]]/Tablo516[[#This Row],[KALIP GÖZ ADEDİ]]," ")</f>
        <v xml:space="preserve"> </v>
      </c>
      <c r="T500" s="100" t="str">
        <f t="shared" si="51"/>
        <v xml:space="preserve"> </v>
      </c>
      <c r="U500" s="100"/>
      <c r="V500" s="100" t="str">
        <f t="shared" si="50"/>
        <v xml:space="preserve"> </v>
      </c>
      <c r="W500" s="101">
        <f t="shared" si="52"/>
        <v>24</v>
      </c>
      <c r="X500" s="102">
        <f t="shared" si="53"/>
        <v>0</v>
      </c>
      <c r="Y500" s="100" t="str">
        <f t="shared" si="54"/>
        <v xml:space="preserve"> </v>
      </c>
      <c r="Z500" s="100" t="str">
        <f t="shared" si="55"/>
        <v xml:space="preserve"> </v>
      </c>
    </row>
    <row r="501" spans="1:26">
      <c r="A501" s="100"/>
      <c r="B501" s="108" t="str">
        <f>IFERROR(VLOOKUP(Tablo516[[#This Row],[ÜRÜN KODU]],YMKODLARI!$A$1:$K$383,2,0)," ")</f>
        <v xml:space="preserve"> </v>
      </c>
      <c r="C501" s="99"/>
      <c r="D501" s="100"/>
      <c r="E501" s="101"/>
      <c r="F501" s="101"/>
      <c r="G501" s="100" t="str">
        <f>IFERROR(VLOOKUP(Tablo516[[#This Row],[ÜRÜN KODU]],YMKODLARI!$A$1:$K$383,3,0)," ")</f>
        <v xml:space="preserve"> </v>
      </c>
      <c r="H501" s="100" t="str">
        <f>IFERROR(VLOOKUP(Tablo516[[#This Row],[ÜRÜN KODU]],YMKODLARI!$A$1:$K$383,4,0)," ")</f>
        <v xml:space="preserve"> </v>
      </c>
      <c r="I501" s="100"/>
      <c r="J501" s="100" t="str">
        <f>IFERROR(VLOOKUP(Tablo516[[#This Row],[ÜRÜN KODU]],YMKODLARI!$A$1:$K$383,9,0)," ")</f>
        <v xml:space="preserve"> </v>
      </c>
      <c r="K501" s="100" t="str">
        <f>IFERROR(VLOOKUP(Tablo516[[#This Row],[BOYA KODU]],Tablo14[#All],4,0)," ")</f>
        <v xml:space="preserve"> </v>
      </c>
      <c r="L501" s="100" t="str">
        <f>IFERROR(VLOOKUP(Tablo516[[#This Row],[BOYA KODU]],Tablo14[#All],6,0)," ")</f>
        <v xml:space="preserve"> </v>
      </c>
      <c r="M501" s="100" t="str">
        <f t="shared" si="49"/>
        <v xml:space="preserve"> </v>
      </c>
      <c r="N501" s="100" t="str">
        <f>IFERROR(VLOOKUP(Tablo516[[#This Row],[ÜRÜN KODU]],YMKODLARI!$A$1:$K$383,8,0)," ")</f>
        <v xml:space="preserve"> </v>
      </c>
      <c r="O501" s="100" t="str">
        <f>IFERROR(VLOOKUP(Tablo516[[#This Row],[HAMMADDE KODU]],Tablo1[#All],3,0)," ")</f>
        <v xml:space="preserve"> </v>
      </c>
      <c r="P501" s="100" t="str">
        <f>IFERROR(VLOOKUP(Tablo516[[#This Row],[HAMMADDE KODU]],Tablo1[#All],4,0)," ")</f>
        <v xml:space="preserve"> </v>
      </c>
      <c r="Q501" s="100" t="str">
        <f>IFERROR(VLOOKUP(Tablo516[[#This Row],[ÜRÜN KODU]],YMKODLARI!$A$1:$K$383,5,0)," ")</f>
        <v xml:space="preserve"> </v>
      </c>
      <c r="R501" s="100" t="str">
        <f>IFERROR(VLOOKUP(Tablo516[[#This Row],[ÜRÜN KODU]],YMKODLARI!$A$1:$K$383,6,0)," ")</f>
        <v xml:space="preserve"> </v>
      </c>
      <c r="S501" s="100" t="str">
        <f>IFERROR(Tablo516[[#This Row],[YOLLUK HARİÇ BASKI GRAMI]]/Tablo516[[#This Row],[KALIP GÖZ ADEDİ]]," ")</f>
        <v xml:space="preserve"> </v>
      </c>
      <c r="T501" s="100" t="str">
        <f t="shared" si="51"/>
        <v xml:space="preserve"> </v>
      </c>
      <c r="U501" s="100"/>
      <c r="V501" s="100" t="str">
        <f t="shared" si="50"/>
        <v xml:space="preserve"> </v>
      </c>
      <c r="W501" s="101">
        <f t="shared" si="52"/>
        <v>24</v>
      </c>
      <c r="X501" s="102">
        <f t="shared" si="53"/>
        <v>0</v>
      </c>
      <c r="Y501" s="100" t="str">
        <f t="shared" si="54"/>
        <v xml:space="preserve"> </v>
      </c>
      <c r="Z501" s="100" t="str">
        <f t="shared" si="55"/>
        <v xml:space="preserve"> </v>
      </c>
    </row>
    <row r="502" spans="1:26">
      <c r="A502" s="100"/>
      <c r="B502" s="108" t="str">
        <f>IFERROR(VLOOKUP(Tablo516[[#This Row],[ÜRÜN KODU]],YMKODLARI!$A$1:$K$383,2,0)," ")</f>
        <v xml:space="preserve"> </v>
      </c>
      <c r="C502" s="99"/>
      <c r="D502" s="100"/>
      <c r="E502" s="101"/>
      <c r="F502" s="101"/>
      <c r="G502" s="100" t="str">
        <f>IFERROR(VLOOKUP(Tablo516[[#This Row],[ÜRÜN KODU]],YMKODLARI!$A$1:$K$383,3,0)," ")</f>
        <v xml:space="preserve"> </v>
      </c>
      <c r="H502" s="100" t="str">
        <f>IFERROR(VLOOKUP(Tablo516[[#This Row],[ÜRÜN KODU]],YMKODLARI!$A$1:$K$383,4,0)," ")</f>
        <v xml:space="preserve"> </v>
      </c>
      <c r="I502" s="100"/>
      <c r="J502" s="100" t="str">
        <f>IFERROR(VLOOKUP(Tablo516[[#This Row],[ÜRÜN KODU]],YMKODLARI!$A$1:$K$383,9,0)," ")</f>
        <v xml:space="preserve"> </v>
      </c>
      <c r="K502" s="100" t="str">
        <f>IFERROR(VLOOKUP(Tablo516[[#This Row],[BOYA KODU]],Tablo14[#All],4,0)," ")</f>
        <v xml:space="preserve"> </v>
      </c>
      <c r="L502" s="100" t="str">
        <f>IFERROR(VLOOKUP(Tablo516[[#This Row],[BOYA KODU]],Tablo14[#All],6,0)," ")</f>
        <v xml:space="preserve"> </v>
      </c>
      <c r="M502" s="100" t="str">
        <f t="shared" si="49"/>
        <v xml:space="preserve"> </v>
      </c>
      <c r="N502" s="100" t="str">
        <f>IFERROR(VLOOKUP(Tablo516[[#This Row],[ÜRÜN KODU]],YMKODLARI!$A$1:$K$383,8,0)," ")</f>
        <v xml:space="preserve"> </v>
      </c>
      <c r="O502" s="100" t="str">
        <f>IFERROR(VLOOKUP(Tablo516[[#This Row],[HAMMADDE KODU]],Tablo1[#All],3,0)," ")</f>
        <v xml:space="preserve"> </v>
      </c>
      <c r="P502" s="100" t="str">
        <f>IFERROR(VLOOKUP(Tablo516[[#This Row],[HAMMADDE KODU]],Tablo1[#All],4,0)," ")</f>
        <v xml:space="preserve"> </v>
      </c>
      <c r="Q502" s="100" t="str">
        <f>IFERROR(VLOOKUP(Tablo516[[#This Row],[ÜRÜN KODU]],YMKODLARI!$A$1:$K$383,5,0)," ")</f>
        <v xml:space="preserve"> </v>
      </c>
      <c r="R502" s="100" t="str">
        <f>IFERROR(VLOOKUP(Tablo516[[#This Row],[ÜRÜN KODU]],YMKODLARI!$A$1:$K$383,6,0)," ")</f>
        <v xml:space="preserve"> </v>
      </c>
      <c r="S502" s="100" t="str">
        <f>IFERROR(Tablo516[[#This Row],[YOLLUK HARİÇ BASKI GRAMI]]/Tablo516[[#This Row],[KALIP GÖZ ADEDİ]]," ")</f>
        <v xml:space="preserve"> </v>
      </c>
      <c r="T502" s="100" t="str">
        <f t="shared" si="51"/>
        <v xml:space="preserve"> </v>
      </c>
      <c r="U502" s="100"/>
      <c r="V502" s="100" t="str">
        <f t="shared" si="50"/>
        <v xml:space="preserve"> </v>
      </c>
      <c r="W502" s="101">
        <f t="shared" si="52"/>
        <v>24</v>
      </c>
      <c r="X502" s="102">
        <f t="shared" si="53"/>
        <v>0</v>
      </c>
      <c r="Y502" s="100" t="str">
        <f t="shared" si="54"/>
        <v xml:space="preserve"> </v>
      </c>
      <c r="Z502" s="100" t="str">
        <f t="shared" si="55"/>
        <v xml:space="preserve"> </v>
      </c>
    </row>
    <row r="503" spans="1:26">
      <c r="A503" s="100"/>
      <c r="B503" s="108" t="str">
        <f>IFERROR(VLOOKUP(Tablo516[[#This Row],[ÜRÜN KODU]],YMKODLARI!$A$1:$K$383,2,0)," ")</f>
        <v xml:space="preserve"> </v>
      </c>
      <c r="C503" s="99"/>
      <c r="D503" s="100"/>
      <c r="E503" s="101"/>
      <c r="F503" s="101"/>
      <c r="G503" s="100" t="str">
        <f>IFERROR(VLOOKUP(Tablo516[[#This Row],[ÜRÜN KODU]],YMKODLARI!$A$1:$K$383,3,0)," ")</f>
        <v xml:space="preserve"> </v>
      </c>
      <c r="H503" s="100" t="str">
        <f>IFERROR(VLOOKUP(Tablo516[[#This Row],[ÜRÜN KODU]],YMKODLARI!$A$1:$K$383,4,0)," ")</f>
        <v xml:space="preserve"> </v>
      </c>
      <c r="I503" s="100"/>
      <c r="J503" s="100" t="str">
        <f>IFERROR(VLOOKUP(Tablo516[[#This Row],[ÜRÜN KODU]],YMKODLARI!$A$1:$K$383,9,0)," ")</f>
        <v xml:space="preserve"> </v>
      </c>
      <c r="K503" s="100" t="str">
        <f>IFERROR(VLOOKUP(Tablo516[[#This Row],[BOYA KODU]],Tablo14[#All],4,0)," ")</f>
        <v xml:space="preserve"> </v>
      </c>
      <c r="L503" s="100" t="str">
        <f>IFERROR(VLOOKUP(Tablo516[[#This Row],[BOYA KODU]],Tablo14[#All],6,0)," ")</f>
        <v xml:space="preserve"> </v>
      </c>
      <c r="M503" s="100" t="str">
        <f t="shared" si="49"/>
        <v xml:space="preserve"> </v>
      </c>
      <c r="N503" s="100" t="str">
        <f>IFERROR(VLOOKUP(Tablo516[[#This Row],[ÜRÜN KODU]],YMKODLARI!$A$1:$K$383,8,0)," ")</f>
        <v xml:space="preserve"> </v>
      </c>
      <c r="O503" s="100" t="str">
        <f>IFERROR(VLOOKUP(Tablo516[[#This Row],[HAMMADDE KODU]],Tablo1[#All],3,0)," ")</f>
        <v xml:space="preserve"> </v>
      </c>
      <c r="P503" s="100" t="str">
        <f>IFERROR(VLOOKUP(Tablo516[[#This Row],[HAMMADDE KODU]],Tablo1[#All],4,0)," ")</f>
        <v xml:space="preserve"> </v>
      </c>
      <c r="Q503" s="100" t="str">
        <f>IFERROR(VLOOKUP(Tablo516[[#This Row],[ÜRÜN KODU]],YMKODLARI!$A$1:$K$383,5,0)," ")</f>
        <v xml:space="preserve"> </v>
      </c>
      <c r="R503" s="100" t="str">
        <f>IFERROR(VLOOKUP(Tablo516[[#This Row],[ÜRÜN KODU]],YMKODLARI!$A$1:$K$383,6,0)," ")</f>
        <v xml:space="preserve"> </v>
      </c>
      <c r="S503" s="100" t="str">
        <f>IFERROR(Tablo516[[#This Row],[YOLLUK HARİÇ BASKI GRAMI]]/Tablo516[[#This Row],[KALIP GÖZ ADEDİ]]," ")</f>
        <v xml:space="preserve"> </v>
      </c>
      <c r="T503" s="100" t="str">
        <f t="shared" si="51"/>
        <v xml:space="preserve"> </v>
      </c>
      <c r="U503" s="100"/>
      <c r="V503" s="100" t="str">
        <f t="shared" si="50"/>
        <v xml:space="preserve"> </v>
      </c>
      <c r="W503" s="101">
        <f t="shared" si="52"/>
        <v>24</v>
      </c>
      <c r="X503" s="102">
        <f t="shared" si="53"/>
        <v>0</v>
      </c>
      <c r="Y503" s="100" t="str">
        <f t="shared" si="54"/>
        <v xml:space="preserve"> </v>
      </c>
      <c r="Z503" s="100" t="str">
        <f t="shared" si="55"/>
        <v xml:space="preserve"> </v>
      </c>
    </row>
    <row r="504" spans="1:26">
      <c r="A504" s="100"/>
      <c r="B504" s="108" t="str">
        <f>IFERROR(VLOOKUP(Tablo516[[#This Row],[ÜRÜN KODU]],YMKODLARI!$A$1:$K$383,2,0)," ")</f>
        <v xml:space="preserve"> </v>
      </c>
      <c r="C504" s="99"/>
      <c r="D504" s="100"/>
      <c r="E504" s="101"/>
      <c r="F504" s="101"/>
      <c r="G504" s="100" t="str">
        <f>IFERROR(VLOOKUP(Tablo516[[#This Row],[ÜRÜN KODU]],YMKODLARI!$A$1:$K$383,3,0)," ")</f>
        <v xml:space="preserve"> </v>
      </c>
      <c r="H504" s="100" t="str">
        <f>IFERROR(VLOOKUP(Tablo516[[#This Row],[ÜRÜN KODU]],YMKODLARI!$A$1:$K$383,4,0)," ")</f>
        <v xml:space="preserve"> </v>
      </c>
      <c r="I504" s="100"/>
      <c r="J504" s="100" t="str">
        <f>IFERROR(VLOOKUP(Tablo516[[#This Row],[ÜRÜN KODU]],YMKODLARI!$A$1:$K$383,9,0)," ")</f>
        <v xml:space="preserve"> </v>
      </c>
      <c r="K504" s="100" t="str">
        <f>IFERROR(VLOOKUP(Tablo516[[#This Row],[BOYA KODU]],Tablo14[#All],4,0)," ")</f>
        <v xml:space="preserve"> </v>
      </c>
      <c r="L504" s="100" t="str">
        <f>IFERROR(VLOOKUP(Tablo516[[#This Row],[BOYA KODU]],Tablo14[#All],6,0)," ")</f>
        <v xml:space="preserve"> </v>
      </c>
      <c r="M504" s="100" t="str">
        <f t="shared" si="49"/>
        <v xml:space="preserve"> </v>
      </c>
      <c r="N504" s="100" t="str">
        <f>IFERROR(VLOOKUP(Tablo516[[#This Row],[ÜRÜN KODU]],YMKODLARI!$A$1:$K$383,8,0)," ")</f>
        <v xml:space="preserve"> </v>
      </c>
      <c r="O504" s="100" t="str">
        <f>IFERROR(VLOOKUP(Tablo516[[#This Row],[HAMMADDE KODU]],Tablo1[#All],3,0)," ")</f>
        <v xml:space="preserve"> </v>
      </c>
      <c r="P504" s="100" t="str">
        <f>IFERROR(VLOOKUP(Tablo516[[#This Row],[HAMMADDE KODU]],Tablo1[#All],4,0)," ")</f>
        <v xml:space="preserve"> </v>
      </c>
      <c r="Q504" s="100" t="str">
        <f>IFERROR(VLOOKUP(Tablo516[[#This Row],[ÜRÜN KODU]],YMKODLARI!$A$1:$K$383,5,0)," ")</f>
        <v xml:space="preserve"> </v>
      </c>
      <c r="R504" s="100" t="str">
        <f>IFERROR(VLOOKUP(Tablo516[[#This Row],[ÜRÜN KODU]],YMKODLARI!$A$1:$K$383,6,0)," ")</f>
        <v xml:space="preserve"> </v>
      </c>
      <c r="S504" s="100" t="str">
        <f>IFERROR(Tablo516[[#This Row],[YOLLUK HARİÇ BASKI GRAMI]]/Tablo516[[#This Row],[KALIP GÖZ ADEDİ]]," ")</f>
        <v xml:space="preserve"> </v>
      </c>
      <c r="T504" s="100" t="str">
        <f t="shared" si="51"/>
        <v xml:space="preserve"> </v>
      </c>
      <c r="U504" s="100"/>
      <c r="V504" s="100" t="str">
        <f t="shared" si="50"/>
        <v xml:space="preserve"> </v>
      </c>
      <c r="W504" s="101">
        <f t="shared" si="52"/>
        <v>24</v>
      </c>
      <c r="X504" s="102">
        <f t="shared" si="53"/>
        <v>0</v>
      </c>
      <c r="Y504" s="100" t="str">
        <f t="shared" si="54"/>
        <v xml:space="preserve"> </v>
      </c>
      <c r="Z504" s="100" t="str">
        <f t="shared" si="55"/>
        <v xml:space="preserve"> </v>
      </c>
    </row>
    <row r="505" spans="1:26">
      <c r="A505" s="100"/>
      <c r="B505" s="108" t="str">
        <f>IFERROR(VLOOKUP(Tablo516[[#This Row],[ÜRÜN KODU]],YMKODLARI!$A$1:$K$383,2,0)," ")</f>
        <v xml:space="preserve"> </v>
      </c>
      <c r="C505" s="99"/>
      <c r="D505" s="100"/>
      <c r="E505" s="101"/>
      <c r="F505" s="101"/>
      <c r="G505" s="100" t="str">
        <f>IFERROR(VLOOKUP(Tablo516[[#This Row],[ÜRÜN KODU]],YMKODLARI!$A$1:$K$383,3,0)," ")</f>
        <v xml:space="preserve"> </v>
      </c>
      <c r="H505" s="100" t="str">
        <f>IFERROR(VLOOKUP(Tablo516[[#This Row],[ÜRÜN KODU]],YMKODLARI!$A$1:$K$383,4,0)," ")</f>
        <v xml:space="preserve"> </v>
      </c>
      <c r="I505" s="100"/>
      <c r="J505" s="100" t="str">
        <f>IFERROR(VLOOKUP(Tablo516[[#This Row],[ÜRÜN KODU]],YMKODLARI!$A$1:$K$383,9,0)," ")</f>
        <v xml:space="preserve"> </v>
      </c>
      <c r="K505" s="100" t="str">
        <f>IFERROR(VLOOKUP(Tablo516[[#This Row],[BOYA KODU]],Tablo14[#All],4,0)," ")</f>
        <v xml:space="preserve"> </v>
      </c>
      <c r="L505" s="100" t="str">
        <f>IFERROR(VLOOKUP(Tablo516[[#This Row],[BOYA KODU]],Tablo14[#All],6,0)," ")</f>
        <v xml:space="preserve"> </v>
      </c>
      <c r="M505" s="100" t="str">
        <f t="shared" si="49"/>
        <v xml:space="preserve"> </v>
      </c>
      <c r="N505" s="100" t="str">
        <f>IFERROR(VLOOKUP(Tablo516[[#This Row],[ÜRÜN KODU]],YMKODLARI!$A$1:$K$383,8,0)," ")</f>
        <v xml:space="preserve"> </v>
      </c>
      <c r="O505" s="100" t="str">
        <f>IFERROR(VLOOKUP(Tablo516[[#This Row],[HAMMADDE KODU]],Tablo1[#All],3,0)," ")</f>
        <v xml:space="preserve"> </v>
      </c>
      <c r="P505" s="100" t="str">
        <f>IFERROR(VLOOKUP(Tablo516[[#This Row],[HAMMADDE KODU]],Tablo1[#All],4,0)," ")</f>
        <v xml:space="preserve"> </v>
      </c>
      <c r="Q505" s="100" t="str">
        <f>IFERROR(VLOOKUP(Tablo516[[#This Row],[ÜRÜN KODU]],YMKODLARI!$A$1:$K$383,5,0)," ")</f>
        <v xml:space="preserve"> </v>
      </c>
      <c r="R505" s="100" t="str">
        <f>IFERROR(VLOOKUP(Tablo516[[#This Row],[ÜRÜN KODU]],YMKODLARI!$A$1:$K$383,6,0)," ")</f>
        <v xml:space="preserve"> </v>
      </c>
      <c r="S505" s="100" t="str">
        <f>IFERROR(Tablo516[[#This Row],[YOLLUK HARİÇ BASKI GRAMI]]/Tablo516[[#This Row],[KALIP GÖZ ADEDİ]]," ")</f>
        <v xml:space="preserve"> </v>
      </c>
      <c r="T505" s="100" t="str">
        <f t="shared" si="51"/>
        <v xml:space="preserve"> </v>
      </c>
      <c r="U505" s="100"/>
      <c r="V505" s="100" t="str">
        <f t="shared" si="50"/>
        <v xml:space="preserve"> </v>
      </c>
      <c r="W505" s="101">
        <f t="shared" si="52"/>
        <v>24</v>
      </c>
      <c r="X505" s="102">
        <f t="shared" si="53"/>
        <v>0</v>
      </c>
      <c r="Y505" s="100" t="str">
        <f t="shared" si="54"/>
        <v xml:space="preserve"> </v>
      </c>
      <c r="Z505" s="100" t="str">
        <f t="shared" si="55"/>
        <v xml:space="preserve"> </v>
      </c>
    </row>
    <row r="506" spans="1:26">
      <c r="A506" s="100"/>
      <c r="B506" s="108" t="str">
        <f>IFERROR(VLOOKUP(Tablo516[[#This Row],[ÜRÜN KODU]],YMKODLARI!$A$1:$K$383,2,0)," ")</f>
        <v xml:space="preserve"> </v>
      </c>
      <c r="C506" s="99"/>
      <c r="D506" s="100"/>
      <c r="E506" s="101"/>
      <c r="F506" s="101"/>
      <c r="G506" s="100" t="str">
        <f>IFERROR(VLOOKUP(Tablo516[[#This Row],[ÜRÜN KODU]],YMKODLARI!$A$1:$K$383,3,0)," ")</f>
        <v xml:space="preserve"> </v>
      </c>
      <c r="H506" s="100" t="str">
        <f>IFERROR(VLOOKUP(Tablo516[[#This Row],[ÜRÜN KODU]],YMKODLARI!$A$1:$K$383,4,0)," ")</f>
        <v xml:space="preserve"> </v>
      </c>
      <c r="I506" s="100"/>
      <c r="J506" s="100" t="str">
        <f>IFERROR(VLOOKUP(Tablo516[[#This Row],[ÜRÜN KODU]],YMKODLARI!$A$1:$K$383,9,0)," ")</f>
        <v xml:space="preserve"> </v>
      </c>
      <c r="K506" s="100" t="str">
        <f>IFERROR(VLOOKUP(Tablo516[[#This Row],[BOYA KODU]],Tablo14[#All],4,0)," ")</f>
        <v xml:space="preserve"> </v>
      </c>
      <c r="L506" s="100" t="str">
        <f>IFERROR(VLOOKUP(Tablo516[[#This Row],[BOYA KODU]],Tablo14[#All],6,0)," ")</f>
        <v xml:space="preserve"> </v>
      </c>
      <c r="M506" s="100" t="str">
        <f t="shared" si="49"/>
        <v xml:space="preserve"> </v>
      </c>
      <c r="N506" s="100" t="str">
        <f>IFERROR(VLOOKUP(Tablo516[[#This Row],[ÜRÜN KODU]],YMKODLARI!$A$1:$K$383,8,0)," ")</f>
        <v xml:space="preserve"> </v>
      </c>
      <c r="O506" s="100" t="str">
        <f>IFERROR(VLOOKUP(Tablo516[[#This Row],[HAMMADDE KODU]],Tablo1[#All],3,0)," ")</f>
        <v xml:space="preserve"> </v>
      </c>
      <c r="P506" s="100" t="str">
        <f>IFERROR(VLOOKUP(Tablo516[[#This Row],[HAMMADDE KODU]],Tablo1[#All],4,0)," ")</f>
        <v xml:space="preserve"> </v>
      </c>
      <c r="Q506" s="100" t="str">
        <f>IFERROR(VLOOKUP(Tablo516[[#This Row],[ÜRÜN KODU]],YMKODLARI!$A$1:$K$383,5,0)," ")</f>
        <v xml:space="preserve"> </v>
      </c>
      <c r="R506" s="100" t="str">
        <f>IFERROR(VLOOKUP(Tablo516[[#This Row],[ÜRÜN KODU]],YMKODLARI!$A$1:$K$383,6,0)," ")</f>
        <v xml:space="preserve"> </v>
      </c>
      <c r="S506" s="100" t="str">
        <f>IFERROR(Tablo516[[#This Row],[YOLLUK HARİÇ BASKI GRAMI]]/Tablo516[[#This Row],[KALIP GÖZ ADEDİ]]," ")</f>
        <v xml:space="preserve"> </v>
      </c>
      <c r="T506" s="100" t="str">
        <f t="shared" si="51"/>
        <v xml:space="preserve"> </v>
      </c>
      <c r="U506" s="100"/>
      <c r="V506" s="100" t="str">
        <f t="shared" si="50"/>
        <v xml:space="preserve"> </v>
      </c>
      <c r="W506" s="101">
        <f t="shared" si="52"/>
        <v>24</v>
      </c>
      <c r="X506" s="102">
        <f t="shared" si="53"/>
        <v>0</v>
      </c>
      <c r="Y506" s="100" t="str">
        <f t="shared" si="54"/>
        <v xml:space="preserve"> </v>
      </c>
      <c r="Z506" s="100" t="str">
        <f t="shared" si="55"/>
        <v xml:space="preserve"> </v>
      </c>
    </row>
    <row r="507" spans="1:26">
      <c r="A507" s="100"/>
      <c r="B507" s="108" t="str">
        <f>IFERROR(VLOOKUP(Tablo516[[#This Row],[ÜRÜN KODU]],YMKODLARI!$A$1:$K$383,2,0)," ")</f>
        <v xml:space="preserve"> </v>
      </c>
      <c r="C507" s="99"/>
      <c r="D507" s="100"/>
      <c r="E507" s="101"/>
      <c r="F507" s="101"/>
      <c r="G507" s="100" t="str">
        <f>IFERROR(VLOOKUP(Tablo516[[#This Row],[ÜRÜN KODU]],YMKODLARI!$A$1:$K$383,3,0)," ")</f>
        <v xml:space="preserve"> </v>
      </c>
      <c r="H507" s="100" t="str">
        <f>IFERROR(VLOOKUP(Tablo516[[#This Row],[ÜRÜN KODU]],YMKODLARI!$A$1:$K$383,4,0)," ")</f>
        <v xml:space="preserve"> </v>
      </c>
      <c r="I507" s="100"/>
      <c r="J507" s="100" t="str">
        <f>IFERROR(VLOOKUP(Tablo516[[#This Row],[ÜRÜN KODU]],YMKODLARI!$A$1:$K$383,9,0)," ")</f>
        <v xml:space="preserve"> </v>
      </c>
      <c r="K507" s="100" t="str">
        <f>IFERROR(VLOOKUP(Tablo516[[#This Row],[BOYA KODU]],Tablo14[#All],4,0)," ")</f>
        <v xml:space="preserve"> </v>
      </c>
      <c r="L507" s="100" t="str">
        <f>IFERROR(VLOOKUP(Tablo516[[#This Row],[BOYA KODU]],Tablo14[#All],6,0)," ")</f>
        <v xml:space="preserve"> </v>
      </c>
      <c r="M507" s="100" t="str">
        <f t="shared" si="49"/>
        <v xml:space="preserve"> </v>
      </c>
      <c r="N507" s="100" t="str">
        <f>IFERROR(VLOOKUP(Tablo516[[#This Row],[ÜRÜN KODU]],YMKODLARI!$A$1:$K$383,8,0)," ")</f>
        <v xml:space="preserve"> </v>
      </c>
      <c r="O507" s="100" t="str">
        <f>IFERROR(VLOOKUP(Tablo516[[#This Row],[HAMMADDE KODU]],Tablo1[#All],3,0)," ")</f>
        <v xml:space="preserve"> </v>
      </c>
      <c r="P507" s="100" t="str">
        <f>IFERROR(VLOOKUP(Tablo516[[#This Row],[HAMMADDE KODU]],Tablo1[#All],4,0)," ")</f>
        <v xml:space="preserve"> </v>
      </c>
      <c r="Q507" s="100" t="str">
        <f>IFERROR(VLOOKUP(Tablo516[[#This Row],[ÜRÜN KODU]],YMKODLARI!$A$1:$K$383,5,0)," ")</f>
        <v xml:space="preserve"> </v>
      </c>
      <c r="R507" s="100" t="str">
        <f>IFERROR(VLOOKUP(Tablo516[[#This Row],[ÜRÜN KODU]],YMKODLARI!$A$1:$K$383,6,0)," ")</f>
        <v xml:space="preserve"> </v>
      </c>
      <c r="S507" s="100" t="str">
        <f>IFERROR(Tablo516[[#This Row],[YOLLUK HARİÇ BASKI GRAMI]]/Tablo516[[#This Row],[KALIP GÖZ ADEDİ]]," ")</f>
        <v xml:space="preserve"> </v>
      </c>
      <c r="T507" s="100" t="str">
        <f t="shared" si="51"/>
        <v xml:space="preserve"> </v>
      </c>
      <c r="U507" s="100"/>
      <c r="V507" s="100" t="str">
        <f t="shared" si="50"/>
        <v xml:space="preserve"> </v>
      </c>
      <c r="W507" s="101">
        <f t="shared" si="52"/>
        <v>24</v>
      </c>
      <c r="X507" s="102">
        <f t="shared" si="53"/>
        <v>0</v>
      </c>
      <c r="Y507" s="100" t="str">
        <f t="shared" si="54"/>
        <v xml:space="preserve"> </v>
      </c>
      <c r="Z507" s="100" t="str">
        <f t="shared" si="55"/>
        <v xml:space="preserve"> </v>
      </c>
    </row>
    <row r="508" spans="1:26">
      <c r="A508" s="100"/>
      <c r="B508" s="108" t="str">
        <f>IFERROR(VLOOKUP(Tablo516[[#This Row],[ÜRÜN KODU]],YMKODLARI!$A$1:$K$383,2,0)," ")</f>
        <v xml:space="preserve"> </v>
      </c>
      <c r="C508" s="99"/>
      <c r="D508" s="100"/>
      <c r="E508" s="101"/>
      <c r="F508" s="101"/>
      <c r="G508" s="100" t="str">
        <f>IFERROR(VLOOKUP(Tablo516[[#This Row],[ÜRÜN KODU]],YMKODLARI!$A$1:$K$383,3,0)," ")</f>
        <v xml:space="preserve"> </v>
      </c>
      <c r="H508" s="100" t="str">
        <f>IFERROR(VLOOKUP(Tablo516[[#This Row],[ÜRÜN KODU]],YMKODLARI!$A$1:$K$383,4,0)," ")</f>
        <v xml:space="preserve"> </v>
      </c>
      <c r="I508" s="100"/>
      <c r="J508" s="100" t="str">
        <f>IFERROR(VLOOKUP(Tablo516[[#This Row],[ÜRÜN KODU]],YMKODLARI!$A$1:$K$383,9,0)," ")</f>
        <v xml:space="preserve"> </v>
      </c>
      <c r="K508" s="100" t="str">
        <f>IFERROR(VLOOKUP(Tablo516[[#This Row],[BOYA KODU]],Tablo14[#All],4,0)," ")</f>
        <v xml:space="preserve"> </v>
      </c>
      <c r="L508" s="100" t="str">
        <f>IFERROR(VLOOKUP(Tablo516[[#This Row],[BOYA KODU]],Tablo14[#All],6,0)," ")</f>
        <v xml:space="preserve"> </v>
      </c>
      <c r="M508" s="100" t="str">
        <f t="shared" si="49"/>
        <v xml:space="preserve"> </v>
      </c>
      <c r="N508" s="100" t="str">
        <f>IFERROR(VLOOKUP(Tablo516[[#This Row],[ÜRÜN KODU]],YMKODLARI!$A$1:$K$383,8,0)," ")</f>
        <v xml:space="preserve"> </v>
      </c>
      <c r="O508" s="100" t="str">
        <f>IFERROR(VLOOKUP(Tablo516[[#This Row],[HAMMADDE KODU]],Tablo1[#All],3,0)," ")</f>
        <v xml:space="preserve"> </v>
      </c>
      <c r="P508" s="100" t="str">
        <f>IFERROR(VLOOKUP(Tablo516[[#This Row],[HAMMADDE KODU]],Tablo1[#All],4,0)," ")</f>
        <v xml:space="preserve"> </v>
      </c>
      <c r="Q508" s="100" t="str">
        <f>IFERROR(VLOOKUP(Tablo516[[#This Row],[ÜRÜN KODU]],YMKODLARI!$A$1:$K$383,5,0)," ")</f>
        <v xml:space="preserve"> </v>
      </c>
      <c r="R508" s="100" t="str">
        <f>IFERROR(VLOOKUP(Tablo516[[#This Row],[ÜRÜN KODU]],YMKODLARI!$A$1:$K$383,6,0)," ")</f>
        <v xml:space="preserve"> </v>
      </c>
      <c r="S508" s="100" t="str">
        <f>IFERROR(Tablo516[[#This Row],[YOLLUK HARİÇ BASKI GRAMI]]/Tablo516[[#This Row],[KALIP GÖZ ADEDİ]]," ")</f>
        <v xml:space="preserve"> </v>
      </c>
      <c r="T508" s="100" t="str">
        <f t="shared" si="51"/>
        <v xml:space="preserve"> </v>
      </c>
      <c r="U508" s="100"/>
      <c r="V508" s="100" t="str">
        <f t="shared" si="50"/>
        <v xml:space="preserve"> </v>
      </c>
      <c r="W508" s="101">
        <f t="shared" si="52"/>
        <v>24</v>
      </c>
      <c r="X508" s="102">
        <f t="shared" si="53"/>
        <v>0</v>
      </c>
      <c r="Y508" s="100" t="str">
        <f t="shared" si="54"/>
        <v xml:space="preserve"> </v>
      </c>
      <c r="Z508" s="100" t="str">
        <f t="shared" si="55"/>
        <v xml:space="preserve"> </v>
      </c>
    </row>
    <row r="509" spans="1:26">
      <c r="A509" s="100"/>
      <c r="B509" s="108" t="str">
        <f>IFERROR(VLOOKUP(Tablo516[[#This Row],[ÜRÜN KODU]],YMKODLARI!$A$1:$K$383,2,0)," ")</f>
        <v xml:space="preserve"> </v>
      </c>
      <c r="C509" s="99"/>
      <c r="D509" s="100"/>
      <c r="E509" s="101"/>
      <c r="F509" s="101"/>
      <c r="G509" s="100" t="str">
        <f>IFERROR(VLOOKUP(Tablo516[[#This Row],[ÜRÜN KODU]],YMKODLARI!$A$1:$K$383,3,0)," ")</f>
        <v xml:space="preserve"> </v>
      </c>
      <c r="H509" s="100" t="str">
        <f>IFERROR(VLOOKUP(Tablo516[[#This Row],[ÜRÜN KODU]],YMKODLARI!$A$1:$K$383,4,0)," ")</f>
        <v xml:space="preserve"> </v>
      </c>
      <c r="I509" s="100"/>
      <c r="J509" s="100" t="str">
        <f>IFERROR(VLOOKUP(Tablo516[[#This Row],[ÜRÜN KODU]],YMKODLARI!$A$1:$K$383,9,0)," ")</f>
        <v xml:space="preserve"> </v>
      </c>
      <c r="K509" s="100" t="str">
        <f>IFERROR(VLOOKUP(Tablo516[[#This Row],[BOYA KODU]],Tablo14[#All],4,0)," ")</f>
        <v xml:space="preserve"> </v>
      </c>
      <c r="L509" s="100" t="str">
        <f>IFERROR(VLOOKUP(Tablo516[[#This Row],[BOYA KODU]],Tablo14[#All],6,0)," ")</f>
        <v xml:space="preserve"> </v>
      </c>
      <c r="M509" s="100" t="str">
        <f t="shared" si="49"/>
        <v xml:space="preserve"> </v>
      </c>
      <c r="N509" s="100" t="str">
        <f>IFERROR(VLOOKUP(Tablo516[[#This Row],[ÜRÜN KODU]],YMKODLARI!$A$1:$K$383,8,0)," ")</f>
        <v xml:space="preserve"> </v>
      </c>
      <c r="O509" s="100" t="str">
        <f>IFERROR(VLOOKUP(Tablo516[[#This Row],[HAMMADDE KODU]],Tablo1[#All],3,0)," ")</f>
        <v xml:space="preserve"> </v>
      </c>
      <c r="P509" s="100" t="str">
        <f>IFERROR(VLOOKUP(Tablo516[[#This Row],[HAMMADDE KODU]],Tablo1[#All],4,0)," ")</f>
        <v xml:space="preserve"> </v>
      </c>
      <c r="Q509" s="100" t="str">
        <f>IFERROR(VLOOKUP(Tablo516[[#This Row],[ÜRÜN KODU]],YMKODLARI!$A$1:$K$383,5,0)," ")</f>
        <v xml:space="preserve"> </v>
      </c>
      <c r="R509" s="100" t="str">
        <f>IFERROR(VLOOKUP(Tablo516[[#This Row],[ÜRÜN KODU]],YMKODLARI!$A$1:$K$383,6,0)," ")</f>
        <v xml:space="preserve"> </v>
      </c>
      <c r="S509" s="100" t="str">
        <f>IFERROR(Tablo516[[#This Row],[YOLLUK HARİÇ BASKI GRAMI]]/Tablo516[[#This Row],[KALIP GÖZ ADEDİ]]," ")</f>
        <v xml:space="preserve"> </v>
      </c>
      <c r="T509" s="100" t="str">
        <f t="shared" si="51"/>
        <v xml:space="preserve"> </v>
      </c>
      <c r="U509" s="100"/>
      <c r="V509" s="100" t="str">
        <f t="shared" si="50"/>
        <v xml:space="preserve"> </v>
      </c>
      <c r="W509" s="101">
        <f t="shared" si="52"/>
        <v>24</v>
      </c>
      <c r="X509" s="102">
        <f t="shared" si="53"/>
        <v>0</v>
      </c>
      <c r="Y509" s="100" t="str">
        <f t="shared" si="54"/>
        <v xml:space="preserve"> </v>
      </c>
      <c r="Z509" s="100" t="str">
        <f t="shared" si="55"/>
        <v xml:space="preserve"> </v>
      </c>
    </row>
    <row r="510" spans="1:26">
      <c r="A510" s="100"/>
      <c r="B510" s="108" t="str">
        <f>IFERROR(VLOOKUP(Tablo516[[#This Row],[ÜRÜN KODU]],YMKODLARI!$A$1:$K$383,2,0)," ")</f>
        <v xml:space="preserve"> </v>
      </c>
      <c r="C510" s="99"/>
      <c r="D510" s="100"/>
      <c r="E510" s="101"/>
      <c r="F510" s="101"/>
      <c r="G510" s="100" t="str">
        <f>IFERROR(VLOOKUP(Tablo516[[#This Row],[ÜRÜN KODU]],YMKODLARI!$A$1:$K$383,3,0)," ")</f>
        <v xml:space="preserve"> </v>
      </c>
      <c r="H510" s="100" t="str">
        <f>IFERROR(VLOOKUP(Tablo516[[#This Row],[ÜRÜN KODU]],YMKODLARI!$A$1:$K$383,4,0)," ")</f>
        <v xml:space="preserve"> </v>
      </c>
      <c r="I510" s="100"/>
      <c r="J510" s="100" t="str">
        <f>IFERROR(VLOOKUP(Tablo516[[#This Row],[ÜRÜN KODU]],YMKODLARI!$A$1:$K$383,9,0)," ")</f>
        <v xml:space="preserve"> </v>
      </c>
      <c r="K510" s="100" t="str">
        <f>IFERROR(VLOOKUP(Tablo516[[#This Row],[BOYA KODU]],Tablo14[#All],4,0)," ")</f>
        <v xml:space="preserve"> </v>
      </c>
      <c r="L510" s="100" t="str">
        <f>IFERROR(VLOOKUP(Tablo516[[#This Row],[BOYA KODU]],Tablo14[#All],6,0)," ")</f>
        <v xml:space="preserve"> </v>
      </c>
      <c r="M510" s="100" t="str">
        <f t="shared" si="49"/>
        <v xml:space="preserve"> </v>
      </c>
      <c r="N510" s="100" t="str">
        <f>IFERROR(VLOOKUP(Tablo516[[#This Row],[ÜRÜN KODU]],YMKODLARI!$A$1:$K$383,8,0)," ")</f>
        <v xml:space="preserve"> </v>
      </c>
      <c r="O510" s="100" t="str">
        <f>IFERROR(VLOOKUP(Tablo516[[#This Row],[HAMMADDE KODU]],Tablo1[#All],3,0)," ")</f>
        <v xml:space="preserve"> </v>
      </c>
      <c r="P510" s="100" t="str">
        <f>IFERROR(VLOOKUP(Tablo516[[#This Row],[HAMMADDE KODU]],Tablo1[#All],4,0)," ")</f>
        <v xml:space="preserve"> </v>
      </c>
      <c r="Q510" s="100" t="str">
        <f>IFERROR(VLOOKUP(Tablo516[[#This Row],[ÜRÜN KODU]],YMKODLARI!$A$1:$K$383,5,0)," ")</f>
        <v xml:space="preserve"> </v>
      </c>
      <c r="R510" s="100" t="str">
        <f>IFERROR(VLOOKUP(Tablo516[[#This Row],[ÜRÜN KODU]],YMKODLARI!$A$1:$K$383,6,0)," ")</f>
        <v xml:space="preserve"> </v>
      </c>
      <c r="S510" s="100" t="str">
        <f>IFERROR(Tablo516[[#This Row],[YOLLUK HARİÇ BASKI GRAMI]]/Tablo516[[#This Row],[KALIP GÖZ ADEDİ]]," ")</f>
        <v xml:space="preserve"> </v>
      </c>
      <c r="T510" s="100" t="str">
        <f t="shared" si="51"/>
        <v xml:space="preserve"> </v>
      </c>
      <c r="U510" s="100"/>
      <c r="V510" s="100" t="str">
        <f t="shared" si="50"/>
        <v xml:space="preserve"> </v>
      </c>
      <c r="W510" s="101">
        <f t="shared" si="52"/>
        <v>24</v>
      </c>
      <c r="X510" s="102">
        <f t="shared" si="53"/>
        <v>0</v>
      </c>
      <c r="Y510" s="100" t="str">
        <f t="shared" si="54"/>
        <v xml:space="preserve"> </v>
      </c>
      <c r="Z510" s="100" t="str">
        <f t="shared" si="55"/>
        <v xml:space="preserve"> </v>
      </c>
    </row>
    <row r="511" spans="1:26">
      <c r="A511" s="100"/>
      <c r="B511" s="108" t="str">
        <f>IFERROR(VLOOKUP(Tablo516[[#This Row],[ÜRÜN KODU]],YMKODLARI!$A$1:$K$383,2,0)," ")</f>
        <v xml:space="preserve"> </v>
      </c>
      <c r="C511" s="99"/>
      <c r="D511" s="100"/>
      <c r="E511" s="101"/>
      <c r="F511" s="101"/>
      <c r="G511" s="100" t="str">
        <f>IFERROR(VLOOKUP(Tablo516[[#This Row],[ÜRÜN KODU]],YMKODLARI!$A$1:$K$383,3,0)," ")</f>
        <v xml:space="preserve"> </v>
      </c>
      <c r="H511" s="100" t="str">
        <f>IFERROR(VLOOKUP(Tablo516[[#This Row],[ÜRÜN KODU]],YMKODLARI!$A$1:$K$383,4,0)," ")</f>
        <v xml:space="preserve"> </v>
      </c>
      <c r="I511" s="100"/>
      <c r="J511" s="100" t="str">
        <f>IFERROR(VLOOKUP(Tablo516[[#This Row],[ÜRÜN KODU]],YMKODLARI!$A$1:$K$383,9,0)," ")</f>
        <v xml:space="preserve"> </v>
      </c>
      <c r="K511" s="100" t="str">
        <f>IFERROR(VLOOKUP(Tablo516[[#This Row],[BOYA KODU]],Tablo14[#All],4,0)," ")</f>
        <v xml:space="preserve"> </v>
      </c>
      <c r="L511" s="100" t="str">
        <f>IFERROR(VLOOKUP(Tablo516[[#This Row],[BOYA KODU]],Tablo14[#All],6,0)," ")</f>
        <v xml:space="preserve"> </v>
      </c>
      <c r="M511" s="100" t="str">
        <f t="shared" si="49"/>
        <v xml:space="preserve"> </v>
      </c>
      <c r="N511" s="100" t="str">
        <f>IFERROR(VLOOKUP(Tablo516[[#This Row],[ÜRÜN KODU]],YMKODLARI!$A$1:$K$383,8,0)," ")</f>
        <v xml:space="preserve"> </v>
      </c>
      <c r="O511" s="100" t="str">
        <f>IFERROR(VLOOKUP(Tablo516[[#This Row],[HAMMADDE KODU]],Tablo1[#All],3,0)," ")</f>
        <v xml:space="preserve"> </v>
      </c>
      <c r="P511" s="100" t="str">
        <f>IFERROR(VLOOKUP(Tablo516[[#This Row],[HAMMADDE KODU]],Tablo1[#All],4,0)," ")</f>
        <v xml:space="preserve"> </v>
      </c>
      <c r="Q511" s="100" t="str">
        <f>IFERROR(VLOOKUP(Tablo516[[#This Row],[ÜRÜN KODU]],YMKODLARI!$A$1:$K$383,5,0)," ")</f>
        <v xml:space="preserve"> </v>
      </c>
      <c r="R511" s="100" t="str">
        <f>IFERROR(VLOOKUP(Tablo516[[#This Row],[ÜRÜN KODU]],YMKODLARI!$A$1:$K$383,6,0)," ")</f>
        <v xml:space="preserve"> </v>
      </c>
      <c r="S511" s="100" t="str">
        <f>IFERROR(Tablo516[[#This Row],[YOLLUK HARİÇ BASKI GRAMI]]/Tablo516[[#This Row],[KALIP GÖZ ADEDİ]]," ")</f>
        <v xml:space="preserve"> </v>
      </c>
      <c r="T511" s="100" t="str">
        <f t="shared" si="51"/>
        <v xml:space="preserve"> </v>
      </c>
      <c r="U511" s="100"/>
      <c r="V511" s="100" t="str">
        <f t="shared" si="50"/>
        <v xml:space="preserve"> </v>
      </c>
      <c r="W511" s="101">
        <f t="shared" si="52"/>
        <v>24</v>
      </c>
      <c r="X511" s="102">
        <f t="shared" si="53"/>
        <v>0</v>
      </c>
      <c r="Y511" s="100" t="str">
        <f t="shared" si="54"/>
        <v xml:space="preserve"> </v>
      </c>
      <c r="Z511" s="100" t="str">
        <f t="shared" si="55"/>
        <v xml:space="preserve"> </v>
      </c>
    </row>
    <row r="512" spans="1:26">
      <c r="A512" s="100"/>
      <c r="B512" s="108" t="str">
        <f>IFERROR(VLOOKUP(Tablo516[[#This Row],[ÜRÜN KODU]],YMKODLARI!$A$1:$K$383,2,0)," ")</f>
        <v xml:space="preserve"> </v>
      </c>
      <c r="C512" s="99"/>
      <c r="D512" s="100"/>
      <c r="E512" s="101"/>
      <c r="F512" s="101"/>
      <c r="G512" s="100" t="str">
        <f>IFERROR(VLOOKUP(Tablo516[[#This Row],[ÜRÜN KODU]],YMKODLARI!$A$1:$K$383,3,0)," ")</f>
        <v xml:space="preserve"> </v>
      </c>
      <c r="H512" s="100" t="str">
        <f>IFERROR(VLOOKUP(Tablo516[[#This Row],[ÜRÜN KODU]],YMKODLARI!$A$1:$K$383,4,0)," ")</f>
        <v xml:space="preserve"> </v>
      </c>
      <c r="I512" s="100"/>
      <c r="J512" s="100" t="str">
        <f>IFERROR(VLOOKUP(Tablo516[[#This Row],[ÜRÜN KODU]],YMKODLARI!$A$1:$K$383,9,0)," ")</f>
        <v xml:space="preserve"> </v>
      </c>
      <c r="K512" s="100" t="str">
        <f>IFERROR(VLOOKUP(Tablo516[[#This Row],[BOYA KODU]],Tablo14[#All],4,0)," ")</f>
        <v xml:space="preserve"> </v>
      </c>
      <c r="L512" s="100" t="str">
        <f>IFERROR(VLOOKUP(Tablo516[[#This Row],[BOYA KODU]],Tablo14[#All],6,0)," ")</f>
        <v xml:space="preserve"> </v>
      </c>
      <c r="M512" s="100" t="str">
        <f t="shared" si="49"/>
        <v xml:space="preserve"> </v>
      </c>
      <c r="N512" s="100" t="str">
        <f>IFERROR(VLOOKUP(Tablo516[[#This Row],[ÜRÜN KODU]],YMKODLARI!$A$1:$K$383,8,0)," ")</f>
        <v xml:space="preserve"> </v>
      </c>
      <c r="O512" s="100" t="str">
        <f>IFERROR(VLOOKUP(Tablo516[[#This Row],[HAMMADDE KODU]],Tablo1[#All],3,0)," ")</f>
        <v xml:space="preserve"> </v>
      </c>
      <c r="P512" s="100" t="str">
        <f>IFERROR(VLOOKUP(Tablo516[[#This Row],[HAMMADDE KODU]],Tablo1[#All],4,0)," ")</f>
        <v xml:space="preserve"> </v>
      </c>
      <c r="Q512" s="100" t="str">
        <f>IFERROR(VLOOKUP(Tablo516[[#This Row],[ÜRÜN KODU]],YMKODLARI!$A$1:$K$383,5,0)," ")</f>
        <v xml:space="preserve"> </v>
      </c>
      <c r="R512" s="100" t="str">
        <f>IFERROR(VLOOKUP(Tablo516[[#This Row],[ÜRÜN KODU]],YMKODLARI!$A$1:$K$383,6,0)," ")</f>
        <v xml:space="preserve"> </v>
      </c>
      <c r="S512" s="100" t="str">
        <f>IFERROR(Tablo516[[#This Row],[YOLLUK HARİÇ BASKI GRAMI]]/Tablo516[[#This Row],[KALIP GÖZ ADEDİ]]," ")</f>
        <v xml:space="preserve"> </v>
      </c>
      <c r="T512" s="100" t="str">
        <f t="shared" si="51"/>
        <v xml:space="preserve"> </v>
      </c>
      <c r="U512" s="100"/>
      <c r="V512" s="100" t="str">
        <f t="shared" si="50"/>
        <v xml:space="preserve"> </v>
      </c>
      <c r="W512" s="101">
        <f t="shared" si="52"/>
        <v>24</v>
      </c>
      <c r="X512" s="102">
        <f t="shared" si="53"/>
        <v>0</v>
      </c>
      <c r="Y512" s="100" t="str">
        <f t="shared" si="54"/>
        <v xml:space="preserve"> </v>
      </c>
      <c r="Z512" s="100" t="str">
        <f t="shared" si="55"/>
        <v xml:space="preserve"> </v>
      </c>
    </row>
    <row r="513" spans="1:26">
      <c r="A513" s="100"/>
      <c r="B513" s="108" t="str">
        <f>IFERROR(VLOOKUP(Tablo516[[#This Row],[ÜRÜN KODU]],YMKODLARI!$A$1:$K$383,2,0)," ")</f>
        <v xml:space="preserve"> </v>
      </c>
      <c r="C513" s="99"/>
      <c r="D513" s="100"/>
      <c r="E513" s="101"/>
      <c r="F513" s="101"/>
      <c r="G513" s="100" t="str">
        <f>IFERROR(VLOOKUP(Tablo516[[#This Row],[ÜRÜN KODU]],YMKODLARI!$A$1:$K$383,3,0)," ")</f>
        <v xml:space="preserve"> </v>
      </c>
      <c r="H513" s="100" t="str">
        <f>IFERROR(VLOOKUP(Tablo516[[#This Row],[ÜRÜN KODU]],YMKODLARI!$A$1:$K$383,4,0)," ")</f>
        <v xml:space="preserve"> </v>
      </c>
      <c r="I513" s="100"/>
      <c r="J513" s="100" t="str">
        <f>IFERROR(VLOOKUP(Tablo516[[#This Row],[ÜRÜN KODU]],YMKODLARI!$A$1:$K$383,9,0)," ")</f>
        <v xml:space="preserve"> </v>
      </c>
      <c r="K513" s="100" t="str">
        <f>IFERROR(VLOOKUP(Tablo516[[#This Row],[BOYA KODU]],Tablo14[#All],4,0)," ")</f>
        <v xml:space="preserve"> </v>
      </c>
      <c r="L513" s="100" t="str">
        <f>IFERROR(VLOOKUP(Tablo516[[#This Row],[BOYA KODU]],Tablo14[#All],6,0)," ")</f>
        <v xml:space="preserve"> </v>
      </c>
      <c r="M513" s="100" t="str">
        <f t="shared" si="49"/>
        <v xml:space="preserve"> </v>
      </c>
      <c r="N513" s="100" t="str">
        <f>IFERROR(VLOOKUP(Tablo516[[#This Row],[ÜRÜN KODU]],YMKODLARI!$A$1:$K$383,8,0)," ")</f>
        <v xml:space="preserve"> </v>
      </c>
      <c r="O513" s="100" t="str">
        <f>IFERROR(VLOOKUP(Tablo516[[#This Row],[HAMMADDE KODU]],Tablo1[#All],3,0)," ")</f>
        <v xml:space="preserve"> </v>
      </c>
      <c r="P513" s="100" t="str">
        <f>IFERROR(VLOOKUP(Tablo516[[#This Row],[HAMMADDE KODU]],Tablo1[#All],4,0)," ")</f>
        <v xml:space="preserve"> </v>
      </c>
      <c r="Q513" s="100" t="str">
        <f>IFERROR(VLOOKUP(Tablo516[[#This Row],[ÜRÜN KODU]],YMKODLARI!$A$1:$K$383,5,0)," ")</f>
        <v xml:space="preserve"> </v>
      </c>
      <c r="R513" s="100" t="str">
        <f>IFERROR(VLOOKUP(Tablo516[[#This Row],[ÜRÜN KODU]],YMKODLARI!$A$1:$K$383,6,0)," ")</f>
        <v xml:space="preserve"> </v>
      </c>
      <c r="S513" s="100" t="str">
        <f>IFERROR(Tablo516[[#This Row],[YOLLUK HARİÇ BASKI GRAMI]]/Tablo516[[#This Row],[KALIP GÖZ ADEDİ]]," ")</f>
        <v xml:space="preserve"> </v>
      </c>
      <c r="T513" s="100" t="str">
        <f t="shared" si="51"/>
        <v xml:space="preserve"> </v>
      </c>
      <c r="U513" s="100"/>
      <c r="V513" s="100" t="str">
        <f t="shared" si="50"/>
        <v xml:space="preserve"> </v>
      </c>
      <c r="W513" s="101">
        <f t="shared" si="52"/>
        <v>24</v>
      </c>
      <c r="X513" s="102">
        <f t="shared" si="53"/>
        <v>0</v>
      </c>
      <c r="Y513" s="100" t="str">
        <f t="shared" si="54"/>
        <v xml:space="preserve"> </v>
      </c>
      <c r="Z513" s="100" t="str">
        <f t="shared" si="55"/>
        <v xml:space="preserve"> </v>
      </c>
    </row>
    <row r="514" spans="1:26">
      <c r="A514" s="100"/>
      <c r="B514" s="108" t="str">
        <f>IFERROR(VLOOKUP(Tablo516[[#This Row],[ÜRÜN KODU]],YMKODLARI!$A$1:$K$383,2,0)," ")</f>
        <v xml:space="preserve"> </v>
      </c>
      <c r="C514" s="99"/>
      <c r="D514" s="100"/>
      <c r="E514" s="101"/>
      <c r="F514" s="101"/>
      <c r="G514" s="100" t="str">
        <f>IFERROR(VLOOKUP(Tablo516[[#This Row],[ÜRÜN KODU]],YMKODLARI!$A$1:$K$383,3,0)," ")</f>
        <v xml:space="preserve"> </v>
      </c>
      <c r="H514" s="100" t="str">
        <f>IFERROR(VLOOKUP(Tablo516[[#This Row],[ÜRÜN KODU]],YMKODLARI!$A$1:$K$383,4,0)," ")</f>
        <v xml:space="preserve"> </v>
      </c>
      <c r="I514" s="100"/>
      <c r="J514" s="100" t="str">
        <f>IFERROR(VLOOKUP(Tablo516[[#This Row],[ÜRÜN KODU]],YMKODLARI!$A$1:$K$383,9,0)," ")</f>
        <v xml:space="preserve"> </v>
      </c>
      <c r="K514" s="100" t="str">
        <f>IFERROR(VLOOKUP(Tablo516[[#This Row],[BOYA KODU]],Tablo14[#All],4,0)," ")</f>
        <v xml:space="preserve"> </v>
      </c>
      <c r="L514" s="100" t="str">
        <f>IFERROR(VLOOKUP(Tablo516[[#This Row],[BOYA KODU]],Tablo14[#All],6,0)," ")</f>
        <v xml:space="preserve"> </v>
      </c>
      <c r="M514" s="100" t="str">
        <f t="shared" ref="M514:M571" si="56">IFERROR((I514*Q514)*L514," ")</f>
        <v xml:space="preserve"> </v>
      </c>
      <c r="N514" s="100" t="str">
        <f>IFERROR(VLOOKUP(Tablo516[[#This Row],[ÜRÜN KODU]],YMKODLARI!$A$1:$K$383,8,0)," ")</f>
        <v xml:space="preserve"> </v>
      </c>
      <c r="O514" s="100" t="str">
        <f>IFERROR(VLOOKUP(Tablo516[[#This Row],[HAMMADDE KODU]],Tablo1[#All],3,0)," ")</f>
        <v xml:space="preserve"> </v>
      </c>
      <c r="P514" s="100" t="str">
        <f>IFERROR(VLOOKUP(Tablo516[[#This Row],[HAMMADDE KODU]],Tablo1[#All],4,0)," ")</f>
        <v xml:space="preserve"> </v>
      </c>
      <c r="Q514" s="100" t="str">
        <f>IFERROR(VLOOKUP(Tablo516[[#This Row],[ÜRÜN KODU]],YMKODLARI!$A$1:$K$383,5,0)," ")</f>
        <v xml:space="preserve"> </v>
      </c>
      <c r="R514" s="100" t="str">
        <f>IFERROR(VLOOKUP(Tablo516[[#This Row],[ÜRÜN KODU]],YMKODLARI!$A$1:$K$383,6,0)," ")</f>
        <v xml:space="preserve"> </v>
      </c>
      <c r="S514" s="100" t="str">
        <f>IFERROR(Tablo516[[#This Row],[YOLLUK HARİÇ BASKI GRAMI]]/Tablo516[[#This Row],[KALIP GÖZ ADEDİ]]," ")</f>
        <v xml:space="preserve"> </v>
      </c>
      <c r="T514" s="100" t="str">
        <f t="shared" si="51"/>
        <v xml:space="preserve"> </v>
      </c>
      <c r="U514" s="100"/>
      <c r="V514" s="100" t="str">
        <f t="shared" ref="V514:V571" si="57">IFERROR(U514+(R514*I514) /1000," ")</f>
        <v xml:space="preserve"> </v>
      </c>
      <c r="W514" s="101">
        <f t="shared" si="52"/>
        <v>24</v>
      </c>
      <c r="X514" s="102">
        <f t="shared" si="53"/>
        <v>0</v>
      </c>
      <c r="Y514" s="100" t="str">
        <f t="shared" si="54"/>
        <v xml:space="preserve"> </v>
      </c>
      <c r="Z514" s="100" t="str">
        <f t="shared" si="55"/>
        <v xml:space="preserve"> </v>
      </c>
    </row>
    <row r="515" spans="1:26">
      <c r="A515" s="100"/>
      <c r="B515" s="108" t="str">
        <f>IFERROR(VLOOKUP(Tablo516[[#This Row],[ÜRÜN KODU]],YMKODLARI!$A$1:$K$383,2,0)," ")</f>
        <v xml:space="preserve"> </v>
      </c>
      <c r="C515" s="99"/>
      <c r="D515" s="100"/>
      <c r="E515" s="101"/>
      <c r="F515" s="101"/>
      <c r="G515" s="100" t="str">
        <f>IFERROR(VLOOKUP(Tablo516[[#This Row],[ÜRÜN KODU]],YMKODLARI!$A$1:$K$383,3,0)," ")</f>
        <v xml:space="preserve"> </v>
      </c>
      <c r="H515" s="100" t="str">
        <f>IFERROR(VLOOKUP(Tablo516[[#This Row],[ÜRÜN KODU]],YMKODLARI!$A$1:$K$383,4,0)," ")</f>
        <v xml:space="preserve"> </v>
      </c>
      <c r="I515" s="100"/>
      <c r="J515" s="100" t="str">
        <f>IFERROR(VLOOKUP(Tablo516[[#This Row],[ÜRÜN KODU]],YMKODLARI!$A$1:$K$383,9,0)," ")</f>
        <v xml:space="preserve"> </v>
      </c>
      <c r="K515" s="100" t="str">
        <f>IFERROR(VLOOKUP(Tablo516[[#This Row],[BOYA KODU]],Tablo14[#All],4,0)," ")</f>
        <v xml:space="preserve"> </v>
      </c>
      <c r="L515" s="100" t="str">
        <f>IFERROR(VLOOKUP(Tablo516[[#This Row],[BOYA KODU]],Tablo14[#All],6,0)," ")</f>
        <v xml:space="preserve"> </v>
      </c>
      <c r="M515" s="100" t="str">
        <f t="shared" si="56"/>
        <v xml:space="preserve"> </v>
      </c>
      <c r="N515" s="100" t="str">
        <f>IFERROR(VLOOKUP(Tablo516[[#This Row],[ÜRÜN KODU]],YMKODLARI!$A$1:$K$383,8,0)," ")</f>
        <v xml:space="preserve"> </v>
      </c>
      <c r="O515" s="100" t="str">
        <f>IFERROR(VLOOKUP(Tablo516[[#This Row],[HAMMADDE KODU]],Tablo1[#All],3,0)," ")</f>
        <v xml:space="preserve"> </v>
      </c>
      <c r="P515" s="100" t="str">
        <f>IFERROR(VLOOKUP(Tablo516[[#This Row],[HAMMADDE KODU]],Tablo1[#All],4,0)," ")</f>
        <v xml:space="preserve"> </v>
      </c>
      <c r="Q515" s="100" t="str">
        <f>IFERROR(VLOOKUP(Tablo516[[#This Row],[ÜRÜN KODU]],YMKODLARI!$A$1:$K$383,5,0)," ")</f>
        <v xml:space="preserve"> </v>
      </c>
      <c r="R515" s="100" t="str">
        <f>IFERROR(VLOOKUP(Tablo516[[#This Row],[ÜRÜN KODU]],YMKODLARI!$A$1:$K$383,6,0)," ")</f>
        <v xml:space="preserve"> </v>
      </c>
      <c r="S515" s="100" t="str">
        <f>IFERROR(Tablo516[[#This Row],[YOLLUK HARİÇ BASKI GRAMI]]/Tablo516[[#This Row],[KALIP GÖZ ADEDİ]]," ")</f>
        <v xml:space="preserve"> </v>
      </c>
      <c r="T515" s="100" t="str">
        <f t="shared" ref="T515:T571" si="58">IFERROR(Q515-R515," ")</f>
        <v xml:space="preserve"> </v>
      </c>
      <c r="U515" s="100"/>
      <c r="V515" s="100" t="str">
        <f t="shared" si="57"/>
        <v xml:space="preserve"> </v>
      </c>
      <c r="W515" s="101">
        <f t="shared" ref="W515:W571" si="59">IFERROR(24-(E515-F515)," ")</f>
        <v>24</v>
      </c>
      <c r="X515" s="102">
        <f t="shared" ref="X515:X571" si="60">IFERROR((W515-INT(W515))*24," ")</f>
        <v>0</v>
      </c>
      <c r="Y515" s="100" t="str">
        <f t="shared" ref="Y515:Y571" si="61">IFERROR(H515*I515/3600," ")</f>
        <v xml:space="preserve"> </v>
      </c>
      <c r="Z515" s="100" t="str">
        <f t="shared" ref="Z515:Z571" si="62">IFERROR(I515*G515," " )</f>
        <v xml:space="preserve"> </v>
      </c>
    </row>
    <row r="516" spans="1:26">
      <c r="A516" s="100"/>
      <c r="B516" s="108" t="str">
        <f>IFERROR(VLOOKUP(Tablo516[[#This Row],[ÜRÜN KODU]],YMKODLARI!$A$1:$K$383,2,0)," ")</f>
        <v xml:space="preserve"> </v>
      </c>
      <c r="C516" s="99"/>
      <c r="D516" s="100"/>
      <c r="E516" s="101"/>
      <c r="F516" s="101"/>
      <c r="G516" s="100" t="str">
        <f>IFERROR(VLOOKUP(Tablo516[[#This Row],[ÜRÜN KODU]],YMKODLARI!$A$1:$K$383,3,0)," ")</f>
        <v xml:space="preserve"> </v>
      </c>
      <c r="H516" s="100" t="str">
        <f>IFERROR(VLOOKUP(Tablo516[[#This Row],[ÜRÜN KODU]],YMKODLARI!$A$1:$K$383,4,0)," ")</f>
        <v xml:space="preserve"> </v>
      </c>
      <c r="I516" s="100"/>
      <c r="J516" s="100" t="str">
        <f>IFERROR(VLOOKUP(Tablo516[[#This Row],[ÜRÜN KODU]],YMKODLARI!$A$1:$K$383,9,0)," ")</f>
        <v xml:space="preserve"> </v>
      </c>
      <c r="K516" s="100" t="str">
        <f>IFERROR(VLOOKUP(Tablo516[[#This Row],[BOYA KODU]],Tablo14[#All],4,0)," ")</f>
        <v xml:space="preserve"> </v>
      </c>
      <c r="L516" s="100" t="str">
        <f>IFERROR(VLOOKUP(Tablo516[[#This Row],[BOYA KODU]],Tablo14[#All],6,0)," ")</f>
        <v xml:space="preserve"> </v>
      </c>
      <c r="M516" s="100" t="str">
        <f t="shared" si="56"/>
        <v xml:space="preserve"> </v>
      </c>
      <c r="N516" s="100" t="str">
        <f>IFERROR(VLOOKUP(Tablo516[[#This Row],[ÜRÜN KODU]],YMKODLARI!$A$1:$K$383,8,0)," ")</f>
        <v xml:space="preserve"> </v>
      </c>
      <c r="O516" s="100" t="str">
        <f>IFERROR(VLOOKUP(Tablo516[[#This Row],[HAMMADDE KODU]],Tablo1[#All],3,0)," ")</f>
        <v xml:space="preserve"> </v>
      </c>
      <c r="P516" s="100" t="str">
        <f>IFERROR(VLOOKUP(Tablo516[[#This Row],[HAMMADDE KODU]],Tablo1[#All],4,0)," ")</f>
        <v xml:space="preserve"> </v>
      </c>
      <c r="Q516" s="100" t="str">
        <f>IFERROR(VLOOKUP(Tablo516[[#This Row],[ÜRÜN KODU]],YMKODLARI!$A$1:$K$383,5,0)," ")</f>
        <v xml:space="preserve"> </v>
      </c>
      <c r="R516" s="100" t="str">
        <f>IFERROR(VLOOKUP(Tablo516[[#This Row],[ÜRÜN KODU]],YMKODLARI!$A$1:$K$383,6,0)," ")</f>
        <v xml:space="preserve"> </v>
      </c>
      <c r="S516" s="100" t="str">
        <f>IFERROR(Tablo516[[#This Row],[YOLLUK HARİÇ BASKI GRAMI]]/Tablo516[[#This Row],[KALIP GÖZ ADEDİ]]," ")</f>
        <v xml:space="preserve"> </v>
      </c>
      <c r="T516" s="100" t="str">
        <f t="shared" si="58"/>
        <v xml:space="preserve"> </v>
      </c>
      <c r="U516" s="100"/>
      <c r="V516" s="100" t="str">
        <f t="shared" si="57"/>
        <v xml:space="preserve"> </v>
      </c>
      <c r="W516" s="101">
        <f t="shared" si="59"/>
        <v>24</v>
      </c>
      <c r="X516" s="102">
        <f t="shared" si="60"/>
        <v>0</v>
      </c>
      <c r="Y516" s="100" t="str">
        <f t="shared" si="61"/>
        <v xml:space="preserve"> </v>
      </c>
      <c r="Z516" s="100" t="str">
        <f t="shared" si="62"/>
        <v xml:space="preserve"> </v>
      </c>
    </row>
    <row r="517" spans="1:26">
      <c r="A517" s="100"/>
      <c r="B517" s="108" t="str">
        <f>IFERROR(VLOOKUP(Tablo516[[#This Row],[ÜRÜN KODU]],YMKODLARI!$A$1:$K$383,2,0)," ")</f>
        <v xml:space="preserve"> </v>
      </c>
      <c r="C517" s="99"/>
      <c r="D517" s="100"/>
      <c r="E517" s="101"/>
      <c r="F517" s="101"/>
      <c r="G517" s="100" t="str">
        <f>IFERROR(VLOOKUP(Tablo516[[#This Row],[ÜRÜN KODU]],YMKODLARI!$A$1:$K$383,3,0)," ")</f>
        <v xml:space="preserve"> </v>
      </c>
      <c r="H517" s="100" t="str">
        <f>IFERROR(VLOOKUP(Tablo516[[#This Row],[ÜRÜN KODU]],YMKODLARI!$A$1:$K$383,4,0)," ")</f>
        <v xml:space="preserve"> </v>
      </c>
      <c r="I517" s="100"/>
      <c r="J517" s="100" t="str">
        <f>IFERROR(VLOOKUP(Tablo516[[#This Row],[ÜRÜN KODU]],YMKODLARI!$A$1:$K$383,9,0)," ")</f>
        <v xml:space="preserve"> </v>
      </c>
      <c r="K517" s="100" t="str">
        <f>IFERROR(VLOOKUP(Tablo516[[#This Row],[BOYA KODU]],Tablo14[#All],4,0)," ")</f>
        <v xml:space="preserve"> </v>
      </c>
      <c r="L517" s="100" t="str">
        <f>IFERROR(VLOOKUP(Tablo516[[#This Row],[BOYA KODU]],Tablo14[#All],6,0)," ")</f>
        <v xml:space="preserve"> </v>
      </c>
      <c r="M517" s="100" t="str">
        <f t="shared" si="56"/>
        <v xml:space="preserve"> </v>
      </c>
      <c r="N517" s="100" t="str">
        <f>IFERROR(VLOOKUP(Tablo516[[#This Row],[ÜRÜN KODU]],YMKODLARI!$A$1:$K$383,8,0)," ")</f>
        <v xml:space="preserve"> </v>
      </c>
      <c r="O517" s="100" t="str">
        <f>IFERROR(VLOOKUP(Tablo516[[#This Row],[HAMMADDE KODU]],Tablo1[#All],3,0)," ")</f>
        <v xml:space="preserve"> </v>
      </c>
      <c r="P517" s="100" t="str">
        <f>IFERROR(VLOOKUP(Tablo516[[#This Row],[HAMMADDE KODU]],Tablo1[#All],4,0)," ")</f>
        <v xml:space="preserve"> </v>
      </c>
      <c r="Q517" s="100" t="str">
        <f>IFERROR(VLOOKUP(Tablo516[[#This Row],[ÜRÜN KODU]],YMKODLARI!$A$1:$K$383,5,0)," ")</f>
        <v xml:space="preserve"> </v>
      </c>
      <c r="R517" s="100" t="str">
        <f>IFERROR(VLOOKUP(Tablo516[[#This Row],[ÜRÜN KODU]],YMKODLARI!$A$1:$K$383,6,0)," ")</f>
        <v xml:space="preserve"> </v>
      </c>
      <c r="S517" s="100" t="str">
        <f>IFERROR(Tablo516[[#This Row],[YOLLUK HARİÇ BASKI GRAMI]]/Tablo516[[#This Row],[KALIP GÖZ ADEDİ]]," ")</f>
        <v xml:space="preserve"> </v>
      </c>
      <c r="T517" s="100" t="str">
        <f t="shared" si="58"/>
        <v xml:space="preserve"> </v>
      </c>
      <c r="U517" s="100"/>
      <c r="V517" s="100" t="str">
        <f t="shared" si="57"/>
        <v xml:space="preserve"> </v>
      </c>
      <c r="W517" s="101">
        <f t="shared" si="59"/>
        <v>24</v>
      </c>
      <c r="X517" s="102">
        <f t="shared" si="60"/>
        <v>0</v>
      </c>
      <c r="Y517" s="100" t="str">
        <f t="shared" si="61"/>
        <v xml:space="preserve"> </v>
      </c>
      <c r="Z517" s="100" t="str">
        <f t="shared" si="62"/>
        <v xml:space="preserve"> </v>
      </c>
    </row>
    <row r="518" spans="1:26">
      <c r="A518" s="100"/>
      <c r="B518" s="108" t="str">
        <f>IFERROR(VLOOKUP(Tablo516[[#This Row],[ÜRÜN KODU]],YMKODLARI!$A$1:$K$383,2,0)," ")</f>
        <v xml:space="preserve"> </v>
      </c>
      <c r="C518" s="99"/>
      <c r="D518" s="100"/>
      <c r="E518" s="101"/>
      <c r="F518" s="101"/>
      <c r="G518" s="100" t="str">
        <f>IFERROR(VLOOKUP(Tablo516[[#This Row],[ÜRÜN KODU]],YMKODLARI!$A$1:$K$383,3,0)," ")</f>
        <v xml:space="preserve"> </v>
      </c>
      <c r="H518" s="100" t="str">
        <f>IFERROR(VLOOKUP(Tablo516[[#This Row],[ÜRÜN KODU]],YMKODLARI!$A$1:$K$383,4,0)," ")</f>
        <v xml:space="preserve"> </v>
      </c>
      <c r="I518" s="100"/>
      <c r="J518" s="100" t="str">
        <f>IFERROR(VLOOKUP(Tablo516[[#This Row],[ÜRÜN KODU]],YMKODLARI!$A$1:$K$383,9,0)," ")</f>
        <v xml:space="preserve"> </v>
      </c>
      <c r="K518" s="100" t="str">
        <f>IFERROR(VLOOKUP(Tablo516[[#This Row],[BOYA KODU]],Tablo14[#All],4,0)," ")</f>
        <v xml:space="preserve"> </v>
      </c>
      <c r="L518" s="100" t="str">
        <f>IFERROR(VLOOKUP(Tablo516[[#This Row],[BOYA KODU]],Tablo14[#All],6,0)," ")</f>
        <v xml:space="preserve"> </v>
      </c>
      <c r="M518" s="100" t="str">
        <f t="shared" si="56"/>
        <v xml:space="preserve"> </v>
      </c>
      <c r="N518" s="100" t="str">
        <f>IFERROR(VLOOKUP(Tablo516[[#This Row],[ÜRÜN KODU]],YMKODLARI!$A$1:$K$383,8,0)," ")</f>
        <v xml:space="preserve"> </v>
      </c>
      <c r="O518" s="100" t="str">
        <f>IFERROR(VLOOKUP(Tablo516[[#This Row],[HAMMADDE KODU]],Tablo1[#All],3,0)," ")</f>
        <v xml:space="preserve"> </v>
      </c>
      <c r="P518" s="100" t="str">
        <f>IFERROR(VLOOKUP(Tablo516[[#This Row],[HAMMADDE KODU]],Tablo1[#All],4,0)," ")</f>
        <v xml:space="preserve"> </v>
      </c>
      <c r="Q518" s="100" t="str">
        <f>IFERROR(VLOOKUP(Tablo516[[#This Row],[ÜRÜN KODU]],YMKODLARI!$A$1:$K$383,5,0)," ")</f>
        <v xml:space="preserve"> </v>
      </c>
      <c r="R518" s="100" t="str">
        <f>IFERROR(VLOOKUP(Tablo516[[#This Row],[ÜRÜN KODU]],YMKODLARI!$A$1:$K$383,6,0)," ")</f>
        <v xml:space="preserve"> </v>
      </c>
      <c r="S518" s="100" t="str">
        <f>IFERROR(Tablo516[[#This Row],[YOLLUK HARİÇ BASKI GRAMI]]/Tablo516[[#This Row],[KALIP GÖZ ADEDİ]]," ")</f>
        <v xml:space="preserve"> </v>
      </c>
      <c r="T518" s="100" t="str">
        <f t="shared" si="58"/>
        <v xml:space="preserve"> </v>
      </c>
      <c r="U518" s="100"/>
      <c r="V518" s="100" t="str">
        <f t="shared" si="57"/>
        <v xml:space="preserve"> </v>
      </c>
      <c r="W518" s="101">
        <f t="shared" si="59"/>
        <v>24</v>
      </c>
      <c r="X518" s="102">
        <f t="shared" si="60"/>
        <v>0</v>
      </c>
      <c r="Y518" s="100" t="str">
        <f t="shared" si="61"/>
        <v xml:space="preserve"> </v>
      </c>
      <c r="Z518" s="100" t="str">
        <f t="shared" si="62"/>
        <v xml:space="preserve"> </v>
      </c>
    </row>
    <row r="519" spans="1:26">
      <c r="A519" s="100"/>
      <c r="B519" s="108" t="str">
        <f>IFERROR(VLOOKUP(Tablo516[[#This Row],[ÜRÜN KODU]],YMKODLARI!$A$1:$K$383,2,0)," ")</f>
        <v xml:space="preserve"> </v>
      </c>
      <c r="C519" s="99"/>
      <c r="D519" s="100"/>
      <c r="E519" s="101"/>
      <c r="F519" s="101"/>
      <c r="G519" s="100" t="str">
        <f>IFERROR(VLOOKUP(Tablo516[[#This Row],[ÜRÜN KODU]],YMKODLARI!$A$1:$K$383,3,0)," ")</f>
        <v xml:space="preserve"> </v>
      </c>
      <c r="H519" s="100" t="str">
        <f>IFERROR(VLOOKUP(Tablo516[[#This Row],[ÜRÜN KODU]],YMKODLARI!$A$1:$K$383,4,0)," ")</f>
        <v xml:space="preserve"> </v>
      </c>
      <c r="I519" s="100"/>
      <c r="J519" s="100" t="str">
        <f>IFERROR(VLOOKUP(Tablo516[[#This Row],[ÜRÜN KODU]],YMKODLARI!$A$1:$K$383,9,0)," ")</f>
        <v xml:space="preserve"> </v>
      </c>
      <c r="K519" s="100" t="str">
        <f>IFERROR(VLOOKUP(Tablo516[[#This Row],[BOYA KODU]],Tablo14[#All],4,0)," ")</f>
        <v xml:space="preserve"> </v>
      </c>
      <c r="L519" s="100" t="str">
        <f>IFERROR(VLOOKUP(Tablo516[[#This Row],[BOYA KODU]],Tablo14[#All],6,0)," ")</f>
        <v xml:space="preserve"> </v>
      </c>
      <c r="M519" s="100" t="str">
        <f t="shared" si="56"/>
        <v xml:space="preserve"> </v>
      </c>
      <c r="N519" s="100" t="str">
        <f>IFERROR(VLOOKUP(Tablo516[[#This Row],[ÜRÜN KODU]],YMKODLARI!$A$1:$K$383,8,0)," ")</f>
        <v xml:space="preserve"> </v>
      </c>
      <c r="O519" s="100" t="str">
        <f>IFERROR(VLOOKUP(Tablo516[[#This Row],[HAMMADDE KODU]],Tablo1[#All],3,0)," ")</f>
        <v xml:space="preserve"> </v>
      </c>
      <c r="P519" s="100" t="str">
        <f>IFERROR(VLOOKUP(Tablo516[[#This Row],[HAMMADDE KODU]],Tablo1[#All],4,0)," ")</f>
        <v xml:space="preserve"> </v>
      </c>
      <c r="Q519" s="100" t="str">
        <f>IFERROR(VLOOKUP(Tablo516[[#This Row],[ÜRÜN KODU]],YMKODLARI!$A$1:$K$383,5,0)," ")</f>
        <v xml:space="preserve"> </v>
      </c>
      <c r="R519" s="100" t="str">
        <f>IFERROR(VLOOKUP(Tablo516[[#This Row],[ÜRÜN KODU]],YMKODLARI!$A$1:$K$383,6,0)," ")</f>
        <v xml:space="preserve"> </v>
      </c>
      <c r="S519" s="100" t="str">
        <f>IFERROR(Tablo516[[#This Row],[YOLLUK HARİÇ BASKI GRAMI]]/Tablo516[[#This Row],[KALIP GÖZ ADEDİ]]," ")</f>
        <v xml:space="preserve"> </v>
      </c>
      <c r="T519" s="100" t="str">
        <f t="shared" si="58"/>
        <v xml:space="preserve"> </v>
      </c>
      <c r="U519" s="100"/>
      <c r="V519" s="100" t="str">
        <f t="shared" si="57"/>
        <v xml:space="preserve"> </v>
      </c>
      <c r="W519" s="101">
        <f t="shared" si="59"/>
        <v>24</v>
      </c>
      <c r="X519" s="102">
        <f t="shared" si="60"/>
        <v>0</v>
      </c>
      <c r="Y519" s="100" t="str">
        <f t="shared" si="61"/>
        <v xml:space="preserve"> </v>
      </c>
      <c r="Z519" s="100" t="str">
        <f t="shared" si="62"/>
        <v xml:space="preserve"> </v>
      </c>
    </row>
    <row r="520" spans="1:26">
      <c r="A520" s="100"/>
      <c r="B520" s="108" t="str">
        <f>IFERROR(VLOOKUP(Tablo516[[#This Row],[ÜRÜN KODU]],YMKODLARI!$A$1:$K$383,2,0)," ")</f>
        <v xml:space="preserve"> </v>
      </c>
      <c r="C520" s="99"/>
      <c r="D520" s="100"/>
      <c r="E520" s="101"/>
      <c r="F520" s="101"/>
      <c r="G520" s="100" t="str">
        <f>IFERROR(VLOOKUP(Tablo516[[#This Row],[ÜRÜN KODU]],YMKODLARI!$A$1:$K$383,3,0)," ")</f>
        <v xml:space="preserve"> </v>
      </c>
      <c r="H520" s="100" t="str">
        <f>IFERROR(VLOOKUP(Tablo516[[#This Row],[ÜRÜN KODU]],YMKODLARI!$A$1:$K$383,4,0)," ")</f>
        <v xml:space="preserve"> </v>
      </c>
      <c r="I520" s="100"/>
      <c r="J520" s="100" t="str">
        <f>IFERROR(VLOOKUP(Tablo516[[#This Row],[ÜRÜN KODU]],YMKODLARI!$A$1:$K$383,9,0)," ")</f>
        <v xml:space="preserve"> </v>
      </c>
      <c r="K520" s="100" t="str">
        <f>IFERROR(VLOOKUP(Tablo516[[#This Row],[BOYA KODU]],Tablo14[#All],4,0)," ")</f>
        <v xml:space="preserve"> </v>
      </c>
      <c r="L520" s="100" t="str">
        <f>IFERROR(VLOOKUP(Tablo516[[#This Row],[BOYA KODU]],Tablo14[#All],6,0)," ")</f>
        <v xml:space="preserve"> </v>
      </c>
      <c r="M520" s="100" t="str">
        <f t="shared" si="56"/>
        <v xml:space="preserve"> </v>
      </c>
      <c r="N520" s="100" t="str">
        <f>IFERROR(VLOOKUP(Tablo516[[#This Row],[ÜRÜN KODU]],YMKODLARI!$A$1:$K$383,8,0)," ")</f>
        <v xml:space="preserve"> </v>
      </c>
      <c r="O520" s="100" t="str">
        <f>IFERROR(VLOOKUP(Tablo516[[#This Row],[HAMMADDE KODU]],Tablo1[#All],3,0)," ")</f>
        <v xml:space="preserve"> </v>
      </c>
      <c r="P520" s="100" t="str">
        <f>IFERROR(VLOOKUP(Tablo516[[#This Row],[HAMMADDE KODU]],Tablo1[#All],4,0)," ")</f>
        <v xml:space="preserve"> </v>
      </c>
      <c r="Q520" s="100" t="str">
        <f>IFERROR(VLOOKUP(Tablo516[[#This Row],[ÜRÜN KODU]],YMKODLARI!$A$1:$K$383,5,0)," ")</f>
        <v xml:space="preserve"> </v>
      </c>
      <c r="R520" s="100" t="str">
        <f>IFERROR(VLOOKUP(Tablo516[[#This Row],[ÜRÜN KODU]],YMKODLARI!$A$1:$K$383,6,0)," ")</f>
        <v xml:space="preserve"> </v>
      </c>
      <c r="S520" s="100" t="str">
        <f>IFERROR(Tablo516[[#This Row],[YOLLUK HARİÇ BASKI GRAMI]]/Tablo516[[#This Row],[KALIP GÖZ ADEDİ]]," ")</f>
        <v xml:space="preserve"> </v>
      </c>
      <c r="T520" s="100" t="str">
        <f t="shared" si="58"/>
        <v xml:space="preserve"> </v>
      </c>
      <c r="U520" s="100"/>
      <c r="V520" s="100" t="str">
        <f t="shared" si="57"/>
        <v xml:space="preserve"> </v>
      </c>
      <c r="W520" s="101">
        <f t="shared" si="59"/>
        <v>24</v>
      </c>
      <c r="X520" s="102">
        <f t="shared" si="60"/>
        <v>0</v>
      </c>
      <c r="Y520" s="100" t="str">
        <f t="shared" si="61"/>
        <v xml:space="preserve"> </v>
      </c>
      <c r="Z520" s="100" t="str">
        <f t="shared" si="62"/>
        <v xml:space="preserve"> </v>
      </c>
    </row>
    <row r="521" spans="1:26">
      <c r="A521" s="100"/>
      <c r="B521" s="108" t="str">
        <f>IFERROR(VLOOKUP(Tablo516[[#This Row],[ÜRÜN KODU]],YMKODLARI!$A$1:$K$383,2,0)," ")</f>
        <v xml:space="preserve"> </v>
      </c>
      <c r="C521" s="99"/>
      <c r="D521" s="100"/>
      <c r="E521" s="101"/>
      <c r="F521" s="101"/>
      <c r="G521" s="100" t="str">
        <f>IFERROR(VLOOKUP(Tablo516[[#This Row],[ÜRÜN KODU]],YMKODLARI!$A$1:$K$383,3,0)," ")</f>
        <v xml:space="preserve"> </v>
      </c>
      <c r="H521" s="100" t="str">
        <f>IFERROR(VLOOKUP(Tablo516[[#This Row],[ÜRÜN KODU]],YMKODLARI!$A$1:$K$383,4,0)," ")</f>
        <v xml:space="preserve"> </v>
      </c>
      <c r="I521" s="100"/>
      <c r="J521" s="100" t="str">
        <f>IFERROR(VLOOKUP(Tablo516[[#This Row],[ÜRÜN KODU]],YMKODLARI!$A$1:$K$383,9,0)," ")</f>
        <v xml:space="preserve"> </v>
      </c>
      <c r="K521" s="100" t="str">
        <f>IFERROR(VLOOKUP(Tablo516[[#This Row],[BOYA KODU]],Tablo14[#All],4,0)," ")</f>
        <v xml:space="preserve"> </v>
      </c>
      <c r="L521" s="100" t="str">
        <f>IFERROR(VLOOKUP(Tablo516[[#This Row],[BOYA KODU]],Tablo14[#All],6,0)," ")</f>
        <v xml:space="preserve"> </v>
      </c>
      <c r="M521" s="100" t="str">
        <f t="shared" si="56"/>
        <v xml:space="preserve"> </v>
      </c>
      <c r="N521" s="100" t="str">
        <f>IFERROR(VLOOKUP(Tablo516[[#This Row],[ÜRÜN KODU]],YMKODLARI!$A$1:$K$383,8,0)," ")</f>
        <v xml:space="preserve"> </v>
      </c>
      <c r="O521" s="100" t="str">
        <f>IFERROR(VLOOKUP(Tablo516[[#This Row],[HAMMADDE KODU]],Tablo1[#All],3,0)," ")</f>
        <v xml:space="preserve"> </v>
      </c>
      <c r="P521" s="100" t="str">
        <f>IFERROR(VLOOKUP(Tablo516[[#This Row],[HAMMADDE KODU]],Tablo1[#All],4,0)," ")</f>
        <v xml:space="preserve"> </v>
      </c>
      <c r="Q521" s="100" t="str">
        <f>IFERROR(VLOOKUP(Tablo516[[#This Row],[ÜRÜN KODU]],YMKODLARI!$A$1:$K$383,5,0)," ")</f>
        <v xml:space="preserve"> </v>
      </c>
      <c r="R521" s="100" t="str">
        <f>IFERROR(VLOOKUP(Tablo516[[#This Row],[ÜRÜN KODU]],YMKODLARI!$A$1:$K$383,6,0)," ")</f>
        <v xml:space="preserve"> </v>
      </c>
      <c r="S521" s="100" t="str">
        <f>IFERROR(Tablo516[[#This Row],[YOLLUK HARİÇ BASKI GRAMI]]/Tablo516[[#This Row],[KALIP GÖZ ADEDİ]]," ")</f>
        <v xml:space="preserve"> </v>
      </c>
      <c r="T521" s="100" t="str">
        <f t="shared" si="58"/>
        <v xml:space="preserve"> </v>
      </c>
      <c r="U521" s="100"/>
      <c r="V521" s="100" t="str">
        <f t="shared" si="57"/>
        <v xml:space="preserve"> </v>
      </c>
      <c r="W521" s="101">
        <f t="shared" si="59"/>
        <v>24</v>
      </c>
      <c r="X521" s="102">
        <f t="shared" si="60"/>
        <v>0</v>
      </c>
      <c r="Y521" s="100" t="str">
        <f t="shared" si="61"/>
        <v xml:space="preserve"> </v>
      </c>
      <c r="Z521" s="100" t="str">
        <f t="shared" si="62"/>
        <v xml:space="preserve"> </v>
      </c>
    </row>
    <row r="522" spans="1:26">
      <c r="A522" s="100"/>
      <c r="B522" s="108" t="str">
        <f>IFERROR(VLOOKUP(Tablo516[[#This Row],[ÜRÜN KODU]],YMKODLARI!$A$1:$K$383,2,0)," ")</f>
        <v xml:space="preserve"> </v>
      </c>
      <c r="C522" s="99"/>
      <c r="D522" s="100"/>
      <c r="E522" s="101"/>
      <c r="F522" s="101"/>
      <c r="G522" s="100" t="str">
        <f>IFERROR(VLOOKUP(Tablo516[[#This Row],[ÜRÜN KODU]],YMKODLARI!$A$1:$K$383,3,0)," ")</f>
        <v xml:space="preserve"> </v>
      </c>
      <c r="H522" s="100" t="str">
        <f>IFERROR(VLOOKUP(Tablo516[[#This Row],[ÜRÜN KODU]],YMKODLARI!$A$1:$K$383,4,0)," ")</f>
        <v xml:space="preserve"> </v>
      </c>
      <c r="I522" s="100"/>
      <c r="J522" s="100" t="str">
        <f>IFERROR(VLOOKUP(Tablo516[[#This Row],[ÜRÜN KODU]],YMKODLARI!$A$1:$K$383,9,0)," ")</f>
        <v xml:space="preserve"> </v>
      </c>
      <c r="K522" s="100" t="str">
        <f>IFERROR(VLOOKUP(Tablo516[[#This Row],[BOYA KODU]],Tablo14[#All],4,0)," ")</f>
        <v xml:space="preserve"> </v>
      </c>
      <c r="L522" s="100" t="str">
        <f>IFERROR(VLOOKUP(Tablo516[[#This Row],[BOYA KODU]],Tablo14[#All],6,0)," ")</f>
        <v xml:space="preserve"> </v>
      </c>
      <c r="M522" s="100" t="str">
        <f t="shared" si="56"/>
        <v xml:space="preserve"> </v>
      </c>
      <c r="N522" s="100" t="str">
        <f>IFERROR(VLOOKUP(Tablo516[[#This Row],[ÜRÜN KODU]],YMKODLARI!$A$1:$K$383,8,0)," ")</f>
        <v xml:space="preserve"> </v>
      </c>
      <c r="O522" s="100" t="str">
        <f>IFERROR(VLOOKUP(Tablo516[[#This Row],[HAMMADDE KODU]],Tablo1[#All],3,0)," ")</f>
        <v xml:space="preserve"> </v>
      </c>
      <c r="P522" s="100" t="str">
        <f>IFERROR(VLOOKUP(Tablo516[[#This Row],[HAMMADDE KODU]],Tablo1[#All],4,0)," ")</f>
        <v xml:space="preserve"> </v>
      </c>
      <c r="Q522" s="100" t="str">
        <f>IFERROR(VLOOKUP(Tablo516[[#This Row],[ÜRÜN KODU]],YMKODLARI!$A$1:$K$383,5,0)," ")</f>
        <v xml:space="preserve"> </v>
      </c>
      <c r="R522" s="100" t="str">
        <f>IFERROR(VLOOKUP(Tablo516[[#This Row],[ÜRÜN KODU]],YMKODLARI!$A$1:$K$383,6,0)," ")</f>
        <v xml:space="preserve"> </v>
      </c>
      <c r="S522" s="100" t="str">
        <f>IFERROR(Tablo516[[#This Row],[YOLLUK HARİÇ BASKI GRAMI]]/Tablo516[[#This Row],[KALIP GÖZ ADEDİ]]," ")</f>
        <v xml:space="preserve"> </v>
      </c>
      <c r="T522" s="100" t="str">
        <f t="shared" si="58"/>
        <v xml:space="preserve"> </v>
      </c>
      <c r="U522" s="100"/>
      <c r="V522" s="100" t="str">
        <f t="shared" si="57"/>
        <v xml:space="preserve"> </v>
      </c>
      <c r="W522" s="101">
        <f t="shared" si="59"/>
        <v>24</v>
      </c>
      <c r="X522" s="102">
        <f t="shared" si="60"/>
        <v>0</v>
      </c>
      <c r="Y522" s="100" t="str">
        <f t="shared" si="61"/>
        <v xml:space="preserve"> </v>
      </c>
      <c r="Z522" s="100" t="str">
        <f t="shared" si="62"/>
        <v xml:space="preserve"> </v>
      </c>
    </row>
    <row r="523" spans="1:26">
      <c r="A523" s="100"/>
      <c r="B523" s="108" t="str">
        <f>IFERROR(VLOOKUP(Tablo516[[#This Row],[ÜRÜN KODU]],YMKODLARI!$A$1:$K$383,2,0)," ")</f>
        <v xml:space="preserve"> </v>
      </c>
      <c r="C523" s="99"/>
      <c r="D523" s="100"/>
      <c r="E523" s="101"/>
      <c r="F523" s="101"/>
      <c r="G523" s="100" t="str">
        <f>IFERROR(VLOOKUP(Tablo516[[#This Row],[ÜRÜN KODU]],YMKODLARI!$A$1:$K$383,3,0)," ")</f>
        <v xml:space="preserve"> </v>
      </c>
      <c r="H523" s="100" t="str">
        <f>IFERROR(VLOOKUP(Tablo516[[#This Row],[ÜRÜN KODU]],YMKODLARI!$A$1:$K$383,4,0)," ")</f>
        <v xml:space="preserve"> </v>
      </c>
      <c r="I523" s="100"/>
      <c r="J523" s="100" t="str">
        <f>IFERROR(VLOOKUP(Tablo516[[#This Row],[ÜRÜN KODU]],YMKODLARI!$A$1:$K$383,9,0)," ")</f>
        <v xml:space="preserve"> </v>
      </c>
      <c r="K523" s="100" t="str">
        <f>IFERROR(VLOOKUP(Tablo516[[#This Row],[BOYA KODU]],Tablo14[#All],4,0)," ")</f>
        <v xml:space="preserve"> </v>
      </c>
      <c r="L523" s="100" t="str">
        <f>IFERROR(VLOOKUP(Tablo516[[#This Row],[BOYA KODU]],Tablo14[#All],6,0)," ")</f>
        <v xml:space="preserve"> </v>
      </c>
      <c r="M523" s="100" t="str">
        <f t="shared" si="56"/>
        <v xml:space="preserve"> </v>
      </c>
      <c r="N523" s="100" t="str">
        <f>IFERROR(VLOOKUP(Tablo516[[#This Row],[ÜRÜN KODU]],YMKODLARI!$A$1:$K$383,8,0)," ")</f>
        <v xml:space="preserve"> </v>
      </c>
      <c r="O523" s="100" t="str">
        <f>IFERROR(VLOOKUP(Tablo516[[#This Row],[HAMMADDE KODU]],Tablo1[#All],3,0)," ")</f>
        <v xml:space="preserve"> </v>
      </c>
      <c r="P523" s="100" t="str">
        <f>IFERROR(VLOOKUP(Tablo516[[#This Row],[HAMMADDE KODU]],Tablo1[#All],4,0)," ")</f>
        <v xml:space="preserve"> </v>
      </c>
      <c r="Q523" s="100" t="str">
        <f>IFERROR(VLOOKUP(Tablo516[[#This Row],[ÜRÜN KODU]],YMKODLARI!$A$1:$K$383,5,0)," ")</f>
        <v xml:space="preserve"> </v>
      </c>
      <c r="R523" s="100" t="str">
        <f>IFERROR(VLOOKUP(Tablo516[[#This Row],[ÜRÜN KODU]],YMKODLARI!$A$1:$K$383,6,0)," ")</f>
        <v xml:space="preserve"> </v>
      </c>
      <c r="S523" s="100" t="str">
        <f>IFERROR(Tablo516[[#This Row],[YOLLUK HARİÇ BASKI GRAMI]]/Tablo516[[#This Row],[KALIP GÖZ ADEDİ]]," ")</f>
        <v xml:space="preserve"> </v>
      </c>
      <c r="T523" s="100" t="str">
        <f t="shared" si="58"/>
        <v xml:space="preserve"> </v>
      </c>
      <c r="U523" s="100"/>
      <c r="V523" s="100" t="str">
        <f t="shared" si="57"/>
        <v xml:space="preserve"> </v>
      </c>
      <c r="W523" s="101">
        <f t="shared" si="59"/>
        <v>24</v>
      </c>
      <c r="X523" s="102">
        <f t="shared" si="60"/>
        <v>0</v>
      </c>
      <c r="Y523" s="100" t="str">
        <f t="shared" si="61"/>
        <v xml:space="preserve"> </v>
      </c>
      <c r="Z523" s="100" t="str">
        <f t="shared" si="62"/>
        <v xml:space="preserve"> </v>
      </c>
    </row>
    <row r="524" spans="1:26">
      <c r="A524" s="100"/>
      <c r="B524" s="108" t="str">
        <f>IFERROR(VLOOKUP(Tablo516[[#This Row],[ÜRÜN KODU]],YMKODLARI!$A$1:$K$383,2,0)," ")</f>
        <v xml:space="preserve"> </v>
      </c>
      <c r="C524" s="99"/>
      <c r="D524" s="100"/>
      <c r="E524" s="101"/>
      <c r="F524" s="101"/>
      <c r="G524" s="100" t="str">
        <f>IFERROR(VLOOKUP(Tablo516[[#This Row],[ÜRÜN KODU]],YMKODLARI!$A$1:$K$383,3,0)," ")</f>
        <v xml:space="preserve"> </v>
      </c>
      <c r="H524" s="100" t="str">
        <f>IFERROR(VLOOKUP(Tablo516[[#This Row],[ÜRÜN KODU]],YMKODLARI!$A$1:$K$383,4,0)," ")</f>
        <v xml:space="preserve"> </v>
      </c>
      <c r="I524" s="100"/>
      <c r="J524" s="100" t="str">
        <f>IFERROR(VLOOKUP(Tablo516[[#This Row],[ÜRÜN KODU]],YMKODLARI!$A$1:$K$383,9,0)," ")</f>
        <v xml:space="preserve"> </v>
      </c>
      <c r="K524" s="100" t="str">
        <f>IFERROR(VLOOKUP(Tablo516[[#This Row],[BOYA KODU]],Tablo14[#All],4,0)," ")</f>
        <v xml:space="preserve"> </v>
      </c>
      <c r="L524" s="100" t="str">
        <f>IFERROR(VLOOKUP(Tablo516[[#This Row],[BOYA KODU]],Tablo14[#All],6,0)," ")</f>
        <v xml:space="preserve"> </v>
      </c>
      <c r="M524" s="100" t="str">
        <f t="shared" si="56"/>
        <v xml:space="preserve"> </v>
      </c>
      <c r="N524" s="100" t="str">
        <f>IFERROR(VLOOKUP(Tablo516[[#This Row],[ÜRÜN KODU]],YMKODLARI!$A$1:$K$383,8,0)," ")</f>
        <v xml:space="preserve"> </v>
      </c>
      <c r="O524" s="100" t="str">
        <f>IFERROR(VLOOKUP(Tablo516[[#This Row],[HAMMADDE KODU]],Tablo1[#All],3,0)," ")</f>
        <v xml:space="preserve"> </v>
      </c>
      <c r="P524" s="100" t="str">
        <f>IFERROR(VLOOKUP(Tablo516[[#This Row],[HAMMADDE KODU]],Tablo1[#All],4,0)," ")</f>
        <v xml:space="preserve"> </v>
      </c>
      <c r="Q524" s="100" t="str">
        <f>IFERROR(VLOOKUP(Tablo516[[#This Row],[ÜRÜN KODU]],YMKODLARI!$A$1:$K$383,5,0)," ")</f>
        <v xml:space="preserve"> </v>
      </c>
      <c r="R524" s="100" t="str">
        <f>IFERROR(VLOOKUP(Tablo516[[#This Row],[ÜRÜN KODU]],YMKODLARI!$A$1:$K$383,6,0)," ")</f>
        <v xml:space="preserve"> </v>
      </c>
      <c r="S524" s="100" t="str">
        <f>IFERROR(Tablo516[[#This Row],[YOLLUK HARİÇ BASKI GRAMI]]/Tablo516[[#This Row],[KALIP GÖZ ADEDİ]]," ")</f>
        <v xml:space="preserve"> </v>
      </c>
      <c r="T524" s="100" t="str">
        <f t="shared" si="58"/>
        <v xml:space="preserve"> </v>
      </c>
      <c r="U524" s="100"/>
      <c r="V524" s="100" t="str">
        <f t="shared" si="57"/>
        <v xml:space="preserve"> </v>
      </c>
      <c r="W524" s="101">
        <f t="shared" si="59"/>
        <v>24</v>
      </c>
      <c r="X524" s="102">
        <f t="shared" si="60"/>
        <v>0</v>
      </c>
      <c r="Y524" s="100" t="str">
        <f t="shared" si="61"/>
        <v xml:space="preserve"> </v>
      </c>
      <c r="Z524" s="100" t="str">
        <f t="shared" si="62"/>
        <v xml:space="preserve"> </v>
      </c>
    </row>
    <row r="525" spans="1:26">
      <c r="A525" s="100"/>
      <c r="B525" s="108" t="str">
        <f>IFERROR(VLOOKUP(Tablo516[[#This Row],[ÜRÜN KODU]],YMKODLARI!$A$1:$K$383,2,0)," ")</f>
        <v xml:space="preserve"> </v>
      </c>
      <c r="C525" s="99"/>
      <c r="D525" s="100"/>
      <c r="E525" s="101"/>
      <c r="F525" s="101"/>
      <c r="G525" s="100" t="str">
        <f>IFERROR(VLOOKUP(Tablo516[[#This Row],[ÜRÜN KODU]],YMKODLARI!$A$1:$K$383,3,0)," ")</f>
        <v xml:space="preserve"> </v>
      </c>
      <c r="H525" s="100" t="str">
        <f>IFERROR(VLOOKUP(Tablo516[[#This Row],[ÜRÜN KODU]],YMKODLARI!$A$1:$K$383,4,0)," ")</f>
        <v xml:space="preserve"> </v>
      </c>
      <c r="I525" s="100"/>
      <c r="J525" s="100" t="str">
        <f>IFERROR(VLOOKUP(Tablo516[[#This Row],[ÜRÜN KODU]],YMKODLARI!$A$1:$K$383,9,0)," ")</f>
        <v xml:space="preserve"> </v>
      </c>
      <c r="K525" s="100" t="str">
        <f>IFERROR(VLOOKUP(Tablo516[[#This Row],[BOYA KODU]],Tablo14[#All],4,0)," ")</f>
        <v xml:space="preserve"> </v>
      </c>
      <c r="L525" s="100" t="str">
        <f>IFERROR(VLOOKUP(Tablo516[[#This Row],[BOYA KODU]],Tablo14[#All],6,0)," ")</f>
        <v xml:space="preserve"> </v>
      </c>
      <c r="M525" s="100" t="str">
        <f t="shared" si="56"/>
        <v xml:space="preserve"> </v>
      </c>
      <c r="N525" s="100" t="str">
        <f>IFERROR(VLOOKUP(Tablo516[[#This Row],[ÜRÜN KODU]],YMKODLARI!$A$1:$K$383,8,0)," ")</f>
        <v xml:space="preserve"> </v>
      </c>
      <c r="O525" s="100" t="str">
        <f>IFERROR(VLOOKUP(Tablo516[[#This Row],[HAMMADDE KODU]],Tablo1[#All],3,0)," ")</f>
        <v xml:space="preserve"> </v>
      </c>
      <c r="P525" s="100" t="str">
        <f>IFERROR(VLOOKUP(Tablo516[[#This Row],[HAMMADDE KODU]],Tablo1[#All],4,0)," ")</f>
        <v xml:space="preserve"> </v>
      </c>
      <c r="Q525" s="100" t="str">
        <f>IFERROR(VLOOKUP(Tablo516[[#This Row],[ÜRÜN KODU]],YMKODLARI!$A$1:$K$383,5,0)," ")</f>
        <v xml:space="preserve"> </v>
      </c>
      <c r="R525" s="100" t="str">
        <f>IFERROR(VLOOKUP(Tablo516[[#This Row],[ÜRÜN KODU]],YMKODLARI!$A$1:$K$383,6,0)," ")</f>
        <v xml:space="preserve"> </v>
      </c>
      <c r="S525" s="100" t="str">
        <f>IFERROR(Tablo516[[#This Row],[YOLLUK HARİÇ BASKI GRAMI]]/Tablo516[[#This Row],[KALIP GÖZ ADEDİ]]," ")</f>
        <v xml:space="preserve"> </v>
      </c>
      <c r="T525" s="100" t="str">
        <f t="shared" si="58"/>
        <v xml:space="preserve"> </v>
      </c>
      <c r="U525" s="100"/>
      <c r="V525" s="100" t="str">
        <f t="shared" si="57"/>
        <v xml:space="preserve"> </v>
      </c>
      <c r="W525" s="101">
        <f t="shared" si="59"/>
        <v>24</v>
      </c>
      <c r="X525" s="102">
        <f t="shared" si="60"/>
        <v>0</v>
      </c>
      <c r="Y525" s="100" t="str">
        <f t="shared" si="61"/>
        <v xml:space="preserve"> </v>
      </c>
      <c r="Z525" s="100" t="str">
        <f t="shared" si="62"/>
        <v xml:space="preserve"> </v>
      </c>
    </row>
    <row r="526" spans="1:26">
      <c r="A526" s="100"/>
      <c r="B526" s="108" t="str">
        <f>IFERROR(VLOOKUP(Tablo516[[#This Row],[ÜRÜN KODU]],YMKODLARI!$A$1:$K$383,2,0)," ")</f>
        <v xml:space="preserve"> </v>
      </c>
      <c r="C526" s="99"/>
      <c r="D526" s="100"/>
      <c r="E526" s="101"/>
      <c r="F526" s="101"/>
      <c r="G526" s="100" t="str">
        <f>IFERROR(VLOOKUP(Tablo516[[#This Row],[ÜRÜN KODU]],YMKODLARI!$A$1:$K$383,3,0)," ")</f>
        <v xml:space="preserve"> </v>
      </c>
      <c r="H526" s="100" t="str">
        <f>IFERROR(VLOOKUP(Tablo516[[#This Row],[ÜRÜN KODU]],YMKODLARI!$A$1:$K$383,4,0)," ")</f>
        <v xml:space="preserve"> </v>
      </c>
      <c r="I526" s="100"/>
      <c r="J526" s="100" t="str">
        <f>IFERROR(VLOOKUP(Tablo516[[#This Row],[ÜRÜN KODU]],YMKODLARI!$A$1:$K$383,9,0)," ")</f>
        <v xml:space="preserve"> </v>
      </c>
      <c r="K526" s="100" t="str">
        <f>IFERROR(VLOOKUP(Tablo516[[#This Row],[BOYA KODU]],Tablo14[#All],4,0)," ")</f>
        <v xml:space="preserve"> </v>
      </c>
      <c r="L526" s="100" t="str">
        <f>IFERROR(VLOOKUP(Tablo516[[#This Row],[BOYA KODU]],Tablo14[#All],6,0)," ")</f>
        <v xml:space="preserve"> </v>
      </c>
      <c r="M526" s="100" t="str">
        <f t="shared" si="56"/>
        <v xml:space="preserve"> </v>
      </c>
      <c r="N526" s="100" t="str">
        <f>IFERROR(VLOOKUP(Tablo516[[#This Row],[ÜRÜN KODU]],YMKODLARI!$A$1:$K$383,8,0)," ")</f>
        <v xml:space="preserve"> </v>
      </c>
      <c r="O526" s="100" t="str">
        <f>IFERROR(VLOOKUP(Tablo516[[#This Row],[HAMMADDE KODU]],Tablo1[#All],3,0)," ")</f>
        <v xml:space="preserve"> </v>
      </c>
      <c r="P526" s="100" t="str">
        <f>IFERROR(VLOOKUP(Tablo516[[#This Row],[HAMMADDE KODU]],Tablo1[#All],4,0)," ")</f>
        <v xml:space="preserve"> </v>
      </c>
      <c r="Q526" s="100" t="str">
        <f>IFERROR(VLOOKUP(Tablo516[[#This Row],[ÜRÜN KODU]],YMKODLARI!$A$1:$K$383,5,0)," ")</f>
        <v xml:space="preserve"> </v>
      </c>
      <c r="R526" s="100" t="str">
        <f>IFERROR(VLOOKUP(Tablo516[[#This Row],[ÜRÜN KODU]],YMKODLARI!$A$1:$K$383,6,0)," ")</f>
        <v xml:space="preserve"> </v>
      </c>
      <c r="S526" s="100" t="str">
        <f>IFERROR(Tablo516[[#This Row],[YOLLUK HARİÇ BASKI GRAMI]]/Tablo516[[#This Row],[KALIP GÖZ ADEDİ]]," ")</f>
        <v xml:space="preserve"> </v>
      </c>
      <c r="T526" s="100" t="str">
        <f t="shared" si="58"/>
        <v xml:space="preserve"> </v>
      </c>
      <c r="U526" s="100"/>
      <c r="V526" s="100" t="str">
        <f t="shared" si="57"/>
        <v xml:space="preserve"> </v>
      </c>
      <c r="W526" s="101">
        <f t="shared" si="59"/>
        <v>24</v>
      </c>
      <c r="X526" s="102">
        <f t="shared" si="60"/>
        <v>0</v>
      </c>
      <c r="Y526" s="100" t="str">
        <f t="shared" si="61"/>
        <v xml:space="preserve"> </v>
      </c>
      <c r="Z526" s="100" t="str">
        <f t="shared" si="62"/>
        <v xml:space="preserve"> </v>
      </c>
    </row>
    <row r="527" spans="1:26">
      <c r="A527" s="100"/>
      <c r="B527" s="108" t="str">
        <f>IFERROR(VLOOKUP(Tablo516[[#This Row],[ÜRÜN KODU]],YMKODLARI!$A$1:$K$383,2,0)," ")</f>
        <v xml:space="preserve"> </v>
      </c>
      <c r="C527" s="99"/>
      <c r="D527" s="100"/>
      <c r="E527" s="101"/>
      <c r="F527" s="101"/>
      <c r="G527" s="100" t="str">
        <f>IFERROR(VLOOKUP(Tablo516[[#This Row],[ÜRÜN KODU]],YMKODLARI!$A$1:$K$383,3,0)," ")</f>
        <v xml:space="preserve"> </v>
      </c>
      <c r="H527" s="100" t="str">
        <f>IFERROR(VLOOKUP(Tablo516[[#This Row],[ÜRÜN KODU]],YMKODLARI!$A$1:$K$383,4,0)," ")</f>
        <v xml:space="preserve"> </v>
      </c>
      <c r="I527" s="100"/>
      <c r="J527" s="100" t="str">
        <f>IFERROR(VLOOKUP(Tablo516[[#This Row],[ÜRÜN KODU]],YMKODLARI!$A$1:$K$383,9,0)," ")</f>
        <v xml:space="preserve"> </v>
      </c>
      <c r="K527" s="100" t="str">
        <f>IFERROR(VLOOKUP(Tablo516[[#This Row],[BOYA KODU]],Tablo14[#All],4,0)," ")</f>
        <v xml:space="preserve"> </v>
      </c>
      <c r="L527" s="100" t="str">
        <f>IFERROR(VLOOKUP(Tablo516[[#This Row],[BOYA KODU]],Tablo14[#All],6,0)," ")</f>
        <v xml:space="preserve"> </v>
      </c>
      <c r="M527" s="100" t="str">
        <f t="shared" si="56"/>
        <v xml:space="preserve"> </v>
      </c>
      <c r="N527" s="100" t="str">
        <f>IFERROR(VLOOKUP(Tablo516[[#This Row],[ÜRÜN KODU]],YMKODLARI!$A$1:$K$383,8,0)," ")</f>
        <v xml:space="preserve"> </v>
      </c>
      <c r="O527" s="100" t="str">
        <f>IFERROR(VLOOKUP(Tablo516[[#This Row],[HAMMADDE KODU]],Tablo1[#All],3,0)," ")</f>
        <v xml:space="preserve"> </v>
      </c>
      <c r="P527" s="100" t="str">
        <f>IFERROR(VLOOKUP(Tablo516[[#This Row],[HAMMADDE KODU]],Tablo1[#All],4,0)," ")</f>
        <v xml:space="preserve"> </v>
      </c>
      <c r="Q527" s="100" t="str">
        <f>IFERROR(VLOOKUP(Tablo516[[#This Row],[ÜRÜN KODU]],YMKODLARI!$A$1:$K$383,5,0)," ")</f>
        <v xml:space="preserve"> </v>
      </c>
      <c r="R527" s="100" t="str">
        <f>IFERROR(VLOOKUP(Tablo516[[#This Row],[ÜRÜN KODU]],YMKODLARI!$A$1:$K$383,6,0)," ")</f>
        <v xml:space="preserve"> </v>
      </c>
      <c r="S527" s="100" t="str">
        <f>IFERROR(Tablo516[[#This Row],[YOLLUK HARİÇ BASKI GRAMI]]/Tablo516[[#This Row],[KALIP GÖZ ADEDİ]]," ")</f>
        <v xml:space="preserve"> </v>
      </c>
      <c r="T527" s="100" t="str">
        <f t="shared" si="58"/>
        <v xml:space="preserve"> </v>
      </c>
      <c r="U527" s="100"/>
      <c r="V527" s="100" t="str">
        <f t="shared" si="57"/>
        <v xml:space="preserve"> </v>
      </c>
      <c r="W527" s="101">
        <f t="shared" si="59"/>
        <v>24</v>
      </c>
      <c r="X527" s="102">
        <f t="shared" si="60"/>
        <v>0</v>
      </c>
      <c r="Y527" s="100" t="str">
        <f t="shared" si="61"/>
        <v xml:space="preserve"> </v>
      </c>
      <c r="Z527" s="100" t="str">
        <f t="shared" si="62"/>
        <v xml:space="preserve"> </v>
      </c>
    </row>
    <row r="528" spans="1:26">
      <c r="A528" s="100"/>
      <c r="B528" s="108" t="str">
        <f>IFERROR(VLOOKUP(Tablo516[[#This Row],[ÜRÜN KODU]],YMKODLARI!$A$1:$K$383,2,0)," ")</f>
        <v xml:space="preserve"> </v>
      </c>
      <c r="C528" s="99"/>
      <c r="D528" s="100"/>
      <c r="E528" s="101"/>
      <c r="F528" s="101"/>
      <c r="G528" s="100" t="str">
        <f>IFERROR(VLOOKUP(Tablo516[[#This Row],[ÜRÜN KODU]],YMKODLARI!$A$1:$K$383,3,0)," ")</f>
        <v xml:space="preserve"> </v>
      </c>
      <c r="H528" s="100" t="str">
        <f>IFERROR(VLOOKUP(Tablo516[[#This Row],[ÜRÜN KODU]],YMKODLARI!$A$1:$K$383,4,0)," ")</f>
        <v xml:space="preserve"> </v>
      </c>
      <c r="I528" s="100"/>
      <c r="J528" s="100" t="str">
        <f>IFERROR(VLOOKUP(Tablo516[[#This Row],[ÜRÜN KODU]],YMKODLARI!$A$1:$K$383,9,0)," ")</f>
        <v xml:space="preserve"> </v>
      </c>
      <c r="K528" s="100" t="str">
        <f>IFERROR(VLOOKUP(Tablo516[[#This Row],[BOYA KODU]],Tablo14[#All],4,0)," ")</f>
        <v xml:space="preserve"> </v>
      </c>
      <c r="L528" s="100" t="str">
        <f>IFERROR(VLOOKUP(Tablo516[[#This Row],[BOYA KODU]],Tablo14[#All],6,0)," ")</f>
        <v xml:space="preserve"> </v>
      </c>
      <c r="M528" s="100" t="str">
        <f t="shared" si="56"/>
        <v xml:space="preserve"> </v>
      </c>
      <c r="N528" s="100" t="str">
        <f>IFERROR(VLOOKUP(Tablo516[[#This Row],[ÜRÜN KODU]],YMKODLARI!$A$1:$K$383,8,0)," ")</f>
        <v xml:space="preserve"> </v>
      </c>
      <c r="O528" s="100" t="str">
        <f>IFERROR(VLOOKUP(Tablo516[[#This Row],[HAMMADDE KODU]],Tablo1[#All],3,0)," ")</f>
        <v xml:space="preserve"> </v>
      </c>
      <c r="P528" s="100" t="str">
        <f>IFERROR(VLOOKUP(Tablo516[[#This Row],[HAMMADDE KODU]],Tablo1[#All],4,0)," ")</f>
        <v xml:space="preserve"> </v>
      </c>
      <c r="Q528" s="100" t="str">
        <f>IFERROR(VLOOKUP(Tablo516[[#This Row],[ÜRÜN KODU]],YMKODLARI!$A$1:$K$383,5,0)," ")</f>
        <v xml:space="preserve"> </v>
      </c>
      <c r="R528" s="100" t="str">
        <f>IFERROR(VLOOKUP(Tablo516[[#This Row],[ÜRÜN KODU]],YMKODLARI!$A$1:$K$383,6,0)," ")</f>
        <v xml:space="preserve"> </v>
      </c>
      <c r="S528" s="100" t="str">
        <f>IFERROR(Tablo516[[#This Row],[YOLLUK HARİÇ BASKI GRAMI]]/Tablo516[[#This Row],[KALIP GÖZ ADEDİ]]," ")</f>
        <v xml:space="preserve"> </v>
      </c>
      <c r="T528" s="100" t="str">
        <f t="shared" si="58"/>
        <v xml:space="preserve"> </v>
      </c>
      <c r="U528" s="100"/>
      <c r="V528" s="100" t="str">
        <f t="shared" si="57"/>
        <v xml:space="preserve"> </v>
      </c>
      <c r="W528" s="101">
        <f t="shared" si="59"/>
        <v>24</v>
      </c>
      <c r="X528" s="102">
        <f t="shared" si="60"/>
        <v>0</v>
      </c>
      <c r="Y528" s="100" t="str">
        <f t="shared" si="61"/>
        <v xml:space="preserve"> </v>
      </c>
      <c r="Z528" s="100" t="str">
        <f t="shared" si="62"/>
        <v xml:space="preserve"> </v>
      </c>
    </row>
    <row r="529" spans="1:26">
      <c r="A529" s="100"/>
      <c r="B529" s="108" t="str">
        <f>IFERROR(VLOOKUP(Tablo516[[#This Row],[ÜRÜN KODU]],YMKODLARI!$A$1:$K$383,2,0)," ")</f>
        <v xml:space="preserve"> </v>
      </c>
      <c r="C529" s="99"/>
      <c r="D529" s="100"/>
      <c r="E529" s="101"/>
      <c r="F529" s="101"/>
      <c r="G529" s="100" t="str">
        <f>IFERROR(VLOOKUP(Tablo516[[#This Row],[ÜRÜN KODU]],YMKODLARI!$A$1:$K$383,3,0)," ")</f>
        <v xml:space="preserve"> </v>
      </c>
      <c r="H529" s="100" t="str">
        <f>IFERROR(VLOOKUP(Tablo516[[#This Row],[ÜRÜN KODU]],YMKODLARI!$A$1:$K$383,4,0)," ")</f>
        <v xml:space="preserve"> </v>
      </c>
      <c r="I529" s="100"/>
      <c r="J529" s="100" t="str">
        <f>IFERROR(VLOOKUP(Tablo516[[#This Row],[ÜRÜN KODU]],YMKODLARI!$A$1:$K$383,9,0)," ")</f>
        <v xml:space="preserve"> </v>
      </c>
      <c r="K529" s="100" t="str">
        <f>IFERROR(VLOOKUP(Tablo516[[#This Row],[BOYA KODU]],Tablo14[#All],4,0)," ")</f>
        <v xml:space="preserve"> </v>
      </c>
      <c r="L529" s="100" t="str">
        <f>IFERROR(VLOOKUP(Tablo516[[#This Row],[BOYA KODU]],Tablo14[#All],6,0)," ")</f>
        <v xml:space="preserve"> </v>
      </c>
      <c r="M529" s="100" t="str">
        <f t="shared" si="56"/>
        <v xml:space="preserve"> </v>
      </c>
      <c r="N529" s="100" t="str">
        <f>IFERROR(VLOOKUP(Tablo516[[#This Row],[ÜRÜN KODU]],YMKODLARI!$A$1:$K$383,8,0)," ")</f>
        <v xml:space="preserve"> </v>
      </c>
      <c r="O529" s="100" t="str">
        <f>IFERROR(VLOOKUP(Tablo516[[#This Row],[HAMMADDE KODU]],Tablo1[#All],3,0)," ")</f>
        <v xml:space="preserve"> </v>
      </c>
      <c r="P529" s="100" t="str">
        <f>IFERROR(VLOOKUP(Tablo516[[#This Row],[HAMMADDE KODU]],Tablo1[#All],4,0)," ")</f>
        <v xml:space="preserve"> </v>
      </c>
      <c r="Q529" s="100" t="str">
        <f>IFERROR(VLOOKUP(Tablo516[[#This Row],[ÜRÜN KODU]],YMKODLARI!$A$1:$K$383,5,0)," ")</f>
        <v xml:space="preserve"> </v>
      </c>
      <c r="R529" s="100" t="str">
        <f>IFERROR(VLOOKUP(Tablo516[[#This Row],[ÜRÜN KODU]],YMKODLARI!$A$1:$K$383,6,0)," ")</f>
        <v xml:space="preserve"> </v>
      </c>
      <c r="S529" s="100" t="str">
        <f>IFERROR(Tablo516[[#This Row],[YOLLUK HARİÇ BASKI GRAMI]]/Tablo516[[#This Row],[KALIP GÖZ ADEDİ]]," ")</f>
        <v xml:space="preserve"> </v>
      </c>
      <c r="T529" s="100" t="str">
        <f t="shared" si="58"/>
        <v xml:space="preserve"> </v>
      </c>
      <c r="U529" s="100"/>
      <c r="V529" s="100" t="str">
        <f t="shared" si="57"/>
        <v xml:space="preserve"> </v>
      </c>
      <c r="W529" s="101">
        <f t="shared" si="59"/>
        <v>24</v>
      </c>
      <c r="X529" s="102">
        <f t="shared" si="60"/>
        <v>0</v>
      </c>
      <c r="Y529" s="100" t="str">
        <f t="shared" si="61"/>
        <v xml:space="preserve"> </v>
      </c>
      <c r="Z529" s="100" t="str">
        <f t="shared" si="62"/>
        <v xml:space="preserve"> </v>
      </c>
    </row>
    <row r="530" spans="1:26">
      <c r="A530" s="100"/>
      <c r="B530" s="108" t="str">
        <f>IFERROR(VLOOKUP(Tablo516[[#This Row],[ÜRÜN KODU]],YMKODLARI!$A$1:$K$383,2,0)," ")</f>
        <v xml:space="preserve"> </v>
      </c>
      <c r="C530" s="99"/>
      <c r="D530" s="100"/>
      <c r="E530" s="101"/>
      <c r="F530" s="101"/>
      <c r="G530" s="100" t="str">
        <f>IFERROR(VLOOKUP(Tablo516[[#This Row],[ÜRÜN KODU]],YMKODLARI!$A$1:$K$383,3,0)," ")</f>
        <v xml:space="preserve"> </v>
      </c>
      <c r="H530" s="100" t="str">
        <f>IFERROR(VLOOKUP(Tablo516[[#This Row],[ÜRÜN KODU]],YMKODLARI!$A$1:$K$383,4,0)," ")</f>
        <v xml:space="preserve"> </v>
      </c>
      <c r="I530" s="100"/>
      <c r="J530" s="100" t="str">
        <f>IFERROR(VLOOKUP(Tablo516[[#This Row],[ÜRÜN KODU]],YMKODLARI!$A$1:$K$383,9,0)," ")</f>
        <v xml:space="preserve"> </v>
      </c>
      <c r="K530" s="100" t="str">
        <f>IFERROR(VLOOKUP(Tablo516[[#This Row],[BOYA KODU]],Tablo14[#All],4,0)," ")</f>
        <v xml:space="preserve"> </v>
      </c>
      <c r="L530" s="100" t="str">
        <f>IFERROR(VLOOKUP(Tablo516[[#This Row],[BOYA KODU]],Tablo14[#All],6,0)," ")</f>
        <v xml:space="preserve"> </v>
      </c>
      <c r="M530" s="100" t="str">
        <f t="shared" si="56"/>
        <v xml:space="preserve"> </v>
      </c>
      <c r="N530" s="100" t="str">
        <f>IFERROR(VLOOKUP(Tablo516[[#This Row],[ÜRÜN KODU]],YMKODLARI!$A$1:$K$383,8,0)," ")</f>
        <v xml:space="preserve"> </v>
      </c>
      <c r="O530" s="100" t="str">
        <f>IFERROR(VLOOKUP(Tablo516[[#This Row],[HAMMADDE KODU]],Tablo1[#All],3,0)," ")</f>
        <v xml:space="preserve"> </v>
      </c>
      <c r="P530" s="100" t="str">
        <f>IFERROR(VLOOKUP(Tablo516[[#This Row],[HAMMADDE KODU]],Tablo1[#All],4,0)," ")</f>
        <v xml:space="preserve"> </v>
      </c>
      <c r="Q530" s="100" t="str">
        <f>IFERROR(VLOOKUP(Tablo516[[#This Row],[ÜRÜN KODU]],YMKODLARI!$A$1:$K$383,5,0)," ")</f>
        <v xml:space="preserve"> </v>
      </c>
      <c r="R530" s="100" t="str">
        <f>IFERROR(VLOOKUP(Tablo516[[#This Row],[ÜRÜN KODU]],YMKODLARI!$A$1:$K$383,6,0)," ")</f>
        <v xml:space="preserve"> </v>
      </c>
      <c r="S530" s="100" t="str">
        <f>IFERROR(Tablo516[[#This Row],[YOLLUK HARİÇ BASKI GRAMI]]/Tablo516[[#This Row],[KALIP GÖZ ADEDİ]]," ")</f>
        <v xml:space="preserve"> </v>
      </c>
      <c r="T530" s="100" t="str">
        <f t="shared" si="58"/>
        <v xml:space="preserve"> </v>
      </c>
      <c r="U530" s="100"/>
      <c r="V530" s="100" t="str">
        <f t="shared" si="57"/>
        <v xml:space="preserve"> </v>
      </c>
      <c r="W530" s="101">
        <f t="shared" si="59"/>
        <v>24</v>
      </c>
      <c r="X530" s="102">
        <f t="shared" si="60"/>
        <v>0</v>
      </c>
      <c r="Y530" s="100" t="str">
        <f t="shared" si="61"/>
        <v xml:space="preserve"> </v>
      </c>
      <c r="Z530" s="100" t="str">
        <f t="shared" si="62"/>
        <v xml:space="preserve"> </v>
      </c>
    </row>
    <row r="531" spans="1:26">
      <c r="A531" s="100"/>
      <c r="B531" s="108" t="str">
        <f>IFERROR(VLOOKUP(Tablo516[[#This Row],[ÜRÜN KODU]],YMKODLARI!$A$1:$K$383,2,0)," ")</f>
        <v xml:space="preserve"> </v>
      </c>
      <c r="C531" s="99"/>
      <c r="D531" s="100"/>
      <c r="E531" s="101"/>
      <c r="F531" s="101"/>
      <c r="G531" s="100" t="str">
        <f>IFERROR(VLOOKUP(Tablo516[[#This Row],[ÜRÜN KODU]],YMKODLARI!$A$1:$K$383,3,0)," ")</f>
        <v xml:space="preserve"> </v>
      </c>
      <c r="H531" s="100" t="str">
        <f>IFERROR(VLOOKUP(Tablo516[[#This Row],[ÜRÜN KODU]],YMKODLARI!$A$1:$K$383,4,0)," ")</f>
        <v xml:space="preserve"> </v>
      </c>
      <c r="I531" s="100"/>
      <c r="J531" s="100" t="str">
        <f>IFERROR(VLOOKUP(Tablo516[[#This Row],[ÜRÜN KODU]],YMKODLARI!$A$1:$K$383,9,0)," ")</f>
        <v xml:space="preserve"> </v>
      </c>
      <c r="K531" s="100" t="str">
        <f>IFERROR(VLOOKUP(Tablo516[[#This Row],[BOYA KODU]],Tablo14[#All],4,0)," ")</f>
        <v xml:space="preserve"> </v>
      </c>
      <c r="L531" s="100" t="str">
        <f>IFERROR(VLOOKUP(Tablo516[[#This Row],[BOYA KODU]],Tablo14[#All],6,0)," ")</f>
        <v xml:space="preserve"> </v>
      </c>
      <c r="M531" s="100" t="str">
        <f t="shared" si="56"/>
        <v xml:space="preserve"> </v>
      </c>
      <c r="N531" s="100" t="str">
        <f>IFERROR(VLOOKUP(Tablo516[[#This Row],[ÜRÜN KODU]],YMKODLARI!$A$1:$K$383,8,0)," ")</f>
        <v xml:space="preserve"> </v>
      </c>
      <c r="O531" s="100" t="str">
        <f>IFERROR(VLOOKUP(Tablo516[[#This Row],[HAMMADDE KODU]],Tablo1[#All],3,0)," ")</f>
        <v xml:space="preserve"> </v>
      </c>
      <c r="P531" s="100" t="str">
        <f>IFERROR(VLOOKUP(Tablo516[[#This Row],[HAMMADDE KODU]],Tablo1[#All],4,0)," ")</f>
        <v xml:space="preserve"> </v>
      </c>
      <c r="Q531" s="100" t="str">
        <f>IFERROR(VLOOKUP(Tablo516[[#This Row],[ÜRÜN KODU]],YMKODLARI!$A$1:$K$383,5,0)," ")</f>
        <v xml:space="preserve"> </v>
      </c>
      <c r="R531" s="100" t="str">
        <f>IFERROR(VLOOKUP(Tablo516[[#This Row],[ÜRÜN KODU]],YMKODLARI!$A$1:$K$383,6,0)," ")</f>
        <v xml:space="preserve"> </v>
      </c>
      <c r="S531" s="100" t="str">
        <f>IFERROR(Tablo516[[#This Row],[YOLLUK HARİÇ BASKI GRAMI]]/Tablo516[[#This Row],[KALIP GÖZ ADEDİ]]," ")</f>
        <v xml:space="preserve"> </v>
      </c>
      <c r="T531" s="100" t="str">
        <f t="shared" si="58"/>
        <v xml:space="preserve"> </v>
      </c>
      <c r="U531" s="100"/>
      <c r="V531" s="100" t="str">
        <f t="shared" si="57"/>
        <v xml:space="preserve"> </v>
      </c>
      <c r="W531" s="101">
        <f t="shared" si="59"/>
        <v>24</v>
      </c>
      <c r="X531" s="102">
        <f t="shared" si="60"/>
        <v>0</v>
      </c>
      <c r="Y531" s="100" t="str">
        <f t="shared" si="61"/>
        <v xml:space="preserve"> </v>
      </c>
      <c r="Z531" s="100" t="str">
        <f t="shared" si="62"/>
        <v xml:space="preserve"> </v>
      </c>
    </row>
    <row r="532" spans="1:26">
      <c r="A532" s="100"/>
      <c r="B532" s="108" t="str">
        <f>IFERROR(VLOOKUP(Tablo516[[#This Row],[ÜRÜN KODU]],YMKODLARI!$A$1:$K$383,2,0)," ")</f>
        <v xml:space="preserve"> </v>
      </c>
      <c r="C532" s="99"/>
      <c r="D532" s="100"/>
      <c r="E532" s="101"/>
      <c r="F532" s="101"/>
      <c r="G532" s="100" t="str">
        <f>IFERROR(VLOOKUP(Tablo516[[#This Row],[ÜRÜN KODU]],YMKODLARI!$A$1:$K$383,3,0)," ")</f>
        <v xml:space="preserve"> </v>
      </c>
      <c r="H532" s="100" t="str">
        <f>IFERROR(VLOOKUP(Tablo516[[#This Row],[ÜRÜN KODU]],YMKODLARI!$A$1:$K$383,4,0)," ")</f>
        <v xml:space="preserve"> </v>
      </c>
      <c r="I532" s="100"/>
      <c r="J532" s="100" t="str">
        <f>IFERROR(VLOOKUP(Tablo516[[#This Row],[ÜRÜN KODU]],YMKODLARI!$A$1:$K$383,9,0)," ")</f>
        <v xml:space="preserve"> </v>
      </c>
      <c r="K532" s="100" t="str">
        <f>IFERROR(VLOOKUP(Tablo516[[#This Row],[BOYA KODU]],Tablo14[#All],4,0)," ")</f>
        <v xml:space="preserve"> </v>
      </c>
      <c r="L532" s="100" t="str">
        <f>IFERROR(VLOOKUP(Tablo516[[#This Row],[BOYA KODU]],Tablo14[#All],6,0)," ")</f>
        <v xml:space="preserve"> </v>
      </c>
      <c r="M532" s="100" t="str">
        <f t="shared" si="56"/>
        <v xml:space="preserve"> </v>
      </c>
      <c r="N532" s="100" t="str">
        <f>IFERROR(VLOOKUP(Tablo516[[#This Row],[ÜRÜN KODU]],YMKODLARI!$A$1:$K$383,8,0)," ")</f>
        <v xml:space="preserve"> </v>
      </c>
      <c r="O532" s="100" t="str">
        <f>IFERROR(VLOOKUP(Tablo516[[#This Row],[HAMMADDE KODU]],Tablo1[#All],3,0)," ")</f>
        <v xml:space="preserve"> </v>
      </c>
      <c r="P532" s="100" t="str">
        <f>IFERROR(VLOOKUP(Tablo516[[#This Row],[HAMMADDE KODU]],Tablo1[#All],4,0)," ")</f>
        <v xml:space="preserve"> </v>
      </c>
      <c r="Q532" s="100" t="str">
        <f>IFERROR(VLOOKUP(Tablo516[[#This Row],[ÜRÜN KODU]],YMKODLARI!$A$1:$K$383,5,0)," ")</f>
        <v xml:space="preserve"> </v>
      </c>
      <c r="R532" s="100" t="str">
        <f>IFERROR(VLOOKUP(Tablo516[[#This Row],[ÜRÜN KODU]],YMKODLARI!$A$1:$K$383,6,0)," ")</f>
        <v xml:space="preserve"> </v>
      </c>
      <c r="S532" s="100" t="str">
        <f>IFERROR(Tablo516[[#This Row],[YOLLUK HARİÇ BASKI GRAMI]]/Tablo516[[#This Row],[KALIP GÖZ ADEDİ]]," ")</f>
        <v xml:space="preserve"> </v>
      </c>
      <c r="T532" s="100" t="str">
        <f t="shared" si="58"/>
        <v xml:space="preserve"> </v>
      </c>
      <c r="U532" s="100"/>
      <c r="V532" s="100" t="str">
        <f t="shared" si="57"/>
        <v xml:space="preserve"> </v>
      </c>
      <c r="W532" s="101">
        <f t="shared" si="59"/>
        <v>24</v>
      </c>
      <c r="X532" s="102">
        <f t="shared" si="60"/>
        <v>0</v>
      </c>
      <c r="Y532" s="100" t="str">
        <f t="shared" si="61"/>
        <v xml:space="preserve"> </v>
      </c>
      <c r="Z532" s="100" t="str">
        <f t="shared" si="62"/>
        <v xml:space="preserve"> </v>
      </c>
    </row>
    <row r="533" spans="1:26">
      <c r="A533" s="100"/>
      <c r="B533" s="108" t="str">
        <f>IFERROR(VLOOKUP(Tablo516[[#This Row],[ÜRÜN KODU]],YMKODLARI!$A$1:$K$383,2,0)," ")</f>
        <v xml:space="preserve"> </v>
      </c>
      <c r="C533" s="99"/>
      <c r="D533" s="100"/>
      <c r="E533" s="101"/>
      <c r="F533" s="101"/>
      <c r="G533" s="100" t="str">
        <f>IFERROR(VLOOKUP(Tablo516[[#This Row],[ÜRÜN KODU]],YMKODLARI!$A$1:$K$383,3,0)," ")</f>
        <v xml:space="preserve"> </v>
      </c>
      <c r="H533" s="100" t="str">
        <f>IFERROR(VLOOKUP(Tablo516[[#This Row],[ÜRÜN KODU]],YMKODLARI!$A$1:$K$383,4,0)," ")</f>
        <v xml:space="preserve"> </v>
      </c>
      <c r="I533" s="100"/>
      <c r="J533" s="100" t="str">
        <f>IFERROR(VLOOKUP(Tablo516[[#This Row],[ÜRÜN KODU]],YMKODLARI!$A$1:$K$383,9,0)," ")</f>
        <v xml:space="preserve"> </v>
      </c>
      <c r="K533" s="100" t="str">
        <f>IFERROR(VLOOKUP(Tablo516[[#This Row],[BOYA KODU]],Tablo14[#All],4,0)," ")</f>
        <v xml:space="preserve"> </v>
      </c>
      <c r="L533" s="100" t="str">
        <f>IFERROR(VLOOKUP(Tablo516[[#This Row],[BOYA KODU]],Tablo14[#All],6,0)," ")</f>
        <v xml:space="preserve"> </v>
      </c>
      <c r="M533" s="100" t="str">
        <f t="shared" si="56"/>
        <v xml:space="preserve"> </v>
      </c>
      <c r="N533" s="100" t="str">
        <f>IFERROR(VLOOKUP(Tablo516[[#This Row],[ÜRÜN KODU]],YMKODLARI!$A$1:$K$383,8,0)," ")</f>
        <v xml:space="preserve"> </v>
      </c>
      <c r="O533" s="100" t="str">
        <f>IFERROR(VLOOKUP(Tablo516[[#This Row],[HAMMADDE KODU]],Tablo1[#All],3,0)," ")</f>
        <v xml:space="preserve"> </v>
      </c>
      <c r="P533" s="100" t="str">
        <f>IFERROR(VLOOKUP(Tablo516[[#This Row],[HAMMADDE KODU]],Tablo1[#All],4,0)," ")</f>
        <v xml:space="preserve"> </v>
      </c>
      <c r="Q533" s="100" t="str">
        <f>IFERROR(VLOOKUP(Tablo516[[#This Row],[ÜRÜN KODU]],YMKODLARI!$A$1:$K$383,5,0)," ")</f>
        <v xml:space="preserve"> </v>
      </c>
      <c r="R533" s="100" t="str">
        <f>IFERROR(VLOOKUP(Tablo516[[#This Row],[ÜRÜN KODU]],YMKODLARI!$A$1:$K$383,6,0)," ")</f>
        <v xml:space="preserve"> </v>
      </c>
      <c r="S533" s="100" t="str">
        <f>IFERROR(Tablo516[[#This Row],[YOLLUK HARİÇ BASKI GRAMI]]/Tablo516[[#This Row],[KALIP GÖZ ADEDİ]]," ")</f>
        <v xml:space="preserve"> </v>
      </c>
      <c r="T533" s="100" t="str">
        <f t="shared" si="58"/>
        <v xml:space="preserve"> </v>
      </c>
      <c r="U533" s="100"/>
      <c r="V533" s="100" t="str">
        <f t="shared" si="57"/>
        <v xml:space="preserve"> </v>
      </c>
      <c r="W533" s="101">
        <f t="shared" si="59"/>
        <v>24</v>
      </c>
      <c r="X533" s="102">
        <f t="shared" si="60"/>
        <v>0</v>
      </c>
      <c r="Y533" s="100" t="str">
        <f t="shared" si="61"/>
        <v xml:space="preserve"> </v>
      </c>
      <c r="Z533" s="100" t="str">
        <f t="shared" si="62"/>
        <v xml:space="preserve"> </v>
      </c>
    </row>
    <row r="534" spans="1:26">
      <c r="A534" s="100"/>
      <c r="B534" s="108" t="str">
        <f>IFERROR(VLOOKUP(Tablo516[[#This Row],[ÜRÜN KODU]],YMKODLARI!$A$1:$K$383,2,0)," ")</f>
        <v xml:space="preserve"> </v>
      </c>
      <c r="C534" s="99"/>
      <c r="D534" s="100"/>
      <c r="E534" s="101"/>
      <c r="F534" s="101"/>
      <c r="G534" s="100" t="str">
        <f>IFERROR(VLOOKUP(Tablo516[[#This Row],[ÜRÜN KODU]],YMKODLARI!$A$1:$K$383,3,0)," ")</f>
        <v xml:space="preserve"> </v>
      </c>
      <c r="H534" s="100" t="str">
        <f>IFERROR(VLOOKUP(Tablo516[[#This Row],[ÜRÜN KODU]],YMKODLARI!$A$1:$K$383,4,0)," ")</f>
        <v xml:space="preserve"> </v>
      </c>
      <c r="I534" s="100"/>
      <c r="J534" s="100" t="str">
        <f>IFERROR(VLOOKUP(Tablo516[[#This Row],[ÜRÜN KODU]],YMKODLARI!$A$1:$K$383,9,0)," ")</f>
        <v xml:space="preserve"> </v>
      </c>
      <c r="K534" s="100" t="str">
        <f>IFERROR(VLOOKUP(Tablo516[[#This Row],[BOYA KODU]],Tablo14[#All],4,0)," ")</f>
        <v xml:space="preserve"> </v>
      </c>
      <c r="L534" s="100" t="str">
        <f>IFERROR(VLOOKUP(Tablo516[[#This Row],[BOYA KODU]],Tablo14[#All],6,0)," ")</f>
        <v xml:space="preserve"> </v>
      </c>
      <c r="M534" s="100" t="str">
        <f t="shared" si="56"/>
        <v xml:space="preserve"> </v>
      </c>
      <c r="N534" s="100" t="str">
        <f>IFERROR(VLOOKUP(Tablo516[[#This Row],[ÜRÜN KODU]],YMKODLARI!$A$1:$K$383,8,0)," ")</f>
        <v xml:space="preserve"> </v>
      </c>
      <c r="O534" s="100" t="str">
        <f>IFERROR(VLOOKUP(Tablo516[[#This Row],[HAMMADDE KODU]],Tablo1[#All],3,0)," ")</f>
        <v xml:space="preserve"> </v>
      </c>
      <c r="P534" s="100" t="str">
        <f>IFERROR(VLOOKUP(Tablo516[[#This Row],[HAMMADDE KODU]],Tablo1[#All],4,0)," ")</f>
        <v xml:space="preserve"> </v>
      </c>
      <c r="Q534" s="100" t="str">
        <f>IFERROR(VLOOKUP(Tablo516[[#This Row],[ÜRÜN KODU]],YMKODLARI!$A$1:$K$383,5,0)," ")</f>
        <v xml:space="preserve"> </v>
      </c>
      <c r="R534" s="100" t="str">
        <f>IFERROR(VLOOKUP(Tablo516[[#This Row],[ÜRÜN KODU]],YMKODLARI!$A$1:$K$383,6,0)," ")</f>
        <v xml:space="preserve"> </v>
      </c>
      <c r="S534" s="100" t="str">
        <f>IFERROR(Tablo516[[#This Row],[YOLLUK HARİÇ BASKI GRAMI]]/Tablo516[[#This Row],[KALIP GÖZ ADEDİ]]," ")</f>
        <v xml:space="preserve"> </v>
      </c>
      <c r="T534" s="100" t="str">
        <f t="shared" si="58"/>
        <v xml:space="preserve"> </v>
      </c>
      <c r="U534" s="100"/>
      <c r="V534" s="100" t="str">
        <f t="shared" si="57"/>
        <v xml:space="preserve"> </v>
      </c>
      <c r="W534" s="101">
        <f t="shared" si="59"/>
        <v>24</v>
      </c>
      <c r="X534" s="102">
        <f t="shared" si="60"/>
        <v>0</v>
      </c>
      <c r="Y534" s="100" t="str">
        <f t="shared" si="61"/>
        <v xml:space="preserve"> </v>
      </c>
      <c r="Z534" s="100" t="str">
        <f t="shared" si="62"/>
        <v xml:space="preserve"> </v>
      </c>
    </row>
    <row r="535" spans="1:26">
      <c r="A535" s="100"/>
      <c r="B535" s="108" t="str">
        <f>IFERROR(VLOOKUP(Tablo516[[#This Row],[ÜRÜN KODU]],YMKODLARI!$A$1:$K$383,2,0)," ")</f>
        <v xml:space="preserve"> </v>
      </c>
      <c r="C535" s="99"/>
      <c r="D535" s="100"/>
      <c r="E535" s="101"/>
      <c r="F535" s="101"/>
      <c r="G535" s="100" t="str">
        <f>IFERROR(VLOOKUP(Tablo516[[#This Row],[ÜRÜN KODU]],YMKODLARI!$A$1:$K$383,3,0)," ")</f>
        <v xml:space="preserve"> </v>
      </c>
      <c r="H535" s="100" t="str">
        <f>IFERROR(VLOOKUP(Tablo516[[#This Row],[ÜRÜN KODU]],YMKODLARI!$A$1:$K$383,4,0)," ")</f>
        <v xml:space="preserve"> </v>
      </c>
      <c r="I535" s="100"/>
      <c r="J535" s="100" t="str">
        <f>IFERROR(VLOOKUP(Tablo516[[#This Row],[ÜRÜN KODU]],YMKODLARI!$A$1:$K$383,9,0)," ")</f>
        <v xml:space="preserve"> </v>
      </c>
      <c r="K535" s="100" t="str">
        <f>IFERROR(VLOOKUP(Tablo516[[#This Row],[BOYA KODU]],Tablo14[#All],4,0)," ")</f>
        <v xml:space="preserve"> </v>
      </c>
      <c r="L535" s="100" t="str">
        <f>IFERROR(VLOOKUP(Tablo516[[#This Row],[BOYA KODU]],Tablo14[#All],6,0)," ")</f>
        <v xml:space="preserve"> </v>
      </c>
      <c r="M535" s="100" t="str">
        <f t="shared" si="56"/>
        <v xml:space="preserve"> </v>
      </c>
      <c r="N535" s="100" t="str">
        <f>IFERROR(VLOOKUP(Tablo516[[#This Row],[ÜRÜN KODU]],YMKODLARI!$A$1:$K$383,8,0)," ")</f>
        <v xml:space="preserve"> </v>
      </c>
      <c r="O535" s="100" t="str">
        <f>IFERROR(VLOOKUP(Tablo516[[#This Row],[HAMMADDE KODU]],Tablo1[#All],3,0)," ")</f>
        <v xml:space="preserve"> </v>
      </c>
      <c r="P535" s="100" t="str">
        <f>IFERROR(VLOOKUP(Tablo516[[#This Row],[HAMMADDE KODU]],Tablo1[#All],4,0)," ")</f>
        <v xml:space="preserve"> </v>
      </c>
      <c r="Q535" s="100" t="str">
        <f>IFERROR(VLOOKUP(Tablo516[[#This Row],[ÜRÜN KODU]],YMKODLARI!$A$1:$K$383,5,0)," ")</f>
        <v xml:space="preserve"> </v>
      </c>
      <c r="R535" s="100" t="str">
        <f>IFERROR(VLOOKUP(Tablo516[[#This Row],[ÜRÜN KODU]],YMKODLARI!$A$1:$K$383,6,0)," ")</f>
        <v xml:space="preserve"> </v>
      </c>
      <c r="S535" s="100" t="str">
        <f>IFERROR(Tablo516[[#This Row],[YOLLUK HARİÇ BASKI GRAMI]]/Tablo516[[#This Row],[KALIP GÖZ ADEDİ]]," ")</f>
        <v xml:space="preserve"> </v>
      </c>
      <c r="T535" s="100" t="str">
        <f t="shared" si="58"/>
        <v xml:space="preserve"> </v>
      </c>
      <c r="U535" s="100"/>
      <c r="V535" s="100" t="str">
        <f t="shared" si="57"/>
        <v xml:space="preserve"> </v>
      </c>
      <c r="W535" s="101">
        <f t="shared" si="59"/>
        <v>24</v>
      </c>
      <c r="X535" s="102">
        <f t="shared" si="60"/>
        <v>0</v>
      </c>
      <c r="Y535" s="100" t="str">
        <f t="shared" si="61"/>
        <v xml:space="preserve"> </v>
      </c>
      <c r="Z535" s="100" t="str">
        <f t="shared" si="62"/>
        <v xml:space="preserve"> </v>
      </c>
    </row>
    <row r="536" spans="1:26">
      <c r="A536" s="100"/>
      <c r="B536" s="108" t="str">
        <f>IFERROR(VLOOKUP(Tablo516[[#This Row],[ÜRÜN KODU]],YMKODLARI!$A$1:$K$383,2,0)," ")</f>
        <v xml:space="preserve"> </v>
      </c>
      <c r="C536" s="99"/>
      <c r="D536" s="100"/>
      <c r="E536" s="101"/>
      <c r="F536" s="101"/>
      <c r="G536" s="100" t="str">
        <f>IFERROR(VLOOKUP(Tablo516[[#This Row],[ÜRÜN KODU]],YMKODLARI!$A$1:$K$383,3,0)," ")</f>
        <v xml:space="preserve"> </v>
      </c>
      <c r="H536" s="100" t="str">
        <f>IFERROR(VLOOKUP(Tablo516[[#This Row],[ÜRÜN KODU]],YMKODLARI!$A$1:$K$383,4,0)," ")</f>
        <v xml:space="preserve"> </v>
      </c>
      <c r="I536" s="100"/>
      <c r="J536" s="100" t="str">
        <f>IFERROR(VLOOKUP(Tablo516[[#This Row],[ÜRÜN KODU]],YMKODLARI!$A$1:$K$383,9,0)," ")</f>
        <v xml:space="preserve"> </v>
      </c>
      <c r="K536" s="100" t="str">
        <f>IFERROR(VLOOKUP(Tablo516[[#This Row],[BOYA KODU]],Tablo14[#All],4,0)," ")</f>
        <v xml:space="preserve"> </v>
      </c>
      <c r="L536" s="100" t="str">
        <f>IFERROR(VLOOKUP(Tablo516[[#This Row],[BOYA KODU]],Tablo14[#All],6,0)," ")</f>
        <v xml:space="preserve"> </v>
      </c>
      <c r="M536" s="100" t="str">
        <f t="shared" si="56"/>
        <v xml:space="preserve"> </v>
      </c>
      <c r="N536" s="100" t="str">
        <f>IFERROR(VLOOKUP(Tablo516[[#This Row],[ÜRÜN KODU]],YMKODLARI!$A$1:$K$383,8,0)," ")</f>
        <v xml:space="preserve"> </v>
      </c>
      <c r="O536" s="100" t="str">
        <f>IFERROR(VLOOKUP(Tablo516[[#This Row],[HAMMADDE KODU]],Tablo1[#All],3,0)," ")</f>
        <v xml:space="preserve"> </v>
      </c>
      <c r="P536" s="100" t="str">
        <f>IFERROR(VLOOKUP(Tablo516[[#This Row],[HAMMADDE KODU]],Tablo1[#All],4,0)," ")</f>
        <v xml:space="preserve"> </v>
      </c>
      <c r="Q536" s="100" t="str">
        <f>IFERROR(VLOOKUP(Tablo516[[#This Row],[ÜRÜN KODU]],YMKODLARI!$A$1:$K$383,5,0)," ")</f>
        <v xml:space="preserve"> </v>
      </c>
      <c r="R536" s="100" t="str">
        <f>IFERROR(VLOOKUP(Tablo516[[#This Row],[ÜRÜN KODU]],YMKODLARI!$A$1:$K$383,6,0)," ")</f>
        <v xml:space="preserve"> </v>
      </c>
      <c r="S536" s="100" t="str">
        <f>IFERROR(Tablo516[[#This Row],[YOLLUK HARİÇ BASKI GRAMI]]/Tablo516[[#This Row],[KALIP GÖZ ADEDİ]]," ")</f>
        <v xml:space="preserve"> </v>
      </c>
      <c r="T536" s="100" t="str">
        <f t="shared" si="58"/>
        <v xml:space="preserve"> </v>
      </c>
      <c r="U536" s="100"/>
      <c r="V536" s="100" t="str">
        <f t="shared" si="57"/>
        <v xml:space="preserve"> </v>
      </c>
      <c r="W536" s="101">
        <f t="shared" si="59"/>
        <v>24</v>
      </c>
      <c r="X536" s="102">
        <f t="shared" si="60"/>
        <v>0</v>
      </c>
      <c r="Y536" s="100" t="str">
        <f t="shared" si="61"/>
        <v xml:space="preserve"> </v>
      </c>
      <c r="Z536" s="100" t="str">
        <f t="shared" si="62"/>
        <v xml:space="preserve"> </v>
      </c>
    </row>
    <row r="537" spans="1:26">
      <c r="A537" s="100"/>
      <c r="B537" s="108" t="str">
        <f>IFERROR(VLOOKUP(Tablo516[[#This Row],[ÜRÜN KODU]],YMKODLARI!$A$1:$K$383,2,0)," ")</f>
        <v xml:space="preserve"> </v>
      </c>
      <c r="C537" s="99"/>
      <c r="D537" s="100"/>
      <c r="E537" s="101"/>
      <c r="F537" s="101"/>
      <c r="G537" s="100" t="str">
        <f>IFERROR(VLOOKUP(Tablo516[[#This Row],[ÜRÜN KODU]],YMKODLARI!$A$1:$K$383,3,0)," ")</f>
        <v xml:space="preserve"> </v>
      </c>
      <c r="H537" s="100" t="str">
        <f>IFERROR(VLOOKUP(Tablo516[[#This Row],[ÜRÜN KODU]],YMKODLARI!$A$1:$K$383,4,0)," ")</f>
        <v xml:space="preserve"> </v>
      </c>
      <c r="I537" s="100"/>
      <c r="J537" s="100" t="str">
        <f>IFERROR(VLOOKUP(Tablo516[[#This Row],[ÜRÜN KODU]],YMKODLARI!$A$1:$K$383,9,0)," ")</f>
        <v xml:space="preserve"> </v>
      </c>
      <c r="K537" s="100" t="str">
        <f>IFERROR(VLOOKUP(Tablo516[[#This Row],[BOYA KODU]],Tablo14[#All],4,0)," ")</f>
        <v xml:space="preserve"> </v>
      </c>
      <c r="L537" s="100" t="str">
        <f>IFERROR(VLOOKUP(Tablo516[[#This Row],[BOYA KODU]],Tablo14[#All],6,0)," ")</f>
        <v xml:space="preserve"> </v>
      </c>
      <c r="M537" s="100" t="str">
        <f t="shared" si="56"/>
        <v xml:space="preserve"> </v>
      </c>
      <c r="N537" s="100" t="str">
        <f>IFERROR(VLOOKUP(Tablo516[[#This Row],[ÜRÜN KODU]],YMKODLARI!$A$1:$K$383,8,0)," ")</f>
        <v xml:space="preserve"> </v>
      </c>
      <c r="O537" s="100" t="str">
        <f>IFERROR(VLOOKUP(Tablo516[[#This Row],[HAMMADDE KODU]],Tablo1[#All],3,0)," ")</f>
        <v xml:space="preserve"> </v>
      </c>
      <c r="P537" s="100" t="str">
        <f>IFERROR(VLOOKUP(Tablo516[[#This Row],[HAMMADDE KODU]],Tablo1[#All],4,0)," ")</f>
        <v xml:space="preserve"> </v>
      </c>
      <c r="Q537" s="100" t="str">
        <f>IFERROR(VLOOKUP(Tablo516[[#This Row],[ÜRÜN KODU]],YMKODLARI!$A$1:$K$383,5,0)," ")</f>
        <v xml:space="preserve"> </v>
      </c>
      <c r="R537" s="100" t="str">
        <f>IFERROR(VLOOKUP(Tablo516[[#This Row],[ÜRÜN KODU]],YMKODLARI!$A$1:$K$383,6,0)," ")</f>
        <v xml:space="preserve"> </v>
      </c>
      <c r="S537" s="100" t="str">
        <f>IFERROR(Tablo516[[#This Row],[YOLLUK HARİÇ BASKI GRAMI]]/Tablo516[[#This Row],[KALIP GÖZ ADEDİ]]," ")</f>
        <v xml:space="preserve"> </v>
      </c>
      <c r="T537" s="100" t="str">
        <f t="shared" si="58"/>
        <v xml:space="preserve"> </v>
      </c>
      <c r="U537" s="100"/>
      <c r="V537" s="100" t="str">
        <f t="shared" si="57"/>
        <v xml:space="preserve"> </v>
      </c>
      <c r="W537" s="101">
        <f t="shared" si="59"/>
        <v>24</v>
      </c>
      <c r="X537" s="102">
        <f t="shared" si="60"/>
        <v>0</v>
      </c>
      <c r="Y537" s="100" t="str">
        <f t="shared" si="61"/>
        <v xml:space="preserve"> </v>
      </c>
      <c r="Z537" s="100" t="str">
        <f t="shared" si="62"/>
        <v xml:space="preserve"> </v>
      </c>
    </row>
    <row r="538" spans="1:26">
      <c r="A538" s="100"/>
      <c r="B538" s="108" t="str">
        <f>IFERROR(VLOOKUP(Tablo516[[#This Row],[ÜRÜN KODU]],YMKODLARI!$A$1:$K$383,2,0)," ")</f>
        <v xml:space="preserve"> </v>
      </c>
      <c r="C538" s="99"/>
      <c r="D538" s="100"/>
      <c r="E538" s="101"/>
      <c r="F538" s="101"/>
      <c r="G538" s="100" t="str">
        <f>IFERROR(VLOOKUP(Tablo516[[#This Row],[ÜRÜN KODU]],YMKODLARI!$A$1:$K$383,3,0)," ")</f>
        <v xml:space="preserve"> </v>
      </c>
      <c r="H538" s="100" t="str">
        <f>IFERROR(VLOOKUP(Tablo516[[#This Row],[ÜRÜN KODU]],YMKODLARI!$A$1:$K$383,4,0)," ")</f>
        <v xml:space="preserve"> </v>
      </c>
      <c r="I538" s="100"/>
      <c r="J538" s="100" t="str">
        <f>IFERROR(VLOOKUP(Tablo516[[#This Row],[ÜRÜN KODU]],YMKODLARI!$A$1:$K$383,9,0)," ")</f>
        <v xml:space="preserve"> </v>
      </c>
      <c r="K538" s="100" t="str">
        <f>IFERROR(VLOOKUP(Tablo516[[#This Row],[BOYA KODU]],Tablo14[#All],4,0)," ")</f>
        <v xml:space="preserve"> </v>
      </c>
      <c r="L538" s="100" t="str">
        <f>IFERROR(VLOOKUP(Tablo516[[#This Row],[BOYA KODU]],Tablo14[#All],6,0)," ")</f>
        <v xml:space="preserve"> </v>
      </c>
      <c r="M538" s="100" t="str">
        <f t="shared" si="56"/>
        <v xml:space="preserve"> </v>
      </c>
      <c r="N538" s="100" t="str">
        <f>IFERROR(VLOOKUP(Tablo516[[#This Row],[ÜRÜN KODU]],YMKODLARI!$A$1:$K$383,8,0)," ")</f>
        <v xml:space="preserve"> </v>
      </c>
      <c r="O538" s="100" t="str">
        <f>IFERROR(VLOOKUP(Tablo516[[#This Row],[HAMMADDE KODU]],Tablo1[#All],3,0)," ")</f>
        <v xml:space="preserve"> </v>
      </c>
      <c r="P538" s="100" t="str">
        <f>IFERROR(VLOOKUP(Tablo516[[#This Row],[HAMMADDE KODU]],Tablo1[#All],4,0)," ")</f>
        <v xml:space="preserve"> </v>
      </c>
      <c r="Q538" s="100" t="str">
        <f>IFERROR(VLOOKUP(Tablo516[[#This Row],[ÜRÜN KODU]],YMKODLARI!$A$1:$K$383,5,0)," ")</f>
        <v xml:space="preserve"> </v>
      </c>
      <c r="R538" s="100" t="str">
        <f>IFERROR(VLOOKUP(Tablo516[[#This Row],[ÜRÜN KODU]],YMKODLARI!$A$1:$K$383,6,0)," ")</f>
        <v xml:space="preserve"> </v>
      </c>
      <c r="S538" s="100" t="str">
        <f>IFERROR(Tablo516[[#This Row],[YOLLUK HARİÇ BASKI GRAMI]]/Tablo516[[#This Row],[KALIP GÖZ ADEDİ]]," ")</f>
        <v xml:space="preserve"> </v>
      </c>
      <c r="T538" s="100" t="str">
        <f t="shared" si="58"/>
        <v xml:space="preserve"> </v>
      </c>
      <c r="U538" s="100"/>
      <c r="V538" s="100" t="str">
        <f t="shared" si="57"/>
        <v xml:space="preserve"> </v>
      </c>
      <c r="W538" s="101">
        <f t="shared" si="59"/>
        <v>24</v>
      </c>
      <c r="X538" s="102">
        <f t="shared" si="60"/>
        <v>0</v>
      </c>
      <c r="Y538" s="100" t="str">
        <f t="shared" si="61"/>
        <v xml:space="preserve"> </v>
      </c>
      <c r="Z538" s="100" t="str">
        <f t="shared" si="62"/>
        <v xml:space="preserve"> </v>
      </c>
    </row>
    <row r="539" spans="1:26">
      <c r="A539" s="100"/>
      <c r="B539" s="108" t="str">
        <f>IFERROR(VLOOKUP(Tablo516[[#This Row],[ÜRÜN KODU]],YMKODLARI!$A$1:$K$383,2,0)," ")</f>
        <v xml:space="preserve"> </v>
      </c>
      <c r="C539" s="99"/>
      <c r="D539" s="100"/>
      <c r="E539" s="101"/>
      <c r="F539" s="101"/>
      <c r="G539" s="100" t="str">
        <f>IFERROR(VLOOKUP(Tablo516[[#This Row],[ÜRÜN KODU]],YMKODLARI!$A$1:$K$383,3,0)," ")</f>
        <v xml:space="preserve"> </v>
      </c>
      <c r="H539" s="100" t="str">
        <f>IFERROR(VLOOKUP(Tablo516[[#This Row],[ÜRÜN KODU]],YMKODLARI!$A$1:$K$383,4,0)," ")</f>
        <v xml:space="preserve"> </v>
      </c>
      <c r="I539" s="100"/>
      <c r="J539" s="100" t="str">
        <f>IFERROR(VLOOKUP(Tablo516[[#This Row],[ÜRÜN KODU]],YMKODLARI!$A$1:$K$383,9,0)," ")</f>
        <v xml:space="preserve"> </v>
      </c>
      <c r="K539" s="100" t="str">
        <f>IFERROR(VLOOKUP(Tablo516[[#This Row],[BOYA KODU]],Tablo14[#All],4,0)," ")</f>
        <v xml:space="preserve"> </v>
      </c>
      <c r="L539" s="100" t="str">
        <f>IFERROR(VLOOKUP(Tablo516[[#This Row],[BOYA KODU]],Tablo14[#All],6,0)," ")</f>
        <v xml:space="preserve"> </v>
      </c>
      <c r="M539" s="100" t="str">
        <f t="shared" si="56"/>
        <v xml:space="preserve"> </v>
      </c>
      <c r="N539" s="100" t="str">
        <f>IFERROR(VLOOKUP(Tablo516[[#This Row],[ÜRÜN KODU]],YMKODLARI!$A$1:$K$383,8,0)," ")</f>
        <v xml:space="preserve"> </v>
      </c>
      <c r="O539" s="100" t="str">
        <f>IFERROR(VLOOKUP(Tablo516[[#This Row],[HAMMADDE KODU]],Tablo1[#All],3,0)," ")</f>
        <v xml:space="preserve"> </v>
      </c>
      <c r="P539" s="100" t="str">
        <f>IFERROR(VLOOKUP(Tablo516[[#This Row],[HAMMADDE KODU]],Tablo1[#All],4,0)," ")</f>
        <v xml:space="preserve"> </v>
      </c>
      <c r="Q539" s="100" t="str">
        <f>IFERROR(VLOOKUP(Tablo516[[#This Row],[ÜRÜN KODU]],YMKODLARI!$A$1:$K$383,5,0)," ")</f>
        <v xml:space="preserve"> </v>
      </c>
      <c r="R539" s="100" t="str">
        <f>IFERROR(VLOOKUP(Tablo516[[#This Row],[ÜRÜN KODU]],YMKODLARI!$A$1:$K$383,6,0)," ")</f>
        <v xml:space="preserve"> </v>
      </c>
      <c r="S539" s="100" t="str">
        <f>IFERROR(Tablo516[[#This Row],[YOLLUK HARİÇ BASKI GRAMI]]/Tablo516[[#This Row],[KALIP GÖZ ADEDİ]]," ")</f>
        <v xml:space="preserve"> </v>
      </c>
      <c r="T539" s="100" t="str">
        <f t="shared" si="58"/>
        <v xml:space="preserve"> </v>
      </c>
      <c r="U539" s="100"/>
      <c r="V539" s="100" t="str">
        <f t="shared" si="57"/>
        <v xml:space="preserve"> </v>
      </c>
      <c r="W539" s="101">
        <f t="shared" si="59"/>
        <v>24</v>
      </c>
      <c r="X539" s="102">
        <f t="shared" si="60"/>
        <v>0</v>
      </c>
      <c r="Y539" s="100" t="str">
        <f t="shared" si="61"/>
        <v xml:space="preserve"> </v>
      </c>
      <c r="Z539" s="100" t="str">
        <f t="shared" si="62"/>
        <v xml:space="preserve"> </v>
      </c>
    </row>
    <row r="540" spans="1:26">
      <c r="A540" s="100"/>
      <c r="B540" s="108" t="str">
        <f>IFERROR(VLOOKUP(Tablo516[[#This Row],[ÜRÜN KODU]],YMKODLARI!$A$1:$K$383,2,0)," ")</f>
        <v xml:space="preserve"> </v>
      </c>
      <c r="C540" s="99"/>
      <c r="D540" s="100"/>
      <c r="E540" s="101"/>
      <c r="F540" s="101"/>
      <c r="G540" s="100" t="str">
        <f>IFERROR(VLOOKUP(Tablo516[[#This Row],[ÜRÜN KODU]],YMKODLARI!$A$1:$K$383,3,0)," ")</f>
        <v xml:space="preserve"> </v>
      </c>
      <c r="H540" s="100" t="str">
        <f>IFERROR(VLOOKUP(Tablo516[[#This Row],[ÜRÜN KODU]],YMKODLARI!$A$1:$K$383,4,0)," ")</f>
        <v xml:space="preserve"> </v>
      </c>
      <c r="I540" s="100"/>
      <c r="J540" s="100" t="str">
        <f>IFERROR(VLOOKUP(Tablo516[[#This Row],[ÜRÜN KODU]],YMKODLARI!$A$1:$K$383,9,0)," ")</f>
        <v xml:space="preserve"> </v>
      </c>
      <c r="K540" s="100" t="str">
        <f>IFERROR(VLOOKUP(Tablo516[[#This Row],[BOYA KODU]],Tablo14[#All],4,0)," ")</f>
        <v xml:space="preserve"> </v>
      </c>
      <c r="L540" s="100" t="str">
        <f>IFERROR(VLOOKUP(Tablo516[[#This Row],[BOYA KODU]],Tablo14[#All],6,0)," ")</f>
        <v xml:space="preserve"> </v>
      </c>
      <c r="M540" s="100" t="str">
        <f t="shared" si="56"/>
        <v xml:space="preserve"> </v>
      </c>
      <c r="N540" s="100" t="str">
        <f>IFERROR(VLOOKUP(Tablo516[[#This Row],[ÜRÜN KODU]],YMKODLARI!$A$1:$K$383,8,0)," ")</f>
        <v xml:space="preserve"> </v>
      </c>
      <c r="O540" s="100" t="str">
        <f>IFERROR(VLOOKUP(Tablo516[[#This Row],[HAMMADDE KODU]],Tablo1[#All],3,0)," ")</f>
        <v xml:space="preserve"> </v>
      </c>
      <c r="P540" s="100" t="str">
        <f>IFERROR(VLOOKUP(Tablo516[[#This Row],[HAMMADDE KODU]],Tablo1[#All],4,0)," ")</f>
        <v xml:space="preserve"> </v>
      </c>
      <c r="Q540" s="100" t="str">
        <f>IFERROR(VLOOKUP(Tablo516[[#This Row],[ÜRÜN KODU]],YMKODLARI!$A$1:$K$383,5,0)," ")</f>
        <v xml:space="preserve"> </v>
      </c>
      <c r="R540" s="100" t="str">
        <f>IFERROR(VLOOKUP(Tablo516[[#This Row],[ÜRÜN KODU]],YMKODLARI!$A$1:$K$383,6,0)," ")</f>
        <v xml:space="preserve"> </v>
      </c>
      <c r="S540" s="100" t="str">
        <f>IFERROR(Tablo516[[#This Row],[YOLLUK HARİÇ BASKI GRAMI]]/Tablo516[[#This Row],[KALIP GÖZ ADEDİ]]," ")</f>
        <v xml:space="preserve"> </v>
      </c>
      <c r="T540" s="100" t="str">
        <f t="shared" si="58"/>
        <v xml:space="preserve"> </v>
      </c>
      <c r="U540" s="100"/>
      <c r="V540" s="100" t="str">
        <f t="shared" si="57"/>
        <v xml:space="preserve"> </v>
      </c>
      <c r="W540" s="101">
        <f t="shared" si="59"/>
        <v>24</v>
      </c>
      <c r="X540" s="102">
        <f t="shared" si="60"/>
        <v>0</v>
      </c>
      <c r="Y540" s="100" t="str">
        <f t="shared" si="61"/>
        <v xml:space="preserve"> </v>
      </c>
      <c r="Z540" s="100" t="str">
        <f t="shared" si="62"/>
        <v xml:space="preserve"> </v>
      </c>
    </row>
    <row r="541" spans="1:26">
      <c r="A541" s="100"/>
      <c r="B541" s="108" t="str">
        <f>IFERROR(VLOOKUP(Tablo516[[#This Row],[ÜRÜN KODU]],YMKODLARI!$A$1:$K$383,2,0)," ")</f>
        <v xml:space="preserve"> </v>
      </c>
      <c r="C541" s="99"/>
      <c r="D541" s="100"/>
      <c r="E541" s="101"/>
      <c r="F541" s="101"/>
      <c r="G541" s="100" t="str">
        <f>IFERROR(VLOOKUP(Tablo516[[#This Row],[ÜRÜN KODU]],YMKODLARI!$A$1:$K$383,3,0)," ")</f>
        <v xml:space="preserve"> </v>
      </c>
      <c r="H541" s="100" t="str">
        <f>IFERROR(VLOOKUP(Tablo516[[#This Row],[ÜRÜN KODU]],YMKODLARI!$A$1:$K$383,4,0)," ")</f>
        <v xml:space="preserve"> </v>
      </c>
      <c r="I541" s="100"/>
      <c r="J541" s="100" t="str">
        <f>IFERROR(VLOOKUP(Tablo516[[#This Row],[ÜRÜN KODU]],YMKODLARI!$A$1:$K$383,9,0)," ")</f>
        <v xml:space="preserve"> </v>
      </c>
      <c r="K541" s="100" t="str">
        <f>IFERROR(VLOOKUP(Tablo516[[#This Row],[BOYA KODU]],Tablo14[#All],4,0)," ")</f>
        <v xml:space="preserve"> </v>
      </c>
      <c r="L541" s="100" t="str">
        <f>IFERROR(VLOOKUP(Tablo516[[#This Row],[BOYA KODU]],Tablo14[#All],6,0)," ")</f>
        <v xml:space="preserve"> </v>
      </c>
      <c r="M541" s="100" t="str">
        <f t="shared" si="56"/>
        <v xml:space="preserve"> </v>
      </c>
      <c r="N541" s="100" t="str">
        <f>IFERROR(VLOOKUP(Tablo516[[#This Row],[ÜRÜN KODU]],YMKODLARI!$A$1:$K$383,8,0)," ")</f>
        <v xml:space="preserve"> </v>
      </c>
      <c r="O541" s="100" t="str">
        <f>IFERROR(VLOOKUP(Tablo516[[#This Row],[HAMMADDE KODU]],Tablo1[#All],3,0)," ")</f>
        <v xml:space="preserve"> </v>
      </c>
      <c r="P541" s="100" t="str">
        <f>IFERROR(VLOOKUP(Tablo516[[#This Row],[HAMMADDE KODU]],Tablo1[#All],4,0)," ")</f>
        <v xml:space="preserve"> </v>
      </c>
      <c r="Q541" s="100" t="str">
        <f>IFERROR(VLOOKUP(Tablo516[[#This Row],[ÜRÜN KODU]],YMKODLARI!$A$1:$K$383,5,0)," ")</f>
        <v xml:space="preserve"> </v>
      </c>
      <c r="R541" s="100" t="str">
        <f>IFERROR(VLOOKUP(Tablo516[[#This Row],[ÜRÜN KODU]],YMKODLARI!$A$1:$K$383,6,0)," ")</f>
        <v xml:space="preserve"> </v>
      </c>
      <c r="S541" s="100" t="str">
        <f>IFERROR(Tablo516[[#This Row],[YOLLUK HARİÇ BASKI GRAMI]]/Tablo516[[#This Row],[KALIP GÖZ ADEDİ]]," ")</f>
        <v xml:space="preserve"> </v>
      </c>
      <c r="T541" s="100" t="str">
        <f t="shared" si="58"/>
        <v xml:space="preserve"> </v>
      </c>
      <c r="U541" s="100"/>
      <c r="V541" s="100" t="str">
        <f t="shared" si="57"/>
        <v xml:space="preserve"> </v>
      </c>
      <c r="W541" s="101">
        <f t="shared" si="59"/>
        <v>24</v>
      </c>
      <c r="X541" s="102">
        <f t="shared" si="60"/>
        <v>0</v>
      </c>
      <c r="Y541" s="100" t="str">
        <f t="shared" si="61"/>
        <v xml:space="preserve"> </v>
      </c>
      <c r="Z541" s="100" t="str">
        <f t="shared" si="62"/>
        <v xml:space="preserve"> </v>
      </c>
    </row>
    <row r="542" spans="1:26">
      <c r="A542" s="100"/>
      <c r="B542" s="108" t="str">
        <f>IFERROR(VLOOKUP(Tablo516[[#This Row],[ÜRÜN KODU]],YMKODLARI!$A$1:$K$383,2,0)," ")</f>
        <v xml:space="preserve"> </v>
      </c>
      <c r="C542" s="99"/>
      <c r="D542" s="100"/>
      <c r="E542" s="101"/>
      <c r="F542" s="101"/>
      <c r="G542" s="100" t="str">
        <f>IFERROR(VLOOKUP(Tablo516[[#This Row],[ÜRÜN KODU]],YMKODLARI!$A$1:$K$383,3,0)," ")</f>
        <v xml:space="preserve"> </v>
      </c>
      <c r="H542" s="100" t="str">
        <f>IFERROR(VLOOKUP(Tablo516[[#This Row],[ÜRÜN KODU]],YMKODLARI!$A$1:$K$383,4,0)," ")</f>
        <v xml:space="preserve"> </v>
      </c>
      <c r="I542" s="100"/>
      <c r="J542" s="100" t="str">
        <f>IFERROR(VLOOKUP(Tablo516[[#This Row],[ÜRÜN KODU]],YMKODLARI!$A$1:$K$383,9,0)," ")</f>
        <v xml:space="preserve"> </v>
      </c>
      <c r="K542" s="100" t="str">
        <f>IFERROR(VLOOKUP(Tablo516[[#This Row],[BOYA KODU]],Tablo14[#All],4,0)," ")</f>
        <v xml:space="preserve"> </v>
      </c>
      <c r="L542" s="100" t="str">
        <f>IFERROR(VLOOKUP(Tablo516[[#This Row],[BOYA KODU]],Tablo14[#All],6,0)," ")</f>
        <v xml:space="preserve"> </v>
      </c>
      <c r="M542" s="100" t="str">
        <f t="shared" si="56"/>
        <v xml:space="preserve"> </v>
      </c>
      <c r="N542" s="100" t="str">
        <f>IFERROR(VLOOKUP(Tablo516[[#This Row],[ÜRÜN KODU]],YMKODLARI!$A$1:$K$383,8,0)," ")</f>
        <v xml:space="preserve"> </v>
      </c>
      <c r="O542" s="100" t="str">
        <f>IFERROR(VLOOKUP(Tablo516[[#This Row],[HAMMADDE KODU]],Tablo1[#All],3,0)," ")</f>
        <v xml:space="preserve"> </v>
      </c>
      <c r="P542" s="100" t="str">
        <f>IFERROR(VLOOKUP(Tablo516[[#This Row],[HAMMADDE KODU]],Tablo1[#All],4,0)," ")</f>
        <v xml:space="preserve"> </v>
      </c>
      <c r="Q542" s="100" t="str">
        <f>IFERROR(VLOOKUP(Tablo516[[#This Row],[ÜRÜN KODU]],YMKODLARI!$A$1:$K$383,5,0)," ")</f>
        <v xml:space="preserve"> </v>
      </c>
      <c r="R542" s="100" t="str">
        <f>IFERROR(VLOOKUP(Tablo516[[#This Row],[ÜRÜN KODU]],YMKODLARI!$A$1:$K$383,6,0)," ")</f>
        <v xml:space="preserve"> </v>
      </c>
      <c r="S542" s="100" t="str">
        <f>IFERROR(Tablo516[[#This Row],[YOLLUK HARİÇ BASKI GRAMI]]/Tablo516[[#This Row],[KALIP GÖZ ADEDİ]]," ")</f>
        <v xml:space="preserve"> </v>
      </c>
      <c r="T542" s="100" t="str">
        <f t="shared" si="58"/>
        <v xml:space="preserve"> </v>
      </c>
      <c r="U542" s="100"/>
      <c r="V542" s="100" t="str">
        <f t="shared" si="57"/>
        <v xml:space="preserve"> </v>
      </c>
      <c r="W542" s="101">
        <f t="shared" si="59"/>
        <v>24</v>
      </c>
      <c r="X542" s="102">
        <f t="shared" si="60"/>
        <v>0</v>
      </c>
      <c r="Y542" s="100" t="str">
        <f t="shared" si="61"/>
        <v xml:space="preserve"> </v>
      </c>
      <c r="Z542" s="100" t="str">
        <f t="shared" si="62"/>
        <v xml:space="preserve"> </v>
      </c>
    </row>
    <row r="543" spans="1:26">
      <c r="A543" s="100"/>
      <c r="B543" s="108" t="str">
        <f>IFERROR(VLOOKUP(Tablo516[[#This Row],[ÜRÜN KODU]],YMKODLARI!$A$1:$K$383,2,0)," ")</f>
        <v xml:space="preserve"> </v>
      </c>
      <c r="C543" s="99"/>
      <c r="D543" s="100"/>
      <c r="E543" s="101"/>
      <c r="F543" s="101"/>
      <c r="G543" s="100" t="str">
        <f>IFERROR(VLOOKUP(Tablo516[[#This Row],[ÜRÜN KODU]],YMKODLARI!$A$1:$K$383,3,0)," ")</f>
        <v xml:space="preserve"> </v>
      </c>
      <c r="H543" s="100" t="str">
        <f>IFERROR(VLOOKUP(Tablo516[[#This Row],[ÜRÜN KODU]],YMKODLARI!$A$1:$K$383,4,0)," ")</f>
        <v xml:space="preserve"> </v>
      </c>
      <c r="I543" s="100"/>
      <c r="J543" s="100" t="str">
        <f>IFERROR(VLOOKUP(Tablo516[[#This Row],[ÜRÜN KODU]],YMKODLARI!$A$1:$K$383,9,0)," ")</f>
        <v xml:space="preserve"> </v>
      </c>
      <c r="K543" s="100" t="str">
        <f>IFERROR(VLOOKUP(Tablo516[[#This Row],[BOYA KODU]],Tablo14[#All],4,0)," ")</f>
        <v xml:space="preserve"> </v>
      </c>
      <c r="L543" s="100" t="str">
        <f>IFERROR(VLOOKUP(Tablo516[[#This Row],[BOYA KODU]],Tablo14[#All],6,0)," ")</f>
        <v xml:space="preserve"> </v>
      </c>
      <c r="M543" s="100" t="str">
        <f t="shared" si="56"/>
        <v xml:space="preserve"> </v>
      </c>
      <c r="N543" s="100" t="str">
        <f>IFERROR(VLOOKUP(Tablo516[[#This Row],[ÜRÜN KODU]],YMKODLARI!$A$1:$K$383,8,0)," ")</f>
        <v xml:space="preserve"> </v>
      </c>
      <c r="O543" s="100" t="str">
        <f>IFERROR(VLOOKUP(Tablo516[[#This Row],[HAMMADDE KODU]],Tablo1[#All],3,0)," ")</f>
        <v xml:space="preserve"> </v>
      </c>
      <c r="P543" s="100" t="str">
        <f>IFERROR(VLOOKUP(Tablo516[[#This Row],[HAMMADDE KODU]],Tablo1[#All],4,0)," ")</f>
        <v xml:space="preserve"> </v>
      </c>
      <c r="Q543" s="100" t="str">
        <f>IFERROR(VLOOKUP(Tablo516[[#This Row],[ÜRÜN KODU]],YMKODLARI!$A$1:$K$383,5,0)," ")</f>
        <v xml:space="preserve"> </v>
      </c>
      <c r="R543" s="100" t="str">
        <f>IFERROR(VLOOKUP(Tablo516[[#This Row],[ÜRÜN KODU]],YMKODLARI!$A$1:$K$383,6,0)," ")</f>
        <v xml:space="preserve"> </v>
      </c>
      <c r="S543" s="100" t="str">
        <f>IFERROR(Tablo516[[#This Row],[YOLLUK HARİÇ BASKI GRAMI]]/Tablo516[[#This Row],[KALIP GÖZ ADEDİ]]," ")</f>
        <v xml:space="preserve"> </v>
      </c>
      <c r="T543" s="100" t="str">
        <f t="shared" si="58"/>
        <v xml:space="preserve"> </v>
      </c>
      <c r="U543" s="100"/>
      <c r="V543" s="100" t="str">
        <f t="shared" si="57"/>
        <v xml:space="preserve"> </v>
      </c>
      <c r="W543" s="101">
        <f t="shared" si="59"/>
        <v>24</v>
      </c>
      <c r="X543" s="102">
        <f t="shared" si="60"/>
        <v>0</v>
      </c>
      <c r="Y543" s="100" t="str">
        <f t="shared" si="61"/>
        <v xml:space="preserve"> </v>
      </c>
      <c r="Z543" s="100" t="str">
        <f t="shared" si="62"/>
        <v xml:space="preserve"> </v>
      </c>
    </row>
    <row r="544" spans="1:26">
      <c r="A544" s="100"/>
      <c r="B544" s="108" t="str">
        <f>IFERROR(VLOOKUP(Tablo516[[#This Row],[ÜRÜN KODU]],YMKODLARI!$A$1:$K$383,2,0)," ")</f>
        <v xml:space="preserve"> </v>
      </c>
      <c r="C544" s="99"/>
      <c r="D544" s="100"/>
      <c r="E544" s="101"/>
      <c r="F544" s="101"/>
      <c r="G544" s="100" t="str">
        <f>IFERROR(VLOOKUP(Tablo516[[#This Row],[ÜRÜN KODU]],YMKODLARI!$A$1:$K$383,3,0)," ")</f>
        <v xml:space="preserve"> </v>
      </c>
      <c r="H544" s="100" t="str">
        <f>IFERROR(VLOOKUP(Tablo516[[#This Row],[ÜRÜN KODU]],YMKODLARI!$A$1:$K$383,4,0)," ")</f>
        <v xml:space="preserve"> </v>
      </c>
      <c r="I544" s="100"/>
      <c r="J544" s="100" t="str">
        <f>IFERROR(VLOOKUP(Tablo516[[#This Row],[ÜRÜN KODU]],YMKODLARI!$A$1:$K$383,9,0)," ")</f>
        <v xml:space="preserve"> </v>
      </c>
      <c r="K544" s="100" t="str">
        <f>IFERROR(VLOOKUP(Tablo516[[#This Row],[BOYA KODU]],Tablo14[#All],4,0)," ")</f>
        <v xml:space="preserve"> </v>
      </c>
      <c r="L544" s="100" t="str">
        <f>IFERROR(VLOOKUP(Tablo516[[#This Row],[BOYA KODU]],Tablo14[#All],6,0)," ")</f>
        <v xml:space="preserve"> </v>
      </c>
      <c r="M544" s="100" t="str">
        <f t="shared" si="56"/>
        <v xml:space="preserve"> </v>
      </c>
      <c r="N544" s="100" t="str">
        <f>IFERROR(VLOOKUP(Tablo516[[#This Row],[ÜRÜN KODU]],YMKODLARI!$A$1:$K$383,8,0)," ")</f>
        <v xml:space="preserve"> </v>
      </c>
      <c r="O544" s="100" t="str">
        <f>IFERROR(VLOOKUP(Tablo516[[#This Row],[HAMMADDE KODU]],Tablo1[#All],3,0)," ")</f>
        <v xml:space="preserve"> </v>
      </c>
      <c r="P544" s="100" t="str">
        <f>IFERROR(VLOOKUP(Tablo516[[#This Row],[HAMMADDE KODU]],Tablo1[#All],4,0)," ")</f>
        <v xml:space="preserve"> </v>
      </c>
      <c r="Q544" s="100" t="str">
        <f>IFERROR(VLOOKUP(Tablo516[[#This Row],[ÜRÜN KODU]],YMKODLARI!$A$1:$K$383,5,0)," ")</f>
        <v xml:space="preserve"> </v>
      </c>
      <c r="R544" s="100" t="str">
        <f>IFERROR(VLOOKUP(Tablo516[[#This Row],[ÜRÜN KODU]],YMKODLARI!$A$1:$K$383,6,0)," ")</f>
        <v xml:space="preserve"> </v>
      </c>
      <c r="S544" s="100" t="str">
        <f>IFERROR(Tablo516[[#This Row],[YOLLUK HARİÇ BASKI GRAMI]]/Tablo516[[#This Row],[KALIP GÖZ ADEDİ]]," ")</f>
        <v xml:space="preserve"> </v>
      </c>
      <c r="T544" s="100" t="str">
        <f t="shared" si="58"/>
        <v xml:space="preserve"> </v>
      </c>
      <c r="U544" s="100"/>
      <c r="V544" s="100" t="str">
        <f t="shared" si="57"/>
        <v xml:space="preserve"> </v>
      </c>
      <c r="W544" s="101">
        <f t="shared" si="59"/>
        <v>24</v>
      </c>
      <c r="X544" s="102">
        <f t="shared" si="60"/>
        <v>0</v>
      </c>
      <c r="Y544" s="100" t="str">
        <f t="shared" si="61"/>
        <v xml:space="preserve"> </v>
      </c>
      <c r="Z544" s="100" t="str">
        <f t="shared" si="62"/>
        <v xml:space="preserve"> </v>
      </c>
    </row>
    <row r="545" spans="1:26">
      <c r="A545" s="100"/>
      <c r="B545" s="108" t="str">
        <f>IFERROR(VLOOKUP(Tablo516[[#This Row],[ÜRÜN KODU]],YMKODLARI!$A$1:$K$383,2,0)," ")</f>
        <v xml:space="preserve"> </v>
      </c>
      <c r="C545" s="99"/>
      <c r="D545" s="100"/>
      <c r="E545" s="101"/>
      <c r="F545" s="101"/>
      <c r="G545" s="100" t="str">
        <f>IFERROR(VLOOKUP(Tablo516[[#This Row],[ÜRÜN KODU]],YMKODLARI!$A$1:$K$383,3,0)," ")</f>
        <v xml:space="preserve"> </v>
      </c>
      <c r="H545" s="100" t="str">
        <f>IFERROR(VLOOKUP(Tablo516[[#This Row],[ÜRÜN KODU]],YMKODLARI!$A$1:$K$383,4,0)," ")</f>
        <v xml:space="preserve"> </v>
      </c>
      <c r="I545" s="100"/>
      <c r="J545" s="100" t="str">
        <f>IFERROR(VLOOKUP(Tablo516[[#This Row],[ÜRÜN KODU]],YMKODLARI!$A$1:$K$383,9,0)," ")</f>
        <v xml:space="preserve"> </v>
      </c>
      <c r="K545" s="100" t="str">
        <f>IFERROR(VLOOKUP(Tablo516[[#This Row],[BOYA KODU]],Tablo14[#All],4,0)," ")</f>
        <v xml:space="preserve"> </v>
      </c>
      <c r="L545" s="100" t="str">
        <f>IFERROR(VLOOKUP(Tablo516[[#This Row],[BOYA KODU]],Tablo14[#All],6,0)," ")</f>
        <v xml:space="preserve"> </v>
      </c>
      <c r="M545" s="100" t="str">
        <f t="shared" si="56"/>
        <v xml:space="preserve"> </v>
      </c>
      <c r="N545" s="100" t="str">
        <f>IFERROR(VLOOKUP(Tablo516[[#This Row],[ÜRÜN KODU]],YMKODLARI!$A$1:$K$383,8,0)," ")</f>
        <v xml:space="preserve"> </v>
      </c>
      <c r="O545" s="100" t="str">
        <f>IFERROR(VLOOKUP(Tablo516[[#This Row],[HAMMADDE KODU]],Tablo1[#All],3,0)," ")</f>
        <v xml:space="preserve"> </v>
      </c>
      <c r="P545" s="100" t="str">
        <f>IFERROR(VLOOKUP(Tablo516[[#This Row],[HAMMADDE KODU]],Tablo1[#All],4,0)," ")</f>
        <v xml:space="preserve"> </v>
      </c>
      <c r="Q545" s="100" t="str">
        <f>IFERROR(VLOOKUP(Tablo516[[#This Row],[ÜRÜN KODU]],YMKODLARI!$A$1:$K$383,5,0)," ")</f>
        <v xml:space="preserve"> </v>
      </c>
      <c r="R545" s="100" t="str">
        <f>IFERROR(VLOOKUP(Tablo516[[#This Row],[ÜRÜN KODU]],YMKODLARI!$A$1:$K$383,6,0)," ")</f>
        <v xml:space="preserve"> </v>
      </c>
      <c r="S545" s="100" t="str">
        <f>IFERROR(Tablo516[[#This Row],[YOLLUK HARİÇ BASKI GRAMI]]/Tablo516[[#This Row],[KALIP GÖZ ADEDİ]]," ")</f>
        <v xml:space="preserve"> </v>
      </c>
      <c r="T545" s="100" t="str">
        <f t="shared" si="58"/>
        <v xml:space="preserve"> </v>
      </c>
      <c r="U545" s="100"/>
      <c r="V545" s="100" t="str">
        <f t="shared" si="57"/>
        <v xml:space="preserve"> </v>
      </c>
      <c r="W545" s="101">
        <f t="shared" si="59"/>
        <v>24</v>
      </c>
      <c r="X545" s="102">
        <f t="shared" si="60"/>
        <v>0</v>
      </c>
      <c r="Y545" s="100" t="str">
        <f t="shared" si="61"/>
        <v xml:space="preserve"> </v>
      </c>
      <c r="Z545" s="100" t="str">
        <f t="shared" si="62"/>
        <v xml:space="preserve"> </v>
      </c>
    </row>
    <row r="546" spans="1:26">
      <c r="A546" s="100"/>
      <c r="B546" s="108" t="str">
        <f>IFERROR(VLOOKUP(Tablo516[[#This Row],[ÜRÜN KODU]],YMKODLARI!$A$1:$K$383,2,0)," ")</f>
        <v xml:space="preserve"> </v>
      </c>
      <c r="C546" s="99"/>
      <c r="D546" s="100"/>
      <c r="E546" s="101"/>
      <c r="F546" s="101"/>
      <c r="G546" s="100" t="str">
        <f>IFERROR(VLOOKUP(Tablo516[[#This Row],[ÜRÜN KODU]],YMKODLARI!$A$1:$K$383,3,0)," ")</f>
        <v xml:space="preserve"> </v>
      </c>
      <c r="H546" s="100" t="str">
        <f>IFERROR(VLOOKUP(Tablo516[[#This Row],[ÜRÜN KODU]],YMKODLARI!$A$1:$K$383,4,0)," ")</f>
        <v xml:space="preserve"> </v>
      </c>
      <c r="I546" s="100"/>
      <c r="J546" s="100" t="str">
        <f>IFERROR(VLOOKUP(Tablo516[[#This Row],[ÜRÜN KODU]],YMKODLARI!$A$1:$K$383,9,0)," ")</f>
        <v xml:space="preserve"> </v>
      </c>
      <c r="K546" s="100" t="str">
        <f>IFERROR(VLOOKUP(Tablo516[[#This Row],[BOYA KODU]],Tablo14[#All],4,0)," ")</f>
        <v xml:space="preserve"> </v>
      </c>
      <c r="L546" s="100" t="str">
        <f>IFERROR(VLOOKUP(Tablo516[[#This Row],[BOYA KODU]],Tablo14[#All],6,0)," ")</f>
        <v xml:space="preserve"> </v>
      </c>
      <c r="M546" s="100" t="str">
        <f t="shared" si="56"/>
        <v xml:space="preserve"> </v>
      </c>
      <c r="N546" s="100" t="str">
        <f>IFERROR(VLOOKUP(Tablo516[[#This Row],[ÜRÜN KODU]],YMKODLARI!$A$1:$K$383,8,0)," ")</f>
        <v xml:space="preserve"> </v>
      </c>
      <c r="O546" s="100" t="str">
        <f>IFERROR(VLOOKUP(Tablo516[[#This Row],[HAMMADDE KODU]],Tablo1[#All],3,0)," ")</f>
        <v xml:space="preserve"> </v>
      </c>
      <c r="P546" s="100" t="str">
        <f>IFERROR(VLOOKUP(Tablo516[[#This Row],[HAMMADDE KODU]],Tablo1[#All],4,0)," ")</f>
        <v xml:space="preserve"> </v>
      </c>
      <c r="Q546" s="100" t="str">
        <f>IFERROR(VLOOKUP(Tablo516[[#This Row],[ÜRÜN KODU]],YMKODLARI!$A$1:$K$383,5,0)," ")</f>
        <v xml:space="preserve"> </v>
      </c>
      <c r="R546" s="100" t="str">
        <f>IFERROR(VLOOKUP(Tablo516[[#This Row],[ÜRÜN KODU]],YMKODLARI!$A$1:$K$383,6,0)," ")</f>
        <v xml:space="preserve"> </v>
      </c>
      <c r="S546" s="100" t="str">
        <f>IFERROR(Tablo516[[#This Row],[YOLLUK HARİÇ BASKI GRAMI]]/Tablo516[[#This Row],[KALIP GÖZ ADEDİ]]," ")</f>
        <v xml:space="preserve"> </v>
      </c>
      <c r="T546" s="100" t="str">
        <f t="shared" si="58"/>
        <v xml:space="preserve"> </v>
      </c>
      <c r="U546" s="100"/>
      <c r="V546" s="100" t="str">
        <f t="shared" si="57"/>
        <v xml:space="preserve"> </v>
      </c>
      <c r="W546" s="101">
        <f t="shared" si="59"/>
        <v>24</v>
      </c>
      <c r="X546" s="102">
        <f t="shared" si="60"/>
        <v>0</v>
      </c>
      <c r="Y546" s="100" t="str">
        <f t="shared" si="61"/>
        <v xml:space="preserve"> </v>
      </c>
      <c r="Z546" s="100" t="str">
        <f t="shared" si="62"/>
        <v xml:space="preserve"> </v>
      </c>
    </row>
    <row r="547" spans="1:26">
      <c r="A547" s="100"/>
      <c r="B547" s="108" t="str">
        <f>IFERROR(VLOOKUP(Tablo516[[#This Row],[ÜRÜN KODU]],YMKODLARI!$A$1:$K$383,2,0)," ")</f>
        <v xml:space="preserve"> </v>
      </c>
      <c r="C547" s="99"/>
      <c r="D547" s="100"/>
      <c r="E547" s="101"/>
      <c r="F547" s="101"/>
      <c r="G547" s="100" t="str">
        <f>IFERROR(VLOOKUP(Tablo516[[#This Row],[ÜRÜN KODU]],YMKODLARI!$A$1:$K$383,3,0)," ")</f>
        <v xml:space="preserve"> </v>
      </c>
      <c r="H547" s="100" t="str">
        <f>IFERROR(VLOOKUP(Tablo516[[#This Row],[ÜRÜN KODU]],YMKODLARI!$A$1:$K$383,4,0)," ")</f>
        <v xml:space="preserve"> </v>
      </c>
      <c r="I547" s="100"/>
      <c r="J547" s="100" t="str">
        <f>IFERROR(VLOOKUP(Tablo516[[#This Row],[ÜRÜN KODU]],YMKODLARI!$A$1:$K$383,9,0)," ")</f>
        <v xml:space="preserve"> </v>
      </c>
      <c r="K547" s="100" t="str">
        <f>IFERROR(VLOOKUP(Tablo516[[#This Row],[BOYA KODU]],Tablo14[#All],4,0)," ")</f>
        <v xml:space="preserve"> </v>
      </c>
      <c r="L547" s="100" t="str">
        <f>IFERROR(VLOOKUP(Tablo516[[#This Row],[BOYA KODU]],Tablo14[#All],6,0)," ")</f>
        <v xml:space="preserve"> </v>
      </c>
      <c r="M547" s="100" t="str">
        <f t="shared" si="56"/>
        <v xml:space="preserve"> </v>
      </c>
      <c r="N547" s="100" t="str">
        <f>IFERROR(VLOOKUP(Tablo516[[#This Row],[ÜRÜN KODU]],YMKODLARI!$A$1:$K$383,8,0)," ")</f>
        <v xml:space="preserve"> </v>
      </c>
      <c r="O547" s="100" t="str">
        <f>IFERROR(VLOOKUP(Tablo516[[#This Row],[HAMMADDE KODU]],Tablo1[#All],3,0)," ")</f>
        <v xml:space="preserve"> </v>
      </c>
      <c r="P547" s="100" t="str">
        <f>IFERROR(VLOOKUP(Tablo516[[#This Row],[HAMMADDE KODU]],Tablo1[#All],4,0)," ")</f>
        <v xml:space="preserve"> </v>
      </c>
      <c r="Q547" s="100" t="str">
        <f>IFERROR(VLOOKUP(Tablo516[[#This Row],[ÜRÜN KODU]],YMKODLARI!$A$1:$K$383,5,0)," ")</f>
        <v xml:space="preserve"> </v>
      </c>
      <c r="R547" s="100" t="str">
        <f>IFERROR(VLOOKUP(Tablo516[[#This Row],[ÜRÜN KODU]],YMKODLARI!$A$1:$K$383,6,0)," ")</f>
        <v xml:space="preserve"> </v>
      </c>
      <c r="S547" s="100" t="str">
        <f>IFERROR(Tablo516[[#This Row],[YOLLUK HARİÇ BASKI GRAMI]]/Tablo516[[#This Row],[KALIP GÖZ ADEDİ]]," ")</f>
        <v xml:space="preserve"> </v>
      </c>
      <c r="T547" s="100" t="str">
        <f t="shared" si="58"/>
        <v xml:space="preserve"> </v>
      </c>
      <c r="U547" s="100"/>
      <c r="V547" s="100" t="str">
        <f t="shared" si="57"/>
        <v xml:space="preserve"> </v>
      </c>
      <c r="W547" s="101">
        <f t="shared" si="59"/>
        <v>24</v>
      </c>
      <c r="X547" s="102">
        <f t="shared" si="60"/>
        <v>0</v>
      </c>
      <c r="Y547" s="100" t="str">
        <f t="shared" si="61"/>
        <v xml:space="preserve"> </v>
      </c>
      <c r="Z547" s="100" t="str">
        <f t="shared" si="62"/>
        <v xml:space="preserve"> </v>
      </c>
    </row>
    <row r="548" spans="1:26">
      <c r="A548" s="100"/>
      <c r="B548" s="108" t="str">
        <f>IFERROR(VLOOKUP(Tablo516[[#This Row],[ÜRÜN KODU]],YMKODLARI!$A$1:$K$383,2,0)," ")</f>
        <v xml:space="preserve"> </v>
      </c>
      <c r="C548" s="99"/>
      <c r="D548" s="100"/>
      <c r="E548" s="101"/>
      <c r="F548" s="101"/>
      <c r="G548" s="100" t="str">
        <f>IFERROR(VLOOKUP(Tablo516[[#This Row],[ÜRÜN KODU]],YMKODLARI!$A$1:$K$383,3,0)," ")</f>
        <v xml:space="preserve"> </v>
      </c>
      <c r="H548" s="100" t="str">
        <f>IFERROR(VLOOKUP(Tablo516[[#This Row],[ÜRÜN KODU]],YMKODLARI!$A$1:$K$383,4,0)," ")</f>
        <v xml:space="preserve"> </v>
      </c>
      <c r="I548" s="100"/>
      <c r="J548" s="100" t="str">
        <f>IFERROR(VLOOKUP(Tablo516[[#This Row],[ÜRÜN KODU]],YMKODLARI!$A$1:$K$383,9,0)," ")</f>
        <v xml:space="preserve"> </v>
      </c>
      <c r="K548" s="100" t="str">
        <f>IFERROR(VLOOKUP(Tablo516[[#This Row],[BOYA KODU]],Tablo14[#All],4,0)," ")</f>
        <v xml:space="preserve"> </v>
      </c>
      <c r="L548" s="100" t="str">
        <f>IFERROR(VLOOKUP(Tablo516[[#This Row],[BOYA KODU]],Tablo14[#All],6,0)," ")</f>
        <v xml:space="preserve"> </v>
      </c>
      <c r="M548" s="100" t="str">
        <f t="shared" si="56"/>
        <v xml:space="preserve"> </v>
      </c>
      <c r="N548" s="100" t="str">
        <f>IFERROR(VLOOKUP(Tablo516[[#This Row],[ÜRÜN KODU]],YMKODLARI!$A$1:$K$383,8,0)," ")</f>
        <v xml:space="preserve"> </v>
      </c>
      <c r="O548" s="100" t="str">
        <f>IFERROR(VLOOKUP(Tablo516[[#This Row],[HAMMADDE KODU]],Tablo1[#All],3,0)," ")</f>
        <v xml:space="preserve"> </v>
      </c>
      <c r="P548" s="100" t="str">
        <f>IFERROR(VLOOKUP(Tablo516[[#This Row],[HAMMADDE KODU]],Tablo1[#All],4,0)," ")</f>
        <v xml:space="preserve"> </v>
      </c>
      <c r="Q548" s="100" t="str">
        <f>IFERROR(VLOOKUP(Tablo516[[#This Row],[ÜRÜN KODU]],YMKODLARI!$A$1:$K$383,5,0)," ")</f>
        <v xml:space="preserve"> </v>
      </c>
      <c r="R548" s="100" t="str">
        <f>IFERROR(VLOOKUP(Tablo516[[#This Row],[ÜRÜN KODU]],YMKODLARI!$A$1:$K$383,6,0)," ")</f>
        <v xml:space="preserve"> </v>
      </c>
      <c r="S548" s="100" t="str">
        <f>IFERROR(Tablo516[[#This Row],[YOLLUK HARİÇ BASKI GRAMI]]/Tablo516[[#This Row],[KALIP GÖZ ADEDİ]]," ")</f>
        <v xml:space="preserve"> </v>
      </c>
      <c r="T548" s="100" t="str">
        <f t="shared" si="58"/>
        <v xml:space="preserve"> </v>
      </c>
      <c r="U548" s="100"/>
      <c r="V548" s="100" t="str">
        <f t="shared" si="57"/>
        <v xml:space="preserve"> </v>
      </c>
      <c r="W548" s="101">
        <f t="shared" si="59"/>
        <v>24</v>
      </c>
      <c r="X548" s="102">
        <f t="shared" si="60"/>
        <v>0</v>
      </c>
      <c r="Y548" s="100" t="str">
        <f t="shared" si="61"/>
        <v xml:space="preserve"> </v>
      </c>
      <c r="Z548" s="100" t="str">
        <f t="shared" si="62"/>
        <v xml:space="preserve"> </v>
      </c>
    </row>
    <row r="549" spans="1:26">
      <c r="A549" s="100"/>
      <c r="B549" s="108" t="str">
        <f>IFERROR(VLOOKUP(Tablo516[[#This Row],[ÜRÜN KODU]],YMKODLARI!$A$1:$K$383,2,0)," ")</f>
        <v xml:space="preserve"> </v>
      </c>
      <c r="C549" s="99"/>
      <c r="D549" s="100"/>
      <c r="E549" s="101"/>
      <c r="F549" s="101"/>
      <c r="G549" s="100" t="str">
        <f>IFERROR(VLOOKUP(Tablo516[[#This Row],[ÜRÜN KODU]],YMKODLARI!$A$1:$K$383,3,0)," ")</f>
        <v xml:space="preserve"> </v>
      </c>
      <c r="H549" s="100" t="str">
        <f>IFERROR(VLOOKUP(Tablo516[[#This Row],[ÜRÜN KODU]],YMKODLARI!$A$1:$K$383,4,0)," ")</f>
        <v xml:space="preserve"> </v>
      </c>
      <c r="I549" s="100"/>
      <c r="J549" s="100" t="str">
        <f>IFERROR(VLOOKUP(Tablo516[[#This Row],[ÜRÜN KODU]],YMKODLARI!$A$1:$K$383,9,0)," ")</f>
        <v xml:space="preserve"> </v>
      </c>
      <c r="K549" s="100" t="str">
        <f>IFERROR(VLOOKUP(Tablo516[[#This Row],[BOYA KODU]],Tablo14[#All],4,0)," ")</f>
        <v xml:space="preserve"> </v>
      </c>
      <c r="L549" s="100" t="str">
        <f>IFERROR(VLOOKUP(Tablo516[[#This Row],[BOYA KODU]],Tablo14[#All],6,0)," ")</f>
        <v xml:space="preserve"> </v>
      </c>
      <c r="M549" s="100" t="str">
        <f t="shared" si="56"/>
        <v xml:space="preserve"> </v>
      </c>
      <c r="N549" s="100" t="str">
        <f>IFERROR(VLOOKUP(Tablo516[[#This Row],[ÜRÜN KODU]],YMKODLARI!$A$1:$K$383,8,0)," ")</f>
        <v xml:space="preserve"> </v>
      </c>
      <c r="O549" s="100" t="str">
        <f>IFERROR(VLOOKUP(Tablo516[[#This Row],[HAMMADDE KODU]],Tablo1[#All],3,0)," ")</f>
        <v xml:space="preserve"> </v>
      </c>
      <c r="P549" s="100" t="str">
        <f>IFERROR(VLOOKUP(Tablo516[[#This Row],[HAMMADDE KODU]],Tablo1[#All],4,0)," ")</f>
        <v xml:space="preserve"> </v>
      </c>
      <c r="Q549" s="100" t="str">
        <f>IFERROR(VLOOKUP(Tablo516[[#This Row],[ÜRÜN KODU]],YMKODLARI!$A$1:$K$383,5,0)," ")</f>
        <v xml:space="preserve"> </v>
      </c>
      <c r="R549" s="100" t="str">
        <f>IFERROR(VLOOKUP(Tablo516[[#This Row],[ÜRÜN KODU]],YMKODLARI!$A$1:$K$383,6,0)," ")</f>
        <v xml:space="preserve"> </v>
      </c>
      <c r="S549" s="100" t="str">
        <f>IFERROR(Tablo516[[#This Row],[YOLLUK HARİÇ BASKI GRAMI]]/Tablo516[[#This Row],[KALIP GÖZ ADEDİ]]," ")</f>
        <v xml:space="preserve"> </v>
      </c>
      <c r="T549" s="100" t="str">
        <f t="shared" si="58"/>
        <v xml:space="preserve"> </v>
      </c>
      <c r="U549" s="100"/>
      <c r="V549" s="100" t="str">
        <f t="shared" si="57"/>
        <v xml:space="preserve"> </v>
      </c>
      <c r="W549" s="101">
        <f t="shared" si="59"/>
        <v>24</v>
      </c>
      <c r="X549" s="102">
        <f t="shared" si="60"/>
        <v>0</v>
      </c>
      <c r="Y549" s="100" t="str">
        <f t="shared" si="61"/>
        <v xml:space="preserve"> </v>
      </c>
      <c r="Z549" s="100" t="str">
        <f t="shared" si="62"/>
        <v xml:space="preserve"> </v>
      </c>
    </row>
    <row r="550" spans="1:26">
      <c r="A550" s="100"/>
      <c r="B550" s="108" t="str">
        <f>IFERROR(VLOOKUP(Tablo516[[#This Row],[ÜRÜN KODU]],YMKODLARI!$A$1:$K$383,2,0)," ")</f>
        <v xml:space="preserve"> </v>
      </c>
      <c r="C550" s="99"/>
      <c r="D550" s="100"/>
      <c r="E550" s="101"/>
      <c r="F550" s="101"/>
      <c r="G550" s="100" t="str">
        <f>IFERROR(VLOOKUP(Tablo516[[#This Row],[ÜRÜN KODU]],YMKODLARI!$A$1:$K$383,3,0)," ")</f>
        <v xml:space="preserve"> </v>
      </c>
      <c r="H550" s="100" t="str">
        <f>IFERROR(VLOOKUP(Tablo516[[#This Row],[ÜRÜN KODU]],YMKODLARI!$A$1:$K$383,4,0)," ")</f>
        <v xml:space="preserve"> </v>
      </c>
      <c r="I550" s="100"/>
      <c r="J550" s="100" t="str">
        <f>IFERROR(VLOOKUP(Tablo516[[#This Row],[ÜRÜN KODU]],YMKODLARI!$A$1:$K$383,9,0)," ")</f>
        <v xml:space="preserve"> </v>
      </c>
      <c r="K550" s="100" t="str">
        <f>IFERROR(VLOOKUP(Tablo516[[#This Row],[BOYA KODU]],Tablo14[#All],4,0)," ")</f>
        <v xml:space="preserve"> </v>
      </c>
      <c r="L550" s="100" t="str">
        <f>IFERROR(VLOOKUP(Tablo516[[#This Row],[BOYA KODU]],Tablo14[#All],6,0)," ")</f>
        <v xml:space="preserve"> </v>
      </c>
      <c r="M550" s="100" t="str">
        <f t="shared" si="56"/>
        <v xml:space="preserve"> </v>
      </c>
      <c r="N550" s="100" t="str">
        <f>IFERROR(VLOOKUP(Tablo516[[#This Row],[ÜRÜN KODU]],YMKODLARI!$A$1:$K$383,8,0)," ")</f>
        <v xml:space="preserve"> </v>
      </c>
      <c r="O550" s="100" t="str">
        <f>IFERROR(VLOOKUP(Tablo516[[#This Row],[HAMMADDE KODU]],Tablo1[#All],3,0)," ")</f>
        <v xml:space="preserve"> </v>
      </c>
      <c r="P550" s="100" t="str">
        <f>IFERROR(VLOOKUP(Tablo516[[#This Row],[HAMMADDE KODU]],Tablo1[#All],4,0)," ")</f>
        <v xml:space="preserve"> </v>
      </c>
      <c r="Q550" s="100" t="str">
        <f>IFERROR(VLOOKUP(Tablo516[[#This Row],[ÜRÜN KODU]],YMKODLARI!$A$1:$K$383,5,0)," ")</f>
        <v xml:space="preserve"> </v>
      </c>
      <c r="R550" s="100" t="str">
        <f>IFERROR(VLOOKUP(Tablo516[[#This Row],[ÜRÜN KODU]],YMKODLARI!$A$1:$K$383,6,0)," ")</f>
        <v xml:space="preserve"> </v>
      </c>
      <c r="S550" s="100" t="str">
        <f>IFERROR(Tablo516[[#This Row],[YOLLUK HARİÇ BASKI GRAMI]]/Tablo516[[#This Row],[KALIP GÖZ ADEDİ]]," ")</f>
        <v xml:space="preserve"> </v>
      </c>
      <c r="T550" s="100" t="str">
        <f t="shared" si="58"/>
        <v xml:space="preserve"> </v>
      </c>
      <c r="U550" s="100"/>
      <c r="V550" s="100" t="str">
        <f t="shared" si="57"/>
        <v xml:space="preserve"> </v>
      </c>
      <c r="W550" s="101">
        <f t="shared" si="59"/>
        <v>24</v>
      </c>
      <c r="X550" s="102">
        <f t="shared" si="60"/>
        <v>0</v>
      </c>
      <c r="Y550" s="100" t="str">
        <f t="shared" si="61"/>
        <v xml:space="preserve"> </v>
      </c>
      <c r="Z550" s="100" t="str">
        <f t="shared" si="62"/>
        <v xml:space="preserve"> </v>
      </c>
    </row>
    <row r="551" spans="1:26">
      <c r="A551" s="100"/>
      <c r="B551" s="108" t="str">
        <f>IFERROR(VLOOKUP(Tablo516[[#This Row],[ÜRÜN KODU]],YMKODLARI!$A$1:$K$383,2,0)," ")</f>
        <v xml:space="preserve"> </v>
      </c>
      <c r="C551" s="99"/>
      <c r="D551" s="100"/>
      <c r="E551" s="101"/>
      <c r="F551" s="101"/>
      <c r="G551" s="100" t="str">
        <f>IFERROR(VLOOKUP(Tablo516[[#This Row],[ÜRÜN KODU]],YMKODLARI!$A$1:$K$383,3,0)," ")</f>
        <v xml:space="preserve"> </v>
      </c>
      <c r="H551" s="100" t="str">
        <f>IFERROR(VLOOKUP(Tablo516[[#This Row],[ÜRÜN KODU]],YMKODLARI!$A$1:$K$383,4,0)," ")</f>
        <v xml:space="preserve"> </v>
      </c>
      <c r="I551" s="100"/>
      <c r="J551" s="100" t="str">
        <f>IFERROR(VLOOKUP(Tablo516[[#This Row],[ÜRÜN KODU]],YMKODLARI!$A$1:$K$383,9,0)," ")</f>
        <v xml:space="preserve"> </v>
      </c>
      <c r="K551" s="100" t="str">
        <f>IFERROR(VLOOKUP(Tablo516[[#This Row],[BOYA KODU]],Tablo14[#All],4,0)," ")</f>
        <v xml:space="preserve"> </v>
      </c>
      <c r="L551" s="100" t="str">
        <f>IFERROR(VLOOKUP(Tablo516[[#This Row],[BOYA KODU]],Tablo14[#All],6,0)," ")</f>
        <v xml:space="preserve"> </v>
      </c>
      <c r="M551" s="100" t="str">
        <f t="shared" si="56"/>
        <v xml:space="preserve"> </v>
      </c>
      <c r="N551" s="100" t="str">
        <f>IFERROR(VLOOKUP(Tablo516[[#This Row],[ÜRÜN KODU]],YMKODLARI!$A$1:$K$383,8,0)," ")</f>
        <v xml:space="preserve"> </v>
      </c>
      <c r="O551" s="100" t="str">
        <f>IFERROR(VLOOKUP(Tablo516[[#This Row],[HAMMADDE KODU]],Tablo1[#All],3,0)," ")</f>
        <v xml:space="preserve"> </v>
      </c>
      <c r="P551" s="100" t="str">
        <f>IFERROR(VLOOKUP(Tablo516[[#This Row],[HAMMADDE KODU]],Tablo1[#All],4,0)," ")</f>
        <v xml:space="preserve"> </v>
      </c>
      <c r="Q551" s="100" t="str">
        <f>IFERROR(VLOOKUP(Tablo516[[#This Row],[ÜRÜN KODU]],YMKODLARI!$A$1:$K$383,5,0)," ")</f>
        <v xml:space="preserve"> </v>
      </c>
      <c r="R551" s="100" t="str">
        <f>IFERROR(VLOOKUP(Tablo516[[#This Row],[ÜRÜN KODU]],YMKODLARI!$A$1:$K$383,6,0)," ")</f>
        <v xml:space="preserve"> </v>
      </c>
      <c r="S551" s="100" t="str">
        <f>IFERROR(Tablo516[[#This Row],[YOLLUK HARİÇ BASKI GRAMI]]/Tablo516[[#This Row],[KALIP GÖZ ADEDİ]]," ")</f>
        <v xml:space="preserve"> </v>
      </c>
      <c r="T551" s="100" t="str">
        <f t="shared" si="58"/>
        <v xml:space="preserve"> </v>
      </c>
      <c r="U551" s="100"/>
      <c r="V551" s="100" t="str">
        <f t="shared" si="57"/>
        <v xml:space="preserve"> </v>
      </c>
      <c r="W551" s="101">
        <f t="shared" si="59"/>
        <v>24</v>
      </c>
      <c r="X551" s="102">
        <f t="shared" si="60"/>
        <v>0</v>
      </c>
      <c r="Y551" s="100" t="str">
        <f t="shared" si="61"/>
        <v xml:space="preserve"> </v>
      </c>
      <c r="Z551" s="100" t="str">
        <f t="shared" si="62"/>
        <v xml:space="preserve"> </v>
      </c>
    </row>
    <row r="552" spans="1:26">
      <c r="A552" s="100"/>
      <c r="B552" s="108" t="str">
        <f>IFERROR(VLOOKUP(Tablo516[[#This Row],[ÜRÜN KODU]],YMKODLARI!$A$1:$K$383,2,0)," ")</f>
        <v xml:space="preserve"> </v>
      </c>
      <c r="C552" s="99"/>
      <c r="D552" s="100"/>
      <c r="E552" s="101"/>
      <c r="F552" s="101"/>
      <c r="G552" s="100" t="str">
        <f>IFERROR(VLOOKUP(Tablo516[[#This Row],[ÜRÜN KODU]],YMKODLARI!$A$1:$K$383,3,0)," ")</f>
        <v xml:space="preserve"> </v>
      </c>
      <c r="H552" s="100" t="str">
        <f>IFERROR(VLOOKUP(Tablo516[[#This Row],[ÜRÜN KODU]],YMKODLARI!$A$1:$K$383,4,0)," ")</f>
        <v xml:space="preserve"> </v>
      </c>
      <c r="I552" s="100"/>
      <c r="J552" s="100" t="str">
        <f>IFERROR(VLOOKUP(Tablo516[[#This Row],[ÜRÜN KODU]],YMKODLARI!$A$1:$K$383,9,0)," ")</f>
        <v xml:space="preserve"> </v>
      </c>
      <c r="K552" s="100" t="str">
        <f>IFERROR(VLOOKUP(Tablo516[[#This Row],[BOYA KODU]],Tablo14[#All],4,0)," ")</f>
        <v xml:space="preserve"> </v>
      </c>
      <c r="L552" s="100" t="str">
        <f>IFERROR(VLOOKUP(Tablo516[[#This Row],[BOYA KODU]],Tablo14[#All],6,0)," ")</f>
        <v xml:space="preserve"> </v>
      </c>
      <c r="M552" s="100" t="str">
        <f t="shared" si="56"/>
        <v xml:space="preserve"> </v>
      </c>
      <c r="N552" s="100" t="str">
        <f>IFERROR(VLOOKUP(Tablo516[[#This Row],[ÜRÜN KODU]],YMKODLARI!$A$1:$K$383,8,0)," ")</f>
        <v xml:space="preserve"> </v>
      </c>
      <c r="O552" s="100" t="str">
        <f>IFERROR(VLOOKUP(Tablo516[[#This Row],[HAMMADDE KODU]],Tablo1[#All],3,0)," ")</f>
        <v xml:space="preserve"> </v>
      </c>
      <c r="P552" s="100" t="str">
        <f>IFERROR(VLOOKUP(Tablo516[[#This Row],[HAMMADDE KODU]],Tablo1[#All],4,0)," ")</f>
        <v xml:space="preserve"> </v>
      </c>
      <c r="Q552" s="100" t="str">
        <f>IFERROR(VLOOKUP(Tablo516[[#This Row],[ÜRÜN KODU]],YMKODLARI!$A$1:$K$383,5,0)," ")</f>
        <v xml:space="preserve"> </v>
      </c>
      <c r="R552" s="100" t="str">
        <f>IFERROR(VLOOKUP(Tablo516[[#This Row],[ÜRÜN KODU]],YMKODLARI!$A$1:$K$383,6,0)," ")</f>
        <v xml:space="preserve"> </v>
      </c>
      <c r="S552" s="100" t="str">
        <f>IFERROR(Tablo516[[#This Row],[YOLLUK HARİÇ BASKI GRAMI]]/Tablo516[[#This Row],[KALIP GÖZ ADEDİ]]," ")</f>
        <v xml:space="preserve"> </v>
      </c>
      <c r="T552" s="100" t="str">
        <f t="shared" si="58"/>
        <v xml:space="preserve"> </v>
      </c>
      <c r="U552" s="100"/>
      <c r="V552" s="100" t="str">
        <f t="shared" si="57"/>
        <v xml:space="preserve"> </v>
      </c>
      <c r="W552" s="101">
        <f t="shared" si="59"/>
        <v>24</v>
      </c>
      <c r="X552" s="102">
        <f t="shared" si="60"/>
        <v>0</v>
      </c>
      <c r="Y552" s="100" t="str">
        <f t="shared" si="61"/>
        <v xml:space="preserve"> </v>
      </c>
      <c r="Z552" s="100" t="str">
        <f t="shared" si="62"/>
        <v xml:space="preserve"> </v>
      </c>
    </row>
    <row r="553" spans="1:26">
      <c r="A553" s="100"/>
      <c r="B553" s="108" t="str">
        <f>IFERROR(VLOOKUP(Tablo516[[#This Row],[ÜRÜN KODU]],YMKODLARI!$A$1:$K$383,2,0)," ")</f>
        <v xml:space="preserve"> </v>
      </c>
      <c r="C553" s="99"/>
      <c r="D553" s="100"/>
      <c r="E553" s="101"/>
      <c r="F553" s="101"/>
      <c r="G553" s="100" t="str">
        <f>IFERROR(VLOOKUP(Tablo516[[#This Row],[ÜRÜN KODU]],YMKODLARI!$A$1:$K$383,3,0)," ")</f>
        <v xml:space="preserve"> </v>
      </c>
      <c r="H553" s="100" t="str">
        <f>IFERROR(VLOOKUP(Tablo516[[#This Row],[ÜRÜN KODU]],YMKODLARI!$A$1:$K$383,4,0)," ")</f>
        <v xml:space="preserve"> </v>
      </c>
      <c r="I553" s="100"/>
      <c r="J553" s="100" t="str">
        <f>IFERROR(VLOOKUP(Tablo516[[#This Row],[ÜRÜN KODU]],YMKODLARI!$A$1:$K$383,9,0)," ")</f>
        <v xml:space="preserve"> </v>
      </c>
      <c r="K553" s="100" t="str">
        <f>IFERROR(VLOOKUP(Tablo516[[#This Row],[BOYA KODU]],Tablo14[#All],4,0)," ")</f>
        <v xml:space="preserve"> </v>
      </c>
      <c r="L553" s="100" t="str">
        <f>IFERROR(VLOOKUP(Tablo516[[#This Row],[BOYA KODU]],Tablo14[#All],6,0)," ")</f>
        <v xml:space="preserve"> </v>
      </c>
      <c r="M553" s="100" t="str">
        <f t="shared" si="56"/>
        <v xml:space="preserve"> </v>
      </c>
      <c r="N553" s="100" t="str">
        <f>IFERROR(VLOOKUP(Tablo516[[#This Row],[ÜRÜN KODU]],YMKODLARI!$A$1:$K$383,8,0)," ")</f>
        <v xml:space="preserve"> </v>
      </c>
      <c r="O553" s="100" t="str">
        <f>IFERROR(VLOOKUP(Tablo516[[#This Row],[HAMMADDE KODU]],Tablo1[#All],3,0)," ")</f>
        <v xml:space="preserve"> </v>
      </c>
      <c r="P553" s="100" t="str">
        <f>IFERROR(VLOOKUP(Tablo516[[#This Row],[HAMMADDE KODU]],Tablo1[#All],4,0)," ")</f>
        <v xml:space="preserve"> </v>
      </c>
      <c r="Q553" s="100" t="str">
        <f>IFERROR(VLOOKUP(Tablo516[[#This Row],[ÜRÜN KODU]],YMKODLARI!$A$1:$K$383,5,0)," ")</f>
        <v xml:space="preserve"> </v>
      </c>
      <c r="R553" s="100" t="str">
        <f>IFERROR(VLOOKUP(Tablo516[[#This Row],[ÜRÜN KODU]],YMKODLARI!$A$1:$K$383,6,0)," ")</f>
        <v xml:space="preserve"> </v>
      </c>
      <c r="S553" s="100" t="str">
        <f>IFERROR(Tablo516[[#This Row],[YOLLUK HARİÇ BASKI GRAMI]]/Tablo516[[#This Row],[KALIP GÖZ ADEDİ]]," ")</f>
        <v xml:space="preserve"> </v>
      </c>
      <c r="T553" s="100" t="str">
        <f t="shared" si="58"/>
        <v xml:space="preserve"> </v>
      </c>
      <c r="U553" s="100"/>
      <c r="V553" s="100" t="str">
        <f t="shared" si="57"/>
        <v xml:space="preserve"> </v>
      </c>
      <c r="W553" s="101">
        <f t="shared" si="59"/>
        <v>24</v>
      </c>
      <c r="X553" s="102">
        <f t="shared" si="60"/>
        <v>0</v>
      </c>
      <c r="Y553" s="100" t="str">
        <f t="shared" si="61"/>
        <v xml:space="preserve"> </v>
      </c>
      <c r="Z553" s="100" t="str">
        <f t="shared" si="62"/>
        <v xml:space="preserve"> </v>
      </c>
    </row>
    <row r="554" spans="1:26">
      <c r="A554" s="100"/>
      <c r="B554" s="108" t="str">
        <f>IFERROR(VLOOKUP(Tablo516[[#This Row],[ÜRÜN KODU]],YMKODLARI!$A$1:$K$383,2,0)," ")</f>
        <v xml:space="preserve"> </v>
      </c>
      <c r="C554" s="99"/>
      <c r="D554" s="100"/>
      <c r="E554" s="101"/>
      <c r="F554" s="101"/>
      <c r="G554" s="100" t="str">
        <f>IFERROR(VLOOKUP(Tablo516[[#This Row],[ÜRÜN KODU]],YMKODLARI!$A$1:$K$383,3,0)," ")</f>
        <v xml:space="preserve"> </v>
      </c>
      <c r="H554" s="100" t="str">
        <f>IFERROR(VLOOKUP(Tablo516[[#This Row],[ÜRÜN KODU]],YMKODLARI!$A$1:$K$383,4,0)," ")</f>
        <v xml:space="preserve"> </v>
      </c>
      <c r="I554" s="100"/>
      <c r="J554" s="100" t="str">
        <f>IFERROR(VLOOKUP(Tablo516[[#This Row],[ÜRÜN KODU]],YMKODLARI!$A$1:$K$383,9,0)," ")</f>
        <v xml:space="preserve"> </v>
      </c>
      <c r="K554" s="100" t="str">
        <f>IFERROR(VLOOKUP(Tablo516[[#This Row],[BOYA KODU]],Tablo14[#All],4,0)," ")</f>
        <v xml:space="preserve"> </v>
      </c>
      <c r="L554" s="100" t="str">
        <f>IFERROR(VLOOKUP(Tablo516[[#This Row],[BOYA KODU]],Tablo14[#All],6,0)," ")</f>
        <v xml:space="preserve"> </v>
      </c>
      <c r="M554" s="100" t="str">
        <f t="shared" si="56"/>
        <v xml:space="preserve"> </v>
      </c>
      <c r="N554" s="100" t="str">
        <f>IFERROR(VLOOKUP(Tablo516[[#This Row],[ÜRÜN KODU]],YMKODLARI!$A$1:$K$383,8,0)," ")</f>
        <v xml:space="preserve"> </v>
      </c>
      <c r="O554" s="100" t="str">
        <f>IFERROR(VLOOKUP(Tablo516[[#This Row],[HAMMADDE KODU]],Tablo1[#All],3,0)," ")</f>
        <v xml:space="preserve"> </v>
      </c>
      <c r="P554" s="100" t="str">
        <f>IFERROR(VLOOKUP(Tablo516[[#This Row],[HAMMADDE KODU]],Tablo1[#All],4,0)," ")</f>
        <v xml:space="preserve"> </v>
      </c>
      <c r="Q554" s="100" t="str">
        <f>IFERROR(VLOOKUP(Tablo516[[#This Row],[ÜRÜN KODU]],YMKODLARI!$A$1:$K$383,5,0)," ")</f>
        <v xml:space="preserve"> </v>
      </c>
      <c r="R554" s="100" t="str">
        <f>IFERROR(VLOOKUP(Tablo516[[#This Row],[ÜRÜN KODU]],YMKODLARI!$A$1:$K$383,6,0)," ")</f>
        <v xml:space="preserve"> </v>
      </c>
      <c r="S554" s="100" t="str">
        <f>IFERROR(Tablo516[[#This Row],[YOLLUK HARİÇ BASKI GRAMI]]/Tablo516[[#This Row],[KALIP GÖZ ADEDİ]]," ")</f>
        <v xml:space="preserve"> </v>
      </c>
      <c r="T554" s="100" t="str">
        <f t="shared" si="58"/>
        <v xml:space="preserve"> </v>
      </c>
      <c r="U554" s="100"/>
      <c r="V554" s="100" t="str">
        <f t="shared" si="57"/>
        <v xml:space="preserve"> </v>
      </c>
      <c r="W554" s="101">
        <f t="shared" si="59"/>
        <v>24</v>
      </c>
      <c r="X554" s="102">
        <f t="shared" si="60"/>
        <v>0</v>
      </c>
      <c r="Y554" s="100" t="str">
        <f t="shared" si="61"/>
        <v xml:space="preserve"> </v>
      </c>
      <c r="Z554" s="100" t="str">
        <f t="shared" si="62"/>
        <v xml:space="preserve"> </v>
      </c>
    </row>
    <row r="555" spans="1:26">
      <c r="A555" s="100"/>
      <c r="B555" s="108" t="str">
        <f>IFERROR(VLOOKUP(Tablo516[[#This Row],[ÜRÜN KODU]],YMKODLARI!$A$1:$K$383,2,0)," ")</f>
        <v xml:space="preserve"> </v>
      </c>
      <c r="C555" s="99"/>
      <c r="D555" s="100"/>
      <c r="E555" s="101"/>
      <c r="F555" s="101"/>
      <c r="G555" s="100" t="str">
        <f>IFERROR(VLOOKUP(Tablo516[[#This Row],[ÜRÜN KODU]],YMKODLARI!$A$1:$K$383,3,0)," ")</f>
        <v xml:space="preserve"> </v>
      </c>
      <c r="H555" s="100" t="str">
        <f>IFERROR(VLOOKUP(Tablo516[[#This Row],[ÜRÜN KODU]],YMKODLARI!$A$1:$K$383,4,0)," ")</f>
        <v xml:space="preserve"> </v>
      </c>
      <c r="I555" s="100"/>
      <c r="J555" s="100" t="str">
        <f>IFERROR(VLOOKUP(Tablo516[[#This Row],[ÜRÜN KODU]],YMKODLARI!$A$1:$K$383,9,0)," ")</f>
        <v xml:space="preserve"> </v>
      </c>
      <c r="K555" s="100" t="str">
        <f>IFERROR(VLOOKUP(Tablo516[[#This Row],[BOYA KODU]],Tablo14[#All],4,0)," ")</f>
        <v xml:space="preserve"> </v>
      </c>
      <c r="L555" s="100" t="str">
        <f>IFERROR(VLOOKUP(Tablo516[[#This Row],[BOYA KODU]],Tablo14[#All],6,0)," ")</f>
        <v xml:space="preserve"> </v>
      </c>
      <c r="M555" s="100" t="str">
        <f t="shared" si="56"/>
        <v xml:space="preserve"> </v>
      </c>
      <c r="N555" s="100" t="str">
        <f>IFERROR(VLOOKUP(Tablo516[[#This Row],[ÜRÜN KODU]],YMKODLARI!$A$1:$K$383,8,0)," ")</f>
        <v xml:space="preserve"> </v>
      </c>
      <c r="O555" s="100" t="str">
        <f>IFERROR(VLOOKUP(Tablo516[[#This Row],[HAMMADDE KODU]],Tablo1[#All],3,0)," ")</f>
        <v xml:space="preserve"> </v>
      </c>
      <c r="P555" s="100" t="str">
        <f>IFERROR(VLOOKUP(Tablo516[[#This Row],[HAMMADDE KODU]],Tablo1[#All],4,0)," ")</f>
        <v xml:space="preserve"> </v>
      </c>
      <c r="Q555" s="100" t="str">
        <f>IFERROR(VLOOKUP(Tablo516[[#This Row],[ÜRÜN KODU]],YMKODLARI!$A$1:$K$383,5,0)," ")</f>
        <v xml:space="preserve"> </v>
      </c>
      <c r="R555" s="100" t="str">
        <f>IFERROR(VLOOKUP(Tablo516[[#This Row],[ÜRÜN KODU]],YMKODLARI!$A$1:$K$383,6,0)," ")</f>
        <v xml:space="preserve"> </v>
      </c>
      <c r="S555" s="100" t="str">
        <f>IFERROR(Tablo516[[#This Row],[YOLLUK HARİÇ BASKI GRAMI]]/Tablo516[[#This Row],[KALIP GÖZ ADEDİ]]," ")</f>
        <v xml:space="preserve"> </v>
      </c>
      <c r="T555" s="100" t="str">
        <f t="shared" si="58"/>
        <v xml:space="preserve"> </v>
      </c>
      <c r="U555" s="100"/>
      <c r="V555" s="100" t="str">
        <f t="shared" si="57"/>
        <v xml:space="preserve"> </v>
      </c>
      <c r="W555" s="101">
        <f t="shared" si="59"/>
        <v>24</v>
      </c>
      <c r="X555" s="102">
        <f t="shared" si="60"/>
        <v>0</v>
      </c>
      <c r="Y555" s="100" t="str">
        <f t="shared" si="61"/>
        <v xml:space="preserve"> </v>
      </c>
      <c r="Z555" s="100" t="str">
        <f t="shared" si="62"/>
        <v xml:space="preserve"> </v>
      </c>
    </row>
    <row r="556" spans="1:26">
      <c r="A556" s="100"/>
      <c r="B556" s="108" t="str">
        <f>IFERROR(VLOOKUP(Tablo516[[#This Row],[ÜRÜN KODU]],YMKODLARI!$A$1:$K$383,2,0)," ")</f>
        <v xml:space="preserve"> </v>
      </c>
      <c r="C556" s="99"/>
      <c r="D556" s="100"/>
      <c r="E556" s="101"/>
      <c r="F556" s="101"/>
      <c r="G556" s="100" t="str">
        <f>IFERROR(VLOOKUP(Tablo516[[#This Row],[ÜRÜN KODU]],YMKODLARI!$A$1:$K$383,3,0)," ")</f>
        <v xml:space="preserve"> </v>
      </c>
      <c r="H556" s="100" t="str">
        <f>IFERROR(VLOOKUP(Tablo516[[#This Row],[ÜRÜN KODU]],YMKODLARI!$A$1:$K$383,4,0)," ")</f>
        <v xml:space="preserve"> </v>
      </c>
      <c r="I556" s="100"/>
      <c r="J556" s="100" t="str">
        <f>IFERROR(VLOOKUP(Tablo516[[#This Row],[ÜRÜN KODU]],YMKODLARI!$A$1:$K$383,9,0)," ")</f>
        <v xml:space="preserve"> </v>
      </c>
      <c r="K556" s="100" t="str">
        <f>IFERROR(VLOOKUP(Tablo516[[#This Row],[BOYA KODU]],Tablo14[#All],4,0)," ")</f>
        <v xml:space="preserve"> </v>
      </c>
      <c r="L556" s="100" t="str">
        <f>IFERROR(VLOOKUP(Tablo516[[#This Row],[BOYA KODU]],Tablo14[#All],6,0)," ")</f>
        <v xml:space="preserve"> </v>
      </c>
      <c r="M556" s="100" t="str">
        <f t="shared" si="56"/>
        <v xml:space="preserve"> </v>
      </c>
      <c r="N556" s="100" t="str">
        <f>IFERROR(VLOOKUP(Tablo516[[#This Row],[ÜRÜN KODU]],YMKODLARI!$A$1:$K$383,8,0)," ")</f>
        <v xml:space="preserve"> </v>
      </c>
      <c r="O556" s="100" t="str">
        <f>IFERROR(VLOOKUP(Tablo516[[#This Row],[HAMMADDE KODU]],Tablo1[#All],3,0)," ")</f>
        <v xml:space="preserve"> </v>
      </c>
      <c r="P556" s="100" t="str">
        <f>IFERROR(VLOOKUP(Tablo516[[#This Row],[HAMMADDE KODU]],Tablo1[#All],4,0)," ")</f>
        <v xml:space="preserve"> </v>
      </c>
      <c r="Q556" s="100" t="str">
        <f>IFERROR(VLOOKUP(Tablo516[[#This Row],[ÜRÜN KODU]],YMKODLARI!$A$1:$K$383,5,0)," ")</f>
        <v xml:space="preserve"> </v>
      </c>
      <c r="R556" s="100" t="str">
        <f>IFERROR(VLOOKUP(Tablo516[[#This Row],[ÜRÜN KODU]],YMKODLARI!$A$1:$K$383,6,0)," ")</f>
        <v xml:space="preserve"> </v>
      </c>
      <c r="S556" s="100" t="str">
        <f>IFERROR(Tablo516[[#This Row],[YOLLUK HARİÇ BASKI GRAMI]]/Tablo516[[#This Row],[KALIP GÖZ ADEDİ]]," ")</f>
        <v xml:space="preserve"> </v>
      </c>
      <c r="T556" s="100" t="str">
        <f t="shared" si="58"/>
        <v xml:space="preserve"> </v>
      </c>
      <c r="U556" s="100"/>
      <c r="V556" s="100" t="str">
        <f t="shared" si="57"/>
        <v xml:space="preserve"> </v>
      </c>
      <c r="W556" s="101">
        <f t="shared" si="59"/>
        <v>24</v>
      </c>
      <c r="X556" s="102">
        <f t="shared" si="60"/>
        <v>0</v>
      </c>
      <c r="Y556" s="100" t="str">
        <f t="shared" si="61"/>
        <v xml:space="preserve"> </v>
      </c>
      <c r="Z556" s="100" t="str">
        <f t="shared" si="62"/>
        <v xml:space="preserve"> </v>
      </c>
    </row>
    <row r="557" spans="1:26">
      <c r="A557" s="100"/>
      <c r="B557" s="108" t="str">
        <f>IFERROR(VLOOKUP(Tablo516[[#This Row],[ÜRÜN KODU]],YMKODLARI!$A$1:$K$383,2,0)," ")</f>
        <v xml:space="preserve"> </v>
      </c>
      <c r="C557" s="99"/>
      <c r="D557" s="100"/>
      <c r="E557" s="101"/>
      <c r="F557" s="101"/>
      <c r="G557" s="100" t="str">
        <f>IFERROR(VLOOKUP(Tablo516[[#This Row],[ÜRÜN KODU]],YMKODLARI!$A$1:$K$383,3,0)," ")</f>
        <v xml:space="preserve"> </v>
      </c>
      <c r="H557" s="100" t="str">
        <f>IFERROR(VLOOKUP(Tablo516[[#This Row],[ÜRÜN KODU]],YMKODLARI!$A$1:$K$383,4,0)," ")</f>
        <v xml:space="preserve"> </v>
      </c>
      <c r="I557" s="100"/>
      <c r="J557" s="100" t="str">
        <f>IFERROR(VLOOKUP(Tablo516[[#This Row],[ÜRÜN KODU]],YMKODLARI!$A$1:$K$383,9,0)," ")</f>
        <v xml:space="preserve"> </v>
      </c>
      <c r="K557" s="100" t="str">
        <f>IFERROR(VLOOKUP(Tablo516[[#This Row],[BOYA KODU]],Tablo14[#All],4,0)," ")</f>
        <v xml:space="preserve"> </v>
      </c>
      <c r="L557" s="100" t="str">
        <f>IFERROR(VLOOKUP(Tablo516[[#This Row],[BOYA KODU]],Tablo14[#All],6,0)," ")</f>
        <v xml:space="preserve"> </v>
      </c>
      <c r="M557" s="100" t="str">
        <f t="shared" si="56"/>
        <v xml:space="preserve"> </v>
      </c>
      <c r="N557" s="100" t="str">
        <f>IFERROR(VLOOKUP(Tablo516[[#This Row],[ÜRÜN KODU]],YMKODLARI!$A$1:$K$383,8,0)," ")</f>
        <v xml:space="preserve"> </v>
      </c>
      <c r="O557" s="100" t="str">
        <f>IFERROR(VLOOKUP(Tablo516[[#This Row],[HAMMADDE KODU]],Tablo1[#All],3,0)," ")</f>
        <v xml:space="preserve"> </v>
      </c>
      <c r="P557" s="100" t="str">
        <f>IFERROR(VLOOKUP(Tablo516[[#This Row],[HAMMADDE KODU]],Tablo1[#All],4,0)," ")</f>
        <v xml:space="preserve"> </v>
      </c>
      <c r="Q557" s="100" t="str">
        <f>IFERROR(VLOOKUP(Tablo516[[#This Row],[ÜRÜN KODU]],YMKODLARI!$A$1:$K$383,5,0)," ")</f>
        <v xml:space="preserve"> </v>
      </c>
      <c r="R557" s="100" t="str">
        <f>IFERROR(VLOOKUP(Tablo516[[#This Row],[ÜRÜN KODU]],YMKODLARI!$A$1:$K$383,6,0)," ")</f>
        <v xml:space="preserve"> </v>
      </c>
      <c r="S557" s="100" t="str">
        <f>IFERROR(Tablo516[[#This Row],[YOLLUK HARİÇ BASKI GRAMI]]/Tablo516[[#This Row],[KALIP GÖZ ADEDİ]]," ")</f>
        <v xml:space="preserve"> </v>
      </c>
      <c r="T557" s="100" t="str">
        <f t="shared" si="58"/>
        <v xml:space="preserve"> </v>
      </c>
      <c r="U557" s="100"/>
      <c r="V557" s="100" t="str">
        <f t="shared" si="57"/>
        <v xml:space="preserve"> </v>
      </c>
      <c r="W557" s="101">
        <f t="shared" si="59"/>
        <v>24</v>
      </c>
      <c r="X557" s="102">
        <f t="shared" si="60"/>
        <v>0</v>
      </c>
      <c r="Y557" s="100" t="str">
        <f t="shared" si="61"/>
        <v xml:space="preserve"> </v>
      </c>
      <c r="Z557" s="100" t="str">
        <f t="shared" si="62"/>
        <v xml:space="preserve"> </v>
      </c>
    </row>
    <row r="558" spans="1:26">
      <c r="A558" s="100"/>
      <c r="B558" s="108" t="str">
        <f>IFERROR(VLOOKUP(Tablo516[[#This Row],[ÜRÜN KODU]],YMKODLARI!$A$1:$K$383,2,0)," ")</f>
        <v xml:space="preserve"> </v>
      </c>
      <c r="C558" s="99"/>
      <c r="D558" s="100"/>
      <c r="E558" s="101"/>
      <c r="F558" s="101"/>
      <c r="G558" s="100" t="str">
        <f>IFERROR(VLOOKUP(Tablo516[[#This Row],[ÜRÜN KODU]],YMKODLARI!$A$1:$K$383,3,0)," ")</f>
        <v xml:space="preserve"> </v>
      </c>
      <c r="H558" s="100" t="str">
        <f>IFERROR(VLOOKUP(Tablo516[[#This Row],[ÜRÜN KODU]],YMKODLARI!$A$1:$K$383,4,0)," ")</f>
        <v xml:space="preserve"> </v>
      </c>
      <c r="I558" s="100"/>
      <c r="J558" s="100" t="str">
        <f>IFERROR(VLOOKUP(Tablo516[[#This Row],[ÜRÜN KODU]],YMKODLARI!$A$1:$K$383,9,0)," ")</f>
        <v xml:space="preserve"> </v>
      </c>
      <c r="K558" s="100" t="str">
        <f>IFERROR(VLOOKUP(Tablo516[[#This Row],[BOYA KODU]],Tablo14[#All],4,0)," ")</f>
        <v xml:space="preserve"> </v>
      </c>
      <c r="L558" s="100" t="str">
        <f>IFERROR(VLOOKUP(Tablo516[[#This Row],[BOYA KODU]],Tablo14[#All],6,0)," ")</f>
        <v xml:space="preserve"> </v>
      </c>
      <c r="M558" s="100" t="str">
        <f t="shared" si="56"/>
        <v xml:space="preserve"> </v>
      </c>
      <c r="N558" s="100" t="str">
        <f>IFERROR(VLOOKUP(Tablo516[[#This Row],[ÜRÜN KODU]],YMKODLARI!$A$1:$K$383,8,0)," ")</f>
        <v xml:space="preserve"> </v>
      </c>
      <c r="O558" s="100" t="str">
        <f>IFERROR(VLOOKUP(Tablo516[[#This Row],[HAMMADDE KODU]],Tablo1[#All],3,0)," ")</f>
        <v xml:space="preserve"> </v>
      </c>
      <c r="P558" s="100" t="str">
        <f>IFERROR(VLOOKUP(Tablo516[[#This Row],[HAMMADDE KODU]],Tablo1[#All],4,0)," ")</f>
        <v xml:space="preserve"> </v>
      </c>
      <c r="Q558" s="100" t="str">
        <f>IFERROR(VLOOKUP(Tablo516[[#This Row],[ÜRÜN KODU]],YMKODLARI!$A$1:$K$383,5,0)," ")</f>
        <v xml:space="preserve"> </v>
      </c>
      <c r="R558" s="100" t="str">
        <f>IFERROR(VLOOKUP(Tablo516[[#This Row],[ÜRÜN KODU]],YMKODLARI!$A$1:$K$383,6,0)," ")</f>
        <v xml:space="preserve"> </v>
      </c>
      <c r="S558" s="100" t="str">
        <f>IFERROR(Tablo516[[#This Row],[YOLLUK HARİÇ BASKI GRAMI]]/Tablo516[[#This Row],[KALIP GÖZ ADEDİ]]," ")</f>
        <v xml:space="preserve"> </v>
      </c>
      <c r="T558" s="100" t="str">
        <f t="shared" si="58"/>
        <v xml:space="preserve"> </v>
      </c>
      <c r="U558" s="100"/>
      <c r="V558" s="100" t="str">
        <f t="shared" si="57"/>
        <v xml:space="preserve"> </v>
      </c>
      <c r="W558" s="101">
        <f t="shared" si="59"/>
        <v>24</v>
      </c>
      <c r="X558" s="102">
        <f t="shared" si="60"/>
        <v>0</v>
      </c>
      <c r="Y558" s="100" t="str">
        <f t="shared" si="61"/>
        <v xml:space="preserve"> </v>
      </c>
      <c r="Z558" s="100" t="str">
        <f t="shared" si="62"/>
        <v xml:space="preserve"> </v>
      </c>
    </row>
    <row r="559" spans="1:26">
      <c r="A559" s="100"/>
      <c r="B559" s="108" t="str">
        <f>IFERROR(VLOOKUP(Tablo516[[#This Row],[ÜRÜN KODU]],YMKODLARI!$A$1:$K$383,2,0)," ")</f>
        <v xml:space="preserve"> </v>
      </c>
      <c r="C559" s="99"/>
      <c r="D559" s="100"/>
      <c r="E559" s="101"/>
      <c r="F559" s="101"/>
      <c r="G559" s="100" t="str">
        <f>IFERROR(VLOOKUP(Tablo516[[#This Row],[ÜRÜN KODU]],YMKODLARI!$A$1:$K$383,3,0)," ")</f>
        <v xml:space="preserve"> </v>
      </c>
      <c r="H559" s="100" t="str">
        <f>IFERROR(VLOOKUP(Tablo516[[#This Row],[ÜRÜN KODU]],YMKODLARI!$A$1:$K$383,4,0)," ")</f>
        <v xml:space="preserve"> </v>
      </c>
      <c r="I559" s="100"/>
      <c r="J559" s="100" t="str">
        <f>IFERROR(VLOOKUP(Tablo516[[#This Row],[ÜRÜN KODU]],YMKODLARI!$A$1:$K$383,9,0)," ")</f>
        <v xml:space="preserve"> </v>
      </c>
      <c r="K559" s="100" t="str">
        <f>IFERROR(VLOOKUP(Tablo516[[#This Row],[BOYA KODU]],Tablo14[#All],4,0)," ")</f>
        <v xml:space="preserve"> </v>
      </c>
      <c r="L559" s="100" t="str">
        <f>IFERROR(VLOOKUP(Tablo516[[#This Row],[BOYA KODU]],Tablo14[#All],6,0)," ")</f>
        <v xml:space="preserve"> </v>
      </c>
      <c r="M559" s="100" t="str">
        <f t="shared" si="56"/>
        <v xml:space="preserve"> </v>
      </c>
      <c r="N559" s="100" t="str">
        <f>IFERROR(VLOOKUP(Tablo516[[#This Row],[ÜRÜN KODU]],YMKODLARI!$A$1:$K$383,8,0)," ")</f>
        <v xml:space="preserve"> </v>
      </c>
      <c r="O559" s="100" t="str">
        <f>IFERROR(VLOOKUP(Tablo516[[#This Row],[HAMMADDE KODU]],Tablo1[#All],3,0)," ")</f>
        <v xml:space="preserve"> </v>
      </c>
      <c r="P559" s="100" t="str">
        <f>IFERROR(VLOOKUP(Tablo516[[#This Row],[HAMMADDE KODU]],Tablo1[#All],4,0)," ")</f>
        <v xml:space="preserve"> </v>
      </c>
      <c r="Q559" s="100" t="str">
        <f>IFERROR(VLOOKUP(Tablo516[[#This Row],[ÜRÜN KODU]],YMKODLARI!$A$1:$K$383,5,0)," ")</f>
        <v xml:space="preserve"> </v>
      </c>
      <c r="R559" s="100" t="str">
        <f>IFERROR(VLOOKUP(Tablo516[[#This Row],[ÜRÜN KODU]],YMKODLARI!$A$1:$K$383,6,0)," ")</f>
        <v xml:space="preserve"> </v>
      </c>
      <c r="S559" s="100" t="str">
        <f>IFERROR(Tablo516[[#This Row],[YOLLUK HARİÇ BASKI GRAMI]]/Tablo516[[#This Row],[KALIP GÖZ ADEDİ]]," ")</f>
        <v xml:space="preserve"> </v>
      </c>
      <c r="T559" s="100" t="str">
        <f t="shared" si="58"/>
        <v xml:space="preserve"> </v>
      </c>
      <c r="U559" s="100"/>
      <c r="V559" s="100" t="str">
        <f t="shared" si="57"/>
        <v xml:space="preserve"> </v>
      </c>
      <c r="W559" s="101">
        <f t="shared" si="59"/>
        <v>24</v>
      </c>
      <c r="X559" s="102">
        <f t="shared" si="60"/>
        <v>0</v>
      </c>
      <c r="Y559" s="100" t="str">
        <f t="shared" si="61"/>
        <v xml:space="preserve"> </v>
      </c>
      <c r="Z559" s="100" t="str">
        <f t="shared" si="62"/>
        <v xml:space="preserve"> </v>
      </c>
    </row>
    <row r="560" spans="1:26">
      <c r="A560" s="100"/>
      <c r="B560" s="108" t="str">
        <f>IFERROR(VLOOKUP(Tablo516[[#This Row],[ÜRÜN KODU]],YMKODLARI!$A$1:$K$383,2,0)," ")</f>
        <v xml:space="preserve"> </v>
      </c>
      <c r="C560" s="99"/>
      <c r="D560" s="100"/>
      <c r="E560" s="101"/>
      <c r="F560" s="101"/>
      <c r="G560" s="100" t="str">
        <f>IFERROR(VLOOKUP(Tablo516[[#This Row],[ÜRÜN KODU]],YMKODLARI!$A$1:$K$383,3,0)," ")</f>
        <v xml:space="preserve"> </v>
      </c>
      <c r="H560" s="100" t="str">
        <f>IFERROR(VLOOKUP(Tablo516[[#This Row],[ÜRÜN KODU]],YMKODLARI!$A$1:$K$383,4,0)," ")</f>
        <v xml:space="preserve"> </v>
      </c>
      <c r="I560" s="100"/>
      <c r="J560" s="100" t="str">
        <f>IFERROR(VLOOKUP(Tablo516[[#This Row],[ÜRÜN KODU]],YMKODLARI!$A$1:$K$383,9,0)," ")</f>
        <v xml:space="preserve"> </v>
      </c>
      <c r="K560" s="100" t="str">
        <f>IFERROR(VLOOKUP(Tablo516[[#This Row],[BOYA KODU]],Tablo14[#All],4,0)," ")</f>
        <v xml:space="preserve"> </v>
      </c>
      <c r="L560" s="100" t="str">
        <f>IFERROR(VLOOKUP(Tablo516[[#This Row],[BOYA KODU]],Tablo14[#All],6,0)," ")</f>
        <v xml:space="preserve"> </v>
      </c>
      <c r="M560" s="100" t="str">
        <f t="shared" si="56"/>
        <v xml:space="preserve"> </v>
      </c>
      <c r="N560" s="100" t="str">
        <f>IFERROR(VLOOKUP(Tablo516[[#This Row],[ÜRÜN KODU]],YMKODLARI!$A$1:$K$383,8,0)," ")</f>
        <v xml:space="preserve"> </v>
      </c>
      <c r="O560" s="100" t="str">
        <f>IFERROR(VLOOKUP(Tablo516[[#This Row],[HAMMADDE KODU]],Tablo1[#All],3,0)," ")</f>
        <v xml:space="preserve"> </v>
      </c>
      <c r="P560" s="100" t="str">
        <f>IFERROR(VLOOKUP(Tablo516[[#This Row],[HAMMADDE KODU]],Tablo1[#All],4,0)," ")</f>
        <v xml:space="preserve"> </v>
      </c>
      <c r="Q560" s="100" t="str">
        <f>IFERROR(VLOOKUP(Tablo516[[#This Row],[ÜRÜN KODU]],YMKODLARI!$A$1:$K$383,5,0)," ")</f>
        <v xml:space="preserve"> </v>
      </c>
      <c r="R560" s="100" t="str">
        <f>IFERROR(VLOOKUP(Tablo516[[#This Row],[ÜRÜN KODU]],YMKODLARI!$A$1:$K$383,6,0)," ")</f>
        <v xml:space="preserve"> </v>
      </c>
      <c r="S560" s="100" t="str">
        <f>IFERROR(Tablo516[[#This Row],[YOLLUK HARİÇ BASKI GRAMI]]/Tablo516[[#This Row],[KALIP GÖZ ADEDİ]]," ")</f>
        <v xml:space="preserve"> </v>
      </c>
      <c r="T560" s="100" t="str">
        <f t="shared" si="58"/>
        <v xml:space="preserve"> </v>
      </c>
      <c r="U560" s="100"/>
      <c r="V560" s="100" t="str">
        <f t="shared" si="57"/>
        <v xml:space="preserve"> </v>
      </c>
      <c r="W560" s="101">
        <f t="shared" si="59"/>
        <v>24</v>
      </c>
      <c r="X560" s="102">
        <f t="shared" si="60"/>
        <v>0</v>
      </c>
      <c r="Y560" s="100" t="str">
        <f t="shared" si="61"/>
        <v xml:space="preserve"> </v>
      </c>
      <c r="Z560" s="100" t="str">
        <f t="shared" si="62"/>
        <v xml:space="preserve"> </v>
      </c>
    </row>
    <row r="561" spans="1:26">
      <c r="A561" s="100"/>
      <c r="B561" s="108" t="str">
        <f>IFERROR(VLOOKUP(Tablo516[[#This Row],[ÜRÜN KODU]],YMKODLARI!$A$1:$K$383,2,0)," ")</f>
        <v xml:space="preserve"> </v>
      </c>
      <c r="C561" s="99"/>
      <c r="D561" s="100"/>
      <c r="E561" s="101"/>
      <c r="F561" s="101"/>
      <c r="G561" s="100" t="str">
        <f>IFERROR(VLOOKUP(Tablo516[[#This Row],[ÜRÜN KODU]],YMKODLARI!$A$1:$K$383,3,0)," ")</f>
        <v xml:space="preserve"> </v>
      </c>
      <c r="H561" s="100" t="str">
        <f>IFERROR(VLOOKUP(Tablo516[[#This Row],[ÜRÜN KODU]],YMKODLARI!$A$1:$K$383,4,0)," ")</f>
        <v xml:space="preserve"> </v>
      </c>
      <c r="I561" s="100"/>
      <c r="J561" s="100" t="str">
        <f>IFERROR(VLOOKUP(Tablo516[[#This Row],[ÜRÜN KODU]],YMKODLARI!$A$1:$K$383,9,0)," ")</f>
        <v xml:space="preserve"> </v>
      </c>
      <c r="K561" s="100" t="str">
        <f>IFERROR(VLOOKUP(Tablo516[[#This Row],[BOYA KODU]],Tablo14[#All],4,0)," ")</f>
        <v xml:space="preserve"> </v>
      </c>
      <c r="L561" s="100" t="str">
        <f>IFERROR(VLOOKUP(Tablo516[[#This Row],[BOYA KODU]],Tablo14[#All],6,0)," ")</f>
        <v xml:space="preserve"> </v>
      </c>
      <c r="M561" s="100" t="str">
        <f t="shared" si="56"/>
        <v xml:space="preserve"> </v>
      </c>
      <c r="N561" s="100" t="str">
        <f>IFERROR(VLOOKUP(Tablo516[[#This Row],[ÜRÜN KODU]],YMKODLARI!$A$1:$K$383,8,0)," ")</f>
        <v xml:space="preserve"> </v>
      </c>
      <c r="O561" s="100" t="str">
        <f>IFERROR(VLOOKUP(Tablo516[[#This Row],[HAMMADDE KODU]],Tablo1[#All],3,0)," ")</f>
        <v xml:space="preserve"> </v>
      </c>
      <c r="P561" s="100" t="str">
        <f>IFERROR(VLOOKUP(Tablo516[[#This Row],[HAMMADDE KODU]],Tablo1[#All],4,0)," ")</f>
        <v xml:space="preserve"> </v>
      </c>
      <c r="Q561" s="100" t="str">
        <f>IFERROR(VLOOKUP(Tablo516[[#This Row],[ÜRÜN KODU]],YMKODLARI!$A$1:$K$383,5,0)," ")</f>
        <v xml:space="preserve"> </v>
      </c>
      <c r="R561" s="100" t="str">
        <f>IFERROR(VLOOKUP(Tablo516[[#This Row],[ÜRÜN KODU]],YMKODLARI!$A$1:$K$383,6,0)," ")</f>
        <v xml:space="preserve"> </v>
      </c>
      <c r="S561" s="100" t="str">
        <f>IFERROR(Tablo516[[#This Row],[YOLLUK HARİÇ BASKI GRAMI]]/Tablo516[[#This Row],[KALIP GÖZ ADEDİ]]," ")</f>
        <v xml:space="preserve"> </v>
      </c>
      <c r="T561" s="100" t="str">
        <f t="shared" si="58"/>
        <v xml:space="preserve"> </v>
      </c>
      <c r="U561" s="100"/>
      <c r="V561" s="100" t="str">
        <f t="shared" si="57"/>
        <v xml:space="preserve"> </v>
      </c>
      <c r="W561" s="101">
        <f t="shared" si="59"/>
        <v>24</v>
      </c>
      <c r="X561" s="102">
        <f t="shared" si="60"/>
        <v>0</v>
      </c>
      <c r="Y561" s="100" t="str">
        <f t="shared" si="61"/>
        <v xml:space="preserve"> </v>
      </c>
      <c r="Z561" s="100" t="str">
        <f t="shared" si="62"/>
        <v xml:space="preserve"> </v>
      </c>
    </row>
    <row r="562" spans="1:26">
      <c r="A562" s="100"/>
      <c r="B562" s="108" t="str">
        <f>IFERROR(VLOOKUP(Tablo516[[#This Row],[ÜRÜN KODU]],YMKODLARI!$A$1:$K$383,2,0)," ")</f>
        <v xml:space="preserve"> </v>
      </c>
      <c r="C562" s="99"/>
      <c r="D562" s="100"/>
      <c r="E562" s="101"/>
      <c r="F562" s="101"/>
      <c r="G562" s="100" t="str">
        <f>IFERROR(VLOOKUP(Tablo516[[#This Row],[ÜRÜN KODU]],YMKODLARI!$A$1:$K$383,3,0)," ")</f>
        <v xml:space="preserve"> </v>
      </c>
      <c r="H562" s="100" t="str">
        <f>IFERROR(VLOOKUP(Tablo516[[#This Row],[ÜRÜN KODU]],YMKODLARI!$A$1:$K$383,4,0)," ")</f>
        <v xml:space="preserve"> </v>
      </c>
      <c r="I562" s="100"/>
      <c r="J562" s="100" t="str">
        <f>IFERROR(VLOOKUP(Tablo516[[#This Row],[ÜRÜN KODU]],YMKODLARI!$A$1:$K$383,9,0)," ")</f>
        <v xml:space="preserve"> </v>
      </c>
      <c r="K562" s="100" t="str">
        <f>IFERROR(VLOOKUP(Tablo516[[#This Row],[BOYA KODU]],Tablo14[#All],4,0)," ")</f>
        <v xml:space="preserve"> </v>
      </c>
      <c r="L562" s="100" t="str">
        <f>IFERROR(VLOOKUP(Tablo516[[#This Row],[BOYA KODU]],Tablo14[#All],6,0)," ")</f>
        <v xml:space="preserve"> </v>
      </c>
      <c r="M562" s="100" t="str">
        <f t="shared" si="56"/>
        <v xml:space="preserve"> </v>
      </c>
      <c r="N562" s="100" t="str">
        <f>IFERROR(VLOOKUP(Tablo516[[#This Row],[ÜRÜN KODU]],YMKODLARI!$A$1:$K$383,8,0)," ")</f>
        <v xml:space="preserve"> </v>
      </c>
      <c r="O562" s="100" t="str">
        <f>IFERROR(VLOOKUP(Tablo516[[#This Row],[HAMMADDE KODU]],Tablo1[#All],3,0)," ")</f>
        <v xml:space="preserve"> </v>
      </c>
      <c r="P562" s="100" t="str">
        <f>IFERROR(VLOOKUP(Tablo516[[#This Row],[HAMMADDE KODU]],Tablo1[#All],4,0)," ")</f>
        <v xml:space="preserve"> </v>
      </c>
      <c r="Q562" s="100" t="str">
        <f>IFERROR(VLOOKUP(Tablo516[[#This Row],[ÜRÜN KODU]],YMKODLARI!$A$1:$K$383,5,0)," ")</f>
        <v xml:space="preserve"> </v>
      </c>
      <c r="R562" s="100" t="str">
        <f>IFERROR(VLOOKUP(Tablo516[[#This Row],[ÜRÜN KODU]],YMKODLARI!$A$1:$K$383,6,0)," ")</f>
        <v xml:space="preserve"> </v>
      </c>
      <c r="S562" s="100" t="str">
        <f>IFERROR(Tablo516[[#This Row],[YOLLUK HARİÇ BASKI GRAMI]]/Tablo516[[#This Row],[KALIP GÖZ ADEDİ]]," ")</f>
        <v xml:space="preserve"> </v>
      </c>
      <c r="T562" s="100" t="str">
        <f t="shared" si="58"/>
        <v xml:space="preserve"> </v>
      </c>
      <c r="U562" s="100"/>
      <c r="V562" s="100" t="str">
        <f t="shared" si="57"/>
        <v xml:space="preserve"> </v>
      </c>
      <c r="W562" s="101">
        <f t="shared" si="59"/>
        <v>24</v>
      </c>
      <c r="X562" s="102">
        <f t="shared" si="60"/>
        <v>0</v>
      </c>
      <c r="Y562" s="100" t="str">
        <f t="shared" si="61"/>
        <v xml:space="preserve"> </v>
      </c>
      <c r="Z562" s="100" t="str">
        <f t="shared" si="62"/>
        <v xml:space="preserve"> </v>
      </c>
    </row>
    <row r="563" spans="1:26">
      <c r="A563" s="100"/>
      <c r="B563" s="108" t="str">
        <f>IFERROR(VLOOKUP(Tablo516[[#This Row],[ÜRÜN KODU]],YMKODLARI!$A$1:$K$383,2,0)," ")</f>
        <v xml:space="preserve"> </v>
      </c>
      <c r="C563" s="99"/>
      <c r="D563" s="100"/>
      <c r="E563" s="101"/>
      <c r="F563" s="101"/>
      <c r="G563" s="100" t="str">
        <f>IFERROR(VLOOKUP(Tablo516[[#This Row],[ÜRÜN KODU]],YMKODLARI!$A$1:$K$383,3,0)," ")</f>
        <v xml:space="preserve"> </v>
      </c>
      <c r="H563" s="100" t="str">
        <f>IFERROR(VLOOKUP(Tablo516[[#This Row],[ÜRÜN KODU]],YMKODLARI!$A$1:$K$383,4,0)," ")</f>
        <v xml:space="preserve"> </v>
      </c>
      <c r="I563" s="100"/>
      <c r="J563" s="100" t="str">
        <f>IFERROR(VLOOKUP(Tablo516[[#This Row],[ÜRÜN KODU]],YMKODLARI!$A$1:$K$383,9,0)," ")</f>
        <v xml:space="preserve"> </v>
      </c>
      <c r="K563" s="100" t="str">
        <f>IFERROR(VLOOKUP(Tablo516[[#This Row],[BOYA KODU]],Tablo14[#All],4,0)," ")</f>
        <v xml:space="preserve"> </v>
      </c>
      <c r="L563" s="100" t="str">
        <f>IFERROR(VLOOKUP(Tablo516[[#This Row],[BOYA KODU]],Tablo14[#All],6,0)," ")</f>
        <v xml:space="preserve"> </v>
      </c>
      <c r="M563" s="100" t="str">
        <f t="shared" si="56"/>
        <v xml:space="preserve"> </v>
      </c>
      <c r="N563" s="100" t="str">
        <f>IFERROR(VLOOKUP(Tablo516[[#This Row],[ÜRÜN KODU]],YMKODLARI!$A$1:$K$383,8,0)," ")</f>
        <v xml:space="preserve"> </v>
      </c>
      <c r="O563" s="100" t="str">
        <f>IFERROR(VLOOKUP(Tablo516[[#This Row],[HAMMADDE KODU]],Tablo1[#All],3,0)," ")</f>
        <v xml:space="preserve"> </v>
      </c>
      <c r="P563" s="100" t="str">
        <f>IFERROR(VLOOKUP(Tablo516[[#This Row],[HAMMADDE KODU]],Tablo1[#All],4,0)," ")</f>
        <v xml:space="preserve"> </v>
      </c>
      <c r="Q563" s="100" t="str">
        <f>IFERROR(VLOOKUP(Tablo516[[#This Row],[ÜRÜN KODU]],YMKODLARI!$A$1:$K$383,5,0)," ")</f>
        <v xml:space="preserve"> </v>
      </c>
      <c r="R563" s="100" t="str">
        <f>IFERROR(VLOOKUP(Tablo516[[#This Row],[ÜRÜN KODU]],YMKODLARI!$A$1:$K$383,6,0)," ")</f>
        <v xml:space="preserve"> </v>
      </c>
      <c r="S563" s="100" t="str">
        <f>IFERROR(Tablo516[[#This Row],[YOLLUK HARİÇ BASKI GRAMI]]/Tablo516[[#This Row],[KALIP GÖZ ADEDİ]]," ")</f>
        <v xml:space="preserve"> </v>
      </c>
      <c r="T563" s="100" t="str">
        <f t="shared" si="58"/>
        <v xml:space="preserve"> </v>
      </c>
      <c r="U563" s="100"/>
      <c r="V563" s="100" t="str">
        <f t="shared" si="57"/>
        <v xml:space="preserve"> </v>
      </c>
      <c r="W563" s="101">
        <f t="shared" si="59"/>
        <v>24</v>
      </c>
      <c r="X563" s="102">
        <f t="shared" si="60"/>
        <v>0</v>
      </c>
      <c r="Y563" s="100" t="str">
        <f t="shared" si="61"/>
        <v xml:space="preserve"> </v>
      </c>
      <c r="Z563" s="100" t="str">
        <f t="shared" si="62"/>
        <v xml:space="preserve"> </v>
      </c>
    </row>
    <row r="564" spans="1:26">
      <c r="A564" s="100"/>
      <c r="B564" s="108" t="str">
        <f>IFERROR(VLOOKUP(Tablo516[[#This Row],[ÜRÜN KODU]],YMKODLARI!$A$1:$K$383,2,0)," ")</f>
        <v xml:space="preserve"> </v>
      </c>
      <c r="C564" s="99"/>
      <c r="D564" s="100"/>
      <c r="E564" s="101"/>
      <c r="F564" s="101"/>
      <c r="G564" s="100" t="str">
        <f>IFERROR(VLOOKUP(Tablo516[[#This Row],[ÜRÜN KODU]],YMKODLARI!$A$1:$K$383,3,0)," ")</f>
        <v xml:space="preserve"> </v>
      </c>
      <c r="H564" s="100" t="str">
        <f>IFERROR(VLOOKUP(Tablo516[[#This Row],[ÜRÜN KODU]],YMKODLARI!$A$1:$K$383,4,0)," ")</f>
        <v xml:space="preserve"> </v>
      </c>
      <c r="I564" s="100"/>
      <c r="J564" s="100" t="str">
        <f>IFERROR(VLOOKUP(Tablo516[[#This Row],[ÜRÜN KODU]],YMKODLARI!$A$1:$K$383,9,0)," ")</f>
        <v xml:space="preserve"> </v>
      </c>
      <c r="K564" s="100" t="str">
        <f>IFERROR(VLOOKUP(Tablo516[[#This Row],[BOYA KODU]],Tablo14[#All],4,0)," ")</f>
        <v xml:space="preserve"> </v>
      </c>
      <c r="L564" s="100" t="str">
        <f>IFERROR(VLOOKUP(Tablo516[[#This Row],[BOYA KODU]],Tablo14[#All],6,0)," ")</f>
        <v xml:space="preserve"> </v>
      </c>
      <c r="M564" s="100" t="str">
        <f t="shared" si="56"/>
        <v xml:space="preserve"> </v>
      </c>
      <c r="N564" s="100" t="str">
        <f>IFERROR(VLOOKUP(Tablo516[[#This Row],[ÜRÜN KODU]],YMKODLARI!$A$1:$K$383,8,0)," ")</f>
        <v xml:space="preserve"> </v>
      </c>
      <c r="O564" s="100" t="str">
        <f>IFERROR(VLOOKUP(Tablo516[[#This Row],[HAMMADDE KODU]],Tablo1[#All],3,0)," ")</f>
        <v xml:space="preserve"> </v>
      </c>
      <c r="P564" s="100" t="str">
        <f>IFERROR(VLOOKUP(Tablo516[[#This Row],[HAMMADDE KODU]],Tablo1[#All],4,0)," ")</f>
        <v xml:space="preserve"> </v>
      </c>
      <c r="Q564" s="100" t="str">
        <f>IFERROR(VLOOKUP(Tablo516[[#This Row],[ÜRÜN KODU]],YMKODLARI!$A$1:$K$383,5,0)," ")</f>
        <v xml:space="preserve"> </v>
      </c>
      <c r="R564" s="100" t="str">
        <f>IFERROR(VLOOKUP(Tablo516[[#This Row],[ÜRÜN KODU]],YMKODLARI!$A$1:$K$383,6,0)," ")</f>
        <v xml:space="preserve"> </v>
      </c>
      <c r="S564" s="100" t="str">
        <f>IFERROR(Tablo516[[#This Row],[YOLLUK HARİÇ BASKI GRAMI]]/Tablo516[[#This Row],[KALIP GÖZ ADEDİ]]," ")</f>
        <v xml:space="preserve"> </v>
      </c>
      <c r="T564" s="100" t="str">
        <f t="shared" si="58"/>
        <v xml:space="preserve"> </v>
      </c>
      <c r="U564" s="100"/>
      <c r="V564" s="100" t="str">
        <f t="shared" si="57"/>
        <v xml:space="preserve"> </v>
      </c>
      <c r="W564" s="101">
        <f t="shared" si="59"/>
        <v>24</v>
      </c>
      <c r="X564" s="102">
        <f t="shared" si="60"/>
        <v>0</v>
      </c>
      <c r="Y564" s="100" t="str">
        <f t="shared" si="61"/>
        <v xml:space="preserve"> </v>
      </c>
      <c r="Z564" s="100" t="str">
        <f t="shared" si="62"/>
        <v xml:space="preserve"> </v>
      </c>
    </row>
    <row r="565" spans="1:26">
      <c r="A565" s="100"/>
      <c r="B565" s="108" t="str">
        <f>IFERROR(VLOOKUP(Tablo516[[#This Row],[ÜRÜN KODU]],YMKODLARI!$A$1:$K$383,2,0)," ")</f>
        <v xml:space="preserve"> </v>
      </c>
      <c r="C565" s="99"/>
      <c r="D565" s="100"/>
      <c r="E565" s="101"/>
      <c r="F565" s="101"/>
      <c r="G565" s="100" t="str">
        <f>IFERROR(VLOOKUP(Tablo516[[#This Row],[ÜRÜN KODU]],YMKODLARI!$A$1:$K$383,3,0)," ")</f>
        <v xml:space="preserve"> </v>
      </c>
      <c r="H565" s="100" t="str">
        <f>IFERROR(VLOOKUP(Tablo516[[#This Row],[ÜRÜN KODU]],YMKODLARI!$A$1:$K$383,4,0)," ")</f>
        <v xml:space="preserve"> </v>
      </c>
      <c r="I565" s="100"/>
      <c r="J565" s="100" t="str">
        <f>IFERROR(VLOOKUP(Tablo516[[#This Row],[ÜRÜN KODU]],YMKODLARI!$A$1:$K$383,9,0)," ")</f>
        <v xml:space="preserve"> </v>
      </c>
      <c r="K565" s="100" t="str">
        <f>IFERROR(VLOOKUP(Tablo516[[#This Row],[BOYA KODU]],Tablo14[#All],4,0)," ")</f>
        <v xml:space="preserve"> </v>
      </c>
      <c r="L565" s="100" t="str">
        <f>IFERROR(VLOOKUP(Tablo516[[#This Row],[BOYA KODU]],Tablo14[#All],6,0)," ")</f>
        <v xml:space="preserve"> </v>
      </c>
      <c r="M565" s="100" t="str">
        <f t="shared" si="56"/>
        <v xml:space="preserve"> </v>
      </c>
      <c r="N565" s="100" t="str">
        <f>IFERROR(VLOOKUP(Tablo516[[#This Row],[ÜRÜN KODU]],YMKODLARI!$A$1:$K$383,8,0)," ")</f>
        <v xml:space="preserve"> </v>
      </c>
      <c r="O565" s="100" t="str">
        <f>IFERROR(VLOOKUP(Tablo516[[#This Row],[HAMMADDE KODU]],Tablo1[#All],3,0)," ")</f>
        <v xml:space="preserve"> </v>
      </c>
      <c r="P565" s="100" t="str">
        <f>IFERROR(VLOOKUP(Tablo516[[#This Row],[HAMMADDE KODU]],Tablo1[#All],4,0)," ")</f>
        <v xml:space="preserve"> </v>
      </c>
      <c r="Q565" s="100" t="str">
        <f>IFERROR(VLOOKUP(Tablo516[[#This Row],[ÜRÜN KODU]],YMKODLARI!$A$1:$K$383,5,0)," ")</f>
        <v xml:space="preserve"> </v>
      </c>
      <c r="R565" s="100" t="str">
        <f>IFERROR(VLOOKUP(Tablo516[[#This Row],[ÜRÜN KODU]],YMKODLARI!$A$1:$K$383,6,0)," ")</f>
        <v xml:space="preserve"> </v>
      </c>
      <c r="S565" s="100" t="str">
        <f>IFERROR(Tablo516[[#This Row],[YOLLUK HARİÇ BASKI GRAMI]]/Tablo516[[#This Row],[KALIP GÖZ ADEDİ]]," ")</f>
        <v xml:space="preserve"> </v>
      </c>
      <c r="T565" s="100" t="str">
        <f t="shared" si="58"/>
        <v xml:space="preserve"> </v>
      </c>
      <c r="U565" s="100"/>
      <c r="V565" s="100" t="str">
        <f t="shared" si="57"/>
        <v xml:space="preserve"> </v>
      </c>
      <c r="W565" s="101">
        <f t="shared" si="59"/>
        <v>24</v>
      </c>
      <c r="X565" s="102">
        <f t="shared" si="60"/>
        <v>0</v>
      </c>
      <c r="Y565" s="100" t="str">
        <f t="shared" si="61"/>
        <v xml:space="preserve"> </v>
      </c>
      <c r="Z565" s="100" t="str">
        <f t="shared" si="62"/>
        <v xml:space="preserve"> </v>
      </c>
    </row>
    <row r="566" spans="1:26">
      <c r="A566" s="100"/>
      <c r="B566" s="108" t="str">
        <f>IFERROR(VLOOKUP(Tablo516[[#This Row],[ÜRÜN KODU]],YMKODLARI!$A$1:$K$383,2,0)," ")</f>
        <v xml:space="preserve"> </v>
      </c>
      <c r="C566" s="99"/>
      <c r="D566" s="100"/>
      <c r="E566" s="101"/>
      <c r="F566" s="101"/>
      <c r="G566" s="100" t="str">
        <f>IFERROR(VLOOKUP(Tablo516[[#This Row],[ÜRÜN KODU]],YMKODLARI!$A$1:$K$383,3,0)," ")</f>
        <v xml:space="preserve"> </v>
      </c>
      <c r="H566" s="100" t="str">
        <f>IFERROR(VLOOKUP(Tablo516[[#This Row],[ÜRÜN KODU]],YMKODLARI!$A$1:$K$383,4,0)," ")</f>
        <v xml:space="preserve"> </v>
      </c>
      <c r="I566" s="100"/>
      <c r="J566" s="100" t="str">
        <f>IFERROR(VLOOKUP(Tablo516[[#This Row],[ÜRÜN KODU]],YMKODLARI!$A$1:$K$383,9,0)," ")</f>
        <v xml:space="preserve"> </v>
      </c>
      <c r="K566" s="100" t="str">
        <f>IFERROR(VLOOKUP(Tablo516[[#This Row],[BOYA KODU]],Tablo14[#All],4,0)," ")</f>
        <v xml:space="preserve"> </v>
      </c>
      <c r="L566" s="100" t="str">
        <f>IFERROR(VLOOKUP(Tablo516[[#This Row],[BOYA KODU]],Tablo14[#All],6,0)," ")</f>
        <v xml:space="preserve"> </v>
      </c>
      <c r="M566" s="100" t="str">
        <f t="shared" si="56"/>
        <v xml:space="preserve"> </v>
      </c>
      <c r="N566" s="100" t="str">
        <f>IFERROR(VLOOKUP(Tablo516[[#This Row],[ÜRÜN KODU]],YMKODLARI!$A$1:$K$383,8,0)," ")</f>
        <v xml:space="preserve"> </v>
      </c>
      <c r="O566" s="100" t="str">
        <f>IFERROR(VLOOKUP(Tablo516[[#This Row],[HAMMADDE KODU]],Tablo1[#All],3,0)," ")</f>
        <v xml:space="preserve"> </v>
      </c>
      <c r="P566" s="100" t="str">
        <f>IFERROR(VLOOKUP(Tablo516[[#This Row],[HAMMADDE KODU]],Tablo1[#All],4,0)," ")</f>
        <v xml:space="preserve"> </v>
      </c>
      <c r="Q566" s="100" t="str">
        <f>IFERROR(VLOOKUP(Tablo516[[#This Row],[ÜRÜN KODU]],YMKODLARI!$A$1:$K$383,5,0)," ")</f>
        <v xml:space="preserve"> </v>
      </c>
      <c r="R566" s="100" t="str">
        <f>IFERROR(VLOOKUP(Tablo516[[#This Row],[ÜRÜN KODU]],YMKODLARI!$A$1:$K$383,6,0)," ")</f>
        <v xml:space="preserve"> </v>
      </c>
      <c r="S566" s="100" t="str">
        <f>IFERROR(Tablo516[[#This Row],[YOLLUK HARİÇ BASKI GRAMI]]/Tablo516[[#This Row],[KALIP GÖZ ADEDİ]]," ")</f>
        <v xml:space="preserve"> </v>
      </c>
      <c r="T566" s="100" t="str">
        <f t="shared" si="58"/>
        <v xml:space="preserve"> </v>
      </c>
      <c r="U566" s="100"/>
      <c r="V566" s="100" t="str">
        <f t="shared" si="57"/>
        <v xml:space="preserve"> </v>
      </c>
      <c r="W566" s="101">
        <f t="shared" si="59"/>
        <v>24</v>
      </c>
      <c r="X566" s="102">
        <f t="shared" si="60"/>
        <v>0</v>
      </c>
      <c r="Y566" s="100" t="str">
        <f t="shared" si="61"/>
        <v xml:space="preserve"> </v>
      </c>
      <c r="Z566" s="100" t="str">
        <f t="shared" si="62"/>
        <v xml:space="preserve"> </v>
      </c>
    </row>
    <row r="567" spans="1:26">
      <c r="A567" s="100"/>
      <c r="B567" s="108" t="str">
        <f>IFERROR(VLOOKUP(Tablo516[[#This Row],[ÜRÜN KODU]],YMKODLARI!$A$1:$K$383,2,0)," ")</f>
        <v xml:space="preserve"> </v>
      </c>
      <c r="C567" s="99"/>
      <c r="D567" s="100"/>
      <c r="E567" s="101"/>
      <c r="F567" s="101"/>
      <c r="G567" s="100" t="str">
        <f>IFERROR(VLOOKUP(Tablo516[[#This Row],[ÜRÜN KODU]],YMKODLARI!$A$1:$K$383,3,0)," ")</f>
        <v xml:space="preserve"> </v>
      </c>
      <c r="H567" s="100" t="str">
        <f>IFERROR(VLOOKUP(Tablo516[[#This Row],[ÜRÜN KODU]],YMKODLARI!$A$1:$K$383,4,0)," ")</f>
        <v xml:space="preserve"> </v>
      </c>
      <c r="I567" s="100"/>
      <c r="J567" s="100" t="str">
        <f>IFERROR(VLOOKUP(Tablo516[[#This Row],[ÜRÜN KODU]],YMKODLARI!$A$1:$K$383,9,0)," ")</f>
        <v xml:space="preserve"> </v>
      </c>
      <c r="K567" s="100" t="str">
        <f>IFERROR(VLOOKUP(Tablo516[[#This Row],[BOYA KODU]],Tablo14[#All],4,0)," ")</f>
        <v xml:space="preserve"> </v>
      </c>
      <c r="L567" s="100" t="str">
        <f>IFERROR(VLOOKUP(Tablo516[[#This Row],[BOYA KODU]],Tablo14[#All],6,0)," ")</f>
        <v xml:space="preserve"> </v>
      </c>
      <c r="M567" s="100" t="str">
        <f t="shared" si="56"/>
        <v xml:space="preserve"> </v>
      </c>
      <c r="N567" s="100" t="str">
        <f>IFERROR(VLOOKUP(Tablo516[[#This Row],[ÜRÜN KODU]],YMKODLARI!$A$1:$K$383,8,0)," ")</f>
        <v xml:space="preserve"> </v>
      </c>
      <c r="O567" s="100" t="str">
        <f>IFERROR(VLOOKUP(Tablo516[[#This Row],[HAMMADDE KODU]],Tablo1[#All],3,0)," ")</f>
        <v xml:space="preserve"> </v>
      </c>
      <c r="P567" s="100" t="str">
        <f>IFERROR(VLOOKUP(Tablo516[[#This Row],[HAMMADDE KODU]],Tablo1[#All],4,0)," ")</f>
        <v xml:space="preserve"> </v>
      </c>
      <c r="Q567" s="100" t="str">
        <f>IFERROR(VLOOKUP(Tablo516[[#This Row],[ÜRÜN KODU]],YMKODLARI!$A$1:$K$383,5,0)," ")</f>
        <v xml:space="preserve"> </v>
      </c>
      <c r="R567" s="100" t="str">
        <f>IFERROR(VLOOKUP(Tablo516[[#This Row],[ÜRÜN KODU]],YMKODLARI!$A$1:$K$383,6,0)," ")</f>
        <v xml:space="preserve"> </v>
      </c>
      <c r="S567" s="100" t="str">
        <f>IFERROR(Tablo516[[#This Row],[YOLLUK HARİÇ BASKI GRAMI]]/Tablo516[[#This Row],[KALIP GÖZ ADEDİ]]," ")</f>
        <v xml:space="preserve"> </v>
      </c>
      <c r="T567" s="100" t="str">
        <f t="shared" si="58"/>
        <v xml:space="preserve"> </v>
      </c>
      <c r="U567" s="100"/>
      <c r="V567" s="100" t="str">
        <f t="shared" si="57"/>
        <v xml:space="preserve"> </v>
      </c>
      <c r="W567" s="101">
        <f t="shared" si="59"/>
        <v>24</v>
      </c>
      <c r="X567" s="102">
        <f t="shared" si="60"/>
        <v>0</v>
      </c>
      <c r="Y567" s="100" t="str">
        <f t="shared" si="61"/>
        <v xml:space="preserve"> </v>
      </c>
      <c r="Z567" s="100" t="str">
        <f t="shared" si="62"/>
        <v xml:space="preserve"> </v>
      </c>
    </row>
    <row r="568" spans="1:26">
      <c r="A568" s="100"/>
      <c r="B568" s="108" t="str">
        <f>IFERROR(VLOOKUP(Tablo516[[#This Row],[ÜRÜN KODU]],YMKODLARI!$A$1:$K$383,2,0)," ")</f>
        <v xml:space="preserve"> </v>
      </c>
      <c r="C568" s="99"/>
      <c r="D568" s="100"/>
      <c r="E568" s="101"/>
      <c r="F568" s="101"/>
      <c r="G568" s="100" t="str">
        <f>IFERROR(VLOOKUP(Tablo516[[#This Row],[ÜRÜN KODU]],YMKODLARI!$A$1:$K$383,3,0)," ")</f>
        <v xml:space="preserve"> </v>
      </c>
      <c r="H568" s="100" t="str">
        <f>IFERROR(VLOOKUP(Tablo516[[#This Row],[ÜRÜN KODU]],YMKODLARI!$A$1:$K$383,4,0)," ")</f>
        <v xml:space="preserve"> </v>
      </c>
      <c r="I568" s="100"/>
      <c r="J568" s="100" t="str">
        <f>IFERROR(VLOOKUP(Tablo516[[#This Row],[ÜRÜN KODU]],YMKODLARI!$A$1:$K$383,9,0)," ")</f>
        <v xml:space="preserve"> </v>
      </c>
      <c r="K568" s="100" t="str">
        <f>IFERROR(VLOOKUP(Tablo516[[#This Row],[BOYA KODU]],Tablo14[#All],4,0)," ")</f>
        <v xml:space="preserve"> </v>
      </c>
      <c r="L568" s="100" t="str">
        <f>IFERROR(VLOOKUP(Tablo516[[#This Row],[BOYA KODU]],Tablo14[#All],6,0)," ")</f>
        <v xml:space="preserve"> </v>
      </c>
      <c r="M568" s="100" t="str">
        <f t="shared" si="56"/>
        <v xml:space="preserve"> </v>
      </c>
      <c r="N568" s="100" t="str">
        <f>IFERROR(VLOOKUP(Tablo516[[#This Row],[ÜRÜN KODU]],YMKODLARI!$A$1:$K$383,8,0)," ")</f>
        <v xml:space="preserve"> </v>
      </c>
      <c r="O568" s="100" t="str">
        <f>IFERROR(VLOOKUP(Tablo516[[#This Row],[HAMMADDE KODU]],Tablo1[#All],3,0)," ")</f>
        <v xml:space="preserve"> </v>
      </c>
      <c r="P568" s="100" t="str">
        <f>IFERROR(VLOOKUP(Tablo516[[#This Row],[HAMMADDE KODU]],Tablo1[#All],4,0)," ")</f>
        <v xml:space="preserve"> </v>
      </c>
      <c r="Q568" s="100" t="str">
        <f>IFERROR(VLOOKUP(Tablo516[[#This Row],[ÜRÜN KODU]],YMKODLARI!$A$1:$K$383,5,0)," ")</f>
        <v xml:space="preserve"> </v>
      </c>
      <c r="R568" s="100" t="str">
        <f>IFERROR(VLOOKUP(Tablo516[[#This Row],[ÜRÜN KODU]],YMKODLARI!$A$1:$K$383,6,0)," ")</f>
        <v xml:space="preserve"> </v>
      </c>
      <c r="S568" s="100" t="str">
        <f>IFERROR(Tablo516[[#This Row],[YOLLUK HARİÇ BASKI GRAMI]]/Tablo516[[#This Row],[KALIP GÖZ ADEDİ]]," ")</f>
        <v xml:space="preserve"> </v>
      </c>
      <c r="T568" s="100" t="str">
        <f t="shared" si="58"/>
        <v xml:space="preserve"> </v>
      </c>
      <c r="U568" s="100"/>
      <c r="V568" s="100" t="str">
        <f t="shared" si="57"/>
        <v xml:space="preserve"> </v>
      </c>
      <c r="W568" s="101">
        <f t="shared" si="59"/>
        <v>24</v>
      </c>
      <c r="X568" s="102">
        <f t="shared" si="60"/>
        <v>0</v>
      </c>
      <c r="Y568" s="100" t="str">
        <f t="shared" si="61"/>
        <v xml:space="preserve"> </v>
      </c>
      <c r="Z568" s="100" t="str">
        <f t="shared" si="62"/>
        <v xml:space="preserve"> </v>
      </c>
    </row>
    <row r="569" spans="1:26">
      <c r="A569" s="100"/>
      <c r="B569" s="108" t="str">
        <f>IFERROR(VLOOKUP(Tablo516[[#This Row],[ÜRÜN KODU]],YMKODLARI!$A$1:$K$383,2,0)," ")</f>
        <v xml:space="preserve"> </v>
      </c>
      <c r="C569" s="99"/>
      <c r="D569" s="100"/>
      <c r="E569" s="101"/>
      <c r="F569" s="101"/>
      <c r="G569" s="100" t="str">
        <f>IFERROR(VLOOKUP(Tablo516[[#This Row],[ÜRÜN KODU]],YMKODLARI!$A$1:$K$383,3,0)," ")</f>
        <v xml:space="preserve"> </v>
      </c>
      <c r="H569" s="100" t="str">
        <f>IFERROR(VLOOKUP(Tablo516[[#This Row],[ÜRÜN KODU]],YMKODLARI!$A$1:$K$383,4,0)," ")</f>
        <v xml:space="preserve"> </v>
      </c>
      <c r="I569" s="100"/>
      <c r="J569" s="100" t="str">
        <f>IFERROR(VLOOKUP(Tablo516[[#This Row],[ÜRÜN KODU]],YMKODLARI!$A$1:$K$383,9,0)," ")</f>
        <v xml:space="preserve"> </v>
      </c>
      <c r="K569" s="100" t="str">
        <f>IFERROR(VLOOKUP(Tablo516[[#This Row],[BOYA KODU]],Tablo14[#All],4,0)," ")</f>
        <v xml:space="preserve"> </v>
      </c>
      <c r="L569" s="100" t="str">
        <f>IFERROR(VLOOKUP(Tablo516[[#This Row],[BOYA KODU]],Tablo14[#All],6,0)," ")</f>
        <v xml:space="preserve"> </v>
      </c>
      <c r="M569" s="100" t="str">
        <f t="shared" si="56"/>
        <v xml:space="preserve"> </v>
      </c>
      <c r="N569" s="100" t="str">
        <f>IFERROR(VLOOKUP(Tablo516[[#This Row],[ÜRÜN KODU]],YMKODLARI!$A$1:$K$383,8,0)," ")</f>
        <v xml:space="preserve"> </v>
      </c>
      <c r="O569" s="100" t="str">
        <f>IFERROR(VLOOKUP(Tablo516[[#This Row],[HAMMADDE KODU]],Tablo1[#All],3,0)," ")</f>
        <v xml:space="preserve"> </v>
      </c>
      <c r="P569" s="100" t="str">
        <f>IFERROR(VLOOKUP(Tablo516[[#This Row],[HAMMADDE KODU]],Tablo1[#All],4,0)," ")</f>
        <v xml:space="preserve"> </v>
      </c>
      <c r="Q569" s="100" t="str">
        <f>IFERROR(VLOOKUP(Tablo516[[#This Row],[ÜRÜN KODU]],YMKODLARI!$A$1:$K$383,5,0)," ")</f>
        <v xml:space="preserve"> </v>
      </c>
      <c r="R569" s="100" t="str">
        <f>IFERROR(VLOOKUP(Tablo516[[#This Row],[ÜRÜN KODU]],YMKODLARI!$A$1:$K$383,6,0)," ")</f>
        <v xml:space="preserve"> </v>
      </c>
      <c r="S569" s="100" t="str">
        <f>IFERROR(Tablo516[[#This Row],[YOLLUK HARİÇ BASKI GRAMI]]/Tablo516[[#This Row],[KALIP GÖZ ADEDİ]]," ")</f>
        <v xml:space="preserve"> </v>
      </c>
      <c r="T569" s="100" t="str">
        <f t="shared" si="58"/>
        <v xml:space="preserve"> </v>
      </c>
      <c r="U569" s="100"/>
      <c r="V569" s="100" t="str">
        <f t="shared" si="57"/>
        <v xml:space="preserve"> </v>
      </c>
      <c r="W569" s="101">
        <f t="shared" si="59"/>
        <v>24</v>
      </c>
      <c r="X569" s="102">
        <f t="shared" si="60"/>
        <v>0</v>
      </c>
      <c r="Y569" s="100" t="str">
        <f t="shared" si="61"/>
        <v xml:space="preserve"> </v>
      </c>
      <c r="Z569" s="100" t="str">
        <f t="shared" si="62"/>
        <v xml:space="preserve"> </v>
      </c>
    </row>
    <row r="570" spans="1:26">
      <c r="A570" s="100"/>
      <c r="B570" s="108" t="str">
        <f>IFERROR(VLOOKUP(Tablo516[[#This Row],[ÜRÜN KODU]],YMKODLARI!$A$1:$K$383,2,0)," ")</f>
        <v xml:space="preserve"> </v>
      </c>
      <c r="C570" s="99"/>
      <c r="D570" s="100"/>
      <c r="E570" s="101"/>
      <c r="F570" s="101"/>
      <c r="G570" s="100" t="str">
        <f>IFERROR(VLOOKUP(Tablo516[[#This Row],[ÜRÜN KODU]],YMKODLARI!$A$1:$K$383,3,0)," ")</f>
        <v xml:space="preserve"> </v>
      </c>
      <c r="H570" s="100" t="str">
        <f>IFERROR(VLOOKUP(Tablo516[[#This Row],[ÜRÜN KODU]],YMKODLARI!$A$1:$K$383,4,0)," ")</f>
        <v xml:space="preserve"> </v>
      </c>
      <c r="I570" s="100"/>
      <c r="J570" s="100" t="str">
        <f>IFERROR(VLOOKUP(Tablo516[[#This Row],[ÜRÜN KODU]],YMKODLARI!$A$1:$K$383,9,0)," ")</f>
        <v xml:space="preserve"> </v>
      </c>
      <c r="K570" s="100" t="str">
        <f>IFERROR(VLOOKUP(Tablo516[[#This Row],[BOYA KODU]],Tablo14[#All],4,0)," ")</f>
        <v xml:space="preserve"> </v>
      </c>
      <c r="L570" s="100" t="str">
        <f>IFERROR(VLOOKUP(Tablo516[[#This Row],[BOYA KODU]],Tablo14[#All],6,0)," ")</f>
        <v xml:space="preserve"> </v>
      </c>
      <c r="M570" s="100" t="str">
        <f t="shared" si="56"/>
        <v xml:space="preserve"> </v>
      </c>
      <c r="N570" s="100" t="str">
        <f>IFERROR(VLOOKUP(Tablo516[[#This Row],[ÜRÜN KODU]],YMKODLARI!$A$1:$K$383,8,0)," ")</f>
        <v xml:space="preserve"> </v>
      </c>
      <c r="O570" s="100" t="str">
        <f>IFERROR(VLOOKUP(Tablo516[[#This Row],[HAMMADDE KODU]],Tablo1[#All],3,0)," ")</f>
        <v xml:space="preserve"> </v>
      </c>
      <c r="P570" s="100" t="str">
        <f>IFERROR(VLOOKUP(Tablo516[[#This Row],[HAMMADDE KODU]],Tablo1[#All],4,0)," ")</f>
        <v xml:space="preserve"> </v>
      </c>
      <c r="Q570" s="100" t="str">
        <f>IFERROR(VLOOKUP(Tablo516[[#This Row],[ÜRÜN KODU]],YMKODLARI!$A$1:$K$383,5,0)," ")</f>
        <v xml:space="preserve"> </v>
      </c>
      <c r="R570" s="100" t="str">
        <f>IFERROR(VLOOKUP(Tablo516[[#This Row],[ÜRÜN KODU]],YMKODLARI!$A$1:$K$383,6,0)," ")</f>
        <v xml:space="preserve"> </v>
      </c>
      <c r="S570" s="100" t="str">
        <f>IFERROR(Tablo516[[#This Row],[YOLLUK HARİÇ BASKI GRAMI]]/Tablo516[[#This Row],[KALIP GÖZ ADEDİ]]," ")</f>
        <v xml:space="preserve"> </v>
      </c>
      <c r="T570" s="100" t="str">
        <f t="shared" si="58"/>
        <v xml:space="preserve"> </v>
      </c>
      <c r="U570" s="100"/>
      <c r="V570" s="100" t="str">
        <f t="shared" si="57"/>
        <v xml:space="preserve"> </v>
      </c>
      <c r="W570" s="101">
        <f t="shared" si="59"/>
        <v>24</v>
      </c>
      <c r="X570" s="102">
        <f t="shared" si="60"/>
        <v>0</v>
      </c>
      <c r="Y570" s="100" t="str">
        <f t="shared" si="61"/>
        <v xml:space="preserve"> </v>
      </c>
      <c r="Z570" s="100" t="str">
        <f t="shared" si="62"/>
        <v xml:space="preserve"> </v>
      </c>
    </row>
    <row r="571" spans="1:26">
      <c r="A571" s="100"/>
      <c r="B571" s="108" t="str">
        <f>IFERROR(VLOOKUP(Tablo516[[#This Row],[ÜRÜN KODU]],YMKODLARI!$A$1:$K$383,2,0)," ")</f>
        <v xml:space="preserve"> </v>
      </c>
      <c r="C571" s="99"/>
      <c r="D571" s="100"/>
      <c r="E571" s="101"/>
      <c r="F571" s="101"/>
      <c r="G571" s="100" t="str">
        <f>IFERROR(VLOOKUP(Tablo516[[#This Row],[ÜRÜN KODU]],YMKODLARI!$A$1:$K$383,3,0)," ")</f>
        <v xml:space="preserve"> </v>
      </c>
      <c r="H571" s="100" t="str">
        <f>IFERROR(VLOOKUP(Tablo516[[#This Row],[ÜRÜN KODU]],YMKODLARI!$A$1:$K$383,4,0)," ")</f>
        <v xml:space="preserve"> </v>
      </c>
      <c r="I571" s="100"/>
      <c r="J571" s="100" t="str">
        <f>IFERROR(VLOOKUP(Tablo516[[#This Row],[ÜRÜN KODU]],YMKODLARI!$A$1:$K$383,9,0)," ")</f>
        <v xml:space="preserve"> </v>
      </c>
      <c r="K571" s="100" t="str">
        <f>IFERROR(VLOOKUP(Tablo516[[#This Row],[BOYA KODU]],Tablo14[#All],4,0)," ")</f>
        <v xml:space="preserve"> </v>
      </c>
      <c r="L571" s="100" t="str">
        <f>IFERROR(VLOOKUP(Tablo516[[#This Row],[BOYA KODU]],Tablo14[#All],6,0)," ")</f>
        <v xml:space="preserve"> </v>
      </c>
      <c r="M571" s="100" t="str">
        <f t="shared" si="56"/>
        <v xml:space="preserve"> </v>
      </c>
      <c r="N571" s="100" t="str">
        <f>IFERROR(VLOOKUP(Tablo516[[#This Row],[ÜRÜN KODU]],YMKODLARI!$A$1:$K$383,8,0)," ")</f>
        <v xml:space="preserve"> </v>
      </c>
      <c r="O571" s="100" t="str">
        <f>IFERROR(VLOOKUP(Tablo516[[#This Row],[HAMMADDE KODU]],Tablo1[#All],3,0)," ")</f>
        <v xml:space="preserve"> </v>
      </c>
      <c r="P571" s="100" t="str">
        <f>IFERROR(VLOOKUP(Tablo516[[#This Row],[HAMMADDE KODU]],Tablo1[#All],4,0)," ")</f>
        <v xml:space="preserve"> </v>
      </c>
      <c r="Q571" s="100" t="str">
        <f>IFERROR(VLOOKUP(Tablo516[[#This Row],[ÜRÜN KODU]],YMKODLARI!$A$1:$K$383,5,0)," ")</f>
        <v xml:space="preserve"> </v>
      </c>
      <c r="R571" s="100" t="str">
        <f>IFERROR(VLOOKUP(Tablo516[[#This Row],[ÜRÜN KODU]],YMKODLARI!$A$1:$K$383,6,0)," ")</f>
        <v xml:space="preserve"> </v>
      </c>
      <c r="S571" s="100" t="str">
        <f>IFERROR(Tablo516[[#This Row],[YOLLUK HARİÇ BASKI GRAMI]]/Tablo516[[#This Row],[KALIP GÖZ ADEDİ]]," ")</f>
        <v xml:space="preserve"> </v>
      </c>
      <c r="T571" s="100" t="str">
        <f t="shared" si="58"/>
        <v xml:space="preserve"> </v>
      </c>
      <c r="U571" s="100"/>
      <c r="V571" s="100" t="str">
        <f t="shared" si="57"/>
        <v xml:space="preserve"> </v>
      </c>
      <c r="W571" s="101">
        <f t="shared" si="59"/>
        <v>24</v>
      </c>
      <c r="X571" s="102">
        <f t="shared" si="60"/>
        <v>0</v>
      </c>
      <c r="Y571" s="100" t="str">
        <f t="shared" si="61"/>
        <v xml:space="preserve"> </v>
      </c>
      <c r="Z571" s="100" t="str">
        <f t="shared" si="62"/>
        <v xml:space="preserve"> </v>
      </c>
    </row>
  </sheetData>
  <sheetProtection password="CC17" sheet="1" objects="1" scenarios="1" selectLockedCells="1"/>
  <protectedRanges>
    <protectedRange password="CC09" sqref="I1:I1048576 U1:U1048576 C1:F84 D85:F87 A1:A1048576 C88:F1048576" name="girdiler"/>
  </protectedRange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sheetPr codeName="Sayfa8"/>
  <dimension ref="A1:Z571"/>
  <sheetViews>
    <sheetView topLeftCell="E1" zoomScale="110" zoomScaleNormal="110" workbookViewId="0">
      <pane ySplit="1" topLeftCell="A194" activePane="bottomLeft" state="frozen"/>
      <selection activeCell="F19" sqref="F19"/>
      <selection pane="bottomLeft" activeCell="S206" sqref="S206"/>
    </sheetView>
  </sheetViews>
  <sheetFormatPr defaultRowHeight="15"/>
  <cols>
    <col min="1" max="1" width="13.28515625" style="37" customWidth="1"/>
    <col min="2" max="2" width="34.42578125" style="35" customWidth="1"/>
    <col min="3" max="3" width="11.85546875" style="36" bestFit="1" customWidth="1"/>
    <col min="4" max="4" width="15.28515625" style="37" customWidth="1"/>
    <col min="5" max="5" width="12" style="38" customWidth="1"/>
    <col min="6" max="6" width="10.140625" style="38" customWidth="1"/>
    <col min="7" max="7" width="9.140625" style="37" customWidth="1"/>
    <col min="8" max="8" width="9" style="37" customWidth="1"/>
    <col min="9" max="9" width="11.7109375" style="37" customWidth="1"/>
    <col min="10" max="10" width="12.7109375" style="37" bestFit="1" customWidth="1"/>
    <col min="11" max="11" width="11.85546875" style="37" customWidth="1"/>
    <col min="12" max="12" width="10" style="37" customWidth="1"/>
    <col min="13" max="13" width="12.140625" style="37" customWidth="1"/>
    <col min="14" max="16" width="12.42578125" style="37" customWidth="1"/>
    <col min="17" max="17" width="8.5703125" style="37" customWidth="1"/>
    <col min="18" max="18" width="10.5703125" style="37" customWidth="1"/>
    <col min="19" max="19" width="7.5703125" style="37" customWidth="1"/>
    <col min="20" max="20" width="10" style="37" customWidth="1"/>
    <col min="21" max="21" width="9.140625" style="37"/>
    <col min="22" max="22" width="12.140625" style="37" customWidth="1"/>
    <col min="23" max="23" width="11.85546875" style="38" customWidth="1"/>
    <col min="24" max="24" width="11.85546875" style="39" customWidth="1"/>
    <col min="25" max="25" width="9.5703125" style="37" customWidth="1"/>
    <col min="26" max="26" width="10.28515625" style="37" customWidth="1"/>
    <col min="27" max="16384" width="9.140625" style="37"/>
  </cols>
  <sheetData>
    <row r="1" spans="1:26" s="40" customFormat="1" ht="105" customHeight="1">
      <c r="A1" s="103" t="s">
        <v>0</v>
      </c>
      <c r="B1" s="104" t="s">
        <v>1</v>
      </c>
      <c r="C1" s="105" t="s">
        <v>2</v>
      </c>
      <c r="D1" s="103" t="s">
        <v>3</v>
      </c>
      <c r="E1" s="106" t="s">
        <v>4</v>
      </c>
      <c r="F1" s="106" t="s">
        <v>5</v>
      </c>
      <c r="G1" s="103" t="s">
        <v>6</v>
      </c>
      <c r="H1" s="103" t="s">
        <v>7</v>
      </c>
      <c r="I1" s="103" t="s">
        <v>8</v>
      </c>
      <c r="J1" s="103" t="s">
        <v>9</v>
      </c>
      <c r="K1" s="103" t="s">
        <v>10</v>
      </c>
      <c r="L1" s="103" t="s">
        <v>11</v>
      </c>
      <c r="M1" s="103" t="s">
        <v>12</v>
      </c>
      <c r="N1" s="103" t="s">
        <v>13</v>
      </c>
      <c r="O1" s="103" t="s">
        <v>14</v>
      </c>
      <c r="P1" s="103" t="s">
        <v>15</v>
      </c>
      <c r="Q1" s="103" t="s">
        <v>16</v>
      </c>
      <c r="R1" s="103" t="s">
        <v>17</v>
      </c>
      <c r="S1" s="103" t="s">
        <v>18</v>
      </c>
      <c r="T1" s="103" t="s">
        <v>19</v>
      </c>
      <c r="U1" s="103" t="s">
        <v>20</v>
      </c>
      <c r="V1" s="103" t="s">
        <v>21</v>
      </c>
      <c r="W1" s="106" t="s">
        <v>22</v>
      </c>
      <c r="X1" s="107" t="s">
        <v>23</v>
      </c>
      <c r="Y1" s="103" t="s">
        <v>24</v>
      </c>
      <c r="Z1" s="103" t="s">
        <v>25</v>
      </c>
    </row>
    <row r="2" spans="1:26">
      <c r="A2" s="100" t="s">
        <v>55</v>
      </c>
      <c r="B2" s="108" t="str">
        <f>IFERROR(VLOOKUP(Tablo517[[#This Row],[ÜRÜN KODU]],YMKODLARI!$A$1:$K$363,2,0)," ")</f>
        <v>BİBERON SEYAHAT TIPASI</v>
      </c>
      <c r="C2" s="99">
        <v>43854</v>
      </c>
      <c r="D2" s="100" t="s">
        <v>37</v>
      </c>
      <c r="E2" s="101">
        <v>0.375</v>
      </c>
      <c r="F2" s="101">
        <v>0.72916666666666663</v>
      </c>
      <c r="G2" s="100">
        <f>IFERROR(VLOOKUP(Tablo517[[#This Row],[ÜRÜN KODU]],YMKODLARI!$A$1:$K$363,3,0)," ")</f>
        <v>8</v>
      </c>
      <c r="H2" s="100">
        <f>IFERROR(VLOOKUP(Tablo517[[#This Row],[ÜRÜN KODU]],YMKODLARI!$A$1:$K$363,4,0)," ")</f>
        <v>15</v>
      </c>
      <c r="I2" s="100">
        <v>858</v>
      </c>
      <c r="J2" s="100" t="str">
        <f>IFERROR(VLOOKUP(Tablo517[[#This Row],[ÜRÜN KODU]],YMKODLARI!$A$1:$K$363,9,0)," ")</f>
        <v>BEYAZ</v>
      </c>
      <c r="K2" s="100" t="str">
        <f>IFERROR(VLOOKUP(Tablo517[[#This Row],[BOYA KODU]],Tablo14[#All],4,0)," ")</f>
        <v xml:space="preserve"> </v>
      </c>
      <c r="L2" s="100" t="str">
        <f>IFERROR(VLOOKUP(Tablo517[[#This Row],[BOYA KODU]],Tablo14[#All],6,0)," ")</f>
        <v xml:space="preserve"> </v>
      </c>
      <c r="M2" s="100" t="str">
        <f t="shared" ref="M2:M65" si="0">IFERROR((I2*Q2)*L2," ")</f>
        <v xml:space="preserve"> </v>
      </c>
      <c r="N2" s="100" t="str">
        <f>IFERROR(VLOOKUP(Tablo517[[#This Row],[ÜRÜN KODU]],YMKODLARI!$A$1:$K$363,8,0)," ")</f>
        <v>HM 010</v>
      </c>
      <c r="O2" s="100" t="str">
        <f>IFERROR(VLOOKUP(Tablo517[[#This Row],[HAMMADDE KODU]],Tablo1[#All],3,0)," ")</f>
        <v>KIRMA PP</v>
      </c>
      <c r="P2" s="100" t="str">
        <f>IFERROR(VLOOKUP(Tablo517[[#This Row],[HAMMADDE KODU]],Tablo1[#All],4,0)," ")</f>
        <v>KIRMA</v>
      </c>
      <c r="Q2" s="100">
        <f>IFERROR(VLOOKUP(Tablo517[[#This Row],[ÜRÜN KODU]],YMKODLARI!$A$1:$K$363,5,0)," ")</f>
        <v>13</v>
      </c>
      <c r="R2" s="100">
        <f>IFERROR(VLOOKUP(Tablo517[[#This Row],[ÜRÜN KODU]],YMKODLARI!$A$1:$K$363,6,0)," ")</f>
        <v>10.7</v>
      </c>
      <c r="S2" s="100">
        <f>IFERROR(Tablo517[[#This Row],[YOLLUK HARİÇ BASKI GRAMI]]/Tablo517[[#This Row],[KALIP GÖZ ADEDİ]]," ")</f>
        <v>1.3374999999999999</v>
      </c>
      <c r="T2" s="100">
        <f>IFERROR(Q2-R2," ")</f>
        <v>2.3000000000000007</v>
      </c>
      <c r="U2" s="118">
        <v>1.8</v>
      </c>
      <c r="V2" s="100">
        <f t="shared" ref="V2:V65" si="1">IFERROR(U2+(R2*I2) /1000," ")</f>
        <v>10.980599999999999</v>
      </c>
      <c r="W2" s="101">
        <f>IFERROR(24-(E2-F2)," ")</f>
        <v>24.354166666666668</v>
      </c>
      <c r="X2" s="102">
        <f>IFERROR((W2-INT(W2))*24," ")</f>
        <v>8.5000000000000284</v>
      </c>
      <c r="Y2" s="100">
        <f>IFERROR(H2*I2/3600," ")</f>
        <v>3.5750000000000002</v>
      </c>
      <c r="Z2" s="100">
        <f>IFERROR(I2*G2," " )</f>
        <v>6864</v>
      </c>
    </row>
    <row r="3" spans="1:26">
      <c r="A3" s="100" t="s">
        <v>55</v>
      </c>
      <c r="B3" s="108" t="str">
        <f>IFERROR(VLOOKUP(Tablo517[[#This Row],[ÜRÜN KODU]],YMKODLARI!$A$1:$K$363,2,0)," ")</f>
        <v>BİBERON SEYAHAT TIPASI</v>
      </c>
      <c r="C3" s="99">
        <v>43857</v>
      </c>
      <c r="D3" s="100" t="s">
        <v>37</v>
      </c>
      <c r="E3" s="101">
        <v>0.33333333333333331</v>
      </c>
      <c r="F3" s="101">
        <v>0.75</v>
      </c>
      <c r="G3" s="100">
        <f>IFERROR(VLOOKUP(Tablo517[[#This Row],[ÜRÜN KODU]],YMKODLARI!$A$1:$K$363,3,0)," ")</f>
        <v>8</v>
      </c>
      <c r="H3" s="100">
        <f>IFERROR(VLOOKUP(Tablo517[[#This Row],[ÜRÜN KODU]],YMKODLARI!$A$1:$K$363,4,0)," ")</f>
        <v>15</v>
      </c>
      <c r="I3" s="100">
        <v>940</v>
      </c>
      <c r="J3" s="100" t="str">
        <f>IFERROR(VLOOKUP(Tablo517[[#This Row],[ÜRÜN KODU]],YMKODLARI!$A$1:$K$363,9,0)," ")</f>
        <v>BEYAZ</v>
      </c>
      <c r="K3" s="100" t="str">
        <f>IFERROR(VLOOKUP(Tablo517[[#This Row],[BOYA KODU]],Tablo14[#All],4,0)," ")</f>
        <v xml:space="preserve"> </v>
      </c>
      <c r="L3" s="100" t="str">
        <f>IFERROR(VLOOKUP(Tablo517[[#This Row],[BOYA KODU]],Tablo14[#All],6,0)," ")</f>
        <v xml:space="preserve"> </v>
      </c>
      <c r="M3" s="100" t="str">
        <f t="shared" si="0"/>
        <v xml:space="preserve"> </v>
      </c>
      <c r="N3" s="100" t="str">
        <f>IFERROR(VLOOKUP(Tablo517[[#This Row],[ÜRÜN KODU]],YMKODLARI!$A$1:$K$363,8,0)," ")</f>
        <v>HM 010</v>
      </c>
      <c r="O3" s="100" t="str">
        <f>IFERROR(VLOOKUP(Tablo517[[#This Row],[HAMMADDE KODU]],Tablo1[#All],3,0)," ")</f>
        <v>KIRMA PP</v>
      </c>
      <c r="P3" s="100" t="str">
        <f>IFERROR(VLOOKUP(Tablo517[[#This Row],[HAMMADDE KODU]],Tablo1[#All],4,0)," ")</f>
        <v>KIRMA</v>
      </c>
      <c r="Q3" s="100">
        <f>IFERROR(VLOOKUP(Tablo517[[#This Row],[ÜRÜN KODU]],YMKODLARI!$A$1:$K$363,5,0)," ")</f>
        <v>13</v>
      </c>
      <c r="R3" s="100">
        <f>IFERROR(VLOOKUP(Tablo517[[#This Row],[ÜRÜN KODU]],YMKODLARI!$A$1:$K$363,6,0)," ")</f>
        <v>10.7</v>
      </c>
      <c r="S3" s="100">
        <f>IFERROR(Tablo517[[#This Row],[YOLLUK HARİÇ BASKI GRAMI]]/Tablo517[[#This Row],[KALIP GÖZ ADEDİ]]," ")</f>
        <v>1.3374999999999999</v>
      </c>
      <c r="T3" s="100">
        <f t="shared" ref="T3:T66" si="2">IFERROR(Q3-R3," ")</f>
        <v>2.3000000000000007</v>
      </c>
      <c r="U3" s="118">
        <v>2.7</v>
      </c>
      <c r="V3" s="100">
        <f t="shared" si="1"/>
        <v>12.757999999999999</v>
      </c>
      <c r="W3" s="101">
        <f t="shared" ref="W3:W66" si="3">IFERROR(24-(E3-F3)," ")</f>
        <v>24.416666666666668</v>
      </c>
      <c r="X3" s="102">
        <f t="shared" ref="X3:X66" si="4">IFERROR((W3-INT(W3))*24," ")</f>
        <v>10.000000000000028</v>
      </c>
      <c r="Y3" s="100">
        <f t="shared" ref="Y3:Y66" si="5">IFERROR(H3*I3/3600," ")</f>
        <v>3.9166666666666665</v>
      </c>
      <c r="Z3" s="100">
        <f t="shared" ref="Z3:Z66" si="6">IFERROR(I3*G3," " )</f>
        <v>7520</v>
      </c>
    </row>
    <row r="4" spans="1:26">
      <c r="A4" s="100" t="s">
        <v>55</v>
      </c>
      <c r="B4" s="108" t="str">
        <f>IFERROR(VLOOKUP(Tablo517[[#This Row],[ÜRÜN KODU]],YMKODLARI!$A$1:$K$363,2,0)," ")</f>
        <v>BİBERON SEYAHAT TIPASI</v>
      </c>
      <c r="C4" s="99">
        <v>43858</v>
      </c>
      <c r="D4" s="100" t="s">
        <v>37</v>
      </c>
      <c r="E4" s="101">
        <v>0.33333333333333331</v>
      </c>
      <c r="F4" s="101">
        <v>0.75</v>
      </c>
      <c r="G4" s="100">
        <f>IFERROR(VLOOKUP(Tablo517[[#This Row],[ÜRÜN KODU]],YMKODLARI!$A$1:$K$363,3,0)," ")</f>
        <v>8</v>
      </c>
      <c r="H4" s="100">
        <f>IFERROR(VLOOKUP(Tablo517[[#This Row],[ÜRÜN KODU]],YMKODLARI!$A$1:$K$363,4,0)," ")</f>
        <v>15</v>
      </c>
      <c r="I4" s="100">
        <v>1112</v>
      </c>
      <c r="J4" s="100" t="str">
        <f>IFERROR(VLOOKUP(Tablo517[[#This Row],[ÜRÜN KODU]],YMKODLARI!$A$1:$K$363,9,0)," ")</f>
        <v>BEYAZ</v>
      </c>
      <c r="K4" s="100" t="str">
        <f>IFERROR(VLOOKUP(Tablo517[[#This Row],[BOYA KODU]],Tablo14[#All],4,0)," ")</f>
        <v xml:space="preserve"> </v>
      </c>
      <c r="L4" s="100" t="str">
        <f>IFERROR(VLOOKUP(Tablo517[[#This Row],[BOYA KODU]],Tablo14[#All],6,0)," ")</f>
        <v xml:space="preserve"> </v>
      </c>
      <c r="M4" s="100" t="str">
        <f t="shared" si="0"/>
        <v xml:space="preserve"> </v>
      </c>
      <c r="N4" s="100" t="str">
        <f>IFERROR(VLOOKUP(Tablo517[[#This Row],[ÜRÜN KODU]],YMKODLARI!$A$1:$K$363,8,0)," ")</f>
        <v>HM 010</v>
      </c>
      <c r="O4" s="100" t="str">
        <f>IFERROR(VLOOKUP(Tablo517[[#This Row],[HAMMADDE KODU]],Tablo1[#All],3,0)," ")</f>
        <v>KIRMA PP</v>
      </c>
      <c r="P4" s="100" t="str">
        <f>IFERROR(VLOOKUP(Tablo517[[#This Row],[HAMMADDE KODU]],Tablo1[#All],4,0)," ")</f>
        <v>KIRMA</v>
      </c>
      <c r="Q4" s="100">
        <f>IFERROR(VLOOKUP(Tablo517[[#This Row],[ÜRÜN KODU]],YMKODLARI!$A$1:$K$363,5,0)," ")</f>
        <v>13</v>
      </c>
      <c r="R4" s="100">
        <f>IFERROR(VLOOKUP(Tablo517[[#This Row],[ÜRÜN KODU]],YMKODLARI!$A$1:$K$363,6,0)," ")</f>
        <v>10.7</v>
      </c>
      <c r="S4" s="100">
        <f>IFERROR(Tablo517[[#This Row],[YOLLUK HARİÇ BASKI GRAMI]]/Tablo517[[#This Row],[KALIP GÖZ ADEDİ]]," ")</f>
        <v>1.3374999999999999</v>
      </c>
      <c r="T4" s="100">
        <f t="shared" si="2"/>
        <v>2.3000000000000007</v>
      </c>
      <c r="U4" s="118">
        <v>3.1</v>
      </c>
      <c r="V4" s="100">
        <f t="shared" si="1"/>
        <v>14.998399999999998</v>
      </c>
      <c r="W4" s="101">
        <f t="shared" si="3"/>
        <v>24.416666666666668</v>
      </c>
      <c r="X4" s="102">
        <f t="shared" si="4"/>
        <v>10.000000000000028</v>
      </c>
      <c r="Y4" s="100">
        <f t="shared" si="5"/>
        <v>4.6333333333333337</v>
      </c>
      <c r="Z4" s="100">
        <f t="shared" si="6"/>
        <v>8896</v>
      </c>
    </row>
    <row r="5" spans="1:26">
      <c r="A5" s="100" t="s">
        <v>55</v>
      </c>
      <c r="B5" s="108" t="str">
        <f>IFERROR(VLOOKUP(Tablo517[[#This Row],[ÜRÜN KODU]],YMKODLARI!$A$1:$K$363,2,0)," ")</f>
        <v>BİBERON SEYAHAT TIPASI</v>
      </c>
      <c r="C5" s="99">
        <v>43859</v>
      </c>
      <c r="D5" s="100" t="s">
        <v>37</v>
      </c>
      <c r="E5" s="101">
        <v>0.33333333333333331</v>
      </c>
      <c r="F5" s="101">
        <v>0.75</v>
      </c>
      <c r="G5" s="100">
        <f>IFERROR(VLOOKUP(Tablo517[[#This Row],[ÜRÜN KODU]],YMKODLARI!$A$1:$K$363,3,0)," ")</f>
        <v>8</v>
      </c>
      <c r="H5" s="100">
        <f>IFERROR(VLOOKUP(Tablo517[[#This Row],[ÜRÜN KODU]],YMKODLARI!$A$1:$K$363,4,0)," ")</f>
        <v>15</v>
      </c>
      <c r="I5" s="100">
        <v>1093</v>
      </c>
      <c r="J5" s="100" t="str">
        <f>IFERROR(VLOOKUP(Tablo517[[#This Row],[ÜRÜN KODU]],YMKODLARI!$A$1:$K$363,9,0)," ")</f>
        <v>BEYAZ</v>
      </c>
      <c r="K5" s="100" t="str">
        <f>IFERROR(VLOOKUP(Tablo517[[#This Row],[BOYA KODU]],Tablo14[#All],4,0)," ")</f>
        <v xml:space="preserve"> </v>
      </c>
      <c r="L5" s="100" t="str">
        <f>IFERROR(VLOOKUP(Tablo517[[#This Row],[BOYA KODU]],Tablo14[#All],6,0)," ")</f>
        <v xml:space="preserve"> </v>
      </c>
      <c r="M5" s="100" t="str">
        <f t="shared" si="0"/>
        <v xml:space="preserve"> </v>
      </c>
      <c r="N5" s="100" t="str">
        <f>IFERROR(VLOOKUP(Tablo517[[#This Row],[ÜRÜN KODU]],YMKODLARI!$A$1:$K$363,8,0)," ")</f>
        <v>HM 010</v>
      </c>
      <c r="O5" s="100" t="str">
        <f>IFERROR(VLOOKUP(Tablo517[[#This Row],[HAMMADDE KODU]],Tablo1[#All],3,0)," ")</f>
        <v>KIRMA PP</v>
      </c>
      <c r="P5" s="100" t="str">
        <f>IFERROR(VLOOKUP(Tablo517[[#This Row],[HAMMADDE KODU]],Tablo1[#All],4,0)," ")</f>
        <v>KIRMA</v>
      </c>
      <c r="Q5" s="100">
        <f>IFERROR(VLOOKUP(Tablo517[[#This Row],[ÜRÜN KODU]],YMKODLARI!$A$1:$K$363,5,0)," ")</f>
        <v>13</v>
      </c>
      <c r="R5" s="100">
        <f>IFERROR(VLOOKUP(Tablo517[[#This Row],[ÜRÜN KODU]],YMKODLARI!$A$1:$K$363,6,0)," ")</f>
        <v>10.7</v>
      </c>
      <c r="S5" s="100">
        <f>IFERROR(Tablo517[[#This Row],[YOLLUK HARİÇ BASKI GRAMI]]/Tablo517[[#This Row],[KALIP GÖZ ADEDİ]]," ")</f>
        <v>1.3374999999999999</v>
      </c>
      <c r="T5" s="100">
        <f t="shared" si="2"/>
        <v>2.3000000000000007</v>
      </c>
      <c r="U5" s="118">
        <v>2.5</v>
      </c>
      <c r="V5" s="100">
        <f t="shared" si="1"/>
        <v>14.195099999999998</v>
      </c>
      <c r="W5" s="101">
        <f t="shared" si="3"/>
        <v>24.416666666666668</v>
      </c>
      <c r="X5" s="102">
        <f t="shared" si="4"/>
        <v>10.000000000000028</v>
      </c>
      <c r="Y5" s="100">
        <f t="shared" si="5"/>
        <v>4.5541666666666663</v>
      </c>
      <c r="Z5" s="100">
        <f t="shared" si="6"/>
        <v>8744</v>
      </c>
    </row>
    <row r="6" spans="1:26">
      <c r="A6" s="100" t="s">
        <v>55</v>
      </c>
      <c r="B6" s="108" t="str">
        <f>IFERROR(VLOOKUP(Tablo517[[#This Row],[ÜRÜN KODU]],YMKODLARI!$A$1:$K$363,2,0)," ")</f>
        <v>BİBERON SEYAHAT TIPASI</v>
      </c>
      <c r="C6" s="99">
        <v>43860</v>
      </c>
      <c r="D6" s="100" t="s">
        <v>37</v>
      </c>
      <c r="E6" s="101">
        <v>0.33333333333333331</v>
      </c>
      <c r="F6" s="101">
        <v>0.75</v>
      </c>
      <c r="G6" s="100">
        <f>IFERROR(VLOOKUP(Tablo517[[#This Row],[ÜRÜN KODU]],YMKODLARI!$A$1:$K$363,3,0)," ")</f>
        <v>8</v>
      </c>
      <c r="H6" s="100">
        <f>IFERROR(VLOOKUP(Tablo517[[#This Row],[ÜRÜN KODU]],YMKODLARI!$A$1:$K$363,4,0)," ")</f>
        <v>15</v>
      </c>
      <c r="I6" s="100">
        <v>998</v>
      </c>
      <c r="J6" s="100" t="str">
        <f>IFERROR(VLOOKUP(Tablo517[[#This Row],[ÜRÜN KODU]],YMKODLARI!$A$1:$K$363,9,0)," ")</f>
        <v>BEYAZ</v>
      </c>
      <c r="K6" s="100" t="str">
        <f>IFERROR(VLOOKUP(Tablo517[[#This Row],[BOYA KODU]],Tablo14[#All],4,0)," ")</f>
        <v xml:space="preserve"> </v>
      </c>
      <c r="L6" s="100" t="str">
        <f>IFERROR(VLOOKUP(Tablo517[[#This Row],[BOYA KODU]],Tablo14[#All],6,0)," ")</f>
        <v xml:space="preserve"> </v>
      </c>
      <c r="M6" s="100" t="str">
        <f t="shared" si="0"/>
        <v xml:space="preserve"> </v>
      </c>
      <c r="N6" s="100" t="str">
        <f>IFERROR(VLOOKUP(Tablo517[[#This Row],[ÜRÜN KODU]],YMKODLARI!$A$1:$K$363,8,0)," ")</f>
        <v>HM 010</v>
      </c>
      <c r="O6" s="100" t="str">
        <f>IFERROR(VLOOKUP(Tablo517[[#This Row],[HAMMADDE KODU]],Tablo1[#All],3,0)," ")</f>
        <v>KIRMA PP</v>
      </c>
      <c r="P6" s="100" t="str">
        <f>IFERROR(VLOOKUP(Tablo517[[#This Row],[HAMMADDE KODU]],Tablo1[#All],4,0)," ")</f>
        <v>KIRMA</v>
      </c>
      <c r="Q6" s="100">
        <f>IFERROR(VLOOKUP(Tablo517[[#This Row],[ÜRÜN KODU]],YMKODLARI!$A$1:$K$363,5,0)," ")</f>
        <v>13</v>
      </c>
      <c r="R6" s="100">
        <f>IFERROR(VLOOKUP(Tablo517[[#This Row],[ÜRÜN KODU]],YMKODLARI!$A$1:$K$363,6,0)," ")</f>
        <v>10.7</v>
      </c>
      <c r="S6" s="100">
        <f>IFERROR(Tablo517[[#This Row],[YOLLUK HARİÇ BASKI GRAMI]]/Tablo517[[#This Row],[KALIP GÖZ ADEDİ]]," ")</f>
        <v>1.3374999999999999</v>
      </c>
      <c r="T6" s="100">
        <f t="shared" si="2"/>
        <v>2.3000000000000007</v>
      </c>
      <c r="U6" s="118">
        <v>2.7</v>
      </c>
      <c r="V6" s="100">
        <f t="shared" si="1"/>
        <v>13.378599999999999</v>
      </c>
      <c r="W6" s="101">
        <f t="shared" si="3"/>
        <v>24.416666666666668</v>
      </c>
      <c r="X6" s="102">
        <f t="shared" si="4"/>
        <v>10.000000000000028</v>
      </c>
      <c r="Y6" s="100">
        <f t="shared" si="5"/>
        <v>4.1583333333333332</v>
      </c>
      <c r="Z6" s="100">
        <f t="shared" si="6"/>
        <v>7984</v>
      </c>
    </row>
    <row r="7" spans="1:26">
      <c r="A7" s="100" t="s">
        <v>55</v>
      </c>
      <c r="B7" s="108" t="str">
        <f>IFERROR(VLOOKUP(Tablo517[[#This Row],[ÜRÜN KODU]],YMKODLARI!$A$1:$K$363,2,0)," ")</f>
        <v>BİBERON SEYAHAT TIPASI</v>
      </c>
      <c r="C7" s="99">
        <v>43861</v>
      </c>
      <c r="D7" s="100" t="s">
        <v>37</v>
      </c>
      <c r="E7" s="101">
        <v>0.33333333333333331</v>
      </c>
      <c r="F7" s="101">
        <v>0.61111111111111105</v>
      </c>
      <c r="G7" s="100">
        <f>IFERROR(VLOOKUP(Tablo517[[#This Row],[ÜRÜN KODU]],YMKODLARI!$A$1:$K$363,3,0)," ")</f>
        <v>8</v>
      </c>
      <c r="H7" s="100">
        <f>IFERROR(VLOOKUP(Tablo517[[#This Row],[ÜRÜN KODU]],YMKODLARI!$A$1:$K$363,4,0)," ")</f>
        <v>15</v>
      </c>
      <c r="I7" s="100">
        <v>682</v>
      </c>
      <c r="J7" s="100" t="str">
        <f>IFERROR(VLOOKUP(Tablo517[[#This Row],[ÜRÜN KODU]],YMKODLARI!$A$1:$K$363,9,0)," ")</f>
        <v>BEYAZ</v>
      </c>
      <c r="K7" s="100" t="str">
        <f>IFERROR(VLOOKUP(Tablo517[[#This Row],[BOYA KODU]],Tablo14[#All],4,0)," ")</f>
        <v xml:space="preserve"> </v>
      </c>
      <c r="L7" s="100" t="str">
        <f>IFERROR(VLOOKUP(Tablo517[[#This Row],[BOYA KODU]],Tablo14[#All],6,0)," ")</f>
        <v xml:space="preserve"> </v>
      </c>
      <c r="M7" s="100" t="str">
        <f t="shared" si="0"/>
        <v xml:space="preserve"> </v>
      </c>
      <c r="N7" s="100" t="str">
        <f>IFERROR(VLOOKUP(Tablo517[[#This Row],[ÜRÜN KODU]],YMKODLARI!$A$1:$K$363,8,0)," ")</f>
        <v>HM 010</v>
      </c>
      <c r="O7" s="100" t="str">
        <f>IFERROR(VLOOKUP(Tablo517[[#This Row],[HAMMADDE KODU]],Tablo1[#All],3,0)," ")</f>
        <v>KIRMA PP</v>
      </c>
      <c r="P7" s="100" t="str">
        <f>IFERROR(VLOOKUP(Tablo517[[#This Row],[HAMMADDE KODU]],Tablo1[#All],4,0)," ")</f>
        <v>KIRMA</v>
      </c>
      <c r="Q7" s="100">
        <f>IFERROR(VLOOKUP(Tablo517[[#This Row],[ÜRÜN KODU]],YMKODLARI!$A$1:$K$363,5,0)," ")</f>
        <v>13</v>
      </c>
      <c r="R7" s="100">
        <f>IFERROR(VLOOKUP(Tablo517[[#This Row],[ÜRÜN KODU]],YMKODLARI!$A$1:$K$363,6,0)," ")</f>
        <v>10.7</v>
      </c>
      <c r="S7" s="100">
        <f>IFERROR(Tablo517[[#This Row],[YOLLUK HARİÇ BASKI GRAMI]]/Tablo517[[#This Row],[KALIP GÖZ ADEDİ]]," ")</f>
        <v>1.3374999999999999</v>
      </c>
      <c r="T7" s="100">
        <f t="shared" si="2"/>
        <v>2.3000000000000007</v>
      </c>
      <c r="U7" s="118">
        <v>8</v>
      </c>
      <c r="V7" s="100">
        <f t="shared" si="1"/>
        <v>15.2974</v>
      </c>
      <c r="W7" s="101">
        <f t="shared" si="3"/>
        <v>24.277777777777779</v>
      </c>
      <c r="X7" s="102">
        <f t="shared" si="4"/>
        <v>6.6666666666666856</v>
      </c>
      <c r="Y7" s="100">
        <f t="shared" si="5"/>
        <v>2.8416666666666668</v>
      </c>
      <c r="Z7" s="100">
        <f t="shared" si="6"/>
        <v>5456</v>
      </c>
    </row>
    <row r="8" spans="1:26">
      <c r="A8" s="100" t="s">
        <v>56</v>
      </c>
      <c r="B8" s="108" t="str">
        <f>IFERROR(VLOOKUP(Tablo517[[#This Row],[ÜRÜN KODU]],YMKODLARI!$A$1:$K$363,2,0)," ")</f>
        <v>DAMAK EMZİK SAP</v>
      </c>
      <c r="C8" s="99">
        <v>43879</v>
      </c>
      <c r="D8" s="100" t="s">
        <v>27</v>
      </c>
      <c r="E8" s="101">
        <v>0.59375</v>
      </c>
      <c r="F8" s="101">
        <v>0.69444444444444453</v>
      </c>
      <c r="G8" s="100">
        <f>IFERROR(VLOOKUP(Tablo517[[#This Row],[ÜRÜN KODU]],YMKODLARI!$A$1:$K$363,3,0)," ")</f>
        <v>16</v>
      </c>
      <c r="H8" s="100">
        <f>IFERROR(VLOOKUP(Tablo517[[#This Row],[ÜRÜN KODU]],YMKODLARI!$A$1:$K$363,4,0)," ")</f>
        <v>20</v>
      </c>
      <c r="I8" s="100">
        <v>255</v>
      </c>
      <c r="J8" s="100" t="str">
        <f>IFERROR(VLOOKUP(Tablo517[[#This Row],[ÜRÜN KODU]],YMKODLARI!$A$1:$K$363,9,0)," ")</f>
        <v>708GN0539G</v>
      </c>
      <c r="K8" s="100" t="str">
        <f>IFERROR(VLOOKUP(Tablo517[[#This Row],[BOYA KODU]],Tablo14[#All],4,0)," ")</f>
        <v>T.YEŞİL</v>
      </c>
      <c r="L8" s="100">
        <f>IFERROR(VLOOKUP(Tablo517[[#This Row],[BOYA KODU]],Tablo14[#All],6,0)," ")</f>
        <v>2E-3</v>
      </c>
      <c r="M8" s="100">
        <f t="shared" si="0"/>
        <v>9.4860000000000007</v>
      </c>
      <c r="N8" s="100" t="str">
        <f>IFERROR(VLOOKUP(Tablo517[[#This Row],[ÜRÜN KODU]],YMKODLARI!$A$1:$K$363,8,0)," ")</f>
        <v>HM 002</v>
      </c>
      <c r="O8" s="100" t="str">
        <f>IFERROR(VLOOKUP(Tablo517[[#This Row],[HAMMADDE KODU]],Tablo1[#All],3,0)," ")</f>
        <v>NOVAREX</v>
      </c>
      <c r="P8" s="100" t="str">
        <f>IFERROR(VLOOKUP(Tablo517[[#This Row],[HAMMADDE KODU]],Tablo1[#All],4,0)," ")</f>
        <v>PİNHAS</v>
      </c>
      <c r="Q8" s="100">
        <f>IFERROR(VLOOKUP(Tablo517[[#This Row],[ÜRÜN KODU]],YMKODLARI!$A$1:$K$363,5,0)," ")</f>
        <v>18.600000000000001</v>
      </c>
      <c r="R8" s="100">
        <f>IFERROR(VLOOKUP(Tablo517[[#This Row],[ÜRÜN KODU]],YMKODLARI!$A$1:$K$363,6,0)," ")</f>
        <v>16.7</v>
      </c>
      <c r="S8" s="100">
        <f>IFERROR(Tablo517[[#This Row],[YOLLUK HARİÇ BASKI GRAMI]]/Tablo517[[#This Row],[KALIP GÖZ ADEDİ]]," ")</f>
        <v>1.04375</v>
      </c>
      <c r="T8" s="100">
        <f t="shared" si="2"/>
        <v>1.9000000000000021</v>
      </c>
      <c r="U8" s="100"/>
      <c r="V8" s="100">
        <f t="shared" si="1"/>
        <v>4.2584999999999997</v>
      </c>
      <c r="W8" s="101">
        <f t="shared" si="3"/>
        <v>24.100694444444443</v>
      </c>
      <c r="X8" s="102">
        <f t="shared" si="4"/>
        <v>2.4166666666666288</v>
      </c>
      <c r="Y8" s="100">
        <f t="shared" si="5"/>
        <v>1.4166666666666667</v>
      </c>
      <c r="Z8" s="100">
        <f t="shared" si="6"/>
        <v>4080</v>
      </c>
    </row>
    <row r="9" spans="1:26">
      <c r="A9" s="100" t="s">
        <v>56</v>
      </c>
      <c r="B9" s="108" t="str">
        <f>IFERROR(VLOOKUP(Tablo517[[#This Row],[ÜRÜN KODU]],YMKODLARI!$A$1:$K$363,2,0)," ")</f>
        <v>DAMAK EMZİK SAP</v>
      </c>
      <c r="C9" s="99">
        <v>43880</v>
      </c>
      <c r="D9" s="100" t="s">
        <v>33</v>
      </c>
      <c r="E9" s="101">
        <v>0.5</v>
      </c>
      <c r="F9" s="101">
        <v>0.5625</v>
      </c>
      <c r="G9" s="100">
        <f>IFERROR(VLOOKUP(Tablo517[[#This Row],[ÜRÜN KODU]],YMKODLARI!$A$1:$K$363,3,0)," ")</f>
        <v>16</v>
      </c>
      <c r="H9" s="100">
        <f>IFERROR(VLOOKUP(Tablo517[[#This Row],[ÜRÜN KODU]],YMKODLARI!$A$1:$K$363,4,0)," ")</f>
        <v>20</v>
      </c>
      <c r="I9" s="100">
        <v>255</v>
      </c>
      <c r="J9" s="100" t="str">
        <f>IFERROR(VLOOKUP(Tablo517[[#This Row],[ÜRÜN KODU]],YMKODLARI!$A$1:$K$363,9,0)," ")</f>
        <v>708GN0539G</v>
      </c>
      <c r="K9" s="100" t="str">
        <f>IFERROR(VLOOKUP(Tablo517[[#This Row],[BOYA KODU]],Tablo14[#All],4,0)," ")</f>
        <v>T.YEŞİL</v>
      </c>
      <c r="L9" s="100">
        <f>IFERROR(VLOOKUP(Tablo517[[#This Row],[BOYA KODU]],Tablo14[#All],6,0)," ")</f>
        <v>2E-3</v>
      </c>
      <c r="M9" s="100">
        <f t="shared" si="0"/>
        <v>9.4860000000000007</v>
      </c>
      <c r="N9" s="100" t="str">
        <f>IFERROR(VLOOKUP(Tablo517[[#This Row],[ÜRÜN KODU]],YMKODLARI!$A$1:$K$363,8,0)," ")</f>
        <v>HM 002</v>
      </c>
      <c r="O9" s="100" t="str">
        <f>IFERROR(VLOOKUP(Tablo517[[#This Row],[HAMMADDE KODU]],Tablo1[#All],3,0)," ")</f>
        <v>NOVAREX</v>
      </c>
      <c r="P9" s="100" t="str">
        <f>IFERROR(VLOOKUP(Tablo517[[#This Row],[HAMMADDE KODU]],Tablo1[#All],4,0)," ")</f>
        <v>PİNHAS</v>
      </c>
      <c r="Q9" s="100">
        <f>IFERROR(VLOOKUP(Tablo517[[#This Row],[ÜRÜN KODU]],YMKODLARI!$A$1:$K$363,5,0)," ")</f>
        <v>18.600000000000001</v>
      </c>
      <c r="R9" s="100">
        <f>IFERROR(VLOOKUP(Tablo517[[#This Row],[ÜRÜN KODU]],YMKODLARI!$A$1:$K$363,6,0)," ")</f>
        <v>16.7</v>
      </c>
      <c r="S9" s="100">
        <f>IFERROR(Tablo517[[#This Row],[YOLLUK HARİÇ BASKI GRAMI]]/Tablo517[[#This Row],[KALIP GÖZ ADEDİ]]," ")</f>
        <v>1.04375</v>
      </c>
      <c r="T9" s="100">
        <f t="shared" si="2"/>
        <v>1.9000000000000021</v>
      </c>
      <c r="U9" s="100">
        <v>1.2</v>
      </c>
      <c r="V9" s="100">
        <f t="shared" si="1"/>
        <v>5.4584999999999999</v>
      </c>
      <c r="W9" s="101">
        <f t="shared" si="3"/>
        <v>24.0625</v>
      </c>
      <c r="X9" s="102">
        <f t="shared" si="4"/>
        <v>1.5</v>
      </c>
      <c r="Y9" s="100">
        <f t="shared" si="5"/>
        <v>1.4166666666666667</v>
      </c>
      <c r="Z9" s="100">
        <f t="shared" si="6"/>
        <v>4080</v>
      </c>
    </row>
    <row r="10" spans="1:26">
      <c r="A10" s="100" t="s">
        <v>57</v>
      </c>
      <c r="B10" s="108" t="str">
        <f>IFERROR(VLOOKUP(Tablo517[[#This Row],[ÜRÜN KODU]],YMKODLARI!$A$1:$K$363,2,0)," ")</f>
        <v>EMZİK SAKLAMA KUTUSU ÜST</v>
      </c>
      <c r="C10" s="99">
        <v>43881</v>
      </c>
      <c r="D10" s="100" t="s">
        <v>37</v>
      </c>
      <c r="E10" s="101">
        <v>0.48958333333333331</v>
      </c>
      <c r="F10" s="101">
        <v>0.75</v>
      </c>
      <c r="G10" s="100">
        <f>IFERROR(VLOOKUP(Tablo517[[#This Row],[ÜRÜN KODU]],YMKODLARI!$A$1:$K$363,3,0)," ")</f>
        <v>2</v>
      </c>
      <c r="H10" s="100">
        <f>IFERROR(VLOOKUP(Tablo517[[#This Row],[ÜRÜN KODU]],YMKODLARI!$A$1:$K$363,4,0)," ")</f>
        <v>37</v>
      </c>
      <c r="I10" s="100">
        <v>490</v>
      </c>
      <c r="J10" s="100" t="str">
        <f>IFERROR(VLOOKUP(Tablo517[[#This Row],[ÜRÜN KODU]],YMKODLARI!$A$1:$K$363,9,0)," ")</f>
        <v>708PK532G</v>
      </c>
      <c r="K10" s="100" t="str">
        <f>IFERROR(VLOOKUP(Tablo517[[#This Row],[BOYA KODU]],Tablo14[#All],4,0)," ")</f>
        <v>T.PEMBE</v>
      </c>
      <c r="L10" s="100">
        <f>IFERROR(VLOOKUP(Tablo517[[#This Row],[BOYA KODU]],Tablo14[#All],6,0)," ")</f>
        <v>2E-3</v>
      </c>
      <c r="M10" s="100">
        <f t="shared" si="0"/>
        <v>21.853999999999999</v>
      </c>
      <c r="N10" s="100" t="str">
        <f>IFERROR(VLOOKUP(Tablo517[[#This Row],[ÜRÜN KODU]],YMKODLARI!$A$1:$K$363,8,0)," ")</f>
        <v>HM 001</v>
      </c>
      <c r="O10" s="100" t="str">
        <f>IFERROR(VLOOKUP(Tablo517[[#This Row],[HAMMADDE KODU]],Tablo1[#All],3,0)," ")</f>
        <v>CAPILENE</v>
      </c>
      <c r="P10" s="100" t="str">
        <f>IFERROR(VLOOKUP(Tablo517[[#This Row],[HAMMADDE KODU]],Tablo1[#All],4,0)," ")</f>
        <v>PİNHAS</v>
      </c>
      <c r="Q10" s="100">
        <f>IFERROR(VLOOKUP(Tablo517[[#This Row],[ÜRÜN KODU]],YMKODLARI!$A$1:$K$363,5,0)," ")</f>
        <v>22.3</v>
      </c>
      <c r="R10" s="100">
        <f>IFERROR(VLOOKUP(Tablo517[[#This Row],[ÜRÜN KODU]],YMKODLARI!$A$1:$K$363,6,0)," ")</f>
        <v>21.2</v>
      </c>
      <c r="S10" s="100">
        <f>IFERROR(Tablo517[[#This Row],[YOLLUK HARİÇ BASKI GRAMI]]/Tablo517[[#This Row],[KALIP GÖZ ADEDİ]]," ")</f>
        <v>10.6</v>
      </c>
      <c r="T10" s="100">
        <f t="shared" si="2"/>
        <v>1.1000000000000014</v>
      </c>
      <c r="U10" s="100">
        <v>0.9</v>
      </c>
      <c r="V10" s="100">
        <f t="shared" si="1"/>
        <v>11.288</v>
      </c>
      <c r="W10" s="101">
        <f t="shared" si="3"/>
        <v>24.260416666666668</v>
      </c>
      <c r="X10" s="102">
        <f t="shared" si="4"/>
        <v>6.2500000000000284</v>
      </c>
      <c r="Y10" s="100">
        <f t="shared" si="5"/>
        <v>5.0361111111111114</v>
      </c>
      <c r="Z10" s="100">
        <f t="shared" si="6"/>
        <v>980</v>
      </c>
    </row>
    <row r="11" spans="1:26">
      <c r="A11" s="100" t="s">
        <v>58</v>
      </c>
      <c r="B11" s="108" t="str">
        <f>IFERROR(VLOOKUP(Tablo517[[#This Row],[ÜRÜN KODU]],YMKODLARI!$A$1:$K$363,2,0)," ")</f>
        <v>EMZİK SAKLAMA KUTUSU ALT</v>
      </c>
      <c r="C11" s="99">
        <v>43881</v>
      </c>
      <c r="D11" s="100" t="s">
        <v>37</v>
      </c>
      <c r="E11" s="101">
        <v>0.48958333333333331</v>
      </c>
      <c r="F11" s="101">
        <v>0.75</v>
      </c>
      <c r="G11" s="100">
        <f>IFERROR(VLOOKUP(Tablo517[[#This Row],[ÜRÜN KODU]],YMKODLARI!$A$1:$K$363,3,0)," ")</f>
        <v>2</v>
      </c>
      <c r="H11" s="100">
        <f>IFERROR(VLOOKUP(Tablo517[[#This Row],[ÜRÜN KODU]],YMKODLARI!$A$1:$K$363,4,0)," ")</f>
        <v>37</v>
      </c>
      <c r="I11" s="100">
        <v>490</v>
      </c>
      <c r="J11" s="100" t="str">
        <f>IFERROR(VLOOKUP(Tablo517[[#This Row],[ÜRÜN KODU]],YMKODLARI!$A$1:$K$363,9,0)," ")</f>
        <v>708PK532G</v>
      </c>
      <c r="K11" s="100" t="str">
        <f>IFERROR(VLOOKUP(Tablo517[[#This Row],[BOYA KODU]],Tablo14[#All],4,0)," ")</f>
        <v>T.PEMBE</v>
      </c>
      <c r="L11" s="100">
        <f>IFERROR(VLOOKUP(Tablo517[[#This Row],[BOYA KODU]],Tablo14[#All],6,0)," ")</f>
        <v>2E-3</v>
      </c>
      <c r="M11" s="100">
        <f t="shared" si="0"/>
        <v>22.344000000000001</v>
      </c>
      <c r="N11" s="100" t="str">
        <f>IFERROR(VLOOKUP(Tablo517[[#This Row],[ÜRÜN KODU]],YMKODLARI!$A$1:$K$363,8,0)," ")</f>
        <v>HM 001</v>
      </c>
      <c r="O11" s="100" t="str">
        <f>IFERROR(VLOOKUP(Tablo517[[#This Row],[HAMMADDE KODU]],Tablo1[#All],3,0)," ")</f>
        <v>CAPILENE</v>
      </c>
      <c r="P11" s="100" t="str">
        <f>IFERROR(VLOOKUP(Tablo517[[#This Row],[HAMMADDE KODU]],Tablo1[#All],4,0)," ")</f>
        <v>PİNHAS</v>
      </c>
      <c r="Q11" s="100">
        <f>IFERROR(VLOOKUP(Tablo517[[#This Row],[ÜRÜN KODU]],YMKODLARI!$A$1:$K$363,5,0)," ")</f>
        <v>22.8</v>
      </c>
      <c r="R11" s="100">
        <f>IFERROR(VLOOKUP(Tablo517[[#This Row],[ÜRÜN KODU]],YMKODLARI!$A$1:$K$363,6,0)," ")</f>
        <v>21.7</v>
      </c>
      <c r="S11" s="100">
        <f>IFERROR(Tablo517[[#This Row],[YOLLUK HARİÇ BASKI GRAMI]]/Tablo517[[#This Row],[KALIP GÖZ ADEDİ]]," ")</f>
        <v>10.85</v>
      </c>
      <c r="T11" s="100">
        <f t="shared" si="2"/>
        <v>1.1000000000000014</v>
      </c>
      <c r="U11" s="100">
        <v>3</v>
      </c>
      <c r="V11" s="100">
        <f t="shared" si="1"/>
        <v>13.632999999999999</v>
      </c>
      <c r="W11" s="101">
        <f t="shared" si="3"/>
        <v>24.260416666666668</v>
      </c>
      <c r="X11" s="102">
        <f t="shared" si="4"/>
        <v>6.2500000000000284</v>
      </c>
      <c r="Y11" s="100">
        <f t="shared" si="5"/>
        <v>5.0361111111111114</v>
      </c>
      <c r="Z11" s="100">
        <f t="shared" si="6"/>
        <v>980</v>
      </c>
    </row>
    <row r="12" spans="1:26">
      <c r="A12" s="100" t="s">
        <v>57</v>
      </c>
      <c r="B12" s="108" t="str">
        <f>IFERROR(VLOOKUP(Tablo517[[#This Row],[ÜRÜN KODU]],YMKODLARI!$A$1:$K$363,2,0)," ")</f>
        <v>EMZİK SAKLAMA KUTUSU ÜST</v>
      </c>
      <c r="C12" s="99">
        <v>43882</v>
      </c>
      <c r="D12" s="100" t="s">
        <v>37</v>
      </c>
      <c r="E12" s="101">
        <v>0.33333333333333331</v>
      </c>
      <c r="F12" s="101">
        <v>0.3611111111111111</v>
      </c>
      <c r="G12" s="100">
        <f>IFERROR(VLOOKUP(Tablo517[[#This Row],[ÜRÜN KODU]],YMKODLARI!$A$1:$K$363,3,0)," ")</f>
        <v>2</v>
      </c>
      <c r="H12" s="100">
        <f>IFERROR(VLOOKUP(Tablo517[[#This Row],[ÜRÜN KODU]],YMKODLARI!$A$1:$K$363,4,0)," ")</f>
        <v>37</v>
      </c>
      <c r="I12" s="100">
        <v>36</v>
      </c>
      <c r="J12" s="100" t="str">
        <f>IFERROR(VLOOKUP(Tablo517[[#This Row],[ÜRÜN KODU]],YMKODLARI!$A$1:$K$363,9,0)," ")</f>
        <v>708PK532G</v>
      </c>
      <c r="K12" s="100" t="str">
        <f>IFERROR(VLOOKUP(Tablo517[[#This Row],[BOYA KODU]],Tablo14[#All],4,0)," ")</f>
        <v>T.PEMBE</v>
      </c>
      <c r="L12" s="100">
        <f>IFERROR(VLOOKUP(Tablo517[[#This Row],[BOYA KODU]],Tablo14[#All],6,0)," ")</f>
        <v>2E-3</v>
      </c>
      <c r="M12" s="100">
        <f t="shared" si="0"/>
        <v>1.6056000000000001</v>
      </c>
      <c r="N12" s="100" t="str">
        <f>IFERROR(VLOOKUP(Tablo517[[#This Row],[ÜRÜN KODU]],YMKODLARI!$A$1:$K$363,8,0)," ")</f>
        <v>HM 001</v>
      </c>
      <c r="O12" s="100" t="str">
        <f>IFERROR(VLOOKUP(Tablo517[[#This Row],[HAMMADDE KODU]],Tablo1[#All],3,0)," ")</f>
        <v>CAPILENE</v>
      </c>
      <c r="P12" s="100" t="str">
        <f>IFERROR(VLOOKUP(Tablo517[[#This Row],[HAMMADDE KODU]],Tablo1[#All],4,0)," ")</f>
        <v>PİNHAS</v>
      </c>
      <c r="Q12" s="100">
        <f>IFERROR(VLOOKUP(Tablo517[[#This Row],[ÜRÜN KODU]],YMKODLARI!$A$1:$K$363,5,0)," ")</f>
        <v>22.3</v>
      </c>
      <c r="R12" s="100">
        <f>IFERROR(VLOOKUP(Tablo517[[#This Row],[ÜRÜN KODU]],YMKODLARI!$A$1:$K$363,6,0)," ")</f>
        <v>21.2</v>
      </c>
      <c r="S12" s="100">
        <f>IFERROR(Tablo517[[#This Row],[YOLLUK HARİÇ BASKI GRAMI]]/Tablo517[[#This Row],[KALIP GÖZ ADEDİ]]," ")</f>
        <v>10.6</v>
      </c>
      <c r="T12" s="100">
        <f t="shared" si="2"/>
        <v>1.1000000000000014</v>
      </c>
      <c r="U12" s="100"/>
      <c r="V12" s="100">
        <f t="shared" si="1"/>
        <v>0.76319999999999988</v>
      </c>
      <c r="W12" s="101">
        <f t="shared" si="3"/>
        <v>24.027777777777779</v>
      </c>
      <c r="X12" s="102">
        <f>IFERROR((W12-INT(W12))*24," ")</f>
        <v>0.66666666666668561</v>
      </c>
      <c r="Y12" s="100">
        <f t="shared" si="5"/>
        <v>0.37</v>
      </c>
      <c r="Z12" s="100">
        <f t="shared" si="6"/>
        <v>72</v>
      </c>
    </row>
    <row r="13" spans="1:26">
      <c r="A13" s="100" t="s">
        <v>58</v>
      </c>
      <c r="B13" s="108" t="str">
        <f>IFERROR(VLOOKUP(Tablo517[[#This Row],[ÜRÜN KODU]],YMKODLARI!$A$1:$K$363,2,0)," ")</f>
        <v>EMZİK SAKLAMA KUTUSU ALT</v>
      </c>
      <c r="C13" s="99">
        <v>43882</v>
      </c>
      <c r="D13" s="100" t="s">
        <v>37</v>
      </c>
      <c r="E13" s="101">
        <v>0.33333333333333331</v>
      </c>
      <c r="F13" s="101">
        <v>0.3611111111111111</v>
      </c>
      <c r="G13" s="100">
        <f>IFERROR(VLOOKUP(Tablo517[[#This Row],[ÜRÜN KODU]],YMKODLARI!$A$1:$K$363,3,0)," ")</f>
        <v>2</v>
      </c>
      <c r="H13" s="100">
        <f>IFERROR(VLOOKUP(Tablo517[[#This Row],[ÜRÜN KODU]],YMKODLARI!$A$1:$K$363,4,0)," ")</f>
        <v>37</v>
      </c>
      <c r="I13" s="100">
        <v>36</v>
      </c>
      <c r="J13" s="100" t="str">
        <f>IFERROR(VLOOKUP(Tablo517[[#This Row],[ÜRÜN KODU]],YMKODLARI!$A$1:$K$363,9,0)," ")</f>
        <v>708PK532G</v>
      </c>
      <c r="K13" s="100" t="str">
        <f>IFERROR(VLOOKUP(Tablo517[[#This Row],[BOYA KODU]],Tablo14[#All],4,0)," ")</f>
        <v>T.PEMBE</v>
      </c>
      <c r="L13" s="100">
        <f>IFERROR(VLOOKUP(Tablo517[[#This Row],[BOYA KODU]],Tablo14[#All],6,0)," ")</f>
        <v>2E-3</v>
      </c>
      <c r="M13" s="100">
        <f t="shared" si="0"/>
        <v>1.6416000000000002</v>
      </c>
      <c r="N13" s="100" t="str">
        <f>IFERROR(VLOOKUP(Tablo517[[#This Row],[ÜRÜN KODU]],YMKODLARI!$A$1:$K$363,8,0)," ")</f>
        <v>HM 001</v>
      </c>
      <c r="O13" s="100" t="str">
        <f>IFERROR(VLOOKUP(Tablo517[[#This Row],[HAMMADDE KODU]],Tablo1[#All],3,0)," ")</f>
        <v>CAPILENE</v>
      </c>
      <c r="P13" s="100" t="str">
        <f>IFERROR(VLOOKUP(Tablo517[[#This Row],[HAMMADDE KODU]],Tablo1[#All],4,0)," ")</f>
        <v>PİNHAS</v>
      </c>
      <c r="Q13" s="100">
        <f>IFERROR(VLOOKUP(Tablo517[[#This Row],[ÜRÜN KODU]],YMKODLARI!$A$1:$K$363,5,0)," ")</f>
        <v>22.8</v>
      </c>
      <c r="R13" s="100">
        <f>IFERROR(VLOOKUP(Tablo517[[#This Row],[ÜRÜN KODU]],YMKODLARI!$A$1:$K$363,6,0)," ")</f>
        <v>21.7</v>
      </c>
      <c r="S13" s="100">
        <f>IFERROR(Tablo517[[#This Row],[YOLLUK HARİÇ BASKI GRAMI]]/Tablo517[[#This Row],[KALIP GÖZ ADEDİ]]," ")</f>
        <v>10.85</v>
      </c>
      <c r="T13" s="100">
        <f t="shared" si="2"/>
        <v>1.1000000000000014</v>
      </c>
      <c r="U13" s="100">
        <v>0.15</v>
      </c>
      <c r="V13" s="100">
        <f t="shared" si="1"/>
        <v>0.93119999999999992</v>
      </c>
      <c r="W13" s="101">
        <f t="shared" si="3"/>
        <v>24.027777777777779</v>
      </c>
      <c r="X13" s="102">
        <f t="shared" si="4"/>
        <v>0.66666666666668561</v>
      </c>
      <c r="Y13" s="100">
        <f t="shared" si="5"/>
        <v>0.37</v>
      </c>
      <c r="Z13" s="100">
        <f t="shared" si="6"/>
        <v>72</v>
      </c>
    </row>
    <row r="14" spans="1:26">
      <c r="A14" s="100" t="s">
        <v>59</v>
      </c>
      <c r="B14" s="108" t="str">
        <f>IFERROR(VLOOKUP(Tablo517[[#This Row],[ÜRÜN KODU]],YMKODLARI!$A$1:$K$363,2,0)," ")</f>
        <v>EMZİK SAKLAMA KUTUSU ÜST</v>
      </c>
      <c r="C14" s="99">
        <v>43882</v>
      </c>
      <c r="D14" s="100" t="s">
        <v>37</v>
      </c>
      <c r="E14" s="101">
        <v>0.36458333333333331</v>
      </c>
      <c r="F14" s="101">
        <v>0.72916666666666663</v>
      </c>
      <c r="G14" s="100">
        <f>IFERROR(VLOOKUP(Tablo517[[#This Row],[ÜRÜN KODU]],YMKODLARI!$A$1:$K$363,3,0)," ")</f>
        <v>2</v>
      </c>
      <c r="H14" s="100">
        <f>IFERROR(VLOOKUP(Tablo517[[#This Row],[ÜRÜN KODU]],YMKODLARI!$A$1:$K$363,4,0)," ")</f>
        <v>37</v>
      </c>
      <c r="I14" s="100">
        <v>591</v>
      </c>
      <c r="J14" s="100" t="str">
        <f>IFERROR(VLOOKUP(Tablo517[[#This Row],[ÜRÜN KODU]],YMKODLARI!$A$1:$K$363,9,0)," ")</f>
        <v>5139C</v>
      </c>
      <c r="K14" s="100" t="str">
        <f>IFERROR(VLOOKUP(Tablo517[[#This Row],[BOYA KODU]],Tablo14[#All],4,0)," ")</f>
        <v>T.MAVİ</v>
      </c>
      <c r="L14" s="100">
        <f>IFERROR(VLOOKUP(Tablo517[[#This Row],[BOYA KODU]],Tablo14[#All],6,0)," ")</f>
        <v>1E-3</v>
      </c>
      <c r="M14" s="100">
        <f t="shared" si="0"/>
        <v>13.179300000000001</v>
      </c>
      <c r="N14" s="100" t="str">
        <f>IFERROR(VLOOKUP(Tablo517[[#This Row],[ÜRÜN KODU]],YMKODLARI!$A$1:$K$363,8,0)," ")</f>
        <v>HM 001</v>
      </c>
      <c r="O14" s="100" t="str">
        <f>IFERROR(VLOOKUP(Tablo517[[#This Row],[HAMMADDE KODU]],Tablo1[#All],3,0)," ")</f>
        <v>CAPILENE</v>
      </c>
      <c r="P14" s="100" t="str">
        <f>IFERROR(VLOOKUP(Tablo517[[#This Row],[HAMMADDE KODU]],Tablo1[#All],4,0)," ")</f>
        <v>PİNHAS</v>
      </c>
      <c r="Q14" s="100">
        <f>IFERROR(VLOOKUP(Tablo517[[#This Row],[ÜRÜN KODU]],YMKODLARI!$A$1:$K$363,5,0)," ")</f>
        <v>22.3</v>
      </c>
      <c r="R14" s="100">
        <f>IFERROR(VLOOKUP(Tablo517[[#This Row],[ÜRÜN KODU]],YMKODLARI!$A$1:$K$363,6,0)," ")</f>
        <v>21.2</v>
      </c>
      <c r="S14" s="100">
        <f>IFERROR(Tablo517[[#This Row],[YOLLUK HARİÇ BASKI GRAMI]]/Tablo517[[#This Row],[KALIP GÖZ ADEDİ]]," ")</f>
        <v>10.6</v>
      </c>
      <c r="T14" s="100">
        <f t="shared" si="2"/>
        <v>1.1000000000000014</v>
      </c>
      <c r="U14" s="100">
        <v>2</v>
      </c>
      <c r="V14" s="100">
        <f t="shared" si="1"/>
        <v>14.529199999999999</v>
      </c>
      <c r="W14" s="101">
        <f t="shared" si="3"/>
        <v>24.364583333333332</v>
      </c>
      <c r="X14" s="102">
        <f t="shared" si="4"/>
        <v>8.7499999999999716</v>
      </c>
      <c r="Y14" s="100">
        <f t="shared" si="5"/>
        <v>6.0741666666666667</v>
      </c>
      <c r="Z14" s="100">
        <f t="shared" si="6"/>
        <v>1182</v>
      </c>
    </row>
    <row r="15" spans="1:26">
      <c r="A15" s="100" t="s">
        <v>58</v>
      </c>
      <c r="B15" s="108" t="str">
        <f>IFERROR(VLOOKUP(Tablo517[[#This Row],[ÜRÜN KODU]],YMKODLARI!$A$1:$K$363,2,0)," ")</f>
        <v>EMZİK SAKLAMA KUTUSU ALT</v>
      </c>
      <c r="C15" s="99">
        <v>43882</v>
      </c>
      <c r="D15" s="100" t="s">
        <v>37</v>
      </c>
      <c r="E15" s="101">
        <v>0.36458333333333331</v>
      </c>
      <c r="F15" s="101">
        <v>0.72916666666666663</v>
      </c>
      <c r="G15" s="100">
        <f>IFERROR(VLOOKUP(Tablo517[[#This Row],[ÜRÜN KODU]],YMKODLARI!$A$1:$K$363,3,0)," ")</f>
        <v>2</v>
      </c>
      <c r="H15" s="100">
        <f>IFERROR(VLOOKUP(Tablo517[[#This Row],[ÜRÜN KODU]],YMKODLARI!$A$1:$K$363,4,0)," ")</f>
        <v>37</v>
      </c>
      <c r="I15" s="100">
        <v>591</v>
      </c>
      <c r="J15" s="100" t="str">
        <f>IFERROR(VLOOKUP(Tablo517[[#This Row],[ÜRÜN KODU]],YMKODLARI!$A$1:$K$363,9,0)," ")</f>
        <v>708PK532G</v>
      </c>
      <c r="K15" s="100" t="str">
        <f>IFERROR(VLOOKUP(Tablo517[[#This Row],[BOYA KODU]],Tablo14[#All],4,0)," ")</f>
        <v>T.PEMBE</v>
      </c>
      <c r="L15" s="100">
        <f>IFERROR(VLOOKUP(Tablo517[[#This Row],[BOYA KODU]],Tablo14[#All],6,0)," ")</f>
        <v>2E-3</v>
      </c>
      <c r="M15" s="100">
        <f t="shared" si="0"/>
        <v>26.949600000000004</v>
      </c>
      <c r="N15" s="100" t="str">
        <f>IFERROR(VLOOKUP(Tablo517[[#This Row],[ÜRÜN KODU]],YMKODLARI!$A$1:$K$363,8,0)," ")</f>
        <v>HM 001</v>
      </c>
      <c r="O15" s="100" t="str">
        <f>IFERROR(VLOOKUP(Tablo517[[#This Row],[HAMMADDE KODU]],Tablo1[#All],3,0)," ")</f>
        <v>CAPILENE</v>
      </c>
      <c r="P15" s="100" t="str">
        <f>IFERROR(VLOOKUP(Tablo517[[#This Row],[HAMMADDE KODU]],Tablo1[#All],4,0)," ")</f>
        <v>PİNHAS</v>
      </c>
      <c r="Q15" s="100">
        <f>IFERROR(VLOOKUP(Tablo517[[#This Row],[ÜRÜN KODU]],YMKODLARI!$A$1:$K$363,5,0)," ")</f>
        <v>22.8</v>
      </c>
      <c r="R15" s="100">
        <f>IFERROR(VLOOKUP(Tablo517[[#This Row],[ÜRÜN KODU]],YMKODLARI!$A$1:$K$363,6,0)," ")</f>
        <v>21.7</v>
      </c>
      <c r="S15" s="100">
        <f>IFERROR(Tablo517[[#This Row],[YOLLUK HARİÇ BASKI GRAMI]]/Tablo517[[#This Row],[KALIP GÖZ ADEDİ]]," ")</f>
        <v>10.85</v>
      </c>
      <c r="T15" s="100">
        <f t="shared" si="2"/>
        <v>1.1000000000000014</v>
      </c>
      <c r="U15" s="100">
        <v>1</v>
      </c>
      <c r="V15" s="100">
        <f t="shared" si="1"/>
        <v>13.824699999999998</v>
      </c>
      <c r="W15" s="101">
        <f t="shared" si="3"/>
        <v>24.364583333333332</v>
      </c>
      <c r="X15" s="102">
        <f t="shared" si="4"/>
        <v>8.7499999999999716</v>
      </c>
      <c r="Y15" s="100">
        <f t="shared" si="5"/>
        <v>6.0741666666666667</v>
      </c>
      <c r="Z15" s="100">
        <f t="shared" si="6"/>
        <v>1182</v>
      </c>
    </row>
    <row r="16" spans="1:26">
      <c r="A16" s="100" t="s">
        <v>59</v>
      </c>
      <c r="B16" s="108" t="str">
        <f>IFERROR(VLOOKUP(Tablo517[[#This Row],[ÜRÜN KODU]],YMKODLARI!$A$1:$K$363,2,0)," ")</f>
        <v>EMZİK SAKLAMA KUTUSU ÜST</v>
      </c>
      <c r="C16" s="99">
        <v>43882</v>
      </c>
      <c r="D16" s="100" t="s">
        <v>37</v>
      </c>
      <c r="E16" s="101">
        <v>0.33333333333333331</v>
      </c>
      <c r="F16" s="101">
        <v>0.46180555555555558</v>
      </c>
      <c r="G16" s="100">
        <f>IFERROR(VLOOKUP(Tablo517[[#This Row],[ÜRÜN KODU]],YMKODLARI!$A$1:$K$363,3,0)," ")</f>
        <v>2</v>
      </c>
      <c r="H16" s="100">
        <f>IFERROR(VLOOKUP(Tablo517[[#This Row],[ÜRÜN KODU]],YMKODLARI!$A$1:$K$363,4,0)," ")</f>
        <v>37</v>
      </c>
      <c r="I16" s="100">
        <v>246</v>
      </c>
      <c r="J16" s="100" t="str">
        <f>IFERROR(VLOOKUP(Tablo517[[#This Row],[ÜRÜN KODU]],YMKODLARI!$A$1:$K$363,9,0)," ")</f>
        <v>5139C</v>
      </c>
      <c r="K16" s="100" t="str">
        <f>IFERROR(VLOOKUP(Tablo517[[#This Row],[BOYA KODU]],Tablo14[#All],4,0)," ")</f>
        <v>T.MAVİ</v>
      </c>
      <c r="L16" s="100">
        <f>IFERROR(VLOOKUP(Tablo517[[#This Row],[BOYA KODU]],Tablo14[#All],6,0)," ")</f>
        <v>1E-3</v>
      </c>
      <c r="M16" s="100">
        <f t="shared" si="0"/>
        <v>5.4858000000000002</v>
      </c>
      <c r="N16" s="100" t="str">
        <f>IFERROR(VLOOKUP(Tablo517[[#This Row],[ÜRÜN KODU]],YMKODLARI!$A$1:$K$363,8,0)," ")</f>
        <v>HM 001</v>
      </c>
      <c r="O16" s="100" t="str">
        <f>IFERROR(VLOOKUP(Tablo517[[#This Row],[HAMMADDE KODU]],Tablo1[#All],3,0)," ")</f>
        <v>CAPILENE</v>
      </c>
      <c r="P16" s="100" t="str">
        <f>IFERROR(VLOOKUP(Tablo517[[#This Row],[HAMMADDE KODU]],Tablo1[#All],4,0)," ")</f>
        <v>PİNHAS</v>
      </c>
      <c r="Q16" s="100">
        <f>IFERROR(VLOOKUP(Tablo517[[#This Row],[ÜRÜN KODU]],YMKODLARI!$A$1:$K$363,5,0)," ")</f>
        <v>22.3</v>
      </c>
      <c r="R16" s="100">
        <f>IFERROR(VLOOKUP(Tablo517[[#This Row],[ÜRÜN KODU]],YMKODLARI!$A$1:$K$363,6,0)," ")</f>
        <v>21.2</v>
      </c>
      <c r="S16" s="100">
        <f>IFERROR(Tablo517[[#This Row],[YOLLUK HARİÇ BASKI GRAMI]]/Tablo517[[#This Row],[KALIP GÖZ ADEDİ]]," ")</f>
        <v>10.6</v>
      </c>
      <c r="T16" s="100">
        <f t="shared" si="2"/>
        <v>1.1000000000000014</v>
      </c>
      <c r="U16" s="100"/>
      <c r="V16" s="100">
        <f t="shared" si="1"/>
        <v>5.2151999999999994</v>
      </c>
      <c r="W16" s="101">
        <f t="shared" si="3"/>
        <v>24.128472222222221</v>
      </c>
      <c r="X16" s="102">
        <f t="shared" si="4"/>
        <v>3.0833333333333144</v>
      </c>
      <c r="Y16" s="100">
        <f t="shared" si="5"/>
        <v>2.5283333333333333</v>
      </c>
      <c r="Z16" s="100">
        <f t="shared" si="6"/>
        <v>492</v>
      </c>
    </row>
    <row r="17" spans="1:26">
      <c r="A17" s="100" t="s">
        <v>58</v>
      </c>
      <c r="B17" s="108" t="str">
        <f>IFERROR(VLOOKUP(Tablo517[[#This Row],[ÜRÜN KODU]],YMKODLARI!$A$1:$K$363,2,0)," ")</f>
        <v>EMZİK SAKLAMA KUTUSU ALT</v>
      </c>
      <c r="C17" s="99">
        <v>43885</v>
      </c>
      <c r="D17" s="100" t="s">
        <v>37</v>
      </c>
      <c r="E17" s="101">
        <v>0.33333333333333331</v>
      </c>
      <c r="F17" s="101">
        <v>0.46180555555555558</v>
      </c>
      <c r="G17" s="100">
        <f>IFERROR(VLOOKUP(Tablo517[[#This Row],[ÜRÜN KODU]],YMKODLARI!$A$1:$K$363,3,0)," ")</f>
        <v>2</v>
      </c>
      <c r="H17" s="100">
        <f>IFERROR(VLOOKUP(Tablo517[[#This Row],[ÜRÜN KODU]],YMKODLARI!$A$1:$K$363,4,0)," ")</f>
        <v>37</v>
      </c>
      <c r="I17" s="100">
        <v>246</v>
      </c>
      <c r="J17" s="100" t="str">
        <f>IFERROR(VLOOKUP(Tablo517[[#This Row],[ÜRÜN KODU]],YMKODLARI!$A$1:$K$363,9,0)," ")</f>
        <v>708PK532G</v>
      </c>
      <c r="K17" s="100" t="str">
        <f>IFERROR(VLOOKUP(Tablo517[[#This Row],[BOYA KODU]],Tablo14[#All],4,0)," ")</f>
        <v>T.PEMBE</v>
      </c>
      <c r="L17" s="100">
        <f>IFERROR(VLOOKUP(Tablo517[[#This Row],[BOYA KODU]],Tablo14[#All],6,0)," ")</f>
        <v>2E-3</v>
      </c>
      <c r="M17" s="100">
        <f t="shared" si="0"/>
        <v>11.217600000000001</v>
      </c>
      <c r="N17" s="100" t="str">
        <f>IFERROR(VLOOKUP(Tablo517[[#This Row],[ÜRÜN KODU]],YMKODLARI!$A$1:$K$363,8,0)," ")</f>
        <v>HM 001</v>
      </c>
      <c r="O17" s="100" t="str">
        <f>IFERROR(VLOOKUP(Tablo517[[#This Row],[HAMMADDE KODU]],Tablo1[#All],3,0)," ")</f>
        <v>CAPILENE</v>
      </c>
      <c r="P17" s="100" t="str">
        <f>IFERROR(VLOOKUP(Tablo517[[#This Row],[HAMMADDE KODU]],Tablo1[#All],4,0)," ")</f>
        <v>PİNHAS</v>
      </c>
      <c r="Q17" s="100">
        <f>IFERROR(VLOOKUP(Tablo517[[#This Row],[ÜRÜN KODU]],YMKODLARI!$A$1:$K$363,5,0)," ")</f>
        <v>22.8</v>
      </c>
      <c r="R17" s="100">
        <f>IFERROR(VLOOKUP(Tablo517[[#This Row],[ÜRÜN KODU]],YMKODLARI!$A$1:$K$363,6,0)," ")</f>
        <v>21.7</v>
      </c>
      <c r="S17" s="100">
        <f>IFERROR(Tablo517[[#This Row],[YOLLUK HARİÇ BASKI GRAMI]]/Tablo517[[#This Row],[KALIP GÖZ ADEDİ]]," ")</f>
        <v>10.85</v>
      </c>
      <c r="T17" s="100">
        <f t="shared" si="2"/>
        <v>1.1000000000000014</v>
      </c>
      <c r="U17" s="100">
        <v>1</v>
      </c>
      <c r="V17" s="100">
        <f t="shared" ref="V17:V26" si="7">IFERROR(U17+(R17*I17) /1000," ")</f>
        <v>6.3381999999999996</v>
      </c>
      <c r="W17" s="101">
        <f t="shared" si="3"/>
        <v>24.128472222222221</v>
      </c>
      <c r="X17" s="102">
        <f t="shared" si="4"/>
        <v>3.0833333333333144</v>
      </c>
      <c r="Y17" s="100">
        <f t="shared" si="5"/>
        <v>2.5283333333333333</v>
      </c>
      <c r="Z17" s="100">
        <f t="shared" si="6"/>
        <v>492</v>
      </c>
    </row>
    <row r="18" spans="1:26">
      <c r="A18" s="100" t="s">
        <v>60</v>
      </c>
      <c r="B18" s="108" t="str">
        <f>IFERROR(VLOOKUP(Tablo517[[#This Row],[ÜRÜN KODU]],YMKODLARI!$A$1:$K$363,2,0)," ")</f>
        <v>EMZİK SAKLAMA KUTUSU ÜST</v>
      </c>
      <c r="C18" s="99">
        <v>43885</v>
      </c>
      <c r="D18" s="100" t="s">
        <v>37</v>
      </c>
      <c r="E18" s="101">
        <v>0.46180555555555558</v>
      </c>
      <c r="F18" s="101">
        <v>0.75</v>
      </c>
      <c r="G18" s="100">
        <f>IFERROR(VLOOKUP(Tablo517[[#This Row],[ÜRÜN KODU]],YMKODLARI!$A$1:$K$363,3,0)," ")</f>
        <v>2</v>
      </c>
      <c r="H18" s="100">
        <f>IFERROR(VLOOKUP(Tablo517[[#This Row],[ÜRÜN KODU]],YMKODLARI!$A$1:$K$363,4,0)," ")</f>
        <v>37</v>
      </c>
      <c r="I18" s="100">
        <v>558</v>
      </c>
      <c r="J18" s="100" t="str">
        <f>IFERROR(VLOOKUP(Tablo517[[#This Row],[ÜRÜN KODU]],YMKODLARI!$A$1:$K$363,9,0)," ")</f>
        <v>Şeffaf</v>
      </c>
      <c r="K18" s="100" t="str">
        <f>IFERROR(VLOOKUP(Tablo517[[#This Row],[BOYA KODU]],Tablo14[#All],4,0)," ")</f>
        <v xml:space="preserve"> </v>
      </c>
      <c r="L18" s="100" t="str">
        <f>IFERROR(VLOOKUP(Tablo517[[#This Row],[BOYA KODU]],Tablo14[#All],6,0)," ")</f>
        <v xml:space="preserve"> </v>
      </c>
      <c r="M18" s="100" t="str">
        <f t="shared" si="0"/>
        <v xml:space="preserve"> </v>
      </c>
      <c r="N18" s="100" t="str">
        <f>IFERROR(VLOOKUP(Tablo517[[#This Row],[ÜRÜN KODU]],YMKODLARI!$A$1:$K$363,8,0)," ")</f>
        <v>HM 001</v>
      </c>
      <c r="O18" s="100" t="str">
        <f>IFERROR(VLOOKUP(Tablo517[[#This Row],[HAMMADDE KODU]],Tablo1[#All],3,0)," ")</f>
        <v>CAPILENE</v>
      </c>
      <c r="P18" s="100" t="str">
        <f>IFERROR(VLOOKUP(Tablo517[[#This Row],[HAMMADDE KODU]],Tablo1[#All],4,0)," ")</f>
        <v>PİNHAS</v>
      </c>
      <c r="Q18" s="100">
        <f>IFERROR(VLOOKUP(Tablo517[[#This Row],[ÜRÜN KODU]],YMKODLARI!$A$1:$K$363,5,0)," ")</f>
        <v>22.3</v>
      </c>
      <c r="R18" s="100">
        <f>IFERROR(VLOOKUP(Tablo517[[#This Row],[ÜRÜN KODU]],YMKODLARI!$A$1:$K$363,6,0)," ")</f>
        <v>21.2</v>
      </c>
      <c r="S18" s="100">
        <f>IFERROR(Tablo517[[#This Row],[YOLLUK HARİÇ BASKI GRAMI]]/Tablo517[[#This Row],[KALIP GÖZ ADEDİ]]," ")</f>
        <v>10.6</v>
      </c>
      <c r="T18" s="100">
        <f t="shared" si="2"/>
        <v>1.1000000000000014</v>
      </c>
      <c r="U18" s="100">
        <v>1.2</v>
      </c>
      <c r="V18" s="100">
        <f t="shared" si="7"/>
        <v>13.0296</v>
      </c>
      <c r="W18" s="101">
        <f t="shared" si="3"/>
        <v>24.288194444444443</v>
      </c>
      <c r="X18" s="102">
        <f t="shared" si="4"/>
        <v>6.9166666666666288</v>
      </c>
      <c r="Y18" s="100">
        <f t="shared" si="5"/>
        <v>5.7350000000000003</v>
      </c>
      <c r="Z18" s="100">
        <f t="shared" si="6"/>
        <v>1116</v>
      </c>
    </row>
    <row r="19" spans="1:26">
      <c r="A19" s="100" t="s">
        <v>61</v>
      </c>
      <c r="B19" s="108" t="str">
        <f>IFERROR(VLOOKUP(Tablo517[[#This Row],[ÜRÜN KODU]],YMKODLARI!$A$1:$K$363,2,0)," ")</f>
        <v>EMZİK SAKLAMA KUTUSU ALT</v>
      </c>
      <c r="C19" s="99">
        <v>43885</v>
      </c>
      <c r="D19" s="100" t="s">
        <v>37</v>
      </c>
      <c r="E19" s="101">
        <v>0.46180555555555558</v>
      </c>
      <c r="F19" s="101">
        <v>0.75</v>
      </c>
      <c r="G19" s="100">
        <f>IFERROR(VLOOKUP(Tablo517[[#This Row],[ÜRÜN KODU]],YMKODLARI!$A$1:$K$363,3,0)," ")</f>
        <v>2</v>
      </c>
      <c r="H19" s="100">
        <f>IFERROR(VLOOKUP(Tablo517[[#This Row],[ÜRÜN KODU]],YMKODLARI!$A$1:$K$363,4,0)," ")</f>
        <v>37</v>
      </c>
      <c r="I19" s="100">
        <v>558</v>
      </c>
      <c r="J19" s="100" t="str">
        <f>IFERROR(VLOOKUP(Tablo517[[#This Row],[ÜRÜN KODU]],YMKODLARI!$A$1:$K$363,9,0)," ")</f>
        <v>Şeffaf</v>
      </c>
      <c r="K19" s="100" t="str">
        <f>IFERROR(VLOOKUP(Tablo517[[#This Row],[BOYA KODU]],Tablo14[#All],4,0)," ")</f>
        <v xml:space="preserve"> </v>
      </c>
      <c r="L19" s="100" t="str">
        <f>IFERROR(VLOOKUP(Tablo517[[#This Row],[BOYA KODU]],Tablo14[#All],6,0)," ")</f>
        <v xml:space="preserve"> </v>
      </c>
      <c r="M19" s="100" t="str">
        <f t="shared" si="0"/>
        <v xml:space="preserve"> </v>
      </c>
      <c r="N19" s="100" t="str">
        <f>IFERROR(VLOOKUP(Tablo517[[#This Row],[ÜRÜN KODU]],YMKODLARI!$A$1:$K$363,8,0)," ")</f>
        <v>HM 001</v>
      </c>
      <c r="O19" s="100" t="str">
        <f>IFERROR(VLOOKUP(Tablo517[[#This Row],[HAMMADDE KODU]],Tablo1[#All],3,0)," ")</f>
        <v>CAPILENE</v>
      </c>
      <c r="P19" s="100" t="str">
        <f>IFERROR(VLOOKUP(Tablo517[[#This Row],[HAMMADDE KODU]],Tablo1[#All],4,0)," ")</f>
        <v>PİNHAS</v>
      </c>
      <c r="Q19" s="100">
        <f>IFERROR(VLOOKUP(Tablo517[[#This Row],[ÜRÜN KODU]],YMKODLARI!$A$1:$K$363,5,0)," ")</f>
        <v>22.3</v>
      </c>
      <c r="R19" s="100">
        <f>IFERROR(VLOOKUP(Tablo517[[#This Row],[ÜRÜN KODU]],YMKODLARI!$A$1:$K$363,6,0)," ")</f>
        <v>21.2</v>
      </c>
      <c r="S19" s="100">
        <f>IFERROR(Tablo517[[#This Row],[YOLLUK HARİÇ BASKI GRAMI]]/Tablo517[[#This Row],[KALIP GÖZ ADEDİ]]," ")</f>
        <v>10.6</v>
      </c>
      <c r="T19" s="100">
        <f t="shared" si="2"/>
        <v>1.1000000000000014</v>
      </c>
      <c r="U19" s="100">
        <v>3.5</v>
      </c>
      <c r="V19" s="100">
        <f t="shared" si="7"/>
        <v>15.329600000000001</v>
      </c>
      <c r="W19" s="101">
        <f t="shared" si="3"/>
        <v>24.288194444444443</v>
      </c>
      <c r="X19" s="102">
        <f t="shared" si="4"/>
        <v>6.9166666666666288</v>
      </c>
      <c r="Y19" s="100">
        <f t="shared" si="5"/>
        <v>5.7350000000000003</v>
      </c>
      <c r="Z19" s="100">
        <f t="shared" si="6"/>
        <v>1116</v>
      </c>
    </row>
    <row r="20" spans="1:26">
      <c r="A20" s="100" t="s">
        <v>60</v>
      </c>
      <c r="B20" s="108" t="str">
        <f>IFERROR(VLOOKUP(Tablo517[[#This Row],[ÜRÜN KODU]],YMKODLARI!$A$1:$K$363,2,0)," ")</f>
        <v>EMZİK SAKLAMA KUTUSU ÜST</v>
      </c>
      <c r="C20" s="99">
        <v>43886</v>
      </c>
      <c r="D20" s="100" t="s">
        <v>37</v>
      </c>
      <c r="E20" s="101">
        <v>0.33333333333333331</v>
      </c>
      <c r="F20" s="101">
        <v>0.51736111111111105</v>
      </c>
      <c r="G20" s="100">
        <f>IFERROR(VLOOKUP(Tablo517[[#This Row],[ÜRÜN KODU]],YMKODLARI!$A$1:$K$363,3,0)," ")</f>
        <v>2</v>
      </c>
      <c r="H20" s="100">
        <f>IFERROR(VLOOKUP(Tablo517[[#This Row],[ÜRÜN KODU]],YMKODLARI!$A$1:$K$363,4,0)," ")</f>
        <v>37</v>
      </c>
      <c r="I20" s="100">
        <v>354</v>
      </c>
      <c r="J20" s="100" t="str">
        <f>IFERROR(VLOOKUP(Tablo517[[#This Row],[ÜRÜN KODU]],YMKODLARI!$A$1:$K$363,9,0)," ")</f>
        <v>Şeffaf</v>
      </c>
      <c r="K20" s="100" t="str">
        <f>IFERROR(VLOOKUP(Tablo517[[#This Row],[BOYA KODU]],Tablo14[#All],4,0)," ")</f>
        <v xml:space="preserve"> </v>
      </c>
      <c r="L20" s="100" t="str">
        <f>IFERROR(VLOOKUP(Tablo517[[#This Row],[BOYA KODU]],Tablo14[#All],6,0)," ")</f>
        <v xml:space="preserve"> </v>
      </c>
      <c r="M20" s="100" t="str">
        <f t="shared" si="0"/>
        <v xml:space="preserve"> </v>
      </c>
      <c r="N20" s="100" t="str">
        <f>IFERROR(VLOOKUP(Tablo517[[#This Row],[ÜRÜN KODU]],YMKODLARI!$A$1:$K$363,8,0)," ")</f>
        <v>HM 001</v>
      </c>
      <c r="O20" s="100" t="str">
        <f>IFERROR(VLOOKUP(Tablo517[[#This Row],[HAMMADDE KODU]],Tablo1[#All],3,0)," ")</f>
        <v>CAPILENE</v>
      </c>
      <c r="P20" s="100" t="str">
        <f>IFERROR(VLOOKUP(Tablo517[[#This Row],[HAMMADDE KODU]],Tablo1[#All],4,0)," ")</f>
        <v>PİNHAS</v>
      </c>
      <c r="Q20" s="100">
        <f>IFERROR(VLOOKUP(Tablo517[[#This Row],[ÜRÜN KODU]],YMKODLARI!$A$1:$K$363,5,0)," ")</f>
        <v>22.3</v>
      </c>
      <c r="R20" s="100">
        <f>IFERROR(VLOOKUP(Tablo517[[#This Row],[ÜRÜN KODU]],YMKODLARI!$A$1:$K$363,6,0)," ")</f>
        <v>21.2</v>
      </c>
      <c r="S20" s="100">
        <f>IFERROR(Tablo517[[#This Row],[YOLLUK HARİÇ BASKI GRAMI]]/Tablo517[[#This Row],[KALIP GÖZ ADEDİ]]," ")</f>
        <v>10.6</v>
      </c>
      <c r="T20" s="100">
        <f t="shared" si="2"/>
        <v>1.1000000000000014</v>
      </c>
      <c r="U20" s="100">
        <v>2.5</v>
      </c>
      <c r="V20" s="100">
        <f t="shared" si="7"/>
        <v>10.004799999999999</v>
      </c>
      <c r="W20" s="101">
        <f t="shared" si="3"/>
        <v>24.184027777777779</v>
      </c>
      <c r="X20" s="102">
        <f t="shared" si="4"/>
        <v>4.4166666666666856</v>
      </c>
      <c r="Y20" s="100">
        <f t="shared" si="5"/>
        <v>3.6383333333333332</v>
      </c>
      <c r="Z20" s="100">
        <f t="shared" si="6"/>
        <v>708</v>
      </c>
    </row>
    <row r="21" spans="1:26">
      <c r="A21" s="100" t="s">
        <v>61</v>
      </c>
      <c r="B21" s="108" t="str">
        <f>IFERROR(VLOOKUP(Tablo517[[#This Row],[ÜRÜN KODU]],YMKODLARI!$A$1:$K$363,2,0)," ")</f>
        <v>EMZİK SAKLAMA KUTUSU ALT</v>
      </c>
      <c r="C21" s="99">
        <v>43886</v>
      </c>
      <c r="D21" s="100" t="s">
        <v>37</v>
      </c>
      <c r="E21" s="101">
        <v>0.33333333333333331</v>
      </c>
      <c r="F21" s="101">
        <v>0.51736111111111105</v>
      </c>
      <c r="G21" s="100">
        <f>IFERROR(VLOOKUP(Tablo517[[#This Row],[ÜRÜN KODU]],YMKODLARI!$A$1:$K$363,3,0)," ")</f>
        <v>2</v>
      </c>
      <c r="H21" s="100">
        <f>IFERROR(VLOOKUP(Tablo517[[#This Row],[ÜRÜN KODU]],YMKODLARI!$A$1:$K$363,4,0)," ")</f>
        <v>37</v>
      </c>
      <c r="I21" s="100">
        <v>354</v>
      </c>
      <c r="J21" s="100" t="str">
        <f>IFERROR(VLOOKUP(Tablo517[[#This Row],[ÜRÜN KODU]],YMKODLARI!$A$1:$K$363,9,0)," ")</f>
        <v>Şeffaf</v>
      </c>
      <c r="K21" s="100" t="str">
        <f>IFERROR(VLOOKUP(Tablo517[[#This Row],[BOYA KODU]],Tablo14[#All],4,0)," ")</f>
        <v xml:space="preserve"> </v>
      </c>
      <c r="L21" s="100" t="str">
        <f>IFERROR(VLOOKUP(Tablo517[[#This Row],[BOYA KODU]],Tablo14[#All],6,0)," ")</f>
        <v xml:space="preserve"> </v>
      </c>
      <c r="M21" s="100" t="str">
        <f t="shared" si="0"/>
        <v xml:space="preserve"> </v>
      </c>
      <c r="N21" s="100" t="str">
        <f>IFERROR(VLOOKUP(Tablo517[[#This Row],[ÜRÜN KODU]],YMKODLARI!$A$1:$K$363,8,0)," ")</f>
        <v>HM 001</v>
      </c>
      <c r="O21" s="100" t="str">
        <f>IFERROR(VLOOKUP(Tablo517[[#This Row],[HAMMADDE KODU]],Tablo1[#All],3,0)," ")</f>
        <v>CAPILENE</v>
      </c>
      <c r="P21" s="100" t="str">
        <f>IFERROR(VLOOKUP(Tablo517[[#This Row],[HAMMADDE KODU]],Tablo1[#All],4,0)," ")</f>
        <v>PİNHAS</v>
      </c>
      <c r="Q21" s="100">
        <f>IFERROR(VLOOKUP(Tablo517[[#This Row],[ÜRÜN KODU]],YMKODLARI!$A$1:$K$363,5,0)," ")</f>
        <v>22.3</v>
      </c>
      <c r="R21" s="100">
        <f>IFERROR(VLOOKUP(Tablo517[[#This Row],[ÜRÜN KODU]],YMKODLARI!$A$1:$K$363,6,0)," ")</f>
        <v>21.2</v>
      </c>
      <c r="S21" s="100">
        <f>IFERROR(Tablo517[[#This Row],[YOLLUK HARİÇ BASKI GRAMI]]/Tablo517[[#This Row],[KALIP GÖZ ADEDİ]]," ")</f>
        <v>10.6</v>
      </c>
      <c r="T21" s="100">
        <f t="shared" si="2"/>
        <v>1.1000000000000014</v>
      </c>
      <c r="U21" s="100">
        <v>1.3</v>
      </c>
      <c r="V21" s="100">
        <f t="shared" si="7"/>
        <v>8.8048000000000002</v>
      </c>
      <c r="W21" s="101">
        <f t="shared" si="3"/>
        <v>24.184027777777779</v>
      </c>
      <c r="X21" s="102">
        <f t="shared" si="4"/>
        <v>4.4166666666666856</v>
      </c>
      <c r="Y21" s="100">
        <f t="shared" si="5"/>
        <v>3.6383333333333332</v>
      </c>
      <c r="Z21" s="100">
        <f t="shared" si="6"/>
        <v>708</v>
      </c>
    </row>
    <row r="22" spans="1:26">
      <c r="A22" s="100" t="s">
        <v>57</v>
      </c>
      <c r="B22" s="108" t="str">
        <f>IFERROR(VLOOKUP(Tablo517[[#This Row],[ÜRÜN KODU]],YMKODLARI!$A$1:$K$363,2,0)," ")</f>
        <v>EMZİK SAKLAMA KUTUSU ÜST</v>
      </c>
      <c r="C22" s="99">
        <v>43909</v>
      </c>
      <c r="D22" s="100" t="s">
        <v>37</v>
      </c>
      <c r="E22" s="101">
        <v>0.41666666666666669</v>
      </c>
      <c r="F22" s="101">
        <v>0.60416666666666663</v>
      </c>
      <c r="G22" s="100">
        <f>IFERROR(VLOOKUP(Tablo517[[#This Row],[ÜRÜN KODU]],YMKODLARI!$A$1:$K$363,3,0)," ")</f>
        <v>2</v>
      </c>
      <c r="H22" s="100">
        <f>IFERROR(VLOOKUP(Tablo517[[#This Row],[ÜRÜN KODU]],YMKODLARI!$A$1:$K$363,4,0)," ")</f>
        <v>37</v>
      </c>
      <c r="I22" s="100">
        <v>487</v>
      </c>
      <c r="J22" s="100" t="str">
        <f>IFERROR(VLOOKUP(Tablo517[[#This Row],[ÜRÜN KODU]],YMKODLARI!$A$1:$K$363,9,0)," ")</f>
        <v>708PK532G</v>
      </c>
      <c r="K22" s="100" t="str">
        <f>IFERROR(VLOOKUP(Tablo517[[#This Row],[BOYA KODU]],Tablo14[#All],4,0)," ")</f>
        <v>T.PEMBE</v>
      </c>
      <c r="L22" s="100">
        <f>IFERROR(VLOOKUP(Tablo517[[#This Row],[BOYA KODU]],Tablo14[#All],6,0)," ")</f>
        <v>2E-3</v>
      </c>
      <c r="M22" s="100">
        <f t="shared" si="0"/>
        <v>21.720200000000002</v>
      </c>
      <c r="N22" s="100" t="str">
        <f>IFERROR(VLOOKUP(Tablo517[[#This Row],[ÜRÜN KODU]],YMKODLARI!$A$1:$K$363,8,0)," ")</f>
        <v>HM 001</v>
      </c>
      <c r="O22" s="100" t="str">
        <f>IFERROR(VLOOKUP(Tablo517[[#This Row],[HAMMADDE KODU]],Tablo1[#All],3,0)," ")</f>
        <v>CAPILENE</v>
      </c>
      <c r="P22" s="100" t="str">
        <f>IFERROR(VLOOKUP(Tablo517[[#This Row],[HAMMADDE KODU]],Tablo1[#All],4,0)," ")</f>
        <v>PİNHAS</v>
      </c>
      <c r="Q22" s="100">
        <f>IFERROR(VLOOKUP(Tablo517[[#This Row],[ÜRÜN KODU]],YMKODLARI!$A$1:$K$363,5,0)," ")</f>
        <v>22.3</v>
      </c>
      <c r="R22" s="100">
        <f>IFERROR(VLOOKUP(Tablo517[[#This Row],[ÜRÜN KODU]],YMKODLARI!$A$1:$K$363,6,0)," ")</f>
        <v>21.2</v>
      </c>
      <c r="S22" s="100">
        <f>IFERROR(Tablo517[[#This Row],[YOLLUK HARİÇ BASKI GRAMI]]/Tablo517[[#This Row],[KALIP GÖZ ADEDİ]]," ")</f>
        <v>10.6</v>
      </c>
      <c r="T22" s="100">
        <f t="shared" si="2"/>
        <v>1.1000000000000014</v>
      </c>
      <c r="U22" s="100"/>
      <c r="V22" s="100">
        <f t="shared" si="7"/>
        <v>10.324399999999999</v>
      </c>
      <c r="W22" s="101">
        <f t="shared" si="3"/>
        <v>24.1875</v>
      </c>
      <c r="X22" s="102">
        <f t="shared" si="4"/>
        <v>4.5</v>
      </c>
      <c r="Y22" s="100">
        <f t="shared" si="5"/>
        <v>5.0052777777777777</v>
      </c>
      <c r="Z22" s="100">
        <f t="shared" si="6"/>
        <v>974</v>
      </c>
    </row>
    <row r="23" spans="1:26">
      <c r="A23" s="100" t="s">
        <v>58</v>
      </c>
      <c r="B23" s="108" t="str">
        <f>IFERROR(VLOOKUP(Tablo517[[#This Row],[ÜRÜN KODU]],YMKODLARI!$A$1:$K$363,2,0)," ")</f>
        <v>EMZİK SAKLAMA KUTUSU ALT</v>
      </c>
      <c r="C23" s="99">
        <v>43909</v>
      </c>
      <c r="D23" s="100" t="s">
        <v>37</v>
      </c>
      <c r="E23" s="101">
        <v>0.41666666666666669</v>
      </c>
      <c r="F23" s="101">
        <v>0.60416666666666663</v>
      </c>
      <c r="G23" s="100">
        <f>IFERROR(VLOOKUP(Tablo517[[#This Row],[ÜRÜN KODU]],YMKODLARI!$A$1:$K$363,3,0)," ")</f>
        <v>2</v>
      </c>
      <c r="H23" s="100">
        <f>IFERROR(VLOOKUP(Tablo517[[#This Row],[ÜRÜN KODU]],YMKODLARI!$A$1:$K$363,4,0)," ")</f>
        <v>37</v>
      </c>
      <c r="I23" s="100">
        <v>487</v>
      </c>
      <c r="J23" s="100" t="str">
        <f>IFERROR(VLOOKUP(Tablo517[[#This Row],[ÜRÜN KODU]],YMKODLARI!$A$1:$K$363,9,0)," ")</f>
        <v>708PK532G</v>
      </c>
      <c r="K23" s="100" t="str">
        <f>IFERROR(VLOOKUP(Tablo517[[#This Row],[BOYA KODU]],Tablo14[#All],4,0)," ")</f>
        <v>T.PEMBE</v>
      </c>
      <c r="L23" s="100">
        <f>IFERROR(VLOOKUP(Tablo517[[#This Row],[BOYA KODU]],Tablo14[#All],6,0)," ")</f>
        <v>2E-3</v>
      </c>
      <c r="M23" s="100">
        <f t="shared" si="0"/>
        <v>22.2072</v>
      </c>
      <c r="N23" s="100" t="str">
        <f>IFERROR(VLOOKUP(Tablo517[[#This Row],[ÜRÜN KODU]],YMKODLARI!$A$1:$K$363,8,0)," ")</f>
        <v>HM 001</v>
      </c>
      <c r="O23" s="100" t="str">
        <f>IFERROR(VLOOKUP(Tablo517[[#This Row],[HAMMADDE KODU]],Tablo1[#All],3,0)," ")</f>
        <v>CAPILENE</v>
      </c>
      <c r="P23" s="100" t="str">
        <f>IFERROR(VLOOKUP(Tablo517[[#This Row],[HAMMADDE KODU]],Tablo1[#All],4,0)," ")</f>
        <v>PİNHAS</v>
      </c>
      <c r="Q23" s="100">
        <f>IFERROR(VLOOKUP(Tablo517[[#This Row],[ÜRÜN KODU]],YMKODLARI!$A$1:$K$363,5,0)," ")</f>
        <v>22.8</v>
      </c>
      <c r="R23" s="100">
        <f>IFERROR(VLOOKUP(Tablo517[[#This Row],[ÜRÜN KODU]],YMKODLARI!$A$1:$K$363,6,0)," ")</f>
        <v>21.7</v>
      </c>
      <c r="S23" s="100">
        <f>IFERROR(Tablo517[[#This Row],[YOLLUK HARİÇ BASKI GRAMI]]/Tablo517[[#This Row],[KALIP GÖZ ADEDİ]]," ")</f>
        <v>10.85</v>
      </c>
      <c r="T23" s="100">
        <f t="shared" si="2"/>
        <v>1.1000000000000014</v>
      </c>
      <c r="U23" s="100"/>
      <c r="V23" s="100">
        <f t="shared" si="7"/>
        <v>10.5679</v>
      </c>
      <c r="W23" s="101">
        <f t="shared" si="3"/>
        <v>24.1875</v>
      </c>
      <c r="X23" s="102">
        <f t="shared" si="4"/>
        <v>4.5</v>
      </c>
      <c r="Y23" s="100">
        <f t="shared" si="5"/>
        <v>5.0052777777777777</v>
      </c>
      <c r="Z23" s="100">
        <f t="shared" si="6"/>
        <v>974</v>
      </c>
    </row>
    <row r="24" spans="1:26">
      <c r="A24" s="100" t="s">
        <v>59</v>
      </c>
      <c r="B24" s="108" t="str">
        <f>IFERROR(VLOOKUP(Tablo517[[#This Row],[ÜRÜN KODU]],YMKODLARI!$A$1:$K$363,2,0)," ")</f>
        <v>EMZİK SAKLAMA KUTUSU ÜST</v>
      </c>
      <c r="C24" s="99">
        <v>43909</v>
      </c>
      <c r="D24" s="100" t="s">
        <v>37</v>
      </c>
      <c r="E24" s="101">
        <v>0.61458333333333337</v>
      </c>
      <c r="F24" s="101">
        <v>0.73611111111111116</v>
      </c>
      <c r="G24" s="100">
        <f>IFERROR(VLOOKUP(Tablo517[[#This Row],[ÜRÜN KODU]],YMKODLARI!$A$1:$K$363,3,0)," ")</f>
        <v>2</v>
      </c>
      <c r="H24" s="100">
        <f>IFERROR(VLOOKUP(Tablo517[[#This Row],[ÜRÜN KODU]],YMKODLARI!$A$1:$K$363,4,0)," ")</f>
        <v>37</v>
      </c>
      <c r="I24" s="100">
        <v>270</v>
      </c>
      <c r="J24" s="100" t="str">
        <f>IFERROR(VLOOKUP(Tablo517[[#This Row],[ÜRÜN KODU]],YMKODLARI!$A$1:$K$363,9,0)," ")</f>
        <v>5139C</v>
      </c>
      <c r="K24" s="100" t="str">
        <f>IFERROR(VLOOKUP(Tablo517[[#This Row],[BOYA KODU]],Tablo14[#All],4,0)," ")</f>
        <v>T.MAVİ</v>
      </c>
      <c r="L24" s="100">
        <f>IFERROR(VLOOKUP(Tablo517[[#This Row],[BOYA KODU]],Tablo14[#All],6,0)," ")</f>
        <v>1E-3</v>
      </c>
      <c r="M24" s="100">
        <f t="shared" si="0"/>
        <v>6.0209999999999999</v>
      </c>
      <c r="N24" s="100" t="str">
        <f>IFERROR(VLOOKUP(Tablo517[[#This Row],[ÜRÜN KODU]],YMKODLARI!$A$1:$K$363,8,0)," ")</f>
        <v>HM 001</v>
      </c>
      <c r="O24" s="100" t="str">
        <f>IFERROR(VLOOKUP(Tablo517[[#This Row],[HAMMADDE KODU]],Tablo1[#All],3,0)," ")</f>
        <v>CAPILENE</v>
      </c>
      <c r="P24" s="100" t="str">
        <f>IFERROR(VLOOKUP(Tablo517[[#This Row],[HAMMADDE KODU]],Tablo1[#All],4,0)," ")</f>
        <v>PİNHAS</v>
      </c>
      <c r="Q24" s="100">
        <f>IFERROR(VLOOKUP(Tablo517[[#This Row],[ÜRÜN KODU]],YMKODLARI!$A$1:$K$363,5,0)," ")</f>
        <v>22.3</v>
      </c>
      <c r="R24" s="100">
        <f>IFERROR(VLOOKUP(Tablo517[[#This Row],[ÜRÜN KODU]],YMKODLARI!$A$1:$K$363,6,0)," ")</f>
        <v>21.2</v>
      </c>
      <c r="S24" s="100">
        <f>IFERROR(Tablo517[[#This Row],[YOLLUK HARİÇ BASKI GRAMI]]/Tablo517[[#This Row],[KALIP GÖZ ADEDİ]]," ")</f>
        <v>10.6</v>
      </c>
      <c r="T24" s="100">
        <f t="shared" si="2"/>
        <v>1.1000000000000014</v>
      </c>
      <c r="U24" s="100"/>
      <c r="V24" s="100">
        <f t="shared" si="7"/>
        <v>5.7240000000000002</v>
      </c>
      <c r="W24" s="101">
        <f t="shared" si="3"/>
        <v>24.121527777777779</v>
      </c>
      <c r="X24" s="102">
        <f t="shared" si="4"/>
        <v>2.9166666666666856</v>
      </c>
      <c r="Y24" s="100">
        <f t="shared" si="5"/>
        <v>2.7749999999999999</v>
      </c>
      <c r="Z24" s="100">
        <f t="shared" si="6"/>
        <v>540</v>
      </c>
    </row>
    <row r="25" spans="1:26">
      <c r="A25" s="100" t="s">
        <v>62</v>
      </c>
      <c r="B25" s="108" t="str">
        <f>IFERROR(VLOOKUP(Tablo517[[#This Row],[ÜRÜN KODU]],YMKODLARI!$A$1:$K$363,2,0)," ")</f>
        <v>EMZİK SAKLAMA KUTUSU ALT</v>
      </c>
      <c r="C25" s="99">
        <v>43909</v>
      </c>
      <c r="D25" s="100" t="s">
        <v>37</v>
      </c>
      <c r="E25" s="101">
        <v>0.61458333333333337</v>
      </c>
      <c r="F25" s="101">
        <v>0.73611111111111116</v>
      </c>
      <c r="G25" s="100">
        <f>IFERROR(VLOOKUP(Tablo517[[#This Row],[ÜRÜN KODU]],YMKODLARI!$A$1:$K$363,3,0)," ")</f>
        <v>2</v>
      </c>
      <c r="H25" s="100">
        <f>IFERROR(VLOOKUP(Tablo517[[#This Row],[ÜRÜN KODU]],YMKODLARI!$A$1:$K$363,4,0)," ")</f>
        <v>37</v>
      </c>
      <c r="I25" s="100">
        <v>270</v>
      </c>
      <c r="J25" s="100" t="str">
        <f>IFERROR(VLOOKUP(Tablo517[[#This Row],[ÜRÜN KODU]],YMKODLARI!$A$1:$K$363,9,0)," ")</f>
        <v>5139C</v>
      </c>
      <c r="K25" s="100" t="str">
        <f>IFERROR(VLOOKUP(Tablo517[[#This Row],[BOYA KODU]],Tablo14[#All],4,0)," ")</f>
        <v>T.MAVİ</v>
      </c>
      <c r="L25" s="100">
        <f>IFERROR(VLOOKUP(Tablo517[[#This Row],[BOYA KODU]],Tablo14[#All],6,0)," ")</f>
        <v>1E-3</v>
      </c>
      <c r="M25" s="100">
        <f t="shared" si="0"/>
        <v>6.1559999999999997</v>
      </c>
      <c r="N25" s="100" t="str">
        <f>IFERROR(VLOOKUP(Tablo517[[#This Row],[ÜRÜN KODU]],YMKODLARI!$A$1:$K$363,8,0)," ")</f>
        <v>HM 001</v>
      </c>
      <c r="O25" s="100" t="str">
        <f>IFERROR(VLOOKUP(Tablo517[[#This Row],[HAMMADDE KODU]],Tablo1[#All],3,0)," ")</f>
        <v>CAPILENE</v>
      </c>
      <c r="P25" s="100" t="str">
        <f>IFERROR(VLOOKUP(Tablo517[[#This Row],[HAMMADDE KODU]],Tablo1[#All],4,0)," ")</f>
        <v>PİNHAS</v>
      </c>
      <c r="Q25" s="100">
        <f>IFERROR(VLOOKUP(Tablo517[[#This Row],[ÜRÜN KODU]],YMKODLARI!$A$1:$K$363,5,0)," ")</f>
        <v>22.8</v>
      </c>
      <c r="R25" s="100">
        <f>IFERROR(VLOOKUP(Tablo517[[#This Row],[ÜRÜN KODU]],YMKODLARI!$A$1:$K$363,6,0)," ")</f>
        <v>21.7</v>
      </c>
      <c r="S25" s="100">
        <f>IFERROR(Tablo517[[#This Row],[YOLLUK HARİÇ BASKI GRAMI]]/Tablo517[[#This Row],[KALIP GÖZ ADEDİ]]," ")</f>
        <v>10.85</v>
      </c>
      <c r="T25" s="100">
        <f t="shared" si="2"/>
        <v>1.1000000000000014</v>
      </c>
      <c r="U25" s="100"/>
      <c r="V25" s="100">
        <f t="shared" si="7"/>
        <v>5.859</v>
      </c>
      <c r="W25" s="101">
        <f t="shared" si="3"/>
        <v>24.121527777777779</v>
      </c>
      <c r="X25" s="102">
        <f t="shared" si="4"/>
        <v>2.9166666666666856</v>
      </c>
      <c r="Y25" s="100">
        <f t="shared" si="5"/>
        <v>2.7749999999999999</v>
      </c>
      <c r="Z25" s="100">
        <f t="shared" si="6"/>
        <v>540</v>
      </c>
    </row>
    <row r="26" spans="1:26">
      <c r="A26" s="100" t="s">
        <v>60</v>
      </c>
      <c r="B26" s="108" t="str">
        <f>IFERROR(VLOOKUP(Tablo517[[#This Row],[ÜRÜN KODU]],YMKODLARI!$A$1:$K$363,2,0)," ")</f>
        <v>EMZİK SAKLAMA KUTUSU ÜST</v>
      </c>
      <c r="C26" s="99">
        <v>43909</v>
      </c>
      <c r="D26" s="100" t="s">
        <v>37</v>
      </c>
      <c r="E26" s="101">
        <v>0.73958333333333337</v>
      </c>
      <c r="F26" s="101">
        <v>0.83333333333333337</v>
      </c>
      <c r="G26" s="100">
        <f>IFERROR(VLOOKUP(Tablo517[[#This Row],[ÜRÜN KODU]],YMKODLARI!$A$1:$K$363,3,0)," ")</f>
        <v>2</v>
      </c>
      <c r="H26" s="100">
        <f>IFERROR(VLOOKUP(Tablo517[[#This Row],[ÜRÜN KODU]],YMKODLARI!$A$1:$K$363,4,0)," ")</f>
        <v>37</v>
      </c>
      <c r="I26" s="100">
        <v>254</v>
      </c>
      <c r="J26" s="100" t="str">
        <f>IFERROR(VLOOKUP(Tablo517[[#This Row],[ÜRÜN KODU]],YMKODLARI!$A$1:$K$363,9,0)," ")</f>
        <v>Şeffaf</v>
      </c>
      <c r="K26" s="100" t="str">
        <f>IFERROR(VLOOKUP(Tablo517[[#This Row],[BOYA KODU]],Tablo14[#All],4,0)," ")</f>
        <v xml:space="preserve"> </v>
      </c>
      <c r="L26" s="100" t="str">
        <f>IFERROR(VLOOKUP(Tablo517[[#This Row],[BOYA KODU]],Tablo14[#All],6,0)," ")</f>
        <v xml:space="preserve"> </v>
      </c>
      <c r="M26" s="100" t="str">
        <f t="shared" si="0"/>
        <v xml:space="preserve"> </v>
      </c>
      <c r="N26" s="100" t="str">
        <f>IFERROR(VLOOKUP(Tablo517[[#This Row],[ÜRÜN KODU]],YMKODLARI!$A$1:$K$363,8,0)," ")</f>
        <v>HM 001</v>
      </c>
      <c r="O26" s="100" t="str">
        <f>IFERROR(VLOOKUP(Tablo517[[#This Row],[HAMMADDE KODU]],Tablo1[#All],3,0)," ")</f>
        <v>CAPILENE</v>
      </c>
      <c r="P26" s="100" t="str">
        <f>IFERROR(VLOOKUP(Tablo517[[#This Row],[HAMMADDE KODU]],Tablo1[#All],4,0)," ")</f>
        <v>PİNHAS</v>
      </c>
      <c r="Q26" s="100">
        <f>IFERROR(VLOOKUP(Tablo517[[#This Row],[ÜRÜN KODU]],YMKODLARI!$A$1:$K$363,5,0)," ")</f>
        <v>22.3</v>
      </c>
      <c r="R26" s="100">
        <f>IFERROR(VLOOKUP(Tablo517[[#This Row],[ÜRÜN KODU]],YMKODLARI!$A$1:$K$363,6,0)," ")</f>
        <v>21.2</v>
      </c>
      <c r="S26" s="100">
        <f>IFERROR(Tablo517[[#This Row],[YOLLUK HARİÇ BASKI GRAMI]]/Tablo517[[#This Row],[KALIP GÖZ ADEDİ]]," ")</f>
        <v>10.6</v>
      </c>
      <c r="T26" s="100">
        <f t="shared" si="2"/>
        <v>1.1000000000000014</v>
      </c>
      <c r="U26" s="100"/>
      <c r="V26" s="100">
        <f t="shared" si="7"/>
        <v>5.3848000000000003</v>
      </c>
      <c r="W26" s="101">
        <f t="shared" si="3"/>
        <v>24.09375</v>
      </c>
      <c r="X26" s="102">
        <f t="shared" si="4"/>
        <v>2.25</v>
      </c>
      <c r="Y26" s="100">
        <f t="shared" si="5"/>
        <v>2.6105555555555555</v>
      </c>
      <c r="Z26" s="100">
        <f t="shared" si="6"/>
        <v>508</v>
      </c>
    </row>
    <row r="27" spans="1:26">
      <c r="A27" s="100" t="s">
        <v>61</v>
      </c>
      <c r="B27" s="108" t="str">
        <f>IFERROR(VLOOKUP(Tablo517[[#This Row],[ÜRÜN KODU]],YMKODLARI!$A$1:$K$363,2,0)," ")</f>
        <v>EMZİK SAKLAMA KUTUSU ALT</v>
      </c>
      <c r="C27" s="99">
        <v>43909</v>
      </c>
      <c r="D27" s="100" t="s">
        <v>37</v>
      </c>
      <c r="E27" s="101">
        <v>0.73958333333333337</v>
      </c>
      <c r="F27" s="101">
        <v>0.83333333333333337</v>
      </c>
      <c r="G27" s="100">
        <f>IFERROR(VLOOKUP(Tablo517[[#This Row],[ÜRÜN KODU]],YMKODLARI!$A$1:$K$363,3,0)," ")</f>
        <v>2</v>
      </c>
      <c r="H27" s="100">
        <f>IFERROR(VLOOKUP(Tablo517[[#This Row],[ÜRÜN KODU]],YMKODLARI!$A$1:$K$363,4,0)," ")</f>
        <v>37</v>
      </c>
      <c r="I27" s="100">
        <v>254</v>
      </c>
      <c r="J27" s="100" t="str">
        <f>IFERROR(VLOOKUP(Tablo517[[#This Row],[ÜRÜN KODU]],YMKODLARI!$A$1:$K$363,9,0)," ")</f>
        <v>Şeffaf</v>
      </c>
      <c r="K27" s="100" t="str">
        <f>IFERROR(VLOOKUP(Tablo517[[#This Row],[BOYA KODU]],Tablo14[#All],4,0)," ")</f>
        <v xml:space="preserve"> </v>
      </c>
      <c r="L27" s="100" t="str">
        <f>IFERROR(VLOOKUP(Tablo517[[#This Row],[BOYA KODU]],Tablo14[#All],6,0)," ")</f>
        <v xml:space="preserve"> </v>
      </c>
      <c r="M27" s="100" t="str">
        <f t="shared" si="0"/>
        <v xml:space="preserve"> </v>
      </c>
      <c r="N27" s="100" t="str">
        <f>IFERROR(VLOOKUP(Tablo517[[#This Row],[ÜRÜN KODU]],YMKODLARI!$A$1:$K$363,8,0)," ")</f>
        <v>HM 001</v>
      </c>
      <c r="O27" s="100" t="str">
        <f>IFERROR(VLOOKUP(Tablo517[[#This Row],[HAMMADDE KODU]],Tablo1[#All],3,0)," ")</f>
        <v>CAPILENE</v>
      </c>
      <c r="P27" s="100" t="str">
        <f>IFERROR(VLOOKUP(Tablo517[[#This Row],[HAMMADDE KODU]],Tablo1[#All],4,0)," ")</f>
        <v>PİNHAS</v>
      </c>
      <c r="Q27" s="100">
        <f>IFERROR(VLOOKUP(Tablo517[[#This Row],[ÜRÜN KODU]],YMKODLARI!$A$1:$K$363,5,0)," ")</f>
        <v>22.3</v>
      </c>
      <c r="R27" s="100">
        <f>IFERROR(VLOOKUP(Tablo517[[#This Row],[ÜRÜN KODU]],YMKODLARI!$A$1:$K$363,6,0)," ")</f>
        <v>21.2</v>
      </c>
      <c r="S27" s="100">
        <f>IFERROR(Tablo517[[#This Row],[YOLLUK HARİÇ BASKI GRAMI]]/Tablo517[[#This Row],[KALIP GÖZ ADEDİ]]," ")</f>
        <v>10.6</v>
      </c>
      <c r="T27" s="100">
        <f t="shared" si="2"/>
        <v>1.1000000000000014</v>
      </c>
      <c r="U27" s="100"/>
      <c r="V27" s="100">
        <f t="shared" si="1"/>
        <v>5.3848000000000003</v>
      </c>
      <c r="W27" s="101">
        <f t="shared" si="3"/>
        <v>24.09375</v>
      </c>
      <c r="X27" s="102">
        <f t="shared" si="4"/>
        <v>2.25</v>
      </c>
      <c r="Y27" s="100">
        <f t="shared" si="5"/>
        <v>2.6105555555555555</v>
      </c>
      <c r="Z27" s="100">
        <f t="shared" si="6"/>
        <v>508</v>
      </c>
    </row>
    <row r="28" spans="1:26">
      <c r="A28" s="100" t="s">
        <v>63</v>
      </c>
      <c r="B28" s="108" t="str">
        <f>IFERROR(VLOOKUP(Tablo517[[#This Row],[ÜRÜN KODU]],YMKODLARI!$A$1:$K$363,2,0)," ")</f>
        <v>DAMAK EMZİK SAP</v>
      </c>
      <c r="C28" s="99">
        <v>43913</v>
      </c>
      <c r="D28" s="100" t="s">
        <v>35</v>
      </c>
      <c r="E28" s="101">
        <v>0.72916666666666663</v>
      </c>
      <c r="F28" s="101">
        <v>0.83333333333333337</v>
      </c>
      <c r="G28" s="100">
        <f>IFERROR(VLOOKUP(Tablo517[[#This Row],[ÜRÜN KODU]],YMKODLARI!$A$1:$K$363,3,0)," ")</f>
        <v>16</v>
      </c>
      <c r="H28" s="100">
        <f>IFERROR(VLOOKUP(Tablo517[[#This Row],[ÜRÜN KODU]],YMKODLARI!$A$1:$K$363,4,0)," ")</f>
        <v>20</v>
      </c>
      <c r="I28" s="100">
        <v>475</v>
      </c>
      <c r="J28" s="100" t="str">
        <f>IFERROR(VLOOKUP(Tablo517[[#This Row],[ÜRÜN KODU]],YMKODLARI!$A$1:$K$363,9,0)," ")</f>
        <v>Şeffaf</v>
      </c>
      <c r="K28" s="100" t="str">
        <f>IFERROR(VLOOKUP(Tablo517[[#This Row],[BOYA KODU]],Tablo14[#All],4,0)," ")</f>
        <v xml:space="preserve"> </v>
      </c>
      <c r="L28" s="100" t="str">
        <f>IFERROR(VLOOKUP(Tablo517[[#This Row],[BOYA KODU]],Tablo14[#All],6,0)," ")</f>
        <v xml:space="preserve"> </v>
      </c>
      <c r="M28" s="100" t="str">
        <f t="shared" si="0"/>
        <v xml:space="preserve"> </v>
      </c>
      <c r="N28" s="100" t="str">
        <f>IFERROR(VLOOKUP(Tablo517[[#This Row],[ÜRÜN KODU]],YMKODLARI!$A$1:$K$363,8,0)," ")</f>
        <v>HM 002</v>
      </c>
      <c r="O28" s="100" t="str">
        <f>IFERROR(VLOOKUP(Tablo517[[#This Row],[HAMMADDE KODU]],Tablo1[#All],3,0)," ")</f>
        <v>NOVAREX</v>
      </c>
      <c r="P28" s="100" t="str">
        <f>IFERROR(VLOOKUP(Tablo517[[#This Row],[HAMMADDE KODU]],Tablo1[#All],4,0)," ")</f>
        <v>PİNHAS</v>
      </c>
      <c r="Q28" s="100">
        <f>IFERROR(VLOOKUP(Tablo517[[#This Row],[ÜRÜN KODU]],YMKODLARI!$A$1:$K$363,5,0)," ")</f>
        <v>18.600000000000001</v>
      </c>
      <c r="R28" s="100">
        <f>IFERROR(VLOOKUP(Tablo517[[#This Row],[ÜRÜN KODU]],YMKODLARI!$A$1:$K$363,6,0)," ")</f>
        <v>16.7</v>
      </c>
      <c r="S28" s="100">
        <f>IFERROR(Tablo517[[#This Row],[YOLLUK HARİÇ BASKI GRAMI]]/Tablo517[[#This Row],[KALIP GÖZ ADEDİ]]," ")</f>
        <v>1.04375</v>
      </c>
      <c r="T28" s="100">
        <f t="shared" si="2"/>
        <v>1.9000000000000021</v>
      </c>
      <c r="U28" s="100"/>
      <c r="V28" s="100">
        <f t="shared" si="1"/>
        <v>7.9325000000000001</v>
      </c>
      <c r="W28" s="101">
        <f t="shared" si="3"/>
        <v>24.104166666666668</v>
      </c>
      <c r="X28" s="102">
        <f t="shared" si="4"/>
        <v>2.5000000000000284</v>
      </c>
      <c r="Y28" s="100">
        <f t="shared" si="5"/>
        <v>2.6388888888888888</v>
      </c>
      <c r="Z28" s="100">
        <f t="shared" si="6"/>
        <v>7600</v>
      </c>
    </row>
    <row r="29" spans="1:26">
      <c r="A29" s="100" t="s">
        <v>63</v>
      </c>
      <c r="B29" s="108" t="str">
        <f>IFERROR(VLOOKUP(Tablo517[[#This Row],[ÜRÜN KODU]],YMKODLARI!$A$1:$K$363,2,0)," ")</f>
        <v>DAMAK EMZİK SAP</v>
      </c>
      <c r="C29" s="99">
        <v>43913</v>
      </c>
      <c r="D29" s="100" t="s">
        <v>36</v>
      </c>
      <c r="E29" s="101">
        <v>0.27083333333333331</v>
      </c>
      <c r="F29" s="101">
        <v>0.33333333333333331</v>
      </c>
      <c r="G29" s="100">
        <f>IFERROR(VLOOKUP(Tablo517[[#This Row],[ÜRÜN KODU]],YMKODLARI!$A$1:$K$363,3,0)," ")</f>
        <v>16</v>
      </c>
      <c r="H29" s="100">
        <f>IFERROR(VLOOKUP(Tablo517[[#This Row],[ÜRÜN KODU]],YMKODLARI!$A$1:$K$363,4,0)," ")</f>
        <v>20</v>
      </c>
      <c r="I29" s="100">
        <v>211</v>
      </c>
      <c r="J29" s="100" t="str">
        <f>IFERROR(VLOOKUP(Tablo517[[#This Row],[ÜRÜN KODU]],YMKODLARI!$A$1:$K$363,9,0)," ")</f>
        <v>Şeffaf</v>
      </c>
      <c r="K29" s="100" t="str">
        <f>IFERROR(VLOOKUP(Tablo517[[#This Row],[BOYA KODU]],Tablo14[#All],4,0)," ")</f>
        <v xml:space="preserve"> </v>
      </c>
      <c r="L29" s="100" t="str">
        <f>IFERROR(VLOOKUP(Tablo517[[#This Row],[BOYA KODU]],Tablo14[#All],6,0)," ")</f>
        <v xml:space="preserve"> </v>
      </c>
      <c r="M29" s="100" t="str">
        <f t="shared" si="0"/>
        <v xml:space="preserve"> </v>
      </c>
      <c r="N29" s="100" t="str">
        <f>IFERROR(VLOOKUP(Tablo517[[#This Row],[ÜRÜN KODU]],YMKODLARI!$A$1:$K$363,8,0)," ")</f>
        <v>HM 002</v>
      </c>
      <c r="O29" s="100" t="str">
        <f>IFERROR(VLOOKUP(Tablo517[[#This Row],[HAMMADDE KODU]],Tablo1[#All],3,0)," ")</f>
        <v>NOVAREX</v>
      </c>
      <c r="P29" s="100" t="str">
        <f>IFERROR(VLOOKUP(Tablo517[[#This Row],[HAMMADDE KODU]],Tablo1[#All],4,0)," ")</f>
        <v>PİNHAS</v>
      </c>
      <c r="Q29" s="100">
        <f>IFERROR(VLOOKUP(Tablo517[[#This Row],[ÜRÜN KODU]],YMKODLARI!$A$1:$K$363,5,0)," ")</f>
        <v>18.600000000000001</v>
      </c>
      <c r="R29" s="100">
        <f>IFERROR(VLOOKUP(Tablo517[[#This Row],[ÜRÜN KODU]],YMKODLARI!$A$1:$K$363,6,0)," ")</f>
        <v>16.7</v>
      </c>
      <c r="S29" s="100">
        <f>IFERROR(Tablo517[[#This Row],[YOLLUK HARİÇ BASKI GRAMI]]/Tablo517[[#This Row],[KALIP GÖZ ADEDİ]]," ")</f>
        <v>1.04375</v>
      </c>
      <c r="T29" s="100">
        <f t="shared" si="2"/>
        <v>1.9000000000000021</v>
      </c>
      <c r="U29" s="100"/>
      <c r="V29" s="100">
        <f t="shared" si="1"/>
        <v>3.5236999999999998</v>
      </c>
      <c r="W29" s="101">
        <f t="shared" si="3"/>
        <v>24.0625</v>
      </c>
      <c r="X29" s="102">
        <f t="shared" si="4"/>
        <v>1.5</v>
      </c>
      <c r="Y29" s="100">
        <f t="shared" si="5"/>
        <v>1.1722222222222223</v>
      </c>
      <c r="Z29" s="100">
        <f t="shared" si="6"/>
        <v>3376</v>
      </c>
    </row>
    <row r="30" spans="1:26">
      <c r="A30" s="100" t="s">
        <v>63</v>
      </c>
      <c r="B30" s="108" t="str">
        <f>IFERROR(VLOOKUP(Tablo517[[#This Row],[ÜRÜN KODU]],YMKODLARI!$A$1:$K$363,2,0)," ")</f>
        <v>DAMAK EMZİK SAP</v>
      </c>
      <c r="C30" s="99">
        <v>43914</v>
      </c>
      <c r="D30" s="100" t="s">
        <v>45</v>
      </c>
      <c r="E30" s="101">
        <v>0.33333333333333331</v>
      </c>
      <c r="F30" s="101">
        <v>0.83333333333333337</v>
      </c>
      <c r="G30" s="100">
        <f>IFERROR(VLOOKUP(Tablo517[[#This Row],[ÜRÜN KODU]],YMKODLARI!$A$1:$K$363,3,0)," ")</f>
        <v>16</v>
      </c>
      <c r="H30" s="100">
        <f>IFERROR(VLOOKUP(Tablo517[[#This Row],[ÜRÜN KODU]],YMKODLARI!$A$1:$K$363,4,0)," ")</f>
        <v>20</v>
      </c>
      <c r="I30" s="100">
        <v>1980</v>
      </c>
      <c r="J30" s="100" t="str">
        <f>IFERROR(VLOOKUP(Tablo517[[#This Row],[ÜRÜN KODU]],YMKODLARI!$A$1:$K$363,9,0)," ")</f>
        <v>Şeffaf</v>
      </c>
      <c r="K30" s="100" t="str">
        <f>IFERROR(VLOOKUP(Tablo517[[#This Row],[BOYA KODU]],Tablo14[#All],4,0)," ")</f>
        <v xml:space="preserve"> </v>
      </c>
      <c r="L30" s="100" t="str">
        <f>IFERROR(VLOOKUP(Tablo517[[#This Row],[BOYA KODU]],Tablo14[#All],6,0)," ")</f>
        <v xml:space="preserve"> </v>
      </c>
      <c r="M30" s="100" t="str">
        <f t="shared" si="0"/>
        <v xml:space="preserve"> </v>
      </c>
      <c r="N30" s="100" t="str">
        <f>IFERROR(VLOOKUP(Tablo517[[#This Row],[ÜRÜN KODU]],YMKODLARI!$A$1:$K$363,8,0)," ")</f>
        <v>HM 002</v>
      </c>
      <c r="O30" s="100" t="str">
        <f>IFERROR(VLOOKUP(Tablo517[[#This Row],[HAMMADDE KODU]],Tablo1[#All],3,0)," ")</f>
        <v>NOVAREX</v>
      </c>
      <c r="P30" s="100" t="str">
        <f>IFERROR(VLOOKUP(Tablo517[[#This Row],[HAMMADDE KODU]],Tablo1[#All],4,0)," ")</f>
        <v>PİNHAS</v>
      </c>
      <c r="Q30" s="100">
        <f>IFERROR(VLOOKUP(Tablo517[[#This Row],[ÜRÜN KODU]],YMKODLARI!$A$1:$K$363,5,0)," ")</f>
        <v>18.600000000000001</v>
      </c>
      <c r="R30" s="100">
        <f>IFERROR(VLOOKUP(Tablo517[[#This Row],[ÜRÜN KODU]],YMKODLARI!$A$1:$K$363,6,0)," ")</f>
        <v>16.7</v>
      </c>
      <c r="S30" s="100">
        <f>IFERROR(Tablo517[[#This Row],[YOLLUK HARİÇ BASKI GRAMI]]/Tablo517[[#This Row],[KALIP GÖZ ADEDİ]]," ")</f>
        <v>1.04375</v>
      </c>
      <c r="T30" s="100">
        <f t="shared" si="2"/>
        <v>1.9000000000000021</v>
      </c>
      <c r="U30" s="100"/>
      <c r="V30" s="100">
        <f t="shared" si="1"/>
        <v>33.066000000000003</v>
      </c>
      <c r="W30" s="101">
        <f t="shared" si="3"/>
        <v>24.5</v>
      </c>
      <c r="X30" s="102">
        <f t="shared" si="4"/>
        <v>12</v>
      </c>
      <c r="Y30" s="100">
        <f t="shared" si="5"/>
        <v>11</v>
      </c>
      <c r="Z30" s="100">
        <f t="shared" si="6"/>
        <v>31680</v>
      </c>
    </row>
    <row r="31" spans="1:26">
      <c r="A31" s="100" t="s">
        <v>63</v>
      </c>
      <c r="B31" s="108" t="str">
        <f>IFERROR(VLOOKUP(Tablo517[[#This Row],[ÜRÜN KODU]],YMKODLARI!$A$1:$K$363,2,0)," ")</f>
        <v>DAMAK EMZİK SAP</v>
      </c>
      <c r="C31" s="99">
        <v>43915</v>
      </c>
      <c r="D31" s="100" t="s">
        <v>45</v>
      </c>
      <c r="E31" s="101">
        <v>0.33333333333333331</v>
      </c>
      <c r="F31" s="101">
        <v>0.83333333333333337</v>
      </c>
      <c r="G31" s="100">
        <f>IFERROR(VLOOKUP(Tablo517[[#This Row],[ÜRÜN KODU]],YMKODLARI!$A$1:$K$363,3,0)," ")</f>
        <v>16</v>
      </c>
      <c r="H31" s="100">
        <f>IFERROR(VLOOKUP(Tablo517[[#This Row],[ÜRÜN KODU]],YMKODLARI!$A$1:$K$363,4,0)," ")</f>
        <v>20</v>
      </c>
      <c r="I31" s="100">
        <v>1811</v>
      </c>
      <c r="J31" s="100" t="str">
        <f>IFERROR(VLOOKUP(Tablo517[[#This Row],[ÜRÜN KODU]],YMKODLARI!$A$1:$K$363,9,0)," ")</f>
        <v>Şeffaf</v>
      </c>
      <c r="K31" s="100" t="str">
        <f>IFERROR(VLOOKUP(Tablo517[[#This Row],[BOYA KODU]],Tablo14[#All],4,0)," ")</f>
        <v xml:space="preserve"> </v>
      </c>
      <c r="L31" s="100" t="str">
        <f>IFERROR(VLOOKUP(Tablo517[[#This Row],[BOYA KODU]],Tablo14[#All],6,0)," ")</f>
        <v xml:space="preserve"> </v>
      </c>
      <c r="M31" s="100" t="str">
        <f t="shared" si="0"/>
        <v xml:space="preserve"> </v>
      </c>
      <c r="N31" s="100" t="str">
        <f>IFERROR(VLOOKUP(Tablo517[[#This Row],[ÜRÜN KODU]],YMKODLARI!$A$1:$K$363,8,0)," ")</f>
        <v>HM 002</v>
      </c>
      <c r="O31" s="100" t="str">
        <f>IFERROR(VLOOKUP(Tablo517[[#This Row],[HAMMADDE KODU]],Tablo1[#All],3,0)," ")</f>
        <v>NOVAREX</v>
      </c>
      <c r="P31" s="100" t="str">
        <f>IFERROR(VLOOKUP(Tablo517[[#This Row],[HAMMADDE KODU]],Tablo1[#All],4,0)," ")</f>
        <v>PİNHAS</v>
      </c>
      <c r="Q31" s="100">
        <f>IFERROR(VLOOKUP(Tablo517[[#This Row],[ÜRÜN KODU]],YMKODLARI!$A$1:$K$363,5,0)," ")</f>
        <v>18.600000000000001</v>
      </c>
      <c r="R31" s="100">
        <f>IFERROR(VLOOKUP(Tablo517[[#This Row],[ÜRÜN KODU]],YMKODLARI!$A$1:$K$363,6,0)," ")</f>
        <v>16.7</v>
      </c>
      <c r="S31" s="100">
        <f>IFERROR(Tablo517[[#This Row],[YOLLUK HARİÇ BASKI GRAMI]]/Tablo517[[#This Row],[KALIP GÖZ ADEDİ]]," ")</f>
        <v>1.04375</v>
      </c>
      <c r="T31" s="100">
        <f t="shared" si="2"/>
        <v>1.9000000000000021</v>
      </c>
      <c r="U31" s="100">
        <v>11</v>
      </c>
      <c r="V31" s="100">
        <f t="shared" si="1"/>
        <v>41.243699999999997</v>
      </c>
      <c r="W31" s="101">
        <f t="shared" si="3"/>
        <v>24.5</v>
      </c>
      <c r="X31" s="102">
        <f t="shared" si="4"/>
        <v>12</v>
      </c>
      <c r="Y31" s="100">
        <f t="shared" si="5"/>
        <v>10.061111111111112</v>
      </c>
      <c r="Z31" s="100">
        <f t="shared" si="6"/>
        <v>28976</v>
      </c>
    </row>
    <row r="32" spans="1:26">
      <c r="A32" s="100" t="s">
        <v>63</v>
      </c>
      <c r="B32" s="108" t="str">
        <f>IFERROR(VLOOKUP(Tablo517[[#This Row],[ÜRÜN KODU]],YMKODLARI!$A$1:$K$363,2,0)," ")</f>
        <v>DAMAK EMZİK SAP</v>
      </c>
      <c r="C32" s="99">
        <v>43916</v>
      </c>
      <c r="D32" s="100" t="s">
        <v>45</v>
      </c>
      <c r="E32" s="101">
        <v>0.33333333333333331</v>
      </c>
      <c r="F32" s="101">
        <v>0.83333333333333337</v>
      </c>
      <c r="G32" s="100">
        <f>IFERROR(VLOOKUP(Tablo517[[#This Row],[ÜRÜN KODU]],YMKODLARI!$A$1:$K$363,3,0)," ")</f>
        <v>16</v>
      </c>
      <c r="H32" s="100">
        <f>IFERROR(VLOOKUP(Tablo517[[#This Row],[ÜRÜN KODU]],YMKODLARI!$A$1:$K$363,4,0)," ")</f>
        <v>20</v>
      </c>
      <c r="I32" s="100">
        <v>2120</v>
      </c>
      <c r="J32" s="100" t="str">
        <f>IFERROR(VLOOKUP(Tablo517[[#This Row],[ÜRÜN KODU]],YMKODLARI!$A$1:$K$363,9,0)," ")</f>
        <v>Şeffaf</v>
      </c>
      <c r="K32" s="100" t="str">
        <f>IFERROR(VLOOKUP(Tablo517[[#This Row],[BOYA KODU]],Tablo14[#All],4,0)," ")</f>
        <v xml:space="preserve"> </v>
      </c>
      <c r="L32" s="100" t="str">
        <f>IFERROR(VLOOKUP(Tablo517[[#This Row],[BOYA KODU]],Tablo14[#All],6,0)," ")</f>
        <v xml:space="preserve"> </v>
      </c>
      <c r="M32" s="100" t="str">
        <f t="shared" si="0"/>
        <v xml:space="preserve"> </v>
      </c>
      <c r="N32" s="100" t="str">
        <f>IFERROR(VLOOKUP(Tablo517[[#This Row],[ÜRÜN KODU]],YMKODLARI!$A$1:$K$363,8,0)," ")</f>
        <v>HM 002</v>
      </c>
      <c r="O32" s="100" t="str">
        <f>IFERROR(VLOOKUP(Tablo517[[#This Row],[HAMMADDE KODU]],Tablo1[#All],3,0)," ")</f>
        <v>NOVAREX</v>
      </c>
      <c r="P32" s="100" t="str">
        <f>IFERROR(VLOOKUP(Tablo517[[#This Row],[HAMMADDE KODU]],Tablo1[#All],4,0)," ")</f>
        <v>PİNHAS</v>
      </c>
      <c r="Q32" s="100">
        <f>IFERROR(VLOOKUP(Tablo517[[#This Row],[ÜRÜN KODU]],YMKODLARI!$A$1:$K$363,5,0)," ")</f>
        <v>18.600000000000001</v>
      </c>
      <c r="R32" s="100">
        <f>IFERROR(VLOOKUP(Tablo517[[#This Row],[ÜRÜN KODU]],YMKODLARI!$A$1:$K$363,6,0)," ")</f>
        <v>16.7</v>
      </c>
      <c r="S32" s="100">
        <f>IFERROR(Tablo517[[#This Row],[YOLLUK HARİÇ BASKI GRAMI]]/Tablo517[[#This Row],[KALIP GÖZ ADEDİ]]," ")</f>
        <v>1.04375</v>
      </c>
      <c r="T32" s="100">
        <f t="shared" si="2"/>
        <v>1.9000000000000021</v>
      </c>
      <c r="U32" s="100"/>
      <c r="V32" s="100">
        <f t="shared" si="1"/>
        <v>35.404000000000003</v>
      </c>
      <c r="W32" s="101">
        <f t="shared" si="3"/>
        <v>24.5</v>
      </c>
      <c r="X32" s="102">
        <f t="shared" si="4"/>
        <v>12</v>
      </c>
      <c r="Y32" s="100">
        <f t="shared" si="5"/>
        <v>11.777777777777779</v>
      </c>
      <c r="Z32" s="100">
        <f t="shared" si="6"/>
        <v>33920</v>
      </c>
    </row>
    <row r="33" spans="1:26">
      <c r="A33" s="100" t="s">
        <v>63</v>
      </c>
      <c r="B33" s="108" t="str">
        <f>IFERROR(VLOOKUP(Tablo517[[#This Row],[ÜRÜN KODU]],YMKODLARI!$A$1:$K$363,2,0)," ")</f>
        <v>DAMAK EMZİK SAP</v>
      </c>
      <c r="C33" s="99">
        <v>43917</v>
      </c>
      <c r="D33" s="100" t="s">
        <v>45</v>
      </c>
      <c r="E33" s="101">
        <v>0.33333333333333331</v>
      </c>
      <c r="F33" s="101">
        <v>0.8125</v>
      </c>
      <c r="G33" s="100">
        <f>IFERROR(VLOOKUP(Tablo517[[#This Row],[ÜRÜN KODU]],YMKODLARI!$A$1:$K$363,3,0)," ")</f>
        <v>16</v>
      </c>
      <c r="H33" s="100">
        <f>IFERROR(VLOOKUP(Tablo517[[#This Row],[ÜRÜN KODU]],YMKODLARI!$A$1:$K$363,4,0)," ")</f>
        <v>20</v>
      </c>
      <c r="I33" s="100">
        <v>2040</v>
      </c>
      <c r="J33" s="100" t="str">
        <f>IFERROR(VLOOKUP(Tablo517[[#This Row],[ÜRÜN KODU]],YMKODLARI!$A$1:$K$363,9,0)," ")</f>
        <v>Şeffaf</v>
      </c>
      <c r="K33" s="100" t="str">
        <f>IFERROR(VLOOKUP(Tablo517[[#This Row],[BOYA KODU]],Tablo14[#All],4,0)," ")</f>
        <v xml:space="preserve"> </v>
      </c>
      <c r="L33" s="100" t="str">
        <f>IFERROR(VLOOKUP(Tablo517[[#This Row],[BOYA KODU]],Tablo14[#All],6,0)," ")</f>
        <v xml:space="preserve"> </v>
      </c>
      <c r="M33" s="100" t="str">
        <f t="shared" si="0"/>
        <v xml:space="preserve"> </v>
      </c>
      <c r="N33" s="100" t="str">
        <f>IFERROR(VLOOKUP(Tablo517[[#This Row],[ÜRÜN KODU]],YMKODLARI!$A$1:$K$363,8,0)," ")</f>
        <v>HM 002</v>
      </c>
      <c r="O33" s="100" t="str">
        <f>IFERROR(VLOOKUP(Tablo517[[#This Row],[HAMMADDE KODU]],Tablo1[#All],3,0)," ")</f>
        <v>NOVAREX</v>
      </c>
      <c r="P33" s="100" t="str">
        <f>IFERROR(VLOOKUP(Tablo517[[#This Row],[HAMMADDE KODU]],Tablo1[#All],4,0)," ")</f>
        <v>PİNHAS</v>
      </c>
      <c r="Q33" s="100">
        <f>IFERROR(VLOOKUP(Tablo517[[#This Row],[ÜRÜN KODU]],YMKODLARI!$A$1:$K$363,5,0)," ")</f>
        <v>18.600000000000001</v>
      </c>
      <c r="R33" s="100">
        <f>IFERROR(VLOOKUP(Tablo517[[#This Row],[ÜRÜN KODU]],YMKODLARI!$A$1:$K$363,6,0)," ")</f>
        <v>16.7</v>
      </c>
      <c r="S33" s="100">
        <f>IFERROR(Tablo517[[#This Row],[YOLLUK HARİÇ BASKI GRAMI]]/Tablo517[[#This Row],[KALIP GÖZ ADEDİ]]," ")</f>
        <v>1.04375</v>
      </c>
      <c r="T33" s="100">
        <f t="shared" si="2"/>
        <v>1.9000000000000021</v>
      </c>
      <c r="U33" s="100">
        <v>7.8</v>
      </c>
      <c r="V33" s="100">
        <f t="shared" si="1"/>
        <v>41.867999999999995</v>
      </c>
      <c r="W33" s="101">
        <f t="shared" si="3"/>
        <v>24.479166666666668</v>
      </c>
      <c r="X33" s="102">
        <f t="shared" si="4"/>
        <v>11.500000000000028</v>
      </c>
      <c r="Y33" s="100">
        <f t="shared" si="5"/>
        <v>11.333333333333334</v>
      </c>
      <c r="Z33" s="100">
        <f t="shared" si="6"/>
        <v>32640</v>
      </c>
    </row>
    <row r="34" spans="1:26">
      <c r="A34" s="100" t="s">
        <v>63</v>
      </c>
      <c r="B34" s="108" t="str">
        <f>IFERROR(VLOOKUP(Tablo517[[#This Row],[ÜRÜN KODU]],YMKODLARI!$A$1:$K$363,2,0)," ")</f>
        <v>DAMAK EMZİK SAP</v>
      </c>
      <c r="C34" s="99">
        <v>43920</v>
      </c>
      <c r="D34" s="100" t="s">
        <v>45</v>
      </c>
      <c r="E34" s="101">
        <v>0.41666666666666669</v>
      </c>
      <c r="F34" s="101">
        <v>0.60416666666666663</v>
      </c>
      <c r="G34" s="100">
        <f>IFERROR(VLOOKUP(Tablo517[[#This Row],[ÜRÜN KODU]],YMKODLARI!$A$1:$K$363,3,0)," ")</f>
        <v>16</v>
      </c>
      <c r="H34" s="100">
        <f>IFERROR(VLOOKUP(Tablo517[[#This Row],[ÜRÜN KODU]],YMKODLARI!$A$1:$K$363,4,0)," ")</f>
        <v>20</v>
      </c>
      <c r="I34" s="100">
        <v>799</v>
      </c>
      <c r="J34" s="100" t="str">
        <f>IFERROR(VLOOKUP(Tablo517[[#This Row],[ÜRÜN KODU]],YMKODLARI!$A$1:$K$363,9,0)," ")</f>
        <v>Şeffaf</v>
      </c>
      <c r="K34" s="100" t="str">
        <f>IFERROR(VLOOKUP(Tablo517[[#This Row],[BOYA KODU]],Tablo14[#All],4,0)," ")</f>
        <v xml:space="preserve"> </v>
      </c>
      <c r="L34" s="100" t="str">
        <f>IFERROR(VLOOKUP(Tablo517[[#This Row],[BOYA KODU]],Tablo14[#All],6,0)," ")</f>
        <v xml:space="preserve"> </v>
      </c>
      <c r="M34" s="100" t="str">
        <f t="shared" si="0"/>
        <v xml:space="preserve"> </v>
      </c>
      <c r="N34" s="100" t="str">
        <f>IFERROR(VLOOKUP(Tablo517[[#This Row],[ÜRÜN KODU]],YMKODLARI!$A$1:$K$363,8,0)," ")</f>
        <v>HM 002</v>
      </c>
      <c r="O34" s="100" t="str">
        <f>IFERROR(VLOOKUP(Tablo517[[#This Row],[HAMMADDE KODU]],Tablo1[#All],3,0)," ")</f>
        <v>NOVAREX</v>
      </c>
      <c r="P34" s="100" t="str">
        <f>IFERROR(VLOOKUP(Tablo517[[#This Row],[HAMMADDE KODU]],Tablo1[#All],4,0)," ")</f>
        <v>PİNHAS</v>
      </c>
      <c r="Q34" s="100">
        <f>IFERROR(VLOOKUP(Tablo517[[#This Row],[ÜRÜN KODU]],YMKODLARI!$A$1:$K$363,5,0)," ")</f>
        <v>18.600000000000001</v>
      </c>
      <c r="R34" s="100">
        <f>IFERROR(VLOOKUP(Tablo517[[#This Row],[ÜRÜN KODU]],YMKODLARI!$A$1:$K$363,6,0)," ")</f>
        <v>16.7</v>
      </c>
      <c r="S34" s="100">
        <f>IFERROR(Tablo517[[#This Row],[YOLLUK HARİÇ BASKI GRAMI]]/Tablo517[[#This Row],[KALIP GÖZ ADEDİ]]," ")</f>
        <v>1.04375</v>
      </c>
      <c r="T34" s="100">
        <f t="shared" si="2"/>
        <v>1.9000000000000021</v>
      </c>
      <c r="U34" s="100">
        <v>3.5</v>
      </c>
      <c r="V34" s="100">
        <f t="shared" si="1"/>
        <v>16.843299999999999</v>
      </c>
      <c r="W34" s="101">
        <f t="shared" si="3"/>
        <v>24.1875</v>
      </c>
      <c r="X34" s="102">
        <f t="shared" si="4"/>
        <v>4.5</v>
      </c>
      <c r="Y34" s="100">
        <f t="shared" si="5"/>
        <v>4.4388888888888891</v>
      </c>
      <c r="Z34" s="100">
        <f t="shared" si="6"/>
        <v>12784</v>
      </c>
    </row>
    <row r="35" spans="1:26">
      <c r="A35" s="100" t="s">
        <v>64</v>
      </c>
      <c r="B35" s="108" t="str">
        <f>IFERROR(VLOOKUP(Tablo517[[#This Row],[ÜRÜN KODU]],YMKODLARI!$A$1:$K$363,2,0)," ")</f>
        <v>DAMAK EMZİK SAP</v>
      </c>
      <c r="C35" s="99">
        <v>43923</v>
      </c>
      <c r="D35" s="100" t="s">
        <v>65</v>
      </c>
      <c r="E35" s="101">
        <v>0.81944444444444453</v>
      </c>
      <c r="F35" s="101">
        <v>0.29166666666666669</v>
      </c>
      <c r="G35" s="100">
        <f>IFERROR(VLOOKUP(Tablo517[[#This Row],[ÜRÜN KODU]],YMKODLARI!$A$1:$K$363,3,0)," ")</f>
        <v>16</v>
      </c>
      <c r="H35" s="100">
        <f>IFERROR(VLOOKUP(Tablo517[[#This Row],[ÜRÜN KODU]],YMKODLARI!$A$1:$K$363,4,0)," ")</f>
        <v>20</v>
      </c>
      <c r="I35" s="100">
        <v>1915</v>
      </c>
      <c r="J35" s="100" t="str">
        <f>IFERROR(VLOOKUP(Tablo517[[#This Row],[ÜRÜN KODU]],YMKODLARI!$A$1:$K$363,9,0)," ")</f>
        <v>5139C</v>
      </c>
      <c r="K35" s="100" t="str">
        <f>IFERROR(VLOOKUP(Tablo517[[#This Row],[BOYA KODU]],Tablo14[#All],4,0)," ")</f>
        <v>T.MAVİ</v>
      </c>
      <c r="L35" s="100">
        <f>IFERROR(VLOOKUP(Tablo517[[#This Row],[BOYA KODU]],Tablo14[#All],6,0)," ")</f>
        <v>1E-3</v>
      </c>
      <c r="M35" s="100">
        <f t="shared" si="0"/>
        <v>35.619</v>
      </c>
      <c r="N35" s="100" t="str">
        <f>IFERROR(VLOOKUP(Tablo517[[#This Row],[ÜRÜN KODU]],YMKODLARI!$A$1:$K$363,8,0)," ")</f>
        <v>HM 002</v>
      </c>
      <c r="O35" s="100" t="str">
        <f>IFERROR(VLOOKUP(Tablo517[[#This Row],[HAMMADDE KODU]],Tablo1[#All],3,0)," ")</f>
        <v>NOVAREX</v>
      </c>
      <c r="P35" s="100" t="str">
        <f>IFERROR(VLOOKUP(Tablo517[[#This Row],[HAMMADDE KODU]],Tablo1[#All],4,0)," ")</f>
        <v>PİNHAS</v>
      </c>
      <c r="Q35" s="100">
        <f>IFERROR(VLOOKUP(Tablo517[[#This Row],[ÜRÜN KODU]],YMKODLARI!$A$1:$K$363,5,0)," ")</f>
        <v>18.600000000000001</v>
      </c>
      <c r="R35" s="100">
        <f>IFERROR(VLOOKUP(Tablo517[[#This Row],[ÜRÜN KODU]],YMKODLARI!$A$1:$K$363,6,0)," ")</f>
        <v>16.7</v>
      </c>
      <c r="S35" s="100">
        <f>IFERROR(Tablo517[[#This Row],[YOLLUK HARİÇ BASKI GRAMI]]/Tablo517[[#This Row],[KALIP GÖZ ADEDİ]]," ")</f>
        <v>1.04375</v>
      </c>
      <c r="T35" s="100">
        <f t="shared" si="2"/>
        <v>1.9000000000000021</v>
      </c>
      <c r="U35" s="100">
        <v>7.5</v>
      </c>
      <c r="V35" s="100">
        <f t="shared" si="1"/>
        <v>39.480499999999999</v>
      </c>
      <c r="W35" s="101">
        <f t="shared" si="3"/>
        <v>23.472222222222221</v>
      </c>
      <c r="X35" s="102">
        <f t="shared" si="4"/>
        <v>11.333333333333314</v>
      </c>
      <c r="Y35" s="100">
        <f t="shared" si="5"/>
        <v>10.638888888888889</v>
      </c>
      <c r="Z35" s="100">
        <f t="shared" si="6"/>
        <v>30640</v>
      </c>
    </row>
    <row r="36" spans="1:26">
      <c r="A36" s="100" t="s">
        <v>64</v>
      </c>
      <c r="B36" s="108" t="str">
        <f>IFERROR(VLOOKUP(Tablo517[[#This Row],[ÜRÜN KODU]],YMKODLARI!$A$1:$K$363,2,0)," ")</f>
        <v>DAMAK EMZİK SAP</v>
      </c>
      <c r="C36" s="99">
        <v>43927</v>
      </c>
      <c r="D36" s="100" t="s">
        <v>37</v>
      </c>
      <c r="E36" s="101">
        <v>0.4201388888888889</v>
      </c>
      <c r="F36" s="101">
        <v>0.83333333333333337</v>
      </c>
      <c r="G36" s="100">
        <f>IFERROR(VLOOKUP(Tablo517[[#This Row],[ÜRÜN KODU]],YMKODLARI!$A$1:$K$363,3,0)," ")</f>
        <v>16</v>
      </c>
      <c r="H36" s="100">
        <f>IFERROR(VLOOKUP(Tablo517[[#This Row],[ÜRÜN KODU]],YMKODLARI!$A$1:$K$363,4,0)," ")</f>
        <v>20</v>
      </c>
      <c r="I36" s="100">
        <v>1754</v>
      </c>
      <c r="J36" s="100" t="str">
        <f>IFERROR(VLOOKUP(Tablo517[[#This Row],[ÜRÜN KODU]],YMKODLARI!$A$1:$K$363,9,0)," ")</f>
        <v>5139C</v>
      </c>
      <c r="K36" s="100" t="str">
        <f>IFERROR(VLOOKUP(Tablo517[[#This Row],[BOYA KODU]],Tablo14[#All],4,0)," ")</f>
        <v>T.MAVİ</v>
      </c>
      <c r="L36" s="100">
        <f>IFERROR(VLOOKUP(Tablo517[[#This Row],[BOYA KODU]],Tablo14[#All],6,0)," ")</f>
        <v>1E-3</v>
      </c>
      <c r="M36" s="100">
        <f t="shared" si="0"/>
        <v>32.624400000000001</v>
      </c>
      <c r="N36" s="100" t="str">
        <f>IFERROR(VLOOKUP(Tablo517[[#This Row],[ÜRÜN KODU]],YMKODLARI!$A$1:$K$363,8,0)," ")</f>
        <v>HM 002</v>
      </c>
      <c r="O36" s="100" t="str">
        <f>IFERROR(VLOOKUP(Tablo517[[#This Row],[HAMMADDE KODU]],Tablo1[#All],3,0)," ")</f>
        <v>NOVAREX</v>
      </c>
      <c r="P36" s="100" t="str">
        <f>IFERROR(VLOOKUP(Tablo517[[#This Row],[HAMMADDE KODU]],Tablo1[#All],4,0)," ")</f>
        <v>PİNHAS</v>
      </c>
      <c r="Q36" s="100">
        <f>IFERROR(VLOOKUP(Tablo517[[#This Row],[ÜRÜN KODU]],YMKODLARI!$A$1:$K$363,5,0)," ")</f>
        <v>18.600000000000001</v>
      </c>
      <c r="R36" s="100">
        <f>IFERROR(VLOOKUP(Tablo517[[#This Row],[ÜRÜN KODU]],YMKODLARI!$A$1:$K$363,6,0)," ")</f>
        <v>16.7</v>
      </c>
      <c r="S36" s="100">
        <f>IFERROR(Tablo517[[#This Row],[YOLLUK HARİÇ BASKI GRAMI]]/Tablo517[[#This Row],[KALIP GÖZ ADEDİ]]," ")</f>
        <v>1.04375</v>
      </c>
      <c r="T36" s="100">
        <f t="shared" si="2"/>
        <v>1.9000000000000021</v>
      </c>
      <c r="U36" s="100">
        <v>4.7</v>
      </c>
      <c r="V36" s="100">
        <f t="shared" si="1"/>
        <v>33.991799999999998</v>
      </c>
      <c r="W36" s="101">
        <f t="shared" si="3"/>
        <v>24.413194444444443</v>
      </c>
      <c r="X36" s="102">
        <f t="shared" si="4"/>
        <v>9.9166666666666288</v>
      </c>
      <c r="Y36" s="100">
        <f t="shared" si="5"/>
        <v>9.7444444444444436</v>
      </c>
      <c r="Z36" s="100">
        <f t="shared" si="6"/>
        <v>28064</v>
      </c>
    </row>
    <row r="37" spans="1:26">
      <c r="A37" s="100" t="s">
        <v>64</v>
      </c>
      <c r="B37" s="108" t="str">
        <f>IFERROR(VLOOKUP(Tablo517[[#This Row],[ÜRÜN KODU]],YMKODLARI!$A$1:$K$363,2,0)," ")</f>
        <v>DAMAK EMZİK SAP</v>
      </c>
      <c r="C37" s="99">
        <v>43928</v>
      </c>
      <c r="D37" s="100" t="s">
        <v>37</v>
      </c>
      <c r="E37" s="101">
        <v>0.33333333333333331</v>
      </c>
      <c r="F37" s="101">
        <v>0.66666666666666663</v>
      </c>
      <c r="G37" s="100">
        <f>IFERROR(VLOOKUP(Tablo517[[#This Row],[ÜRÜN KODU]],YMKODLARI!$A$1:$K$363,3,0)," ")</f>
        <v>16</v>
      </c>
      <c r="H37" s="100">
        <f>IFERROR(VLOOKUP(Tablo517[[#This Row],[ÜRÜN KODU]],YMKODLARI!$A$1:$K$363,4,0)," ")</f>
        <v>20</v>
      </c>
      <c r="I37" s="100">
        <v>1220</v>
      </c>
      <c r="J37" s="100" t="str">
        <f>IFERROR(VLOOKUP(Tablo517[[#This Row],[ÜRÜN KODU]],YMKODLARI!$A$1:$K$363,9,0)," ")</f>
        <v>5139C</v>
      </c>
      <c r="K37" s="100" t="str">
        <f>IFERROR(VLOOKUP(Tablo517[[#This Row],[BOYA KODU]],Tablo14[#All],4,0)," ")</f>
        <v>T.MAVİ</v>
      </c>
      <c r="L37" s="100">
        <f>IFERROR(VLOOKUP(Tablo517[[#This Row],[BOYA KODU]],Tablo14[#All],6,0)," ")</f>
        <v>1E-3</v>
      </c>
      <c r="M37" s="100">
        <f t="shared" si="0"/>
        <v>22.692</v>
      </c>
      <c r="N37" s="100" t="str">
        <f>IFERROR(VLOOKUP(Tablo517[[#This Row],[ÜRÜN KODU]],YMKODLARI!$A$1:$K$363,8,0)," ")</f>
        <v>HM 002</v>
      </c>
      <c r="O37" s="100" t="str">
        <f>IFERROR(VLOOKUP(Tablo517[[#This Row],[HAMMADDE KODU]],Tablo1[#All],3,0)," ")</f>
        <v>NOVAREX</v>
      </c>
      <c r="P37" s="100" t="str">
        <f>IFERROR(VLOOKUP(Tablo517[[#This Row],[HAMMADDE KODU]],Tablo1[#All],4,0)," ")</f>
        <v>PİNHAS</v>
      </c>
      <c r="Q37" s="100">
        <f>IFERROR(VLOOKUP(Tablo517[[#This Row],[ÜRÜN KODU]],YMKODLARI!$A$1:$K$363,5,0)," ")</f>
        <v>18.600000000000001</v>
      </c>
      <c r="R37" s="100">
        <f>IFERROR(VLOOKUP(Tablo517[[#This Row],[ÜRÜN KODU]],YMKODLARI!$A$1:$K$363,6,0)," ")</f>
        <v>16.7</v>
      </c>
      <c r="S37" s="100">
        <f>IFERROR(Tablo517[[#This Row],[YOLLUK HARİÇ BASKI GRAMI]]/Tablo517[[#This Row],[KALIP GÖZ ADEDİ]]," ")</f>
        <v>1.04375</v>
      </c>
      <c r="T37" s="100">
        <f t="shared" si="2"/>
        <v>1.9000000000000021</v>
      </c>
      <c r="U37" s="100">
        <v>4.5199999999999996</v>
      </c>
      <c r="V37" s="100">
        <f t="shared" si="1"/>
        <v>24.893999999999998</v>
      </c>
      <c r="W37" s="101">
        <f t="shared" si="3"/>
        <v>24.333333333333332</v>
      </c>
      <c r="X37" s="102">
        <f t="shared" si="4"/>
        <v>7.9999999999999716</v>
      </c>
      <c r="Y37" s="100">
        <f t="shared" si="5"/>
        <v>6.7777777777777777</v>
      </c>
      <c r="Z37" s="100">
        <f t="shared" si="6"/>
        <v>19520</v>
      </c>
    </row>
    <row r="38" spans="1:26">
      <c r="A38" s="100" t="s">
        <v>66</v>
      </c>
      <c r="B38" s="108" t="str">
        <f>IFERROR(VLOOKUP(Tablo517[[#This Row],[ÜRÜN KODU]],YMKODLARI!$A$1:$K$363,2,0)," ")</f>
        <v>DAMAK EMZİK SAP</v>
      </c>
      <c r="C38" s="99">
        <v>43928</v>
      </c>
      <c r="D38" s="100" t="s">
        <v>37</v>
      </c>
      <c r="E38" s="101">
        <v>0.6875</v>
      </c>
      <c r="F38" s="101">
        <v>0.83333333333333337</v>
      </c>
      <c r="G38" s="100">
        <f>IFERROR(VLOOKUP(Tablo517[[#This Row],[ÜRÜN KODU]],YMKODLARI!$A$1:$K$363,3,0)," ")</f>
        <v>16</v>
      </c>
      <c r="H38" s="100">
        <f>IFERROR(VLOOKUP(Tablo517[[#This Row],[ÜRÜN KODU]],YMKODLARI!$A$1:$K$363,4,0)," ")</f>
        <v>20</v>
      </c>
      <c r="I38" s="100">
        <v>528</v>
      </c>
      <c r="J38" s="100">
        <f>IFERROR(VLOOKUP(Tablo517[[#This Row],[ÜRÜN KODU]],YMKODLARI!$A$1:$K$363,9,0)," ")</f>
        <v>3014</v>
      </c>
      <c r="K38" s="100" t="str">
        <f>IFERROR(VLOOKUP(Tablo517[[#This Row],[BOYA KODU]],Tablo14[#All],4,0)," ")</f>
        <v>T.KIRMIZI</v>
      </c>
      <c r="L38" s="100">
        <f>IFERROR(VLOOKUP(Tablo517[[#This Row],[BOYA KODU]],Tablo14[#All],6,0)," ")</f>
        <v>2E-3</v>
      </c>
      <c r="M38" s="100">
        <f t="shared" si="0"/>
        <v>19.641600000000004</v>
      </c>
      <c r="N38" s="100" t="str">
        <f>IFERROR(VLOOKUP(Tablo517[[#This Row],[ÜRÜN KODU]],YMKODLARI!$A$1:$K$363,8,0)," ")</f>
        <v>HM 002</v>
      </c>
      <c r="O38" s="100" t="str">
        <f>IFERROR(VLOOKUP(Tablo517[[#This Row],[HAMMADDE KODU]],Tablo1[#All],3,0)," ")</f>
        <v>NOVAREX</v>
      </c>
      <c r="P38" s="100" t="str">
        <f>IFERROR(VLOOKUP(Tablo517[[#This Row],[HAMMADDE KODU]],Tablo1[#All],4,0)," ")</f>
        <v>PİNHAS</v>
      </c>
      <c r="Q38" s="100">
        <f>IFERROR(VLOOKUP(Tablo517[[#This Row],[ÜRÜN KODU]],YMKODLARI!$A$1:$K$363,5,0)," ")</f>
        <v>18.600000000000001</v>
      </c>
      <c r="R38" s="100">
        <f>IFERROR(VLOOKUP(Tablo517[[#This Row],[ÜRÜN KODU]],YMKODLARI!$A$1:$K$363,6,0)," ")</f>
        <v>16.7</v>
      </c>
      <c r="S38" s="100">
        <f>IFERROR(Tablo517[[#This Row],[YOLLUK HARİÇ BASKI GRAMI]]/Tablo517[[#This Row],[KALIP GÖZ ADEDİ]]," ")</f>
        <v>1.04375</v>
      </c>
      <c r="T38" s="100">
        <f t="shared" si="2"/>
        <v>1.9000000000000021</v>
      </c>
      <c r="U38" s="100">
        <v>5</v>
      </c>
      <c r="V38" s="100">
        <f t="shared" si="1"/>
        <v>13.817600000000001</v>
      </c>
      <c r="W38" s="101">
        <f t="shared" si="3"/>
        <v>24.145833333333332</v>
      </c>
      <c r="X38" s="102">
        <f t="shared" si="4"/>
        <v>3.4999999999999716</v>
      </c>
      <c r="Y38" s="100">
        <f t="shared" si="5"/>
        <v>2.9333333333333331</v>
      </c>
      <c r="Z38" s="100">
        <f t="shared" si="6"/>
        <v>8448</v>
      </c>
    </row>
    <row r="39" spans="1:26">
      <c r="A39" s="100" t="s">
        <v>66</v>
      </c>
      <c r="B39" s="108" t="str">
        <f>IFERROR(VLOOKUP(Tablo517[[#This Row],[ÜRÜN KODU]],YMKODLARI!$A$1:$K$363,2,0)," ")</f>
        <v>DAMAK EMZİK SAP</v>
      </c>
      <c r="C39" s="99">
        <v>43929</v>
      </c>
      <c r="D39" s="100" t="s">
        <v>37</v>
      </c>
      <c r="E39" s="101">
        <v>0.33333333333333331</v>
      </c>
      <c r="F39" s="101">
        <v>0.64583333333333337</v>
      </c>
      <c r="G39" s="100">
        <f>IFERROR(VLOOKUP(Tablo517[[#This Row],[ÜRÜN KODU]],YMKODLARI!$A$1:$K$363,3,0)," ")</f>
        <v>16</v>
      </c>
      <c r="H39" s="100">
        <f>IFERROR(VLOOKUP(Tablo517[[#This Row],[ÜRÜN KODU]],YMKODLARI!$A$1:$K$363,4,0)," ")</f>
        <v>20</v>
      </c>
      <c r="I39" s="100">
        <v>1236</v>
      </c>
      <c r="J39" s="100">
        <f>IFERROR(VLOOKUP(Tablo517[[#This Row],[ÜRÜN KODU]],YMKODLARI!$A$1:$K$363,9,0)," ")</f>
        <v>3014</v>
      </c>
      <c r="K39" s="100" t="str">
        <f>IFERROR(VLOOKUP(Tablo517[[#This Row],[BOYA KODU]],Tablo14[#All],4,0)," ")</f>
        <v>T.KIRMIZI</v>
      </c>
      <c r="L39" s="100">
        <f>IFERROR(VLOOKUP(Tablo517[[#This Row],[BOYA KODU]],Tablo14[#All],6,0)," ")</f>
        <v>2E-3</v>
      </c>
      <c r="M39" s="100">
        <f t="shared" si="0"/>
        <v>45.979200000000006</v>
      </c>
      <c r="N39" s="100" t="str">
        <f>IFERROR(VLOOKUP(Tablo517[[#This Row],[ÜRÜN KODU]],YMKODLARI!$A$1:$K$363,8,0)," ")</f>
        <v>HM 002</v>
      </c>
      <c r="O39" s="100" t="str">
        <f>IFERROR(VLOOKUP(Tablo517[[#This Row],[HAMMADDE KODU]],Tablo1[#All],3,0)," ")</f>
        <v>NOVAREX</v>
      </c>
      <c r="P39" s="100" t="str">
        <f>IFERROR(VLOOKUP(Tablo517[[#This Row],[HAMMADDE KODU]],Tablo1[#All],4,0)," ")</f>
        <v>PİNHAS</v>
      </c>
      <c r="Q39" s="100">
        <f>IFERROR(VLOOKUP(Tablo517[[#This Row],[ÜRÜN KODU]],YMKODLARI!$A$1:$K$363,5,0)," ")</f>
        <v>18.600000000000001</v>
      </c>
      <c r="R39" s="100">
        <f>IFERROR(VLOOKUP(Tablo517[[#This Row],[ÜRÜN KODU]],YMKODLARI!$A$1:$K$363,6,0)," ")</f>
        <v>16.7</v>
      </c>
      <c r="S39" s="100">
        <f>IFERROR(Tablo517[[#This Row],[YOLLUK HARİÇ BASKI GRAMI]]/Tablo517[[#This Row],[KALIP GÖZ ADEDİ]]," ")</f>
        <v>1.04375</v>
      </c>
      <c r="T39" s="100">
        <f t="shared" si="2"/>
        <v>1.9000000000000021</v>
      </c>
      <c r="U39" s="100">
        <v>6.1</v>
      </c>
      <c r="V39" s="100">
        <f t="shared" si="1"/>
        <v>26.741199999999999</v>
      </c>
      <c r="W39" s="101">
        <f t="shared" si="3"/>
        <v>24.3125</v>
      </c>
      <c r="X39" s="102">
        <f t="shared" si="4"/>
        <v>7.5</v>
      </c>
      <c r="Y39" s="100">
        <f t="shared" si="5"/>
        <v>6.8666666666666663</v>
      </c>
      <c r="Z39" s="100">
        <f t="shared" si="6"/>
        <v>19776</v>
      </c>
    </row>
    <row r="40" spans="1:26">
      <c r="A40" s="100" t="s">
        <v>67</v>
      </c>
      <c r="B40" s="108" t="str">
        <f>IFERROR(VLOOKUP(Tablo517[[#This Row],[ÜRÜN KODU]],YMKODLARI!$A$1:$K$363,2,0)," ")</f>
        <v>DAMAK EMZİK SAP</v>
      </c>
      <c r="C40" s="99">
        <v>43929</v>
      </c>
      <c r="D40" s="100" t="s">
        <v>37</v>
      </c>
      <c r="E40" s="101">
        <v>0.68055555555555547</v>
      </c>
      <c r="F40" s="101">
        <v>0.83333333333333337</v>
      </c>
      <c r="G40" s="100">
        <f>IFERROR(VLOOKUP(Tablo517[[#This Row],[ÜRÜN KODU]],YMKODLARI!$A$1:$K$363,3,0)," ")</f>
        <v>16</v>
      </c>
      <c r="H40" s="100">
        <f>IFERROR(VLOOKUP(Tablo517[[#This Row],[ÜRÜN KODU]],YMKODLARI!$A$1:$K$363,4,0)," ")</f>
        <v>20</v>
      </c>
      <c r="I40" s="100">
        <v>636</v>
      </c>
      <c r="J40" s="100" t="str">
        <f>IFERROR(VLOOKUP(Tablo517[[#This Row],[ÜRÜN KODU]],YMKODLARI!$A$1:$K$363,9,0)," ")</f>
        <v>708VI0502G</v>
      </c>
      <c r="K40" s="100" t="str">
        <f>IFERROR(VLOOKUP(Tablo517[[#This Row],[BOYA KODU]],Tablo14[#All],4,0)," ")</f>
        <v>T.VİOLET</v>
      </c>
      <c r="L40" s="100">
        <f>IFERROR(VLOOKUP(Tablo517[[#This Row],[BOYA KODU]],Tablo14[#All],6,0)," ")</f>
        <v>2E-3</v>
      </c>
      <c r="M40" s="100">
        <f t="shared" si="0"/>
        <v>23.659200000000002</v>
      </c>
      <c r="N40" s="100" t="str">
        <f>IFERROR(VLOOKUP(Tablo517[[#This Row],[ÜRÜN KODU]],YMKODLARI!$A$1:$K$363,8,0)," ")</f>
        <v>HM 002</v>
      </c>
      <c r="O40" s="100" t="str">
        <f>IFERROR(VLOOKUP(Tablo517[[#This Row],[HAMMADDE KODU]],Tablo1[#All],3,0)," ")</f>
        <v>NOVAREX</v>
      </c>
      <c r="P40" s="100" t="str">
        <f>IFERROR(VLOOKUP(Tablo517[[#This Row],[HAMMADDE KODU]],Tablo1[#All],4,0)," ")</f>
        <v>PİNHAS</v>
      </c>
      <c r="Q40" s="100">
        <f>IFERROR(VLOOKUP(Tablo517[[#This Row],[ÜRÜN KODU]],YMKODLARI!$A$1:$K$363,5,0)," ")</f>
        <v>18.600000000000001</v>
      </c>
      <c r="R40" s="100">
        <f>IFERROR(VLOOKUP(Tablo517[[#This Row],[ÜRÜN KODU]],YMKODLARI!$A$1:$K$363,6,0)," ")</f>
        <v>16.7</v>
      </c>
      <c r="S40" s="100">
        <f>IFERROR(Tablo517[[#This Row],[YOLLUK HARİÇ BASKI GRAMI]]/Tablo517[[#This Row],[KALIP GÖZ ADEDİ]]," ")</f>
        <v>1.04375</v>
      </c>
      <c r="T40" s="100">
        <f t="shared" si="2"/>
        <v>1.9000000000000021</v>
      </c>
      <c r="U40" s="100">
        <v>2.2999999999999998</v>
      </c>
      <c r="V40" s="100">
        <f t="shared" si="1"/>
        <v>12.921199999999999</v>
      </c>
      <c r="W40" s="101">
        <f t="shared" si="3"/>
        <v>24.152777777777779</v>
      </c>
      <c r="X40" s="102">
        <f t="shared" si="4"/>
        <v>3.6666666666666856</v>
      </c>
      <c r="Y40" s="100">
        <f t="shared" si="5"/>
        <v>3.5333333333333332</v>
      </c>
      <c r="Z40" s="100">
        <f t="shared" si="6"/>
        <v>10176</v>
      </c>
    </row>
    <row r="41" spans="1:26">
      <c r="A41" s="100" t="s">
        <v>67</v>
      </c>
      <c r="B41" s="108" t="str">
        <f>IFERROR(VLOOKUP(Tablo517[[#This Row],[ÜRÜN KODU]],YMKODLARI!$A$1:$K$363,2,0)," ")</f>
        <v>DAMAK EMZİK SAP</v>
      </c>
      <c r="C41" s="99">
        <v>43930</v>
      </c>
      <c r="D41" s="100" t="s">
        <v>37</v>
      </c>
      <c r="E41" s="101">
        <v>0.33333333333333331</v>
      </c>
      <c r="F41" s="101">
        <v>0.78125</v>
      </c>
      <c r="G41" s="100">
        <f>IFERROR(VLOOKUP(Tablo517[[#This Row],[ÜRÜN KODU]],YMKODLARI!$A$1:$K$363,3,0)," ")</f>
        <v>16</v>
      </c>
      <c r="H41" s="100">
        <f>IFERROR(VLOOKUP(Tablo517[[#This Row],[ÜRÜN KODU]],YMKODLARI!$A$1:$K$363,4,0)," ")</f>
        <v>20</v>
      </c>
      <c r="I41" s="100">
        <v>1716</v>
      </c>
      <c r="J41" s="100" t="str">
        <f>IFERROR(VLOOKUP(Tablo517[[#This Row],[ÜRÜN KODU]],YMKODLARI!$A$1:$K$363,9,0)," ")</f>
        <v>708VI0502G</v>
      </c>
      <c r="K41" s="100" t="str">
        <f>IFERROR(VLOOKUP(Tablo517[[#This Row],[BOYA KODU]],Tablo14[#All],4,0)," ")</f>
        <v>T.VİOLET</v>
      </c>
      <c r="L41" s="100">
        <f>IFERROR(VLOOKUP(Tablo517[[#This Row],[BOYA KODU]],Tablo14[#All],6,0)," ")</f>
        <v>2E-3</v>
      </c>
      <c r="M41" s="100">
        <f t="shared" si="0"/>
        <v>63.835200000000007</v>
      </c>
      <c r="N41" s="100" t="str">
        <f>IFERROR(VLOOKUP(Tablo517[[#This Row],[ÜRÜN KODU]],YMKODLARI!$A$1:$K$363,8,0)," ")</f>
        <v>HM 002</v>
      </c>
      <c r="O41" s="100" t="str">
        <f>IFERROR(VLOOKUP(Tablo517[[#This Row],[HAMMADDE KODU]],Tablo1[#All],3,0)," ")</f>
        <v>NOVAREX</v>
      </c>
      <c r="P41" s="100" t="str">
        <f>IFERROR(VLOOKUP(Tablo517[[#This Row],[HAMMADDE KODU]],Tablo1[#All],4,0)," ")</f>
        <v>PİNHAS</v>
      </c>
      <c r="Q41" s="100">
        <f>IFERROR(VLOOKUP(Tablo517[[#This Row],[ÜRÜN KODU]],YMKODLARI!$A$1:$K$363,5,0)," ")</f>
        <v>18.600000000000001</v>
      </c>
      <c r="R41" s="100">
        <f>IFERROR(VLOOKUP(Tablo517[[#This Row],[ÜRÜN KODU]],YMKODLARI!$A$1:$K$363,6,0)," ")</f>
        <v>16.7</v>
      </c>
      <c r="S41" s="100">
        <f>IFERROR(Tablo517[[#This Row],[YOLLUK HARİÇ BASKI GRAMI]]/Tablo517[[#This Row],[KALIP GÖZ ADEDİ]]," ")</f>
        <v>1.04375</v>
      </c>
      <c r="T41" s="100">
        <f t="shared" si="2"/>
        <v>1.9000000000000021</v>
      </c>
      <c r="U41" s="100">
        <v>5</v>
      </c>
      <c r="V41" s="100">
        <f t="shared" si="1"/>
        <v>33.657199999999996</v>
      </c>
      <c r="W41" s="101">
        <f t="shared" si="3"/>
        <v>24.447916666666668</v>
      </c>
      <c r="X41" s="102">
        <f t="shared" si="4"/>
        <v>10.750000000000028</v>
      </c>
      <c r="Y41" s="100">
        <f t="shared" si="5"/>
        <v>9.5333333333333332</v>
      </c>
      <c r="Z41" s="100">
        <f t="shared" si="6"/>
        <v>27456</v>
      </c>
    </row>
    <row r="42" spans="1:26">
      <c r="A42" s="100" t="s">
        <v>68</v>
      </c>
      <c r="B42" s="108" t="str">
        <f>IFERROR(VLOOKUP(Tablo517[[#This Row],[ÜRÜN KODU]],YMKODLARI!$A$1:$K$363,2,0)," ")</f>
        <v>DAMAK EMZİK SAP</v>
      </c>
      <c r="C42" s="99">
        <v>43930</v>
      </c>
      <c r="D42" s="100" t="s">
        <v>37</v>
      </c>
      <c r="E42" s="101">
        <v>0.79166666666666663</v>
      </c>
      <c r="F42" s="101">
        <v>0.83333333333333337</v>
      </c>
      <c r="G42" s="100">
        <f>IFERROR(VLOOKUP(Tablo517[[#This Row],[ÜRÜN KODU]],YMKODLARI!$A$1:$K$363,3,0)," ")</f>
        <v>16</v>
      </c>
      <c r="H42" s="100">
        <f>IFERROR(VLOOKUP(Tablo517[[#This Row],[ÜRÜN KODU]],YMKODLARI!$A$1:$K$363,4,0)," ")</f>
        <v>20</v>
      </c>
      <c r="I42" s="100">
        <v>186</v>
      </c>
      <c r="J42" s="100">
        <f>IFERROR(VLOOKUP(Tablo517[[#This Row],[ÜRÜN KODU]],YMKODLARI!$A$1:$K$363,9,0)," ")</f>
        <v>1045</v>
      </c>
      <c r="K42" s="100" t="str">
        <f>IFERROR(VLOOKUP(Tablo517[[#This Row],[BOYA KODU]],Tablo14[#All],4,0)," ")</f>
        <v>T.SARI</v>
      </c>
      <c r="L42" s="100">
        <f>IFERROR(VLOOKUP(Tablo517[[#This Row],[BOYA KODU]],Tablo14[#All],6,0)," ")</f>
        <v>2E-3</v>
      </c>
      <c r="M42" s="100">
        <f t="shared" si="0"/>
        <v>6.9192000000000009</v>
      </c>
      <c r="N42" s="100" t="str">
        <f>IFERROR(VLOOKUP(Tablo517[[#This Row],[ÜRÜN KODU]],YMKODLARI!$A$1:$K$363,8,0)," ")</f>
        <v>HM 002</v>
      </c>
      <c r="O42" s="100" t="str">
        <f>IFERROR(VLOOKUP(Tablo517[[#This Row],[HAMMADDE KODU]],Tablo1[#All],3,0)," ")</f>
        <v>NOVAREX</v>
      </c>
      <c r="P42" s="100" t="str">
        <f>IFERROR(VLOOKUP(Tablo517[[#This Row],[HAMMADDE KODU]],Tablo1[#All],4,0)," ")</f>
        <v>PİNHAS</v>
      </c>
      <c r="Q42" s="100">
        <f>IFERROR(VLOOKUP(Tablo517[[#This Row],[ÜRÜN KODU]],YMKODLARI!$A$1:$K$363,5,0)," ")</f>
        <v>18.600000000000001</v>
      </c>
      <c r="R42" s="100">
        <f>IFERROR(VLOOKUP(Tablo517[[#This Row],[ÜRÜN KODU]],YMKODLARI!$A$1:$K$363,6,0)," ")</f>
        <v>16.7</v>
      </c>
      <c r="S42" s="100">
        <f>IFERROR(Tablo517[[#This Row],[YOLLUK HARİÇ BASKI GRAMI]]/Tablo517[[#This Row],[KALIP GÖZ ADEDİ]]," ")</f>
        <v>1.04375</v>
      </c>
      <c r="T42" s="100">
        <f t="shared" si="2"/>
        <v>1.9000000000000021</v>
      </c>
      <c r="U42" s="100"/>
      <c r="V42" s="100">
        <f t="shared" si="1"/>
        <v>3.1061999999999999</v>
      </c>
      <c r="W42" s="101">
        <f t="shared" si="3"/>
        <v>24.041666666666668</v>
      </c>
      <c r="X42" s="102">
        <f t="shared" si="4"/>
        <v>1.0000000000000284</v>
      </c>
      <c r="Y42" s="100">
        <f t="shared" si="5"/>
        <v>1.0333333333333334</v>
      </c>
      <c r="Z42" s="100">
        <f t="shared" si="6"/>
        <v>2976</v>
      </c>
    </row>
    <row r="43" spans="1:26">
      <c r="A43" s="100" t="s">
        <v>68</v>
      </c>
      <c r="B43" s="108" t="str">
        <f>IFERROR(VLOOKUP(Tablo517[[#This Row],[ÜRÜN KODU]],YMKODLARI!$A$1:$K$363,2,0)," ")</f>
        <v>DAMAK EMZİK SAP</v>
      </c>
      <c r="C43" s="99">
        <v>43931</v>
      </c>
      <c r="D43" s="100" t="s">
        <v>37</v>
      </c>
      <c r="E43" s="101">
        <v>0.33333333333333331</v>
      </c>
      <c r="F43" s="101">
        <v>0.83333333333333337</v>
      </c>
      <c r="G43" s="100">
        <f>IFERROR(VLOOKUP(Tablo517[[#This Row],[ÜRÜN KODU]],YMKODLARI!$A$1:$K$363,3,0)," ")</f>
        <v>16</v>
      </c>
      <c r="H43" s="100">
        <f>IFERROR(VLOOKUP(Tablo517[[#This Row],[ÜRÜN KODU]],YMKODLARI!$A$1:$K$363,4,0)," ")</f>
        <v>20</v>
      </c>
      <c r="I43" s="100">
        <v>1724</v>
      </c>
      <c r="J43" s="100">
        <f>IFERROR(VLOOKUP(Tablo517[[#This Row],[ÜRÜN KODU]],YMKODLARI!$A$1:$K$363,9,0)," ")</f>
        <v>1045</v>
      </c>
      <c r="K43" s="100" t="str">
        <f>IFERROR(VLOOKUP(Tablo517[[#This Row],[BOYA KODU]],Tablo14[#All],4,0)," ")</f>
        <v>T.SARI</v>
      </c>
      <c r="L43" s="100">
        <f>IFERROR(VLOOKUP(Tablo517[[#This Row],[BOYA KODU]],Tablo14[#All],6,0)," ")</f>
        <v>2E-3</v>
      </c>
      <c r="M43" s="100">
        <f t="shared" si="0"/>
        <v>64.132800000000003</v>
      </c>
      <c r="N43" s="100" t="str">
        <f>IFERROR(VLOOKUP(Tablo517[[#This Row],[ÜRÜN KODU]],YMKODLARI!$A$1:$K$363,8,0)," ")</f>
        <v>HM 002</v>
      </c>
      <c r="O43" s="100" t="str">
        <f>IFERROR(VLOOKUP(Tablo517[[#This Row],[HAMMADDE KODU]],Tablo1[#All],3,0)," ")</f>
        <v>NOVAREX</v>
      </c>
      <c r="P43" s="100" t="str">
        <f>IFERROR(VLOOKUP(Tablo517[[#This Row],[HAMMADDE KODU]],Tablo1[#All],4,0)," ")</f>
        <v>PİNHAS</v>
      </c>
      <c r="Q43" s="100">
        <f>IFERROR(VLOOKUP(Tablo517[[#This Row],[ÜRÜN KODU]],YMKODLARI!$A$1:$K$363,5,0)," ")</f>
        <v>18.600000000000001</v>
      </c>
      <c r="R43" s="100">
        <f>IFERROR(VLOOKUP(Tablo517[[#This Row],[ÜRÜN KODU]],YMKODLARI!$A$1:$K$363,6,0)," ")</f>
        <v>16.7</v>
      </c>
      <c r="S43" s="100">
        <f>IFERROR(Tablo517[[#This Row],[YOLLUK HARİÇ BASKI GRAMI]]/Tablo517[[#This Row],[KALIP GÖZ ADEDİ]]," ")</f>
        <v>1.04375</v>
      </c>
      <c r="T43" s="100">
        <f t="shared" si="2"/>
        <v>1.9000000000000021</v>
      </c>
      <c r="U43" s="100">
        <v>6</v>
      </c>
      <c r="V43" s="100">
        <f t="shared" si="1"/>
        <v>34.790800000000004</v>
      </c>
      <c r="W43" s="101">
        <f t="shared" si="3"/>
        <v>24.5</v>
      </c>
      <c r="X43" s="102">
        <f t="shared" si="4"/>
        <v>12</v>
      </c>
      <c r="Y43" s="100">
        <f t="shared" si="5"/>
        <v>9.5777777777777775</v>
      </c>
      <c r="Z43" s="100">
        <f t="shared" si="6"/>
        <v>27584</v>
      </c>
    </row>
    <row r="44" spans="1:26">
      <c r="A44" s="100" t="s">
        <v>56</v>
      </c>
      <c r="B44" s="108" t="str">
        <f>IFERROR(VLOOKUP(Tablo517[[#This Row],[ÜRÜN KODU]],YMKODLARI!$A$1:$K$363,2,0)," ")</f>
        <v>DAMAK EMZİK SAP</v>
      </c>
      <c r="C44" s="99">
        <v>43934</v>
      </c>
      <c r="D44" s="100" t="s">
        <v>37</v>
      </c>
      <c r="E44" s="101">
        <v>0.70833333333333337</v>
      </c>
      <c r="F44" s="101">
        <v>2.4305555555555556E-2</v>
      </c>
      <c r="G44" s="100">
        <f>IFERROR(VLOOKUP(Tablo517[[#This Row],[ÜRÜN KODU]],YMKODLARI!$A$1:$K$363,3,0)," ")</f>
        <v>16</v>
      </c>
      <c r="H44" s="100">
        <f>IFERROR(VLOOKUP(Tablo517[[#This Row],[ÜRÜN KODU]],YMKODLARI!$A$1:$K$363,4,0)," ")</f>
        <v>20</v>
      </c>
      <c r="I44" s="100">
        <v>1193</v>
      </c>
      <c r="J44" s="100" t="str">
        <f>IFERROR(VLOOKUP(Tablo517[[#This Row],[ÜRÜN KODU]],YMKODLARI!$A$1:$K$363,9,0)," ")</f>
        <v>708GN0539G</v>
      </c>
      <c r="K44" s="100" t="str">
        <f>IFERROR(VLOOKUP(Tablo517[[#This Row],[BOYA KODU]],Tablo14[#All],4,0)," ")</f>
        <v>T.YEŞİL</v>
      </c>
      <c r="L44" s="100">
        <f>IFERROR(VLOOKUP(Tablo517[[#This Row],[BOYA KODU]],Tablo14[#All],6,0)," ")</f>
        <v>2E-3</v>
      </c>
      <c r="M44" s="100">
        <f t="shared" si="0"/>
        <v>44.379600000000003</v>
      </c>
      <c r="N44" s="100" t="str">
        <f>IFERROR(VLOOKUP(Tablo517[[#This Row],[ÜRÜN KODU]],YMKODLARI!$A$1:$K$363,8,0)," ")</f>
        <v>HM 002</v>
      </c>
      <c r="O44" s="100" t="str">
        <f>IFERROR(VLOOKUP(Tablo517[[#This Row],[HAMMADDE KODU]],Tablo1[#All],3,0)," ")</f>
        <v>NOVAREX</v>
      </c>
      <c r="P44" s="100" t="str">
        <f>IFERROR(VLOOKUP(Tablo517[[#This Row],[HAMMADDE KODU]],Tablo1[#All],4,0)," ")</f>
        <v>PİNHAS</v>
      </c>
      <c r="Q44" s="100">
        <f>IFERROR(VLOOKUP(Tablo517[[#This Row],[ÜRÜN KODU]],YMKODLARI!$A$1:$K$363,5,0)," ")</f>
        <v>18.600000000000001</v>
      </c>
      <c r="R44" s="100">
        <f>IFERROR(VLOOKUP(Tablo517[[#This Row],[ÜRÜN KODU]],YMKODLARI!$A$1:$K$363,6,0)," ")</f>
        <v>16.7</v>
      </c>
      <c r="S44" s="100">
        <f>IFERROR(Tablo517[[#This Row],[YOLLUK HARİÇ BASKI GRAMI]]/Tablo517[[#This Row],[KALIP GÖZ ADEDİ]]," ")</f>
        <v>1.04375</v>
      </c>
      <c r="T44" s="100">
        <f t="shared" si="2"/>
        <v>1.9000000000000021</v>
      </c>
      <c r="U44" s="100">
        <v>4.7</v>
      </c>
      <c r="V44" s="100">
        <f t="shared" si="1"/>
        <v>24.623099999999997</v>
      </c>
      <c r="W44" s="101">
        <f t="shared" si="3"/>
        <v>23.315972222222221</v>
      </c>
      <c r="X44" s="102">
        <f t="shared" si="4"/>
        <v>7.5833333333333144</v>
      </c>
      <c r="Y44" s="100">
        <f t="shared" si="5"/>
        <v>6.6277777777777782</v>
      </c>
      <c r="Z44" s="100">
        <f t="shared" si="6"/>
        <v>19088</v>
      </c>
    </row>
    <row r="45" spans="1:26">
      <c r="A45" s="100" t="s">
        <v>56</v>
      </c>
      <c r="B45" s="108" t="str">
        <f>IFERROR(VLOOKUP(Tablo517[[#This Row],[ÜRÜN KODU]],YMKODLARI!$A$1:$K$363,2,0)," ")</f>
        <v>DAMAK EMZİK SAP</v>
      </c>
      <c r="C45" s="99">
        <v>43936</v>
      </c>
      <c r="D45" s="100" t="s">
        <v>33</v>
      </c>
      <c r="E45" s="101">
        <v>0.43055555555555558</v>
      </c>
      <c r="F45" s="101">
        <v>0.47222222222222227</v>
      </c>
      <c r="G45" s="100">
        <f>IFERROR(VLOOKUP(Tablo517[[#This Row],[ÜRÜN KODU]],YMKODLARI!$A$1:$K$363,3,0)," ")</f>
        <v>16</v>
      </c>
      <c r="H45" s="100">
        <f>IFERROR(VLOOKUP(Tablo517[[#This Row],[ÜRÜN KODU]],YMKODLARI!$A$1:$K$363,4,0)," ")</f>
        <v>20</v>
      </c>
      <c r="I45" s="100">
        <v>130</v>
      </c>
      <c r="J45" s="100" t="str">
        <f>IFERROR(VLOOKUP(Tablo517[[#This Row],[ÜRÜN KODU]],YMKODLARI!$A$1:$K$363,9,0)," ")</f>
        <v>708GN0539G</v>
      </c>
      <c r="K45" s="100" t="str">
        <f>IFERROR(VLOOKUP(Tablo517[[#This Row],[BOYA KODU]],Tablo14[#All],4,0)," ")</f>
        <v>T.YEŞİL</v>
      </c>
      <c r="L45" s="100">
        <f>IFERROR(VLOOKUP(Tablo517[[#This Row],[BOYA KODU]],Tablo14[#All],6,0)," ")</f>
        <v>2E-3</v>
      </c>
      <c r="M45" s="100">
        <f t="shared" si="0"/>
        <v>4.8360000000000003</v>
      </c>
      <c r="N45" s="100" t="str">
        <f>IFERROR(VLOOKUP(Tablo517[[#This Row],[ÜRÜN KODU]],YMKODLARI!$A$1:$K$363,8,0)," ")</f>
        <v>HM 002</v>
      </c>
      <c r="O45" s="100" t="str">
        <f>IFERROR(VLOOKUP(Tablo517[[#This Row],[HAMMADDE KODU]],Tablo1[#All],3,0)," ")</f>
        <v>NOVAREX</v>
      </c>
      <c r="P45" s="100" t="str">
        <f>IFERROR(VLOOKUP(Tablo517[[#This Row],[HAMMADDE KODU]],Tablo1[#All],4,0)," ")</f>
        <v>PİNHAS</v>
      </c>
      <c r="Q45" s="100">
        <f>IFERROR(VLOOKUP(Tablo517[[#This Row],[ÜRÜN KODU]],YMKODLARI!$A$1:$K$363,5,0)," ")</f>
        <v>18.600000000000001</v>
      </c>
      <c r="R45" s="100">
        <f>IFERROR(VLOOKUP(Tablo517[[#This Row],[ÜRÜN KODU]],YMKODLARI!$A$1:$K$363,6,0)," ")</f>
        <v>16.7</v>
      </c>
      <c r="S45" s="100">
        <f>IFERROR(Tablo517[[#This Row],[YOLLUK HARİÇ BASKI GRAMI]]/Tablo517[[#This Row],[KALIP GÖZ ADEDİ]]," ")</f>
        <v>1.04375</v>
      </c>
      <c r="T45" s="100">
        <f t="shared" si="2"/>
        <v>1.9000000000000021</v>
      </c>
      <c r="U45" s="100">
        <v>1.1000000000000001</v>
      </c>
      <c r="V45" s="100">
        <f t="shared" si="1"/>
        <v>3.2709999999999999</v>
      </c>
      <c r="W45" s="101">
        <f t="shared" si="3"/>
        <v>24.041666666666668</v>
      </c>
      <c r="X45" s="102">
        <f t="shared" si="4"/>
        <v>1.0000000000000284</v>
      </c>
      <c r="Y45" s="100">
        <f t="shared" si="5"/>
        <v>0.72222222222222221</v>
      </c>
      <c r="Z45" s="100">
        <f t="shared" si="6"/>
        <v>2080</v>
      </c>
    </row>
    <row r="46" spans="1:26">
      <c r="A46" s="100" t="s">
        <v>64</v>
      </c>
      <c r="B46" s="108" t="str">
        <f>IFERROR(VLOOKUP(Tablo517[[#This Row],[ÜRÜN KODU]],YMKODLARI!$A$1:$K$363,2,0)," ")</f>
        <v>DAMAK EMZİK SAP</v>
      </c>
      <c r="C46" s="99">
        <v>43936</v>
      </c>
      <c r="D46" s="100" t="s">
        <v>33</v>
      </c>
      <c r="E46" s="101">
        <v>0.4861111111111111</v>
      </c>
      <c r="F46" s="101">
        <v>0.6875</v>
      </c>
      <c r="G46" s="100">
        <f>IFERROR(VLOOKUP(Tablo517[[#This Row],[ÜRÜN KODU]],YMKODLARI!$A$1:$K$363,3,0)," ")</f>
        <v>16</v>
      </c>
      <c r="H46" s="100">
        <f>IFERROR(VLOOKUP(Tablo517[[#This Row],[ÜRÜN KODU]],YMKODLARI!$A$1:$K$363,4,0)," ")</f>
        <v>20</v>
      </c>
      <c r="I46" s="100">
        <v>731</v>
      </c>
      <c r="J46" s="100" t="str">
        <f>IFERROR(VLOOKUP(Tablo517[[#This Row],[ÜRÜN KODU]],YMKODLARI!$A$1:$K$363,9,0)," ")</f>
        <v>5139C</v>
      </c>
      <c r="K46" s="100" t="str">
        <f>IFERROR(VLOOKUP(Tablo517[[#This Row],[BOYA KODU]],Tablo14[#All],4,0)," ")</f>
        <v>T.MAVİ</v>
      </c>
      <c r="L46" s="100">
        <f>IFERROR(VLOOKUP(Tablo517[[#This Row],[BOYA KODU]],Tablo14[#All],6,0)," ")</f>
        <v>1E-3</v>
      </c>
      <c r="M46" s="100">
        <f t="shared" si="0"/>
        <v>13.5966</v>
      </c>
      <c r="N46" s="100" t="str">
        <f>IFERROR(VLOOKUP(Tablo517[[#This Row],[ÜRÜN KODU]],YMKODLARI!$A$1:$K$363,8,0)," ")</f>
        <v>HM 002</v>
      </c>
      <c r="O46" s="100" t="str">
        <f>IFERROR(VLOOKUP(Tablo517[[#This Row],[HAMMADDE KODU]],Tablo1[#All],3,0)," ")</f>
        <v>NOVAREX</v>
      </c>
      <c r="P46" s="100" t="str">
        <f>IFERROR(VLOOKUP(Tablo517[[#This Row],[HAMMADDE KODU]],Tablo1[#All],4,0)," ")</f>
        <v>PİNHAS</v>
      </c>
      <c r="Q46" s="100">
        <f>IFERROR(VLOOKUP(Tablo517[[#This Row],[ÜRÜN KODU]],YMKODLARI!$A$1:$K$363,5,0)," ")</f>
        <v>18.600000000000001</v>
      </c>
      <c r="R46" s="100">
        <f>IFERROR(VLOOKUP(Tablo517[[#This Row],[ÜRÜN KODU]],YMKODLARI!$A$1:$K$363,6,0)," ")</f>
        <v>16.7</v>
      </c>
      <c r="S46" s="100">
        <f>IFERROR(Tablo517[[#This Row],[YOLLUK HARİÇ BASKI GRAMI]]/Tablo517[[#This Row],[KALIP GÖZ ADEDİ]]," ")</f>
        <v>1.04375</v>
      </c>
      <c r="T46" s="100">
        <f t="shared" si="2"/>
        <v>1.9000000000000021</v>
      </c>
      <c r="U46" s="100">
        <v>2.4</v>
      </c>
      <c r="V46" s="100">
        <f t="shared" si="1"/>
        <v>14.607699999999999</v>
      </c>
      <c r="W46" s="101">
        <f t="shared" si="3"/>
        <v>24.201388888888889</v>
      </c>
      <c r="X46" s="102">
        <f t="shared" si="4"/>
        <v>4.8333333333333428</v>
      </c>
      <c r="Y46" s="100">
        <f t="shared" si="5"/>
        <v>4.0611111111111109</v>
      </c>
      <c r="Z46" s="100">
        <f t="shared" si="6"/>
        <v>11696</v>
      </c>
    </row>
    <row r="47" spans="1:26">
      <c r="A47" s="100" t="s">
        <v>67</v>
      </c>
      <c r="B47" s="108" t="str">
        <f>IFERROR(VLOOKUP(Tablo517[[#This Row],[ÜRÜN KODU]],YMKODLARI!$A$1:$K$363,2,0)," ")</f>
        <v>DAMAK EMZİK SAP</v>
      </c>
      <c r="C47" s="99">
        <v>43936</v>
      </c>
      <c r="D47" s="100" t="s">
        <v>33</v>
      </c>
      <c r="E47" s="101">
        <v>0.73958333333333337</v>
      </c>
      <c r="F47" s="101">
        <v>0.83333333333333337</v>
      </c>
      <c r="G47" s="100">
        <f>IFERROR(VLOOKUP(Tablo517[[#This Row],[ÜRÜN KODU]],YMKODLARI!$A$1:$K$363,3,0)," ")</f>
        <v>16</v>
      </c>
      <c r="H47" s="100">
        <f>IFERROR(VLOOKUP(Tablo517[[#This Row],[ÜRÜN KODU]],YMKODLARI!$A$1:$K$363,4,0)," ")</f>
        <v>20</v>
      </c>
      <c r="I47" s="100">
        <v>421</v>
      </c>
      <c r="J47" s="100" t="str">
        <f>IFERROR(VLOOKUP(Tablo517[[#This Row],[ÜRÜN KODU]],YMKODLARI!$A$1:$K$363,9,0)," ")</f>
        <v>708VI0502G</v>
      </c>
      <c r="K47" s="100" t="str">
        <f>IFERROR(VLOOKUP(Tablo517[[#This Row],[BOYA KODU]],Tablo14[#All],4,0)," ")</f>
        <v>T.VİOLET</v>
      </c>
      <c r="L47" s="100">
        <f>IFERROR(VLOOKUP(Tablo517[[#This Row],[BOYA KODU]],Tablo14[#All],6,0)," ")</f>
        <v>2E-3</v>
      </c>
      <c r="M47" s="100">
        <f t="shared" si="0"/>
        <v>15.661200000000001</v>
      </c>
      <c r="N47" s="100" t="str">
        <f>IFERROR(VLOOKUP(Tablo517[[#This Row],[ÜRÜN KODU]],YMKODLARI!$A$1:$K$363,8,0)," ")</f>
        <v>HM 002</v>
      </c>
      <c r="O47" s="100" t="str">
        <f>IFERROR(VLOOKUP(Tablo517[[#This Row],[HAMMADDE KODU]],Tablo1[#All],3,0)," ")</f>
        <v>NOVAREX</v>
      </c>
      <c r="P47" s="100" t="str">
        <f>IFERROR(VLOOKUP(Tablo517[[#This Row],[HAMMADDE KODU]],Tablo1[#All],4,0)," ")</f>
        <v>PİNHAS</v>
      </c>
      <c r="Q47" s="100">
        <f>IFERROR(VLOOKUP(Tablo517[[#This Row],[ÜRÜN KODU]],YMKODLARI!$A$1:$K$363,5,0)," ")</f>
        <v>18.600000000000001</v>
      </c>
      <c r="R47" s="100">
        <f>IFERROR(VLOOKUP(Tablo517[[#This Row],[ÜRÜN KODU]],YMKODLARI!$A$1:$K$363,6,0)," ")</f>
        <v>16.7</v>
      </c>
      <c r="S47" s="100">
        <f>IFERROR(Tablo517[[#This Row],[YOLLUK HARİÇ BASKI GRAMI]]/Tablo517[[#This Row],[KALIP GÖZ ADEDİ]]," ")</f>
        <v>1.04375</v>
      </c>
      <c r="T47" s="100">
        <f t="shared" si="2"/>
        <v>1.9000000000000021</v>
      </c>
      <c r="U47" s="100"/>
      <c r="V47" s="100">
        <f t="shared" si="1"/>
        <v>7.0306999999999995</v>
      </c>
      <c r="W47" s="101">
        <f t="shared" si="3"/>
        <v>24.09375</v>
      </c>
      <c r="X47" s="102">
        <f t="shared" si="4"/>
        <v>2.25</v>
      </c>
      <c r="Y47" s="100">
        <f t="shared" si="5"/>
        <v>2.338888888888889</v>
      </c>
      <c r="Z47" s="100">
        <f t="shared" si="6"/>
        <v>6736</v>
      </c>
    </row>
    <row r="48" spans="1:26">
      <c r="A48" s="100" t="s">
        <v>67</v>
      </c>
      <c r="B48" s="108" t="str">
        <f>IFERROR(VLOOKUP(Tablo517[[#This Row],[ÜRÜN KODU]],YMKODLARI!$A$1:$K$363,2,0)," ")</f>
        <v>DAMAK EMZİK SAP</v>
      </c>
      <c r="C48" s="99">
        <v>43937</v>
      </c>
      <c r="D48" s="100" t="s">
        <v>33</v>
      </c>
      <c r="E48" s="101">
        <v>0.375</v>
      </c>
      <c r="F48" s="101">
        <v>0.76041666666666663</v>
      </c>
      <c r="G48" s="100">
        <f>IFERROR(VLOOKUP(Tablo517[[#This Row],[ÜRÜN KODU]],YMKODLARI!$A$1:$K$363,3,0)," ")</f>
        <v>16</v>
      </c>
      <c r="H48" s="100">
        <f>IFERROR(VLOOKUP(Tablo517[[#This Row],[ÜRÜN KODU]],YMKODLARI!$A$1:$K$363,4,0)," ")</f>
        <v>20</v>
      </c>
      <c r="I48" s="100">
        <v>1581</v>
      </c>
      <c r="J48" s="100" t="str">
        <f>IFERROR(VLOOKUP(Tablo517[[#This Row],[ÜRÜN KODU]],YMKODLARI!$A$1:$K$363,9,0)," ")</f>
        <v>708VI0502G</v>
      </c>
      <c r="K48" s="100" t="str">
        <f>IFERROR(VLOOKUP(Tablo517[[#This Row],[BOYA KODU]],Tablo14[#All],4,0)," ")</f>
        <v>T.VİOLET</v>
      </c>
      <c r="L48" s="100">
        <f>IFERROR(VLOOKUP(Tablo517[[#This Row],[BOYA KODU]],Tablo14[#All],6,0)," ")</f>
        <v>2E-3</v>
      </c>
      <c r="M48" s="100">
        <f t="shared" si="0"/>
        <v>58.813200000000009</v>
      </c>
      <c r="N48" s="100" t="str">
        <f>IFERROR(VLOOKUP(Tablo517[[#This Row],[ÜRÜN KODU]],YMKODLARI!$A$1:$K$363,8,0)," ")</f>
        <v>HM 002</v>
      </c>
      <c r="O48" s="100" t="str">
        <f>IFERROR(VLOOKUP(Tablo517[[#This Row],[HAMMADDE KODU]],Tablo1[#All],3,0)," ")</f>
        <v>NOVAREX</v>
      </c>
      <c r="P48" s="100" t="str">
        <f>IFERROR(VLOOKUP(Tablo517[[#This Row],[HAMMADDE KODU]],Tablo1[#All],4,0)," ")</f>
        <v>PİNHAS</v>
      </c>
      <c r="Q48" s="100">
        <f>IFERROR(VLOOKUP(Tablo517[[#This Row],[ÜRÜN KODU]],YMKODLARI!$A$1:$K$363,5,0)," ")</f>
        <v>18.600000000000001</v>
      </c>
      <c r="R48" s="100">
        <f>IFERROR(VLOOKUP(Tablo517[[#This Row],[ÜRÜN KODU]],YMKODLARI!$A$1:$K$363,6,0)," ")</f>
        <v>16.7</v>
      </c>
      <c r="S48" s="100">
        <f>IFERROR(Tablo517[[#This Row],[YOLLUK HARİÇ BASKI GRAMI]]/Tablo517[[#This Row],[KALIP GÖZ ADEDİ]]," ")</f>
        <v>1.04375</v>
      </c>
      <c r="T48" s="100">
        <f t="shared" si="2"/>
        <v>1.9000000000000021</v>
      </c>
      <c r="U48" s="100">
        <v>5</v>
      </c>
      <c r="V48" s="100">
        <f t="shared" si="1"/>
        <v>31.402699999999996</v>
      </c>
      <c r="W48" s="101">
        <f t="shared" si="3"/>
        <v>24.385416666666668</v>
      </c>
      <c r="X48" s="102">
        <f t="shared" si="4"/>
        <v>9.2500000000000284</v>
      </c>
      <c r="Y48" s="100">
        <f t="shared" si="5"/>
        <v>8.7833333333333332</v>
      </c>
      <c r="Z48" s="100">
        <f t="shared" si="6"/>
        <v>25296</v>
      </c>
    </row>
    <row r="49" spans="1:26">
      <c r="A49" s="100" t="s">
        <v>68</v>
      </c>
      <c r="B49" s="108" t="str">
        <f>IFERROR(VLOOKUP(Tablo517[[#This Row],[ÜRÜN KODU]],YMKODLARI!$A$1:$K$363,2,0)," ")</f>
        <v>DAMAK EMZİK SAP</v>
      </c>
      <c r="C49" s="99">
        <v>43937</v>
      </c>
      <c r="D49" s="100" t="s">
        <v>33</v>
      </c>
      <c r="E49" s="101">
        <v>0.77430555555555547</v>
      </c>
      <c r="F49" s="101">
        <v>0.83333333333333337</v>
      </c>
      <c r="G49" s="100">
        <f>IFERROR(VLOOKUP(Tablo517[[#This Row],[ÜRÜN KODU]],YMKODLARI!$A$1:$K$363,3,0)," ")</f>
        <v>16</v>
      </c>
      <c r="H49" s="100">
        <f>IFERROR(VLOOKUP(Tablo517[[#This Row],[ÜRÜN KODU]],YMKODLARI!$A$1:$K$363,4,0)," ")</f>
        <v>20</v>
      </c>
      <c r="I49" s="100">
        <v>249</v>
      </c>
      <c r="J49" s="100">
        <f>IFERROR(VLOOKUP(Tablo517[[#This Row],[ÜRÜN KODU]],YMKODLARI!$A$1:$K$363,9,0)," ")</f>
        <v>1045</v>
      </c>
      <c r="K49" s="100" t="str">
        <f>IFERROR(VLOOKUP(Tablo517[[#This Row],[BOYA KODU]],Tablo14[#All],4,0)," ")</f>
        <v>T.SARI</v>
      </c>
      <c r="L49" s="100">
        <f>IFERROR(VLOOKUP(Tablo517[[#This Row],[BOYA KODU]],Tablo14[#All],6,0)," ")</f>
        <v>2E-3</v>
      </c>
      <c r="M49" s="100">
        <f t="shared" si="0"/>
        <v>9.2628000000000021</v>
      </c>
      <c r="N49" s="100" t="str">
        <f>IFERROR(VLOOKUP(Tablo517[[#This Row],[ÜRÜN KODU]],YMKODLARI!$A$1:$K$363,8,0)," ")</f>
        <v>HM 002</v>
      </c>
      <c r="O49" s="100" t="str">
        <f>IFERROR(VLOOKUP(Tablo517[[#This Row],[HAMMADDE KODU]],Tablo1[#All],3,0)," ")</f>
        <v>NOVAREX</v>
      </c>
      <c r="P49" s="100" t="str">
        <f>IFERROR(VLOOKUP(Tablo517[[#This Row],[HAMMADDE KODU]],Tablo1[#All],4,0)," ")</f>
        <v>PİNHAS</v>
      </c>
      <c r="Q49" s="100">
        <f>IFERROR(VLOOKUP(Tablo517[[#This Row],[ÜRÜN KODU]],YMKODLARI!$A$1:$K$363,5,0)," ")</f>
        <v>18.600000000000001</v>
      </c>
      <c r="R49" s="100">
        <f>IFERROR(VLOOKUP(Tablo517[[#This Row],[ÜRÜN KODU]],YMKODLARI!$A$1:$K$363,6,0)," ")</f>
        <v>16.7</v>
      </c>
      <c r="S49" s="100">
        <f>IFERROR(Tablo517[[#This Row],[YOLLUK HARİÇ BASKI GRAMI]]/Tablo517[[#This Row],[KALIP GÖZ ADEDİ]]," ")</f>
        <v>1.04375</v>
      </c>
      <c r="T49" s="100">
        <f t="shared" si="2"/>
        <v>1.9000000000000021</v>
      </c>
      <c r="U49" s="100"/>
      <c r="V49" s="100">
        <f t="shared" si="1"/>
        <v>4.1583000000000006</v>
      </c>
      <c r="W49" s="101">
        <f t="shared" si="3"/>
        <v>24.059027777777779</v>
      </c>
      <c r="X49" s="102">
        <f t="shared" si="4"/>
        <v>1.4166666666666856</v>
      </c>
      <c r="Y49" s="100">
        <f t="shared" si="5"/>
        <v>1.3833333333333333</v>
      </c>
      <c r="Z49" s="100">
        <f t="shared" si="6"/>
        <v>3984</v>
      </c>
    </row>
    <row r="50" spans="1:26">
      <c r="A50" s="100" t="s">
        <v>68</v>
      </c>
      <c r="B50" s="108" t="str">
        <f>IFERROR(VLOOKUP(Tablo517[[#This Row],[ÜRÜN KODU]],YMKODLARI!$A$1:$K$363,2,0)," ")</f>
        <v>DAMAK EMZİK SAP</v>
      </c>
      <c r="C50" s="99">
        <v>43938</v>
      </c>
      <c r="D50" s="100" t="s">
        <v>33</v>
      </c>
      <c r="E50" s="101">
        <v>0.33333333333333331</v>
      </c>
      <c r="F50" s="101">
        <v>0.73263888888888884</v>
      </c>
      <c r="G50" s="100">
        <f>IFERROR(VLOOKUP(Tablo517[[#This Row],[ÜRÜN KODU]],YMKODLARI!$A$1:$K$363,3,0)," ")</f>
        <v>16</v>
      </c>
      <c r="H50" s="100">
        <f>IFERROR(VLOOKUP(Tablo517[[#This Row],[ÜRÜN KODU]],YMKODLARI!$A$1:$K$363,4,0)," ")</f>
        <v>20</v>
      </c>
      <c r="I50" s="100">
        <v>1500</v>
      </c>
      <c r="J50" s="100">
        <f>IFERROR(VLOOKUP(Tablo517[[#This Row],[ÜRÜN KODU]],YMKODLARI!$A$1:$K$363,9,0)," ")</f>
        <v>1045</v>
      </c>
      <c r="K50" s="100" t="str">
        <f>IFERROR(VLOOKUP(Tablo517[[#This Row],[BOYA KODU]],Tablo14[#All],4,0)," ")</f>
        <v>T.SARI</v>
      </c>
      <c r="L50" s="100">
        <f>IFERROR(VLOOKUP(Tablo517[[#This Row],[BOYA KODU]],Tablo14[#All],6,0)," ")</f>
        <v>2E-3</v>
      </c>
      <c r="M50" s="100">
        <f t="shared" si="0"/>
        <v>55.800000000000011</v>
      </c>
      <c r="N50" s="100" t="str">
        <f>IFERROR(VLOOKUP(Tablo517[[#This Row],[ÜRÜN KODU]],YMKODLARI!$A$1:$K$363,8,0)," ")</f>
        <v>HM 002</v>
      </c>
      <c r="O50" s="100" t="str">
        <f>IFERROR(VLOOKUP(Tablo517[[#This Row],[HAMMADDE KODU]],Tablo1[#All],3,0)," ")</f>
        <v>NOVAREX</v>
      </c>
      <c r="P50" s="100" t="str">
        <f>IFERROR(VLOOKUP(Tablo517[[#This Row],[HAMMADDE KODU]],Tablo1[#All],4,0)," ")</f>
        <v>PİNHAS</v>
      </c>
      <c r="Q50" s="100">
        <f>IFERROR(VLOOKUP(Tablo517[[#This Row],[ÜRÜN KODU]],YMKODLARI!$A$1:$K$363,5,0)," ")</f>
        <v>18.600000000000001</v>
      </c>
      <c r="R50" s="100">
        <f>IFERROR(VLOOKUP(Tablo517[[#This Row],[ÜRÜN KODU]],YMKODLARI!$A$1:$K$363,6,0)," ")</f>
        <v>16.7</v>
      </c>
      <c r="S50" s="100">
        <f>IFERROR(Tablo517[[#This Row],[YOLLUK HARİÇ BASKI GRAMI]]/Tablo517[[#This Row],[KALIP GÖZ ADEDİ]]," ")</f>
        <v>1.04375</v>
      </c>
      <c r="T50" s="100">
        <f t="shared" si="2"/>
        <v>1.9000000000000021</v>
      </c>
      <c r="U50" s="100"/>
      <c r="V50" s="100">
        <f t="shared" si="1"/>
        <v>25.05</v>
      </c>
      <c r="W50" s="101">
        <f t="shared" si="3"/>
        <v>24.399305555555557</v>
      </c>
      <c r="X50" s="102">
        <f t="shared" si="4"/>
        <v>9.5833333333333712</v>
      </c>
      <c r="Y50" s="100">
        <f t="shared" si="5"/>
        <v>8.3333333333333339</v>
      </c>
      <c r="Z50" s="100">
        <f t="shared" si="6"/>
        <v>24000</v>
      </c>
    </row>
    <row r="51" spans="1:26">
      <c r="A51" s="100" t="s">
        <v>68</v>
      </c>
      <c r="B51" s="108" t="str">
        <f>IFERROR(VLOOKUP(Tablo517[[#This Row],[ÜRÜN KODU]],YMKODLARI!$A$1:$K$363,2,0)," ")</f>
        <v>DAMAK EMZİK SAP</v>
      </c>
      <c r="C51" s="99">
        <v>43941</v>
      </c>
      <c r="D51" s="100" t="s">
        <v>37</v>
      </c>
      <c r="E51" s="101">
        <v>0.41666666666666669</v>
      </c>
      <c r="F51" s="101">
        <v>0.5625</v>
      </c>
      <c r="G51" s="100">
        <f>IFERROR(VLOOKUP(Tablo517[[#This Row],[ÜRÜN KODU]],YMKODLARI!$A$1:$K$363,3,0)," ")</f>
        <v>16</v>
      </c>
      <c r="H51" s="100">
        <f>IFERROR(VLOOKUP(Tablo517[[#This Row],[ÜRÜN KODU]],YMKODLARI!$A$1:$K$363,4,0)," ")</f>
        <v>20</v>
      </c>
      <c r="I51" s="100">
        <v>526</v>
      </c>
      <c r="J51" s="100">
        <f>IFERROR(VLOOKUP(Tablo517[[#This Row],[ÜRÜN KODU]],YMKODLARI!$A$1:$K$363,9,0)," ")</f>
        <v>1045</v>
      </c>
      <c r="K51" s="100" t="str">
        <f>IFERROR(VLOOKUP(Tablo517[[#This Row],[BOYA KODU]],Tablo14[#All],4,0)," ")</f>
        <v>T.SARI</v>
      </c>
      <c r="L51" s="100">
        <f>IFERROR(VLOOKUP(Tablo517[[#This Row],[BOYA KODU]],Tablo14[#All],6,0)," ")</f>
        <v>2E-3</v>
      </c>
      <c r="M51" s="100">
        <f t="shared" si="0"/>
        <v>19.5672</v>
      </c>
      <c r="N51" s="100" t="str">
        <f>IFERROR(VLOOKUP(Tablo517[[#This Row],[ÜRÜN KODU]],YMKODLARI!$A$1:$K$363,8,0)," ")</f>
        <v>HM 002</v>
      </c>
      <c r="O51" s="100" t="str">
        <f>IFERROR(VLOOKUP(Tablo517[[#This Row],[HAMMADDE KODU]],Tablo1[#All],3,0)," ")</f>
        <v>NOVAREX</v>
      </c>
      <c r="P51" s="100" t="str">
        <f>IFERROR(VLOOKUP(Tablo517[[#This Row],[HAMMADDE KODU]],Tablo1[#All],4,0)," ")</f>
        <v>PİNHAS</v>
      </c>
      <c r="Q51" s="100">
        <f>IFERROR(VLOOKUP(Tablo517[[#This Row],[ÜRÜN KODU]],YMKODLARI!$A$1:$K$363,5,0)," ")</f>
        <v>18.600000000000001</v>
      </c>
      <c r="R51" s="100">
        <f>IFERROR(VLOOKUP(Tablo517[[#This Row],[ÜRÜN KODU]],YMKODLARI!$A$1:$K$363,6,0)," ")</f>
        <v>16.7</v>
      </c>
      <c r="S51" s="100">
        <f>IFERROR(Tablo517[[#This Row],[YOLLUK HARİÇ BASKI GRAMI]]/Tablo517[[#This Row],[KALIP GÖZ ADEDİ]]," ")</f>
        <v>1.04375</v>
      </c>
      <c r="T51" s="100">
        <f t="shared" si="2"/>
        <v>1.9000000000000021</v>
      </c>
      <c r="U51" s="100">
        <v>7.2</v>
      </c>
      <c r="V51" s="100">
        <f t="shared" si="1"/>
        <v>15.984199999999998</v>
      </c>
      <c r="W51" s="101">
        <f t="shared" si="3"/>
        <v>24.145833333333332</v>
      </c>
      <c r="X51" s="102">
        <f t="shared" si="4"/>
        <v>3.4999999999999716</v>
      </c>
      <c r="Y51" s="100">
        <f t="shared" si="5"/>
        <v>2.9222222222222221</v>
      </c>
      <c r="Z51" s="100">
        <f t="shared" si="6"/>
        <v>8416</v>
      </c>
    </row>
    <row r="52" spans="1:26">
      <c r="A52" s="100" t="s">
        <v>66</v>
      </c>
      <c r="B52" s="108" t="str">
        <f>IFERROR(VLOOKUP(Tablo517[[#This Row],[ÜRÜN KODU]],YMKODLARI!$A$1:$K$363,2,0)," ")</f>
        <v>DAMAK EMZİK SAP</v>
      </c>
      <c r="C52" s="99">
        <v>43941</v>
      </c>
      <c r="D52" s="100" t="s">
        <v>37</v>
      </c>
      <c r="E52" s="101">
        <v>0.5625</v>
      </c>
      <c r="F52" s="101">
        <v>0.83333333333333337</v>
      </c>
      <c r="G52" s="100">
        <f>IFERROR(VLOOKUP(Tablo517[[#This Row],[ÜRÜN KODU]],YMKODLARI!$A$1:$K$363,3,0)," ")</f>
        <v>16</v>
      </c>
      <c r="H52" s="100">
        <f>IFERROR(VLOOKUP(Tablo517[[#This Row],[ÜRÜN KODU]],YMKODLARI!$A$1:$K$363,4,0)," ")</f>
        <v>20</v>
      </c>
      <c r="I52" s="100">
        <v>1091</v>
      </c>
      <c r="J52" s="100">
        <f>IFERROR(VLOOKUP(Tablo517[[#This Row],[ÜRÜN KODU]],YMKODLARI!$A$1:$K$363,9,0)," ")</f>
        <v>3014</v>
      </c>
      <c r="K52" s="100" t="str">
        <f>IFERROR(VLOOKUP(Tablo517[[#This Row],[BOYA KODU]],Tablo14[#All],4,0)," ")</f>
        <v>T.KIRMIZI</v>
      </c>
      <c r="L52" s="100">
        <f>IFERROR(VLOOKUP(Tablo517[[#This Row],[BOYA KODU]],Tablo14[#All],6,0)," ")</f>
        <v>2E-3</v>
      </c>
      <c r="M52" s="100">
        <f t="shared" si="0"/>
        <v>40.585200000000007</v>
      </c>
      <c r="N52" s="100" t="str">
        <f>IFERROR(VLOOKUP(Tablo517[[#This Row],[ÜRÜN KODU]],YMKODLARI!$A$1:$K$363,8,0)," ")</f>
        <v>HM 002</v>
      </c>
      <c r="O52" s="100" t="str">
        <f>IFERROR(VLOOKUP(Tablo517[[#This Row],[HAMMADDE KODU]],Tablo1[#All],3,0)," ")</f>
        <v>NOVAREX</v>
      </c>
      <c r="P52" s="100" t="str">
        <f>IFERROR(VLOOKUP(Tablo517[[#This Row],[HAMMADDE KODU]],Tablo1[#All],4,0)," ")</f>
        <v>PİNHAS</v>
      </c>
      <c r="Q52" s="100">
        <f>IFERROR(VLOOKUP(Tablo517[[#This Row],[ÜRÜN KODU]],YMKODLARI!$A$1:$K$363,5,0)," ")</f>
        <v>18.600000000000001</v>
      </c>
      <c r="R52" s="100">
        <f>IFERROR(VLOOKUP(Tablo517[[#This Row],[ÜRÜN KODU]],YMKODLARI!$A$1:$K$363,6,0)," ")</f>
        <v>16.7</v>
      </c>
      <c r="S52" s="100">
        <f>IFERROR(Tablo517[[#This Row],[YOLLUK HARİÇ BASKI GRAMI]]/Tablo517[[#This Row],[KALIP GÖZ ADEDİ]]," ")</f>
        <v>1.04375</v>
      </c>
      <c r="T52" s="100">
        <f t="shared" si="2"/>
        <v>1.9000000000000021</v>
      </c>
      <c r="U52" s="100">
        <v>6.6</v>
      </c>
      <c r="V52" s="100">
        <f t="shared" si="1"/>
        <v>24.819699999999997</v>
      </c>
      <c r="W52" s="101">
        <f t="shared" si="3"/>
        <v>24.270833333333332</v>
      </c>
      <c r="X52" s="102">
        <f t="shared" si="4"/>
        <v>6.4999999999999716</v>
      </c>
      <c r="Y52" s="100">
        <f t="shared" si="5"/>
        <v>6.0611111111111109</v>
      </c>
      <c r="Z52" s="100">
        <f t="shared" si="6"/>
        <v>17456</v>
      </c>
    </row>
    <row r="53" spans="1:26">
      <c r="A53" s="100" t="s">
        <v>69</v>
      </c>
      <c r="B53" s="108" t="str">
        <f>IFERROR(VLOOKUP(Tablo517[[#This Row],[ÜRÜN KODU]],YMKODLARI!$A$1:$K$363,2,0)," ")</f>
        <v>DAMAK EMZİK SAP</v>
      </c>
      <c r="C53" s="99">
        <v>43942</v>
      </c>
      <c r="D53" s="100" t="s">
        <v>37</v>
      </c>
      <c r="E53" s="101">
        <v>0.33333333333333331</v>
      </c>
      <c r="F53" s="101">
        <v>0.45833333333333331</v>
      </c>
      <c r="G53" s="100">
        <f>IFERROR(VLOOKUP(Tablo517[[#This Row],[ÜRÜN KODU]],YMKODLARI!$A$1:$K$363,3,0)," ")</f>
        <v>16</v>
      </c>
      <c r="H53" s="100">
        <f>IFERROR(VLOOKUP(Tablo517[[#This Row],[ÜRÜN KODU]],YMKODLARI!$A$1:$K$363,4,0)," ")</f>
        <v>20</v>
      </c>
      <c r="I53" s="100">
        <v>519</v>
      </c>
      <c r="J53" s="100">
        <f>IFERROR(VLOOKUP(Tablo517[[#This Row],[ÜRÜN KODU]],YMKODLARI!$A$1:$K$363,9,0)," ")</f>
        <v>3332</v>
      </c>
      <c r="K53" s="100" t="str">
        <f>IFERROR(VLOOKUP(Tablo517[[#This Row],[BOYA KODU]],Tablo14[#All],4,0)," ")</f>
        <v>E.PEMBE</v>
      </c>
      <c r="L53" s="100">
        <f>IFERROR(VLOOKUP(Tablo517[[#This Row],[BOYA KODU]],Tablo14[#All],6,0)," ")</f>
        <v>5.0000000000000001E-3</v>
      </c>
      <c r="M53" s="100">
        <f t="shared" si="0"/>
        <v>48.26700000000001</v>
      </c>
      <c r="N53" s="100" t="str">
        <f>IFERROR(VLOOKUP(Tablo517[[#This Row],[ÜRÜN KODU]],YMKODLARI!$A$1:$K$363,8,0)," ")</f>
        <v>HM 002</v>
      </c>
      <c r="O53" s="100" t="str">
        <f>IFERROR(VLOOKUP(Tablo517[[#This Row],[HAMMADDE KODU]],Tablo1[#All],3,0)," ")</f>
        <v>NOVAREX</v>
      </c>
      <c r="P53" s="100" t="str">
        <f>IFERROR(VLOOKUP(Tablo517[[#This Row],[HAMMADDE KODU]],Tablo1[#All],4,0)," ")</f>
        <v>PİNHAS</v>
      </c>
      <c r="Q53" s="100">
        <f>IFERROR(VLOOKUP(Tablo517[[#This Row],[ÜRÜN KODU]],YMKODLARI!$A$1:$K$363,5,0)," ")</f>
        <v>18.600000000000001</v>
      </c>
      <c r="R53" s="100">
        <f>IFERROR(VLOOKUP(Tablo517[[#This Row],[ÜRÜN KODU]],YMKODLARI!$A$1:$K$363,6,0)," ")</f>
        <v>16.7</v>
      </c>
      <c r="S53" s="100">
        <f>IFERROR(Tablo517[[#This Row],[YOLLUK HARİÇ BASKI GRAMI]]/Tablo517[[#This Row],[KALIP GÖZ ADEDİ]]," ")</f>
        <v>1.04375</v>
      </c>
      <c r="T53" s="100">
        <f t="shared" si="2"/>
        <v>1.9000000000000021</v>
      </c>
      <c r="U53" s="100">
        <v>2</v>
      </c>
      <c r="V53" s="100">
        <f t="shared" si="1"/>
        <v>10.667299999999999</v>
      </c>
      <c r="W53" s="101">
        <f t="shared" si="3"/>
        <v>24.125</v>
      </c>
      <c r="X53" s="102">
        <f t="shared" si="4"/>
        <v>3</v>
      </c>
      <c r="Y53" s="100">
        <f t="shared" si="5"/>
        <v>2.8833333333333333</v>
      </c>
      <c r="Z53" s="100">
        <f t="shared" si="6"/>
        <v>8304</v>
      </c>
    </row>
    <row r="54" spans="1:26">
      <c r="A54" s="100" t="s">
        <v>70</v>
      </c>
      <c r="B54" s="108" t="str">
        <f>IFERROR(VLOOKUP(Tablo517[[#This Row],[ÜRÜN KODU]],YMKODLARI!$A$1:$K$363,2,0)," ")</f>
        <v>DAMAK EMZİK SAP</v>
      </c>
      <c r="C54" s="99">
        <v>43942</v>
      </c>
      <c r="D54" s="100" t="s">
        <v>37</v>
      </c>
      <c r="E54" s="101">
        <v>0.46527777777777773</v>
      </c>
      <c r="F54" s="101">
        <v>0.58333333333333337</v>
      </c>
      <c r="G54" s="100">
        <f>IFERROR(VLOOKUP(Tablo517[[#This Row],[ÜRÜN KODU]],YMKODLARI!$A$1:$K$363,3,0)," ")</f>
        <v>16</v>
      </c>
      <c r="H54" s="100">
        <f>IFERROR(VLOOKUP(Tablo517[[#This Row],[ÜRÜN KODU]],YMKODLARI!$A$1:$K$363,4,0)," ")</f>
        <v>20</v>
      </c>
      <c r="I54" s="100">
        <v>336</v>
      </c>
      <c r="J54" s="100" t="str">
        <f>IFERROR(VLOOKUP(Tablo517[[#This Row],[ÜRÜN KODU]],YMKODLARI!$A$1:$K$363,9,0)," ")</f>
        <v>5249A</v>
      </c>
      <c r="K54" s="100" t="str">
        <f>IFERROR(VLOOKUP(Tablo517[[#This Row],[BOYA KODU]],Tablo14[#All],4,0)," ")</f>
        <v>MAVİ</v>
      </c>
      <c r="L54" s="100">
        <f>IFERROR(VLOOKUP(Tablo517[[#This Row],[BOYA KODU]],Tablo14[#All],6,0)," ")</f>
        <v>5.0000000000000001E-3</v>
      </c>
      <c r="M54" s="100">
        <f t="shared" si="0"/>
        <v>31.248000000000001</v>
      </c>
      <c r="N54" s="100" t="str">
        <f>IFERROR(VLOOKUP(Tablo517[[#This Row],[ÜRÜN KODU]],YMKODLARI!$A$1:$K$363,8,0)," ")</f>
        <v>HM 002</v>
      </c>
      <c r="O54" s="100" t="str">
        <f>IFERROR(VLOOKUP(Tablo517[[#This Row],[HAMMADDE KODU]],Tablo1[#All],3,0)," ")</f>
        <v>NOVAREX</v>
      </c>
      <c r="P54" s="100" t="str">
        <f>IFERROR(VLOOKUP(Tablo517[[#This Row],[HAMMADDE KODU]],Tablo1[#All],4,0)," ")</f>
        <v>PİNHAS</v>
      </c>
      <c r="Q54" s="100">
        <f>IFERROR(VLOOKUP(Tablo517[[#This Row],[ÜRÜN KODU]],YMKODLARI!$A$1:$K$363,5,0)," ")</f>
        <v>18.600000000000001</v>
      </c>
      <c r="R54" s="100">
        <f>IFERROR(VLOOKUP(Tablo517[[#This Row],[ÜRÜN KODU]],YMKODLARI!$A$1:$K$363,6,0)," ")</f>
        <v>16.7</v>
      </c>
      <c r="S54" s="100">
        <f>IFERROR(Tablo517[[#This Row],[YOLLUK HARİÇ BASKI GRAMI]]/Tablo517[[#This Row],[KALIP GÖZ ADEDİ]]," ")</f>
        <v>1.04375</v>
      </c>
      <c r="T54" s="100">
        <f t="shared" si="2"/>
        <v>1.9000000000000021</v>
      </c>
      <c r="U54" s="100">
        <v>1</v>
      </c>
      <c r="V54" s="100">
        <f t="shared" si="1"/>
        <v>6.6112000000000002</v>
      </c>
      <c r="W54" s="101">
        <f t="shared" si="3"/>
        <v>24.118055555555557</v>
      </c>
      <c r="X54" s="102">
        <f t="shared" si="4"/>
        <v>2.8333333333333712</v>
      </c>
      <c r="Y54" s="100">
        <f t="shared" si="5"/>
        <v>1.8666666666666667</v>
      </c>
      <c r="Z54" s="100">
        <f t="shared" si="6"/>
        <v>5376</v>
      </c>
    </row>
    <row r="55" spans="1:26">
      <c r="A55" s="100" t="s">
        <v>56</v>
      </c>
      <c r="B55" s="108" t="str">
        <f>IFERROR(VLOOKUP(Tablo517[[#This Row],[ÜRÜN KODU]],YMKODLARI!$A$1:$K$363,2,0)," ")</f>
        <v>DAMAK EMZİK SAP</v>
      </c>
      <c r="C55" s="99">
        <v>43943</v>
      </c>
      <c r="D55" s="100" t="s">
        <v>37</v>
      </c>
      <c r="E55" s="101">
        <v>0.60069444444444442</v>
      </c>
      <c r="F55" s="101">
        <v>0.64930555555555558</v>
      </c>
      <c r="G55" s="100">
        <f>IFERROR(VLOOKUP(Tablo517[[#This Row],[ÜRÜN KODU]],YMKODLARI!$A$1:$K$363,3,0)," ")</f>
        <v>16</v>
      </c>
      <c r="H55" s="100">
        <f>IFERROR(VLOOKUP(Tablo517[[#This Row],[ÜRÜN KODU]],YMKODLARI!$A$1:$K$363,4,0)," ")</f>
        <v>20</v>
      </c>
      <c r="I55" s="100">
        <v>199</v>
      </c>
      <c r="J55" s="100" t="str">
        <f>IFERROR(VLOOKUP(Tablo517[[#This Row],[ÜRÜN KODU]],YMKODLARI!$A$1:$K$363,9,0)," ")</f>
        <v>708GN0539G</v>
      </c>
      <c r="K55" s="100" t="str">
        <f>IFERROR(VLOOKUP(Tablo517[[#This Row],[BOYA KODU]],Tablo14[#All],4,0)," ")</f>
        <v>T.YEŞİL</v>
      </c>
      <c r="L55" s="100">
        <f>IFERROR(VLOOKUP(Tablo517[[#This Row],[BOYA KODU]],Tablo14[#All],6,0)," ")</f>
        <v>2E-3</v>
      </c>
      <c r="M55" s="100">
        <f t="shared" si="0"/>
        <v>7.4028</v>
      </c>
      <c r="N55" s="100" t="str">
        <f>IFERROR(VLOOKUP(Tablo517[[#This Row],[ÜRÜN KODU]],YMKODLARI!$A$1:$K$363,8,0)," ")</f>
        <v>HM 002</v>
      </c>
      <c r="O55" s="100" t="str">
        <f>IFERROR(VLOOKUP(Tablo517[[#This Row],[HAMMADDE KODU]],Tablo1[#All],3,0)," ")</f>
        <v>NOVAREX</v>
      </c>
      <c r="P55" s="100" t="str">
        <f>IFERROR(VLOOKUP(Tablo517[[#This Row],[HAMMADDE KODU]],Tablo1[#All],4,0)," ")</f>
        <v>PİNHAS</v>
      </c>
      <c r="Q55" s="100">
        <f>IFERROR(VLOOKUP(Tablo517[[#This Row],[ÜRÜN KODU]],YMKODLARI!$A$1:$K$363,5,0)," ")</f>
        <v>18.600000000000001</v>
      </c>
      <c r="R55" s="100">
        <f>IFERROR(VLOOKUP(Tablo517[[#This Row],[ÜRÜN KODU]],YMKODLARI!$A$1:$K$363,6,0)," ")</f>
        <v>16.7</v>
      </c>
      <c r="S55" s="100">
        <f>IFERROR(Tablo517[[#This Row],[YOLLUK HARİÇ BASKI GRAMI]]/Tablo517[[#This Row],[KALIP GÖZ ADEDİ]]," ")</f>
        <v>1.04375</v>
      </c>
      <c r="T55" s="100">
        <f t="shared" si="2"/>
        <v>1.9000000000000021</v>
      </c>
      <c r="U55" s="100">
        <v>0.74</v>
      </c>
      <c r="V55" s="100">
        <f t="shared" si="1"/>
        <v>4.0632999999999999</v>
      </c>
      <c r="W55" s="101">
        <f t="shared" si="3"/>
        <v>24.048611111111111</v>
      </c>
      <c r="X55" s="102">
        <f t="shared" si="4"/>
        <v>1.1666666666666572</v>
      </c>
      <c r="Y55" s="100">
        <f t="shared" si="5"/>
        <v>1.1055555555555556</v>
      </c>
      <c r="Z55" s="100">
        <f t="shared" si="6"/>
        <v>3184</v>
      </c>
    </row>
    <row r="56" spans="1:26">
      <c r="A56" s="100" t="s">
        <v>71</v>
      </c>
      <c r="B56" s="108" t="str">
        <f>IFERROR(VLOOKUP(Tablo517[[#This Row],[ÜRÜN KODU]],YMKODLARI!$A$1:$K$363,2,0)," ")</f>
        <v>EMZİK ASKISI KISKAÇ ERKEK</v>
      </c>
      <c r="C56" s="99">
        <v>43971</v>
      </c>
      <c r="D56" s="100" t="s">
        <v>37</v>
      </c>
      <c r="E56" s="101">
        <v>0.59375</v>
      </c>
      <c r="F56" s="101">
        <v>0.62291666666666667</v>
      </c>
      <c r="G56" s="100">
        <f>IFERROR(VLOOKUP(Tablo517[[#This Row],[ÜRÜN KODU]],YMKODLARI!$A$1:$K$363,3,0)," ")</f>
        <v>4</v>
      </c>
      <c r="H56" s="100">
        <f>IFERROR(VLOOKUP(Tablo517[[#This Row],[ÜRÜN KODU]],YMKODLARI!$A$1:$K$363,4,0)," ")</f>
        <v>25</v>
      </c>
      <c r="I56" s="100">
        <v>97</v>
      </c>
      <c r="J56" s="100" t="str">
        <f>IFERROR(VLOOKUP(Tablo517[[#This Row],[ÜRÜN KODU]],YMKODLARI!$A$1:$K$363,9,0)," ")</f>
        <v>708GN0539G</v>
      </c>
      <c r="K56" s="100" t="str">
        <f>IFERROR(VLOOKUP(Tablo517[[#This Row],[BOYA KODU]],Tablo14[#All],4,0)," ")</f>
        <v>T.YEŞİL</v>
      </c>
      <c r="L56" s="100">
        <f>IFERROR(VLOOKUP(Tablo517[[#This Row],[BOYA KODU]],Tablo14[#All],6,0)," ")</f>
        <v>2E-3</v>
      </c>
      <c r="M56" s="100">
        <f t="shared" si="0"/>
        <v>2.3862000000000005</v>
      </c>
      <c r="N56" s="100" t="str">
        <f>IFERROR(VLOOKUP(Tablo517[[#This Row],[ÜRÜN KODU]],YMKODLARI!$A$1:$K$363,8,0)," ")</f>
        <v>HM 002</v>
      </c>
      <c r="O56" s="100" t="str">
        <f>IFERROR(VLOOKUP(Tablo517[[#This Row],[HAMMADDE KODU]],Tablo1[#All],3,0)," ")</f>
        <v>NOVAREX</v>
      </c>
      <c r="P56" s="100" t="str">
        <f>IFERROR(VLOOKUP(Tablo517[[#This Row],[HAMMADDE KODU]],Tablo1[#All],4,0)," ")</f>
        <v>PİNHAS</v>
      </c>
      <c r="Q56" s="100">
        <f>IFERROR(VLOOKUP(Tablo517[[#This Row],[ÜRÜN KODU]],YMKODLARI!$A$1:$K$363,5,0)," ")</f>
        <v>12.3</v>
      </c>
      <c r="R56" s="100">
        <f>IFERROR(VLOOKUP(Tablo517[[#This Row],[ÜRÜN KODU]],YMKODLARI!$A$1:$K$363,6,0)," ")</f>
        <v>12.3</v>
      </c>
      <c r="S56" s="100">
        <f>IFERROR(Tablo517[[#This Row],[YOLLUK HARİÇ BASKI GRAMI]]/Tablo517[[#This Row],[KALIP GÖZ ADEDİ]]," ")</f>
        <v>3.0750000000000002</v>
      </c>
      <c r="T56" s="100">
        <f t="shared" si="2"/>
        <v>0</v>
      </c>
      <c r="U56" s="100">
        <v>2.2000000000000002</v>
      </c>
      <c r="V56" s="100">
        <f t="shared" si="1"/>
        <v>3.3931000000000004</v>
      </c>
      <c r="W56" s="101">
        <f t="shared" si="3"/>
        <v>24.029166666666665</v>
      </c>
      <c r="X56" s="102">
        <f t="shared" si="4"/>
        <v>0.69999999999996021</v>
      </c>
      <c r="Y56" s="100">
        <f t="shared" si="5"/>
        <v>0.67361111111111116</v>
      </c>
      <c r="Z56" s="100">
        <f t="shared" si="6"/>
        <v>388</v>
      </c>
    </row>
    <row r="57" spans="1:26">
      <c r="A57" s="100" t="s">
        <v>72</v>
      </c>
      <c r="B57" s="108" t="str">
        <f>IFERROR(VLOOKUP(Tablo517[[#This Row],[ÜRÜN KODU]],YMKODLARI!$A$1:$K$363,2,0)," ")</f>
        <v>EMZİK ASKISI KISKAÇ DİŞİ</v>
      </c>
      <c r="C57" s="99">
        <v>43971</v>
      </c>
      <c r="D57" s="100" t="s">
        <v>37</v>
      </c>
      <c r="E57" s="101">
        <v>0.59375</v>
      </c>
      <c r="F57" s="101">
        <v>0.62291666666666667</v>
      </c>
      <c r="G57" s="100">
        <f>IFERROR(VLOOKUP(Tablo517[[#This Row],[ÜRÜN KODU]],YMKODLARI!$A$1:$K$363,3,0)," ")</f>
        <v>4</v>
      </c>
      <c r="H57" s="100">
        <f>IFERROR(VLOOKUP(Tablo517[[#This Row],[ÜRÜN KODU]],YMKODLARI!$A$1:$K$363,4,0)," ")</f>
        <v>25</v>
      </c>
      <c r="I57" s="100">
        <v>97</v>
      </c>
      <c r="J57" s="100" t="str">
        <f>IFERROR(VLOOKUP(Tablo517[[#This Row],[ÜRÜN KODU]],YMKODLARI!$A$1:$K$363,9,0)," ")</f>
        <v>708GN0539G</v>
      </c>
      <c r="K57" s="100" t="str">
        <f>IFERROR(VLOOKUP(Tablo517[[#This Row],[BOYA KODU]],Tablo14[#All],4,0)," ")</f>
        <v>T.YEŞİL</v>
      </c>
      <c r="L57" s="100">
        <f>IFERROR(VLOOKUP(Tablo517[[#This Row],[BOYA KODU]],Tablo14[#All],6,0)," ")</f>
        <v>2E-3</v>
      </c>
      <c r="M57" s="100">
        <f t="shared" si="0"/>
        <v>2.7742000000000004</v>
      </c>
      <c r="N57" s="100" t="str">
        <f>IFERROR(VLOOKUP(Tablo517[[#This Row],[ÜRÜN KODU]],YMKODLARI!$A$1:$K$363,8,0)," ")</f>
        <v>HM 002</v>
      </c>
      <c r="O57" s="100" t="str">
        <f>IFERROR(VLOOKUP(Tablo517[[#This Row],[HAMMADDE KODU]],Tablo1[#All],3,0)," ")</f>
        <v>NOVAREX</v>
      </c>
      <c r="P57" s="100" t="str">
        <f>IFERROR(VLOOKUP(Tablo517[[#This Row],[HAMMADDE KODU]],Tablo1[#All],4,0)," ")</f>
        <v>PİNHAS</v>
      </c>
      <c r="Q57" s="100">
        <f>IFERROR(VLOOKUP(Tablo517[[#This Row],[ÜRÜN KODU]],YMKODLARI!$A$1:$K$363,5,0)," ")</f>
        <v>14.3</v>
      </c>
      <c r="R57" s="100">
        <f>IFERROR(VLOOKUP(Tablo517[[#This Row],[ÜRÜN KODU]],YMKODLARI!$A$1:$K$363,6,0)," ")</f>
        <v>11.8</v>
      </c>
      <c r="S57" s="100">
        <f>IFERROR(Tablo517[[#This Row],[YOLLUK HARİÇ BASKI GRAMI]]/Tablo517[[#This Row],[KALIP GÖZ ADEDİ]]," ")</f>
        <v>2.95</v>
      </c>
      <c r="T57" s="100">
        <f t="shared" si="2"/>
        <v>2.5</v>
      </c>
      <c r="U57" s="100">
        <v>3.5</v>
      </c>
      <c r="V57" s="100">
        <f t="shared" si="1"/>
        <v>4.6446000000000005</v>
      </c>
      <c r="W57" s="101">
        <f t="shared" si="3"/>
        <v>24.029166666666665</v>
      </c>
      <c r="X57" s="102">
        <f t="shared" si="4"/>
        <v>0.69999999999996021</v>
      </c>
      <c r="Y57" s="100">
        <f t="shared" si="5"/>
        <v>0.67361111111111116</v>
      </c>
      <c r="Z57" s="100">
        <f t="shared" si="6"/>
        <v>388</v>
      </c>
    </row>
    <row r="58" spans="1:26">
      <c r="A58" s="100" t="s">
        <v>73</v>
      </c>
      <c r="B58" s="108" t="str">
        <f>IFERROR(VLOOKUP(Tablo517[[#This Row],[ÜRÜN KODU]],YMKODLARI!$A$1:$K$363,2,0)," ")</f>
        <v xml:space="preserve"> </v>
      </c>
      <c r="C58" s="99">
        <v>43971</v>
      </c>
      <c r="D58" s="100" t="s">
        <v>37</v>
      </c>
      <c r="E58" s="101">
        <v>0.63402777777777775</v>
      </c>
      <c r="F58" s="101">
        <v>0.75</v>
      </c>
      <c r="G58" s="100" t="str">
        <f>IFERROR(VLOOKUP(Tablo517[[#This Row],[ÜRÜN KODU]],YMKODLARI!$A$1:$K$363,3,0)," ")</f>
        <v xml:space="preserve"> </v>
      </c>
      <c r="H58" s="100" t="str">
        <f>IFERROR(VLOOKUP(Tablo517[[#This Row],[ÜRÜN KODU]],YMKODLARI!$A$1:$K$363,4,0)," ")</f>
        <v xml:space="preserve"> </v>
      </c>
      <c r="I58" s="100">
        <v>363</v>
      </c>
      <c r="J58" s="100" t="str">
        <f>IFERROR(VLOOKUP(Tablo517[[#This Row],[ÜRÜN KODU]],YMKODLARI!$A$1:$K$363,9,0)," ")</f>
        <v xml:space="preserve"> </v>
      </c>
      <c r="K58" s="100" t="str">
        <f>IFERROR(VLOOKUP(Tablo517[[#This Row],[BOYA KODU]],Tablo14[#All],4,0)," ")</f>
        <v xml:space="preserve"> </v>
      </c>
      <c r="L58" s="100" t="str">
        <f>IFERROR(VLOOKUP(Tablo517[[#This Row],[BOYA KODU]],Tablo14[#All],6,0)," ")</f>
        <v xml:space="preserve"> </v>
      </c>
      <c r="M58" s="100" t="str">
        <f t="shared" si="0"/>
        <v xml:space="preserve"> </v>
      </c>
      <c r="N58" s="100" t="str">
        <f>IFERROR(VLOOKUP(Tablo517[[#This Row],[ÜRÜN KODU]],YMKODLARI!$A$1:$K$363,8,0)," ")</f>
        <v xml:space="preserve"> </v>
      </c>
      <c r="O58" s="100" t="str">
        <f>IFERROR(VLOOKUP(Tablo517[[#This Row],[HAMMADDE KODU]],Tablo1[#All],3,0)," ")</f>
        <v xml:space="preserve"> </v>
      </c>
      <c r="P58" s="100" t="str">
        <f>IFERROR(VLOOKUP(Tablo517[[#This Row],[HAMMADDE KODU]],Tablo1[#All],4,0)," ")</f>
        <v xml:space="preserve"> </v>
      </c>
      <c r="Q58" s="100" t="str">
        <f>IFERROR(VLOOKUP(Tablo517[[#This Row],[ÜRÜN KODU]],YMKODLARI!$A$1:$K$363,5,0)," ")</f>
        <v xml:space="preserve"> </v>
      </c>
      <c r="R58" s="100" t="str">
        <f>IFERROR(VLOOKUP(Tablo517[[#This Row],[ÜRÜN KODU]],YMKODLARI!$A$1:$K$363,6,0)," ")</f>
        <v xml:space="preserve"> </v>
      </c>
      <c r="S58" s="100" t="str">
        <f>IFERROR(Tablo517[[#This Row],[YOLLUK HARİÇ BASKI GRAMI]]/Tablo517[[#This Row],[KALIP GÖZ ADEDİ]]," ")</f>
        <v xml:space="preserve"> </v>
      </c>
      <c r="T58" s="100" t="str">
        <f t="shared" si="2"/>
        <v xml:space="preserve"> </v>
      </c>
      <c r="U58" s="100">
        <v>3.5</v>
      </c>
      <c r="V58" s="100" t="str">
        <f t="shared" si="1"/>
        <v xml:space="preserve"> </v>
      </c>
      <c r="W58" s="101">
        <f t="shared" si="3"/>
        <v>24.115972222222222</v>
      </c>
      <c r="X58" s="102">
        <f t="shared" si="4"/>
        <v>2.7833333333333314</v>
      </c>
      <c r="Y58" s="100" t="str">
        <f t="shared" si="5"/>
        <v xml:space="preserve"> </v>
      </c>
      <c r="Z58" s="100" t="str">
        <f t="shared" si="6"/>
        <v xml:space="preserve"> </v>
      </c>
    </row>
    <row r="59" spans="1:26">
      <c r="A59" s="100" t="s">
        <v>74</v>
      </c>
      <c r="B59" s="108" t="str">
        <f>IFERROR(VLOOKUP(Tablo517[[#This Row],[ÜRÜN KODU]],YMKODLARI!$A$1:$K$363,2,0)," ")</f>
        <v xml:space="preserve"> </v>
      </c>
      <c r="C59" s="99">
        <v>43971</v>
      </c>
      <c r="D59" s="100" t="s">
        <v>37</v>
      </c>
      <c r="E59" s="101">
        <v>0.63402777777777775</v>
      </c>
      <c r="F59" s="101">
        <v>0.75</v>
      </c>
      <c r="G59" s="100" t="str">
        <f>IFERROR(VLOOKUP(Tablo517[[#This Row],[ÜRÜN KODU]],YMKODLARI!$A$1:$K$363,3,0)," ")</f>
        <v xml:space="preserve"> </v>
      </c>
      <c r="H59" s="100" t="str">
        <f>IFERROR(VLOOKUP(Tablo517[[#This Row],[ÜRÜN KODU]],YMKODLARI!$A$1:$K$363,4,0)," ")</f>
        <v xml:space="preserve"> </v>
      </c>
      <c r="I59" s="100">
        <v>363</v>
      </c>
      <c r="J59" s="100" t="str">
        <f>IFERROR(VLOOKUP(Tablo517[[#This Row],[ÜRÜN KODU]],YMKODLARI!$A$1:$K$363,9,0)," ")</f>
        <v xml:space="preserve"> </v>
      </c>
      <c r="K59" s="100" t="str">
        <f>IFERROR(VLOOKUP(Tablo517[[#This Row],[BOYA KODU]],Tablo14[#All],4,0)," ")</f>
        <v xml:space="preserve"> </v>
      </c>
      <c r="L59" s="100" t="str">
        <f>IFERROR(VLOOKUP(Tablo517[[#This Row],[BOYA KODU]],Tablo14[#All],6,0)," ")</f>
        <v xml:space="preserve"> </v>
      </c>
      <c r="M59" s="100" t="str">
        <f t="shared" si="0"/>
        <v xml:space="preserve"> </v>
      </c>
      <c r="N59" s="100" t="str">
        <f>IFERROR(VLOOKUP(Tablo517[[#This Row],[ÜRÜN KODU]],YMKODLARI!$A$1:$K$363,8,0)," ")</f>
        <v xml:space="preserve"> </v>
      </c>
      <c r="O59" s="100" t="str">
        <f>IFERROR(VLOOKUP(Tablo517[[#This Row],[HAMMADDE KODU]],Tablo1[#All],3,0)," ")</f>
        <v xml:space="preserve"> </v>
      </c>
      <c r="P59" s="100" t="str">
        <f>IFERROR(VLOOKUP(Tablo517[[#This Row],[HAMMADDE KODU]],Tablo1[#All],4,0)," ")</f>
        <v xml:space="preserve"> </v>
      </c>
      <c r="Q59" s="100" t="str">
        <f>IFERROR(VLOOKUP(Tablo517[[#This Row],[ÜRÜN KODU]],YMKODLARI!$A$1:$K$363,5,0)," ")</f>
        <v xml:space="preserve"> </v>
      </c>
      <c r="R59" s="100" t="str">
        <f>IFERROR(VLOOKUP(Tablo517[[#This Row],[ÜRÜN KODU]],YMKODLARI!$A$1:$K$363,6,0)," ")</f>
        <v xml:space="preserve"> </v>
      </c>
      <c r="S59" s="100" t="str">
        <f>IFERROR(Tablo517[[#This Row],[YOLLUK HARİÇ BASKI GRAMI]]/Tablo517[[#This Row],[KALIP GÖZ ADEDİ]]," ")</f>
        <v xml:space="preserve"> </v>
      </c>
      <c r="T59" s="100" t="str">
        <f t="shared" si="2"/>
        <v xml:space="preserve"> </v>
      </c>
      <c r="U59" s="100">
        <v>2.1</v>
      </c>
      <c r="V59" s="100" t="str">
        <f t="shared" si="1"/>
        <v xml:space="preserve"> </v>
      </c>
      <c r="W59" s="101">
        <f t="shared" si="3"/>
        <v>24.115972222222222</v>
      </c>
      <c r="X59" s="102">
        <f t="shared" si="4"/>
        <v>2.7833333333333314</v>
      </c>
      <c r="Y59" s="100" t="str">
        <f t="shared" si="5"/>
        <v xml:space="preserve"> </v>
      </c>
      <c r="Z59" s="100" t="str">
        <f t="shared" si="6"/>
        <v xml:space="preserve"> </v>
      </c>
    </row>
    <row r="60" spans="1:26">
      <c r="A60" s="100" t="s">
        <v>73</v>
      </c>
      <c r="B60" s="108" t="str">
        <f>IFERROR(VLOOKUP(Tablo517[[#This Row],[ÜRÜN KODU]],YMKODLARI!$A$1:$K$363,2,0)," ")</f>
        <v xml:space="preserve"> </v>
      </c>
      <c r="C60" s="99">
        <v>43972</v>
      </c>
      <c r="D60" s="100" t="s">
        <v>29</v>
      </c>
      <c r="E60" s="101">
        <v>0.33333333333333331</v>
      </c>
      <c r="F60" s="101">
        <v>0.64097222222222217</v>
      </c>
      <c r="G60" s="100" t="str">
        <f>IFERROR(VLOOKUP(Tablo517[[#This Row],[ÜRÜN KODU]],YMKODLARI!$A$1:$K$363,3,0)," ")</f>
        <v xml:space="preserve"> </v>
      </c>
      <c r="H60" s="100" t="str">
        <f>IFERROR(VLOOKUP(Tablo517[[#This Row],[ÜRÜN KODU]],YMKODLARI!$A$1:$K$363,4,0)," ")</f>
        <v xml:space="preserve"> </v>
      </c>
      <c r="I60" s="100">
        <v>906</v>
      </c>
      <c r="J60" s="100" t="str">
        <f>IFERROR(VLOOKUP(Tablo517[[#This Row],[ÜRÜN KODU]],YMKODLARI!$A$1:$K$363,9,0)," ")</f>
        <v xml:space="preserve"> </v>
      </c>
      <c r="K60" s="100" t="str">
        <f>IFERROR(VLOOKUP(Tablo517[[#This Row],[BOYA KODU]],Tablo14[#All],4,0)," ")</f>
        <v xml:space="preserve"> </v>
      </c>
      <c r="L60" s="100" t="str">
        <f>IFERROR(VLOOKUP(Tablo517[[#This Row],[BOYA KODU]],Tablo14[#All],6,0)," ")</f>
        <v xml:space="preserve"> </v>
      </c>
      <c r="M60" s="100" t="str">
        <f t="shared" si="0"/>
        <v xml:space="preserve"> </v>
      </c>
      <c r="N60" s="100" t="str">
        <f>IFERROR(VLOOKUP(Tablo517[[#This Row],[ÜRÜN KODU]],YMKODLARI!$A$1:$K$363,8,0)," ")</f>
        <v xml:space="preserve"> </v>
      </c>
      <c r="O60" s="100" t="str">
        <f>IFERROR(VLOOKUP(Tablo517[[#This Row],[HAMMADDE KODU]],Tablo1[#All],3,0)," ")</f>
        <v xml:space="preserve"> </v>
      </c>
      <c r="P60" s="100" t="str">
        <f>IFERROR(VLOOKUP(Tablo517[[#This Row],[HAMMADDE KODU]],Tablo1[#All],4,0)," ")</f>
        <v xml:space="preserve"> </v>
      </c>
      <c r="Q60" s="100" t="str">
        <f>IFERROR(VLOOKUP(Tablo517[[#This Row],[ÜRÜN KODU]],YMKODLARI!$A$1:$K$363,5,0)," ")</f>
        <v xml:space="preserve"> </v>
      </c>
      <c r="R60" s="100" t="str">
        <f>IFERROR(VLOOKUP(Tablo517[[#This Row],[ÜRÜN KODU]],YMKODLARI!$A$1:$K$363,6,0)," ")</f>
        <v xml:space="preserve"> </v>
      </c>
      <c r="S60" s="100" t="str">
        <f>IFERROR(Tablo517[[#This Row],[YOLLUK HARİÇ BASKI GRAMI]]/Tablo517[[#This Row],[KALIP GÖZ ADEDİ]]," ")</f>
        <v xml:space="preserve"> </v>
      </c>
      <c r="T60" s="100" t="str">
        <f t="shared" si="2"/>
        <v xml:space="preserve"> </v>
      </c>
      <c r="U60" s="100"/>
      <c r="V60" s="100" t="str">
        <f t="shared" si="1"/>
        <v xml:space="preserve"> </v>
      </c>
      <c r="W60" s="101">
        <f t="shared" si="3"/>
        <v>24.307638888888889</v>
      </c>
      <c r="X60" s="102">
        <f t="shared" si="4"/>
        <v>7.3833333333333258</v>
      </c>
      <c r="Y60" s="100" t="str">
        <f t="shared" si="5"/>
        <v xml:space="preserve"> </v>
      </c>
      <c r="Z60" s="100" t="str">
        <f t="shared" si="6"/>
        <v xml:space="preserve"> </v>
      </c>
    </row>
    <row r="61" spans="1:26">
      <c r="A61" s="100" t="s">
        <v>74</v>
      </c>
      <c r="B61" s="108" t="str">
        <f>IFERROR(VLOOKUP(Tablo517[[#This Row],[ÜRÜN KODU]],YMKODLARI!$A$1:$K$363,2,0)," ")</f>
        <v xml:space="preserve"> </v>
      </c>
      <c r="C61" s="99">
        <v>43972</v>
      </c>
      <c r="D61" s="100" t="s">
        <v>29</v>
      </c>
      <c r="E61" s="101">
        <v>0.33333333333333331</v>
      </c>
      <c r="F61" s="101">
        <v>0.64097222222222217</v>
      </c>
      <c r="G61" s="100" t="str">
        <f>IFERROR(VLOOKUP(Tablo517[[#This Row],[ÜRÜN KODU]],YMKODLARI!$A$1:$K$363,3,0)," ")</f>
        <v xml:space="preserve"> </v>
      </c>
      <c r="H61" s="100" t="str">
        <f>IFERROR(VLOOKUP(Tablo517[[#This Row],[ÜRÜN KODU]],YMKODLARI!$A$1:$K$363,4,0)," ")</f>
        <v xml:space="preserve"> </v>
      </c>
      <c r="I61" s="100">
        <v>906</v>
      </c>
      <c r="J61" s="100" t="str">
        <f>IFERROR(VLOOKUP(Tablo517[[#This Row],[ÜRÜN KODU]],YMKODLARI!$A$1:$K$363,9,0)," ")</f>
        <v xml:space="preserve"> </v>
      </c>
      <c r="K61" s="100" t="str">
        <f>IFERROR(VLOOKUP(Tablo517[[#This Row],[BOYA KODU]],Tablo14[#All],4,0)," ")</f>
        <v xml:space="preserve"> </v>
      </c>
      <c r="L61" s="100" t="str">
        <f>IFERROR(VLOOKUP(Tablo517[[#This Row],[BOYA KODU]],Tablo14[#All],6,0)," ")</f>
        <v xml:space="preserve"> </v>
      </c>
      <c r="M61" s="100" t="str">
        <f t="shared" si="0"/>
        <v xml:space="preserve"> </v>
      </c>
      <c r="N61" s="100" t="str">
        <f>IFERROR(VLOOKUP(Tablo517[[#This Row],[ÜRÜN KODU]],YMKODLARI!$A$1:$K$363,8,0)," ")</f>
        <v xml:space="preserve"> </v>
      </c>
      <c r="O61" s="100" t="str">
        <f>IFERROR(VLOOKUP(Tablo517[[#This Row],[HAMMADDE KODU]],Tablo1[#All],3,0)," ")</f>
        <v xml:space="preserve"> </v>
      </c>
      <c r="P61" s="100" t="str">
        <f>IFERROR(VLOOKUP(Tablo517[[#This Row],[HAMMADDE KODU]],Tablo1[#All],4,0)," ")</f>
        <v xml:space="preserve"> </v>
      </c>
      <c r="Q61" s="100" t="str">
        <f>IFERROR(VLOOKUP(Tablo517[[#This Row],[ÜRÜN KODU]],YMKODLARI!$A$1:$K$363,5,0)," ")</f>
        <v xml:space="preserve"> </v>
      </c>
      <c r="R61" s="100" t="str">
        <f>IFERROR(VLOOKUP(Tablo517[[#This Row],[ÜRÜN KODU]],YMKODLARI!$A$1:$K$363,6,0)," ")</f>
        <v xml:space="preserve"> </v>
      </c>
      <c r="S61" s="100" t="str">
        <f>IFERROR(Tablo517[[#This Row],[YOLLUK HARİÇ BASKI GRAMI]]/Tablo517[[#This Row],[KALIP GÖZ ADEDİ]]," ")</f>
        <v xml:space="preserve"> </v>
      </c>
      <c r="T61" s="100" t="str">
        <f t="shared" si="2"/>
        <v xml:space="preserve"> </v>
      </c>
      <c r="U61" s="100">
        <v>3.5</v>
      </c>
      <c r="V61" s="100" t="str">
        <f t="shared" si="1"/>
        <v xml:space="preserve"> </v>
      </c>
      <c r="W61" s="101">
        <f t="shared" si="3"/>
        <v>24.307638888888889</v>
      </c>
      <c r="X61" s="102">
        <f t="shared" si="4"/>
        <v>7.3833333333333258</v>
      </c>
      <c r="Y61" s="100" t="str">
        <f t="shared" si="5"/>
        <v xml:space="preserve"> </v>
      </c>
      <c r="Z61" s="100" t="str">
        <f t="shared" si="6"/>
        <v xml:space="preserve"> </v>
      </c>
    </row>
    <row r="62" spans="1:26">
      <c r="A62" s="100" t="s">
        <v>75</v>
      </c>
      <c r="B62" s="108" t="str">
        <f>IFERROR(VLOOKUP(Tablo517[[#This Row],[ÜRÜN KODU]],YMKODLARI!$A$1:$K$363,2,0)," ")</f>
        <v>MAMA KAŞIĞI TIPA</v>
      </c>
      <c r="C62" s="99">
        <v>43973</v>
      </c>
      <c r="D62" s="100" t="s">
        <v>29</v>
      </c>
      <c r="E62" s="101">
        <v>0.33333333333333331</v>
      </c>
      <c r="F62" s="101">
        <v>0.7104166666666667</v>
      </c>
      <c r="G62" s="100">
        <f>IFERROR(VLOOKUP(Tablo517[[#This Row],[ÜRÜN KODU]],YMKODLARI!$A$1:$K$363,3,0)," ")</f>
        <v>8</v>
      </c>
      <c r="H62" s="100">
        <f>IFERROR(VLOOKUP(Tablo517[[#This Row],[ÜRÜN KODU]],YMKODLARI!$A$1:$K$363,4,0)," ")</f>
        <v>23</v>
      </c>
      <c r="I62" s="100">
        <v>1042</v>
      </c>
      <c r="J62" s="100" t="str">
        <f>IFERROR(VLOOKUP(Tablo517[[#This Row],[ÜRÜN KODU]],YMKODLARI!$A$1:$K$363,9,0)," ")</f>
        <v>9134A</v>
      </c>
      <c r="K62" s="100" t="str">
        <f>IFERROR(VLOOKUP(Tablo517[[#This Row],[BOYA KODU]],Tablo14[#All],4,0)," ")</f>
        <v>BEYAZ</v>
      </c>
      <c r="L62" s="100">
        <f>IFERROR(VLOOKUP(Tablo517[[#This Row],[BOYA KODU]],Tablo14[#All],6,0)," ")</f>
        <v>7.0000000000000001E-3</v>
      </c>
      <c r="M62" s="100">
        <f t="shared" si="0"/>
        <v>52.516800000000003</v>
      </c>
      <c r="N62" s="100" t="str">
        <f>IFERROR(VLOOKUP(Tablo517[[#This Row],[ÜRÜN KODU]],YMKODLARI!$A$1:$K$363,8,0)," ")</f>
        <v>HM 001</v>
      </c>
      <c r="O62" s="100" t="str">
        <f>IFERROR(VLOOKUP(Tablo517[[#This Row],[HAMMADDE KODU]],Tablo1[#All],3,0)," ")</f>
        <v>CAPILENE</v>
      </c>
      <c r="P62" s="100" t="str">
        <f>IFERROR(VLOOKUP(Tablo517[[#This Row],[HAMMADDE KODU]],Tablo1[#All],4,0)," ")</f>
        <v>PİNHAS</v>
      </c>
      <c r="Q62" s="100">
        <f>IFERROR(VLOOKUP(Tablo517[[#This Row],[ÜRÜN KODU]],YMKODLARI!$A$1:$K$363,5,0)," ")</f>
        <v>7.2</v>
      </c>
      <c r="R62" s="100">
        <f>IFERROR(VLOOKUP(Tablo517[[#This Row],[ÜRÜN KODU]],YMKODLARI!$A$1:$K$363,6,0)," ")</f>
        <v>5</v>
      </c>
      <c r="S62" s="100">
        <f>IFERROR(Tablo517[[#This Row],[YOLLUK HARİÇ BASKI GRAMI]]/Tablo517[[#This Row],[KALIP GÖZ ADEDİ]]," ")</f>
        <v>0.625</v>
      </c>
      <c r="T62" s="100">
        <f t="shared" si="2"/>
        <v>2.2000000000000002</v>
      </c>
      <c r="U62" s="100">
        <v>3.7</v>
      </c>
      <c r="V62" s="100">
        <f t="shared" si="1"/>
        <v>8.91</v>
      </c>
      <c r="W62" s="101">
        <f t="shared" si="3"/>
        <v>24.377083333333335</v>
      </c>
      <c r="X62" s="102">
        <f t="shared" si="4"/>
        <v>9.0500000000000398</v>
      </c>
      <c r="Y62" s="100">
        <f t="shared" si="5"/>
        <v>6.6572222222222219</v>
      </c>
      <c r="Z62" s="100">
        <f t="shared" si="6"/>
        <v>8336</v>
      </c>
    </row>
    <row r="63" spans="1:26">
      <c r="A63" s="100" t="s">
        <v>75</v>
      </c>
      <c r="B63" s="108" t="str">
        <f>IFERROR(VLOOKUP(Tablo517[[#This Row],[ÜRÜN KODU]],YMKODLARI!$A$1:$K$363,2,0)," ")</f>
        <v>MAMA KAŞIĞI TIPA</v>
      </c>
      <c r="C63" s="99">
        <v>43978</v>
      </c>
      <c r="D63" s="100" t="s">
        <v>29</v>
      </c>
      <c r="E63" s="101">
        <v>0.33333333333333331</v>
      </c>
      <c r="F63" s="101">
        <v>0.44097222222222227</v>
      </c>
      <c r="G63" s="100">
        <f>IFERROR(VLOOKUP(Tablo517[[#This Row],[ÜRÜN KODU]],YMKODLARI!$A$1:$K$363,3,0)," ")</f>
        <v>8</v>
      </c>
      <c r="H63" s="100">
        <f>IFERROR(VLOOKUP(Tablo517[[#This Row],[ÜRÜN KODU]],YMKODLARI!$A$1:$K$363,4,0)," ")</f>
        <v>23</v>
      </c>
      <c r="I63" s="100">
        <v>297</v>
      </c>
      <c r="J63" s="100" t="str">
        <f>IFERROR(VLOOKUP(Tablo517[[#This Row],[ÜRÜN KODU]],YMKODLARI!$A$1:$K$363,9,0)," ")</f>
        <v>9134A</v>
      </c>
      <c r="K63" s="100" t="str">
        <f>IFERROR(VLOOKUP(Tablo517[[#This Row],[BOYA KODU]],Tablo14[#All],4,0)," ")</f>
        <v>BEYAZ</v>
      </c>
      <c r="L63" s="100">
        <f>IFERROR(VLOOKUP(Tablo517[[#This Row],[BOYA KODU]],Tablo14[#All],6,0)," ")</f>
        <v>7.0000000000000001E-3</v>
      </c>
      <c r="M63" s="100">
        <f t="shared" si="0"/>
        <v>14.968800000000002</v>
      </c>
      <c r="N63" s="100" t="str">
        <f>IFERROR(VLOOKUP(Tablo517[[#This Row],[ÜRÜN KODU]],YMKODLARI!$A$1:$K$363,8,0)," ")</f>
        <v>HM 001</v>
      </c>
      <c r="O63" s="100" t="str">
        <f>IFERROR(VLOOKUP(Tablo517[[#This Row],[HAMMADDE KODU]],Tablo1[#All],3,0)," ")</f>
        <v>CAPILENE</v>
      </c>
      <c r="P63" s="100" t="str">
        <f>IFERROR(VLOOKUP(Tablo517[[#This Row],[HAMMADDE KODU]],Tablo1[#All],4,0)," ")</f>
        <v>PİNHAS</v>
      </c>
      <c r="Q63" s="100">
        <f>IFERROR(VLOOKUP(Tablo517[[#This Row],[ÜRÜN KODU]],YMKODLARI!$A$1:$K$363,5,0)," ")</f>
        <v>7.2</v>
      </c>
      <c r="R63" s="100">
        <f>IFERROR(VLOOKUP(Tablo517[[#This Row],[ÜRÜN KODU]],YMKODLARI!$A$1:$K$363,6,0)," ")</f>
        <v>5</v>
      </c>
      <c r="S63" s="100">
        <f>IFERROR(Tablo517[[#This Row],[YOLLUK HARİÇ BASKI GRAMI]]/Tablo517[[#This Row],[KALIP GÖZ ADEDİ]]," ")</f>
        <v>0.625</v>
      </c>
      <c r="T63" s="100">
        <f t="shared" si="2"/>
        <v>2.2000000000000002</v>
      </c>
      <c r="U63" s="100"/>
      <c r="V63" s="100">
        <f t="shared" si="1"/>
        <v>1.4850000000000001</v>
      </c>
      <c r="W63" s="101">
        <f t="shared" si="3"/>
        <v>24.107638888888889</v>
      </c>
      <c r="X63" s="102">
        <f t="shared" si="4"/>
        <v>2.5833333333333428</v>
      </c>
      <c r="Y63" s="100">
        <f t="shared" si="5"/>
        <v>1.8975</v>
      </c>
      <c r="Z63" s="100">
        <f t="shared" si="6"/>
        <v>2376</v>
      </c>
    </row>
    <row r="64" spans="1:26">
      <c r="A64" s="100" t="s">
        <v>76</v>
      </c>
      <c r="B64" s="108" t="str">
        <f>IFERROR(VLOOKUP(Tablo517[[#This Row],[ÜRÜN KODU]],YMKODLARI!$A$1:$K$363,2,0)," ")</f>
        <v>MAMA KAŞIĞI TIPA</v>
      </c>
      <c r="C64" s="99">
        <v>43978</v>
      </c>
      <c r="D64" s="100" t="s">
        <v>36</v>
      </c>
      <c r="E64" s="101">
        <v>0.66666666666666663</v>
      </c>
      <c r="F64" s="101">
        <v>0.75</v>
      </c>
      <c r="G64" s="100">
        <f>IFERROR(VLOOKUP(Tablo517[[#This Row],[ÜRÜN KODU]],YMKODLARI!$A$1:$K$363,3,0)," ")</f>
        <v>8</v>
      </c>
      <c r="H64" s="100">
        <f>IFERROR(VLOOKUP(Tablo517[[#This Row],[ÜRÜN KODU]],YMKODLARI!$A$1:$K$363,4,0)," ")</f>
        <v>23</v>
      </c>
      <c r="I64" s="100">
        <v>518</v>
      </c>
      <c r="J64" s="100">
        <f>IFERROR(VLOOKUP(Tablo517[[#This Row],[ÜRÜN KODU]],YMKODLARI!$A$1:$K$363,9,0)," ")</f>
        <v>3409</v>
      </c>
      <c r="K64" s="100" t="str">
        <f>IFERROR(VLOOKUP(Tablo517[[#This Row],[BOYA KODU]],Tablo14[#All],4,0)," ")</f>
        <v>PEMBE</v>
      </c>
      <c r="L64" s="100">
        <f>IFERROR(VLOOKUP(Tablo517[[#This Row],[BOYA KODU]],Tablo14[#All],6,0)," ")</f>
        <v>5.0000000000000001E-3</v>
      </c>
      <c r="M64" s="100">
        <f t="shared" si="0"/>
        <v>18.648</v>
      </c>
      <c r="N64" s="100" t="str">
        <f>IFERROR(VLOOKUP(Tablo517[[#This Row],[ÜRÜN KODU]],YMKODLARI!$A$1:$K$363,8,0)," ")</f>
        <v>HM 001</v>
      </c>
      <c r="O64" s="100" t="str">
        <f>IFERROR(VLOOKUP(Tablo517[[#This Row],[HAMMADDE KODU]],Tablo1[#All],3,0)," ")</f>
        <v>CAPILENE</v>
      </c>
      <c r="P64" s="100" t="str">
        <f>IFERROR(VLOOKUP(Tablo517[[#This Row],[HAMMADDE KODU]],Tablo1[#All],4,0)," ")</f>
        <v>PİNHAS</v>
      </c>
      <c r="Q64" s="100">
        <f>IFERROR(VLOOKUP(Tablo517[[#This Row],[ÜRÜN KODU]],YMKODLARI!$A$1:$K$363,5,0)," ")</f>
        <v>7.2</v>
      </c>
      <c r="R64" s="100">
        <f>IFERROR(VLOOKUP(Tablo517[[#This Row],[ÜRÜN KODU]],YMKODLARI!$A$1:$K$363,6,0)," ")</f>
        <v>5</v>
      </c>
      <c r="S64" s="100">
        <f>IFERROR(Tablo517[[#This Row],[YOLLUK HARİÇ BASKI GRAMI]]/Tablo517[[#This Row],[KALIP GÖZ ADEDİ]]," ")</f>
        <v>0.625</v>
      </c>
      <c r="T64" s="100">
        <f t="shared" si="2"/>
        <v>2.2000000000000002</v>
      </c>
      <c r="U64" s="100"/>
      <c r="V64" s="100">
        <f t="shared" si="1"/>
        <v>2.59</v>
      </c>
      <c r="W64" s="101">
        <f t="shared" si="3"/>
        <v>24.083333333333332</v>
      </c>
      <c r="X64" s="102">
        <f t="shared" si="4"/>
        <v>1.9999999999999716</v>
      </c>
      <c r="Y64" s="100">
        <f t="shared" si="5"/>
        <v>3.3094444444444444</v>
      </c>
      <c r="Z64" s="100">
        <f t="shared" si="6"/>
        <v>4144</v>
      </c>
    </row>
    <row r="65" spans="1:26">
      <c r="A65" s="100" t="s">
        <v>76</v>
      </c>
      <c r="B65" s="108" t="str">
        <f>IFERROR(VLOOKUP(Tablo517[[#This Row],[ÜRÜN KODU]],YMKODLARI!$A$1:$K$363,2,0)," ")</f>
        <v>MAMA KAŞIĞI TIPA</v>
      </c>
      <c r="C65" s="99">
        <v>43979</v>
      </c>
      <c r="D65" s="100" t="s">
        <v>36</v>
      </c>
      <c r="E65" s="101">
        <v>0.33333333333333331</v>
      </c>
      <c r="F65" s="101">
        <v>0.64236111111111105</v>
      </c>
      <c r="G65" s="100">
        <f>IFERROR(VLOOKUP(Tablo517[[#This Row],[ÜRÜN KODU]],YMKODLARI!$A$1:$K$363,3,0)," ")</f>
        <v>8</v>
      </c>
      <c r="H65" s="100">
        <f>IFERROR(VLOOKUP(Tablo517[[#This Row],[ÜRÜN KODU]],YMKODLARI!$A$1:$K$363,4,0)," ")</f>
        <v>23</v>
      </c>
      <c r="I65" s="100">
        <v>1012</v>
      </c>
      <c r="J65" s="100">
        <f>IFERROR(VLOOKUP(Tablo517[[#This Row],[ÜRÜN KODU]],YMKODLARI!$A$1:$K$363,9,0)," ")</f>
        <v>3409</v>
      </c>
      <c r="K65" s="100" t="str">
        <f>IFERROR(VLOOKUP(Tablo517[[#This Row],[BOYA KODU]],Tablo14[#All],4,0)," ")</f>
        <v>PEMBE</v>
      </c>
      <c r="L65" s="100">
        <f>IFERROR(VLOOKUP(Tablo517[[#This Row],[BOYA KODU]],Tablo14[#All],6,0)," ")</f>
        <v>5.0000000000000001E-3</v>
      </c>
      <c r="M65" s="100">
        <f t="shared" si="0"/>
        <v>36.432000000000002</v>
      </c>
      <c r="N65" s="100" t="str">
        <f>IFERROR(VLOOKUP(Tablo517[[#This Row],[ÜRÜN KODU]],YMKODLARI!$A$1:$K$363,8,0)," ")</f>
        <v>HM 001</v>
      </c>
      <c r="O65" s="100" t="str">
        <f>IFERROR(VLOOKUP(Tablo517[[#This Row],[HAMMADDE KODU]],Tablo1[#All],3,0)," ")</f>
        <v>CAPILENE</v>
      </c>
      <c r="P65" s="100" t="str">
        <f>IFERROR(VLOOKUP(Tablo517[[#This Row],[HAMMADDE KODU]],Tablo1[#All],4,0)," ")</f>
        <v>PİNHAS</v>
      </c>
      <c r="Q65" s="100">
        <f>IFERROR(VLOOKUP(Tablo517[[#This Row],[ÜRÜN KODU]],YMKODLARI!$A$1:$K$363,5,0)," ")</f>
        <v>7.2</v>
      </c>
      <c r="R65" s="100">
        <f>IFERROR(VLOOKUP(Tablo517[[#This Row],[ÜRÜN KODU]],YMKODLARI!$A$1:$K$363,6,0)," ")</f>
        <v>5</v>
      </c>
      <c r="S65" s="100">
        <f>IFERROR(Tablo517[[#This Row],[YOLLUK HARİÇ BASKI GRAMI]]/Tablo517[[#This Row],[KALIP GÖZ ADEDİ]]," ")</f>
        <v>0.625</v>
      </c>
      <c r="T65" s="100">
        <f t="shared" si="2"/>
        <v>2.2000000000000002</v>
      </c>
      <c r="U65" s="100">
        <v>3.7</v>
      </c>
      <c r="V65" s="100">
        <f t="shared" si="1"/>
        <v>8.76</v>
      </c>
      <c r="W65" s="101">
        <f t="shared" si="3"/>
        <v>24.309027777777779</v>
      </c>
      <c r="X65" s="102">
        <f t="shared" si="4"/>
        <v>7.4166666666666856</v>
      </c>
      <c r="Y65" s="100">
        <f t="shared" si="5"/>
        <v>6.4655555555555555</v>
      </c>
      <c r="Z65" s="100">
        <f t="shared" si="6"/>
        <v>8096</v>
      </c>
    </row>
    <row r="66" spans="1:26">
      <c r="A66" s="100" t="s">
        <v>77</v>
      </c>
      <c r="B66" s="108" t="str">
        <f>IFERROR(VLOOKUP(Tablo517[[#This Row],[ÜRÜN KODU]],YMKODLARI!$A$1:$K$363,2,0)," ")</f>
        <v>MAMA KAŞIĞI TIPA</v>
      </c>
      <c r="C66" s="99">
        <v>43979</v>
      </c>
      <c r="D66" s="100" t="s">
        <v>36</v>
      </c>
      <c r="E66" s="101">
        <v>0.64583333333333337</v>
      </c>
      <c r="F66" s="101">
        <v>0.75</v>
      </c>
      <c r="G66" s="100">
        <f>IFERROR(VLOOKUP(Tablo517[[#This Row],[ÜRÜN KODU]],YMKODLARI!$A$1:$K$363,3,0)," ")</f>
        <v>8</v>
      </c>
      <c r="H66" s="100">
        <f>IFERROR(VLOOKUP(Tablo517[[#This Row],[ÜRÜN KODU]],YMKODLARI!$A$1:$K$363,4,0)," ")</f>
        <v>23</v>
      </c>
      <c r="I66" s="100">
        <v>223</v>
      </c>
      <c r="J66" s="100">
        <f>IFERROR(VLOOKUP(Tablo517[[#This Row],[ÜRÜN KODU]],YMKODLARI!$A$1:$K$363,9,0)," ")</f>
        <v>5287</v>
      </c>
      <c r="K66" s="100" t="str">
        <f>IFERROR(VLOOKUP(Tablo517[[#This Row],[BOYA KODU]],Tablo14[#All],4,0)," ")</f>
        <v>MAVİ</v>
      </c>
      <c r="L66" s="100">
        <f>IFERROR(VLOOKUP(Tablo517[[#This Row],[BOYA KODU]],Tablo14[#All],6,0)," ")</f>
        <v>5.0000000000000001E-3</v>
      </c>
      <c r="M66" s="100">
        <f t="shared" ref="M66:M129" si="8">IFERROR((I66*Q66)*L66," ")</f>
        <v>8.0280000000000005</v>
      </c>
      <c r="N66" s="100" t="str">
        <f>IFERROR(VLOOKUP(Tablo517[[#This Row],[ÜRÜN KODU]],YMKODLARI!$A$1:$K$363,8,0)," ")</f>
        <v>HM 001</v>
      </c>
      <c r="O66" s="100" t="str">
        <f>IFERROR(VLOOKUP(Tablo517[[#This Row],[HAMMADDE KODU]],Tablo1[#All],3,0)," ")</f>
        <v>CAPILENE</v>
      </c>
      <c r="P66" s="100" t="str">
        <f>IFERROR(VLOOKUP(Tablo517[[#This Row],[HAMMADDE KODU]],Tablo1[#All],4,0)," ")</f>
        <v>PİNHAS</v>
      </c>
      <c r="Q66" s="100">
        <f>IFERROR(VLOOKUP(Tablo517[[#This Row],[ÜRÜN KODU]],YMKODLARI!$A$1:$K$363,5,0)," ")</f>
        <v>7.2</v>
      </c>
      <c r="R66" s="100">
        <f>IFERROR(VLOOKUP(Tablo517[[#This Row],[ÜRÜN KODU]],YMKODLARI!$A$1:$K$363,6,0)," ")</f>
        <v>5</v>
      </c>
      <c r="S66" s="100">
        <f>IFERROR(Tablo517[[#This Row],[YOLLUK HARİÇ BASKI GRAMI]]/Tablo517[[#This Row],[KALIP GÖZ ADEDİ]]," ")</f>
        <v>0.625</v>
      </c>
      <c r="T66" s="100">
        <f t="shared" si="2"/>
        <v>2.2000000000000002</v>
      </c>
      <c r="U66" s="100"/>
      <c r="V66" s="100">
        <f t="shared" ref="V66:V129" si="9">IFERROR(U66+(R66*I66) /1000," ")</f>
        <v>1.115</v>
      </c>
      <c r="W66" s="101">
        <f t="shared" si="3"/>
        <v>24.104166666666668</v>
      </c>
      <c r="X66" s="102">
        <f t="shared" si="4"/>
        <v>2.5000000000000284</v>
      </c>
      <c r="Y66" s="100">
        <f t="shared" si="5"/>
        <v>1.4247222222222222</v>
      </c>
      <c r="Z66" s="100">
        <f t="shared" si="6"/>
        <v>1784</v>
      </c>
    </row>
    <row r="67" spans="1:26">
      <c r="A67" s="100" t="s">
        <v>77</v>
      </c>
      <c r="B67" s="108" t="str">
        <f>IFERROR(VLOOKUP(Tablo517[[#This Row],[ÜRÜN KODU]],YMKODLARI!$A$1:$K$363,2,0)," ")</f>
        <v>MAMA KAŞIĞI TIPA</v>
      </c>
      <c r="C67" s="99">
        <v>43980</v>
      </c>
      <c r="D67" s="100" t="s">
        <v>36</v>
      </c>
      <c r="E67" s="101">
        <v>0.33333333333333331</v>
      </c>
      <c r="F67" s="101">
        <v>0.63888888888888895</v>
      </c>
      <c r="G67" s="100">
        <f>IFERROR(VLOOKUP(Tablo517[[#This Row],[ÜRÜN KODU]],YMKODLARI!$A$1:$K$363,3,0)," ")</f>
        <v>8</v>
      </c>
      <c r="H67" s="100">
        <f>IFERROR(VLOOKUP(Tablo517[[#This Row],[ÜRÜN KODU]],YMKODLARI!$A$1:$K$363,4,0)," ")</f>
        <v>23</v>
      </c>
      <c r="I67" s="100">
        <v>900</v>
      </c>
      <c r="J67" s="100">
        <f>IFERROR(VLOOKUP(Tablo517[[#This Row],[ÜRÜN KODU]],YMKODLARI!$A$1:$K$363,9,0)," ")</f>
        <v>5287</v>
      </c>
      <c r="K67" s="100" t="str">
        <f>IFERROR(VLOOKUP(Tablo517[[#This Row],[BOYA KODU]],Tablo14[#All],4,0)," ")</f>
        <v>MAVİ</v>
      </c>
      <c r="L67" s="100">
        <f>IFERROR(VLOOKUP(Tablo517[[#This Row],[BOYA KODU]],Tablo14[#All],6,0)," ")</f>
        <v>5.0000000000000001E-3</v>
      </c>
      <c r="M67" s="100">
        <f t="shared" si="8"/>
        <v>32.4</v>
      </c>
      <c r="N67" s="100" t="str">
        <f>IFERROR(VLOOKUP(Tablo517[[#This Row],[ÜRÜN KODU]],YMKODLARI!$A$1:$K$363,8,0)," ")</f>
        <v>HM 001</v>
      </c>
      <c r="O67" s="100" t="str">
        <f>IFERROR(VLOOKUP(Tablo517[[#This Row],[HAMMADDE KODU]],Tablo1[#All],3,0)," ")</f>
        <v>CAPILENE</v>
      </c>
      <c r="P67" s="100" t="str">
        <f>IFERROR(VLOOKUP(Tablo517[[#This Row],[HAMMADDE KODU]],Tablo1[#All],4,0)," ")</f>
        <v>PİNHAS</v>
      </c>
      <c r="Q67" s="100">
        <f>IFERROR(VLOOKUP(Tablo517[[#This Row],[ÜRÜN KODU]],YMKODLARI!$A$1:$K$363,5,0)," ")</f>
        <v>7.2</v>
      </c>
      <c r="R67" s="100">
        <f>IFERROR(VLOOKUP(Tablo517[[#This Row],[ÜRÜN KODU]],YMKODLARI!$A$1:$K$363,6,0)," ")</f>
        <v>5</v>
      </c>
      <c r="S67" s="100">
        <f>IFERROR(Tablo517[[#This Row],[YOLLUK HARİÇ BASKI GRAMI]]/Tablo517[[#This Row],[KALIP GÖZ ADEDİ]]," ")</f>
        <v>0.625</v>
      </c>
      <c r="T67" s="100">
        <f t="shared" ref="T67:T130" si="10">IFERROR(Q67-R67," ")</f>
        <v>2.2000000000000002</v>
      </c>
      <c r="U67" s="100">
        <v>3</v>
      </c>
      <c r="V67" s="100">
        <f t="shared" si="9"/>
        <v>7.5</v>
      </c>
      <c r="W67" s="101">
        <f t="shared" ref="W67:W130" si="11">IFERROR(24-(E67-F67)," ")</f>
        <v>24.305555555555557</v>
      </c>
      <c r="X67" s="102">
        <f t="shared" ref="X67:X130" si="12">IFERROR((W67-INT(W67))*24," ")</f>
        <v>7.3333333333333712</v>
      </c>
      <c r="Y67" s="100">
        <f t="shared" ref="Y67:Y130" si="13">IFERROR(H67*I67/3600," ")</f>
        <v>5.75</v>
      </c>
      <c r="Z67" s="100">
        <f t="shared" ref="Z67:Z130" si="14">IFERROR(I67*G67," " )</f>
        <v>7200</v>
      </c>
    </row>
    <row r="68" spans="1:26">
      <c r="A68" s="100" t="s">
        <v>78</v>
      </c>
      <c r="B68" s="108" t="str">
        <f>IFERROR(VLOOKUP(Tablo517[[#This Row],[ÜRÜN KODU]],YMKODLARI!$A$1:$K$363,2,0)," ")</f>
        <v>MAMA KAŞIĞI TIPA</v>
      </c>
      <c r="C68" s="99">
        <v>43980</v>
      </c>
      <c r="D68" s="100" t="s">
        <v>36</v>
      </c>
      <c r="E68" s="101">
        <v>0.64236111111111105</v>
      </c>
      <c r="F68" s="101">
        <v>0.72916666666666663</v>
      </c>
      <c r="G68" s="100">
        <f>IFERROR(VLOOKUP(Tablo517[[#This Row],[ÜRÜN KODU]],YMKODLARI!$A$1:$K$363,3,0)," ")</f>
        <v>8</v>
      </c>
      <c r="H68" s="100">
        <f>IFERROR(VLOOKUP(Tablo517[[#This Row],[ÜRÜN KODU]],YMKODLARI!$A$1:$K$363,4,0)," ")</f>
        <v>23</v>
      </c>
      <c r="I68" s="100">
        <v>282</v>
      </c>
      <c r="J68" s="100">
        <f>IFERROR(VLOOKUP(Tablo517[[#This Row],[ÜRÜN KODU]],YMKODLARI!$A$1:$K$363,9,0)," ")</f>
        <v>3041</v>
      </c>
      <c r="K68" s="100" t="str">
        <f>IFERROR(VLOOKUP(Tablo517[[#This Row],[BOYA KODU]],Tablo14[#All],4,0)," ")</f>
        <v>KIRMIZI</v>
      </c>
      <c r="L68" s="100">
        <f>IFERROR(VLOOKUP(Tablo517[[#This Row],[BOYA KODU]],Tablo14[#All],6,0)," ")</f>
        <v>5.0000000000000001E-3</v>
      </c>
      <c r="M68" s="100">
        <f t="shared" si="8"/>
        <v>10.152000000000001</v>
      </c>
      <c r="N68" s="100" t="str">
        <f>IFERROR(VLOOKUP(Tablo517[[#This Row],[ÜRÜN KODU]],YMKODLARI!$A$1:$K$363,8,0)," ")</f>
        <v>HM 001</v>
      </c>
      <c r="O68" s="100" t="str">
        <f>IFERROR(VLOOKUP(Tablo517[[#This Row],[HAMMADDE KODU]],Tablo1[#All],3,0)," ")</f>
        <v>CAPILENE</v>
      </c>
      <c r="P68" s="100" t="str">
        <f>IFERROR(VLOOKUP(Tablo517[[#This Row],[HAMMADDE KODU]],Tablo1[#All],4,0)," ")</f>
        <v>PİNHAS</v>
      </c>
      <c r="Q68" s="100">
        <f>IFERROR(VLOOKUP(Tablo517[[#This Row],[ÜRÜN KODU]],YMKODLARI!$A$1:$K$363,5,0)," ")</f>
        <v>7.2</v>
      </c>
      <c r="R68" s="100">
        <f>IFERROR(VLOOKUP(Tablo517[[#This Row],[ÜRÜN KODU]],YMKODLARI!$A$1:$K$363,6,0)," ")</f>
        <v>5</v>
      </c>
      <c r="S68" s="100">
        <f>IFERROR(Tablo517[[#This Row],[YOLLUK HARİÇ BASKI GRAMI]]/Tablo517[[#This Row],[KALIP GÖZ ADEDİ]]," ")</f>
        <v>0.625</v>
      </c>
      <c r="T68" s="100">
        <f t="shared" si="10"/>
        <v>2.2000000000000002</v>
      </c>
      <c r="U68" s="100"/>
      <c r="V68" s="100">
        <f t="shared" si="9"/>
        <v>1.41</v>
      </c>
      <c r="W68" s="101">
        <f t="shared" si="11"/>
        <v>24.086805555555557</v>
      </c>
      <c r="X68" s="102">
        <f t="shared" si="12"/>
        <v>2.0833333333333712</v>
      </c>
      <c r="Y68" s="100">
        <f t="shared" si="13"/>
        <v>1.8016666666666667</v>
      </c>
      <c r="Z68" s="100">
        <f t="shared" si="14"/>
        <v>2256</v>
      </c>
    </row>
    <row r="69" spans="1:26">
      <c r="A69" s="100" t="s">
        <v>78</v>
      </c>
      <c r="B69" s="108" t="str">
        <f>IFERROR(VLOOKUP(Tablo517[[#This Row],[ÜRÜN KODU]],YMKODLARI!$A$1:$K$363,2,0)," ")</f>
        <v>MAMA KAŞIĞI TIPA</v>
      </c>
      <c r="C69" s="99">
        <v>43983</v>
      </c>
      <c r="D69" s="100" t="s">
        <v>36</v>
      </c>
      <c r="E69" s="101">
        <v>0.33333333333333331</v>
      </c>
      <c r="F69" s="101">
        <v>0.64583333333333337</v>
      </c>
      <c r="G69" s="100">
        <f>IFERROR(VLOOKUP(Tablo517[[#This Row],[ÜRÜN KODU]],YMKODLARI!$A$1:$K$363,3,0)," ")</f>
        <v>8</v>
      </c>
      <c r="H69" s="100">
        <f>IFERROR(VLOOKUP(Tablo517[[#This Row],[ÜRÜN KODU]],YMKODLARI!$A$1:$K$363,4,0)," ")</f>
        <v>23</v>
      </c>
      <c r="I69" s="100">
        <v>877</v>
      </c>
      <c r="J69" s="100">
        <f>IFERROR(VLOOKUP(Tablo517[[#This Row],[ÜRÜN KODU]],YMKODLARI!$A$1:$K$363,9,0)," ")</f>
        <v>3041</v>
      </c>
      <c r="K69" s="100" t="str">
        <f>IFERROR(VLOOKUP(Tablo517[[#This Row],[BOYA KODU]],Tablo14[#All],4,0)," ")</f>
        <v>KIRMIZI</v>
      </c>
      <c r="L69" s="100">
        <f>IFERROR(VLOOKUP(Tablo517[[#This Row],[BOYA KODU]],Tablo14[#All],6,0)," ")</f>
        <v>5.0000000000000001E-3</v>
      </c>
      <c r="M69" s="100">
        <f t="shared" si="8"/>
        <v>31.572000000000003</v>
      </c>
      <c r="N69" s="100" t="str">
        <f>IFERROR(VLOOKUP(Tablo517[[#This Row],[ÜRÜN KODU]],YMKODLARI!$A$1:$K$363,8,0)," ")</f>
        <v>HM 001</v>
      </c>
      <c r="O69" s="100" t="str">
        <f>IFERROR(VLOOKUP(Tablo517[[#This Row],[HAMMADDE KODU]],Tablo1[#All],3,0)," ")</f>
        <v>CAPILENE</v>
      </c>
      <c r="P69" s="100" t="str">
        <f>IFERROR(VLOOKUP(Tablo517[[#This Row],[HAMMADDE KODU]],Tablo1[#All],4,0)," ")</f>
        <v>PİNHAS</v>
      </c>
      <c r="Q69" s="100">
        <f>IFERROR(VLOOKUP(Tablo517[[#This Row],[ÜRÜN KODU]],YMKODLARI!$A$1:$K$363,5,0)," ")</f>
        <v>7.2</v>
      </c>
      <c r="R69" s="100">
        <f>IFERROR(VLOOKUP(Tablo517[[#This Row],[ÜRÜN KODU]],YMKODLARI!$A$1:$K$363,6,0)," ")</f>
        <v>5</v>
      </c>
      <c r="S69" s="100">
        <f>IFERROR(Tablo517[[#This Row],[YOLLUK HARİÇ BASKI GRAMI]]/Tablo517[[#This Row],[KALIP GÖZ ADEDİ]]," ")</f>
        <v>0.625</v>
      </c>
      <c r="T69" s="100">
        <f t="shared" si="10"/>
        <v>2.2000000000000002</v>
      </c>
      <c r="U69" s="100"/>
      <c r="V69" s="100">
        <f t="shared" si="9"/>
        <v>4.3849999999999998</v>
      </c>
      <c r="W69" s="101">
        <f t="shared" si="11"/>
        <v>24.3125</v>
      </c>
      <c r="X69" s="102">
        <f t="shared" si="12"/>
        <v>7.5</v>
      </c>
      <c r="Y69" s="100">
        <f t="shared" si="13"/>
        <v>5.6030555555555557</v>
      </c>
      <c r="Z69" s="100">
        <f t="shared" si="14"/>
        <v>7016</v>
      </c>
    </row>
    <row r="70" spans="1:26">
      <c r="A70" s="100" t="s">
        <v>55</v>
      </c>
      <c r="B70" s="108" t="str">
        <f>IFERROR(VLOOKUP(Tablo517[[#This Row],[ÜRÜN KODU]],YMKODLARI!$A$1:$K$363,2,0)," ")</f>
        <v>BİBERON SEYAHAT TIPASI</v>
      </c>
      <c r="C70" s="99">
        <v>43984</v>
      </c>
      <c r="D70" s="100" t="s">
        <v>36</v>
      </c>
      <c r="E70" s="101">
        <v>0.375</v>
      </c>
      <c r="F70" s="101">
        <v>0.75</v>
      </c>
      <c r="G70" s="100">
        <f>IFERROR(VLOOKUP(Tablo517[[#This Row],[ÜRÜN KODU]],YMKODLARI!$A$1:$K$363,3,0)," ")</f>
        <v>8</v>
      </c>
      <c r="H70" s="100">
        <f>IFERROR(VLOOKUP(Tablo517[[#This Row],[ÜRÜN KODU]],YMKODLARI!$A$1:$K$363,4,0)," ")</f>
        <v>15</v>
      </c>
      <c r="I70" s="100">
        <v>1037</v>
      </c>
      <c r="J70" s="100" t="str">
        <f>IFERROR(VLOOKUP(Tablo517[[#This Row],[ÜRÜN KODU]],YMKODLARI!$A$1:$K$363,9,0)," ")</f>
        <v>BEYAZ</v>
      </c>
      <c r="K70" s="100" t="str">
        <f>IFERROR(VLOOKUP(Tablo517[[#This Row],[BOYA KODU]],Tablo14[#All],4,0)," ")</f>
        <v xml:space="preserve"> </v>
      </c>
      <c r="L70" s="100" t="str">
        <f>IFERROR(VLOOKUP(Tablo517[[#This Row],[BOYA KODU]],Tablo14[#All],6,0)," ")</f>
        <v xml:space="preserve"> </v>
      </c>
      <c r="M70" s="100" t="str">
        <f t="shared" si="8"/>
        <v xml:space="preserve"> </v>
      </c>
      <c r="N70" s="100" t="str">
        <f>IFERROR(VLOOKUP(Tablo517[[#This Row],[ÜRÜN KODU]],YMKODLARI!$A$1:$K$363,8,0)," ")</f>
        <v>HM 010</v>
      </c>
      <c r="O70" s="100" t="str">
        <f>IFERROR(VLOOKUP(Tablo517[[#This Row],[HAMMADDE KODU]],Tablo1[#All],3,0)," ")</f>
        <v>KIRMA PP</v>
      </c>
      <c r="P70" s="100" t="str">
        <f>IFERROR(VLOOKUP(Tablo517[[#This Row],[HAMMADDE KODU]],Tablo1[#All],4,0)," ")</f>
        <v>KIRMA</v>
      </c>
      <c r="Q70" s="100">
        <f>IFERROR(VLOOKUP(Tablo517[[#This Row],[ÜRÜN KODU]],YMKODLARI!$A$1:$K$363,5,0)," ")</f>
        <v>13</v>
      </c>
      <c r="R70" s="100">
        <f>IFERROR(VLOOKUP(Tablo517[[#This Row],[ÜRÜN KODU]],YMKODLARI!$A$1:$K$363,6,0)," ")</f>
        <v>10.7</v>
      </c>
      <c r="S70" s="100">
        <f>IFERROR(Tablo517[[#This Row],[YOLLUK HARİÇ BASKI GRAMI]]/Tablo517[[#This Row],[KALIP GÖZ ADEDİ]]," ")</f>
        <v>1.3374999999999999</v>
      </c>
      <c r="T70" s="100">
        <f t="shared" si="10"/>
        <v>2.3000000000000007</v>
      </c>
      <c r="U70" s="100">
        <v>3.8</v>
      </c>
      <c r="V70" s="100">
        <f t="shared" si="9"/>
        <v>14.895900000000001</v>
      </c>
      <c r="W70" s="101">
        <f t="shared" si="11"/>
        <v>24.375</v>
      </c>
      <c r="X70" s="102">
        <f t="shared" si="12"/>
        <v>9</v>
      </c>
      <c r="Y70" s="100">
        <f t="shared" si="13"/>
        <v>4.3208333333333337</v>
      </c>
      <c r="Z70" s="100">
        <f t="shared" si="14"/>
        <v>8296</v>
      </c>
    </row>
    <row r="71" spans="1:26">
      <c r="A71" s="100" t="s">
        <v>55</v>
      </c>
      <c r="B71" s="108" t="str">
        <f>IFERROR(VLOOKUP(Tablo517[[#This Row],[ÜRÜN KODU]],YMKODLARI!$A$1:$K$363,2,0)," ")</f>
        <v>BİBERON SEYAHAT TIPASI</v>
      </c>
      <c r="C71" s="99">
        <v>43985</v>
      </c>
      <c r="D71" s="100" t="s">
        <v>36</v>
      </c>
      <c r="E71" s="101">
        <v>0.33333333333333331</v>
      </c>
      <c r="F71" s="101">
        <v>0.72916666666666663</v>
      </c>
      <c r="G71" s="100">
        <f>IFERROR(VLOOKUP(Tablo517[[#This Row],[ÜRÜN KODU]],YMKODLARI!$A$1:$K$363,3,0)," ")</f>
        <v>8</v>
      </c>
      <c r="H71" s="100">
        <f>IFERROR(VLOOKUP(Tablo517[[#This Row],[ÜRÜN KODU]],YMKODLARI!$A$1:$K$363,4,0)," ")</f>
        <v>15</v>
      </c>
      <c r="I71" s="100">
        <v>1242</v>
      </c>
      <c r="J71" s="100" t="str">
        <f>IFERROR(VLOOKUP(Tablo517[[#This Row],[ÜRÜN KODU]],YMKODLARI!$A$1:$K$363,9,0)," ")</f>
        <v>BEYAZ</v>
      </c>
      <c r="K71" s="100" t="str">
        <f>IFERROR(VLOOKUP(Tablo517[[#This Row],[BOYA KODU]],Tablo14[#All],4,0)," ")</f>
        <v xml:space="preserve"> </v>
      </c>
      <c r="L71" s="100" t="str">
        <f>IFERROR(VLOOKUP(Tablo517[[#This Row],[BOYA KODU]],Tablo14[#All],6,0)," ")</f>
        <v xml:space="preserve"> </v>
      </c>
      <c r="M71" s="100" t="str">
        <f t="shared" si="8"/>
        <v xml:space="preserve"> </v>
      </c>
      <c r="N71" s="100" t="str">
        <f>IFERROR(VLOOKUP(Tablo517[[#This Row],[ÜRÜN KODU]],YMKODLARI!$A$1:$K$363,8,0)," ")</f>
        <v>HM 010</v>
      </c>
      <c r="O71" s="100" t="str">
        <f>IFERROR(VLOOKUP(Tablo517[[#This Row],[HAMMADDE KODU]],Tablo1[#All],3,0)," ")</f>
        <v>KIRMA PP</v>
      </c>
      <c r="P71" s="100" t="str">
        <f>IFERROR(VLOOKUP(Tablo517[[#This Row],[HAMMADDE KODU]],Tablo1[#All],4,0)," ")</f>
        <v>KIRMA</v>
      </c>
      <c r="Q71" s="100">
        <f>IFERROR(VLOOKUP(Tablo517[[#This Row],[ÜRÜN KODU]],YMKODLARI!$A$1:$K$363,5,0)," ")</f>
        <v>13</v>
      </c>
      <c r="R71" s="100">
        <f>IFERROR(VLOOKUP(Tablo517[[#This Row],[ÜRÜN KODU]],YMKODLARI!$A$1:$K$363,6,0)," ")</f>
        <v>10.7</v>
      </c>
      <c r="S71" s="100">
        <f>IFERROR(Tablo517[[#This Row],[YOLLUK HARİÇ BASKI GRAMI]]/Tablo517[[#This Row],[KALIP GÖZ ADEDİ]]," ")</f>
        <v>1.3374999999999999</v>
      </c>
      <c r="T71" s="100">
        <f t="shared" si="10"/>
        <v>2.3000000000000007</v>
      </c>
      <c r="U71" s="100">
        <v>3.1</v>
      </c>
      <c r="V71" s="100">
        <f t="shared" si="9"/>
        <v>16.389399999999998</v>
      </c>
      <c r="W71" s="101">
        <f t="shared" si="11"/>
        <v>24.395833333333332</v>
      </c>
      <c r="X71" s="102">
        <f t="shared" si="12"/>
        <v>9.4999999999999716</v>
      </c>
      <c r="Y71" s="100">
        <f t="shared" si="13"/>
        <v>5.1749999999999998</v>
      </c>
      <c r="Z71" s="100">
        <f t="shared" si="14"/>
        <v>9936</v>
      </c>
    </row>
    <row r="72" spans="1:26">
      <c r="A72" s="100" t="s">
        <v>79</v>
      </c>
      <c r="B72" s="108" t="str">
        <f>IFERROR(VLOOKUP(Tablo517[[#This Row],[ÜRÜN KODU]],YMKODLARI!$A$1:$K$363,2,0)," ")</f>
        <v>YENİ EMZİK TIPASI</v>
      </c>
      <c r="C72" s="99">
        <v>43986</v>
      </c>
      <c r="D72" s="100" t="s">
        <v>36</v>
      </c>
      <c r="E72" s="101">
        <v>0.625</v>
      </c>
      <c r="F72" s="101">
        <v>0.75</v>
      </c>
      <c r="G72" s="100">
        <f>IFERROR(VLOOKUP(Tablo517[[#This Row],[ÜRÜN KODU]],YMKODLARI!$A$1:$K$363,3,0)," ")</f>
        <v>12</v>
      </c>
      <c r="H72" s="100">
        <f>IFERROR(VLOOKUP(Tablo517[[#This Row],[ÜRÜN KODU]],YMKODLARI!$A$1:$K$363,4,0)," ")</f>
        <v>12</v>
      </c>
      <c r="I72" s="100">
        <v>1042</v>
      </c>
      <c r="J72" s="100" t="str">
        <f>IFERROR(VLOOKUP(Tablo517[[#This Row],[ÜRÜN KODU]],YMKODLARI!$A$1:$K$363,9,0)," ")</f>
        <v>Şeffaf</v>
      </c>
      <c r="K72" s="100" t="str">
        <f>IFERROR(VLOOKUP(Tablo517[[#This Row],[BOYA KODU]],Tablo14[#All],4,0)," ")</f>
        <v xml:space="preserve"> </v>
      </c>
      <c r="L72" s="100" t="str">
        <f>IFERROR(VLOOKUP(Tablo517[[#This Row],[BOYA KODU]],Tablo14[#All],6,0)," ")</f>
        <v xml:space="preserve"> </v>
      </c>
      <c r="M72" s="100" t="str">
        <f t="shared" si="8"/>
        <v xml:space="preserve"> </v>
      </c>
      <c r="N72" s="100" t="str">
        <f>IFERROR(VLOOKUP(Tablo517[[#This Row],[ÜRÜN KODU]],YMKODLARI!$A$1:$K$363,8,0)," ")</f>
        <v>HM 002</v>
      </c>
      <c r="O72" s="100" t="str">
        <f>IFERROR(VLOOKUP(Tablo517[[#This Row],[HAMMADDE KODU]],Tablo1[#All],3,0)," ")</f>
        <v>NOVAREX</v>
      </c>
      <c r="P72" s="100" t="str">
        <f>IFERROR(VLOOKUP(Tablo517[[#This Row],[HAMMADDE KODU]],Tablo1[#All],4,0)," ")</f>
        <v>PİNHAS</v>
      </c>
      <c r="Q72" s="100">
        <f>IFERROR(VLOOKUP(Tablo517[[#This Row],[ÜRÜN KODU]],YMKODLARI!$A$1:$K$363,5,0)," ")</f>
        <v>12.5</v>
      </c>
      <c r="R72" s="100">
        <f>IFERROR(VLOOKUP(Tablo517[[#This Row],[ÜRÜN KODU]],YMKODLARI!$A$1:$K$363,6,0)," ")</f>
        <v>10.8</v>
      </c>
      <c r="S72" s="100">
        <f>IFERROR(Tablo517[[#This Row],[YOLLUK HARİÇ BASKI GRAMI]]/Tablo517[[#This Row],[KALIP GÖZ ADEDİ]]," ")</f>
        <v>0.9</v>
      </c>
      <c r="T72" s="100">
        <f t="shared" si="10"/>
        <v>1.6999999999999993</v>
      </c>
      <c r="U72" s="100"/>
      <c r="V72" s="100">
        <f t="shared" si="9"/>
        <v>11.2536</v>
      </c>
      <c r="W72" s="101">
        <f t="shared" si="11"/>
        <v>24.125</v>
      </c>
      <c r="X72" s="102">
        <f t="shared" si="12"/>
        <v>3</v>
      </c>
      <c r="Y72" s="100">
        <f t="shared" si="13"/>
        <v>3.4733333333333332</v>
      </c>
      <c r="Z72" s="100">
        <f t="shared" si="14"/>
        <v>12504</v>
      </c>
    </row>
    <row r="73" spans="1:26">
      <c r="A73" s="100" t="s">
        <v>79</v>
      </c>
      <c r="B73" s="108" t="str">
        <f>IFERROR(VLOOKUP(Tablo517[[#This Row],[ÜRÜN KODU]],YMKODLARI!$A$1:$K$363,2,0)," ")</f>
        <v>YENİ EMZİK TIPASI</v>
      </c>
      <c r="C73" s="99">
        <v>43987</v>
      </c>
      <c r="D73" s="100" t="s">
        <v>36</v>
      </c>
      <c r="E73" s="101">
        <v>0.34722222222222227</v>
      </c>
      <c r="F73" s="101">
        <v>0.48958333333333331</v>
      </c>
      <c r="G73" s="100">
        <f>IFERROR(VLOOKUP(Tablo517[[#This Row],[ÜRÜN KODU]],YMKODLARI!$A$1:$K$363,3,0)," ")</f>
        <v>12</v>
      </c>
      <c r="H73" s="100">
        <f>IFERROR(VLOOKUP(Tablo517[[#This Row],[ÜRÜN KODU]],YMKODLARI!$A$1:$K$363,4,0)," ")</f>
        <v>12</v>
      </c>
      <c r="I73" s="100">
        <v>799</v>
      </c>
      <c r="J73" s="100" t="str">
        <f>IFERROR(VLOOKUP(Tablo517[[#This Row],[ÜRÜN KODU]],YMKODLARI!$A$1:$K$363,9,0)," ")</f>
        <v>Şeffaf</v>
      </c>
      <c r="K73" s="100" t="str">
        <f>IFERROR(VLOOKUP(Tablo517[[#This Row],[BOYA KODU]],Tablo14[#All],4,0)," ")</f>
        <v xml:space="preserve"> </v>
      </c>
      <c r="L73" s="100" t="str">
        <f>IFERROR(VLOOKUP(Tablo517[[#This Row],[BOYA KODU]],Tablo14[#All],6,0)," ")</f>
        <v xml:space="preserve"> </v>
      </c>
      <c r="M73" s="100" t="str">
        <f t="shared" si="8"/>
        <v xml:space="preserve"> </v>
      </c>
      <c r="N73" s="100" t="str">
        <f>IFERROR(VLOOKUP(Tablo517[[#This Row],[ÜRÜN KODU]],YMKODLARI!$A$1:$K$363,8,0)," ")</f>
        <v>HM 002</v>
      </c>
      <c r="O73" s="100" t="str">
        <f>IFERROR(VLOOKUP(Tablo517[[#This Row],[HAMMADDE KODU]],Tablo1[#All],3,0)," ")</f>
        <v>NOVAREX</v>
      </c>
      <c r="P73" s="100" t="str">
        <f>IFERROR(VLOOKUP(Tablo517[[#This Row],[HAMMADDE KODU]],Tablo1[#All],4,0)," ")</f>
        <v>PİNHAS</v>
      </c>
      <c r="Q73" s="100">
        <f>IFERROR(VLOOKUP(Tablo517[[#This Row],[ÜRÜN KODU]],YMKODLARI!$A$1:$K$363,5,0)," ")</f>
        <v>12.5</v>
      </c>
      <c r="R73" s="100">
        <f>IFERROR(VLOOKUP(Tablo517[[#This Row],[ÜRÜN KODU]],YMKODLARI!$A$1:$K$363,6,0)," ")</f>
        <v>10.8</v>
      </c>
      <c r="S73" s="100">
        <f>IFERROR(Tablo517[[#This Row],[YOLLUK HARİÇ BASKI GRAMI]]/Tablo517[[#This Row],[KALIP GÖZ ADEDİ]]," ")</f>
        <v>0.9</v>
      </c>
      <c r="T73" s="100">
        <f t="shared" si="10"/>
        <v>1.6999999999999993</v>
      </c>
      <c r="U73" s="100">
        <v>7.5</v>
      </c>
      <c r="V73" s="100">
        <f t="shared" si="9"/>
        <v>16.129200000000001</v>
      </c>
      <c r="W73" s="101">
        <f t="shared" si="11"/>
        <v>24.142361111111111</v>
      </c>
      <c r="X73" s="102">
        <f t="shared" si="12"/>
        <v>3.4166666666666572</v>
      </c>
      <c r="Y73" s="100">
        <f t="shared" si="13"/>
        <v>2.6633333333333336</v>
      </c>
      <c r="Z73" s="100">
        <f t="shared" si="14"/>
        <v>9588</v>
      </c>
    </row>
    <row r="74" spans="1:26">
      <c r="A74" s="100" t="s">
        <v>79</v>
      </c>
      <c r="B74" s="108" t="str">
        <f>IFERROR(VLOOKUP(Tablo517[[#This Row],[ÜRÜN KODU]],YMKODLARI!$A$1:$K$363,2,0)," ")</f>
        <v>YENİ EMZİK TIPASI</v>
      </c>
      <c r="C74" s="99">
        <v>43990</v>
      </c>
      <c r="D74" s="100" t="s">
        <v>36</v>
      </c>
      <c r="E74" s="101">
        <v>0.41666666666666669</v>
      </c>
      <c r="F74" s="101">
        <v>0.47916666666666669</v>
      </c>
      <c r="G74" s="100">
        <f>IFERROR(VLOOKUP(Tablo517[[#This Row],[ÜRÜN KODU]],YMKODLARI!$A$1:$K$363,3,0)," ")</f>
        <v>12</v>
      </c>
      <c r="H74" s="100">
        <f>IFERROR(VLOOKUP(Tablo517[[#This Row],[ÜRÜN KODU]],YMKODLARI!$A$1:$K$363,4,0)," ")</f>
        <v>12</v>
      </c>
      <c r="I74" s="100">
        <v>313</v>
      </c>
      <c r="J74" s="100" t="str">
        <f>IFERROR(VLOOKUP(Tablo517[[#This Row],[ÜRÜN KODU]],YMKODLARI!$A$1:$K$363,9,0)," ")</f>
        <v>Şeffaf</v>
      </c>
      <c r="K74" s="100" t="str">
        <f>IFERROR(VLOOKUP(Tablo517[[#This Row],[BOYA KODU]],Tablo14[#All],4,0)," ")</f>
        <v xml:space="preserve"> </v>
      </c>
      <c r="L74" s="100" t="str">
        <f>IFERROR(VLOOKUP(Tablo517[[#This Row],[BOYA KODU]],Tablo14[#All],6,0)," ")</f>
        <v xml:space="preserve"> </v>
      </c>
      <c r="M74" s="100" t="str">
        <f t="shared" si="8"/>
        <v xml:space="preserve"> </v>
      </c>
      <c r="N74" s="100" t="str">
        <f>IFERROR(VLOOKUP(Tablo517[[#This Row],[ÜRÜN KODU]],YMKODLARI!$A$1:$K$363,8,0)," ")</f>
        <v>HM 002</v>
      </c>
      <c r="O74" s="100" t="str">
        <f>IFERROR(VLOOKUP(Tablo517[[#This Row],[HAMMADDE KODU]],Tablo1[#All],3,0)," ")</f>
        <v>NOVAREX</v>
      </c>
      <c r="P74" s="100" t="str">
        <f>IFERROR(VLOOKUP(Tablo517[[#This Row],[HAMMADDE KODU]],Tablo1[#All],4,0)," ")</f>
        <v>PİNHAS</v>
      </c>
      <c r="Q74" s="100">
        <f>IFERROR(VLOOKUP(Tablo517[[#This Row],[ÜRÜN KODU]],YMKODLARI!$A$1:$K$363,5,0)," ")</f>
        <v>12.5</v>
      </c>
      <c r="R74" s="100">
        <f>IFERROR(VLOOKUP(Tablo517[[#This Row],[ÜRÜN KODU]],YMKODLARI!$A$1:$K$363,6,0)," ")</f>
        <v>10.8</v>
      </c>
      <c r="S74" s="100">
        <f>IFERROR(Tablo517[[#This Row],[YOLLUK HARİÇ BASKI GRAMI]]/Tablo517[[#This Row],[KALIP GÖZ ADEDİ]]," ")</f>
        <v>0.9</v>
      </c>
      <c r="T74" s="100">
        <f t="shared" si="10"/>
        <v>1.6999999999999993</v>
      </c>
      <c r="U74" s="100">
        <v>0.7</v>
      </c>
      <c r="V74" s="100">
        <f t="shared" si="9"/>
        <v>4.0804</v>
      </c>
      <c r="W74" s="101">
        <f t="shared" si="11"/>
        <v>24.0625</v>
      </c>
      <c r="X74" s="102">
        <f t="shared" si="12"/>
        <v>1.5</v>
      </c>
      <c r="Y74" s="100">
        <f t="shared" si="13"/>
        <v>1.0433333333333332</v>
      </c>
      <c r="Z74" s="100">
        <f t="shared" si="14"/>
        <v>3756</v>
      </c>
    </row>
    <row r="75" spans="1:26">
      <c r="A75" s="100" t="s">
        <v>80</v>
      </c>
      <c r="B75" s="108" t="str">
        <f>IFERROR(VLOOKUP(Tablo517[[#This Row],[ÜRÜN KODU]],YMKODLARI!$A$1:$K$363,2,0)," ")</f>
        <v>60 ml BARDAK SULUK</v>
      </c>
      <c r="C75" s="99">
        <v>43991</v>
      </c>
      <c r="D75" s="100" t="s">
        <v>29</v>
      </c>
      <c r="E75" s="101">
        <v>0.45833333333333331</v>
      </c>
      <c r="F75" s="101">
        <v>0.66666666666666663</v>
      </c>
      <c r="G75" s="100">
        <f>IFERROR(VLOOKUP(Tablo517[[#This Row],[ÜRÜN KODU]],YMKODLARI!$A$1:$K$363,3,0)," ")</f>
        <v>4</v>
      </c>
      <c r="H75" s="100">
        <f>IFERROR(VLOOKUP(Tablo517[[#This Row],[ÜRÜN KODU]],YMKODLARI!$A$1:$K$363,4,0)," ")</f>
        <v>13</v>
      </c>
      <c r="I75" s="100">
        <v>267</v>
      </c>
      <c r="J75" s="100" t="str">
        <f>IFERROR(VLOOKUP(Tablo517[[#This Row],[ÜRÜN KODU]],YMKODLARI!$A$1:$K$363,9,0)," ")</f>
        <v>Şeffaf</v>
      </c>
      <c r="K75" s="100" t="str">
        <f>IFERROR(VLOOKUP(Tablo517[[#This Row],[BOYA KODU]],Tablo14[#All],4,0)," ")</f>
        <v xml:space="preserve"> </v>
      </c>
      <c r="L75" s="100" t="str">
        <f>IFERROR(VLOOKUP(Tablo517[[#This Row],[BOYA KODU]],Tablo14[#All],6,0)," ")</f>
        <v xml:space="preserve"> </v>
      </c>
      <c r="M75" s="100" t="str">
        <f t="shared" si="8"/>
        <v xml:space="preserve"> </v>
      </c>
      <c r="N75" s="100" t="str">
        <f>IFERROR(VLOOKUP(Tablo517[[#This Row],[ÜRÜN KODU]],YMKODLARI!$A$1:$K$363,8,0)," ")</f>
        <v>HM 001</v>
      </c>
      <c r="O75" s="100" t="str">
        <f>IFERROR(VLOOKUP(Tablo517[[#This Row],[HAMMADDE KODU]],Tablo1[#All],3,0)," ")</f>
        <v>CAPILENE</v>
      </c>
      <c r="P75" s="100" t="str">
        <f>IFERROR(VLOOKUP(Tablo517[[#This Row],[HAMMADDE KODU]],Tablo1[#All],4,0)," ")</f>
        <v>PİNHAS</v>
      </c>
      <c r="Q75" s="100">
        <f>IFERROR(VLOOKUP(Tablo517[[#This Row],[ÜRÜN KODU]],YMKODLARI!$A$1:$K$363,5,0)," ")</f>
        <v>29.4</v>
      </c>
      <c r="R75" s="100">
        <f>IFERROR(VLOOKUP(Tablo517[[#This Row],[ÜRÜN KODU]],YMKODLARI!$A$1:$K$363,6,0)," ")</f>
        <v>29.4</v>
      </c>
      <c r="S75" s="100">
        <f>IFERROR(Tablo517[[#This Row],[YOLLUK HARİÇ BASKI GRAMI]]/Tablo517[[#This Row],[KALIP GÖZ ADEDİ]]," ")</f>
        <v>7.35</v>
      </c>
      <c r="T75" s="100">
        <f t="shared" si="10"/>
        <v>0</v>
      </c>
      <c r="U75" s="100">
        <v>6.3</v>
      </c>
      <c r="V75" s="100">
        <f t="shared" si="9"/>
        <v>14.149799999999999</v>
      </c>
      <c r="W75" s="101">
        <f t="shared" si="11"/>
        <v>24.208333333333332</v>
      </c>
      <c r="X75" s="102">
        <f t="shared" si="12"/>
        <v>4.9999999999999716</v>
      </c>
      <c r="Y75" s="100">
        <f t="shared" si="13"/>
        <v>0.96416666666666662</v>
      </c>
      <c r="Z75" s="100">
        <f t="shared" si="14"/>
        <v>1068</v>
      </c>
    </row>
    <row r="76" spans="1:26">
      <c r="A76" s="100" t="s">
        <v>80</v>
      </c>
      <c r="B76" s="108" t="str">
        <f>IFERROR(VLOOKUP(Tablo517[[#This Row],[ÜRÜN KODU]],YMKODLARI!$A$1:$K$363,2,0)," ")</f>
        <v>60 ml BARDAK SULUK</v>
      </c>
      <c r="C76" s="99">
        <v>43992</v>
      </c>
      <c r="D76" s="100" t="s">
        <v>37</v>
      </c>
      <c r="E76" s="101">
        <v>0.33333333333333331</v>
      </c>
      <c r="F76" s="101">
        <v>0.4375</v>
      </c>
      <c r="G76" s="100">
        <f>IFERROR(VLOOKUP(Tablo517[[#This Row],[ÜRÜN KODU]],YMKODLARI!$A$1:$K$363,3,0)," ")</f>
        <v>4</v>
      </c>
      <c r="H76" s="100">
        <f>IFERROR(VLOOKUP(Tablo517[[#This Row],[ÜRÜN KODU]],YMKODLARI!$A$1:$K$363,4,0)," ")</f>
        <v>13</v>
      </c>
      <c r="I76" s="100">
        <v>431</v>
      </c>
      <c r="J76" s="100" t="str">
        <f>IFERROR(VLOOKUP(Tablo517[[#This Row],[ÜRÜN KODU]],YMKODLARI!$A$1:$K$363,9,0)," ")</f>
        <v>Şeffaf</v>
      </c>
      <c r="K76" s="100" t="str">
        <f>IFERROR(VLOOKUP(Tablo517[[#This Row],[BOYA KODU]],Tablo14[#All],4,0)," ")</f>
        <v xml:space="preserve"> </v>
      </c>
      <c r="L76" s="100" t="str">
        <f>IFERROR(VLOOKUP(Tablo517[[#This Row],[BOYA KODU]],Tablo14[#All],6,0)," ")</f>
        <v xml:space="preserve"> </v>
      </c>
      <c r="M76" s="100" t="str">
        <f t="shared" si="8"/>
        <v xml:space="preserve"> </v>
      </c>
      <c r="N76" s="100" t="str">
        <f>IFERROR(VLOOKUP(Tablo517[[#This Row],[ÜRÜN KODU]],YMKODLARI!$A$1:$K$363,8,0)," ")</f>
        <v>HM 001</v>
      </c>
      <c r="O76" s="100" t="str">
        <f>IFERROR(VLOOKUP(Tablo517[[#This Row],[HAMMADDE KODU]],Tablo1[#All],3,0)," ")</f>
        <v>CAPILENE</v>
      </c>
      <c r="P76" s="100" t="str">
        <f>IFERROR(VLOOKUP(Tablo517[[#This Row],[HAMMADDE KODU]],Tablo1[#All],4,0)," ")</f>
        <v>PİNHAS</v>
      </c>
      <c r="Q76" s="100">
        <f>IFERROR(VLOOKUP(Tablo517[[#This Row],[ÜRÜN KODU]],YMKODLARI!$A$1:$K$363,5,0)," ")</f>
        <v>29.4</v>
      </c>
      <c r="R76" s="100">
        <f>IFERROR(VLOOKUP(Tablo517[[#This Row],[ÜRÜN KODU]],YMKODLARI!$A$1:$K$363,6,0)," ")</f>
        <v>29.4</v>
      </c>
      <c r="S76" s="100">
        <f>IFERROR(Tablo517[[#This Row],[YOLLUK HARİÇ BASKI GRAMI]]/Tablo517[[#This Row],[KALIP GÖZ ADEDİ]]," ")</f>
        <v>7.35</v>
      </c>
      <c r="T76" s="100">
        <f t="shared" si="10"/>
        <v>0</v>
      </c>
      <c r="U76" s="100">
        <v>3.2</v>
      </c>
      <c r="V76" s="100">
        <f t="shared" si="9"/>
        <v>15.871400000000001</v>
      </c>
      <c r="W76" s="101">
        <f t="shared" si="11"/>
        <v>24.104166666666668</v>
      </c>
      <c r="X76" s="102">
        <f t="shared" si="12"/>
        <v>2.5000000000000284</v>
      </c>
      <c r="Y76" s="100">
        <f t="shared" si="13"/>
        <v>1.5563888888888888</v>
      </c>
      <c r="Z76" s="100">
        <f t="shared" si="14"/>
        <v>1724</v>
      </c>
    </row>
    <row r="77" spans="1:26">
      <c r="A77" s="100" t="s">
        <v>81</v>
      </c>
      <c r="B77" s="108" t="str">
        <f>IFERROR(VLOOKUP(Tablo517[[#This Row],[ÜRÜN KODU]],YMKODLARI!$A$1:$K$363,2,0)," ")</f>
        <v>SULUK 30ml KAPAK</v>
      </c>
      <c r="C77" s="99">
        <v>43994</v>
      </c>
      <c r="D77" s="100" t="s">
        <v>33</v>
      </c>
      <c r="E77" s="101">
        <v>0.66666666666666663</v>
      </c>
      <c r="F77" s="101">
        <v>0.72916666666666663</v>
      </c>
      <c r="G77" s="100">
        <f>IFERROR(VLOOKUP(Tablo517[[#This Row],[ÜRÜN KODU]],YMKODLARI!$A$1:$K$363,3,0)," ")</f>
        <v>4</v>
      </c>
      <c r="H77" s="100">
        <f>IFERROR(VLOOKUP(Tablo517[[#This Row],[ÜRÜN KODU]],YMKODLARI!$A$1:$K$363,4,0)," ")</f>
        <v>24</v>
      </c>
      <c r="I77" s="100">
        <v>312</v>
      </c>
      <c r="J77" s="100">
        <f>IFERROR(VLOOKUP(Tablo517[[#This Row],[ÜRÜN KODU]],YMKODLARI!$A$1:$K$363,9,0)," ")</f>
        <v>3409</v>
      </c>
      <c r="K77" s="100" t="str">
        <f>IFERROR(VLOOKUP(Tablo517[[#This Row],[BOYA KODU]],Tablo14[#All],4,0)," ")</f>
        <v>PEMBE</v>
      </c>
      <c r="L77" s="100">
        <f>IFERROR(VLOOKUP(Tablo517[[#This Row],[BOYA KODU]],Tablo14[#All],6,0)," ")</f>
        <v>5.0000000000000001E-3</v>
      </c>
      <c r="M77" s="100">
        <f t="shared" si="8"/>
        <v>36.036000000000001</v>
      </c>
      <c r="N77" s="100" t="str">
        <f>IFERROR(VLOOKUP(Tablo517[[#This Row],[ÜRÜN KODU]],YMKODLARI!$A$1:$K$363,8,0)," ")</f>
        <v>HM 001</v>
      </c>
      <c r="O77" s="100" t="str">
        <f>IFERROR(VLOOKUP(Tablo517[[#This Row],[HAMMADDE KODU]],Tablo1[#All],3,0)," ")</f>
        <v>CAPILENE</v>
      </c>
      <c r="P77" s="100" t="str">
        <f>IFERROR(VLOOKUP(Tablo517[[#This Row],[HAMMADDE KODU]],Tablo1[#All],4,0)," ")</f>
        <v>PİNHAS</v>
      </c>
      <c r="Q77" s="100">
        <f>IFERROR(VLOOKUP(Tablo517[[#This Row],[ÜRÜN KODU]],YMKODLARI!$A$1:$K$363,5,0)," ")</f>
        <v>23.1</v>
      </c>
      <c r="R77" s="100">
        <f>IFERROR(VLOOKUP(Tablo517[[#This Row],[ÜRÜN KODU]],YMKODLARI!$A$1:$K$363,6,0)," ")</f>
        <v>21.4</v>
      </c>
      <c r="S77" s="100">
        <f>IFERROR(Tablo517[[#This Row],[YOLLUK HARİÇ BASKI GRAMI]]/Tablo517[[#This Row],[KALIP GÖZ ADEDİ]]," ")</f>
        <v>5.35</v>
      </c>
      <c r="T77" s="100">
        <f t="shared" si="10"/>
        <v>1.7000000000000028</v>
      </c>
      <c r="U77" s="100">
        <v>2.6</v>
      </c>
      <c r="V77" s="100">
        <f t="shared" si="9"/>
        <v>9.2767999999999997</v>
      </c>
      <c r="W77" s="101">
        <f t="shared" si="11"/>
        <v>24.0625</v>
      </c>
      <c r="X77" s="102">
        <f t="shared" si="12"/>
        <v>1.5</v>
      </c>
      <c r="Y77" s="100">
        <f t="shared" si="13"/>
        <v>2.08</v>
      </c>
      <c r="Z77" s="100">
        <f t="shared" si="14"/>
        <v>1248</v>
      </c>
    </row>
    <row r="78" spans="1:26">
      <c r="A78" s="100" t="s">
        <v>81</v>
      </c>
      <c r="B78" s="108" t="str">
        <f>IFERROR(VLOOKUP(Tablo517[[#This Row],[ÜRÜN KODU]],YMKODLARI!$A$1:$K$363,2,0)," ")</f>
        <v>SULUK 30ml KAPAK</v>
      </c>
      <c r="C78" s="99">
        <v>43997</v>
      </c>
      <c r="D78" s="100" t="s">
        <v>37</v>
      </c>
      <c r="E78" s="101">
        <v>0.33333333333333331</v>
      </c>
      <c r="F78" s="101">
        <v>0.45833333333333331</v>
      </c>
      <c r="G78" s="100">
        <f>IFERROR(VLOOKUP(Tablo517[[#This Row],[ÜRÜN KODU]],YMKODLARI!$A$1:$K$363,3,0)," ")</f>
        <v>4</v>
      </c>
      <c r="H78" s="100">
        <f>IFERROR(VLOOKUP(Tablo517[[#This Row],[ÜRÜN KODU]],YMKODLARI!$A$1:$K$363,4,0)," ")</f>
        <v>24</v>
      </c>
      <c r="I78" s="100">
        <v>285</v>
      </c>
      <c r="J78" s="100">
        <f>IFERROR(VLOOKUP(Tablo517[[#This Row],[ÜRÜN KODU]],YMKODLARI!$A$1:$K$363,9,0)," ")</f>
        <v>3409</v>
      </c>
      <c r="K78" s="100" t="str">
        <f>IFERROR(VLOOKUP(Tablo517[[#This Row],[BOYA KODU]],Tablo14[#All],4,0)," ")</f>
        <v>PEMBE</v>
      </c>
      <c r="L78" s="100">
        <f>IFERROR(VLOOKUP(Tablo517[[#This Row],[BOYA KODU]],Tablo14[#All],6,0)," ")</f>
        <v>5.0000000000000001E-3</v>
      </c>
      <c r="M78" s="100">
        <f t="shared" si="8"/>
        <v>32.917500000000004</v>
      </c>
      <c r="N78" s="100" t="str">
        <f>IFERROR(VLOOKUP(Tablo517[[#This Row],[ÜRÜN KODU]],YMKODLARI!$A$1:$K$363,8,0)," ")</f>
        <v>HM 001</v>
      </c>
      <c r="O78" s="100" t="str">
        <f>IFERROR(VLOOKUP(Tablo517[[#This Row],[HAMMADDE KODU]],Tablo1[#All],3,0)," ")</f>
        <v>CAPILENE</v>
      </c>
      <c r="P78" s="100" t="str">
        <f>IFERROR(VLOOKUP(Tablo517[[#This Row],[HAMMADDE KODU]],Tablo1[#All],4,0)," ")</f>
        <v>PİNHAS</v>
      </c>
      <c r="Q78" s="100">
        <f>IFERROR(VLOOKUP(Tablo517[[#This Row],[ÜRÜN KODU]],YMKODLARI!$A$1:$K$363,5,0)," ")</f>
        <v>23.1</v>
      </c>
      <c r="R78" s="100">
        <f>IFERROR(VLOOKUP(Tablo517[[#This Row],[ÜRÜN KODU]],YMKODLARI!$A$1:$K$363,6,0)," ")</f>
        <v>21.4</v>
      </c>
      <c r="S78" s="100">
        <f>IFERROR(Tablo517[[#This Row],[YOLLUK HARİÇ BASKI GRAMI]]/Tablo517[[#This Row],[KALIP GÖZ ADEDİ]]," ")</f>
        <v>5.35</v>
      </c>
      <c r="T78" s="100">
        <f t="shared" si="10"/>
        <v>1.7000000000000028</v>
      </c>
      <c r="U78" s="100">
        <v>2</v>
      </c>
      <c r="V78" s="100">
        <f t="shared" si="9"/>
        <v>8.0990000000000002</v>
      </c>
      <c r="W78" s="101">
        <f t="shared" si="11"/>
        <v>24.125</v>
      </c>
      <c r="X78" s="102">
        <f t="shared" si="12"/>
        <v>3</v>
      </c>
      <c r="Y78" s="100">
        <f t="shared" si="13"/>
        <v>1.9</v>
      </c>
      <c r="Z78" s="100">
        <f t="shared" si="14"/>
        <v>1140</v>
      </c>
    </row>
    <row r="79" spans="1:26">
      <c r="A79" s="100" t="s">
        <v>82</v>
      </c>
      <c r="B79" s="108" t="str">
        <f>IFERROR(VLOOKUP(Tablo517[[#This Row],[ÜRÜN KODU]],YMKODLARI!$A$1:$K$363,2,0)," ")</f>
        <v>SULUK 30ml KAPAK</v>
      </c>
      <c r="C79" s="99">
        <v>43997</v>
      </c>
      <c r="D79" s="100" t="s">
        <v>37</v>
      </c>
      <c r="E79" s="101">
        <v>0.46180555555555558</v>
      </c>
      <c r="F79" s="101">
        <v>0.75</v>
      </c>
      <c r="G79" s="100">
        <f>IFERROR(VLOOKUP(Tablo517[[#This Row],[ÜRÜN KODU]],YMKODLARI!$A$1:$K$363,3,0)," ")</f>
        <v>4</v>
      </c>
      <c r="H79" s="100">
        <f>IFERROR(VLOOKUP(Tablo517[[#This Row],[ÜRÜN KODU]],YMKODLARI!$A$1:$K$363,4,0)," ")</f>
        <v>24</v>
      </c>
      <c r="I79" s="100">
        <v>895</v>
      </c>
      <c r="J79" s="100">
        <f>IFERROR(VLOOKUP(Tablo517[[#This Row],[ÜRÜN KODU]],YMKODLARI!$A$1:$K$363,9,0)," ")</f>
        <v>5287</v>
      </c>
      <c r="K79" s="100" t="str">
        <f>IFERROR(VLOOKUP(Tablo517[[#This Row],[BOYA KODU]],Tablo14[#All],4,0)," ")</f>
        <v>MAVİ</v>
      </c>
      <c r="L79" s="100">
        <f>IFERROR(VLOOKUP(Tablo517[[#This Row],[BOYA KODU]],Tablo14[#All],6,0)," ")</f>
        <v>5.0000000000000001E-3</v>
      </c>
      <c r="M79" s="100">
        <f t="shared" si="8"/>
        <v>102.03</v>
      </c>
      <c r="N79" s="100" t="str">
        <f>IFERROR(VLOOKUP(Tablo517[[#This Row],[ÜRÜN KODU]],YMKODLARI!$A$1:$K$363,8,0)," ")</f>
        <v>HM 001</v>
      </c>
      <c r="O79" s="100" t="str">
        <f>IFERROR(VLOOKUP(Tablo517[[#This Row],[HAMMADDE KODU]],Tablo1[#All],3,0)," ")</f>
        <v>CAPILENE</v>
      </c>
      <c r="P79" s="100" t="str">
        <f>IFERROR(VLOOKUP(Tablo517[[#This Row],[HAMMADDE KODU]],Tablo1[#All],4,0)," ")</f>
        <v>PİNHAS</v>
      </c>
      <c r="Q79" s="100">
        <f>IFERROR(VLOOKUP(Tablo517[[#This Row],[ÜRÜN KODU]],YMKODLARI!$A$1:$K$363,5,0)," ")</f>
        <v>22.8</v>
      </c>
      <c r="R79" s="100">
        <f>IFERROR(VLOOKUP(Tablo517[[#This Row],[ÜRÜN KODU]],YMKODLARI!$A$1:$K$363,6,0)," ")</f>
        <v>21.2</v>
      </c>
      <c r="S79" s="100">
        <f>IFERROR(Tablo517[[#This Row],[YOLLUK HARİÇ BASKI GRAMI]]/Tablo517[[#This Row],[KALIP GÖZ ADEDİ]]," ")</f>
        <v>5.3</v>
      </c>
      <c r="T79" s="100">
        <f t="shared" si="10"/>
        <v>1.6000000000000014</v>
      </c>
      <c r="U79" s="100">
        <v>2</v>
      </c>
      <c r="V79" s="100">
        <f t="shared" si="9"/>
        <v>20.974</v>
      </c>
      <c r="W79" s="101">
        <f t="shared" si="11"/>
        <v>24.288194444444443</v>
      </c>
      <c r="X79" s="102">
        <f t="shared" si="12"/>
        <v>6.9166666666666288</v>
      </c>
      <c r="Y79" s="100">
        <f t="shared" si="13"/>
        <v>5.9666666666666668</v>
      </c>
      <c r="Z79" s="100">
        <f t="shared" si="14"/>
        <v>3580</v>
      </c>
    </row>
    <row r="80" spans="1:26">
      <c r="A80" s="100" t="s">
        <v>83</v>
      </c>
      <c r="B80" s="108" t="str">
        <f>IFERROR(VLOOKUP(Tablo517[[#This Row],[ÜRÜN KODU]],YMKODLARI!$A$1:$K$363,2,0)," ")</f>
        <v>DAMAK EMZİK SAP</v>
      </c>
      <c r="C80" s="99">
        <v>44006</v>
      </c>
      <c r="D80" s="100" t="s">
        <v>37</v>
      </c>
      <c r="E80" s="101">
        <v>0.48958333333333331</v>
      </c>
      <c r="F80" s="101">
        <v>0.59722222222222221</v>
      </c>
      <c r="G80" s="100">
        <f>IFERROR(VLOOKUP(Tablo517[[#This Row],[ÜRÜN KODU]],YMKODLARI!$A$1:$K$363,3,0)," ")</f>
        <v>16</v>
      </c>
      <c r="H80" s="100">
        <f>IFERROR(VLOOKUP(Tablo517[[#This Row],[ÜRÜN KODU]],YMKODLARI!$A$1:$K$363,4,0)," ")</f>
        <v>20</v>
      </c>
      <c r="I80" s="100">
        <v>286</v>
      </c>
      <c r="J80" s="100">
        <f>IFERROR(VLOOKUP(Tablo517[[#This Row],[ÜRÜN KODU]],YMKODLARI!$A$1:$K$363,9,0)," ")</f>
        <v>1289</v>
      </c>
      <c r="K80" s="100" t="str">
        <f>IFERROR(VLOOKUP(Tablo517[[#This Row],[BOYA KODU]],Tablo14[#All],4,0)," ")</f>
        <v>SARI</v>
      </c>
      <c r="L80" s="100">
        <f>IFERROR(VLOOKUP(Tablo517[[#This Row],[BOYA KODU]],Tablo14[#All],6,0)," ")</f>
        <v>5.0000000000000001E-3</v>
      </c>
      <c r="M80" s="100">
        <f t="shared" si="8"/>
        <v>26.598000000000003</v>
      </c>
      <c r="N80" s="100" t="str">
        <f>IFERROR(VLOOKUP(Tablo517[[#This Row],[ÜRÜN KODU]],YMKODLARI!$A$1:$K$363,8,0)," ")</f>
        <v>HM 002</v>
      </c>
      <c r="O80" s="100" t="str">
        <f>IFERROR(VLOOKUP(Tablo517[[#This Row],[HAMMADDE KODU]],Tablo1[#All],3,0)," ")</f>
        <v>NOVAREX</v>
      </c>
      <c r="P80" s="100" t="str">
        <f>IFERROR(VLOOKUP(Tablo517[[#This Row],[HAMMADDE KODU]],Tablo1[#All],4,0)," ")</f>
        <v>PİNHAS</v>
      </c>
      <c r="Q80" s="100">
        <f>IFERROR(VLOOKUP(Tablo517[[#This Row],[ÜRÜN KODU]],YMKODLARI!$A$1:$K$363,5,0)," ")</f>
        <v>18.600000000000001</v>
      </c>
      <c r="R80" s="100">
        <f>IFERROR(VLOOKUP(Tablo517[[#This Row],[ÜRÜN KODU]],YMKODLARI!$A$1:$K$363,6,0)," ")</f>
        <v>16.7</v>
      </c>
      <c r="S80" s="100">
        <f>IFERROR(Tablo517[[#This Row],[YOLLUK HARİÇ BASKI GRAMI]]/Tablo517[[#This Row],[KALIP GÖZ ADEDİ]]," ")</f>
        <v>1.04375</v>
      </c>
      <c r="T80" s="100">
        <f t="shared" si="10"/>
        <v>1.9000000000000021</v>
      </c>
      <c r="U80" s="100">
        <v>3.7</v>
      </c>
      <c r="V80" s="100">
        <f t="shared" si="9"/>
        <v>8.4762000000000004</v>
      </c>
      <c r="W80" s="101">
        <f t="shared" si="11"/>
        <v>24.107638888888889</v>
      </c>
      <c r="X80" s="102">
        <f t="shared" si="12"/>
        <v>2.5833333333333428</v>
      </c>
      <c r="Y80" s="100">
        <f t="shared" si="13"/>
        <v>1.5888888888888888</v>
      </c>
      <c r="Z80" s="100">
        <f t="shared" si="14"/>
        <v>4576</v>
      </c>
    </row>
    <row r="81" spans="1:26">
      <c r="A81" s="100" t="s">
        <v>84</v>
      </c>
      <c r="B81" s="108" t="str">
        <f>IFERROR(VLOOKUP(Tablo517[[#This Row],[ÜRÜN KODU]],YMKODLARI!$A$1:$K$363,2,0)," ")</f>
        <v>DAMAK EMZİK SAP</v>
      </c>
      <c r="C81" s="99">
        <v>44006</v>
      </c>
      <c r="D81" s="100" t="s">
        <v>37</v>
      </c>
      <c r="E81" s="101">
        <v>0.59722222222222221</v>
      </c>
      <c r="F81" s="101">
        <v>0.74305555555555547</v>
      </c>
      <c r="G81" s="100">
        <f>IFERROR(VLOOKUP(Tablo517[[#This Row],[ÜRÜN KODU]],YMKODLARI!$A$1:$K$363,3,0)," ")</f>
        <v>16</v>
      </c>
      <c r="H81" s="100">
        <f>IFERROR(VLOOKUP(Tablo517[[#This Row],[ÜRÜN KODU]],YMKODLARI!$A$1:$K$363,4,0)," ")</f>
        <v>20</v>
      </c>
      <c r="I81" s="100">
        <v>616</v>
      </c>
      <c r="J81" s="100">
        <f>IFERROR(VLOOKUP(Tablo517[[#This Row],[ÜRÜN KODU]],YMKODLARI!$A$1:$K$363,9,0)," ")</f>
        <v>3408</v>
      </c>
      <c r="K81" s="100" t="str">
        <f>IFERROR(VLOOKUP(Tablo517[[#This Row],[BOYA KODU]],Tablo14[#All],4,0)," ")</f>
        <v>PEMBE</v>
      </c>
      <c r="L81" s="100">
        <f>IFERROR(VLOOKUP(Tablo517[[#This Row],[BOYA KODU]],Tablo14[#All],6,0)," ")</f>
        <v>5.0000000000000001E-3</v>
      </c>
      <c r="M81" s="100">
        <f t="shared" si="8"/>
        <v>57.288000000000004</v>
      </c>
      <c r="N81" s="100" t="str">
        <f>IFERROR(VLOOKUP(Tablo517[[#This Row],[ÜRÜN KODU]],YMKODLARI!$A$1:$K$363,8,0)," ")</f>
        <v>HM 002</v>
      </c>
      <c r="O81" s="100" t="str">
        <f>IFERROR(VLOOKUP(Tablo517[[#This Row],[HAMMADDE KODU]],Tablo1[#All],3,0)," ")</f>
        <v>NOVAREX</v>
      </c>
      <c r="P81" s="100" t="str">
        <f>IFERROR(VLOOKUP(Tablo517[[#This Row],[HAMMADDE KODU]],Tablo1[#All],4,0)," ")</f>
        <v>PİNHAS</v>
      </c>
      <c r="Q81" s="100">
        <f>IFERROR(VLOOKUP(Tablo517[[#This Row],[ÜRÜN KODU]],YMKODLARI!$A$1:$K$363,5,0)," ")</f>
        <v>18.600000000000001</v>
      </c>
      <c r="R81" s="100">
        <f>IFERROR(VLOOKUP(Tablo517[[#This Row],[ÜRÜN KODU]],YMKODLARI!$A$1:$K$363,6,0)," ")</f>
        <v>16.7</v>
      </c>
      <c r="S81" s="100">
        <f>IFERROR(Tablo517[[#This Row],[YOLLUK HARİÇ BASKI GRAMI]]/Tablo517[[#This Row],[KALIP GÖZ ADEDİ]]," ")</f>
        <v>1.04375</v>
      </c>
      <c r="T81" s="100">
        <f t="shared" si="10"/>
        <v>1.9000000000000021</v>
      </c>
      <c r="U81" s="100">
        <v>6.1</v>
      </c>
      <c r="V81" s="100">
        <f t="shared" si="9"/>
        <v>16.3872</v>
      </c>
      <c r="W81" s="101">
        <f t="shared" si="11"/>
        <v>24.145833333333332</v>
      </c>
      <c r="X81" s="102">
        <f t="shared" si="12"/>
        <v>3.4999999999999716</v>
      </c>
      <c r="Y81" s="100">
        <f t="shared" si="13"/>
        <v>3.4222222222222221</v>
      </c>
      <c r="Z81" s="100">
        <f t="shared" si="14"/>
        <v>9856</v>
      </c>
    </row>
    <row r="82" spans="1:26">
      <c r="A82" s="100" t="s">
        <v>70</v>
      </c>
      <c r="B82" s="108" t="str">
        <f>IFERROR(VLOOKUP(Tablo517[[#This Row],[ÜRÜN KODU]],YMKODLARI!$A$1:$K$363,2,0)," ")</f>
        <v>DAMAK EMZİK SAP</v>
      </c>
      <c r="C82" s="99">
        <v>44007</v>
      </c>
      <c r="D82" s="100" t="s">
        <v>37</v>
      </c>
      <c r="E82" s="101">
        <v>0.33333333333333331</v>
      </c>
      <c r="F82" s="101">
        <v>0.4236111111111111</v>
      </c>
      <c r="G82" s="100">
        <f>IFERROR(VLOOKUP(Tablo517[[#This Row],[ÜRÜN KODU]],YMKODLARI!$A$1:$K$363,3,0)," ")</f>
        <v>16</v>
      </c>
      <c r="H82" s="100">
        <f>IFERROR(VLOOKUP(Tablo517[[#This Row],[ÜRÜN KODU]],YMKODLARI!$A$1:$K$363,4,0)," ")</f>
        <v>20</v>
      </c>
      <c r="I82" s="100">
        <v>348</v>
      </c>
      <c r="J82" s="100" t="str">
        <f>IFERROR(VLOOKUP(Tablo517[[#This Row],[ÜRÜN KODU]],YMKODLARI!$A$1:$K$363,9,0)," ")</f>
        <v>5249A</v>
      </c>
      <c r="K82" s="100" t="str">
        <f>IFERROR(VLOOKUP(Tablo517[[#This Row],[BOYA KODU]],Tablo14[#All],4,0)," ")</f>
        <v>MAVİ</v>
      </c>
      <c r="L82" s="100">
        <f>IFERROR(VLOOKUP(Tablo517[[#This Row],[BOYA KODU]],Tablo14[#All],6,0)," ")</f>
        <v>5.0000000000000001E-3</v>
      </c>
      <c r="M82" s="100">
        <f t="shared" si="8"/>
        <v>32.364000000000004</v>
      </c>
      <c r="N82" s="100" t="str">
        <f>IFERROR(VLOOKUP(Tablo517[[#This Row],[ÜRÜN KODU]],YMKODLARI!$A$1:$K$363,8,0)," ")</f>
        <v>HM 002</v>
      </c>
      <c r="O82" s="100" t="str">
        <f>IFERROR(VLOOKUP(Tablo517[[#This Row],[HAMMADDE KODU]],Tablo1[#All],3,0)," ")</f>
        <v>NOVAREX</v>
      </c>
      <c r="P82" s="100" t="str">
        <f>IFERROR(VLOOKUP(Tablo517[[#This Row],[HAMMADDE KODU]],Tablo1[#All],4,0)," ")</f>
        <v>PİNHAS</v>
      </c>
      <c r="Q82" s="100">
        <f>IFERROR(VLOOKUP(Tablo517[[#This Row],[ÜRÜN KODU]],YMKODLARI!$A$1:$K$363,5,0)," ")</f>
        <v>18.600000000000001</v>
      </c>
      <c r="R82" s="100">
        <f>IFERROR(VLOOKUP(Tablo517[[#This Row],[ÜRÜN KODU]],YMKODLARI!$A$1:$K$363,6,0)," ")</f>
        <v>16.7</v>
      </c>
      <c r="S82" s="100">
        <f>IFERROR(Tablo517[[#This Row],[YOLLUK HARİÇ BASKI GRAMI]]/Tablo517[[#This Row],[KALIP GÖZ ADEDİ]]," ")</f>
        <v>1.04375</v>
      </c>
      <c r="T82" s="100">
        <f t="shared" si="10"/>
        <v>1.9000000000000021</v>
      </c>
      <c r="U82" s="100">
        <v>3.2</v>
      </c>
      <c r="V82" s="100">
        <f t="shared" si="9"/>
        <v>9.0115999999999996</v>
      </c>
      <c r="W82" s="101">
        <f t="shared" si="11"/>
        <v>24.090277777777779</v>
      </c>
      <c r="X82" s="102">
        <f t="shared" si="12"/>
        <v>2.1666666666666856</v>
      </c>
      <c r="Y82" s="100">
        <f t="shared" si="13"/>
        <v>1.9333333333333333</v>
      </c>
      <c r="Z82" s="100">
        <f t="shared" si="14"/>
        <v>5568</v>
      </c>
    </row>
    <row r="83" spans="1:26">
      <c r="A83" s="100" t="s">
        <v>85</v>
      </c>
      <c r="B83" s="108" t="str">
        <f>IFERROR(VLOOKUP(Tablo517[[#This Row],[ÜRÜN KODU]],YMKODLARI!$A$1:$K$363,2,0)," ")</f>
        <v>DAMAK EMZİK SAP</v>
      </c>
      <c r="C83" s="99">
        <v>44007</v>
      </c>
      <c r="D83" s="100" t="s">
        <v>37</v>
      </c>
      <c r="E83" s="101">
        <v>0.4375</v>
      </c>
      <c r="F83" s="101">
        <v>0.58333333333333337</v>
      </c>
      <c r="G83" s="100">
        <f>IFERROR(VLOOKUP(Tablo517[[#This Row],[ÜRÜN KODU]],YMKODLARI!$A$1:$K$363,3,0)," ")</f>
        <v>16</v>
      </c>
      <c r="H83" s="100">
        <f>IFERROR(VLOOKUP(Tablo517[[#This Row],[ÜRÜN KODU]],YMKODLARI!$A$1:$K$363,4,0)," ")</f>
        <v>20</v>
      </c>
      <c r="I83" s="100">
        <v>500</v>
      </c>
      <c r="J83" s="100">
        <f>IFERROR(VLOOKUP(Tablo517[[#This Row],[ÜRÜN KODU]],YMKODLARI!$A$1:$K$363,9,0)," ")</f>
        <v>4089</v>
      </c>
      <c r="K83" s="100" t="str">
        <f>IFERROR(VLOOKUP(Tablo517[[#This Row],[BOYA KODU]],Tablo14[#All],4,0)," ")</f>
        <v>LİLA</v>
      </c>
      <c r="L83" s="100">
        <f>IFERROR(VLOOKUP(Tablo517[[#This Row],[BOYA KODU]],Tablo14[#All],6,0)," ")</f>
        <v>5.0000000000000001E-3</v>
      </c>
      <c r="M83" s="100">
        <f t="shared" si="8"/>
        <v>46.5</v>
      </c>
      <c r="N83" s="100" t="str">
        <f>IFERROR(VLOOKUP(Tablo517[[#This Row],[ÜRÜN KODU]],YMKODLARI!$A$1:$K$363,8,0)," ")</f>
        <v>HM 002</v>
      </c>
      <c r="O83" s="100" t="str">
        <f>IFERROR(VLOOKUP(Tablo517[[#This Row],[HAMMADDE KODU]],Tablo1[#All],3,0)," ")</f>
        <v>NOVAREX</v>
      </c>
      <c r="P83" s="100" t="str">
        <f>IFERROR(VLOOKUP(Tablo517[[#This Row],[HAMMADDE KODU]],Tablo1[#All],4,0)," ")</f>
        <v>PİNHAS</v>
      </c>
      <c r="Q83" s="100">
        <f>IFERROR(VLOOKUP(Tablo517[[#This Row],[ÜRÜN KODU]],YMKODLARI!$A$1:$K$363,5,0)," ")</f>
        <v>18.600000000000001</v>
      </c>
      <c r="R83" s="100">
        <f>IFERROR(VLOOKUP(Tablo517[[#This Row],[ÜRÜN KODU]],YMKODLARI!$A$1:$K$363,6,0)," ")</f>
        <v>16.7</v>
      </c>
      <c r="S83" s="100">
        <f>IFERROR(Tablo517[[#This Row],[YOLLUK HARİÇ BASKI GRAMI]]/Tablo517[[#This Row],[KALIP GÖZ ADEDİ]]," ")</f>
        <v>1.04375</v>
      </c>
      <c r="T83" s="100">
        <f t="shared" si="10"/>
        <v>1.9000000000000021</v>
      </c>
      <c r="U83" s="100">
        <v>2</v>
      </c>
      <c r="V83" s="100">
        <f t="shared" si="9"/>
        <v>10.35</v>
      </c>
      <c r="W83" s="101">
        <f t="shared" si="11"/>
        <v>24.145833333333332</v>
      </c>
      <c r="X83" s="102">
        <f t="shared" si="12"/>
        <v>3.4999999999999716</v>
      </c>
      <c r="Y83" s="100">
        <f t="shared" si="13"/>
        <v>2.7777777777777777</v>
      </c>
      <c r="Z83" s="100">
        <f t="shared" si="14"/>
        <v>8000</v>
      </c>
    </row>
    <row r="84" spans="1:26">
      <c r="A84" s="100" t="s">
        <v>86</v>
      </c>
      <c r="B84" s="108" t="str">
        <f>IFERROR(VLOOKUP(Tablo517[[#This Row],[ÜRÜN KODU]],YMKODLARI!$A$1:$K$363,2,0)," ")</f>
        <v>DAMAK EMZİK SAP</v>
      </c>
      <c r="C84" s="99">
        <v>44007</v>
      </c>
      <c r="D84" s="100" t="s">
        <v>37</v>
      </c>
      <c r="E84" s="101">
        <v>0.60416666666666663</v>
      </c>
      <c r="F84" s="101">
        <v>0.75</v>
      </c>
      <c r="G84" s="100">
        <f>IFERROR(VLOOKUP(Tablo517[[#This Row],[ÜRÜN KODU]],YMKODLARI!$A$1:$K$363,3,0)," ")</f>
        <v>16</v>
      </c>
      <c r="H84" s="100">
        <f>IFERROR(VLOOKUP(Tablo517[[#This Row],[ÜRÜN KODU]],YMKODLARI!$A$1:$K$363,4,0)," ")</f>
        <v>20</v>
      </c>
      <c r="I84" s="100">
        <v>580</v>
      </c>
      <c r="J84" s="100" t="str">
        <f>IFERROR(VLOOKUP(Tablo517[[#This Row],[ÜRÜN KODU]],YMKODLARI!$A$1:$K$363,9,0)," ")</f>
        <v>3407A</v>
      </c>
      <c r="K84" s="100" t="str">
        <f>IFERROR(VLOOKUP(Tablo517[[#This Row],[BOYA KODU]],Tablo14[#All],4,0)," ")</f>
        <v>KIRMIZI</v>
      </c>
      <c r="L84" s="100">
        <f>IFERROR(VLOOKUP(Tablo517[[#This Row],[BOYA KODU]],Tablo14[#All],6,0)," ")</f>
        <v>5.0000000000000001E-3</v>
      </c>
      <c r="M84" s="100">
        <f t="shared" si="8"/>
        <v>53.94</v>
      </c>
      <c r="N84" s="100" t="str">
        <f>IFERROR(VLOOKUP(Tablo517[[#This Row],[ÜRÜN KODU]],YMKODLARI!$A$1:$K$363,8,0)," ")</f>
        <v>HM 002</v>
      </c>
      <c r="O84" s="100" t="str">
        <f>IFERROR(VLOOKUP(Tablo517[[#This Row],[HAMMADDE KODU]],Tablo1[#All],3,0)," ")</f>
        <v>NOVAREX</v>
      </c>
      <c r="P84" s="100" t="str">
        <f>IFERROR(VLOOKUP(Tablo517[[#This Row],[HAMMADDE KODU]],Tablo1[#All],4,0)," ")</f>
        <v>PİNHAS</v>
      </c>
      <c r="Q84" s="100">
        <f>IFERROR(VLOOKUP(Tablo517[[#This Row],[ÜRÜN KODU]],YMKODLARI!$A$1:$K$363,5,0)," ")</f>
        <v>18.600000000000001</v>
      </c>
      <c r="R84" s="100">
        <f>IFERROR(VLOOKUP(Tablo517[[#This Row],[ÜRÜN KODU]],YMKODLARI!$A$1:$K$363,6,0)," ")</f>
        <v>16.7</v>
      </c>
      <c r="S84" s="100">
        <f>IFERROR(Tablo517[[#This Row],[YOLLUK HARİÇ BASKI GRAMI]]/Tablo517[[#This Row],[KALIP GÖZ ADEDİ]]," ")</f>
        <v>1.04375</v>
      </c>
      <c r="T84" s="100">
        <f t="shared" si="10"/>
        <v>1.9000000000000021</v>
      </c>
      <c r="U84" s="100">
        <v>3</v>
      </c>
      <c r="V84" s="100">
        <f t="shared" si="9"/>
        <v>12.686</v>
      </c>
      <c r="W84" s="101">
        <f t="shared" si="11"/>
        <v>24.145833333333332</v>
      </c>
      <c r="X84" s="102">
        <f t="shared" si="12"/>
        <v>3.4999999999999716</v>
      </c>
      <c r="Y84" s="100">
        <f t="shared" si="13"/>
        <v>3.2222222222222223</v>
      </c>
      <c r="Z84" s="100">
        <f t="shared" si="14"/>
        <v>9280</v>
      </c>
    </row>
    <row r="85" spans="1:26">
      <c r="A85" s="100" t="s">
        <v>86</v>
      </c>
      <c r="B85" s="108" t="str">
        <f>IFERROR(VLOOKUP(Tablo517[[#This Row],[ÜRÜN KODU]],YMKODLARI!$A$1:$K$363,2,0)," ")</f>
        <v>DAMAK EMZİK SAP</v>
      </c>
      <c r="C85" s="99">
        <v>44008</v>
      </c>
      <c r="D85" s="100" t="s">
        <v>37</v>
      </c>
      <c r="E85" s="101">
        <v>0.33333333333333331</v>
      </c>
      <c r="F85" s="101">
        <v>0.43055555555555558</v>
      </c>
      <c r="G85" s="100">
        <f>IFERROR(VLOOKUP(Tablo517[[#This Row],[ÜRÜN KODU]],YMKODLARI!$A$1:$K$363,3,0)," ")</f>
        <v>16</v>
      </c>
      <c r="H85" s="100">
        <f>IFERROR(VLOOKUP(Tablo517[[#This Row],[ÜRÜN KODU]],YMKODLARI!$A$1:$K$363,4,0)," ")</f>
        <v>20</v>
      </c>
      <c r="I85" s="100">
        <v>358</v>
      </c>
      <c r="J85" s="100" t="str">
        <f>IFERROR(VLOOKUP(Tablo517[[#This Row],[ÜRÜN KODU]],YMKODLARI!$A$1:$K$363,9,0)," ")</f>
        <v>3407A</v>
      </c>
      <c r="K85" s="100" t="str">
        <f>IFERROR(VLOOKUP(Tablo517[[#This Row],[BOYA KODU]],Tablo14[#All],4,0)," ")</f>
        <v>KIRMIZI</v>
      </c>
      <c r="L85" s="100">
        <f>IFERROR(VLOOKUP(Tablo517[[#This Row],[BOYA KODU]],Tablo14[#All],6,0)," ")</f>
        <v>5.0000000000000001E-3</v>
      </c>
      <c r="M85" s="100">
        <f t="shared" si="8"/>
        <v>33.294000000000004</v>
      </c>
      <c r="N85" s="100" t="str">
        <f>IFERROR(VLOOKUP(Tablo517[[#This Row],[ÜRÜN KODU]],YMKODLARI!$A$1:$K$363,8,0)," ")</f>
        <v>HM 002</v>
      </c>
      <c r="O85" s="100" t="str">
        <f>IFERROR(VLOOKUP(Tablo517[[#This Row],[HAMMADDE KODU]],Tablo1[#All],3,0)," ")</f>
        <v>NOVAREX</v>
      </c>
      <c r="P85" s="100" t="str">
        <f>IFERROR(VLOOKUP(Tablo517[[#This Row],[HAMMADDE KODU]],Tablo1[#All],4,0)," ")</f>
        <v>PİNHAS</v>
      </c>
      <c r="Q85" s="100">
        <f>IFERROR(VLOOKUP(Tablo517[[#This Row],[ÜRÜN KODU]],YMKODLARI!$A$1:$K$363,5,0)," ")</f>
        <v>18.600000000000001</v>
      </c>
      <c r="R85" s="100">
        <f>IFERROR(VLOOKUP(Tablo517[[#This Row],[ÜRÜN KODU]],YMKODLARI!$A$1:$K$363,6,0)," ")</f>
        <v>16.7</v>
      </c>
      <c r="S85" s="100">
        <f>IFERROR(Tablo517[[#This Row],[YOLLUK HARİÇ BASKI GRAMI]]/Tablo517[[#This Row],[KALIP GÖZ ADEDİ]]," ")</f>
        <v>1.04375</v>
      </c>
      <c r="T85" s="100">
        <f t="shared" si="10"/>
        <v>1.9000000000000021</v>
      </c>
      <c r="U85" s="100">
        <v>2</v>
      </c>
      <c r="V85" s="100">
        <f t="shared" si="9"/>
        <v>7.9785999999999992</v>
      </c>
      <c r="W85" s="101">
        <f t="shared" si="11"/>
        <v>24.097222222222221</v>
      </c>
      <c r="X85" s="102">
        <f t="shared" si="12"/>
        <v>2.3333333333333144</v>
      </c>
      <c r="Y85" s="100">
        <f t="shared" si="13"/>
        <v>1.9888888888888889</v>
      </c>
      <c r="Z85" s="100">
        <f t="shared" si="14"/>
        <v>5728</v>
      </c>
    </row>
    <row r="86" spans="1:26">
      <c r="A86" s="100" t="s">
        <v>75</v>
      </c>
      <c r="B86" s="108" t="str">
        <f>IFERROR(VLOOKUP(Tablo517[[#This Row],[ÜRÜN KODU]],YMKODLARI!$A$1:$K$363,2,0)," ")</f>
        <v>MAMA KAŞIĞI TIPA</v>
      </c>
      <c r="C86" s="99">
        <v>44013</v>
      </c>
      <c r="D86" s="100" t="s">
        <v>29</v>
      </c>
      <c r="E86" s="101">
        <v>0.41666666666666669</v>
      </c>
      <c r="F86" s="101">
        <v>0.75</v>
      </c>
      <c r="G86" s="100">
        <f>IFERROR(VLOOKUP(Tablo517[[#This Row],[ÜRÜN KODU]],YMKODLARI!$A$1:$K$363,3,0)," ")</f>
        <v>8</v>
      </c>
      <c r="H86" s="100">
        <f>IFERROR(VLOOKUP(Tablo517[[#This Row],[ÜRÜN KODU]],YMKODLARI!$A$1:$K$363,4,0)," ")</f>
        <v>23</v>
      </c>
      <c r="I86" s="100">
        <v>907</v>
      </c>
      <c r="J86" s="100" t="str">
        <f>IFERROR(VLOOKUP(Tablo517[[#This Row],[ÜRÜN KODU]],YMKODLARI!$A$1:$K$363,9,0)," ")</f>
        <v>9134A</v>
      </c>
      <c r="K86" s="100" t="str">
        <f>IFERROR(VLOOKUP(Tablo517[[#This Row],[BOYA KODU]],Tablo14[#All],4,0)," ")</f>
        <v>BEYAZ</v>
      </c>
      <c r="L86" s="100">
        <f>IFERROR(VLOOKUP(Tablo517[[#This Row],[BOYA KODU]],Tablo14[#All],6,0)," ")</f>
        <v>7.0000000000000001E-3</v>
      </c>
      <c r="M86" s="100">
        <f t="shared" si="8"/>
        <v>45.712800000000001</v>
      </c>
      <c r="N86" s="100" t="str">
        <f>IFERROR(VLOOKUP(Tablo517[[#This Row],[ÜRÜN KODU]],YMKODLARI!$A$1:$K$363,8,0)," ")</f>
        <v>HM 001</v>
      </c>
      <c r="O86" s="100" t="str">
        <f>IFERROR(VLOOKUP(Tablo517[[#This Row],[HAMMADDE KODU]],Tablo1[#All],3,0)," ")</f>
        <v>CAPILENE</v>
      </c>
      <c r="P86" s="100" t="str">
        <f>IFERROR(VLOOKUP(Tablo517[[#This Row],[HAMMADDE KODU]],Tablo1[#All],4,0)," ")</f>
        <v>PİNHAS</v>
      </c>
      <c r="Q86" s="100">
        <f>IFERROR(VLOOKUP(Tablo517[[#This Row],[ÜRÜN KODU]],YMKODLARI!$A$1:$K$363,5,0)," ")</f>
        <v>7.2</v>
      </c>
      <c r="R86" s="100">
        <f>IFERROR(VLOOKUP(Tablo517[[#This Row],[ÜRÜN KODU]],YMKODLARI!$A$1:$K$363,6,0)," ")</f>
        <v>5</v>
      </c>
      <c r="S86" s="100">
        <f>IFERROR(Tablo517[[#This Row],[YOLLUK HARİÇ BASKI GRAMI]]/Tablo517[[#This Row],[KALIP GÖZ ADEDİ]]," ")</f>
        <v>0.625</v>
      </c>
      <c r="T86" s="100">
        <f t="shared" si="10"/>
        <v>2.2000000000000002</v>
      </c>
      <c r="U86" s="100">
        <v>2.5</v>
      </c>
      <c r="V86" s="100">
        <f t="shared" si="9"/>
        <v>7.0350000000000001</v>
      </c>
      <c r="W86" s="101">
        <f t="shared" si="11"/>
        <v>24.333333333333332</v>
      </c>
      <c r="X86" s="102">
        <f t="shared" si="12"/>
        <v>7.9999999999999716</v>
      </c>
      <c r="Y86" s="100">
        <f t="shared" si="13"/>
        <v>5.7947222222222221</v>
      </c>
      <c r="Z86" s="100">
        <f t="shared" si="14"/>
        <v>7256</v>
      </c>
    </row>
    <row r="87" spans="1:26">
      <c r="A87" s="100" t="s">
        <v>75</v>
      </c>
      <c r="B87" s="108" t="str">
        <f>IFERROR(VLOOKUP(Tablo517[[#This Row],[ÜRÜN KODU]],YMKODLARI!$A$1:$K$363,2,0)," ")</f>
        <v>MAMA KAŞIĞI TIPA</v>
      </c>
      <c r="C87" s="99">
        <v>44014</v>
      </c>
      <c r="D87" s="100" t="s">
        <v>37</v>
      </c>
      <c r="E87" s="101">
        <v>0.33333333333333331</v>
      </c>
      <c r="F87" s="101">
        <v>0.63194444444444442</v>
      </c>
      <c r="G87" s="100">
        <f>IFERROR(VLOOKUP(Tablo517[[#This Row],[ÜRÜN KODU]],YMKODLARI!$A$1:$K$363,3,0)," ")</f>
        <v>8</v>
      </c>
      <c r="H87" s="100">
        <f>IFERROR(VLOOKUP(Tablo517[[#This Row],[ÜRÜN KODU]],YMKODLARI!$A$1:$K$363,4,0)," ")</f>
        <v>23</v>
      </c>
      <c r="I87" s="100">
        <v>1150</v>
      </c>
      <c r="J87" s="100" t="str">
        <f>IFERROR(VLOOKUP(Tablo517[[#This Row],[ÜRÜN KODU]],YMKODLARI!$A$1:$K$363,9,0)," ")</f>
        <v>9134A</v>
      </c>
      <c r="K87" s="100" t="str">
        <f>IFERROR(VLOOKUP(Tablo517[[#This Row],[BOYA KODU]],Tablo14[#All],4,0)," ")</f>
        <v>BEYAZ</v>
      </c>
      <c r="L87" s="100">
        <f>IFERROR(VLOOKUP(Tablo517[[#This Row],[BOYA KODU]],Tablo14[#All],6,0)," ")</f>
        <v>7.0000000000000001E-3</v>
      </c>
      <c r="M87" s="100">
        <f t="shared" si="8"/>
        <v>57.96</v>
      </c>
      <c r="N87" s="100" t="str">
        <f>IFERROR(VLOOKUP(Tablo517[[#This Row],[ÜRÜN KODU]],YMKODLARI!$A$1:$K$363,8,0)," ")</f>
        <v>HM 001</v>
      </c>
      <c r="O87" s="100" t="str">
        <f>IFERROR(VLOOKUP(Tablo517[[#This Row],[HAMMADDE KODU]],Tablo1[#All],3,0)," ")</f>
        <v>CAPILENE</v>
      </c>
      <c r="P87" s="100" t="str">
        <f>IFERROR(VLOOKUP(Tablo517[[#This Row],[HAMMADDE KODU]],Tablo1[#All],4,0)," ")</f>
        <v>PİNHAS</v>
      </c>
      <c r="Q87" s="100">
        <f>IFERROR(VLOOKUP(Tablo517[[#This Row],[ÜRÜN KODU]],YMKODLARI!$A$1:$K$363,5,0)," ")</f>
        <v>7.2</v>
      </c>
      <c r="R87" s="100">
        <f>IFERROR(VLOOKUP(Tablo517[[#This Row],[ÜRÜN KODU]],YMKODLARI!$A$1:$K$363,6,0)," ")</f>
        <v>5</v>
      </c>
      <c r="S87" s="100">
        <f>IFERROR(Tablo517[[#This Row],[YOLLUK HARİÇ BASKI GRAMI]]/Tablo517[[#This Row],[KALIP GÖZ ADEDİ]]," ")</f>
        <v>0.625</v>
      </c>
      <c r="T87" s="100">
        <f t="shared" si="10"/>
        <v>2.2000000000000002</v>
      </c>
      <c r="U87" s="100">
        <v>3.3</v>
      </c>
      <c r="V87" s="100">
        <f t="shared" si="9"/>
        <v>9.0500000000000007</v>
      </c>
      <c r="W87" s="101">
        <f t="shared" si="11"/>
        <v>24.298611111111111</v>
      </c>
      <c r="X87" s="102">
        <f t="shared" si="12"/>
        <v>7.1666666666666572</v>
      </c>
      <c r="Y87" s="100">
        <f t="shared" si="13"/>
        <v>7.3472222222222223</v>
      </c>
      <c r="Z87" s="100">
        <f t="shared" si="14"/>
        <v>9200</v>
      </c>
    </row>
    <row r="88" spans="1:26">
      <c r="A88" s="100" t="s">
        <v>87</v>
      </c>
      <c r="B88" s="108" t="str">
        <f>IFERROR(VLOOKUP(Tablo517[[#This Row],[ÜRÜN KODU]],YMKODLARI!$A$1:$K$363,2,0)," ")</f>
        <v>EMZİK ASKISI MANDAL</v>
      </c>
      <c r="C88" s="99">
        <v>44015</v>
      </c>
      <c r="D88" s="100" t="s">
        <v>36</v>
      </c>
      <c r="E88" s="101">
        <v>0.64583333333333337</v>
      </c>
      <c r="F88" s="101">
        <v>0.72916666666666663</v>
      </c>
      <c r="G88" s="100">
        <f>IFERROR(VLOOKUP(Tablo517[[#This Row],[ÜRÜN KODU]],YMKODLARI!$A$1:$K$363,3,0)," ")</f>
        <v>8</v>
      </c>
      <c r="H88" s="100">
        <f>IFERROR(VLOOKUP(Tablo517[[#This Row],[ÜRÜN KODU]],YMKODLARI!$A$1:$K$363,4,0)," ")</f>
        <v>10</v>
      </c>
      <c r="I88" s="100">
        <v>472</v>
      </c>
      <c r="J88" s="100">
        <f>IFERROR(VLOOKUP(Tablo517[[#This Row],[ÜRÜN KODU]],YMKODLARI!$A$1:$K$363,9,0)," ")</f>
        <v>1290</v>
      </c>
      <c r="K88" s="100" t="str">
        <f>IFERROR(VLOOKUP(Tablo517[[#This Row],[BOYA KODU]],Tablo14[#All],4,0)," ")</f>
        <v>SARI</v>
      </c>
      <c r="L88" s="100">
        <f>IFERROR(VLOOKUP(Tablo517[[#This Row],[BOYA KODU]],Tablo14[#All],6,0)," ")</f>
        <v>5.0000000000000001E-3</v>
      </c>
      <c r="M88" s="100">
        <f t="shared" si="8"/>
        <v>19.824000000000002</v>
      </c>
      <c r="N88" s="100" t="str">
        <f>IFERROR(VLOOKUP(Tablo517[[#This Row],[ÜRÜN KODU]],YMKODLARI!$A$1:$K$363,8,0)," ")</f>
        <v>HM 001</v>
      </c>
      <c r="O88" s="100" t="str">
        <f>IFERROR(VLOOKUP(Tablo517[[#This Row],[HAMMADDE KODU]],Tablo1[#All],3,0)," ")</f>
        <v>CAPILENE</v>
      </c>
      <c r="P88" s="100" t="str">
        <f>IFERROR(VLOOKUP(Tablo517[[#This Row],[HAMMADDE KODU]],Tablo1[#All],4,0)," ")</f>
        <v>PİNHAS</v>
      </c>
      <c r="Q88" s="100">
        <f>IFERROR(VLOOKUP(Tablo517[[#This Row],[ÜRÜN KODU]],YMKODLARI!$A$1:$K$363,5,0)," ")</f>
        <v>8.4</v>
      </c>
      <c r="R88" s="100">
        <f>IFERROR(VLOOKUP(Tablo517[[#This Row],[ÜRÜN KODU]],YMKODLARI!$A$1:$K$363,6,0)," ")</f>
        <v>5.8</v>
      </c>
      <c r="S88" s="100">
        <f>IFERROR(Tablo517[[#This Row],[YOLLUK HARİÇ BASKI GRAMI]]/Tablo517[[#This Row],[KALIP GÖZ ADEDİ]]," ")</f>
        <v>0.72499999999999998</v>
      </c>
      <c r="T88" s="100">
        <f t="shared" si="10"/>
        <v>2.6000000000000005</v>
      </c>
      <c r="U88" s="100"/>
      <c r="V88" s="100">
        <f t="shared" si="9"/>
        <v>2.7376</v>
      </c>
      <c r="W88" s="101">
        <f t="shared" si="11"/>
        <v>24.083333333333332</v>
      </c>
      <c r="X88" s="102">
        <f t="shared" si="12"/>
        <v>1.9999999999999716</v>
      </c>
      <c r="Y88" s="100">
        <f t="shared" si="13"/>
        <v>1.3111111111111111</v>
      </c>
      <c r="Z88" s="100">
        <f t="shared" si="14"/>
        <v>3776</v>
      </c>
    </row>
    <row r="89" spans="1:26">
      <c r="A89" s="100" t="s">
        <v>87</v>
      </c>
      <c r="B89" s="108" t="str">
        <f>IFERROR(VLOOKUP(Tablo517[[#This Row],[ÜRÜN KODU]],YMKODLARI!$A$1:$K$363,2,0)," ")</f>
        <v>EMZİK ASKISI MANDAL</v>
      </c>
      <c r="C89" s="99">
        <v>44018</v>
      </c>
      <c r="D89" s="100" t="s">
        <v>36</v>
      </c>
      <c r="E89" s="101">
        <v>0.33333333333333331</v>
      </c>
      <c r="F89" s="101">
        <v>0.75</v>
      </c>
      <c r="G89" s="100">
        <f>IFERROR(VLOOKUP(Tablo517[[#This Row],[ÜRÜN KODU]],YMKODLARI!$A$1:$K$363,3,0)," ")</f>
        <v>8</v>
      </c>
      <c r="H89" s="100">
        <f>IFERROR(VLOOKUP(Tablo517[[#This Row],[ÜRÜN KODU]],YMKODLARI!$A$1:$K$363,4,0)," ")</f>
        <v>10</v>
      </c>
      <c r="I89" s="100">
        <v>2554</v>
      </c>
      <c r="J89" s="100">
        <f>IFERROR(VLOOKUP(Tablo517[[#This Row],[ÜRÜN KODU]],YMKODLARI!$A$1:$K$363,9,0)," ")</f>
        <v>1290</v>
      </c>
      <c r="K89" s="100" t="str">
        <f>IFERROR(VLOOKUP(Tablo517[[#This Row],[BOYA KODU]],Tablo14[#All],4,0)," ")</f>
        <v>SARI</v>
      </c>
      <c r="L89" s="100">
        <f>IFERROR(VLOOKUP(Tablo517[[#This Row],[BOYA KODU]],Tablo14[#All],6,0)," ")</f>
        <v>5.0000000000000001E-3</v>
      </c>
      <c r="M89" s="100">
        <f t="shared" si="8"/>
        <v>107.26800000000001</v>
      </c>
      <c r="N89" s="100" t="str">
        <f>IFERROR(VLOOKUP(Tablo517[[#This Row],[ÜRÜN KODU]],YMKODLARI!$A$1:$K$363,8,0)," ")</f>
        <v>HM 001</v>
      </c>
      <c r="O89" s="100" t="str">
        <f>IFERROR(VLOOKUP(Tablo517[[#This Row],[HAMMADDE KODU]],Tablo1[#All],3,0)," ")</f>
        <v>CAPILENE</v>
      </c>
      <c r="P89" s="100" t="str">
        <f>IFERROR(VLOOKUP(Tablo517[[#This Row],[HAMMADDE KODU]],Tablo1[#All],4,0)," ")</f>
        <v>PİNHAS</v>
      </c>
      <c r="Q89" s="100">
        <f>IFERROR(VLOOKUP(Tablo517[[#This Row],[ÜRÜN KODU]],YMKODLARI!$A$1:$K$363,5,0)," ")</f>
        <v>8.4</v>
      </c>
      <c r="R89" s="100">
        <f>IFERROR(VLOOKUP(Tablo517[[#This Row],[ÜRÜN KODU]],YMKODLARI!$A$1:$K$363,6,0)," ")</f>
        <v>5.8</v>
      </c>
      <c r="S89" s="100">
        <f>IFERROR(Tablo517[[#This Row],[YOLLUK HARİÇ BASKI GRAMI]]/Tablo517[[#This Row],[KALIP GÖZ ADEDİ]]," ")</f>
        <v>0.72499999999999998</v>
      </c>
      <c r="T89" s="100">
        <f t="shared" si="10"/>
        <v>2.6000000000000005</v>
      </c>
      <c r="U89" s="100">
        <v>6.1</v>
      </c>
      <c r="V89" s="100">
        <f t="shared" si="9"/>
        <v>20.913199999999996</v>
      </c>
      <c r="W89" s="101">
        <f t="shared" si="11"/>
        <v>24.416666666666668</v>
      </c>
      <c r="X89" s="102">
        <f t="shared" si="12"/>
        <v>10.000000000000028</v>
      </c>
      <c r="Y89" s="100">
        <f t="shared" si="13"/>
        <v>7.0944444444444441</v>
      </c>
      <c r="Z89" s="100">
        <f t="shared" si="14"/>
        <v>20432</v>
      </c>
    </row>
    <row r="90" spans="1:26">
      <c r="A90" s="100" t="s">
        <v>87</v>
      </c>
      <c r="B90" s="108" t="str">
        <f>IFERROR(VLOOKUP(Tablo517[[#This Row],[ÜRÜN KODU]],YMKODLARI!$A$1:$K$363,2,0)," ")</f>
        <v>EMZİK ASKISI MANDAL</v>
      </c>
      <c r="C90" s="99">
        <v>44019</v>
      </c>
      <c r="D90" s="100" t="s">
        <v>27</v>
      </c>
      <c r="E90" s="101">
        <v>0.33333333333333331</v>
      </c>
      <c r="F90" s="101">
        <v>0.54166666666666663</v>
      </c>
      <c r="G90" s="100">
        <f>IFERROR(VLOOKUP(Tablo517[[#This Row],[ÜRÜN KODU]],YMKODLARI!$A$1:$K$363,3,0)," ")</f>
        <v>8</v>
      </c>
      <c r="H90" s="100">
        <f>IFERROR(VLOOKUP(Tablo517[[#This Row],[ÜRÜN KODU]],YMKODLARI!$A$1:$K$363,4,0)," ")</f>
        <v>10</v>
      </c>
      <c r="I90" s="100">
        <v>1123</v>
      </c>
      <c r="J90" s="100">
        <f>IFERROR(VLOOKUP(Tablo517[[#This Row],[ÜRÜN KODU]],YMKODLARI!$A$1:$K$363,9,0)," ")</f>
        <v>1290</v>
      </c>
      <c r="K90" s="100" t="str">
        <f>IFERROR(VLOOKUP(Tablo517[[#This Row],[BOYA KODU]],Tablo14[#All],4,0)," ")</f>
        <v>SARI</v>
      </c>
      <c r="L90" s="100">
        <f>IFERROR(VLOOKUP(Tablo517[[#This Row],[BOYA KODU]],Tablo14[#All],6,0)," ")</f>
        <v>5.0000000000000001E-3</v>
      </c>
      <c r="M90" s="100">
        <f t="shared" si="8"/>
        <v>47.166000000000004</v>
      </c>
      <c r="N90" s="100" t="str">
        <f>IFERROR(VLOOKUP(Tablo517[[#This Row],[ÜRÜN KODU]],YMKODLARI!$A$1:$K$363,8,0)," ")</f>
        <v>HM 001</v>
      </c>
      <c r="O90" s="100" t="str">
        <f>IFERROR(VLOOKUP(Tablo517[[#This Row],[HAMMADDE KODU]],Tablo1[#All],3,0)," ")</f>
        <v>CAPILENE</v>
      </c>
      <c r="P90" s="100" t="str">
        <f>IFERROR(VLOOKUP(Tablo517[[#This Row],[HAMMADDE KODU]],Tablo1[#All],4,0)," ")</f>
        <v>PİNHAS</v>
      </c>
      <c r="Q90" s="100">
        <f>IFERROR(VLOOKUP(Tablo517[[#This Row],[ÜRÜN KODU]],YMKODLARI!$A$1:$K$363,5,0)," ")</f>
        <v>8.4</v>
      </c>
      <c r="R90" s="100">
        <f>IFERROR(VLOOKUP(Tablo517[[#This Row],[ÜRÜN KODU]],YMKODLARI!$A$1:$K$363,6,0)," ")</f>
        <v>5.8</v>
      </c>
      <c r="S90" s="100">
        <f>IFERROR(Tablo517[[#This Row],[YOLLUK HARİÇ BASKI GRAMI]]/Tablo517[[#This Row],[KALIP GÖZ ADEDİ]]," ")</f>
        <v>0.72499999999999998</v>
      </c>
      <c r="T90" s="100">
        <f t="shared" si="10"/>
        <v>2.6000000000000005</v>
      </c>
      <c r="U90" s="100"/>
      <c r="V90" s="100">
        <f t="shared" si="9"/>
        <v>6.5133999999999999</v>
      </c>
      <c r="W90" s="101">
        <f t="shared" si="11"/>
        <v>24.208333333333332</v>
      </c>
      <c r="X90" s="102">
        <f t="shared" si="12"/>
        <v>4.9999999999999716</v>
      </c>
      <c r="Y90" s="100">
        <f t="shared" si="13"/>
        <v>3.1194444444444445</v>
      </c>
      <c r="Z90" s="100">
        <f t="shared" si="14"/>
        <v>8984</v>
      </c>
    </row>
    <row r="91" spans="1:26">
      <c r="A91" s="100" t="s">
        <v>88</v>
      </c>
      <c r="B91" s="108" t="str">
        <f>IFERROR(VLOOKUP(Tablo517[[#This Row],[ÜRÜN KODU]],YMKODLARI!$A$1:$K$363,2,0)," ")</f>
        <v>EMZİK ASKISI KANCA</v>
      </c>
      <c r="C91" s="99">
        <v>44022</v>
      </c>
      <c r="D91" s="100" t="s">
        <v>33</v>
      </c>
      <c r="E91" s="101">
        <v>0.47222222222222227</v>
      </c>
      <c r="F91" s="101">
        <v>0.68402777777777779</v>
      </c>
      <c r="G91" s="100">
        <f>IFERROR(VLOOKUP(Tablo517[[#This Row],[ÜRÜN KODU]],YMKODLARI!$A$1:$K$363,3,0)," ")</f>
        <v>8</v>
      </c>
      <c r="H91" s="100">
        <f>IFERROR(VLOOKUP(Tablo517[[#This Row],[ÜRÜN KODU]],YMKODLARI!$A$1:$K$363,4,0)," ")</f>
        <v>12</v>
      </c>
      <c r="I91" s="100">
        <v>1202</v>
      </c>
      <c r="J91" s="100" t="str">
        <f>IFERROR(VLOOKUP(Tablo517[[#This Row],[ÜRÜN KODU]],YMKODLARI!$A$1:$K$363,9,0)," ")</f>
        <v>708GN0539G</v>
      </c>
      <c r="K91" s="100" t="str">
        <f>IFERROR(VLOOKUP(Tablo517[[#This Row],[BOYA KODU]],Tablo14[#All],4,0)," ")</f>
        <v>T.YEŞİL</v>
      </c>
      <c r="L91" s="100">
        <f>IFERROR(VLOOKUP(Tablo517[[#This Row],[BOYA KODU]],Tablo14[#All],6,0)," ")</f>
        <v>2E-3</v>
      </c>
      <c r="M91" s="100">
        <f t="shared" si="8"/>
        <v>0</v>
      </c>
      <c r="N91" s="100" t="str">
        <f>IFERROR(VLOOKUP(Tablo517[[#This Row],[ÜRÜN KODU]],YMKODLARI!$A$1:$K$363,8,0)," ")</f>
        <v>HM 001</v>
      </c>
      <c r="O91" s="100" t="str">
        <f>IFERROR(VLOOKUP(Tablo517[[#This Row],[HAMMADDE KODU]],Tablo1[#All],3,0)," ")</f>
        <v>CAPILENE</v>
      </c>
      <c r="P91" s="100" t="str">
        <f>IFERROR(VLOOKUP(Tablo517[[#This Row],[HAMMADDE KODU]],Tablo1[#All],4,0)," ")</f>
        <v>PİNHAS</v>
      </c>
      <c r="Q91" s="100">
        <f>IFERROR(VLOOKUP(Tablo517[[#This Row],[ÜRÜN KODU]],YMKODLARI!$A$1:$K$363,5,0)," ")</f>
        <v>0</v>
      </c>
      <c r="R91" s="100">
        <f>IFERROR(VLOOKUP(Tablo517[[#This Row],[ÜRÜN KODU]],YMKODLARI!$A$1:$K$363,6,0)," ")</f>
        <v>0</v>
      </c>
      <c r="S91" s="100">
        <f>IFERROR(Tablo517[[#This Row],[YOLLUK HARİÇ BASKI GRAMI]]/Tablo517[[#This Row],[KALIP GÖZ ADEDİ]]," ")</f>
        <v>0</v>
      </c>
      <c r="T91" s="100">
        <f t="shared" si="10"/>
        <v>0</v>
      </c>
      <c r="U91" s="100">
        <v>1.5</v>
      </c>
      <c r="V91" s="100">
        <f t="shared" si="9"/>
        <v>1.5</v>
      </c>
      <c r="W91" s="101">
        <f t="shared" si="11"/>
        <v>24.211805555555557</v>
      </c>
      <c r="X91" s="102">
        <f t="shared" si="12"/>
        <v>5.0833333333333712</v>
      </c>
      <c r="Y91" s="100">
        <f t="shared" si="13"/>
        <v>4.0066666666666668</v>
      </c>
      <c r="Z91" s="100">
        <f t="shared" si="14"/>
        <v>9616</v>
      </c>
    </row>
    <row r="92" spans="1:26">
      <c r="A92" s="100" t="s">
        <v>89</v>
      </c>
      <c r="B92" s="108" t="str">
        <f>IFERROR(VLOOKUP(Tablo517[[#This Row],[ÜRÜN KODU]],YMKODLARI!$A$1:$K$363,2,0)," ")</f>
        <v>EMZİK ASKI TIPA ÖRDEK</v>
      </c>
      <c r="C92" s="99">
        <v>44026</v>
      </c>
      <c r="D92" s="100" t="s">
        <v>33</v>
      </c>
      <c r="E92" s="101">
        <v>0.41666666666666669</v>
      </c>
      <c r="F92" s="101">
        <v>0.65277777777777779</v>
      </c>
      <c r="G92" s="100">
        <f>IFERROR(VLOOKUP(Tablo517[[#This Row],[ÜRÜN KODU]],YMKODLARI!$A$1:$K$363,3,0)," ")</f>
        <v>8</v>
      </c>
      <c r="H92" s="100">
        <f>IFERROR(VLOOKUP(Tablo517[[#This Row],[ÜRÜN KODU]],YMKODLARI!$A$1:$K$363,4,0)," ")</f>
        <v>20</v>
      </c>
      <c r="I92" s="100">
        <v>703</v>
      </c>
      <c r="J92" s="100" t="str">
        <f>IFERROR(VLOOKUP(Tablo517[[#This Row],[ÜRÜN KODU]],YMKODLARI!$A$1:$K$363,9,0)," ")</f>
        <v>708PK532G</v>
      </c>
      <c r="K92" s="100" t="str">
        <f>IFERROR(VLOOKUP(Tablo517[[#This Row],[BOYA KODU]],Tablo14[#All],4,0)," ")</f>
        <v>T.PEMBE</v>
      </c>
      <c r="L92" s="100">
        <f>IFERROR(VLOOKUP(Tablo517[[#This Row],[BOYA KODU]],Tablo14[#All],6,0)," ")</f>
        <v>2E-3</v>
      </c>
      <c r="M92" s="100">
        <f t="shared" si="8"/>
        <v>18.6998</v>
      </c>
      <c r="N92" s="100" t="str">
        <f>IFERROR(VLOOKUP(Tablo517[[#This Row],[ÜRÜN KODU]],YMKODLARI!$A$1:$K$363,8,0)," ")</f>
        <v>HM 002</v>
      </c>
      <c r="O92" s="100" t="str">
        <f>IFERROR(VLOOKUP(Tablo517[[#This Row],[HAMMADDE KODU]],Tablo1[#All],3,0)," ")</f>
        <v>NOVAREX</v>
      </c>
      <c r="P92" s="100" t="str">
        <f>IFERROR(VLOOKUP(Tablo517[[#This Row],[HAMMADDE KODU]],Tablo1[#All],4,0)," ")</f>
        <v>PİNHAS</v>
      </c>
      <c r="Q92" s="100">
        <f>IFERROR(VLOOKUP(Tablo517[[#This Row],[ÜRÜN KODU]],YMKODLARI!$A$1:$K$363,5,0)," ")</f>
        <v>13.3</v>
      </c>
      <c r="R92" s="100">
        <f>IFERROR(VLOOKUP(Tablo517[[#This Row],[ÜRÜN KODU]],YMKODLARI!$A$1:$K$363,6,0)," ")</f>
        <v>11.4</v>
      </c>
      <c r="S92" s="100">
        <f>IFERROR(Tablo517[[#This Row],[YOLLUK HARİÇ BASKI GRAMI]]/Tablo517[[#This Row],[KALIP GÖZ ADEDİ]]," ")</f>
        <v>1.425</v>
      </c>
      <c r="T92" s="100">
        <f t="shared" si="10"/>
        <v>1.9000000000000004</v>
      </c>
      <c r="U92" s="100">
        <v>3</v>
      </c>
      <c r="V92" s="100">
        <f t="shared" si="9"/>
        <v>11.014200000000001</v>
      </c>
      <c r="W92" s="101">
        <f t="shared" si="11"/>
        <v>24.236111111111111</v>
      </c>
      <c r="X92" s="102">
        <f t="shared" si="12"/>
        <v>5.6666666666666572</v>
      </c>
      <c r="Y92" s="100">
        <f t="shared" si="13"/>
        <v>3.9055555555555554</v>
      </c>
      <c r="Z92" s="100">
        <f t="shared" si="14"/>
        <v>5624</v>
      </c>
    </row>
    <row r="93" spans="1:26">
      <c r="A93" s="100" t="s">
        <v>90</v>
      </c>
      <c r="B93" s="108" t="str">
        <f>IFERROR(VLOOKUP(Tablo517[[#This Row],[ÜRÜN KODU]],YMKODLARI!$A$1:$K$363,2,0)," ")</f>
        <v>EMZİK ASKI TIPA ÖRDEK</v>
      </c>
      <c r="C93" s="99">
        <v>44026</v>
      </c>
      <c r="D93" s="100" t="s">
        <v>33</v>
      </c>
      <c r="E93" s="101">
        <v>0.66666666666666663</v>
      </c>
      <c r="F93" s="101">
        <v>0.75</v>
      </c>
      <c r="G93" s="100">
        <f>IFERROR(VLOOKUP(Tablo517[[#This Row],[ÜRÜN KODU]],YMKODLARI!$A$1:$K$363,3,0)," ")</f>
        <v>8</v>
      </c>
      <c r="H93" s="100">
        <f>IFERROR(VLOOKUP(Tablo517[[#This Row],[ÜRÜN KODU]],YMKODLARI!$A$1:$K$363,4,0)," ")</f>
        <v>20</v>
      </c>
      <c r="I93" s="100">
        <v>261</v>
      </c>
      <c r="J93" s="100" t="str">
        <f>IFERROR(VLOOKUP(Tablo517[[#This Row],[ÜRÜN KODU]],YMKODLARI!$A$1:$K$363,9,0)," ")</f>
        <v>708GN0539G</v>
      </c>
      <c r="K93" s="100" t="str">
        <f>IFERROR(VLOOKUP(Tablo517[[#This Row],[BOYA KODU]],Tablo14[#All],4,0)," ")</f>
        <v>T.YEŞİL</v>
      </c>
      <c r="L93" s="100">
        <f>IFERROR(VLOOKUP(Tablo517[[#This Row],[BOYA KODU]],Tablo14[#All],6,0)," ")</f>
        <v>2E-3</v>
      </c>
      <c r="M93" s="100">
        <f t="shared" si="8"/>
        <v>6.9426000000000005</v>
      </c>
      <c r="N93" s="100" t="str">
        <f>IFERROR(VLOOKUP(Tablo517[[#This Row],[ÜRÜN KODU]],YMKODLARI!$A$1:$K$363,8,0)," ")</f>
        <v>HM 002</v>
      </c>
      <c r="O93" s="100" t="str">
        <f>IFERROR(VLOOKUP(Tablo517[[#This Row],[HAMMADDE KODU]],Tablo1[#All],3,0)," ")</f>
        <v>NOVAREX</v>
      </c>
      <c r="P93" s="100" t="str">
        <f>IFERROR(VLOOKUP(Tablo517[[#This Row],[HAMMADDE KODU]],Tablo1[#All],4,0)," ")</f>
        <v>PİNHAS</v>
      </c>
      <c r="Q93" s="100">
        <f>IFERROR(VLOOKUP(Tablo517[[#This Row],[ÜRÜN KODU]],YMKODLARI!$A$1:$K$363,5,0)," ")</f>
        <v>13.3</v>
      </c>
      <c r="R93" s="100">
        <f>IFERROR(VLOOKUP(Tablo517[[#This Row],[ÜRÜN KODU]],YMKODLARI!$A$1:$K$363,6,0)," ")</f>
        <v>11.4</v>
      </c>
      <c r="S93" s="100">
        <f>IFERROR(Tablo517[[#This Row],[YOLLUK HARİÇ BASKI GRAMI]]/Tablo517[[#This Row],[KALIP GÖZ ADEDİ]]," ")</f>
        <v>1.425</v>
      </c>
      <c r="T93" s="100">
        <f t="shared" si="10"/>
        <v>1.9000000000000004</v>
      </c>
      <c r="U93" s="100">
        <v>0.9</v>
      </c>
      <c r="V93" s="100">
        <f t="shared" si="9"/>
        <v>3.8754</v>
      </c>
      <c r="W93" s="101">
        <f t="shared" si="11"/>
        <v>24.083333333333332</v>
      </c>
      <c r="X93" s="102">
        <f t="shared" si="12"/>
        <v>1.9999999999999716</v>
      </c>
      <c r="Y93" s="100">
        <f t="shared" si="13"/>
        <v>1.45</v>
      </c>
      <c r="Z93" s="100">
        <f t="shared" si="14"/>
        <v>2088</v>
      </c>
    </row>
    <row r="94" spans="1:26">
      <c r="A94" s="100" t="s">
        <v>90</v>
      </c>
      <c r="B94" s="108" t="str">
        <f>IFERROR(VLOOKUP(Tablo517[[#This Row],[ÜRÜN KODU]],YMKODLARI!$A$1:$K$363,2,0)," ")</f>
        <v>EMZİK ASKI TIPA ÖRDEK</v>
      </c>
      <c r="C94" s="99">
        <v>44028</v>
      </c>
      <c r="D94" s="100" t="s">
        <v>33</v>
      </c>
      <c r="E94" s="101">
        <v>0.42708333333333331</v>
      </c>
      <c r="F94" s="101">
        <v>0.57291666666666663</v>
      </c>
      <c r="G94" s="100">
        <f>IFERROR(VLOOKUP(Tablo517[[#This Row],[ÜRÜN KODU]],YMKODLARI!$A$1:$K$363,3,0)," ")</f>
        <v>8</v>
      </c>
      <c r="H94" s="100">
        <f>IFERROR(VLOOKUP(Tablo517[[#This Row],[ÜRÜN KODU]],YMKODLARI!$A$1:$K$363,4,0)," ")</f>
        <v>20</v>
      </c>
      <c r="I94" s="100">
        <v>385</v>
      </c>
      <c r="J94" s="100" t="str">
        <f>IFERROR(VLOOKUP(Tablo517[[#This Row],[ÜRÜN KODU]],YMKODLARI!$A$1:$K$363,9,0)," ")</f>
        <v>708GN0539G</v>
      </c>
      <c r="K94" s="100" t="str">
        <f>IFERROR(VLOOKUP(Tablo517[[#This Row],[BOYA KODU]],Tablo14[#All],4,0)," ")</f>
        <v>T.YEŞİL</v>
      </c>
      <c r="L94" s="100">
        <f>IFERROR(VLOOKUP(Tablo517[[#This Row],[BOYA KODU]],Tablo14[#All],6,0)," ")</f>
        <v>2E-3</v>
      </c>
      <c r="M94" s="100">
        <f t="shared" si="8"/>
        <v>10.241</v>
      </c>
      <c r="N94" s="100" t="str">
        <f>IFERROR(VLOOKUP(Tablo517[[#This Row],[ÜRÜN KODU]],YMKODLARI!$A$1:$K$363,8,0)," ")</f>
        <v>HM 002</v>
      </c>
      <c r="O94" s="100" t="str">
        <f>IFERROR(VLOOKUP(Tablo517[[#This Row],[HAMMADDE KODU]],Tablo1[#All],3,0)," ")</f>
        <v>NOVAREX</v>
      </c>
      <c r="P94" s="100" t="str">
        <f>IFERROR(VLOOKUP(Tablo517[[#This Row],[HAMMADDE KODU]],Tablo1[#All],4,0)," ")</f>
        <v>PİNHAS</v>
      </c>
      <c r="Q94" s="100">
        <f>IFERROR(VLOOKUP(Tablo517[[#This Row],[ÜRÜN KODU]],YMKODLARI!$A$1:$K$363,5,0)," ")</f>
        <v>13.3</v>
      </c>
      <c r="R94" s="100">
        <f>IFERROR(VLOOKUP(Tablo517[[#This Row],[ÜRÜN KODU]],YMKODLARI!$A$1:$K$363,6,0)," ")</f>
        <v>11.4</v>
      </c>
      <c r="S94" s="100">
        <f>IFERROR(Tablo517[[#This Row],[YOLLUK HARİÇ BASKI GRAMI]]/Tablo517[[#This Row],[KALIP GÖZ ADEDİ]]," ")</f>
        <v>1.425</v>
      </c>
      <c r="T94" s="100">
        <f t="shared" si="10"/>
        <v>1.9000000000000004</v>
      </c>
      <c r="U94" s="100">
        <v>2</v>
      </c>
      <c r="V94" s="100">
        <f t="shared" si="9"/>
        <v>6.3890000000000002</v>
      </c>
      <c r="W94" s="101">
        <f t="shared" si="11"/>
        <v>24.145833333333332</v>
      </c>
      <c r="X94" s="102">
        <f t="shared" si="12"/>
        <v>3.4999999999999716</v>
      </c>
      <c r="Y94" s="100">
        <f t="shared" si="13"/>
        <v>2.1388888888888888</v>
      </c>
      <c r="Z94" s="100">
        <f t="shared" si="14"/>
        <v>3080</v>
      </c>
    </row>
    <row r="95" spans="1:26">
      <c r="A95" s="100" t="s">
        <v>91</v>
      </c>
      <c r="B95" s="108" t="str">
        <f>IFERROR(VLOOKUP(Tablo517[[#This Row],[ÜRÜN KODU]],YMKODLARI!$A$1:$K$363,2,0)," ")</f>
        <v>EMZİK ASKI TIPA ÖRDEK</v>
      </c>
      <c r="C95" s="99">
        <v>44028</v>
      </c>
      <c r="D95" s="100" t="s">
        <v>33</v>
      </c>
      <c r="E95" s="101">
        <v>0.57291666666666663</v>
      </c>
      <c r="F95" s="101">
        <v>0.74305555555555547</v>
      </c>
      <c r="G95" s="100">
        <f>IFERROR(VLOOKUP(Tablo517[[#This Row],[ÜRÜN KODU]],YMKODLARI!$A$1:$K$363,3,0)," ")</f>
        <v>8</v>
      </c>
      <c r="H95" s="100">
        <f>IFERROR(VLOOKUP(Tablo517[[#This Row],[ÜRÜN KODU]],YMKODLARI!$A$1:$K$363,4,0)," ")</f>
        <v>20</v>
      </c>
      <c r="I95" s="100">
        <v>585</v>
      </c>
      <c r="J95" s="100" t="str">
        <f>IFERROR(VLOOKUP(Tablo517[[#This Row],[ÜRÜN KODU]],YMKODLARI!$A$1:$K$363,9,0)," ")</f>
        <v>5139C</v>
      </c>
      <c r="K95" s="100" t="str">
        <f>IFERROR(VLOOKUP(Tablo517[[#This Row],[BOYA KODU]],Tablo14[#All],4,0)," ")</f>
        <v>T.MAVİ</v>
      </c>
      <c r="L95" s="100">
        <f>IFERROR(VLOOKUP(Tablo517[[#This Row],[BOYA KODU]],Tablo14[#All],6,0)," ")</f>
        <v>1E-3</v>
      </c>
      <c r="M95" s="100">
        <f t="shared" si="8"/>
        <v>7.7805</v>
      </c>
      <c r="N95" s="100" t="str">
        <f>IFERROR(VLOOKUP(Tablo517[[#This Row],[ÜRÜN KODU]],YMKODLARI!$A$1:$K$363,8,0)," ")</f>
        <v>HM 002</v>
      </c>
      <c r="O95" s="100" t="str">
        <f>IFERROR(VLOOKUP(Tablo517[[#This Row],[HAMMADDE KODU]],Tablo1[#All],3,0)," ")</f>
        <v>NOVAREX</v>
      </c>
      <c r="P95" s="100" t="str">
        <f>IFERROR(VLOOKUP(Tablo517[[#This Row],[HAMMADDE KODU]],Tablo1[#All],4,0)," ")</f>
        <v>PİNHAS</v>
      </c>
      <c r="Q95" s="100">
        <f>IFERROR(VLOOKUP(Tablo517[[#This Row],[ÜRÜN KODU]],YMKODLARI!$A$1:$K$363,5,0)," ")</f>
        <v>13.3</v>
      </c>
      <c r="R95" s="100">
        <f>IFERROR(VLOOKUP(Tablo517[[#This Row],[ÜRÜN KODU]],YMKODLARI!$A$1:$K$363,6,0)," ")</f>
        <v>11.4</v>
      </c>
      <c r="S95" s="100">
        <f>IFERROR(Tablo517[[#This Row],[YOLLUK HARİÇ BASKI GRAMI]]/Tablo517[[#This Row],[KALIP GÖZ ADEDİ]]," ")</f>
        <v>1.425</v>
      </c>
      <c r="T95" s="100">
        <f t="shared" si="10"/>
        <v>1.9000000000000004</v>
      </c>
      <c r="U95" s="100">
        <v>2</v>
      </c>
      <c r="V95" s="100">
        <f t="shared" si="9"/>
        <v>8.6690000000000005</v>
      </c>
      <c r="W95" s="101">
        <f t="shared" si="11"/>
        <v>24.170138888888889</v>
      </c>
      <c r="X95" s="102">
        <f t="shared" si="12"/>
        <v>4.0833333333333428</v>
      </c>
      <c r="Y95" s="100">
        <f t="shared" si="13"/>
        <v>3.25</v>
      </c>
      <c r="Z95" s="100">
        <f t="shared" si="14"/>
        <v>4680</v>
      </c>
    </row>
    <row r="96" spans="1:26">
      <c r="A96" s="100" t="s">
        <v>92</v>
      </c>
      <c r="B96" s="108" t="str">
        <f>IFERROR(VLOOKUP(Tablo517[[#This Row],[ÜRÜN KODU]],YMKODLARI!$A$1:$K$363,2,0)," ")</f>
        <v>EMZİK ASKI TIPA ÖRDEK</v>
      </c>
      <c r="C96" s="99">
        <v>44029</v>
      </c>
      <c r="D96" s="100" t="s">
        <v>33</v>
      </c>
      <c r="E96" s="101">
        <v>0.33333333333333331</v>
      </c>
      <c r="F96" s="101">
        <v>0.47222222222222227</v>
      </c>
      <c r="G96" s="100">
        <f>IFERROR(VLOOKUP(Tablo517[[#This Row],[ÜRÜN KODU]],YMKODLARI!$A$1:$K$363,3,0)," ")</f>
        <v>8</v>
      </c>
      <c r="H96" s="100">
        <f>IFERROR(VLOOKUP(Tablo517[[#This Row],[ÜRÜN KODU]],YMKODLARI!$A$1:$K$363,4,0)," ")</f>
        <v>20</v>
      </c>
      <c r="I96" s="100">
        <v>444</v>
      </c>
      <c r="J96" s="100" t="str">
        <f>IFERROR(VLOOKUP(Tablo517[[#This Row],[ÜRÜN KODU]],YMKODLARI!$A$1:$K$363,9,0)," ")</f>
        <v>708VI0502G</v>
      </c>
      <c r="K96" s="100" t="str">
        <f>IFERROR(VLOOKUP(Tablo517[[#This Row],[BOYA KODU]],Tablo14[#All],4,0)," ")</f>
        <v>T.VİOLET</v>
      </c>
      <c r="L96" s="100">
        <f>IFERROR(VLOOKUP(Tablo517[[#This Row],[BOYA KODU]],Tablo14[#All],6,0)," ")</f>
        <v>2E-3</v>
      </c>
      <c r="M96" s="100">
        <f t="shared" si="8"/>
        <v>11.810400000000001</v>
      </c>
      <c r="N96" s="100" t="str">
        <f>IFERROR(VLOOKUP(Tablo517[[#This Row],[ÜRÜN KODU]],YMKODLARI!$A$1:$K$363,8,0)," ")</f>
        <v>HM 002</v>
      </c>
      <c r="O96" s="100" t="str">
        <f>IFERROR(VLOOKUP(Tablo517[[#This Row],[HAMMADDE KODU]],Tablo1[#All],3,0)," ")</f>
        <v>NOVAREX</v>
      </c>
      <c r="P96" s="100" t="str">
        <f>IFERROR(VLOOKUP(Tablo517[[#This Row],[HAMMADDE KODU]],Tablo1[#All],4,0)," ")</f>
        <v>PİNHAS</v>
      </c>
      <c r="Q96" s="100">
        <f>IFERROR(VLOOKUP(Tablo517[[#This Row],[ÜRÜN KODU]],YMKODLARI!$A$1:$K$363,5,0)," ")</f>
        <v>13.3</v>
      </c>
      <c r="R96" s="100">
        <f>IFERROR(VLOOKUP(Tablo517[[#This Row],[ÜRÜN KODU]],YMKODLARI!$A$1:$K$363,6,0)," ")</f>
        <v>11.4</v>
      </c>
      <c r="S96" s="100">
        <f>IFERROR(Tablo517[[#This Row],[YOLLUK HARİÇ BASKI GRAMI]]/Tablo517[[#This Row],[KALIP GÖZ ADEDİ]]," ")</f>
        <v>1.425</v>
      </c>
      <c r="T96" s="100">
        <f t="shared" si="10"/>
        <v>1.9000000000000004</v>
      </c>
      <c r="U96" s="100">
        <v>2</v>
      </c>
      <c r="V96" s="100">
        <f t="shared" si="9"/>
        <v>7.0616000000000003</v>
      </c>
      <c r="W96" s="101">
        <f t="shared" si="11"/>
        <v>24.138888888888889</v>
      </c>
      <c r="X96" s="102">
        <f t="shared" si="12"/>
        <v>3.3333333333333428</v>
      </c>
      <c r="Y96" s="100">
        <f t="shared" si="13"/>
        <v>2.4666666666666668</v>
      </c>
      <c r="Z96" s="100">
        <f t="shared" si="14"/>
        <v>3552</v>
      </c>
    </row>
    <row r="97" spans="1:26">
      <c r="A97" s="100" t="s">
        <v>93</v>
      </c>
      <c r="B97" s="108" t="str">
        <f>IFERROR(VLOOKUP(Tablo517[[#This Row],[ÜRÜN KODU]],YMKODLARI!$A$1:$K$363,2,0)," ")</f>
        <v>EMZİK ASKI TIPA ÖRDEK</v>
      </c>
      <c r="C97" s="99">
        <v>44029</v>
      </c>
      <c r="D97" s="100" t="s">
        <v>33</v>
      </c>
      <c r="E97" s="101">
        <v>0.47222222222222227</v>
      </c>
      <c r="F97" s="101">
        <v>0.51388888888888895</v>
      </c>
      <c r="G97" s="100">
        <f>IFERROR(VLOOKUP(Tablo517[[#This Row],[ÜRÜN KODU]],YMKODLARI!$A$1:$K$363,3,0)," ")</f>
        <v>8</v>
      </c>
      <c r="H97" s="100">
        <f>IFERROR(VLOOKUP(Tablo517[[#This Row],[ÜRÜN KODU]],YMKODLARI!$A$1:$K$363,4,0)," ")</f>
        <v>20</v>
      </c>
      <c r="I97" s="100">
        <v>184</v>
      </c>
      <c r="J97" s="100">
        <f>IFERROR(VLOOKUP(Tablo517[[#This Row],[ÜRÜN KODU]],YMKODLARI!$A$1:$K$363,9,0)," ")</f>
        <v>3409</v>
      </c>
      <c r="K97" s="100" t="str">
        <f>IFERROR(VLOOKUP(Tablo517[[#This Row],[BOYA KODU]],Tablo14[#All],4,0)," ")</f>
        <v>PEMBE</v>
      </c>
      <c r="L97" s="100">
        <f>IFERROR(VLOOKUP(Tablo517[[#This Row],[BOYA KODU]],Tablo14[#All],6,0)," ")</f>
        <v>5.0000000000000001E-3</v>
      </c>
      <c r="M97" s="100">
        <f t="shared" si="8"/>
        <v>12.236000000000002</v>
      </c>
      <c r="N97" s="100" t="str">
        <f>IFERROR(VLOOKUP(Tablo517[[#This Row],[ÜRÜN KODU]],YMKODLARI!$A$1:$K$363,8,0)," ")</f>
        <v>HM 002</v>
      </c>
      <c r="O97" s="100" t="str">
        <f>IFERROR(VLOOKUP(Tablo517[[#This Row],[HAMMADDE KODU]],Tablo1[#All],3,0)," ")</f>
        <v>NOVAREX</v>
      </c>
      <c r="P97" s="100" t="str">
        <f>IFERROR(VLOOKUP(Tablo517[[#This Row],[HAMMADDE KODU]],Tablo1[#All],4,0)," ")</f>
        <v>PİNHAS</v>
      </c>
      <c r="Q97" s="100">
        <f>IFERROR(VLOOKUP(Tablo517[[#This Row],[ÜRÜN KODU]],YMKODLARI!$A$1:$K$363,5,0)," ")</f>
        <v>13.3</v>
      </c>
      <c r="R97" s="100">
        <f>IFERROR(VLOOKUP(Tablo517[[#This Row],[ÜRÜN KODU]],YMKODLARI!$A$1:$K$363,6,0)," ")</f>
        <v>11.4</v>
      </c>
      <c r="S97" s="100">
        <f>IFERROR(Tablo517[[#This Row],[YOLLUK HARİÇ BASKI GRAMI]]/Tablo517[[#This Row],[KALIP GÖZ ADEDİ]]," ")</f>
        <v>1.425</v>
      </c>
      <c r="T97" s="100">
        <f t="shared" si="10"/>
        <v>1.9000000000000004</v>
      </c>
      <c r="U97" s="100">
        <v>0.4</v>
      </c>
      <c r="V97" s="100">
        <f t="shared" si="9"/>
        <v>2.4975999999999998</v>
      </c>
      <c r="W97" s="101">
        <f t="shared" si="11"/>
        <v>24.041666666666668</v>
      </c>
      <c r="X97" s="102">
        <f t="shared" si="12"/>
        <v>1.0000000000000284</v>
      </c>
      <c r="Y97" s="100">
        <f t="shared" si="13"/>
        <v>1.0222222222222221</v>
      </c>
      <c r="Z97" s="100">
        <f t="shared" si="14"/>
        <v>1472</v>
      </c>
    </row>
    <row r="98" spans="1:26">
      <c r="A98" s="100" t="s">
        <v>93</v>
      </c>
      <c r="B98" s="108" t="str">
        <f>IFERROR(VLOOKUP(Tablo517[[#This Row],[ÜRÜN KODU]],YMKODLARI!$A$1:$K$363,2,0)," ")</f>
        <v>EMZİK ASKI TIPA ÖRDEK</v>
      </c>
      <c r="C98" s="99">
        <v>44029</v>
      </c>
      <c r="D98" s="100" t="s">
        <v>33</v>
      </c>
      <c r="E98" s="101">
        <v>0.59375</v>
      </c>
      <c r="F98" s="101">
        <v>0.67361111111111116</v>
      </c>
      <c r="G98" s="100">
        <f>IFERROR(VLOOKUP(Tablo517[[#This Row],[ÜRÜN KODU]],YMKODLARI!$A$1:$K$363,3,0)," ")</f>
        <v>8</v>
      </c>
      <c r="H98" s="100">
        <f>IFERROR(VLOOKUP(Tablo517[[#This Row],[ÜRÜN KODU]],YMKODLARI!$A$1:$K$363,4,0)," ")</f>
        <v>20</v>
      </c>
      <c r="I98" s="100">
        <v>248</v>
      </c>
      <c r="J98" s="100">
        <f>IFERROR(VLOOKUP(Tablo517[[#This Row],[ÜRÜN KODU]],YMKODLARI!$A$1:$K$363,9,0)," ")</f>
        <v>3409</v>
      </c>
      <c r="K98" s="100" t="str">
        <f>IFERROR(VLOOKUP(Tablo517[[#This Row],[BOYA KODU]],Tablo14[#All],4,0)," ")</f>
        <v>PEMBE</v>
      </c>
      <c r="L98" s="100">
        <f>IFERROR(VLOOKUP(Tablo517[[#This Row],[BOYA KODU]],Tablo14[#All],6,0)," ")</f>
        <v>5.0000000000000001E-3</v>
      </c>
      <c r="M98" s="100">
        <f t="shared" si="8"/>
        <v>16.492000000000001</v>
      </c>
      <c r="N98" s="100" t="str">
        <f>IFERROR(VLOOKUP(Tablo517[[#This Row],[ÜRÜN KODU]],YMKODLARI!$A$1:$K$363,8,0)," ")</f>
        <v>HM 002</v>
      </c>
      <c r="O98" s="100" t="str">
        <f>IFERROR(VLOOKUP(Tablo517[[#This Row],[HAMMADDE KODU]],Tablo1[#All],3,0)," ")</f>
        <v>NOVAREX</v>
      </c>
      <c r="P98" s="100" t="str">
        <f>IFERROR(VLOOKUP(Tablo517[[#This Row],[HAMMADDE KODU]],Tablo1[#All],4,0)," ")</f>
        <v>PİNHAS</v>
      </c>
      <c r="Q98" s="100">
        <f>IFERROR(VLOOKUP(Tablo517[[#This Row],[ÜRÜN KODU]],YMKODLARI!$A$1:$K$363,5,0)," ")</f>
        <v>13.3</v>
      </c>
      <c r="R98" s="100">
        <f>IFERROR(VLOOKUP(Tablo517[[#This Row],[ÜRÜN KODU]],YMKODLARI!$A$1:$K$363,6,0)," ")</f>
        <v>11.4</v>
      </c>
      <c r="S98" s="100">
        <f>IFERROR(Tablo517[[#This Row],[YOLLUK HARİÇ BASKI GRAMI]]/Tablo517[[#This Row],[KALIP GÖZ ADEDİ]]," ")</f>
        <v>1.425</v>
      </c>
      <c r="T98" s="100">
        <f t="shared" si="10"/>
        <v>1.9000000000000004</v>
      </c>
      <c r="U98" s="100">
        <v>1.5</v>
      </c>
      <c r="V98" s="100">
        <f t="shared" si="9"/>
        <v>4.3272000000000004</v>
      </c>
      <c r="W98" s="101">
        <f t="shared" si="11"/>
        <v>24.079861111111111</v>
      </c>
      <c r="X98" s="102">
        <f t="shared" si="12"/>
        <v>1.9166666666666572</v>
      </c>
      <c r="Y98" s="100">
        <f t="shared" si="13"/>
        <v>1.3777777777777778</v>
      </c>
      <c r="Z98" s="100">
        <f t="shared" si="14"/>
        <v>1984</v>
      </c>
    </row>
    <row r="99" spans="1:26">
      <c r="A99" s="100" t="s">
        <v>94</v>
      </c>
      <c r="B99" s="108" t="str">
        <f>IFERROR(VLOOKUP(Tablo517[[#This Row],[ÜRÜN KODU]],YMKODLARI!$A$1:$K$363,2,0)," ")</f>
        <v>EMZİK ASKI TIPA ÖRDEK</v>
      </c>
      <c r="C99" s="99">
        <v>44029</v>
      </c>
      <c r="D99" s="100" t="s">
        <v>33</v>
      </c>
      <c r="E99" s="101">
        <v>0.67361111111111116</v>
      </c>
      <c r="F99" s="101">
        <v>0.75</v>
      </c>
      <c r="G99" s="100">
        <f>IFERROR(VLOOKUP(Tablo517[[#This Row],[ÜRÜN KODU]],YMKODLARI!$A$1:$K$363,3,0)," ")</f>
        <v>8</v>
      </c>
      <c r="H99" s="100">
        <f>IFERROR(VLOOKUP(Tablo517[[#This Row],[ÜRÜN KODU]],YMKODLARI!$A$1:$K$363,4,0)," ")</f>
        <v>20</v>
      </c>
      <c r="I99" s="100">
        <v>326</v>
      </c>
      <c r="J99" s="100">
        <f>IFERROR(VLOOKUP(Tablo517[[#This Row],[ÜRÜN KODU]],YMKODLARI!$A$1:$K$363,9,0)," ")</f>
        <v>5287</v>
      </c>
      <c r="K99" s="100" t="str">
        <f>IFERROR(VLOOKUP(Tablo517[[#This Row],[BOYA KODU]],Tablo14[#All],4,0)," ")</f>
        <v>MAVİ</v>
      </c>
      <c r="L99" s="100">
        <f>IFERROR(VLOOKUP(Tablo517[[#This Row],[BOYA KODU]],Tablo14[#All],6,0)," ")</f>
        <v>5.0000000000000001E-3</v>
      </c>
      <c r="M99" s="100">
        <f t="shared" si="8"/>
        <v>21.679000000000002</v>
      </c>
      <c r="N99" s="100" t="str">
        <f>IFERROR(VLOOKUP(Tablo517[[#This Row],[ÜRÜN KODU]],YMKODLARI!$A$1:$K$363,8,0)," ")</f>
        <v>HM 002</v>
      </c>
      <c r="O99" s="100" t="str">
        <f>IFERROR(VLOOKUP(Tablo517[[#This Row],[HAMMADDE KODU]],Tablo1[#All],3,0)," ")</f>
        <v>NOVAREX</v>
      </c>
      <c r="P99" s="100" t="str">
        <f>IFERROR(VLOOKUP(Tablo517[[#This Row],[HAMMADDE KODU]],Tablo1[#All],4,0)," ")</f>
        <v>PİNHAS</v>
      </c>
      <c r="Q99" s="100">
        <f>IFERROR(VLOOKUP(Tablo517[[#This Row],[ÜRÜN KODU]],YMKODLARI!$A$1:$K$363,5,0)," ")</f>
        <v>13.3</v>
      </c>
      <c r="R99" s="100">
        <f>IFERROR(VLOOKUP(Tablo517[[#This Row],[ÜRÜN KODU]],YMKODLARI!$A$1:$K$363,6,0)," ")</f>
        <v>11.4</v>
      </c>
      <c r="S99" s="100">
        <f>IFERROR(Tablo517[[#This Row],[YOLLUK HARİÇ BASKI GRAMI]]/Tablo517[[#This Row],[KALIP GÖZ ADEDİ]]," ")</f>
        <v>1.425</v>
      </c>
      <c r="T99" s="100">
        <f t="shared" si="10"/>
        <v>1.9000000000000004</v>
      </c>
      <c r="U99" s="100">
        <v>2</v>
      </c>
      <c r="V99" s="100">
        <f t="shared" si="9"/>
        <v>5.7164000000000001</v>
      </c>
      <c r="W99" s="101">
        <f t="shared" si="11"/>
        <v>24.076388888888889</v>
      </c>
      <c r="X99" s="102">
        <f t="shared" si="12"/>
        <v>1.8333333333333428</v>
      </c>
      <c r="Y99" s="100">
        <f t="shared" si="13"/>
        <v>1.8111111111111111</v>
      </c>
      <c r="Z99" s="100">
        <f t="shared" si="14"/>
        <v>2608</v>
      </c>
    </row>
    <row r="100" spans="1:26">
      <c r="A100" s="100" t="s">
        <v>94</v>
      </c>
      <c r="B100" s="108" t="str">
        <f>IFERROR(VLOOKUP(Tablo517[[#This Row],[ÜRÜN KODU]],YMKODLARI!$A$1:$K$363,2,0)," ")</f>
        <v>EMZİK ASKI TIPA ÖRDEK</v>
      </c>
      <c r="C100" s="99">
        <v>44032</v>
      </c>
      <c r="D100" s="100" t="s">
        <v>33</v>
      </c>
      <c r="E100" s="101">
        <v>0.41666666666666669</v>
      </c>
      <c r="F100" s="101">
        <v>0.46180555555555558</v>
      </c>
      <c r="G100" s="100">
        <f>IFERROR(VLOOKUP(Tablo517[[#This Row],[ÜRÜN KODU]],YMKODLARI!$A$1:$K$363,3,0)," ")</f>
        <v>8</v>
      </c>
      <c r="H100" s="100">
        <f>IFERROR(VLOOKUP(Tablo517[[#This Row],[ÜRÜN KODU]],YMKODLARI!$A$1:$K$363,4,0)," ")</f>
        <v>20</v>
      </c>
      <c r="I100" s="100">
        <v>165</v>
      </c>
      <c r="J100" s="100">
        <f>IFERROR(VLOOKUP(Tablo517[[#This Row],[ÜRÜN KODU]],YMKODLARI!$A$1:$K$363,9,0)," ")</f>
        <v>5287</v>
      </c>
      <c r="K100" s="100" t="str">
        <f>IFERROR(VLOOKUP(Tablo517[[#This Row],[BOYA KODU]],Tablo14[#All],4,0)," ")</f>
        <v>MAVİ</v>
      </c>
      <c r="L100" s="100">
        <f>IFERROR(VLOOKUP(Tablo517[[#This Row],[BOYA KODU]],Tablo14[#All],6,0)," ")</f>
        <v>5.0000000000000001E-3</v>
      </c>
      <c r="M100" s="100">
        <f t="shared" si="8"/>
        <v>10.9725</v>
      </c>
      <c r="N100" s="100" t="str">
        <f>IFERROR(VLOOKUP(Tablo517[[#This Row],[ÜRÜN KODU]],YMKODLARI!$A$1:$K$363,8,0)," ")</f>
        <v>HM 002</v>
      </c>
      <c r="O100" s="100" t="str">
        <f>IFERROR(VLOOKUP(Tablo517[[#This Row],[HAMMADDE KODU]],Tablo1[#All],3,0)," ")</f>
        <v>NOVAREX</v>
      </c>
      <c r="P100" s="100" t="str">
        <f>IFERROR(VLOOKUP(Tablo517[[#This Row],[HAMMADDE KODU]],Tablo1[#All],4,0)," ")</f>
        <v>PİNHAS</v>
      </c>
      <c r="Q100" s="100">
        <f>IFERROR(VLOOKUP(Tablo517[[#This Row],[ÜRÜN KODU]],YMKODLARI!$A$1:$K$363,5,0)," ")</f>
        <v>13.3</v>
      </c>
      <c r="R100" s="100">
        <f>IFERROR(VLOOKUP(Tablo517[[#This Row],[ÜRÜN KODU]],YMKODLARI!$A$1:$K$363,6,0)," ")</f>
        <v>11.4</v>
      </c>
      <c r="S100" s="100">
        <f>IFERROR(Tablo517[[#This Row],[YOLLUK HARİÇ BASKI GRAMI]]/Tablo517[[#This Row],[KALIP GÖZ ADEDİ]]," ")</f>
        <v>1.425</v>
      </c>
      <c r="T100" s="100">
        <f t="shared" si="10"/>
        <v>1.9000000000000004</v>
      </c>
      <c r="U100" s="100"/>
      <c r="V100" s="100">
        <f t="shared" si="9"/>
        <v>1.881</v>
      </c>
      <c r="W100" s="101">
        <f t="shared" si="11"/>
        <v>24.045138888888889</v>
      </c>
      <c r="X100" s="102">
        <f t="shared" si="12"/>
        <v>1.0833333333333428</v>
      </c>
      <c r="Y100" s="100">
        <f t="shared" si="13"/>
        <v>0.91666666666666663</v>
      </c>
      <c r="Z100" s="100">
        <f t="shared" si="14"/>
        <v>1320</v>
      </c>
    </row>
    <row r="101" spans="1:26">
      <c r="A101" s="100" t="s">
        <v>95</v>
      </c>
      <c r="B101" s="108" t="str">
        <f>IFERROR(VLOOKUP(Tablo517[[#This Row],[ÜRÜN KODU]],YMKODLARI!$A$1:$K$363,2,0)," ")</f>
        <v>EMZİK ASKI TIPA ÖRDEK</v>
      </c>
      <c r="C101" s="99">
        <v>44032</v>
      </c>
      <c r="D101" s="100" t="s">
        <v>33</v>
      </c>
      <c r="E101" s="101">
        <v>0.46527777777777773</v>
      </c>
      <c r="F101" s="101">
        <v>0.59722222222222221</v>
      </c>
      <c r="G101" s="100">
        <f>IFERROR(VLOOKUP(Tablo517[[#This Row],[ÜRÜN KODU]],YMKODLARI!$A$1:$K$363,3,0)," ")</f>
        <v>8</v>
      </c>
      <c r="H101" s="100">
        <f>IFERROR(VLOOKUP(Tablo517[[#This Row],[ÜRÜN KODU]],YMKODLARI!$A$1:$K$363,4,0)," ")</f>
        <v>20</v>
      </c>
      <c r="I101" s="100">
        <v>450</v>
      </c>
      <c r="J101" s="100">
        <f>IFERROR(VLOOKUP(Tablo517[[#This Row],[ÜRÜN KODU]],YMKODLARI!$A$1:$K$363,9,0)," ")</f>
        <v>4090</v>
      </c>
      <c r="K101" s="100" t="str">
        <f>IFERROR(VLOOKUP(Tablo517[[#This Row],[BOYA KODU]],Tablo14[#All],4,0)," ")</f>
        <v>LİLA</v>
      </c>
      <c r="L101" s="100">
        <f>IFERROR(VLOOKUP(Tablo517[[#This Row],[BOYA KODU]],Tablo14[#All],6,0)," ")</f>
        <v>5.0000000000000001E-3</v>
      </c>
      <c r="M101" s="100">
        <f t="shared" si="8"/>
        <v>29.925000000000001</v>
      </c>
      <c r="N101" s="100" t="str">
        <f>IFERROR(VLOOKUP(Tablo517[[#This Row],[ÜRÜN KODU]],YMKODLARI!$A$1:$K$363,8,0)," ")</f>
        <v>HM 002</v>
      </c>
      <c r="O101" s="100" t="str">
        <f>IFERROR(VLOOKUP(Tablo517[[#This Row],[HAMMADDE KODU]],Tablo1[#All],3,0)," ")</f>
        <v>NOVAREX</v>
      </c>
      <c r="P101" s="100" t="str">
        <f>IFERROR(VLOOKUP(Tablo517[[#This Row],[HAMMADDE KODU]],Tablo1[#All],4,0)," ")</f>
        <v>PİNHAS</v>
      </c>
      <c r="Q101" s="100">
        <f>IFERROR(VLOOKUP(Tablo517[[#This Row],[ÜRÜN KODU]],YMKODLARI!$A$1:$K$363,5,0)," ")</f>
        <v>13.3</v>
      </c>
      <c r="R101" s="100">
        <f>IFERROR(VLOOKUP(Tablo517[[#This Row],[ÜRÜN KODU]],YMKODLARI!$A$1:$K$363,6,0)," ")</f>
        <v>11.4</v>
      </c>
      <c r="S101" s="100">
        <f>IFERROR(Tablo517[[#This Row],[YOLLUK HARİÇ BASKI GRAMI]]/Tablo517[[#This Row],[KALIP GÖZ ADEDİ]]," ")</f>
        <v>1.425</v>
      </c>
      <c r="T101" s="100">
        <f t="shared" si="10"/>
        <v>1.9000000000000004</v>
      </c>
      <c r="U101" s="100">
        <v>1.5</v>
      </c>
      <c r="V101" s="100">
        <f t="shared" si="9"/>
        <v>6.63</v>
      </c>
      <c r="W101" s="101">
        <f t="shared" si="11"/>
        <v>24.131944444444443</v>
      </c>
      <c r="X101" s="102">
        <f t="shared" si="12"/>
        <v>3.1666666666666288</v>
      </c>
      <c r="Y101" s="100">
        <f t="shared" si="13"/>
        <v>2.5</v>
      </c>
      <c r="Z101" s="100">
        <f t="shared" si="14"/>
        <v>3600</v>
      </c>
    </row>
    <row r="102" spans="1:26">
      <c r="A102" s="100" t="s">
        <v>96</v>
      </c>
      <c r="B102" s="108" t="str">
        <f>IFERROR(VLOOKUP(Tablo517[[#This Row],[ÜRÜN KODU]],YMKODLARI!$A$1:$K$363,2,0)," ")</f>
        <v>EMZİK ASKI TIPA ÖRDEK</v>
      </c>
      <c r="C102" s="99">
        <v>44032</v>
      </c>
      <c r="D102" s="100" t="s">
        <v>33</v>
      </c>
      <c r="E102" s="101">
        <v>0.59722222222222221</v>
      </c>
      <c r="F102" s="101">
        <v>0.73958333333333337</v>
      </c>
      <c r="G102" s="100">
        <f>IFERROR(VLOOKUP(Tablo517[[#This Row],[ÜRÜN KODU]],YMKODLARI!$A$1:$K$363,3,0)," ")</f>
        <v>8</v>
      </c>
      <c r="H102" s="100">
        <f>IFERROR(VLOOKUP(Tablo517[[#This Row],[ÜRÜN KODU]],YMKODLARI!$A$1:$K$363,4,0)," ")</f>
        <v>20</v>
      </c>
      <c r="I102" s="100">
        <v>444</v>
      </c>
      <c r="J102" s="100">
        <f>IFERROR(VLOOKUP(Tablo517[[#This Row],[ÜRÜN KODU]],YMKODLARI!$A$1:$K$363,9,0)," ")</f>
        <v>3041</v>
      </c>
      <c r="K102" s="100" t="str">
        <f>IFERROR(VLOOKUP(Tablo517[[#This Row],[BOYA KODU]],Tablo14[#All],4,0)," ")</f>
        <v>KIRMIZI</v>
      </c>
      <c r="L102" s="100">
        <f>IFERROR(VLOOKUP(Tablo517[[#This Row],[BOYA KODU]],Tablo14[#All],6,0)," ")</f>
        <v>5.0000000000000001E-3</v>
      </c>
      <c r="M102" s="100">
        <f t="shared" si="8"/>
        <v>29.526000000000003</v>
      </c>
      <c r="N102" s="100" t="str">
        <f>IFERROR(VLOOKUP(Tablo517[[#This Row],[ÜRÜN KODU]],YMKODLARI!$A$1:$K$363,8,0)," ")</f>
        <v>HM 002</v>
      </c>
      <c r="O102" s="100" t="str">
        <f>IFERROR(VLOOKUP(Tablo517[[#This Row],[HAMMADDE KODU]],Tablo1[#All],3,0)," ")</f>
        <v>NOVAREX</v>
      </c>
      <c r="P102" s="100" t="str">
        <f>IFERROR(VLOOKUP(Tablo517[[#This Row],[HAMMADDE KODU]],Tablo1[#All],4,0)," ")</f>
        <v>PİNHAS</v>
      </c>
      <c r="Q102" s="100">
        <f>IFERROR(VLOOKUP(Tablo517[[#This Row],[ÜRÜN KODU]],YMKODLARI!$A$1:$K$363,5,0)," ")</f>
        <v>13.3</v>
      </c>
      <c r="R102" s="100">
        <f>IFERROR(VLOOKUP(Tablo517[[#This Row],[ÜRÜN KODU]],YMKODLARI!$A$1:$K$363,6,0)," ")</f>
        <v>11.4</v>
      </c>
      <c r="S102" s="100">
        <f>IFERROR(Tablo517[[#This Row],[YOLLUK HARİÇ BASKI GRAMI]]/Tablo517[[#This Row],[KALIP GÖZ ADEDİ]]," ")</f>
        <v>1.425</v>
      </c>
      <c r="T102" s="100">
        <f t="shared" si="10"/>
        <v>1.9000000000000004</v>
      </c>
      <c r="U102" s="100">
        <v>2</v>
      </c>
      <c r="V102" s="100">
        <f t="shared" si="9"/>
        <v>7.0616000000000003</v>
      </c>
      <c r="W102" s="101">
        <f t="shared" si="11"/>
        <v>24.142361111111111</v>
      </c>
      <c r="X102" s="102">
        <f t="shared" si="12"/>
        <v>3.4166666666666572</v>
      </c>
      <c r="Y102" s="100">
        <f t="shared" si="13"/>
        <v>2.4666666666666668</v>
      </c>
      <c r="Z102" s="100">
        <f t="shared" si="14"/>
        <v>3552</v>
      </c>
    </row>
    <row r="103" spans="1:26">
      <c r="A103" s="100" t="s">
        <v>55</v>
      </c>
      <c r="B103" s="108" t="str">
        <f>IFERROR(VLOOKUP(Tablo517[[#This Row],[ÜRÜN KODU]],YMKODLARI!$A$1:$K$363,2,0)," ")</f>
        <v>BİBERON SEYAHAT TIPASI</v>
      </c>
      <c r="C103" s="99">
        <v>44033</v>
      </c>
      <c r="D103" s="100" t="s">
        <v>27</v>
      </c>
      <c r="E103" s="101">
        <v>0.5625</v>
      </c>
      <c r="F103" s="101">
        <v>0.75</v>
      </c>
      <c r="G103" s="100">
        <f>IFERROR(VLOOKUP(Tablo517[[#This Row],[ÜRÜN KODU]],YMKODLARI!$A$1:$K$363,3,0)," ")</f>
        <v>8</v>
      </c>
      <c r="H103" s="100">
        <f>IFERROR(VLOOKUP(Tablo517[[#This Row],[ÜRÜN KODU]],YMKODLARI!$A$1:$K$363,4,0)," ")</f>
        <v>15</v>
      </c>
      <c r="I103" s="100">
        <v>675</v>
      </c>
      <c r="J103" s="100" t="str">
        <f>IFERROR(VLOOKUP(Tablo517[[#This Row],[ÜRÜN KODU]],YMKODLARI!$A$1:$K$363,9,0)," ")</f>
        <v>BEYAZ</v>
      </c>
      <c r="K103" s="100" t="str">
        <f>IFERROR(VLOOKUP(Tablo517[[#This Row],[BOYA KODU]],Tablo14[#All],4,0)," ")</f>
        <v xml:space="preserve"> </v>
      </c>
      <c r="L103" s="100" t="str">
        <f>IFERROR(VLOOKUP(Tablo517[[#This Row],[BOYA KODU]],Tablo14[#All],6,0)," ")</f>
        <v xml:space="preserve"> </v>
      </c>
      <c r="M103" s="100" t="str">
        <f t="shared" si="8"/>
        <v xml:space="preserve"> </v>
      </c>
      <c r="N103" s="100" t="str">
        <f>IFERROR(VLOOKUP(Tablo517[[#This Row],[ÜRÜN KODU]],YMKODLARI!$A$1:$K$363,8,0)," ")</f>
        <v>HM 010</v>
      </c>
      <c r="O103" s="100" t="str">
        <f>IFERROR(VLOOKUP(Tablo517[[#This Row],[HAMMADDE KODU]],Tablo1[#All],3,0)," ")</f>
        <v>KIRMA PP</v>
      </c>
      <c r="P103" s="100" t="str">
        <f>IFERROR(VLOOKUP(Tablo517[[#This Row],[HAMMADDE KODU]],Tablo1[#All],4,0)," ")</f>
        <v>KIRMA</v>
      </c>
      <c r="Q103" s="100">
        <f>IFERROR(VLOOKUP(Tablo517[[#This Row],[ÜRÜN KODU]],YMKODLARI!$A$1:$K$363,5,0)," ")</f>
        <v>13</v>
      </c>
      <c r="R103" s="100">
        <f>IFERROR(VLOOKUP(Tablo517[[#This Row],[ÜRÜN KODU]],YMKODLARI!$A$1:$K$363,6,0)," ")</f>
        <v>10.7</v>
      </c>
      <c r="S103" s="100">
        <f>IFERROR(Tablo517[[#This Row],[YOLLUK HARİÇ BASKI GRAMI]]/Tablo517[[#This Row],[KALIP GÖZ ADEDİ]]," ")</f>
        <v>1.3374999999999999</v>
      </c>
      <c r="T103" s="100">
        <f t="shared" si="10"/>
        <v>2.3000000000000007</v>
      </c>
      <c r="U103" s="100">
        <v>3.5</v>
      </c>
      <c r="V103" s="100">
        <f t="shared" si="9"/>
        <v>10.7225</v>
      </c>
      <c r="W103" s="101">
        <f t="shared" si="11"/>
        <v>24.1875</v>
      </c>
      <c r="X103" s="102">
        <f t="shared" si="12"/>
        <v>4.5</v>
      </c>
      <c r="Y103" s="100">
        <f t="shared" si="13"/>
        <v>2.8125</v>
      </c>
      <c r="Z103" s="100">
        <f t="shared" si="14"/>
        <v>5400</v>
      </c>
    </row>
    <row r="104" spans="1:26">
      <c r="A104" s="100" t="s">
        <v>55</v>
      </c>
      <c r="B104" s="108" t="str">
        <f>IFERROR(VLOOKUP(Tablo517[[#This Row],[ÜRÜN KODU]],YMKODLARI!$A$1:$K$363,2,0)," ")</f>
        <v>BİBERON SEYAHAT TIPASI</v>
      </c>
      <c r="C104" s="99">
        <v>44034</v>
      </c>
      <c r="D104" s="100" t="s">
        <v>33</v>
      </c>
      <c r="E104" s="101">
        <v>0.33333333333333331</v>
      </c>
      <c r="F104" s="101">
        <v>0.75</v>
      </c>
      <c r="G104" s="100">
        <f>IFERROR(VLOOKUP(Tablo517[[#This Row],[ÜRÜN KODU]],YMKODLARI!$A$1:$K$363,3,0)," ")</f>
        <v>8</v>
      </c>
      <c r="H104" s="100">
        <f>IFERROR(VLOOKUP(Tablo517[[#This Row],[ÜRÜN KODU]],YMKODLARI!$A$1:$K$363,4,0)," ")</f>
        <v>15</v>
      </c>
      <c r="I104" s="100">
        <v>1586</v>
      </c>
      <c r="J104" s="100" t="str">
        <f>IFERROR(VLOOKUP(Tablo517[[#This Row],[ÜRÜN KODU]],YMKODLARI!$A$1:$K$363,9,0)," ")</f>
        <v>BEYAZ</v>
      </c>
      <c r="K104" s="100" t="str">
        <f>IFERROR(VLOOKUP(Tablo517[[#This Row],[BOYA KODU]],Tablo14[#All],4,0)," ")</f>
        <v xml:space="preserve"> </v>
      </c>
      <c r="L104" s="100" t="str">
        <f>IFERROR(VLOOKUP(Tablo517[[#This Row],[BOYA KODU]],Tablo14[#All],6,0)," ")</f>
        <v xml:space="preserve"> </v>
      </c>
      <c r="M104" s="100" t="str">
        <f t="shared" si="8"/>
        <v xml:space="preserve"> </v>
      </c>
      <c r="N104" s="100" t="str">
        <f>IFERROR(VLOOKUP(Tablo517[[#This Row],[ÜRÜN KODU]],YMKODLARI!$A$1:$K$363,8,0)," ")</f>
        <v>HM 010</v>
      </c>
      <c r="O104" s="100" t="str">
        <f>IFERROR(VLOOKUP(Tablo517[[#This Row],[HAMMADDE KODU]],Tablo1[#All],3,0)," ")</f>
        <v>KIRMA PP</v>
      </c>
      <c r="P104" s="100" t="str">
        <f>IFERROR(VLOOKUP(Tablo517[[#This Row],[HAMMADDE KODU]],Tablo1[#All],4,0)," ")</f>
        <v>KIRMA</v>
      </c>
      <c r="Q104" s="100">
        <f>IFERROR(VLOOKUP(Tablo517[[#This Row],[ÜRÜN KODU]],YMKODLARI!$A$1:$K$363,5,0)," ")</f>
        <v>13</v>
      </c>
      <c r="R104" s="100">
        <f>IFERROR(VLOOKUP(Tablo517[[#This Row],[ÜRÜN KODU]],YMKODLARI!$A$1:$K$363,6,0)," ")</f>
        <v>10.7</v>
      </c>
      <c r="S104" s="100">
        <f>IFERROR(Tablo517[[#This Row],[YOLLUK HARİÇ BASKI GRAMI]]/Tablo517[[#This Row],[KALIP GÖZ ADEDİ]]," ")</f>
        <v>1.3374999999999999</v>
      </c>
      <c r="T104" s="100">
        <f t="shared" si="10"/>
        <v>2.3000000000000007</v>
      </c>
      <c r="U104" s="100">
        <v>3.5</v>
      </c>
      <c r="V104" s="100">
        <f t="shared" si="9"/>
        <v>20.470199999999998</v>
      </c>
      <c r="W104" s="101">
        <f t="shared" si="11"/>
        <v>24.416666666666668</v>
      </c>
      <c r="X104" s="102">
        <f t="shared" si="12"/>
        <v>10.000000000000028</v>
      </c>
      <c r="Y104" s="100">
        <f t="shared" si="13"/>
        <v>6.6083333333333334</v>
      </c>
      <c r="Z104" s="100">
        <f t="shared" si="14"/>
        <v>12688</v>
      </c>
    </row>
    <row r="105" spans="1:26">
      <c r="A105" s="100" t="s">
        <v>55</v>
      </c>
      <c r="B105" s="108" t="str">
        <f>IFERROR(VLOOKUP(Tablo517[[#This Row],[ÜRÜN KODU]],YMKODLARI!$A$1:$K$363,2,0)," ")</f>
        <v>BİBERON SEYAHAT TIPASI</v>
      </c>
      <c r="C105" s="99">
        <v>44035</v>
      </c>
      <c r="D105" s="100" t="s">
        <v>33</v>
      </c>
      <c r="E105" s="101">
        <v>0.33333333333333331</v>
      </c>
      <c r="F105" s="101">
        <v>0.4375</v>
      </c>
      <c r="G105" s="100">
        <f>IFERROR(VLOOKUP(Tablo517[[#This Row],[ÜRÜN KODU]],YMKODLARI!$A$1:$K$363,3,0)," ")</f>
        <v>8</v>
      </c>
      <c r="H105" s="100">
        <f>IFERROR(VLOOKUP(Tablo517[[#This Row],[ÜRÜN KODU]],YMKODLARI!$A$1:$K$363,4,0)," ")</f>
        <v>15</v>
      </c>
      <c r="I105" s="100">
        <v>313</v>
      </c>
      <c r="J105" s="100" t="str">
        <f>IFERROR(VLOOKUP(Tablo517[[#This Row],[ÜRÜN KODU]],YMKODLARI!$A$1:$K$363,9,0)," ")</f>
        <v>BEYAZ</v>
      </c>
      <c r="K105" s="100" t="str">
        <f>IFERROR(VLOOKUP(Tablo517[[#This Row],[BOYA KODU]],Tablo14[#All],4,0)," ")</f>
        <v xml:space="preserve"> </v>
      </c>
      <c r="L105" s="100" t="str">
        <f>IFERROR(VLOOKUP(Tablo517[[#This Row],[BOYA KODU]],Tablo14[#All],6,0)," ")</f>
        <v xml:space="preserve"> </v>
      </c>
      <c r="M105" s="100" t="str">
        <f t="shared" si="8"/>
        <v xml:space="preserve"> </v>
      </c>
      <c r="N105" s="100" t="str">
        <f>IFERROR(VLOOKUP(Tablo517[[#This Row],[ÜRÜN KODU]],YMKODLARI!$A$1:$K$363,8,0)," ")</f>
        <v>HM 010</v>
      </c>
      <c r="O105" s="100" t="str">
        <f>IFERROR(VLOOKUP(Tablo517[[#This Row],[HAMMADDE KODU]],Tablo1[#All],3,0)," ")</f>
        <v>KIRMA PP</v>
      </c>
      <c r="P105" s="100" t="str">
        <f>IFERROR(VLOOKUP(Tablo517[[#This Row],[HAMMADDE KODU]],Tablo1[#All],4,0)," ")</f>
        <v>KIRMA</v>
      </c>
      <c r="Q105" s="100">
        <f>IFERROR(VLOOKUP(Tablo517[[#This Row],[ÜRÜN KODU]],YMKODLARI!$A$1:$K$363,5,0)," ")</f>
        <v>13</v>
      </c>
      <c r="R105" s="100">
        <f>IFERROR(VLOOKUP(Tablo517[[#This Row],[ÜRÜN KODU]],YMKODLARI!$A$1:$K$363,6,0)," ")</f>
        <v>10.7</v>
      </c>
      <c r="S105" s="100">
        <f>IFERROR(Tablo517[[#This Row],[YOLLUK HARİÇ BASKI GRAMI]]/Tablo517[[#This Row],[KALIP GÖZ ADEDİ]]," ")</f>
        <v>1.3374999999999999</v>
      </c>
      <c r="T105" s="100">
        <f t="shared" si="10"/>
        <v>2.3000000000000007</v>
      </c>
      <c r="U105" s="100">
        <v>1.5</v>
      </c>
      <c r="V105" s="100">
        <f t="shared" si="9"/>
        <v>4.8491</v>
      </c>
      <c r="W105" s="101">
        <f t="shared" si="11"/>
        <v>24.104166666666668</v>
      </c>
      <c r="X105" s="102">
        <f t="shared" si="12"/>
        <v>2.5000000000000284</v>
      </c>
      <c r="Y105" s="100">
        <f t="shared" si="13"/>
        <v>1.3041666666666667</v>
      </c>
      <c r="Z105" s="100">
        <f t="shared" si="14"/>
        <v>2504</v>
      </c>
    </row>
    <row r="106" spans="1:26">
      <c r="A106" s="100" t="s">
        <v>97</v>
      </c>
      <c r="B106" s="108" t="str">
        <f>IFERROR(VLOOKUP(Tablo517[[#This Row],[ÜRÜN KODU]],YMKODLARI!$A$1:$K$363,2,0)," ")</f>
        <v>TİRLE VİDA</v>
      </c>
      <c r="C106" s="99">
        <v>44035</v>
      </c>
      <c r="D106" s="100" t="s">
        <v>36</v>
      </c>
      <c r="E106" s="101">
        <v>0.54166666666666663</v>
      </c>
      <c r="F106" s="101">
        <v>0.68055555555555547</v>
      </c>
      <c r="G106" s="100">
        <f>IFERROR(VLOOKUP(Tablo517[[#This Row],[ÜRÜN KODU]],YMKODLARI!$A$1:$K$363,3,0)," ")</f>
        <v>2</v>
      </c>
      <c r="H106" s="100">
        <f>IFERROR(VLOOKUP(Tablo517[[#This Row],[ÜRÜN KODU]],YMKODLARI!$A$1:$K$363,4,0)," ")</f>
        <v>15</v>
      </c>
      <c r="I106" s="100">
        <v>561</v>
      </c>
      <c r="J106" s="100" t="str">
        <f>IFERROR(VLOOKUP(Tablo517[[#This Row],[ÜRÜN KODU]],YMKODLARI!$A$1:$K$363,9,0)," ")</f>
        <v>Şeffaf</v>
      </c>
      <c r="K106" s="100" t="str">
        <f>IFERROR(VLOOKUP(Tablo517[[#This Row],[BOYA KODU]],Tablo14[#All],4,0)," ")</f>
        <v xml:space="preserve"> </v>
      </c>
      <c r="L106" s="100" t="str">
        <f>IFERROR(VLOOKUP(Tablo517[[#This Row],[BOYA KODU]],Tablo14[#All],6,0)," ")</f>
        <v xml:space="preserve"> </v>
      </c>
      <c r="M106" s="100" t="str">
        <f t="shared" si="8"/>
        <v xml:space="preserve"> </v>
      </c>
      <c r="N106" s="100" t="str">
        <f>IFERROR(VLOOKUP(Tablo517[[#This Row],[ÜRÜN KODU]],YMKODLARI!$A$1:$K$363,8,0)," ")</f>
        <v>HM 001</v>
      </c>
      <c r="O106" s="100" t="str">
        <f>IFERROR(VLOOKUP(Tablo517[[#This Row],[HAMMADDE KODU]],Tablo1[#All],3,0)," ")</f>
        <v>CAPILENE</v>
      </c>
      <c r="P106" s="100" t="str">
        <f>IFERROR(VLOOKUP(Tablo517[[#This Row],[HAMMADDE KODU]],Tablo1[#All],4,0)," ")</f>
        <v>PİNHAS</v>
      </c>
      <c r="Q106" s="100">
        <f>IFERROR(VLOOKUP(Tablo517[[#This Row],[ÜRÜN KODU]],YMKODLARI!$A$1:$K$363,5,0)," ")</f>
        <v>19.5</v>
      </c>
      <c r="R106" s="100">
        <f>IFERROR(VLOOKUP(Tablo517[[#This Row],[ÜRÜN KODU]],YMKODLARI!$A$1:$K$363,6,0)," ")</f>
        <v>18.5</v>
      </c>
      <c r="S106" s="100">
        <f>IFERROR(Tablo517[[#This Row],[YOLLUK HARİÇ BASKI GRAMI]]/Tablo517[[#This Row],[KALIP GÖZ ADEDİ]]," ")</f>
        <v>9.25</v>
      </c>
      <c r="T106" s="100">
        <f t="shared" si="10"/>
        <v>1</v>
      </c>
      <c r="U106" s="100"/>
      <c r="V106" s="100">
        <f t="shared" si="9"/>
        <v>10.378500000000001</v>
      </c>
      <c r="W106" s="101">
        <f t="shared" si="11"/>
        <v>24.138888888888889</v>
      </c>
      <c r="X106" s="102">
        <f t="shared" si="12"/>
        <v>3.3333333333333428</v>
      </c>
      <c r="Y106" s="100">
        <f t="shared" si="13"/>
        <v>2.3374999999999999</v>
      </c>
      <c r="Z106" s="100">
        <f t="shared" si="14"/>
        <v>1122</v>
      </c>
    </row>
    <row r="107" spans="1:26">
      <c r="A107" s="100" t="s">
        <v>97</v>
      </c>
      <c r="B107" s="108" t="str">
        <f>IFERROR(VLOOKUP(Tablo517[[#This Row],[ÜRÜN KODU]],YMKODLARI!$A$1:$K$363,2,0)," ")</f>
        <v>TİRLE VİDA</v>
      </c>
      <c r="C107" s="99">
        <v>44036</v>
      </c>
      <c r="D107" s="100" t="s">
        <v>27</v>
      </c>
      <c r="E107" s="101">
        <v>0.35416666666666669</v>
      </c>
      <c r="F107" s="101">
        <v>0.70833333333333337</v>
      </c>
      <c r="G107" s="100">
        <f>IFERROR(VLOOKUP(Tablo517[[#This Row],[ÜRÜN KODU]],YMKODLARI!$A$1:$K$363,3,0)," ")</f>
        <v>2</v>
      </c>
      <c r="H107" s="100">
        <f>IFERROR(VLOOKUP(Tablo517[[#This Row],[ÜRÜN KODU]],YMKODLARI!$A$1:$K$363,4,0)," ")</f>
        <v>15</v>
      </c>
      <c r="I107" s="100">
        <v>986</v>
      </c>
      <c r="J107" s="100" t="str">
        <f>IFERROR(VLOOKUP(Tablo517[[#This Row],[ÜRÜN KODU]],YMKODLARI!$A$1:$K$363,9,0)," ")</f>
        <v>Şeffaf</v>
      </c>
      <c r="K107" s="100" t="str">
        <f>IFERROR(VLOOKUP(Tablo517[[#This Row],[BOYA KODU]],Tablo14[#All],4,0)," ")</f>
        <v xml:space="preserve"> </v>
      </c>
      <c r="L107" s="100" t="str">
        <f>IFERROR(VLOOKUP(Tablo517[[#This Row],[BOYA KODU]],Tablo14[#All],6,0)," ")</f>
        <v xml:space="preserve"> </v>
      </c>
      <c r="M107" s="100" t="str">
        <f t="shared" si="8"/>
        <v xml:space="preserve"> </v>
      </c>
      <c r="N107" s="100" t="str">
        <f>IFERROR(VLOOKUP(Tablo517[[#This Row],[ÜRÜN KODU]],YMKODLARI!$A$1:$K$363,8,0)," ")</f>
        <v>HM 001</v>
      </c>
      <c r="O107" s="100" t="str">
        <f>IFERROR(VLOOKUP(Tablo517[[#This Row],[HAMMADDE KODU]],Tablo1[#All],3,0)," ")</f>
        <v>CAPILENE</v>
      </c>
      <c r="P107" s="100" t="str">
        <f>IFERROR(VLOOKUP(Tablo517[[#This Row],[HAMMADDE KODU]],Tablo1[#All],4,0)," ")</f>
        <v>PİNHAS</v>
      </c>
      <c r="Q107" s="100">
        <f>IFERROR(VLOOKUP(Tablo517[[#This Row],[ÜRÜN KODU]],YMKODLARI!$A$1:$K$363,5,0)," ")</f>
        <v>19.5</v>
      </c>
      <c r="R107" s="100">
        <f>IFERROR(VLOOKUP(Tablo517[[#This Row],[ÜRÜN KODU]],YMKODLARI!$A$1:$K$363,6,0)," ")</f>
        <v>18.5</v>
      </c>
      <c r="S107" s="100">
        <f>IFERROR(Tablo517[[#This Row],[YOLLUK HARİÇ BASKI GRAMI]]/Tablo517[[#This Row],[KALIP GÖZ ADEDİ]]," ")</f>
        <v>9.25</v>
      </c>
      <c r="T107" s="100">
        <f t="shared" si="10"/>
        <v>1</v>
      </c>
      <c r="U107" s="100">
        <v>2.2000000000000002</v>
      </c>
      <c r="V107" s="100">
        <f t="shared" si="9"/>
        <v>20.440999999999999</v>
      </c>
      <c r="W107" s="101">
        <f t="shared" si="11"/>
        <v>24.354166666666668</v>
      </c>
      <c r="X107" s="102">
        <f t="shared" si="12"/>
        <v>8.5000000000000284</v>
      </c>
      <c r="Y107" s="100">
        <f t="shared" si="13"/>
        <v>4.1083333333333334</v>
      </c>
      <c r="Z107" s="100">
        <f t="shared" si="14"/>
        <v>1972</v>
      </c>
    </row>
    <row r="108" spans="1:26">
      <c r="A108" s="100" t="s">
        <v>98</v>
      </c>
      <c r="B108" s="108" t="str">
        <f>IFERROR(VLOOKUP(Tablo517[[#This Row],[ÜRÜN KODU]],YMKODLARI!$A$1:$K$363,2,0)," ")</f>
        <v>EMZİK ASKISI KISKAÇ ERKEK</v>
      </c>
      <c r="C108" s="99">
        <v>44039</v>
      </c>
      <c r="D108" s="100" t="s">
        <v>27</v>
      </c>
      <c r="E108" s="101">
        <v>0.33333333333333331</v>
      </c>
      <c r="F108" s="101">
        <v>0.625</v>
      </c>
      <c r="G108" s="100">
        <f>IFERROR(VLOOKUP(Tablo517[[#This Row],[ÜRÜN KODU]],YMKODLARI!$A$1:$K$363,3,0)," ")</f>
        <v>4</v>
      </c>
      <c r="H108" s="100">
        <v>19</v>
      </c>
      <c r="I108" s="100">
        <v>372</v>
      </c>
      <c r="J108" s="100" t="str">
        <f>IFERROR(VLOOKUP(Tablo517[[#This Row],[ÜRÜN KODU]],YMKODLARI!$A$1:$K$363,9,0)," ")</f>
        <v>708PK532G</v>
      </c>
      <c r="K108" s="100" t="str">
        <f>IFERROR(VLOOKUP(Tablo517[[#This Row],[BOYA KODU]],Tablo14[#All],4,0)," ")</f>
        <v>T.PEMBE</v>
      </c>
      <c r="L108" s="100">
        <f>IFERROR(VLOOKUP(Tablo517[[#This Row],[BOYA KODU]],Tablo14[#All],6,0)," ")</f>
        <v>2E-3</v>
      </c>
      <c r="M108" s="100">
        <f t="shared" si="8"/>
        <v>9.1512000000000011</v>
      </c>
      <c r="N108" s="100" t="str">
        <f>IFERROR(VLOOKUP(Tablo517[[#This Row],[ÜRÜN KODU]],YMKODLARI!$A$1:$K$363,8,0)," ")</f>
        <v>HM 002</v>
      </c>
      <c r="O108" s="100" t="str">
        <f>IFERROR(VLOOKUP(Tablo517[[#This Row],[HAMMADDE KODU]],Tablo1[#All],3,0)," ")</f>
        <v>NOVAREX</v>
      </c>
      <c r="P108" s="100" t="str">
        <f>IFERROR(VLOOKUP(Tablo517[[#This Row],[HAMMADDE KODU]],Tablo1[#All],4,0)," ")</f>
        <v>PİNHAS</v>
      </c>
      <c r="Q108" s="100">
        <f>IFERROR(VLOOKUP(Tablo517[[#This Row],[ÜRÜN KODU]],YMKODLARI!$A$1:$K$363,5,0)," ")</f>
        <v>12.3</v>
      </c>
      <c r="R108" s="100">
        <f>IFERROR(VLOOKUP(Tablo517[[#This Row],[ÜRÜN KODU]],YMKODLARI!$A$1:$K$363,6,0)," ")</f>
        <v>12.3</v>
      </c>
      <c r="S108" s="100">
        <f>IFERROR(Tablo517[[#This Row],[YOLLUK HARİÇ BASKI GRAMI]]/Tablo517[[#This Row],[KALIP GÖZ ADEDİ]]," ")</f>
        <v>3.0750000000000002</v>
      </c>
      <c r="T108" s="100">
        <f t="shared" si="10"/>
        <v>0</v>
      </c>
      <c r="U108" s="100"/>
      <c r="V108" s="100">
        <f t="shared" si="9"/>
        <v>4.5756000000000006</v>
      </c>
      <c r="W108" s="101">
        <f t="shared" si="11"/>
        <v>24.291666666666668</v>
      </c>
      <c r="X108" s="102">
        <f t="shared" si="12"/>
        <v>7.0000000000000284</v>
      </c>
      <c r="Y108" s="100">
        <f t="shared" si="13"/>
        <v>1.9633333333333334</v>
      </c>
      <c r="Z108" s="100">
        <f t="shared" si="14"/>
        <v>1488</v>
      </c>
    </row>
    <row r="109" spans="1:26">
      <c r="A109" s="100" t="s">
        <v>99</v>
      </c>
      <c r="B109" s="108" t="str">
        <f>IFERROR(VLOOKUP(Tablo517[[#This Row],[ÜRÜN KODU]],YMKODLARI!$A$1:$K$363,2,0)," ")</f>
        <v>EMZİK ASKISI KISKAÇ DİŞİ</v>
      </c>
      <c r="C109" s="99">
        <v>44039</v>
      </c>
      <c r="D109" s="100" t="s">
        <v>27</v>
      </c>
      <c r="E109" s="101">
        <v>0.33333333333333331</v>
      </c>
      <c r="F109" s="101">
        <v>0.625</v>
      </c>
      <c r="G109" s="100">
        <f>IFERROR(VLOOKUP(Tablo517[[#This Row],[ÜRÜN KODU]],YMKODLARI!$A$1:$K$363,3,0)," ")</f>
        <v>4</v>
      </c>
      <c r="H109" s="100">
        <v>19</v>
      </c>
      <c r="I109" s="100">
        <v>372</v>
      </c>
      <c r="J109" s="100" t="str">
        <f>IFERROR(VLOOKUP(Tablo517[[#This Row],[ÜRÜN KODU]],YMKODLARI!$A$1:$K$363,9,0)," ")</f>
        <v>708PK532G</v>
      </c>
      <c r="K109" s="100" t="str">
        <f>IFERROR(VLOOKUP(Tablo517[[#This Row],[BOYA KODU]],Tablo14[#All],4,0)," ")</f>
        <v>T.PEMBE</v>
      </c>
      <c r="L109" s="100">
        <f>IFERROR(VLOOKUP(Tablo517[[#This Row],[BOYA KODU]],Tablo14[#All],6,0)," ")</f>
        <v>2E-3</v>
      </c>
      <c r="M109" s="100">
        <f t="shared" si="8"/>
        <v>10.639200000000001</v>
      </c>
      <c r="N109" s="100" t="str">
        <f>IFERROR(VLOOKUP(Tablo517[[#This Row],[ÜRÜN KODU]],YMKODLARI!$A$1:$K$363,8,0)," ")</f>
        <v>HM 002</v>
      </c>
      <c r="O109" s="100" t="str">
        <f>IFERROR(VLOOKUP(Tablo517[[#This Row],[HAMMADDE KODU]],Tablo1[#All],3,0)," ")</f>
        <v>NOVAREX</v>
      </c>
      <c r="P109" s="100" t="str">
        <f>IFERROR(VLOOKUP(Tablo517[[#This Row],[HAMMADDE KODU]],Tablo1[#All],4,0)," ")</f>
        <v>PİNHAS</v>
      </c>
      <c r="Q109" s="100">
        <f>IFERROR(VLOOKUP(Tablo517[[#This Row],[ÜRÜN KODU]],YMKODLARI!$A$1:$K$363,5,0)," ")</f>
        <v>14.3</v>
      </c>
      <c r="R109" s="100">
        <f>IFERROR(VLOOKUP(Tablo517[[#This Row],[ÜRÜN KODU]],YMKODLARI!$A$1:$K$363,6,0)," ")</f>
        <v>11.8</v>
      </c>
      <c r="S109" s="100">
        <f>IFERROR(Tablo517[[#This Row],[YOLLUK HARİÇ BASKI GRAMI]]/Tablo517[[#This Row],[KALIP GÖZ ADEDİ]]," ")</f>
        <v>2.95</v>
      </c>
      <c r="T109" s="100">
        <f t="shared" si="10"/>
        <v>2.5</v>
      </c>
      <c r="U109" s="100">
        <v>4.0999999999999996</v>
      </c>
      <c r="V109" s="100">
        <f t="shared" si="9"/>
        <v>8.4895999999999994</v>
      </c>
      <c r="W109" s="101">
        <f t="shared" si="11"/>
        <v>24.291666666666668</v>
      </c>
      <c r="X109" s="102">
        <f t="shared" si="12"/>
        <v>7.0000000000000284</v>
      </c>
      <c r="Y109" s="100">
        <f t="shared" si="13"/>
        <v>1.9633333333333334</v>
      </c>
      <c r="Z109" s="100">
        <f t="shared" si="14"/>
        <v>1488</v>
      </c>
    </row>
    <row r="110" spans="1:26">
      <c r="A110" s="100" t="s">
        <v>100</v>
      </c>
      <c r="B110" s="108" t="str">
        <f>IFERROR(VLOOKUP(Tablo517[[#This Row],[ÜRÜN KODU]],YMKODLARI!$A$1:$K$363,2,0)," ")</f>
        <v>EMZİK ASKISI KISKAÇ ERKEK</v>
      </c>
      <c r="C110" s="99">
        <v>44039</v>
      </c>
      <c r="D110" s="100" t="s">
        <v>27</v>
      </c>
      <c r="E110" s="101">
        <v>0.625</v>
      </c>
      <c r="F110" s="101">
        <v>0.70833333333333337</v>
      </c>
      <c r="G110" s="100">
        <f>IFERROR(VLOOKUP(Tablo517[[#This Row],[ÜRÜN KODU]],YMKODLARI!$A$1:$K$363,3,0)," ")</f>
        <v>4</v>
      </c>
      <c r="H110" s="100">
        <v>19</v>
      </c>
      <c r="I110" s="100">
        <v>258</v>
      </c>
      <c r="J110" s="100" t="str">
        <f>IFERROR(VLOOKUP(Tablo517[[#This Row],[ÜRÜN KODU]],YMKODLARI!$A$1:$K$363,9,0)," ")</f>
        <v>5139C</v>
      </c>
      <c r="K110" s="100" t="str">
        <f>IFERROR(VLOOKUP(Tablo517[[#This Row],[BOYA KODU]],Tablo14[#All],4,0)," ")</f>
        <v>T.MAVİ</v>
      </c>
      <c r="L110" s="100">
        <f>IFERROR(VLOOKUP(Tablo517[[#This Row],[BOYA KODU]],Tablo14[#All],6,0)," ")</f>
        <v>1E-3</v>
      </c>
      <c r="M110" s="100">
        <f t="shared" si="8"/>
        <v>3.1734</v>
      </c>
      <c r="N110" s="100" t="str">
        <f>IFERROR(VLOOKUP(Tablo517[[#This Row],[ÜRÜN KODU]],YMKODLARI!$A$1:$K$363,8,0)," ")</f>
        <v>HM 002</v>
      </c>
      <c r="O110" s="100" t="str">
        <f>IFERROR(VLOOKUP(Tablo517[[#This Row],[HAMMADDE KODU]],Tablo1[#All],3,0)," ")</f>
        <v>NOVAREX</v>
      </c>
      <c r="P110" s="100" t="str">
        <f>IFERROR(VLOOKUP(Tablo517[[#This Row],[HAMMADDE KODU]],Tablo1[#All],4,0)," ")</f>
        <v>PİNHAS</v>
      </c>
      <c r="Q110" s="100">
        <f>IFERROR(VLOOKUP(Tablo517[[#This Row],[ÜRÜN KODU]],YMKODLARI!$A$1:$K$363,5,0)," ")</f>
        <v>12.3</v>
      </c>
      <c r="R110" s="100">
        <f>IFERROR(VLOOKUP(Tablo517[[#This Row],[ÜRÜN KODU]],YMKODLARI!$A$1:$K$363,6,0)," ")</f>
        <v>12.3</v>
      </c>
      <c r="S110" s="100">
        <f>IFERROR(Tablo517[[#This Row],[YOLLUK HARİÇ BASKI GRAMI]]/Tablo517[[#This Row],[KALIP GÖZ ADEDİ]]," ")</f>
        <v>3.0750000000000002</v>
      </c>
      <c r="T110" s="100">
        <f t="shared" si="10"/>
        <v>0</v>
      </c>
      <c r="U110" s="100"/>
      <c r="V110" s="100">
        <f t="shared" si="9"/>
        <v>3.1734</v>
      </c>
      <c r="W110" s="101">
        <f t="shared" si="11"/>
        <v>24.083333333333332</v>
      </c>
      <c r="X110" s="102">
        <f t="shared" si="12"/>
        <v>1.9999999999999716</v>
      </c>
      <c r="Y110" s="100">
        <f t="shared" si="13"/>
        <v>1.3616666666666666</v>
      </c>
      <c r="Z110" s="100">
        <f t="shared" si="14"/>
        <v>1032</v>
      </c>
    </row>
    <row r="111" spans="1:26">
      <c r="A111" s="100" t="s">
        <v>101</v>
      </c>
      <c r="B111" s="108" t="str">
        <f>IFERROR(VLOOKUP(Tablo517[[#This Row],[ÜRÜN KODU]],YMKODLARI!$A$1:$K$363,2,0)," ")</f>
        <v>EMZİK ASKISI KISKAÇ DİŞİ</v>
      </c>
      <c r="C111" s="99">
        <v>44039</v>
      </c>
      <c r="D111" s="100" t="s">
        <v>27</v>
      </c>
      <c r="E111" s="101">
        <v>0.625</v>
      </c>
      <c r="F111" s="101">
        <v>0.70833333333333337</v>
      </c>
      <c r="G111" s="100">
        <f>IFERROR(VLOOKUP(Tablo517[[#This Row],[ÜRÜN KODU]],YMKODLARI!$A$1:$K$363,3,0)," ")</f>
        <v>4</v>
      </c>
      <c r="H111" s="100">
        <v>19</v>
      </c>
      <c r="I111" s="100">
        <v>258</v>
      </c>
      <c r="J111" s="100" t="str">
        <f>IFERROR(VLOOKUP(Tablo517[[#This Row],[ÜRÜN KODU]],YMKODLARI!$A$1:$K$363,9,0)," ")</f>
        <v>5139C</v>
      </c>
      <c r="K111" s="100" t="str">
        <f>IFERROR(VLOOKUP(Tablo517[[#This Row],[BOYA KODU]],Tablo14[#All],4,0)," ")</f>
        <v>T.MAVİ</v>
      </c>
      <c r="L111" s="100">
        <f>IFERROR(VLOOKUP(Tablo517[[#This Row],[BOYA KODU]],Tablo14[#All],6,0)," ")</f>
        <v>1E-3</v>
      </c>
      <c r="M111" s="100">
        <f t="shared" si="8"/>
        <v>3.6894</v>
      </c>
      <c r="N111" s="100" t="str">
        <f>IFERROR(VLOOKUP(Tablo517[[#This Row],[ÜRÜN KODU]],YMKODLARI!$A$1:$K$363,8,0)," ")</f>
        <v>HM 002</v>
      </c>
      <c r="O111" s="100" t="str">
        <f>IFERROR(VLOOKUP(Tablo517[[#This Row],[HAMMADDE KODU]],Tablo1[#All],3,0)," ")</f>
        <v>NOVAREX</v>
      </c>
      <c r="P111" s="100" t="str">
        <f>IFERROR(VLOOKUP(Tablo517[[#This Row],[HAMMADDE KODU]],Tablo1[#All],4,0)," ")</f>
        <v>PİNHAS</v>
      </c>
      <c r="Q111" s="100">
        <f>IFERROR(VLOOKUP(Tablo517[[#This Row],[ÜRÜN KODU]],YMKODLARI!$A$1:$K$363,5,0)," ")</f>
        <v>14.3</v>
      </c>
      <c r="R111" s="100">
        <f>IFERROR(VLOOKUP(Tablo517[[#This Row],[ÜRÜN KODU]],YMKODLARI!$A$1:$K$363,6,0)," ")</f>
        <v>11.8</v>
      </c>
      <c r="S111" s="100">
        <f>IFERROR(Tablo517[[#This Row],[YOLLUK HARİÇ BASKI GRAMI]]/Tablo517[[#This Row],[KALIP GÖZ ADEDİ]]," ")</f>
        <v>2.95</v>
      </c>
      <c r="T111" s="100">
        <f t="shared" si="10"/>
        <v>2.5</v>
      </c>
      <c r="U111" s="100">
        <v>5.2</v>
      </c>
      <c r="V111" s="100">
        <f t="shared" si="9"/>
        <v>8.2444000000000006</v>
      </c>
      <c r="W111" s="101">
        <f t="shared" si="11"/>
        <v>24.083333333333332</v>
      </c>
      <c r="X111" s="102">
        <f t="shared" si="12"/>
        <v>1.9999999999999716</v>
      </c>
      <c r="Y111" s="100">
        <f t="shared" si="13"/>
        <v>1.3616666666666666</v>
      </c>
      <c r="Z111" s="100">
        <f t="shared" si="14"/>
        <v>1032</v>
      </c>
    </row>
    <row r="112" spans="1:26">
      <c r="A112" s="100" t="s">
        <v>100</v>
      </c>
      <c r="B112" s="108" t="str">
        <f>IFERROR(VLOOKUP(Tablo517[[#This Row],[ÜRÜN KODU]],YMKODLARI!$A$1:$K$363,2,0)," ")</f>
        <v>EMZİK ASKISI KISKAÇ ERKEK</v>
      </c>
      <c r="C112" s="99">
        <v>44040</v>
      </c>
      <c r="D112" s="100" t="s">
        <v>33</v>
      </c>
      <c r="E112" s="101">
        <v>0.3576388888888889</v>
      </c>
      <c r="F112" s="101">
        <v>0.5</v>
      </c>
      <c r="G112" s="100">
        <f>IFERROR(VLOOKUP(Tablo517[[#This Row],[ÜRÜN KODU]],YMKODLARI!$A$1:$K$363,3,0)," ")</f>
        <v>4</v>
      </c>
      <c r="H112" s="100">
        <v>21</v>
      </c>
      <c r="I112" s="100">
        <v>600</v>
      </c>
      <c r="J112" s="100" t="str">
        <f>IFERROR(VLOOKUP(Tablo517[[#This Row],[ÜRÜN KODU]],YMKODLARI!$A$1:$K$363,9,0)," ")</f>
        <v>5139C</v>
      </c>
      <c r="K112" s="100" t="str">
        <f>IFERROR(VLOOKUP(Tablo517[[#This Row],[BOYA KODU]],Tablo14[#All],4,0)," ")</f>
        <v>T.MAVİ</v>
      </c>
      <c r="L112" s="100">
        <f>IFERROR(VLOOKUP(Tablo517[[#This Row],[BOYA KODU]],Tablo14[#All],6,0)," ")</f>
        <v>1E-3</v>
      </c>
      <c r="M112" s="100">
        <f t="shared" si="8"/>
        <v>7.38</v>
      </c>
      <c r="N112" s="100" t="str">
        <f>IFERROR(VLOOKUP(Tablo517[[#This Row],[ÜRÜN KODU]],YMKODLARI!$A$1:$K$363,8,0)," ")</f>
        <v>HM 002</v>
      </c>
      <c r="O112" s="100" t="str">
        <f>IFERROR(VLOOKUP(Tablo517[[#This Row],[HAMMADDE KODU]],Tablo1[#All],3,0)," ")</f>
        <v>NOVAREX</v>
      </c>
      <c r="P112" s="100" t="str">
        <f>IFERROR(VLOOKUP(Tablo517[[#This Row],[HAMMADDE KODU]],Tablo1[#All],4,0)," ")</f>
        <v>PİNHAS</v>
      </c>
      <c r="Q112" s="100">
        <f>IFERROR(VLOOKUP(Tablo517[[#This Row],[ÜRÜN KODU]],YMKODLARI!$A$1:$K$363,5,0)," ")</f>
        <v>12.3</v>
      </c>
      <c r="R112" s="100">
        <f>IFERROR(VLOOKUP(Tablo517[[#This Row],[ÜRÜN KODU]],YMKODLARI!$A$1:$K$363,6,0)," ")</f>
        <v>12.3</v>
      </c>
      <c r="S112" s="100">
        <f>IFERROR(Tablo517[[#This Row],[YOLLUK HARİÇ BASKI GRAMI]]/Tablo517[[#This Row],[KALIP GÖZ ADEDİ]]," ")</f>
        <v>3.0750000000000002</v>
      </c>
      <c r="T112" s="100">
        <f t="shared" si="10"/>
        <v>0</v>
      </c>
      <c r="U112" s="100"/>
      <c r="V112" s="100">
        <f t="shared" si="9"/>
        <v>7.38</v>
      </c>
      <c r="W112" s="101">
        <f t="shared" si="11"/>
        <v>24.142361111111111</v>
      </c>
      <c r="X112" s="102">
        <f t="shared" si="12"/>
        <v>3.4166666666666572</v>
      </c>
      <c r="Y112" s="100">
        <f t="shared" si="13"/>
        <v>3.5</v>
      </c>
      <c r="Z112" s="100">
        <f t="shared" si="14"/>
        <v>2400</v>
      </c>
    </row>
    <row r="113" spans="1:26">
      <c r="A113" s="100" t="s">
        <v>101</v>
      </c>
      <c r="B113" s="108" t="str">
        <f>IFERROR(VLOOKUP(Tablo517[[#This Row],[ÜRÜN KODU]],YMKODLARI!$A$1:$K$363,2,0)," ")</f>
        <v>EMZİK ASKISI KISKAÇ DİŞİ</v>
      </c>
      <c r="C113" s="99">
        <v>44040</v>
      </c>
      <c r="D113" s="100" t="s">
        <v>33</v>
      </c>
      <c r="E113" s="101">
        <v>0.3576388888888889</v>
      </c>
      <c r="F113" s="101">
        <v>0.5</v>
      </c>
      <c r="G113" s="100">
        <f>IFERROR(VLOOKUP(Tablo517[[#This Row],[ÜRÜN KODU]],YMKODLARI!$A$1:$K$363,3,0)," ")</f>
        <v>4</v>
      </c>
      <c r="H113" s="100">
        <v>21</v>
      </c>
      <c r="I113" s="100">
        <v>600</v>
      </c>
      <c r="J113" s="100" t="str">
        <f>IFERROR(VLOOKUP(Tablo517[[#This Row],[ÜRÜN KODU]],YMKODLARI!$A$1:$K$363,9,0)," ")</f>
        <v>5139C</v>
      </c>
      <c r="K113" s="100" t="str">
        <f>IFERROR(VLOOKUP(Tablo517[[#This Row],[BOYA KODU]],Tablo14[#All],4,0)," ")</f>
        <v>T.MAVİ</v>
      </c>
      <c r="L113" s="100">
        <f>IFERROR(VLOOKUP(Tablo517[[#This Row],[BOYA KODU]],Tablo14[#All],6,0)," ")</f>
        <v>1E-3</v>
      </c>
      <c r="M113" s="100">
        <f t="shared" si="8"/>
        <v>8.58</v>
      </c>
      <c r="N113" s="100" t="str">
        <f>IFERROR(VLOOKUP(Tablo517[[#This Row],[ÜRÜN KODU]],YMKODLARI!$A$1:$K$363,8,0)," ")</f>
        <v>HM 002</v>
      </c>
      <c r="O113" s="100" t="str">
        <f>IFERROR(VLOOKUP(Tablo517[[#This Row],[HAMMADDE KODU]],Tablo1[#All],3,0)," ")</f>
        <v>NOVAREX</v>
      </c>
      <c r="P113" s="100" t="str">
        <f>IFERROR(VLOOKUP(Tablo517[[#This Row],[HAMMADDE KODU]],Tablo1[#All],4,0)," ")</f>
        <v>PİNHAS</v>
      </c>
      <c r="Q113" s="100">
        <f>IFERROR(VLOOKUP(Tablo517[[#This Row],[ÜRÜN KODU]],YMKODLARI!$A$1:$K$363,5,0)," ")</f>
        <v>14.3</v>
      </c>
      <c r="R113" s="100">
        <f>IFERROR(VLOOKUP(Tablo517[[#This Row],[ÜRÜN KODU]],YMKODLARI!$A$1:$K$363,6,0)," ")</f>
        <v>11.8</v>
      </c>
      <c r="S113" s="100">
        <f>IFERROR(Tablo517[[#This Row],[YOLLUK HARİÇ BASKI GRAMI]]/Tablo517[[#This Row],[KALIP GÖZ ADEDİ]]," ")</f>
        <v>2.95</v>
      </c>
      <c r="T113" s="100">
        <f t="shared" si="10"/>
        <v>2.5</v>
      </c>
      <c r="U113" s="100">
        <v>4.7</v>
      </c>
      <c r="V113" s="100">
        <f t="shared" si="9"/>
        <v>11.780000000000001</v>
      </c>
      <c r="W113" s="101">
        <f t="shared" si="11"/>
        <v>24.142361111111111</v>
      </c>
      <c r="X113" s="102">
        <f t="shared" si="12"/>
        <v>3.4166666666666572</v>
      </c>
      <c r="Y113" s="100">
        <f t="shared" si="13"/>
        <v>3.5</v>
      </c>
      <c r="Z113" s="100">
        <f t="shared" si="14"/>
        <v>2400</v>
      </c>
    </row>
    <row r="114" spans="1:26">
      <c r="A114" s="100" t="s">
        <v>71</v>
      </c>
      <c r="B114" s="108" t="str">
        <f>IFERROR(VLOOKUP(Tablo517[[#This Row],[ÜRÜN KODU]],YMKODLARI!$A$1:$K$363,2,0)," ")</f>
        <v>EMZİK ASKISI KISKAÇ ERKEK</v>
      </c>
      <c r="C114" s="99">
        <v>44040</v>
      </c>
      <c r="D114" s="100" t="s">
        <v>33</v>
      </c>
      <c r="E114" s="101">
        <v>0.5</v>
      </c>
      <c r="F114" s="101">
        <v>0.75</v>
      </c>
      <c r="G114" s="100">
        <f>IFERROR(VLOOKUP(Tablo517[[#This Row],[ÜRÜN KODU]],YMKODLARI!$A$1:$K$363,3,0)," ")</f>
        <v>4</v>
      </c>
      <c r="H114" s="100">
        <v>21</v>
      </c>
      <c r="I114" s="100">
        <v>814</v>
      </c>
      <c r="J114" s="100" t="str">
        <f>IFERROR(VLOOKUP(Tablo517[[#This Row],[ÜRÜN KODU]],YMKODLARI!$A$1:$K$363,9,0)," ")</f>
        <v>708GN0539G</v>
      </c>
      <c r="K114" s="100" t="str">
        <f>IFERROR(VLOOKUP(Tablo517[[#This Row],[BOYA KODU]],Tablo14[#All],4,0)," ")</f>
        <v>T.YEŞİL</v>
      </c>
      <c r="L114" s="100">
        <f>IFERROR(VLOOKUP(Tablo517[[#This Row],[BOYA KODU]],Tablo14[#All],6,0)," ")</f>
        <v>2E-3</v>
      </c>
      <c r="M114" s="100">
        <f t="shared" si="8"/>
        <v>20.024400000000004</v>
      </c>
      <c r="N114" s="100" t="str">
        <f>IFERROR(VLOOKUP(Tablo517[[#This Row],[ÜRÜN KODU]],YMKODLARI!$A$1:$K$363,8,0)," ")</f>
        <v>HM 002</v>
      </c>
      <c r="O114" s="100" t="str">
        <f>IFERROR(VLOOKUP(Tablo517[[#This Row],[HAMMADDE KODU]],Tablo1[#All],3,0)," ")</f>
        <v>NOVAREX</v>
      </c>
      <c r="P114" s="100" t="str">
        <f>IFERROR(VLOOKUP(Tablo517[[#This Row],[HAMMADDE KODU]],Tablo1[#All],4,0)," ")</f>
        <v>PİNHAS</v>
      </c>
      <c r="Q114" s="100">
        <f>IFERROR(VLOOKUP(Tablo517[[#This Row],[ÜRÜN KODU]],YMKODLARI!$A$1:$K$363,5,0)," ")</f>
        <v>12.3</v>
      </c>
      <c r="R114" s="100">
        <f>IFERROR(VLOOKUP(Tablo517[[#This Row],[ÜRÜN KODU]],YMKODLARI!$A$1:$K$363,6,0)," ")</f>
        <v>12.3</v>
      </c>
      <c r="S114" s="100">
        <f>IFERROR(Tablo517[[#This Row],[YOLLUK HARİÇ BASKI GRAMI]]/Tablo517[[#This Row],[KALIP GÖZ ADEDİ]]," ")</f>
        <v>3.0750000000000002</v>
      </c>
      <c r="T114" s="100">
        <f t="shared" si="10"/>
        <v>0</v>
      </c>
      <c r="U114" s="100"/>
      <c r="V114" s="100">
        <f t="shared" si="9"/>
        <v>10.0122</v>
      </c>
      <c r="W114" s="101">
        <f t="shared" si="11"/>
        <v>24.25</v>
      </c>
      <c r="X114" s="102">
        <f t="shared" si="12"/>
        <v>6</v>
      </c>
      <c r="Y114" s="100">
        <f t="shared" si="13"/>
        <v>4.7483333333333331</v>
      </c>
      <c r="Z114" s="100">
        <f t="shared" si="14"/>
        <v>3256</v>
      </c>
    </row>
    <row r="115" spans="1:26">
      <c r="A115" s="100" t="s">
        <v>72</v>
      </c>
      <c r="B115" s="108" t="str">
        <f>IFERROR(VLOOKUP(Tablo517[[#This Row],[ÜRÜN KODU]],YMKODLARI!$A$1:$K$363,2,0)," ")</f>
        <v>EMZİK ASKISI KISKAÇ DİŞİ</v>
      </c>
      <c r="C115" s="99">
        <v>44040</v>
      </c>
      <c r="D115" s="100" t="s">
        <v>33</v>
      </c>
      <c r="E115" s="101">
        <v>0.5</v>
      </c>
      <c r="F115" s="101">
        <v>0.75</v>
      </c>
      <c r="G115" s="100">
        <f>IFERROR(VLOOKUP(Tablo517[[#This Row],[ÜRÜN KODU]],YMKODLARI!$A$1:$K$363,3,0)," ")</f>
        <v>4</v>
      </c>
      <c r="H115" s="100">
        <v>21</v>
      </c>
      <c r="I115" s="100">
        <v>814</v>
      </c>
      <c r="J115" s="100" t="str">
        <f>IFERROR(VLOOKUP(Tablo517[[#This Row],[ÜRÜN KODU]],YMKODLARI!$A$1:$K$363,9,0)," ")</f>
        <v>708GN0539G</v>
      </c>
      <c r="K115" s="100" t="str">
        <f>IFERROR(VLOOKUP(Tablo517[[#This Row],[BOYA KODU]],Tablo14[#All],4,0)," ")</f>
        <v>T.YEŞİL</v>
      </c>
      <c r="L115" s="100">
        <f>IFERROR(VLOOKUP(Tablo517[[#This Row],[BOYA KODU]],Tablo14[#All],6,0)," ")</f>
        <v>2E-3</v>
      </c>
      <c r="M115" s="100">
        <f t="shared" si="8"/>
        <v>23.2804</v>
      </c>
      <c r="N115" s="100" t="str">
        <f>IFERROR(VLOOKUP(Tablo517[[#This Row],[ÜRÜN KODU]],YMKODLARI!$A$1:$K$363,8,0)," ")</f>
        <v>HM 002</v>
      </c>
      <c r="O115" s="100" t="str">
        <f>IFERROR(VLOOKUP(Tablo517[[#This Row],[HAMMADDE KODU]],Tablo1[#All],3,0)," ")</f>
        <v>NOVAREX</v>
      </c>
      <c r="P115" s="100" t="str">
        <f>IFERROR(VLOOKUP(Tablo517[[#This Row],[HAMMADDE KODU]],Tablo1[#All],4,0)," ")</f>
        <v>PİNHAS</v>
      </c>
      <c r="Q115" s="100">
        <f>IFERROR(VLOOKUP(Tablo517[[#This Row],[ÜRÜN KODU]],YMKODLARI!$A$1:$K$363,5,0)," ")</f>
        <v>14.3</v>
      </c>
      <c r="R115" s="100">
        <f>IFERROR(VLOOKUP(Tablo517[[#This Row],[ÜRÜN KODU]],YMKODLARI!$A$1:$K$363,6,0)," ")</f>
        <v>11.8</v>
      </c>
      <c r="S115" s="100">
        <f>IFERROR(Tablo517[[#This Row],[YOLLUK HARİÇ BASKI GRAMI]]/Tablo517[[#This Row],[KALIP GÖZ ADEDİ]]," ")</f>
        <v>2.95</v>
      </c>
      <c r="T115" s="100">
        <f t="shared" si="10"/>
        <v>2.5</v>
      </c>
      <c r="U115" s="100">
        <v>4</v>
      </c>
      <c r="V115" s="100">
        <f t="shared" si="9"/>
        <v>13.6052</v>
      </c>
      <c r="W115" s="101">
        <f t="shared" si="11"/>
        <v>24.25</v>
      </c>
      <c r="X115" s="102">
        <f t="shared" si="12"/>
        <v>6</v>
      </c>
      <c r="Y115" s="100">
        <f t="shared" si="13"/>
        <v>4.7483333333333331</v>
      </c>
      <c r="Z115" s="100">
        <f t="shared" si="14"/>
        <v>3256</v>
      </c>
    </row>
    <row r="116" spans="1:26">
      <c r="A116" s="100" t="s">
        <v>71</v>
      </c>
      <c r="B116" s="108" t="str">
        <f>IFERROR(VLOOKUP(Tablo517[[#This Row],[ÜRÜN KODU]],YMKODLARI!$A$1:$K$363,2,0)," ")</f>
        <v>EMZİK ASKISI KISKAÇ ERKEK</v>
      </c>
      <c r="C116" s="99">
        <v>44041</v>
      </c>
      <c r="D116" s="100" t="s">
        <v>37</v>
      </c>
      <c r="E116" s="101">
        <v>0.33333333333333331</v>
      </c>
      <c r="F116" s="101">
        <v>0.48958333333333331</v>
      </c>
      <c r="G116" s="100">
        <f>IFERROR(VLOOKUP(Tablo517[[#This Row],[ÜRÜN KODU]],YMKODLARI!$A$1:$K$363,3,0)," ")</f>
        <v>4</v>
      </c>
      <c r="H116" s="100">
        <v>21</v>
      </c>
      <c r="I116" s="100">
        <v>538</v>
      </c>
      <c r="J116" s="100" t="str">
        <f>IFERROR(VLOOKUP(Tablo517[[#This Row],[ÜRÜN KODU]],YMKODLARI!$A$1:$K$363,9,0)," ")</f>
        <v>708GN0539G</v>
      </c>
      <c r="K116" s="100" t="str">
        <f>IFERROR(VLOOKUP(Tablo517[[#This Row],[BOYA KODU]],Tablo14[#All],4,0)," ")</f>
        <v>T.YEŞİL</v>
      </c>
      <c r="L116" s="100">
        <f>IFERROR(VLOOKUP(Tablo517[[#This Row],[BOYA KODU]],Tablo14[#All],6,0)," ")</f>
        <v>2E-3</v>
      </c>
      <c r="M116" s="100">
        <f t="shared" si="8"/>
        <v>13.234800000000002</v>
      </c>
      <c r="N116" s="100" t="str">
        <f>IFERROR(VLOOKUP(Tablo517[[#This Row],[ÜRÜN KODU]],YMKODLARI!$A$1:$K$363,8,0)," ")</f>
        <v>HM 002</v>
      </c>
      <c r="O116" s="100" t="str">
        <f>IFERROR(VLOOKUP(Tablo517[[#This Row],[HAMMADDE KODU]],Tablo1[#All],3,0)," ")</f>
        <v>NOVAREX</v>
      </c>
      <c r="P116" s="100" t="str">
        <f>IFERROR(VLOOKUP(Tablo517[[#This Row],[HAMMADDE KODU]],Tablo1[#All],4,0)," ")</f>
        <v>PİNHAS</v>
      </c>
      <c r="Q116" s="100">
        <f>IFERROR(VLOOKUP(Tablo517[[#This Row],[ÜRÜN KODU]],YMKODLARI!$A$1:$K$363,5,0)," ")</f>
        <v>12.3</v>
      </c>
      <c r="R116" s="100">
        <f>IFERROR(VLOOKUP(Tablo517[[#This Row],[ÜRÜN KODU]],YMKODLARI!$A$1:$K$363,6,0)," ")</f>
        <v>12.3</v>
      </c>
      <c r="S116" s="100">
        <f>IFERROR(Tablo517[[#This Row],[YOLLUK HARİÇ BASKI GRAMI]]/Tablo517[[#This Row],[KALIP GÖZ ADEDİ]]," ")</f>
        <v>3.0750000000000002</v>
      </c>
      <c r="T116" s="100">
        <f t="shared" si="10"/>
        <v>0</v>
      </c>
      <c r="U116" s="100"/>
      <c r="V116" s="100">
        <f t="shared" si="9"/>
        <v>6.6174000000000008</v>
      </c>
      <c r="W116" s="101">
        <f t="shared" si="11"/>
        <v>24.15625</v>
      </c>
      <c r="X116" s="102">
        <f t="shared" si="12"/>
        <v>3.75</v>
      </c>
      <c r="Y116" s="100">
        <f t="shared" si="13"/>
        <v>3.1383333333333332</v>
      </c>
      <c r="Z116" s="100">
        <f t="shared" si="14"/>
        <v>2152</v>
      </c>
    </row>
    <row r="117" spans="1:26">
      <c r="A117" s="100" t="s">
        <v>72</v>
      </c>
      <c r="B117" s="108" t="str">
        <f>IFERROR(VLOOKUP(Tablo517[[#This Row],[ÜRÜN KODU]],YMKODLARI!$A$1:$K$363,2,0)," ")</f>
        <v>EMZİK ASKISI KISKAÇ DİŞİ</v>
      </c>
      <c r="C117" s="99">
        <v>44041</v>
      </c>
      <c r="D117" s="100" t="s">
        <v>37</v>
      </c>
      <c r="E117" s="101">
        <v>0.33333333333333331</v>
      </c>
      <c r="F117" s="101">
        <v>0.48958333333333331</v>
      </c>
      <c r="G117" s="100">
        <f>IFERROR(VLOOKUP(Tablo517[[#This Row],[ÜRÜN KODU]],YMKODLARI!$A$1:$K$363,3,0)," ")</f>
        <v>4</v>
      </c>
      <c r="H117" s="100">
        <v>21</v>
      </c>
      <c r="I117" s="100">
        <v>538</v>
      </c>
      <c r="J117" s="100" t="str">
        <f>IFERROR(VLOOKUP(Tablo517[[#This Row],[ÜRÜN KODU]],YMKODLARI!$A$1:$K$363,9,0)," ")</f>
        <v>708GN0539G</v>
      </c>
      <c r="K117" s="100" t="str">
        <f>IFERROR(VLOOKUP(Tablo517[[#This Row],[BOYA KODU]],Tablo14[#All],4,0)," ")</f>
        <v>T.YEŞİL</v>
      </c>
      <c r="L117" s="100">
        <f>IFERROR(VLOOKUP(Tablo517[[#This Row],[BOYA KODU]],Tablo14[#All],6,0)," ")</f>
        <v>2E-3</v>
      </c>
      <c r="M117" s="100">
        <f t="shared" si="8"/>
        <v>15.386800000000001</v>
      </c>
      <c r="N117" s="100" t="str">
        <f>IFERROR(VLOOKUP(Tablo517[[#This Row],[ÜRÜN KODU]],YMKODLARI!$A$1:$K$363,8,0)," ")</f>
        <v>HM 002</v>
      </c>
      <c r="O117" s="100" t="str">
        <f>IFERROR(VLOOKUP(Tablo517[[#This Row],[HAMMADDE KODU]],Tablo1[#All],3,0)," ")</f>
        <v>NOVAREX</v>
      </c>
      <c r="P117" s="100" t="str">
        <f>IFERROR(VLOOKUP(Tablo517[[#This Row],[HAMMADDE KODU]],Tablo1[#All],4,0)," ")</f>
        <v>PİNHAS</v>
      </c>
      <c r="Q117" s="100">
        <f>IFERROR(VLOOKUP(Tablo517[[#This Row],[ÜRÜN KODU]],YMKODLARI!$A$1:$K$363,5,0)," ")</f>
        <v>14.3</v>
      </c>
      <c r="R117" s="100">
        <f>IFERROR(VLOOKUP(Tablo517[[#This Row],[ÜRÜN KODU]],YMKODLARI!$A$1:$K$363,6,0)," ")</f>
        <v>11.8</v>
      </c>
      <c r="S117" s="100">
        <f>IFERROR(Tablo517[[#This Row],[YOLLUK HARİÇ BASKI GRAMI]]/Tablo517[[#This Row],[KALIP GÖZ ADEDİ]]," ")</f>
        <v>2.95</v>
      </c>
      <c r="T117" s="100">
        <f t="shared" si="10"/>
        <v>2.5</v>
      </c>
      <c r="U117" s="100">
        <v>3.4</v>
      </c>
      <c r="V117" s="100">
        <f t="shared" si="9"/>
        <v>9.7484000000000002</v>
      </c>
      <c r="W117" s="101">
        <f t="shared" si="11"/>
        <v>24.15625</v>
      </c>
      <c r="X117" s="102">
        <f t="shared" si="12"/>
        <v>3.75</v>
      </c>
      <c r="Y117" s="100">
        <f t="shared" si="13"/>
        <v>3.1383333333333332</v>
      </c>
      <c r="Z117" s="100">
        <f t="shared" si="14"/>
        <v>2152</v>
      </c>
    </row>
    <row r="118" spans="1:26">
      <c r="A118" s="100" t="s">
        <v>102</v>
      </c>
      <c r="B118" s="108" t="str">
        <f>IFERROR(VLOOKUP(Tablo517[[#This Row],[ÜRÜN KODU]],YMKODLARI!$A$1:$K$363,2,0)," ")</f>
        <v>EMZİK ASKISI KISKAÇ ERKEK</v>
      </c>
      <c r="C118" s="99">
        <v>44041</v>
      </c>
      <c r="D118" s="100" t="s">
        <v>37</v>
      </c>
      <c r="E118" s="101">
        <v>0.49305555555555558</v>
      </c>
      <c r="F118" s="101">
        <v>0.72222222222222221</v>
      </c>
      <c r="G118" s="100">
        <f>IFERROR(VLOOKUP(Tablo517[[#This Row],[ÜRÜN KODU]],YMKODLARI!$A$1:$K$363,3,0)," ")</f>
        <v>4</v>
      </c>
      <c r="H118" s="100">
        <v>21</v>
      </c>
      <c r="I118" s="100">
        <v>814</v>
      </c>
      <c r="J118" s="100" t="str">
        <f>IFERROR(VLOOKUP(Tablo517[[#This Row],[ÜRÜN KODU]],YMKODLARI!$A$1:$K$363,9,0)," ")</f>
        <v>708VI0502G</v>
      </c>
      <c r="K118" s="100" t="str">
        <f>IFERROR(VLOOKUP(Tablo517[[#This Row],[BOYA KODU]],Tablo14[#All],4,0)," ")</f>
        <v>T.VİOLET</v>
      </c>
      <c r="L118" s="100">
        <f>IFERROR(VLOOKUP(Tablo517[[#This Row],[BOYA KODU]],Tablo14[#All],6,0)," ")</f>
        <v>2E-3</v>
      </c>
      <c r="M118" s="100">
        <f t="shared" si="8"/>
        <v>20.024400000000004</v>
      </c>
      <c r="N118" s="100" t="str">
        <f>IFERROR(VLOOKUP(Tablo517[[#This Row],[ÜRÜN KODU]],YMKODLARI!$A$1:$K$363,8,0)," ")</f>
        <v>HM 002</v>
      </c>
      <c r="O118" s="100" t="str">
        <f>IFERROR(VLOOKUP(Tablo517[[#This Row],[HAMMADDE KODU]],Tablo1[#All],3,0)," ")</f>
        <v>NOVAREX</v>
      </c>
      <c r="P118" s="100" t="str">
        <f>IFERROR(VLOOKUP(Tablo517[[#This Row],[HAMMADDE KODU]],Tablo1[#All],4,0)," ")</f>
        <v>PİNHAS</v>
      </c>
      <c r="Q118" s="100">
        <f>IFERROR(VLOOKUP(Tablo517[[#This Row],[ÜRÜN KODU]],YMKODLARI!$A$1:$K$363,5,0)," ")</f>
        <v>12.3</v>
      </c>
      <c r="R118" s="100">
        <f>IFERROR(VLOOKUP(Tablo517[[#This Row],[ÜRÜN KODU]],YMKODLARI!$A$1:$K$363,6,0)," ")</f>
        <v>12.3</v>
      </c>
      <c r="S118" s="100">
        <f>IFERROR(Tablo517[[#This Row],[YOLLUK HARİÇ BASKI GRAMI]]/Tablo517[[#This Row],[KALIP GÖZ ADEDİ]]," ")</f>
        <v>3.0750000000000002</v>
      </c>
      <c r="T118" s="100">
        <f t="shared" si="10"/>
        <v>0</v>
      </c>
      <c r="U118" s="100"/>
      <c r="V118" s="100">
        <f t="shared" si="9"/>
        <v>10.0122</v>
      </c>
      <c r="W118" s="101">
        <f t="shared" si="11"/>
        <v>24.229166666666668</v>
      </c>
      <c r="X118" s="102">
        <f t="shared" si="12"/>
        <v>5.5000000000000284</v>
      </c>
      <c r="Y118" s="100">
        <f t="shared" si="13"/>
        <v>4.7483333333333331</v>
      </c>
      <c r="Z118" s="100">
        <f t="shared" si="14"/>
        <v>3256</v>
      </c>
    </row>
    <row r="119" spans="1:26">
      <c r="A119" s="100" t="s">
        <v>103</v>
      </c>
      <c r="B119" s="108" t="str">
        <f>IFERROR(VLOOKUP(Tablo517[[#This Row],[ÜRÜN KODU]],YMKODLARI!$A$1:$K$363,2,0)," ")</f>
        <v>EMZİK ASKISI KISKAÇ DİŞİ</v>
      </c>
      <c r="C119" s="99">
        <v>44041</v>
      </c>
      <c r="D119" s="100" t="s">
        <v>37</v>
      </c>
      <c r="E119" s="101">
        <v>0.49305555555555558</v>
      </c>
      <c r="F119" s="101">
        <v>0.72222222222222221</v>
      </c>
      <c r="G119" s="100">
        <f>IFERROR(VLOOKUP(Tablo517[[#This Row],[ÜRÜN KODU]],YMKODLARI!$A$1:$K$363,3,0)," ")</f>
        <v>4</v>
      </c>
      <c r="H119" s="100">
        <v>21</v>
      </c>
      <c r="I119" s="100">
        <v>814</v>
      </c>
      <c r="J119" s="100" t="str">
        <f>IFERROR(VLOOKUP(Tablo517[[#This Row],[ÜRÜN KODU]],YMKODLARI!$A$1:$K$363,9,0)," ")</f>
        <v>708VI0502G</v>
      </c>
      <c r="K119" s="100" t="str">
        <f>IFERROR(VLOOKUP(Tablo517[[#This Row],[BOYA KODU]],Tablo14[#All],4,0)," ")</f>
        <v>T.VİOLET</v>
      </c>
      <c r="L119" s="100">
        <f>IFERROR(VLOOKUP(Tablo517[[#This Row],[BOYA KODU]],Tablo14[#All],6,0)," ")</f>
        <v>2E-3</v>
      </c>
      <c r="M119" s="100">
        <f t="shared" si="8"/>
        <v>23.2804</v>
      </c>
      <c r="N119" s="100" t="str">
        <f>IFERROR(VLOOKUP(Tablo517[[#This Row],[ÜRÜN KODU]],YMKODLARI!$A$1:$K$363,8,0)," ")</f>
        <v>HM 002</v>
      </c>
      <c r="O119" s="100" t="str">
        <f>IFERROR(VLOOKUP(Tablo517[[#This Row],[HAMMADDE KODU]],Tablo1[#All],3,0)," ")</f>
        <v>NOVAREX</v>
      </c>
      <c r="P119" s="100" t="str">
        <f>IFERROR(VLOOKUP(Tablo517[[#This Row],[HAMMADDE KODU]],Tablo1[#All],4,0)," ")</f>
        <v>PİNHAS</v>
      </c>
      <c r="Q119" s="100">
        <f>IFERROR(VLOOKUP(Tablo517[[#This Row],[ÜRÜN KODU]],YMKODLARI!$A$1:$K$363,5,0)," ")</f>
        <v>14.3</v>
      </c>
      <c r="R119" s="100">
        <f>IFERROR(VLOOKUP(Tablo517[[#This Row],[ÜRÜN KODU]],YMKODLARI!$A$1:$K$363,6,0)," ")</f>
        <v>11.8</v>
      </c>
      <c r="S119" s="100">
        <f>IFERROR(Tablo517[[#This Row],[YOLLUK HARİÇ BASKI GRAMI]]/Tablo517[[#This Row],[KALIP GÖZ ADEDİ]]," ")</f>
        <v>2.95</v>
      </c>
      <c r="T119" s="100">
        <f t="shared" si="10"/>
        <v>2.5</v>
      </c>
      <c r="U119" s="100">
        <v>7</v>
      </c>
      <c r="V119" s="100">
        <f t="shared" si="9"/>
        <v>16.6052</v>
      </c>
      <c r="W119" s="101">
        <f t="shared" si="11"/>
        <v>24.229166666666668</v>
      </c>
      <c r="X119" s="102">
        <f t="shared" si="12"/>
        <v>5.5000000000000284</v>
      </c>
      <c r="Y119" s="100">
        <f t="shared" si="13"/>
        <v>4.7483333333333331</v>
      </c>
      <c r="Z119" s="100">
        <f t="shared" si="14"/>
        <v>3256</v>
      </c>
    </row>
    <row r="120" spans="1:26">
      <c r="A120" s="100" t="s">
        <v>100</v>
      </c>
      <c r="B120" s="108" t="str">
        <f>IFERROR(VLOOKUP(Tablo517[[#This Row],[ÜRÜN KODU]],YMKODLARI!$A$1:$K$363,2,0)," ")</f>
        <v>EMZİK ASKISI KISKAÇ ERKEK</v>
      </c>
      <c r="C120" s="99">
        <v>44047</v>
      </c>
      <c r="D120" s="100" t="s">
        <v>37</v>
      </c>
      <c r="E120" s="101">
        <v>0.52083333333333337</v>
      </c>
      <c r="F120" s="101">
        <v>0.72222222222222221</v>
      </c>
      <c r="G120" s="100">
        <f>IFERROR(VLOOKUP(Tablo517[[#This Row],[ÜRÜN KODU]],YMKODLARI!$A$1:$K$363,3,0)," ")</f>
        <v>4</v>
      </c>
      <c r="H120" s="100">
        <v>21</v>
      </c>
      <c r="I120" s="100">
        <v>815</v>
      </c>
      <c r="J120" s="100" t="str">
        <f>IFERROR(VLOOKUP(Tablo517[[#This Row],[ÜRÜN KODU]],YMKODLARI!$A$1:$K$363,9,0)," ")</f>
        <v>5139C</v>
      </c>
      <c r="K120" s="100" t="str">
        <f>IFERROR(VLOOKUP(Tablo517[[#This Row],[BOYA KODU]],Tablo14[#All],4,0)," ")</f>
        <v>T.MAVİ</v>
      </c>
      <c r="L120" s="100">
        <f>IFERROR(VLOOKUP(Tablo517[[#This Row],[BOYA KODU]],Tablo14[#All],6,0)," ")</f>
        <v>1E-3</v>
      </c>
      <c r="M120" s="100">
        <f t="shared" si="8"/>
        <v>10.0245</v>
      </c>
      <c r="N120" s="100" t="str">
        <f>IFERROR(VLOOKUP(Tablo517[[#This Row],[ÜRÜN KODU]],YMKODLARI!$A$1:$K$363,8,0)," ")</f>
        <v>HM 002</v>
      </c>
      <c r="O120" s="100" t="str">
        <f>IFERROR(VLOOKUP(Tablo517[[#This Row],[HAMMADDE KODU]],Tablo1[#All],3,0)," ")</f>
        <v>NOVAREX</v>
      </c>
      <c r="P120" s="100" t="str">
        <f>IFERROR(VLOOKUP(Tablo517[[#This Row],[HAMMADDE KODU]],Tablo1[#All],4,0)," ")</f>
        <v>PİNHAS</v>
      </c>
      <c r="Q120" s="100">
        <f>IFERROR(VLOOKUP(Tablo517[[#This Row],[ÜRÜN KODU]],YMKODLARI!$A$1:$K$363,5,0)," ")</f>
        <v>12.3</v>
      </c>
      <c r="R120" s="100">
        <f>IFERROR(VLOOKUP(Tablo517[[#This Row],[ÜRÜN KODU]],YMKODLARI!$A$1:$K$363,6,0)," ")</f>
        <v>12.3</v>
      </c>
      <c r="S120" s="100">
        <f>IFERROR(Tablo517[[#This Row],[YOLLUK HARİÇ BASKI GRAMI]]/Tablo517[[#This Row],[KALIP GÖZ ADEDİ]]," ")</f>
        <v>3.0750000000000002</v>
      </c>
      <c r="T120" s="100">
        <f t="shared" si="10"/>
        <v>0</v>
      </c>
      <c r="U120" s="100"/>
      <c r="V120" s="100">
        <f t="shared" si="9"/>
        <v>10.0245</v>
      </c>
      <c r="W120" s="101">
        <f t="shared" si="11"/>
        <v>24.201388888888889</v>
      </c>
      <c r="X120" s="102">
        <f t="shared" si="12"/>
        <v>4.8333333333333428</v>
      </c>
      <c r="Y120" s="100">
        <f t="shared" si="13"/>
        <v>4.7541666666666664</v>
      </c>
      <c r="Z120" s="100">
        <f t="shared" si="14"/>
        <v>3260</v>
      </c>
    </row>
    <row r="121" spans="1:26">
      <c r="A121" s="100" t="s">
        <v>101</v>
      </c>
      <c r="B121" s="108" t="str">
        <f>IFERROR(VLOOKUP(Tablo517[[#This Row],[ÜRÜN KODU]],YMKODLARI!$A$1:$K$363,2,0)," ")</f>
        <v>EMZİK ASKISI KISKAÇ DİŞİ</v>
      </c>
      <c r="C121" s="99">
        <v>44047</v>
      </c>
      <c r="D121" s="100" t="s">
        <v>37</v>
      </c>
      <c r="E121" s="101">
        <v>0.52083333333333337</v>
      </c>
      <c r="F121" s="101">
        <v>0.72222222222222221</v>
      </c>
      <c r="G121" s="100">
        <f>IFERROR(VLOOKUP(Tablo517[[#This Row],[ÜRÜN KODU]],YMKODLARI!$A$1:$K$363,3,0)," ")</f>
        <v>4</v>
      </c>
      <c r="H121" s="100">
        <v>21</v>
      </c>
      <c r="I121" s="100">
        <v>815</v>
      </c>
      <c r="J121" s="100" t="str">
        <f>IFERROR(VLOOKUP(Tablo517[[#This Row],[ÜRÜN KODU]],YMKODLARI!$A$1:$K$363,9,0)," ")</f>
        <v>5139C</v>
      </c>
      <c r="K121" s="100" t="str">
        <f>IFERROR(VLOOKUP(Tablo517[[#This Row],[BOYA KODU]],Tablo14[#All],4,0)," ")</f>
        <v>T.MAVİ</v>
      </c>
      <c r="L121" s="100">
        <f>IFERROR(VLOOKUP(Tablo517[[#This Row],[BOYA KODU]],Tablo14[#All],6,0)," ")</f>
        <v>1E-3</v>
      </c>
      <c r="M121" s="100">
        <f t="shared" si="8"/>
        <v>11.654500000000001</v>
      </c>
      <c r="N121" s="100" t="str">
        <f>IFERROR(VLOOKUP(Tablo517[[#This Row],[ÜRÜN KODU]],YMKODLARI!$A$1:$K$363,8,0)," ")</f>
        <v>HM 002</v>
      </c>
      <c r="O121" s="100" t="str">
        <f>IFERROR(VLOOKUP(Tablo517[[#This Row],[HAMMADDE KODU]],Tablo1[#All],3,0)," ")</f>
        <v>NOVAREX</v>
      </c>
      <c r="P121" s="100" t="str">
        <f>IFERROR(VLOOKUP(Tablo517[[#This Row],[HAMMADDE KODU]],Tablo1[#All],4,0)," ")</f>
        <v>PİNHAS</v>
      </c>
      <c r="Q121" s="100">
        <f>IFERROR(VLOOKUP(Tablo517[[#This Row],[ÜRÜN KODU]],YMKODLARI!$A$1:$K$363,5,0)," ")</f>
        <v>14.3</v>
      </c>
      <c r="R121" s="100">
        <f>IFERROR(VLOOKUP(Tablo517[[#This Row],[ÜRÜN KODU]],YMKODLARI!$A$1:$K$363,6,0)," ")</f>
        <v>11.8</v>
      </c>
      <c r="S121" s="100">
        <f>IFERROR(Tablo517[[#This Row],[YOLLUK HARİÇ BASKI GRAMI]]/Tablo517[[#This Row],[KALIP GÖZ ADEDİ]]," ")</f>
        <v>2.95</v>
      </c>
      <c r="T121" s="100">
        <f t="shared" si="10"/>
        <v>2.5</v>
      </c>
      <c r="U121" s="100"/>
      <c r="V121" s="100">
        <f t="shared" si="9"/>
        <v>9.6170000000000009</v>
      </c>
      <c r="W121" s="101">
        <f t="shared" si="11"/>
        <v>24.201388888888889</v>
      </c>
      <c r="X121" s="102">
        <f t="shared" si="12"/>
        <v>4.8333333333333428</v>
      </c>
      <c r="Y121" s="100">
        <f t="shared" si="13"/>
        <v>4.7541666666666664</v>
      </c>
      <c r="Z121" s="100">
        <f t="shared" si="14"/>
        <v>3260</v>
      </c>
    </row>
    <row r="122" spans="1:26">
      <c r="A122" s="100" t="s">
        <v>104</v>
      </c>
      <c r="B122" s="108" t="str">
        <f>IFERROR(VLOOKUP(Tablo517[[#This Row],[ÜRÜN KODU]],YMKODLARI!$A$1:$K$363,2,0)," ")</f>
        <v>EMZİK ASKISI KISKAÇ ERKEK</v>
      </c>
      <c r="C122" s="99">
        <v>44047</v>
      </c>
      <c r="D122" s="100" t="s">
        <v>37</v>
      </c>
      <c r="E122" s="101">
        <v>0.72777777777777775</v>
      </c>
      <c r="F122" s="101">
        <v>0.75</v>
      </c>
      <c r="G122" s="100">
        <f>IFERROR(VLOOKUP(Tablo517[[#This Row],[ÜRÜN KODU]],YMKODLARI!$A$1:$K$363,3,0)," ")</f>
        <v>4</v>
      </c>
      <c r="H122" s="100">
        <f>IFERROR(VLOOKUP(Tablo517[[#This Row],[ÜRÜN KODU]],YMKODLARI!$A$1:$K$363,4,0)," ")</f>
        <v>25</v>
      </c>
      <c r="I122" s="100">
        <v>75</v>
      </c>
      <c r="J122" s="100">
        <f>IFERROR(VLOOKUP(Tablo517[[#This Row],[ÜRÜN KODU]],YMKODLARI!$A$1:$K$363,9,0)," ")</f>
        <v>5287</v>
      </c>
      <c r="K122" s="100" t="str">
        <f>IFERROR(VLOOKUP(Tablo517[[#This Row],[BOYA KODU]],Tablo14[#All],4,0)," ")</f>
        <v>MAVİ</v>
      </c>
      <c r="L122" s="100">
        <f>IFERROR(VLOOKUP(Tablo517[[#This Row],[BOYA KODU]],Tablo14[#All],6,0)," ")</f>
        <v>5.0000000000000001E-3</v>
      </c>
      <c r="M122" s="100">
        <f t="shared" si="8"/>
        <v>4.6124999999999998</v>
      </c>
      <c r="N122" s="100" t="str">
        <f>IFERROR(VLOOKUP(Tablo517[[#This Row],[ÜRÜN KODU]],YMKODLARI!$A$1:$K$363,8,0)," ")</f>
        <v>HM 002</v>
      </c>
      <c r="O122" s="100" t="str">
        <f>IFERROR(VLOOKUP(Tablo517[[#This Row],[HAMMADDE KODU]],Tablo1[#All],3,0)," ")</f>
        <v>NOVAREX</v>
      </c>
      <c r="P122" s="100" t="str">
        <f>IFERROR(VLOOKUP(Tablo517[[#This Row],[HAMMADDE KODU]],Tablo1[#All],4,0)," ")</f>
        <v>PİNHAS</v>
      </c>
      <c r="Q122" s="100">
        <f>IFERROR(VLOOKUP(Tablo517[[#This Row],[ÜRÜN KODU]],YMKODLARI!$A$1:$K$363,5,0)," ")</f>
        <v>12.3</v>
      </c>
      <c r="R122" s="100">
        <f>IFERROR(VLOOKUP(Tablo517[[#This Row],[ÜRÜN KODU]],YMKODLARI!$A$1:$K$363,6,0)," ")</f>
        <v>12.3</v>
      </c>
      <c r="S122" s="100">
        <f>IFERROR(Tablo517[[#This Row],[YOLLUK HARİÇ BASKI GRAMI]]/Tablo517[[#This Row],[KALIP GÖZ ADEDİ]]," ")</f>
        <v>3.0750000000000002</v>
      </c>
      <c r="T122" s="100">
        <f t="shared" si="10"/>
        <v>0</v>
      </c>
      <c r="U122" s="100">
        <v>3.8</v>
      </c>
      <c r="V122" s="100">
        <f t="shared" si="9"/>
        <v>4.7225000000000001</v>
      </c>
      <c r="W122" s="101">
        <f t="shared" si="11"/>
        <v>24.022222222222222</v>
      </c>
      <c r="X122" s="102">
        <f t="shared" si="12"/>
        <v>0.53333333333333144</v>
      </c>
      <c r="Y122" s="100">
        <f t="shared" si="13"/>
        <v>0.52083333333333337</v>
      </c>
      <c r="Z122" s="100">
        <f t="shared" si="14"/>
        <v>300</v>
      </c>
    </row>
    <row r="123" spans="1:26">
      <c r="A123" s="100" t="s">
        <v>105</v>
      </c>
      <c r="B123" s="108" t="str">
        <f>IFERROR(VLOOKUP(Tablo517[[#This Row],[ÜRÜN KODU]],YMKODLARI!$A$1:$K$363,2,0)," ")</f>
        <v>EMZİK ASKISI KISKAÇ DİŞİ</v>
      </c>
      <c r="C123" s="99">
        <v>44047</v>
      </c>
      <c r="D123" s="100" t="s">
        <v>37</v>
      </c>
      <c r="E123" s="101">
        <v>0.72777777777777775</v>
      </c>
      <c r="F123" s="101">
        <v>0.75</v>
      </c>
      <c r="G123" s="100">
        <f>IFERROR(VLOOKUP(Tablo517[[#This Row],[ÜRÜN KODU]],YMKODLARI!$A$1:$K$363,3,0)," ")</f>
        <v>4</v>
      </c>
      <c r="H123" s="100">
        <f>IFERROR(VLOOKUP(Tablo517[[#This Row],[ÜRÜN KODU]],YMKODLARI!$A$1:$K$363,4,0)," ")</f>
        <v>25</v>
      </c>
      <c r="I123" s="100">
        <v>75</v>
      </c>
      <c r="J123" s="100">
        <f>IFERROR(VLOOKUP(Tablo517[[#This Row],[ÜRÜN KODU]],YMKODLARI!$A$1:$K$363,9,0)," ")</f>
        <v>5287</v>
      </c>
      <c r="K123" s="100" t="str">
        <f>IFERROR(VLOOKUP(Tablo517[[#This Row],[BOYA KODU]],Tablo14[#All],4,0)," ")</f>
        <v>MAVİ</v>
      </c>
      <c r="L123" s="100">
        <f>IFERROR(VLOOKUP(Tablo517[[#This Row],[BOYA KODU]],Tablo14[#All],6,0)," ")</f>
        <v>5.0000000000000001E-3</v>
      </c>
      <c r="M123" s="100">
        <f t="shared" si="8"/>
        <v>5.3624999999999998</v>
      </c>
      <c r="N123" s="100" t="str">
        <f>IFERROR(VLOOKUP(Tablo517[[#This Row],[ÜRÜN KODU]],YMKODLARI!$A$1:$K$363,8,0)," ")</f>
        <v>HM 002</v>
      </c>
      <c r="O123" s="100" t="str">
        <f>IFERROR(VLOOKUP(Tablo517[[#This Row],[HAMMADDE KODU]],Tablo1[#All],3,0)," ")</f>
        <v>NOVAREX</v>
      </c>
      <c r="P123" s="100" t="str">
        <f>IFERROR(VLOOKUP(Tablo517[[#This Row],[HAMMADDE KODU]],Tablo1[#All],4,0)," ")</f>
        <v>PİNHAS</v>
      </c>
      <c r="Q123" s="100">
        <f>IFERROR(VLOOKUP(Tablo517[[#This Row],[ÜRÜN KODU]],YMKODLARI!$A$1:$K$363,5,0)," ")</f>
        <v>14.3</v>
      </c>
      <c r="R123" s="100">
        <f>IFERROR(VLOOKUP(Tablo517[[#This Row],[ÜRÜN KODU]],YMKODLARI!$A$1:$K$363,6,0)," ")</f>
        <v>11.8</v>
      </c>
      <c r="S123" s="100">
        <f>IFERROR(Tablo517[[#This Row],[YOLLUK HARİÇ BASKI GRAMI]]/Tablo517[[#This Row],[KALIP GÖZ ADEDİ]]," ")</f>
        <v>2.95</v>
      </c>
      <c r="T123" s="100">
        <f t="shared" si="10"/>
        <v>2.5</v>
      </c>
      <c r="U123" s="100"/>
      <c r="V123" s="100">
        <f t="shared" si="9"/>
        <v>0.88500000000000001</v>
      </c>
      <c r="W123" s="101">
        <f t="shared" si="11"/>
        <v>24.022222222222222</v>
      </c>
      <c r="X123" s="102">
        <f t="shared" si="12"/>
        <v>0.53333333333333144</v>
      </c>
      <c r="Y123" s="100">
        <f t="shared" si="13"/>
        <v>0.52083333333333337</v>
      </c>
      <c r="Z123" s="100">
        <f t="shared" si="14"/>
        <v>300</v>
      </c>
    </row>
    <row r="124" spans="1:26">
      <c r="A124" s="100" t="s">
        <v>104</v>
      </c>
      <c r="B124" s="108" t="str">
        <f>IFERROR(VLOOKUP(Tablo517[[#This Row],[ÜRÜN KODU]],YMKODLARI!$A$1:$K$363,2,0)," ")</f>
        <v>EMZİK ASKISI KISKAÇ ERKEK</v>
      </c>
      <c r="C124" s="99">
        <v>44048</v>
      </c>
      <c r="D124" s="100" t="s">
        <v>37</v>
      </c>
      <c r="E124" s="101">
        <v>0.33333333333333331</v>
      </c>
      <c r="F124" s="101">
        <v>0.57291666666666663</v>
      </c>
      <c r="G124" s="100">
        <f>IFERROR(VLOOKUP(Tablo517[[#This Row],[ÜRÜN KODU]],YMKODLARI!$A$1:$K$363,3,0)," ")</f>
        <v>4</v>
      </c>
      <c r="H124" s="100">
        <f>IFERROR(VLOOKUP(Tablo517[[#This Row],[ÜRÜN KODU]],YMKODLARI!$A$1:$K$363,4,0)," ")</f>
        <v>25</v>
      </c>
      <c r="I124" s="100">
        <v>860</v>
      </c>
      <c r="J124" s="100">
        <f>IFERROR(VLOOKUP(Tablo517[[#This Row],[ÜRÜN KODU]],YMKODLARI!$A$1:$K$363,9,0)," ")</f>
        <v>5287</v>
      </c>
      <c r="K124" s="100" t="str">
        <f>IFERROR(VLOOKUP(Tablo517[[#This Row],[BOYA KODU]],Tablo14[#All],4,0)," ")</f>
        <v>MAVİ</v>
      </c>
      <c r="L124" s="100">
        <f>IFERROR(VLOOKUP(Tablo517[[#This Row],[BOYA KODU]],Tablo14[#All],6,0)," ")</f>
        <v>5.0000000000000001E-3</v>
      </c>
      <c r="M124" s="100">
        <f t="shared" si="8"/>
        <v>52.89</v>
      </c>
      <c r="N124" s="100" t="str">
        <f>IFERROR(VLOOKUP(Tablo517[[#This Row],[ÜRÜN KODU]],YMKODLARI!$A$1:$K$363,8,0)," ")</f>
        <v>HM 002</v>
      </c>
      <c r="O124" s="100" t="str">
        <f>IFERROR(VLOOKUP(Tablo517[[#This Row],[HAMMADDE KODU]],Tablo1[#All],3,0)," ")</f>
        <v>NOVAREX</v>
      </c>
      <c r="P124" s="100" t="str">
        <f>IFERROR(VLOOKUP(Tablo517[[#This Row],[HAMMADDE KODU]],Tablo1[#All],4,0)," ")</f>
        <v>PİNHAS</v>
      </c>
      <c r="Q124" s="100">
        <f>IFERROR(VLOOKUP(Tablo517[[#This Row],[ÜRÜN KODU]],YMKODLARI!$A$1:$K$363,5,0)," ")</f>
        <v>12.3</v>
      </c>
      <c r="R124" s="100">
        <f>IFERROR(VLOOKUP(Tablo517[[#This Row],[ÜRÜN KODU]],YMKODLARI!$A$1:$K$363,6,0)," ")</f>
        <v>12.3</v>
      </c>
      <c r="S124" s="100">
        <f>IFERROR(Tablo517[[#This Row],[YOLLUK HARİÇ BASKI GRAMI]]/Tablo517[[#This Row],[KALIP GÖZ ADEDİ]]," ")</f>
        <v>3.0750000000000002</v>
      </c>
      <c r="T124" s="100">
        <f t="shared" si="10"/>
        <v>0</v>
      </c>
      <c r="U124" s="100">
        <v>2.7</v>
      </c>
      <c r="V124" s="100">
        <f t="shared" si="9"/>
        <v>13.277999999999999</v>
      </c>
      <c r="W124" s="101">
        <f t="shared" si="11"/>
        <v>24.239583333333332</v>
      </c>
      <c r="X124" s="102">
        <f t="shared" si="12"/>
        <v>5.7499999999999716</v>
      </c>
      <c r="Y124" s="100">
        <f t="shared" si="13"/>
        <v>5.9722222222222223</v>
      </c>
      <c r="Z124" s="100">
        <f t="shared" si="14"/>
        <v>3440</v>
      </c>
    </row>
    <row r="125" spans="1:26">
      <c r="A125" s="100" t="s">
        <v>105</v>
      </c>
      <c r="B125" s="108" t="str">
        <f>IFERROR(VLOOKUP(Tablo517[[#This Row],[ÜRÜN KODU]],YMKODLARI!$A$1:$K$363,2,0)," ")</f>
        <v>EMZİK ASKISI KISKAÇ DİŞİ</v>
      </c>
      <c r="C125" s="99">
        <v>44048</v>
      </c>
      <c r="D125" s="100" t="s">
        <v>37</v>
      </c>
      <c r="E125" s="101">
        <v>0.33333333333333331</v>
      </c>
      <c r="F125" s="101">
        <v>0.57291666666666663</v>
      </c>
      <c r="G125" s="100">
        <f>IFERROR(VLOOKUP(Tablo517[[#This Row],[ÜRÜN KODU]],YMKODLARI!$A$1:$K$363,3,0)," ")</f>
        <v>4</v>
      </c>
      <c r="H125" s="100">
        <f>IFERROR(VLOOKUP(Tablo517[[#This Row],[ÜRÜN KODU]],YMKODLARI!$A$1:$K$363,4,0)," ")</f>
        <v>25</v>
      </c>
      <c r="I125" s="100">
        <v>860</v>
      </c>
      <c r="J125" s="100">
        <f>IFERROR(VLOOKUP(Tablo517[[#This Row],[ÜRÜN KODU]],YMKODLARI!$A$1:$K$363,9,0)," ")</f>
        <v>5287</v>
      </c>
      <c r="K125" s="100" t="str">
        <f>IFERROR(VLOOKUP(Tablo517[[#This Row],[BOYA KODU]],Tablo14[#All],4,0)," ")</f>
        <v>MAVİ</v>
      </c>
      <c r="L125" s="100">
        <f>IFERROR(VLOOKUP(Tablo517[[#This Row],[BOYA KODU]],Tablo14[#All],6,0)," ")</f>
        <v>5.0000000000000001E-3</v>
      </c>
      <c r="M125" s="100">
        <f t="shared" si="8"/>
        <v>61.49</v>
      </c>
      <c r="N125" s="100" t="str">
        <f>IFERROR(VLOOKUP(Tablo517[[#This Row],[ÜRÜN KODU]],YMKODLARI!$A$1:$K$363,8,0)," ")</f>
        <v>HM 002</v>
      </c>
      <c r="O125" s="100" t="str">
        <f>IFERROR(VLOOKUP(Tablo517[[#This Row],[HAMMADDE KODU]],Tablo1[#All],3,0)," ")</f>
        <v>NOVAREX</v>
      </c>
      <c r="P125" s="100" t="str">
        <f>IFERROR(VLOOKUP(Tablo517[[#This Row],[HAMMADDE KODU]],Tablo1[#All],4,0)," ")</f>
        <v>PİNHAS</v>
      </c>
      <c r="Q125" s="100">
        <f>IFERROR(VLOOKUP(Tablo517[[#This Row],[ÜRÜN KODU]],YMKODLARI!$A$1:$K$363,5,0)," ")</f>
        <v>14.3</v>
      </c>
      <c r="R125" s="100">
        <f>IFERROR(VLOOKUP(Tablo517[[#This Row],[ÜRÜN KODU]],YMKODLARI!$A$1:$K$363,6,0)," ")</f>
        <v>11.8</v>
      </c>
      <c r="S125" s="100">
        <f>IFERROR(Tablo517[[#This Row],[YOLLUK HARİÇ BASKI GRAMI]]/Tablo517[[#This Row],[KALIP GÖZ ADEDİ]]," ")</f>
        <v>2.95</v>
      </c>
      <c r="T125" s="100">
        <f t="shared" si="10"/>
        <v>2.5</v>
      </c>
      <c r="U125" s="100"/>
      <c r="V125" s="100">
        <f t="shared" si="9"/>
        <v>10.148</v>
      </c>
      <c r="W125" s="101">
        <f t="shared" si="11"/>
        <v>24.239583333333332</v>
      </c>
      <c r="X125" s="102">
        <f t="shared" si="12"/>
        <v>5.7499999999999716</v>
      </c>
      <c r="Y125" s="100">
        <f t="shared" si="13"/>
        <v>5.9722222222222223</v>
      </c>
      <c r="Z125" s="100">
        <f t="shared" si="14"/>
        <v>3440</v>
      </c>
    </row>
    <row r="126" spans="1:26">
      <c r="A126" s="100" t="s">
        <v>106</v>
      </c>
      <c r="B126" s="108" t="str">
        <f>IFERROR(VLOOKUP(Tablo517[[#This Row],[ÜRÜN KODU]],YMKODLARI!$A$1:$K$363,2,0)," ")</f>
        <v>EMZİK ASKISI KISKAÇ ERKEK</v>
      </c>
      <c r="C126" s="99">
        <v>44048</v>
      </c>
      <c r="D126" s="100" t="s">
        <v>37</v>
      </c>
      <c r="E126" s="101">
        <v>0.57291666666666663</v>
      </c>
      <c r="F126" s="101">
        <v>0.75</v>
      </c>
      <c r="G126" s="100">
        <f>IFERROR(VLOOKUP(Tablo517[[#This Row],[ÜRÜN KODU]],YMKODLARI!$A$1:$K$363,3,0)," ")</f>
        <v>4</v>
      </c>
      <c r="H126" s="100">
        <f>IFERROR(VLOOKUP(Tablo517[[#This Row],[ÜRÜN KODU]],YMKODLARI!$A$1:$K$363,4,0)," ")</f>
        <v>25</v>
      </c>
      <c r="I126" s="100">
        <v>737</v>
      </c>
      <c r="J126" s="100">
        <f>IFERROR(VLOOKUP(Tablo517[[#This Row],[ÜRÜN KODU]],YMKODLARI!$A$1:$K$363,9,0)," ")</f>
        <v>3409</v>
      </c>
      <c r="K126" s="100" t="str">
        <f>IFERROR(VLOOKUP(Tablo517[[#This Row],[BOYA KODU]],Tablo14[#All],4,0)," ")</f>
        <v>PEMBE</v>
      </c>
      <c r="L126" s="100">
        <f>IFERROR(VLOOKUP(Tablo517[[#This Row],[BOYA KODU]],Tablo14[#All],6,0)," ")</f>
        <v>5.0000000000000001E-3</v>
      </c>
      <c r="M126" s="100">
        <f t="shared" si="8"/>
        <v>45.325500000000005</v>
      </c>
      <c r="N126" s="100" t="str">
        <f>IFERROR(VLOOKUP(Tablo517[[#This Row],[ÜRÜN KODU]],YMKODLARI!$A$1:$K$363,8,0)," ")</f>
        <v>HM 002</v>
      </c>
      <c r="O126" s="100" t="str">
        <f>IFERROR(VLOOKUP(Tablo517[[#This Row],[HAMMADDE KODU]],Tablo1[#All],3,0)," ")</f>
        <v>NOVAREX</v>
      </c>
      <c r="P126" s="100" t="str">
        <f>IFERROR(VLOOKUP(Tablo517[[#This Row],[HAMMADDE KODU]],Tablo1[#All],4,0)," ")</f>
        <v>PİNHAS</v>
      </c>
      <c r="Q126" s="100">
        <f>IFERROR(VLOOKUP(Tablo517[[#This Row],[ÜRÜN KODU]],YMKODLARI!$A$1:$K$363,5,0)," ")</f>
        <v>12.3</v>
      </c>
      <c r="R126" s="100">
        <f>IFERROR(VLOOKUP(Tablo517[[#This Row],[ÜRÜN KODU]],YMKODLARI!$A$1:$K$363,6,0)," ")</f>
        <v>12.3</v>
      </c>
      <c r="S126" s="100">
        <f>IFERROR(Tablo517[[#This Row],[YOLLUK HARİÇ BASKI GRAMI]]/Tablo517[[#This Row],[KALIP GÖZ ADEDİ]]," ")</f>
        <v>3.0750000000000002</v>
      </c>
      <c r="T126" s="100">
        <f t="shared" si="10"/>
        <v>0</v>
      </c>
      <c r="U126" s="100">
        <v>4.0999999999999996</v>
      </c>
      <c r="V126" s="100">
        <f t="shared" si="9"/>
        <v>13.165100000000001</v>
      </c>
      <c r="W126" s="101">
        <f t="shared" si="11"/>
        <v>24.177083333333332</v>
      </c>
      <c r="X126" s="102">
        <f t="shared" si="12"/>
        <v>4.2499999999999716</v>
      </c>
      <c r="Y126" s="100">
        <f t="shared" si="13"/>
        <v>5.1180555555555554</v>
      </c>
      <c r="Z126" s="100">
        <f t="shared" si="14"/>
        <v>2948</v>
      </c>
    </row>
    <row r="127" spans="1:26">
      <c r="A127" s="100" t="s">
        <v>107</v>
      </c>
      <c r="B127" s="108" t="str">
        <f>IFERROR(VLOOKUP(Tablo517[[#This Row],[ÜRÜN KODU]],YMKODLARI!$A$1:$K$363,2,0)," ")</f>
        <v>EMZİK ASKISI KISKAÇ DİŞİ</v>
      </c>
      <c r="C127" s="99">
        <v>44048</v>
      </c>
      <c r="D127" s="100" t="s">
        <v>37</v>
      </c>
      <c r="E127" s="101">
        <v>0.57291666666666663</v>
      </c>
      <c r="F127" s="101">
        <v>0.75</v>
      </c>
      <c r="G127" s="100">
        <f>IFERROR(VLOOKUP(Tablo517[[#This Row],[ÜRÜN KODU]],YMKODLARI!$A$1:$K$363,3,0)," ")</f>
        <v>4</v>
      </c>
      <c r="H127" s="100">
        <f>IFERROR(VLOOKUP(Tablo517[[#This Row],[ÜRÜN KODU]],YMKODLARI!$A$1:$K$363,4,0)," ")</f>
        <v>25</v>
      </c>
      <c r="I127" s="100">
        <v>737</v>
      </c>
      <c r="J127" s="100">
        <f>IFERROR(VLOOKUP(Tablo517[[#This Row],[ÜRÜN KODU]],YMKODLARI!$A$1:$K$363,9,0)," ")</f>
        <v>3409</v>
      </c>
      <c r="K127" s="100" t="str">
        <f>IFERROR(VLOOKUP(Tablo517[[#This Row],[BOYA KODU]],Tablo14[#All],4,0)," ")</f>
        <v>PEMBE</v>
      </c>
      <c r="L127" s="100">
        <f>IFERROR(VLOOKUP(Tablo517[[#This Row],[BOYA KODU]],Tablo14[#All],6,0)," ")</f>
        <v>5.0000000000000001E-3</v>
      </c>
      <c r="M127" s="100">
        <f t="shared" si="8"/>
        <v>52.695500000000003</v>
      </c>
      <c r="N127" s="100" t="str">
        <f>IFERROR(VLOOKUP(Tablo517[[#This Row],[ÜRÜN KODU]],YMKODLARI!$A$1:$K$363,8,0)," ")</f>
        <v>HM 002</v>
      </c>
      <c r="O127" s="100" t="str">
        <f>IFERROR(VLOOKUP(Tablo517[[#This Row],[HAMMADDE KODU]],Tablo1[#All],3,0)," ")</f>
        <v>NOVAREX</v>
      </c>
      <c r="P127" s="100" t="str">
        <f>IFERROR(VLOOKUP(Tablo517[[#This Row],[HAMMADDE KODU]],Tablo1[#All],4,0)," ")</f>
        <v>PİNHAS</v>
      </c>
      <c r="Q127" s="100">
        <f>IFERROR(VLOOKUP(Tablo517[[#This Row],[ÜRÜN KODU]],YMKODLARI!$A$1:$K$363,5,0)," ")</f>
        <v>14.3</v>
      </c>
      <c r="R127" s="100">
        <f>IFERROR(VLOOKUP(Tablo517[[#This Row],[ÜRÜN KODU]],YMKODLARI!$A$1:$K$363,6,0)," ")</f>
        <v>11.8</v>
      </c>
      <c r="S127" s="100">
        <f>IFERROR(Tablo517[[#This Row],[YOLLUK HARİÇ BASKI GRAMI]]/Tablo517[[#This Row],[KALIP GÖZ ADEDİ]]," ")</f>
        <v>2.95</v>
      </c>
      <c r="T127" s="100">
        <f t="shared" si="10"/>
        <v>2.5</v>
      </c>
      <c r="U127" s="100"/>
      <c r="V127" s="100">
        <f t="shared" si="9"/>
        <v>8.6966000000000001</v>
      </c>
      <c r="W127" s="101">
        <f t="shared" si="11"/>
        <v>24.177083333333332</v>
      </c>
      <c r="X127" s="102">
        <f t="shared" si="12"/>
        <v>4.2499999999999716</v>
      </c>
      <c r="Y127" s="100">
        <f t="shared" si="13"/>
        <v>5.1180555555555554</v>
      </c>
      <c r="Z127" s="100">
        <f t="shared" si="14"/>
        <v>2948</v>
      </c>
    </row>
    <row r="128" spans="1:26">
      <c r="A128" s="100" t="s">
        <v>106</v>
      </c>
      <c r="B128" s="108" t="str">
        <f>IFERROR(VLOOKUP(Tablo517[[#This Row],[ÜRÜN KODU]],YMKODLARI!$A$1:$K$363,2,0)," ")</f>
        <v>EMZİK ASKISI KISKAÇ ERKEK</v>
      </c>
      <c r="C128" s="99">
        <v>44049</v>
      </c>
      <c r="D128" s="100" t="s">
        <v>37</v>
      </c>
      <c r="E128" s="101">
        <v>0.33333333333333331</v>
      </c>
      <c r="F128" s="101">
        <v>0.4513888888888889</v>
      </c>
      <c r="G128" s="100">
        <f>IFERROR(VLOOKUP(Tablo517[[#This Row],[ÜRÜN KODU]],YMKODLARI!$A$1:$K$363,3,0)," ")</f>
        <v>4</v>
      </c>
      <c r="H128" s="100">
        <f>IFERROR(VLOOKUP(Tablo517[[#This Row],[ÜRÜN KODU]],YMKODLARI!$A$1:$K$363,4,0)," ")</f>
        <v>25</v>
      </c>
      <c r="I128" s="100">
        <v>484</v>
      </c>
      <c r="J128" s="100">
        <f>IFERROR(VLOOKUP(Tablo517[[#This Row],[ÜRÜN KODU]],YMKODLARI!$A$1:$K$363,9,0)," ")</f>
        <v>3409</v>
      </c>
      <c r="K128" s="100" t="str">
        <f>IFERROR(VLOOKUP(Tablo517[[#This Row],[BOYA KODU]],Tablo14[#All],4,0)," ")</f>
        <v>PEMBE</v>
      </c>
      <c r="L128" s="100">
        <f>IFERROR(VLOOKUP(Tablo517[[#This Row],[BOYA KODU]],Tablo14[#All],6,0)," ")</f>
        <v>5.0000000000000001E-3</v>
      </c>
      <c r="M128" s="100">
        <f t="shared" si="8"/>
        <v>29.766000000000005</v>
      </c>
      <c r="N128" s="100" t="str">
        <f>IFERROR(VLOOKUP(Tablo517[[#This Row],[ÜRÜN KODU]],YMKODLARI!$A$1:$K$363,8,0)," ")</f>
        <v>HM 002</v>
      </c>
      <c r="O128" s="100" t="str">
        <f>IFERROR(VLOOKUP(Tablo517[[#This Row],[HAMMADDE KODU]],Tablo1[#All],3,0)," ")</f>
        <v>NOVAREX</v>
      </c>
      <c r="P128" s="100" t="str">
        <f>IFERROR(VLOOKUP(Tablo517[[#This Row],[HAMMADDE KODU]],Tablo1[#All],4,0)," ")</f>
        <v>PİNHAS</v>
      </c>
      <c r="Q128" s="100">
        <f>IFERROR(VLOOKUP(Tablo517[[#This Row],[ÜRÜN KODU]],YMKODLARI!$A$1:$K$363,5,0)," ")</f>
        <v>12.3</v>
      </c>
      <c r="R128" s="100">
        <f>IFERROR(VLOOKUP(Tablo517[[#This Row],[ÜRÜN KODU]],YMKODLARI!$A$1:$K$363,6,0)," ")</f>
        <v>12.3</v>
      </c>
      <c r="S128" s="100">
        <f>IFERROR(Tablo517[[#This Row],[YOLLUK HARİÇ BASKI GRAMI]]/Tablo517[[#This Row],[KALIP GÖZ ADEDİ]]," ")</f>
        <v>3.0750000000000002</v>
      </c>
      <c r="T128" s="100">
        <f t="shared" si="10"/>
        <v>0</v>
      </c>
      <c r="U128" s="100">
        <v>4.9000000000000004</v>
      </c>
      <c r="V128" s="100">
        <f t="shared" si="9"/>
        <v>10.853200000000001</v>
      </c>
      <c r="W128" s="101">
        <f t="shared" si="11"/>
        <v>24.118055555555557</v>
      </c>
      <c r="X128" s="102">
        <f t="shared" si="12"/>
        <v>2.8333333333333712</v>
      </c>
      <c r="Y128" s="100">
        <f t="shared" si="13"/>
        <v>3.3611111111111112</v>
      </c>
      <c r="Z128" s="100">
        <f t="shared" si="14"/>
        <v>1936</v>
      </c>
    </row>
    <row r="129" spans="1:26">
      <c r="A129" s="100" t="s">
        <v>107</v>
      </c>
      <c r="B129" s="108" t="str">
        <f>IFERROR(VLOOKUP(Tablo517[[#This Row],[ÜRÜN KODU]],YMKODLARI!$A$1:$K$363,2,0)," ")</f>
        <v>EMZİK ASKISI KISKAÇ DİŞİ</v>
      </c>
      <c r="C129" s="99">
        <v>44049</v>
      </c>
      <c r="D129" s="100" t="s">
        <v>37</v>
      </c>
      <c r="E129" s="101">
        <v>0.33333333333333331</v>
      </c>
      <c r="F129" s="101">
        <v>0.4513888888888889</v>
      </c>
      <c r="G129" s="100">
        <f>IFERROR(VLOOKUP(Tablo517[[#This Row],[ÜRÜN KODU]],YMKODLARI!$A$1:$K$363,3,0)," ")</f>
        <v>4</v>
      </c>
      <c r="H129" s="100">
        <f>IFERROR(VLOOKUP(Tablo517[[#This Row],[ÜRÜN KODU]],YMKODLARI!$A$1:$K$363,4,0)," ")</f>
        <v>25</v>
      </c>
      <c r="I129" s="100">
        <v>484</v>
      </c>
      <c r="J129" s="100">
        <f>IFERROR(VLOOKUP(Tablo517[[#This Row],[ÜRÜN KODU]],YMKODLARI!$A$1:$K$363,9,0)," ")</f>
        <v>3409</v>
      </c>
      <c r="K129" s="100" t="str">
        <f>IFERROR(VLOOKUP(Tablo517[[#This Row],[BOYA KODU]],Tablo14[#All],4,0)," ")</f>
        <v>PEMBE</v>
      </c>
      <c r="L129" s="100">
        <f>IFERROR(VLOOKUP(Tablo517[[#This Row],[BOYA KODU]],Tablo14[#All],6,0)," ")</f>
        <v>5.0000000000000001E-3</v>
      </c>
      <c r="M129" s="100">
        <f t="shared" si="8"/>
        <v>34.606000000000002</v>
      </c>
      <c r="N129" s="100" t="str">
        <f>IFERROR(VLOOKUP(Tablo517[[#This Row],[ÜRÜN KODU]],YMKODLARI!$A$1:$K$363,8,0)," ")</f>
        <v>HM 002</v>
      </c>
      <c r="O129" s="100" t="str">
        <f>IFERROR(VLOOKUP(Tablo517[[#This Row],[HAMMADDE KODU]],Tablo1[#All],3,0)," ")</f>
        <v>NOVAREX</v>
      </c>
      <c r="P129" s="100" t="str">
        <f>IFERROR(VLOOKUP(Tablo517[[#This Row],[HAMMADDE KODU]],Tablo1[#All],4,0)," ")</f>
        <v>PİNHAS</v>
      </c>
      <c r="Q129" s="100">
        <f>IFERROR(VLOOKUP(Tablo517[[#This Row],[ÜRÜN KODU]],YMKODLARI!$A$1:$K$363,5,0)," ")</f>
        <v>14.3</v>
      </c>
      <c r="R129" s="100">
        <f>IFERROR(VLOOKUP(Tablo517[[#This Row],[ÜRÜN KODU]],YMKODLARI!$A$1:$K$363,6,0)," ")</f>
        <v>11.8</v>
      </c>
      <c r="S129" s="100">
        <f>IFERROR(Tablo517[[#This Row],[YOLLUK HARİÇ BASKI GRAMI]]/Tablo517[[#This Row],[KALIP GÖZ ADEDİ]]," ")</f>
        <v>2.95</v>
      </c>
      <c r="T129" s="100">
        <f t="shared" si="10"/>
        <v>2.5</v>
      </c>
      <c r="U129" s="100"/>
      <c r="V129" s="100">
        <f t="shared" si="9"/>
        <v>5.7112000000000007</v>
      </c>
      <c r="W129" s="101">
        <f t="shared" si="11"/>
        <v>24.118055555555557</v>
      </c>
      <c r="X129" s="102">
        <f t="shared" si="12"/>
        <v>2.8333333333333712</v>
      </c>
      <c r="Y129" s="100">
        <f t="shared" si="13"/>
        <v>3.3611111111111112</v>
      </c>
      <c r="Z129" s="100">
        <f t="shared" si="14"/>
        <v>1936</v>
      </c>
    </row>
    <row r="130" spans="1:26">
      <c r="A130" s="100" t="s">
        <v>108</v>
      </c>
      <c r="B130" s="108" t="str">
        <f>IFERROR(VLOOKUP(Tablo517[[#This Row],[ÜRÜN KODU]],YMKODLARI!$A$1:$K$363,2,0)," ")</f>
        <v>EMZİK ASKISI KISKAÇ ERKEK</v>
      </c>
      <c r="C130" s="99">
        <v>44049</v>
      </c>
      <c r="D130" s="100" t="s">
        <v>37</v>
      </c>
      <c r="E130" s="101">
        <v>0.4513888888888889</v>
      </c>
      <c r="F130" s="101">
        <v>0.68055555555555547</v>
      </c>
      <c r="G130" s="100">
        <f>IFERROR(VLOOKUP(Tablo517[[#This Row],[ÜRÜN KODU]],YMKODLARI!$A$1:$K$363,3,0)," ")</f>
        <v>4</v>
      </c>
      <c r="H130" s="100">
        <f>IFERROR(VLOOKUP(Tablo517[[#This Row],[ÜRÜN KODU]],YMKODLARI!$A$1:$K$363,4,0)," ")</f>
        <v>25</v>
      </c>
      <c r="I130" s="100">
        <v>811</v>
      </c>
      <c r="J130" s="100">
        <f>IFERROR(VLOOKUP(Tablo517[[#This Row],[ÜRÜN KODU]],YMKODLARI!$A$1:$K$363,9,0)," ")</f>
        <v>4090</v>
      </c>
      <c r="K130" s="100" t="str">
        <f>IFERROR(VLOOKUP(Tablo517[[#This Row],[BOYA KODU]],Tablo14[#All],4,0)," ")</f>
        <v>LİLA</v>
      </c>
      <c r="L130" s="100">
        <f>IFERROR(VLOOKUP(Tablo517[[#This Row],[BOYA KODU]],Tablo14[#All],6,0)," ")</f>
        <v>5.0000000000000001E-3</v>
      </c>
      <c r="M130" s="100">
        <f t="shared" ref="M130:M193" si="15">IFERROR((I130*Q130)*L130," ")</f>
        <v>49.876500000000007</v>
      </c>
      <c r="N130" s="100" t="str">
        <f>IFERROR(VLOOKUP(Tablo517[[#This Row],[ÜRÜN KODU]],YMKODLARI!$A$1:$K$363,8,0)," ")</f>
        <v>HM 002</v>
      </c>
      <c r="O130" s="100" t="str">
        <f>IFERROR(VLOOKUP(Tablo517[[#This Row],[HAMMADDE KODU]],Tablo1[#All],3,0)," ")</f>
        <v>NOVAREX</v>
      </c>
      <c r="P130" s="100" t="str">
        <f>IFERROR(VLOOKUP(Tablo517[[#This Row],[HAMMADDE KODU]],Tablo1[#All],4,0)," ")</f>
        <v>PİNHAS</v>
      </c>
      <c r="Q130" s="100">
        <f>IFERROR(VLOOKUP(Tablo517[[#This Row],[ÜRÜN KODU]],YMKODLARI!$A$1:$K$363,5,0)," ")</f>
        <v>12.3</v>
      </c>
      <c r="R130" s="100">
        <f>IFERROR(VLOOKUP(Tablo517[[#This Row],[ÜRÜN KODU]],YMKODLARI!$A$1:$K$363,6,0)," ")</f>
        <v>12.3</v>
      </c>
      <c r="S130" s="100">
        <f>IFERROR(Tablo517[[#This Row],[YOLLUK HARİÇ BASKI GRAMI]]/Tablo517[[#This Row],[KALIP GÖZ ADEDİ]]," ")</f>
        <v>3.0750000000000002</v>
      </c>
      <c r="T130" s="100">
        <f t="shared" si="10"/>
        <v>0</v>
      </c>
      <c r="U130" s="100">
        <v>2.8</v>
      </c>
      <c r="V130" s="100">
        <f t="shared" ref="V130:V193" si="16">IFERROR(U130+(R130*I130) /1000," ")</f>
        <v>12.775300000000001</v>
      </c>
      <c r="W130" s="101">
        <f t="shared" si="11"/>
        <v>24.229166666666668</v>
      </c>
      <c r="X130" s="102">
        <f t="shared" si="12"/>
        <v>5.5000000000000284</v>
      </c>
      <c r="Y130" s="100">
        <f t="shared" si="13"/>
        <v>5.6319444444444446</v>
      </c>
      <c r="Z130" s="100">
        <f t="shared" si="14"/>
        <v>3244</v>
      </c>
    </row>
    <row r="131" spans="1:26">
      <c r="A131" s="100" t="s">
        <v>109</v>
      </c>
      <c r="B131" s="108" t="str">
        <f>IFERROR(VLOOKUP(Tablo517[[#This Row],[ÜRÜN KODU]],YMKODLARI!$A$1:$K$363,2,0)," ")</f>
        <v>EMZİK ASKISI KISKAÇ DİŞİ</v>
      </c>
      <c r="C131" s="99">
        <v>44049</v>
      </c>
      <c r="D131" s="100" t="s">
        <v>37</v>
      </c>
      <c r="E131" s="101">
        <v>0.4513888888888889</v>
      </c>
      <c r="F131" s="101">
        <v>0.68055555555555547</v>
      </c>
      <c r="G131" s="100">
        <f>IFERROR(VLOOKUP(Tablo517[[#This Row],[ÜRÜN KODU]],YMKODLARI!$A$1:$K$363,3,0)," ")</f>
        <v>4</v>
      </c>
      <c r="H131" s="100">
        <f>IFERROR(VLOOKUP(Tablo517[[#This Row],[ÜRÜN KODU]],YMKODLARI!$A$1:$K$363,4,0)," ")</f>
        <v>25</v>
      </c>
      <c r="I131" s="100">
        <v>811</v>
      </c>
      <c r="J131" s="100">
        <f>IFERROR(VLOOKUP(Tablo517[[#This Row],[ÜRÜN KODU]],YMKODLARI!$A$1:$K$363,9,0)," ")</f>
        <v>4090</v>
      </c>
      <c r="K131" s="100" t="str">
        <f>IFERROR(VLOOKUP(Tablo517[[#This Row],[BOYA KODU]],Tablo14[#All],4,0)," ")</f>
        <v>LİLA</v>
      </c>
      <c r="L131" s="100">
        <f>IFERROR(VLOOKUP(Tablo517[[#This Row],[BOYA KODU]],Tablo14[#All],6,0)," ")</f>
        <v>5.0000000000000001E-3</v>
      </c>
      <c r="M131" s="100">
        <f t="shared" si="15"/>
        <v>57.986500000000007</v>
      </c>
      <c r="N131" s="100" t="str">
        <f>IFERROR(VLOOKUP(Tablo517[[#This Row],[ÜRÜN KODU]],YMKODLARI!$A$1:$K$363,8,0)," ")</f>
        <v>HM 002</v>
      </c>
      <c r="O131" s="100" t="str">
        <f>IFERROR(VLOOKUP(Tablo517[[#This Row],[HAMMADDE KODU]],Tablo1[#All],3,0)," ")</f>
        <v>NOVAREX</v>
      </c>
      <c r="P131" s="100" t="str">
        <f>IFERROR(VLOOKUP(Tablo517[[#This Row],[HAMMADDE KODU]],Tablo1[#All],4,0)," ")</f>
        <v>PİNHAS</v>
      </c>
      <c r="Q131" s="100">
        <f>IFERROR(VLOOKUP(Tablo517[[#This Row],[ÜRÜN KODU]],YMKODLARI!$A$1:$K$363,5,0)," ")</f>
        <v>14.3</v>
      </c>
      <c r="R131" s="100">
        <f>IFERROR(VLOOKUP(Tablo517[[#This Row],[ÜRÜN KODU]],YMKODLARI!$A$1:$K$363,6,0)," ")</f>
        <v>11.8</v>
      </c>
      <c r="S131" s="100">
        <f>IFERROR(Tablo517[[#This Row],[YOLLUK HARİÇ BASKI GRAMI]]/Tablo517[[#This Row],[KALIP GÖZ ADEDİ]]," ")</f>
        <v>2.95</v>
      </c>
      <c r="T131" s="100">
        <f t="shared" ref="T131:T194" si="17">IFERROR(Q131-R131," ")</f>
        <v>2.5</v>
      </c>
      <c r="U131" s="100"/>
      <c r="V131" s="100">
        <f t="shared" si="16"/>
        <v>9.5698000000000008</v>
      </c>
      <c r="W131" s="101">
        <f t="shared" ref="W131:W194" si="18">IFERROR(24-(E131-F131)," ")</f>
        <v>24.229166666666668</v>
      </c>
      <c r="X131" s="102">
        <f t="shared" ref="X131:X194" si="19">IFERROR((W131-INT(W131))*24," ")</f>
        <v>5.5000000000000284</v>
      </c>
      <c r="Y131" s="100">
        <f t="shared" ref="Y131:Y194" si="20">IFERROR(H131*I131/3600," ")</f>
        <v>5.6319444444444446</v>
      </c>
      <c r="Z131" s="100">
        <f t="shared" ref="Z131:Z194" si="21">IFERROR(I131*G131," " )</f>
        <v>3244</v>
      </c>
    </row>
    <row r="132" spans="1:26">
      <c r="A132" s="100" t="s">
        <v>110</v>
      </c>
      <c r="B132" s="108" t="str">
        <f>IFERROR(VLOOKUP(Tablo517[[#This Row],[ÜRÜN KODU]],YMKODLARI!$A$1:$K$363,2,0)," ")</f>
        <v>EMZİK ASKISI KISKAÇ ERKEK</v>
      </c>
      <c r="C132" s="99">
        <v>44049</v>
      </c>
      <c r="D132" s="100" t="s">
        <v>37</v>
      </c>
      <c r="E132" s="101">
        <v>0.68055555555555547</v>
      </c>
      <c r="F132" s="101">
        <v>0.75</v>
      </c>
      <c r="G132" s="100">
        <f>IFERROR(VLOOKUP(Tablo517[[#This Row],[ÜRÜN KODU]],YMKODLARI!$A$1:$K$363,3,0)," ")</f>
        <v>4</v>
      </c>
      <c r="H132" s="100">
        <f>IFERROR(VLOOKUP(Tablo517[[#This Row],[ÜRÜN KODU]],YMKODLARI!$A$1:$K$363,4,0)," ")</f>
        <v>25</v>
      </c>
      <c r="I132" s="100">
        <v>283</v>
      </c>
      <c r="J132" s="100">
        <f>IFERROR(VLOOKUP(Tablo517[[#This Row],[ÜRÜN KODU]],YMKODLARI!$A$1:$K$363,9,0)," ")</f>
        <v>3041</v>
      </c>
      <c r="K132" s="100" t="str">
        <f>IFERROR(VLOOKUP(Tablo517[[#This Row],[BOYA KODU]],Tablo14[#All],4,0)," ")</f>
        <v>KIRMIZI</v>
      </c>
      <c r="L132" s="100">
        <f>IFERROR(VLOOKUP(Tablo517[[#This Row],[BOYA KODU]],Tablo14[#All],6,0)," ")</f>
        <v>5.0000000000000001E-3</v>
      </c>
      <c r="M132" s="100">
        <f t="shared" si="15"/>
        <v>17.404500000000002</v>
      </c>
      <c r="N132" s="100" t="str">
        <f>IFERROR(VLOOKUP(Tablo517[[#This Row],[ÜRÜN KODU]],YMKODLARI!$A$1:$K$363,8,0)," ")</f>
        <v>HM 002</v>
      </c>
      <c r="O132" s="100" t="str">
        <f>IFERROR(VLOOKUP(Tablo517[[#This Row],[HAMMADDE KODU]],Tablo1[#All],3,0)," ")</f>
        <v>NOVAREX</v>
      </c>
      <c r="P132" s="100" t="str">
        <f>IFERROR(VLOOKUP(Tablo517[[#This Row],[HAMMADDE KODU]],Tablo1[#All],4,0)," ")</f>
        <v>PİNHAS</v>
      </c>
      <c r="Q132" s="100">
        <f>IFERROR(VLOOKUP(Tablo517[[#This Row],[ÜRÜN KODU]],YMKODLARI!$A$1:$K$363,5,0)," ")</f>
        <v>12.3</v>
      </c>
      <c r="R132" s="100">
        <f>IFERROR(VLOOKUP(Tablo517[[#This Row],[ÜRÜN KODU]],YMKODLARI!$A$1:$K$363,6,0)," ")</f>
        <v>12.3</v>
      </c>
      <c r="S132" s="100">
        <f>IFERROR(Tablo517[[#This Row],[YOLLUK HARİÇ BASKI GRAMI]]/Tablo517[[#This Row],[KALIP GÖZ ADEDİ]]," ")</f>
        <v>3.0750000000000002</v>
      </c>
      <c r="T132" s="100">
        <f t="shared" si="17"/>
        <v>0</v>
      </c>
      <c r="U132" s="100"/>
      <c r="V132" s="100">
        <f t="shared" si="16"/>
        <v>3.4809000000000001</v>
      </c>
      <c r="W132" s="101">
        <f t="shared" si="18"/>
        <v>24.069444444444443</v>
      </c>
      <c r="X132" s="102">
        <f t="shared" si="19"/>
        <v>1.6666666666666288</v>
      </c>
      <c r="Y132" s="100">
        <f t="shared" si="20"/>
        <v>1.9652777777777777</v>
      </c>
      <c r="Z132" s="100">
        <f t="shared" si="21"/>
        <v>1132</v>
      </c>
    </row>
    <row r="133" spans="1:26">
      <c r="A133" s="100" t="s">
        <v>111</v>
      </c>
      <c r="B133" s="108" t="str">
        <f>IFERROR(VLOOKUP(Tablo517[[#This Row],[ÜRÜN KODU]],YMKODLARI!$A$1:$K$363,2,0)," ")</f>
        <v>EMZİK ASKISI KISKAÇ DİŞİ</v>
      </c>
      <c r="C133" s="99">
        <v>44049</v>
      </c>
      <c r="D133" s="100" t="s">
        <v>37</v>
      </c>
      <c r="E133" s="101">
        <v>0.68055555555555547</v>
      </c>
      <c r="F133" s="101">
        <v>0.75</v>
      </c>
      <c r="G133" s="100">
        <f>IFERROR(VLOOKUP(Tablo517[[#This Row],[ÜRÜN KODU]],YMKODLARI!$A$1:$K$363,3,0)," ")</f>
        <v>4</v>
      </c>
      <c r="H133" s="100">
        <f>IFERROR(VLOOKUP(Tablo517[[#This Row],[ÜRÜN KODU]],YMKODLARI!$A$1:$K$363,4,0)," ")</f>
        <v>25</v>
      </c>
      <c r="I133" s="100">
        <v>283</v>
      </c>
      <c r="J133" s="100">
        <f>IFERROR(VLOOKUP(Tablo517[[#This Row],[ÜRÜN KODU]],YMKODLARI!$A$1:$K$363,9,0)," ")</f>
        <v>3041</v>
      </c>
      <c r="K133" s="100" t="str">
        <f>IFERROR(VLOOKUP(Tablo517[[#This Row],[BOYA KODU]],Tablo14[#All],4,0)," ")</f>
        <v>KIRMIZI</v>
      </c>
      <c r="L133" s="100">
        <f>IFERROR(VLOOKUP(Tablo517[[#This Row],[BOYA KODU]],Tablo14[#All],6,0)," ")</f>
        <v>5.0000000000000001E-3</v>
      </c>
      <c r="M133" s="100">
        <f t="shared" si="15"/>
        <v>20.234500000000001</v>
      </c>
      <c r="N133" s="100" t="str">
        <f>IFERROR(VLOOKUP(Tablo517[[#This Row],[ÜRÜN KODU]],YMKODLARI!$A$1:$K$363,8,0)," ")</f>
        <v>HM 002</v>
      </c>
      <c r="O133" s="100" t="str">
        <f>IFERROR(VLOOKUP(Tablo517[[#This Row],[HAMMADDE KODU]],Tablo1[#All],3,0)," ")</f>
        <v>NOVAREX</v>
      </c>
      <c r="P133" s="100" t="str">
        <f>IFERROR(VLOOKUP(Tablo517[[#This Row],[HAMMADDE KODU]],Tablo1[#All],4,0)," ")</f>
        <v>PİNHAS</v>
      </c>
      <c r="Q133" s="100">
        <f>IFERROR(VLOOKUP(Tablo517[[#This Row],[ÜRÜN KODU]],YMKODLARI!$A$1:$K$363,5,0)," ")</f>
        <v>14.3</v>
      </c>
      <c r="R133" s="100">
        <f>IFERROR(VLOOKUP(Tablo517[[#This Row],[ÜRÜN KODU]],YMKODLARI!$A$1:$K$363,6,0)," ")</f>
        <v>11.8</v>
      </c>
      <c r="S133" s="100">
        <f>IFERROR(Tablo517[[#This Row],[YOLLUK HARİÇ BASKI GRAMI]]/Tablo517[[#This Row],[KALIP GÖZ ADEDİ]]," ")</f>
        <v>2.95</v>
      </c>
      <c r="T133" s="100">
        <f t="shared" si="17"/>
        <v>2.5</v>
      </c>
      <c r="U133" s="100"/>
      <c r="V133" s="100">
        <f t="shared" si="16"/>
        <v>3.3393999999999999</v>
      </c>
      <c r="W133" s="101">
        <f t="shared" si="18"/>
        <v>24.069444444444443</v>
      </c>
      <c r="X133" s="102">
        <f t="shared" si="19"/>
        <v>1.6666666666666288</v>
      </c>
      <c r="Y133" s="100">
        <f t="shared" si="20"/>
        <v>1.9652777777777777</v>
      </c>
      <c r="Z133" s="100">
        <f t="shared" si="21"/>
        <v>1132</v>
      </c>
    </row>
    <row r="134" spans="1:26">
      <c r="A134" s="100" t="s">
        <v>110</v>
      </c>
      <c r="B134" s="108" t="str">
        <f>IFERROR(VLOOKUP(Tablo517[[#This Row],[ÜRÜN KODU]],YMKODLARI!$A$1:$K$363,2,0)," ")</f>
        <v>EMZİK ASKISI KISKAÇ ERKEK</v>
      </c>
      <c r="C134" s="99">
        <v>44050</v>
      </c>
      <c r="D134" s="100" t="s">
        <v>37</v>
      </c>
      <c r="E134" s="101">
        <v>0.33333333333333331</v>
      </c>
      <c r="F134" s="101">
        <v>0.45833333333333331</v>
      </c>
      <c r="G134" s="100">
        <f>IFERROR(VLOOKUP(Tablo517[[#This Row],[ÜRÜN KODU]],YMKODLARI!$A$1:$K$363,3,0)," ")</f>
        <v>4</v>
      </c>
      <c r="H134" s="100">
        <f>IFERROR(VLOOKUP(Tablo517[[#This Row],[ÜRÜN KODU]],YMKODLARI!$A$1:$K$363,4,0)," ")</f>
        <v>25</v>
      </c>
      <c r="I134" s="100">
        <v>526</v>
      </c>
      <c r="J134" s="100">
        <f>IFERROR(VLOOKUP(Tablo517[[#This Row],[ÜRÜN KODU]],YMKODLARI!$A$1:$K$363,9,0)," ")</f>
        <v>3041</v>
      </c>
      <c r="K134" s="100" t="str">
        <f>IFERROR(VLOOKUP(Tablo517[[#This Row],[BOYA KODU]],Tablo14[#All],4,0)," ")</f>
        <v>KIRMIZI</v>
      </c>
      <c r="L134" s="100">
        <f>IFERROR(VLOOKUP(Tablo517[[#This Row],[BOYA KODU]],Tablo14[#All],6,0)," ")</f>
        <v>5.0000000000000001E-3</v>
      </c>
      <c r="M134" s="100">
        <f t="shared" si="15"/>
        <v>32.349000000000004</v>
      </c>
      <c r="N134" s="100" t="str">
        <f>IFERROR(VLOOKUP(Tablo517[[#This Row],[ÜRÜN KODU]],YMKODLARI!$A$1:$K$363,8,0)," ")</f>
        <v>HM 002</v>
      </c>
      <c r="O134" s="100" t="str">
        <f>IFERROR(VLOOKUP(Tablo517[[#This Row],[HAMMADDE KODU]],Tablo1[#All],3,0)," ")</f>
        <v>NOVAREX</v>
      </c>
      <c r="P134" s="100" t="str">
        <f>IFERROR(VLOOKUP(Tablo517[[#This Row],[HAMMADDE KODU]],Tablo1[#All],4,0)," ")</f>
        <v>PİNHAS</v>
      </c>
      <c r="Q134" s="100">
        <f>IFERROR(VLOOKUP(Tablo517[[#This Row],[ÜRÜN KODU]],YMKODLARI!$A$1:$K$363,5,0)," ")</f>
        <v>12.3</v>
      </c>
      <c r="R134" s="100">
        <f>IFERROR(VLOOKUP(Tablo517[[#This Row],[ÜRÜN KODU]],YMKODLARI!$A$1:$K$363,6,0)," ")</f>
        <v>12.3</v>
      </c>
      <c r="S134" s="100">
        <f>IFERROR(Tablo517[[#This Row],[YOLLUK HARİÇ BASKI GRAMI]]/Tablo517[[#This Row],[KALIP GÖZ ADEDİ]]," ")</f>
        <v>3.0750000000000002</v>
      </c>
      <c r="T134" s="100">
        <f t="shared" si="17"/>
        <v>0</v>
      </c>
      <c r="U134" s="100"/>
      <c r="V134" s="100">
        <f t="shared" si="16"/>
        <v>6.4698000000000002</v>
      </c>
      <c r="W134" s="101">
        <f t="shared" si="18"/>
        <v>24.125</v>
      </c>
      <c r="X134" s="102">
        <f t="shared" si="19"/>
        <v>3</v>
      </c>
      <c r="Y134" s="100">
        <f t="shared" si="20"/>
        <v>3.6527777777777777</v>
      </c>
      <c r="Z134" s="100">
        <f t="shared" si="21"/>
        <v>2104</v>
      </c>
    </row>
    <row r="135" spans="1:26">
      <c r="A135" s="100" t="s">
        <v>110</v>
      </c>
      <c r="B135" s="108" t="str">
        <f>IFERROR(VLOOKUP(Tablo517[[#This Row],[ÜRÜN KODU]],YMKODLARI!$A$1:$K$363,2,0)," ")</f>
        <v>EMZİK ASKISI KISKAÇ ERKEK</v>
      </c>
      <c r="C135" s="99">
        <v>44050</v>
      </c>
      <c r="D135" s="100" t="s">
        <v>37</v>
      </c>
      <c r="E135" s="101">
        <v>0.33333333333333331</v>
      </c>
      <c r="F135" s="101">
        <v>0.45833333333333331</v>
      </c>
      <c r="G135" s="100">
        <f>IFERROR(VLOOKUP(Tablo517[[#This Row],[ÜRÜN KODU]],YMKODLARI!$A$1:$K$363,3,0)," ")</f>
        <v>4</v>
      </c>
      <c r="H135" s="100">
        <f>IFERROR(VLOOKUP(Tablo517[[#This Row],[ÜRÜN KODU]],YMKODLARI!$A$1:$K$363,4,0)," ")</f>
        <v>25</v>
      </c>
      <c r="I135" s="100">
        <v>526</v>
      </c>
      <c r="J135" s="100">
        <f>IFERROR(VLOOKUP(Tablo517[[#This Row],[ÜRÜN KODU]],YMKODLARI!$A$1:$K$363,9,0)," ")</f>
        <v>3041</v>
      </c>
      <c r="K135" s="100" t="str">
        <f>IFERROR(VLOOKUP(Tablo517[[#This Row],[BOYA KODU]],Tablo14[#All],4,0)," ")</f>
        <v>KIRMIZI</v>
      </c>
      <c r="L135" s="100">
        <f>IFERROR(VLOOKUP(Tablo517[[#This Row],[BOYA KODU]],Tablo14[#All],6,0)," ")</f>
        <v>5.0000000000000001E-3</v>
      </c>
      <c r="M135" s="100">
        <f t="shared" si="15"/>
        <v>32.349000000000004</v>
      </c>
      <c r="N135" s="100" t="str">
        <f>IFERROR(VLOOKUP(Tablo517[[#This Row],[ÜRÜN KODU]],YMKODLARI!$A$1:$K$363,8,0)," ")</f>
        <v>HM 002</v>
      </c>
      <c r="O135" s="100" t="str">
        <f>IFERROR(VLOOKUP(Tablo517[[#This Row],[HAMMADDE KODU]],Tablo1[#All],3,0)," ")</f>
        <v>NOVAREX</v>
      </c>
      <c r="P135" s="100" t="str">
        <f>IFERROR(VLOOKUP(Tablo517[[#This Row],[HAMMADDE KODU]],Tablo1[#All],4,0)," ")</f>
        <v>PİNHAS</v>
      </c>
      <c r="Q135" s="100">
        <f>IFERROR(VLOOKUP(Tablo517[[#This Row],[ÜRÜN KODU]],YMKODLARI!$A$1:$K$363,5,0)," ")</f>
        <v>12.3</v>
      </c>
      <c r="R135" s="100">
        <f>IFERROR(VLOOKUP(Tablo517[[#This Row],[ÜRÜN KODU]],YMKODLARI!$A$1:$K$363,6,0)," ")</f>
        <v>12.3</v>
      </c>
      <c r="S135" s="100">
        <f>IFERROR(Tablo517[[#This Row],[YOLLUK HARİÇ BASKI GRAMI]]/Tablo517[[#This Row],[KALIP GÖZ ADEDİ]]," ")</f>
        <v>3.0750000000000002</v>
      </c>
      <c r="T135" s="100">
        <f t="shared" si="17"/>
        <v>0</v>
      </c>
      <c r="U135" s="100"/>
      <c r="V135" s="100">
        <f t="shared" si="16"/>
        <v>6.4698000000000002</v>
      </c>
      <c r="W135" s="101">
        <f t="shared" si="18"/>
        <v>24.125</v>
      </c>
      <c r="X135" s="102">
        <f t="shared" si="19"/>
        <v>3</v>
      </c>
      <c r="Y135" s="100">
        <f t="shared" si="20"/>
        <v>3.6527777777777777</v>
      </c>
      <c r="Z135" s="100">
        <f t="shared" si="21"/>
        <v>2104</v>
      </c>
    </row>
    <row r="136" spans="1:26">
      <c r="A136" s="100" t="s">
        <v>112</v>
      </c>
      <c r="B136" s="108" t="str">
        <f>IFERROR(VLOOKUP(Tablo517[[#This Row],[ÜRÜN KODU]],YMKODLARI!$A$1:$K$363,2,0)," ")</f>
        <v>EMZİK ASKISI KANCA</v>
      </c>
      <c r="C136" s="99">
        <v>44054</v>
      </c>
      <c r="D136" s="100" t="s">
        <v>33</v>
      </c>
      <c r="E136" s="101">
        <v>0.625</v>
      </c>
      <c r="F136" s="101">
        <v>0.75</v>
      </c>
      <c r="G136" s="100">
        <f>IFERROR(VLOOKUP(Tablo517[[#This Row],[ÜRÜN KODU]],YMKODLARI!$A$1:$K$363,3,0)," ")</f>
        <v>8</v>
      </c>
      <c r="H136" s="100">
        <f>IFERROR(VLOOKUP(Tablo517[[#This Row],[ÜRÜN KODU]],YMKODLARI!$A$1:$K$363,4,0)," ")</f>
        <v>12</v>
      </c>
      <c r="I136" s="100">
        <v>1488</v>
      </c>
      <c r="J136" s="100" t="s">
        <v>113</v>
      </c>
      <c r="K136" s="100" t="str">
        <f>IFERROR(VLOOKUP(Tablo517[[#This Row],[BOYA KODU]],Tablo14[#All],4,0)," ")</f>
        <v xml:space="preserve"> </v>
      </c>
      <c r="L136" s="100" t="str">
        <f>IFERROR(VLOOKUP(Tablo517[[#This Row],[BOYA KODU]],Tablo14[#All],6,0)," ")</f>
        <v xml:space="preserve"> </v>
      </c>
      <c r="M136" s="100" t="str">
        <f t="shared" si="15"/>
        <v xml:space="preserve"> </v>
      </c>
      <c r="N136" s="100" t="s">
        <v>114</v>
      </c>
      <c r="O136" s="100" t="str">
        <f>IFERROR(VLOOKUP(Tablo517[[#This Row],[HAMMADDE KODU]],Tablo1[#All],3,0)," ")</f>
        <v>KIRMA PP</v>
      </c>
      <c r="P136" s="100" t="str">
        <f>IFERROR(VLOOKUP(Tablo517[[#This Row],[HAMMADDE KODU]],Tablo1[#All],4,0)," ")</f>
        <v>KIRMA</v>
      </c>
      <c r="Q136" s="100">
        <f>IFERROR(VLOOKUP(Tablo517[[#This Row],[ÜRÜN KODU]],YMKODLARI!$A$1:$K$363,5,0)," ")</f>
        <v>0</v>
      </c>
      <c r="R136" s="100">
        <f>IFERROR(VLOOKUP(Tablo517[[#This Row],[ÜRÜN KODU]],YMKODLARI!$A$1:$K$363,6,0)," ")</f>
        <v>0</v>
      </c>
      <c r="S136" s="100">
        <f>IFERROR(Tablo517[[#This Row],[YOLLUK HARİÇ BASKI GRAMI]]/Tablo517[[#This Row],[KALIP GÖZ ADEDİ]]," ")</f>
        <v>0</v>
      </c>
      <c r="T136" s="100">
        <f t="shared" si="17"/>
        <v>0</v>
      </c>
      <c r="U136" s="100">
        <v>1.3</v>
      </c>
      <c r="V136" s="100">
        <f t="shared" si="16"/>
        <v>1.3</v>
      </c>
      <c r="W136" s="101">
        <f t="shared" si="18"/>
        <v>24.125</v>
      </c>
      <c r="X136" s="102">
        <f t="shared" si="19"/>
        <v>3</v>
      </c>
      <c r="Y136" s="100">
        <f t="shared" si="20"/>
        <v>4.96</v>
      </c>
      <c r="Z136" s="100">
        <f t="shared" si="21"/>
        <v>11904</v>
      </c>
    </row>
    <row r="137" spans="1:26">
      <c r="A137" s="100" t="s">
        <v>112</v>
      </c>
      <c r="B137" s="108" t="str">
        <f>IFERROR(VLOOKUP(Tablo517[[#This Row],[ÜRÜN KODU]],YMKODLARI!$A$1:$K$363,2,0)," ")</f>
        <v>EMZİK ASKISI KANCA</v>
      </c>
      <c r="C137" s="99">
        <v>44055</v>
      </c>
      <c r="D137" s="100" t="s">
        <v>33</v>
      </c>
      <c r="E137" s="101">
        <v>0.36805555555555558</v>
      </c>
      <c r="F137" s="101">
        <v>0.375</v>
      </c>
      <c r="G137" s="100">
        <f>IFERROR(VLOOKUP(Tablo517[[#This Row],[ÜRÜN KODU]],YMKODLARI!$A$1:$K$363,3,0)," ")</f>
        <v>8</v>
      </c>
      <c r="H137" s="100">
        <f>IFERROR(VLOOKUP(Tablo517[[#This Row],[ÜRÜN KODU]],YMKODLARI!$A$1:$K$363,4,0)," ")</f>
        <v>12</v>
      </c>
      <c r="I137" s="100">
        <v>95</v>
      </c>
      <c r="J137" s="100" t="s">
        <v>113</v>
      </c>
      <c r="K137" s="100" t="str">
        <f>IFERROR(VLOOKUP(Tablo517[[#This Row],[BOYA KODU]],Tablo14[#All],4,0)," ")</f>
        <v xml:space="preserve"> </v>
      </c>
      <c r="L137" s="100" t="str">
        <f>IFERROR(VLOOKUP(Tablo517[[#This Row],[BOYA KODU]],Tablo14[#All],6,0)," ")</f>
        <v xml:space="preserve"> </v>
      </c>
      <c r="M137" s="100" t="str">
        <f t="shared" si="15"/>
        <v xml:space="preserve"> </v>
      </c>
      <c r="N137" s="100" t="s">
        <v>114</v>
      </c>
      <c r="O137" s="100" t="str">
        <f>IFERROR(VLOOKUP(Tablo517[[#This Row],[HAMMADDE KODU]],Tablo1[#All],3,0)," ")</f>
        <v>KIRMA PP</v>
      </c>
      <c r="P137" s="100" t="str">
        <f>IFERROR(VLOOKUP(Tablo517[[#This Row],[HAMMADDE KODU]],Tablo1[#All],4,0)," ")</f>
        <v>KIRMA</v>
      </c>
      <c r="Q137" s="100">
        <f>IFERROR(VLOOKUP(Tablo517[[#This Row],[ÜRÜN KODU]],YMKODLARI!$A$1:$K$363,5,0)," ")</f>
        <v>0</v>
      </c>
      <c r="R137" s="100">
        <f>IFERROR(VLOOKUP(Tablo517[[#This Row],[ÜRÜN KODU]],YMKODLARI!$A$1:$K$363,6,0)," ")</f>
        <v>0</v>
      </c>
      <c r="S137" s="100">
        <f>IFERROR(Tablo517[[#This Row],[YOLLUK HARİÇ BASKI GRAMI]]/Tablo517[[#This Row],[KALIP GÖZ ADEDİ]]," ")</f>
        <v>0</v>
      </c>
      <c r="T137" s="100">
        <f t="shared" si="17"/>
        <v>0</v>
      </c>
      <c r="U137" s="100">
        <v>0.2</v>
      </c>
      <c r="V137" s="100">
        <f t="shared" si="16"/>
        <v>0.2</v>
      </c>
      <c r="W137" s="101">
        <f t="shared" si="18"/>
        <v>24.006944444444443</v>
      </c>
      <c r="X137" s="102">
        <f t="shared" si="19"/>
        <v>0.16666666666662877</v>
      </c>
      <c r="Y137" s="100">
        <f t="shared" si="20"/>
        <v>0.31666666666666665</v>
      </c>
      <c r="Z137" s="100">
        <f t="shared" si="21"/>
        <v>760</v>
      </c>
    </row>
    <row r="138" spans="1:26">
      <c r="A138" s="100" t="s">
        <v>115</v>
      </c>
      <c r="B138" s="108" t="str">
        <f>IFERROR(VLOOKUP(Tablo517[[#This Row],[ÜRÜN KODU]],YMKODLARI!$A$1:$K$363,2,0)," ")</f>
        <v>EMZİK ASKISI MANDAL</v>
      </c>
      <c r="C138" s="99">
        <v>44055</v>
      </c>
      <c r="D138" s="100" t="s">
        <v>33</v>
      </c>
      <c r="E138" s="101">
        <v>0.46527777777777773</v>
      </c>
      <c r="F138" s="101">
        <v>0.51041666666666663</v>
      </c>
      <c r="G138" s="100">
        <f>IFERROR(VLOOKUP(Tablo517[[#This Row],[ÜRÜN KODU]],YMKODLARI!$A$1:$K$363,3,0)," ")</f>
        <v>8</v>
      </c>
      <c r="H138" s="100">
        <f>IFERROR(VLOOKUP(Tablo517[[#This Row],[ÜRÜN KODU]],YMKODLARI!$A$1:$K$363,4,0)," ")</f>
        <v>10</v>
      </c>
      <c r="I138" s="100">
        <v>662</v>
      </c>
      <c r="J138" s="100" t="s">
        <v>113</v>
      </c>
      <c r="K138" s="100" t="str">
        <f>IFERROR(VLOOKUP(Tablo517[[#This Row],[BOYA KODU]],Tablo14[#All],4,0)," ")</f>
        <v xml:space="preserve"> </v>
      </c>
      <c r="L138" s="100" t="str">
        <f>IFERROR(VLOOKUP(Tablo517[[#This Row],[BOYA KODU]],Tablo14[#All],6,0)," ")</f>
        <v xml:space="preserve"> </v>
      </c>
      <c r="M138" s="100" t="str">
        <f t="shared" si="15"/>
        <v xml:space="preserve"> </v>
      </c>
      <c r="N138" s="100" t="s">
        <v>114</v>
      </c>
      <c r="O138" s="100" t="str">
        <f>IFERROR(VLOOKUP(Tablo517[[#This Row],[HAMMADDE KODU]],Tablo1[#All],3,0)," ")</f>
        <v>KIRMA PP</v>
      </c>
      <c r="P138" s="100" t="str">
        <f>IFERROR(VLOOKUP(Tablo517[[#This Row],[HAMMADDE KODU]],Tablo1[#All],4,0)," ")</f>
        <v>KIRMA</v>
      </c>
      <c r="Q138" s="100">
        <f>IFERROR(VLOOKUP(Tablo517[[#This Row],[ÜRÜN KODU]],YMKODLARI!$A$1:$K$363,5,0)," ")</f>
        <v>8.4</v>
      </c>
      <c r="R138" s="100">
        <f>IFERROR(VLOOKUP(Tablo517[[#This Row],[ÜRÜN KODU]],YMKODLARI!$A$1:$K$363,6,0)," ")</f>
        <v>5.8</v>
      </c>
      <c r="S138" s="100">
        <f>IFERROR(Tablo517[[#This Row],[YOLLUK HARİÇ BASKI GRAMI]]/Tablo517[[#This Row],[KALIP GÖZ ADEDİ]]," ")</f>
        <v>0.72499999999999998</v>
      </c>
      <c r="T138" s="100">
        <f t="shared" si="17"/>
        <v>2.6000000000000005</v>
      </c>
      <c r="U138" s="100">
        <v>1.7</v>
      </c>
      <c r="V138" s="100">
        <f t="shared" si="16"/>
        <v>5.5396000000000001</v>
      </c>
      <c r="W138" s="101">
        <f t="shared" si="18"/>
        <v>24.045138888888889</v>
      </c>
      <c r="X138" s="102">
        <f t="shared" si="19"/>
        <v>1.0833333333333428</v>
      </c>
      <c r="Y138" s="100">
        <f t="shared" si="20"/>
        <v>1.8388888888888888</v>
      </c>
      <c r="Z138" s="100">
        <f t="shared" si="21"/>
        <v>5296</v>
      </c>
    </row>
    <row r="139" spans="1:26">
      <c r="A139" s="100" t="s">
        <v>55</v>
      </c>
      <c r="B139" s="108" t="str">
        <f>IFERROR(VLOOKUP(Tablo517[[#This Row],[ÜRÜN KODU]],YMKODLARI!$A$1:$K$363,2,0)," ")</f>
        <v>BİBERON SEYAHAT TIPASI</v>
      </c>
      <c r="C139" s="99">
        <v>44056</v>
      </c>
      <c r="D139" s="100" t="s">
        <v>33</v>
      </c>
      <c r="E139" s="101">
        <v>0.63541666666666663</v>
      </c>
      <c r="F139" s="101">
        <v>0.75</v>
      </c>
      <c r="G139" s="100">
        <f>IFERROR(VLOOKUP(Tablo517[[#This Row],[ÜRÜN KODU]],YMKODLARI!$A$1:$K$363,3,0)," ")</f>
        <v>8</v>
      </c>
      <c r="H139" s="100">
        <f>IFERROR(VLOOKUP(Tablo517[[#This Row],[ÜRÜN KODU]],YMKODLARI!$A$1:$K$363,4,0)," ")</f>
        <v>15</v>
      </c>
      <c r="I139" s="100">
        <v>584</v>
      </c>
      <c r="J139" s="100" t="s">
        <v>113</v>
      </c>
      <c r="K139" s="100" t="str">
        <f>IFERROR(VLOOKUP(Tablo517[[#This Row],[BOYA KODU]],Tablo14[#All],4,0)," ")</f>
        <v xml:space="preserve"> </v>
      </c>
      <c r="L139" s="100" t="str">
        <f>IFERROR(VLOOKUP(Tablo517[[#This Row],[BOYA KODU]],Tablo14[#All],6,0)," ")</f>
        <v xml:space="preserve"> </v>
      </c>
      <c r="M139" s="100" t="str">
        <f t="shared" si="15"/>
        <v xml:space="preserve"> </v>
      </c>
      <c r="N139" s="100" t="str">
        <f>IFERROR(VLOOKUP(Tablo517[[#This Row],[ÜRÜN KODU]],YMKODLARI!$A$1:$K$363,8,0)," ")</f>
        <v>HM 010</v>
      </c>
      <c r="O139" s="100" t="str">
        <f>IFERROR(VLOOKUP(Tablo517[[#This Row],[HAMMADDE KODU]],Tablo1[#All],3,0)," ")</f>
        <v>KIRMA PP</v>
      </c>
      <c r="P139" s="100" t="str">
        <f>IFERROR(VLOOKUP(Tablo517[[#This Row],[HAMMADDE KODU]],Tablo1[#All],4,0)," ")</f>
        <v>KIRMA</v>
      </c>
      <c r="Q139" s="100">
        <f>IFERROR(VLOOKUP(Tablo517[[#This Row],[ÜRÜN KODU]],YMKODLARI!$A$1:$K$363,5,0)," ")</f>
        <v>13</v>
      </c>
      <c r="R139" s="100">
        <f>IFERROR(VLOOKUP(Tablo517[[#This Row],[ÜRÜN KODU]],YMKODLARI!$A$1:$K$363,6,0)," ")</f>
        <v>10.7</v>
      </c>
      <c r="S139" s="100">
        <f>IFERROR(Tablo517[[#This Row],[YOLLUK HARİÇ BASKI GRAMI]]/Tablo517[[#This Row],[KALIP GÖZ ADEDİ]]," ")</f>
        <v>1.3374999999999999</v>
      </c>
      <c r="T139" s="100">
        <f t="shared" si="17"/>
        <v>2.3000000000000007</v>
      </c>
      <c r="U139" s="100"/>
      <c r="V139" s="100">
        <f t="shared" si="16"/>
        <v>6.2487999999999992</v>
      </c>
      <c r="W139" s="101">
        <f t="shared" si="18"/>
        <v>24.114583333333332</v>
      </c>
      <c r="X139" s="102">
        <f t="shared" si="19"/>
        <v>2.7499999999999716</v>
      </c>
      <c r="Y139" s="100">
        <f t="shared" si="20"/>
        <v>2.4333333333333331</v>
      </c>
      <c r="Z139" s="100">
        <f t="shared" si="21"/>
        <v>4672</v>
      </c>
    </row>
    <row r="140" spans="1:26">
      <c r="A140" s="100" t="s">
        <v>55</v>
      </c>
      <c r="B140" s="108" t="str">
        <f>IFERROR(VLOOKUP(Tablo517[[#This Row],[ÜRÜN KODU]],YMKODLARI!$A$1:$K$363,2,0)," ")</f>
        <v>BİBERON SEYAHAT TIPASI</v>
      </c>
      <c r="C140" s="99">
        <v>44057</v>
      </c>
      <c r="D140" s="100" t="s">
        <v>36</v>
      </c>
      <c r="E140" s="101">
        <v>0.33333333333333331</v>
      </c>
      <c r="F140" s="101">
        <v>0.72916666666666663</v>
      </c>
      <c r="G140" s="100">
        <f>IFERROR(VLOOKUP(Tablo517[[#This Row],[ÜRÜN KODU]],YMKODLARI!$A$1:$K$363,3,0)," ")</f>
        <v>8</v>
      </c>
      <c r="H140" s="100">
        <f>IFERROR(VLOOKUP(Tablo517[[#This Row],[ÜRÜN KODU]],YMKODLARI!$A$1:$K$363,4,0)," ")</f>
        <v>15</v>
      </c>
      <c r="I140" s="100">
        <v>1780</v>
      </c>
      <c r="J140" s="100" t="s">
        <v>113</v>
      </c>
      <c r="K140" s="100" t="str">
        <f>IFERROR(VLOOKUP(Tablo517[[#This Row],[BOYA KODU]],Tablo14[#All],4,0)," ")</f>
        <v xml:space="preserve"> </v>
      </c>
      <c r="L140" s="100" t="str">
        <f>IFERROR(VLOOKUP(Tablo517[[#This Row],[BOYA KODU]],Tablo14[#All],6,0)," ")</f>
        <v xml:space="preserve"> </v>
      </c>
      <c r="M140" s="100" t="str">
        <f t="shared" si="15"/>
        <v xml:space="preserve"> </v>
      </c>
      <c r="N140" s="100" t="str">
        <f>IFERROR(VLOOKUP(Tablo517[[#This Row],[ÜRÜN KODU]],YMKODLARI!$A$1:$K$363,8,0)," ")</f>
        <v>HM 010</v>
      </c>
      <c r="O140" s="100" t="str">
        <f>IFERROR(VLOOKUP(Tablo517[[#This Row],[HAMMADDE KODU]],Tablo1[#All],3,0)," ")</f>
        <v>KIRMA PP</v>
      </c>
      <c r="P140" s="100" t="str">
        <f>IFERROR(VLOOKUP(Tablo517[[#This Row],[HAMMADDE KODU]],Tablo1[#All],4,0)," ")</f>
        <v>KIRMA</v>
      </c>
      <c r="Q140" s="100">
        <f>IFERROR(VLOOKUP(Tablo517[[#This Row],[ÜRÜN KODU]],YMKODLARI!$A$1:$K$363,5,0)," ")</f>
        <v>13</v>
      </c>
      <c r="R140" s="100">
        <f>IFERROR(VLOOKUP(Tablo517[[#This Row],[ÜRÜN KODU]],YMKODLARI!$A$1:$K$363,6,0)," ")</f>
        <v>10.7</v>
      </c>
      <c r="S140" s="100">
        <f>IFERROR(Tablo517[[#This Row],[YOLLUK HARİÇ BASKI GRAMI]]/Tablo517[[#This Row],[KALIP GÖZ ADEDİ]]," ")</f>
        <v>1.3374999999999999</v>
      </c>
      <c r="T140" s="100">
        <f t="shared" si="17"/>
        <v>2.3000000000000007</v>
      </c>
      <c r="U140" s="100"/>
      <c r="V140" s="100">
        <f t="shared" si="16"/>
        <v>19.045999999999999</v>
      </c>
      <c r="W140" s="101">
        <f t="shared" si="18"/>
        <v>24.395833333333332</v>
      </c>
      <c r="X140" s="102">
        <f t="shared" si="19"/>
        <v>9.4999999999999716</v>
      </c>
      <c r="Y140" s="100">
        <f t="shared" si="20"/>
        <v>7.416666666666667</v>
      </c>
      <c r="Z140" s="100">
        <f t="shared" si="21"/>
        <v>14240</v>
      </c>
    </row>
    <row r="141" spans="1:26">
      <c r="A141" s="100" t="s">
        <v>55</v>
      </c>
      <c r="B141" s="108" t="str">
        <f>IFERROR(VLOOKUP(Tablo517[[#This Row],[ÜRÜN KODU]],YMKODLARI!$A$1:$K$363,2,0)," ")</f>
        <v>BİBERON SEYAHAT TIPASI</v>
      </c>
      <c r="C141" s="99">
        <v>44060</v>
      </c>
      <c r="D141" s="100" t="s">
        <v>36</v>
      </c>
      <c r="E141" s="101">
        <v>0.33333333333333331</v>
      </c>
      <c r="F141" s="101">
        <v>0.48958333333333331</v>
      </c>
      <c r="G141" s="100">
        <f>IFERROR(VLOOKUP(Tablo517[[#This Row],[ÜRÜN KODU]],YMKODLARI!$A$1:$K$363,3,0)," ")</f>
        <v>8</v>
      </c>
      <c r="H141" s="100">
        <f>IFERROR(VLOOKUP(Tablo517[[#This Row],[ÜRÜN KODU]],YMKODLARI!$A$1:$K$363,4,0)," ")</f>
        <v>15</v>
      </c>
      <c r="I141" s="100">
        <v>912</v>
      </c>
      <c r="J141" s="100" t="s">
        <v>113</v>
      </c>
      <c r="K141" s="100" t="str">
        <f>IFERROR(VLOOKUP(Tablo517[[#This Row],[BOYA KODU]],Tablo14[#All],4,0)," ")</f>
        <v xml:space="preserve"> </v>
      </c>
      <c r="L141" s="100" t="str">
        <f>IFERROR(VLOOKUP(Tablo517[[#This Row],[BOYA KODU]],Tablo14[#All],6,0)," ")</f>
        <v xml:space="preserve"> </v>
      </c>
      <c r="M141" s="100" t="str">
        <f t="shared" si="15"/>
        <v xml:space="preserve"> </v>
      </c>
      <c r="N141" s="100" t="str">
        <f>IFERROR(VLOOKUP(Tablo517[[#This Row],[ÜRÜN KODU]],YMKODLARI!$A$1:$K$363,8,0)," ")</f>
        <v>HM 010</v>
      </c>
      <c r="O141" s="100" t="str">
        <f>IFERROR(VLOOKUP(Tablo517[[#This Row],[HAMMADDE KODU]],Tablo1[#All],3,0)," ")</f>
        <v>KIRMA PP</v>
      </c>
      <c r="P141" s="100" t="str">
        <f>IFERROR(VLOOKUP(Tablo517[[#This Row],[HAMMADDE KODU]],Tablo1[#All],4,0)," ")</f>
        <v>KIRMA</v>
      </c>
      <c r="Q141" s="100">
        <f>IFERROR(VLOOKUP(Tablo517[[#This Row],[ÜRÜN KODU]],YMKODLARI!$A$1:$K$363,5,0)," ")</f>
        <v>13</v>
      </c>
      <c r="R141" s="100">
        <f>IFERROR(VLOOKUP(Tablo517[[#This Row],[ÜRÜN KODU]],YMKODLARI!$A$1:$K$363,6,0)," ")</f>
        <v>10.7</v>
      </c>
      <c r="S141" s="100">
        <f>IFERROR(Tablo517[[#This Row],[YOLLUK HARİÇ BASKI GRAMI]]/Tablo517[[#This Row],[KALIP GÖZ ADEDİ]]," ")</f>
        <v>1.3374999999999999</v>
      </c>
      <c r="T141" s="100">
        <f t="shared" si="17"/>
        <v>2.3000000000000007</v>
      </c>
      <c r="U141" s="100">
        <v>1.6</v>
      </c>
      <c r="V141" s="100">
        <f t="shared" si="16"/>
        <v>11.3584</v>
      </c>
      <c r="W141" s="101">
        <f t="shared" si="18"/>
        <v>24.15625</v>
      </c>
      <c r="X141" s="102">
        <f t="shared" si="19"/>
        <v>3.75</v>
      </c>
      <c r="Y141" s="100">
        <f t="shared" si="20"/>
        <v>3.8</v>
      </c>
      <c r="Z141" s="100">
        <f t="shared" si="21"/>
        <v>7296</v>
      </c>
    </row>
    <row r="142" spans="1:26">
      <c r="A142" s="100" t="s">
        <v>57</v>
      </c>
      <c r="B142" s="108" t="str">
        <f>IFERROR(VLOOKUP(Tablo517[[#This Row],[ÜRÜN KODU]],YMKODLARI!$A$1:$K$363,2,0)," ")</f>
        <v>EMZİK SAKLAMA KUTUSU ÜST</v>
      </c>
      <c r="C142" s="99">
        <v>44060</v>
      </c>
      <c r="D142" s="100" t="s">
        <v>36</v>
      </c>
      <c r="E142" s="101"/>
      <c r="F142" s="101"/>
      <c r="G142" s="100">
        <f>IFERROR(VLOOKUP(Tablo517[[#This Row],[ÜRÜN KODU]],YMKODLARI!$A$1:$K$363,3,0)," ")</f>
        <v>2</v>
      </c>
      <c r="H142" s="100">
        <f>IFERROR(VLOOKUP(Tablo517[[#This Row],[ÜRÜN KODU]],YMKODLARI!$A$1:$K$363,4,0)," ")</f>
        <v>37</v>
      </c>
      <c r="I142" s="100">
        <v>163</v>
      </c>
      <c r="J142" s="100" t="str">
        <f>IFERROR(VLOOKUP(Tablo517[[#This Row],[ÜRÜN KODU]],YMKODLARI!$A$1:$K$363,9,0)," ")</f>
        <v>708PK532G</v>
      </c>
      <c r="K142" s="100" t="str">
        <f>IFERROR(VLOOKUP(Tablo517[[#This Row],[BOYA KODU]],Tablo14[#All],4,0)," ")</f>
        <v>T.PEMBE</v>
      </c>
      <c r="L142" s="100">
        <f>IFERROR(VLOOKUP(Tablo517[[#This Row],[BOYA KODU]],Tablo14[#All],6,0)," ")</f>
        <v>2E-3</v>
      </c>
      <c r="M142" s="100">
        <f t="shared" si="15"/>
        <v>7.2698</v>
      </c>
      <c r="N142" s="100" t="str">
        <f>IFERROR(VLOOKUP(Tablo517[[#This Row],[ÜRÜN KODU]],YMKODLARI!$A$1:$K$363,8,0)," ")</f>
        <v>HM 001</v>
      </c>
      <c r="O142" s="100" t="str">
        <f>IFERROR(VLOOKUP(Tablo517[[#This Row],[HAMMADDE KODU]],Tablo1[#All],3,0)," ")</f>
        <v>CAPILENE</v>
      </c>
      <c r="P142" s="100" t="str">
        <f>IFERROR(VLOOKUP(Tablo517[[#This Row],[HAMMADDE KODU]],Tablo1[#All],4,0)," ")</f>
        <v>PİNHAS</v>
      </c>
      <c r="Q142" s="100">
        <f>IFERROR(VLOOKUP(Tablo517[[#This Row],[ÜRÜN KODU]],YMKODLARI!$A$1:$K$363,5,0)," ")</f>
        <v>22.3</v>
      </c>
      <c r="R142" s="100">
        <f>IFERROR(VLOOKUP(Tablo517[[#This Row],[ÜRÜN KODU]],YMKODLARI!$A$1:$K$363,6,0)," ")</f>
        <v>21.2</v>
      </c>
      <c r="S142" s="100">
        <f>IFERROR(Tablo517[[#This Row],[YOLLUK HARİÇ BASKI GRAMI]]/Tablo517[[#This Row],[KALIP GÖZ ADEDİ]]," ")</f>
        <v>10.6</v>
      </c>
      <c r="T142" s="100">
        <f t="shared" si="17"/>
        <v>1.1000000000000014</v>
      </c>
      <c r="U142" s="100"/>
      <c r="V142" s="100">
        <f t="shared" si="16"/>
        <v>3.4556</v>
      </c>
      <c r="W142" s="101">
        <f t="shared" si="18"/>
        <v>24</v>
      </c>
      <c r="X142" s="102">
        <f t="shared" si="19"/>
        <v>0</v>
      </c>
      <c r="Y142" s="100">
        <f t="shared" si="20"/>
        <v>1.6752777777777779</v>
      </c>
      <c r="Z142" s="100">
        <f t="shared" si="21"/>
        <v>326</v>
      </c>
    </row>
    <row r="143" spans="1:26">
      <c r="A143" s="100" t="s">
        <v>58</v>
      </c>
      <c r="B143" s="108" t="str">
        <f>IFERROR(VLOOKUP(Tablo517[[#This Row],[ÜRÜN KODU]],YMKODLARI!$A$1:$K$363,2,0)," ")</f>
        <v>EMZİK SAKLAMA KUTUSU ALT</v>
      </c>
      <c r="C143" s="99">
        <v>44060</v>
      </c>
      <c r="D143" s="100" t="s">
        <v>36</v>
      </c>
      <c r="E143" s="101">
        <v>0.6875</v>
      </c>
      <c r="F143" s="101">
        <v>0.75</v>
      </c>
      <c r="G143" s="100">
        <f>IFERROR(VLOOKUP(Tablo517[[#This Row],[ÜRÜN KODU]],YMKODLARI!$A$1:$K$363,3,0)," ")</f>
        <v>2</v>
      </c>
      <c r="H143" s="100">
        <f>IFERROR(VLOOKUP(Tablo517[[#This Row],[ÜRÜN KODU]],YMKODLARI!$A$1:$K$363,4,0)," ")</f>
        <v>37</v>
      </c>
      <c r="I143" s="100">
        <v>163</v>
      </c>
      <c r="J143" s="100" t="str">
        <f>IFERROR(VLOOKUP(Tablo517[[#This Row],[ÜRÜN KODU]],YMKODLARI!$A$1:$K$363,9,0)," ")</f>
        <v>708PK532G</v>
      </c>
      <c r="K143" s="100" t="str">
        <f>IFERROR(VLOOKUP(Tablo517[[#This Row],[BOYA KODU]],Tablo14[#All],4,0)," ")</f>
        <v>T.PEMBE</v>
      </c>
      <c r="L143" s="100">
        <f>IFERROR(VLOOKUP(Tablo517[[#This Row],[BOYA KODU]],Tablo14[#All],6,0)," ")</f>
        <v>2E-3</v>
      </c>
      <c r="M143" s="100">
        <f t="shared" si="15"/>
        <v>7.4328000000000003</v>
      </c>
      <c r="N143" s="100" t="str">
        <f>IFERROR(VLOOKUP(Tablo517[[#This Row],[ÜRÜN KODU]],YMKODLARI!$A$1:$K$363,8,0)," ")</f>
        <v>HM 001</v>
      </c>
      <c r="O143" s="100" t="str">
        <f>IFERROR(VLOOKUP(Tablo517[[#This Row],[HAMMADDE KODU]],Tablo1[#All],3,0)," ")</f>
        <v>CAPILENE</v>
      </c>
      <c r="P143" s="100" t="str">
        <f>IFERROR(VLOOKUP(Tablo517[[#This Row],[HAMMADDE KODU]],Tablo1[#All],4,0)," ")</f>
        <v>PİNHAS</v>
      </c>
      <c r="Q143" s="100">
        <f>IFERROR(VLOOKUP(Tablo517[[#This Row],[ÜRÜN KODU]],YMKODLARI!$A$1:$K$363,5,0)," ")</f>
        <v>22.8</v>
      </c>
      <c r="R143" s="100">
        <f>IFERROR(VLOOKUP(Tablo517[[#This Row],[ÜRÜN KODU]],YMKODLARI!$A$1:$K$363,6,0)," ")</f>
        <v>21.7</v>
      </c>
      <c r="S143" s="100">
        <f>IFERROR(Tablo517[[#This Row],[YOLLUK HARİÇ BASKI GRAMI]]/Tablo517[[#This Row],[KALIP GÖZ ADEDİ]]," ")</f>
        <v>10.85</v>
      </c>
      <c r="T143" s="100">
        <f t="shared" si="17"/>
        <v>1.1000000000000014</v>
      </c>
      <c r="U143" s="100">
        <v>4</v>
      </c>
      <c r="V143" s="100">
        <f t="shared" si="16"/>
        <v>7.5370999999999997</v>
      </c>
      <c r="W143" s="101">
        <f t="shared" si="18"/>
        <v>24.0625</v>
      </c>
      <c r="X143" s="102">
        <f t="shared" si="19"/>
        <v>1.5</v>
      </c>
      <c r="Y143" s="100">
        <f t="shared" si="20"/>
        <v>1.6752777777777779</v>
      </c>
      <c r="Z143" s="100">
        <f t="shared" si="21"/>
        <v>326</v>
      </c>
    </row>
    <row r="144" spans="1:26">
      <c r="A144" s="100" t="s">
        <v>57</v>
      </c>
      <c r="B144" s="108" t="str">
        <f>IFERROR(VLOOKUP(Tablo517[[#This Row],[ÜRÜN KODU]],YMKODLARI!$A$1:$K$363,2,0)," ")</f>
        <v>EMZİK SAKLAMA KUTUSU ÜST</v>
      </c>
      <c r="C144" s="99">
        <v>44061</v>
      </c>
      <c r="D144" s="100" t="s">
        <v>36</v>
      </c>
      <c r="E144" s="101"/>
      <c r="F144" s="101"/>
      <c r="G144" s="100">
        <f>IFERROR(VLOOKUP(Tablo517[[#This Row],[ÜRÜN KODU]],YMKODLARI!$A$1:$K$363,3,0)," ")</f>
        <v>2</v>
      </c>
      <c r="H144" s="100">
        <f>IFERROR(VLOOKUP(Tablo517[[#This Row],[ÜRÜN KODU]],YMKODLARI!$A$1:$K$363,4,0)," ")</f>
        <v>37</v>
      </c>
      <c r="I144" s="100">
        <v>471</v>
      </c>
      <c r="J144" s="100" t="str">
        <f>IFERROR(VLOOKUP(Tablo517[[#This Row],[ÜRÜN KODU]],YMKODLARI!$A$1:$K$363,9,0)," ")</f>
        <v>708PK532G</v>
      </c>
      <c r="K144" s="100" t="str">
        <f>IFERROR(VLOOKUP(Tablo517[[#This Row],[BOYA KODU]],Tablo14[#All],4,0)," ")</f>
        <v>T.PEMBE</v>
      </c>
      <c r="L144" s="100">
        <f>IFERROR(VLOOKUP(Tablo517[[#This Row],[BOYA KODU]],Tablo14[#All],6,0)," ")</f>
        <v>2E-3</v>
      </c>
      <c r="M144" s="100">
        <f t="shared" si="15"/>
        <v>21.006600000000002</v>
      </c>
      <c r="N144" s="100" t="str">
        <f>IFERROR(VLOOKUP(Tablo517[[#This Row],[ÜRÜN KODU]],YMKODLARI!$A$1:$K$363,8,0)," ")</f>
        <v>HM 001</v>
      </c>
      <c r="O144" s="100" t="str">
        <f>IFERROR(VLOOKUP(Tablo517[[#This Row],[HAMMADDE KODU]],Tablo1[#All],3,0)," ")</f>
        <v>CAPILENE</v>
      </c>
      <c r="P144" s="100" t="str">
        <f>IFERROR(VLOOKUP(Tablo517[[#This Row],[HAMMADDE KODU]],Tablo1[#All],4,0)," ")</f>
        <v>PİNHAS</v>
      </c>
      <c r="Q144" s="100">
        <f>IFERROR(VLOOKUP(Tablo517[[#This Row],[ÜRÜN KODU]],YMKODLARI!$A$1:$K$363,5,0)," ")</f>
        <v>22.3</v>
      </c>
      <c r="R144" s="100">
        <f>IFERROR(VLOOKUP(Tablo517[[#This Row],[ÜRÜN KODU]],YMKODLARI!$A$1:$K$363,6,0)," ")</f>
        <v>21.2</v>
      </c>
      <c r="S144" s="100">
        <f>IFERROR(Tablo517[[#This Row],[YOLLUK HARİÇ BASKI GRAMI]]/Tablo517[[#This Row],[KALIP GÖZ ADEDİ]]," ")</f>
        <v>10.6</v>
      </c>
      <c r="T144" s="100">
        <f t="shared" si="17"/>
        <v>1.1000000000000014</v>
      </c>
      <c r="U144" s="100"/>
      <c r="V144" s="100">
        <f t="shared" si="16"/>
        <v>9.985199999999999</v>
      </c>
      <c r="W144" s="101">
        <f t="shared" si="18"/>
        <v>24</v>
      </c>
      <c r="X144" s="102">
        <f t="shared" si="19"/>
        <v>0</v>
      </c>
      <c r="Y144" s="100">
        <f t="shared" si="20"/>
        <v>4.8408333333333333</v>
      </c>
      <c r="Z144" s="100">
        <f t="shared" si="21"/>
        <v>942</v>
      </c>
    </row>
    <row r="145" spans="1:26">
      <c r="A145" s="100" t="s">
        <v>58</v>
      </c>
      <c r="B145" s="108" t="str">
        <f>IFERROR(VLOOKUP(Tablo517[[#This Row],[ÜRÜN KODU]],YMKODLARI!$A$1:$K$363,2,0)," ")</f>
        <v>EMZİK SAKLAMA KUTUSU ALT</v>
      </c>
      <c r="C145" s="99">
        <v>44061</v>
      </c>
      <c r="D145" s="100" t="s">
        <v>36</v>
      </c>
      <c r="E145" s="101">
        <v>0.33333333333333331</v>
      </c>
      <c r="F145" s="101">
        <v>0.53819444444444442</v>
      </c>
      <c r="G145" s="100">
        <f>IFERROR(VLOOKUP(Tablo517[[#This Row],[ÜRÜN KODU]],YMKODLARI!$A$1:$K$363,3,0)," ")</f>
        <v>2</v>
      </c>
      <c r="H145" s="100">
        <f>IFERROR(VLOOKUP(Tablo517[[#This Row],[ÜRÜN KODU]],YMKODLARI!$A$1:$K$363,4,0)," ")</f>
        <v>37</v>
      </c>
      <c r="I145" s="100">
        <v>471</v>
      </c>
      <c r="J145" s="100" t="str">
        <f>IFERROR(VLOOKUP(Tablo517[[#This Row],[ÜRÜN KODU]],YMKODLARI!$A$1:$K$363,9,0)," ")</f>
        <v>708PK532G</v>
      </c>
      <c r="K145" s="100" t="str">
        <f>IFERROR(VLOOKUP(Tablo517[[#This Row],[BOYA KODU]],Tablo14[#All],4,0)," ")</f>
        <v>T.PEMBE</v>
      </c>
      <c r="L145" s="100">
        <f>IFERROR(VLOOKUP(Tablo517[[#This Row],[BOYA KODU]],Tablo14[#All],6,0)," ")</f>
        <v>2E-3</v>
      </c>
      <c r="M145" s="100">
        <f t="shared" si="15"/>
        <v>21.477600000000002</v>
      </c>
      <c r="N145" s="100" t="str">
        <f>IFERROR(VLOOKUP(Tablo517[[#This Row],[ÜRÜN KODU]],YMKODLARI!$A$1:$K$363,8,0)," ")</f>
        <v>HM 001</v>
      </c>
      <c r="O145" s="100" t="str">
        <f>IFERROR(VLOOKUP(Tablo517[[#This Row],[HAMMADDE KODU]],Tablo1[#All],3,0)," ")</f>
        <v>CAPILENE</v>
      </c>
      <c r="P145" s="100" t="str">
        <f>IFERROR(VLOOKUP(Tablo517[[#This Row],[HAMMADDE KODU]],Tablo1[#All],4,0)," ")</f>
        <v>PİNHAS</v>
      </c>
      <c r="Q145" s="100">
        <f>IFERROR(VLOOKUP(Tablo517[[#This Row],[ÜRÜN KODU]],YMKODLARI!$A$1:$K$363,5,0)," ")</f>
        <v>22.8</v>
      </c>
      <c r="R145" s="100">
        <f>IFERROR(VLOOKUP(Tablo517[[#This Row],[ÜRÜN KODU]],YMKODLARI!$A$1:$K$363,6,0)," ")</f>
        <v>21.7</v>
      </c>
      <c r="S145" s="100">
        <f>IFERROR(Tablo517[[#This Row],[YOLLUK HARİÇ BASKI GRAMI]]/Tablo517[[#This Row],[KALIP GÖZ ADEDİ]]," ")</f>
        <v>10.85</v>
      </c>
      <c r="T145" s="100">
        <f t="shared" si="17"/>
        <v>1.1000000000000014</v>
      </c>
      <c r="U145" s="100">
        <v>2.5</v>
      </c>
      <c r="V145" s="100">
        <f t="shared" si="16"/>
        <v>12.720699999999999</v>
      </c>
      <c r="W145" s="101">
        <f t="shared" si="18"/>
        <v>24.204861111111111</v>
      </c>
      <c r="X145" s="102">
        <f t="shared" si="19"/>
        <v>4.9166666666666572</v>
      </c>
      <c r="Y145" s="100">
        <f t="shared" si="20"/>
        <v>4.8408333333333333</v>
      </c>
      <c r="Z145" s="100">
        <f t="shared" si="21"/>
        <v>942</v>
      </c>
    </row>
    <row r="146" spans="1:26">
      <c r="A146" s="100" t="s">
        <v>59</v>
      </c>
      <c r="B146" s="108" t="str">
        <f>IFERROR(VLOOKUP(Tablo517[[#This Row],[ÜRÜN KODU]],YMKODLARI!$A$1:$K$363,2,0)," ")</f>
        <v>EMZİK SAKLAMA KUTUSU ÜST</v>
      </c>
      <c r="C146" s="99">
        <v>44061</v>
      </c>
      <c r="D146" s="100" t="s">
        <v>36</v>
      </c>
      <c r="E146" s="101"/>
      <c r="F146" s="101"/>
      <c r="G146" s="100">
        <f>IFERROR(VLOOKUP(Tablo517[[#This Row],[ÜRÜN KODU]],YMKODLARI!$A$1:$K$363,3,0)," ")</f>
        <v>2</v>
      </c>
      <c r="H146" s="100">
        <f>IFERROR(VLOOKUP(Tablo517[[#This Row],[ÜRÜN KODU]],YMKODLARI!$A$1:$K$363,4,0)," ")</f>
        <v>37</v>
      </c>
      <c r="I146" s="100">
        <v>138</v>
      </c>
      <c r="J146" s="100" t="str">
        <f>IFERROR(VLOOKUP(Tablo517[[#This Row],[ÜRÜN KODU]],YMKODLARI!$A$1:$K$363,9,0)," ")</f>
        <v>5139C</v>
      </c>
      <c r="K146" s="100" t="str">
        <f>IFERROR(VLOOKUP(Tablo517[[#This Row],[BOYA KODU]],Tablo14[#All],4,0)," ")</f>
        <v>T.MAVİ</v>
      </c>
      <c r="L146" s="100">
        <f>IFERROR(VLOOKUP(Tablo517[[#This Row],[BOYA KODU]],Tablo14[#All],6,0)," ")</f>
        <v>1E-3</v>
      </c>
      <c r="M146" s="100">
        <f t="shared" si="15"/>
        <v>3.0774000000000004</v>
      </c>
      <c r="N146" s="100" t="str">
        <f>IFERROR(VLOOKUP(Tablo517[[#This Row],[ÜRÜN KODU]],YMKODLARI!$A$1:$K$363,8,0)," ")</f>
        <v>HM 001</v>
      </c>
      <c r="O146" s="100" t="str">
        <f>IFERROR(VLOOKUP(Tablo517[[#This Row],[HAMMADDE KODU]],Tablo1[#All],3,0)," ")</f>
        <v>CAPILENE</v>
      </c>
      <c r="P146" s="100" t="str">
        <f>IFERROR(VLOOKUP(Tablo517[[#This Row],[HAMMADDE KODU]],Tablo1[#All],4,0)," ")</f>
        <v>PİNHAS</v>
      </c>
      <c r="Q146" s="100">
        <f>IFERROR(VLOOKUP(Tablo517[[#This Row],[ÜRÜN KODU]],YMKODLARI!$A$1:$K$363,5,0)," ")</f>
        <v>22.3</v>
      </c>
      <c r="R146" s="100">
        <f>IFERROR(VLOOKUP(Tablo517[[#This Row],[ÜRÜN KODU]],YMKODLARI!$A$1:$K$363,6,0)," ")</f>
        <v>21.2</v>
      </c>
      <c r="S146" s="100">
        <f>IFERROR(Tablo517[[#This Row],[YOLLUK HARİÇ BASKI GRAMI]]/Tablo517[[#This Row],[KALIP GÖZ ADEDİ]]," ")</f>
        <v>10.6</v>
      </c>
      <c r="T146" s="100">
        <f t="shared" si="17"/>
        <v>1.1000000000000014</v>
      </c>
      <c r="U146" s="100"/>
      <c r="V146" s="100">
        <f t="shared" si="16"/>
        <v>2.9255999999999998</v>
      </c>
      <c r="W146" s="101">
        <f t="shared" si="18"/>
        <v>24</v>
      </c>
      <c r="X146" s="102">
        <f t="shared" si="19"/>
        <v>0</v>
      </c>
      <c r="Y146" s="100">
        <f t="shared" si="20"/>
        <v>1.4183333333333332</v>
      </c>
      <c r="Z146" s="100">
        <f t="shared" si="21"/>
        <v>276</v>
      </c>
    </row>
    <row r="147" spans="1:26">
      <c r="A147" s="100" t="s">
        <v>62</v>
      </c>
      <c r="B147" s="108" t="str">
        <f>IFERROR(VLOOKUP(Tablo517[[#This Row],[ÜRÜN KODU]],YMKODLARI!$A$1:$K$363,2,0)," ")</f>
        <v>EMZİK SAKLAMA KUTUSU ALT</v>
      </c>
      <c r="C147" s="99">
        <v>44061</v>
      </c>
      <c r="D147" s="100" t="s">
        <v>36</v>
      </c>
      <c r="E147" s="101">
        <v>0.53819444444444442</v>
      </c>
      <c r="F147" s="101">
        <v>0.64583333333333337</v>
      </c>
      <c r="G147" s="100">
        <f>IFERROR(VLOOKUP(Tablo517[[#This Row],[ÜRÜN KODU]],YMKODLARI!$A$1:$K$363,3,0)," ")</f>
        <v>2</v>
      </c>
      <c r="H147" s="100">
        <f>IFERROR(VLOOKUP(Tablo517[[#This Row],[ÜRÜN KODU]],YMKODLARI!$A$1:$K$363,4,0)," ")</f>
        <v>37</v>
      </c>
      <c r="I147" s="100">
        <v>138</v>
      </c>
      <c r="J147" s="100" t="str">
        <f>IFERROR(VLOOKUP(Tablo517[[#This Row],[ÜRÜN KODU]],YMKODLARI!$A$1:$K$363,9,0)," ")</f>
        <v>5139C</v>
      </c>
      <c r="K147" s="100" t="str">
        <f>IFERROR(VLOOKUP(Tablo517[[#This Row],[BOYA KODU]],Tablo14[#All],4,0)," ")</f>
        <v>T.MAVİ</v>
      </c>
      <c r="L147" s="100">
        <f>IFERROR(VLOOKUP(Tablo517[[#This Row],[BOYA KODU]],Tablo14[#All],6,0)," ")</f>
        <v>1E-3</v>
      </c>
      <c r="M147" s="100">
        <f t="shared" si="15"/>
        <v>3.1464000000000003</v>
      </c>
      <c r="N147" s="100" t="str">
        <f>IFERROR(VLOOKUP(Tablo517[[#This Row],[ÜRÜN KODU]],YMKODLARI!$A$1:$K$363,8,0)," ")</f>
        <v>HM 001</v>
      </c>
      <c r="O147" s="100" t="str">
        <f>IFERROR(VLOOKUP(Tablo517[[#This Row],[HAMMADDE KODU]],Tablo1[#All],3,0)," ")</f>
        <v>CAPILENE</v>
      </c>
      <c r="P147" s="100" t="str">
        <f>IFERROR(VLOOKUP(Tablo517[[#This Row],[HAMMADDE KODU]],Tablo1[#All],4,0)," ")</f>
        <v>PİNHAS</v>
      </c>
      <c r="Q147" s="100">
        <f>IFERROR(VLOOKUP(Tablo517[[#This Row],[ÜRÜN KODU]],YMKODLARI!$A$1:$K$363,5,0)," ")</f>
        <v>22.8</v>
      </c>
      <c r="R147" s="100">
        <f>IFERROR(VLOOKUP(Tablo517[[#This Row],[ÜRÜN KODU]],YMKODLARI!$A$1:$K$363,6,0)," ")</f>
        <v>21.7</v>
      </c>
      <c r="S147" s="100">
        <f>IFERROR(Tablo517[[#This Row],[YOLLUK HARİÇ BASKI GRAMI]]/Tablo517[[#This Row],[KALIP GÖZ ADEDİ]]," ")</f>
        <v>10.85</v>
      </c>
      <c r="T147" s="100">
        <f t="shared" si="17"/>
        <v>1.1000000000000014</v>
      </c>
      <c r="U147" s="100">
        <v>2.5</v>
      </c>
      <c r="V147" s="100">
        <f t="shared" si="16"/>
        <v>5.4946000000000002</v>
      </c>
      <c r="W147" s="101">
        <f t="shared" si="18"/>
        <v>24.107638888888889</v>
      </c>
      <c r="X147" s="102">
        <f t="shared" si="19"/>
        <v>2.5833333333333428</v>
      </c>
      <c r="Y147" s="100">
        <f t="shared" si="20"/>
        <v>1.4183333333333332</v>
      </c>
      <c r="Z147" s="100">
        <f t="shared" si="21"/>
        <v>276</v>
      </c>
    </row>
    <row r="148" spans="1:26">
      <c r="A148" s="100" t="s">
        <v>59</v>
      </c>
      <c r="B148" s="108" t="str">
        <f>IFERROR(VLOOKUP(Tablo517[[#This Row],[ÜRÜN KODU]],YMKODLARI!$A$1:$K$363,2,0)," ")</f>
        <v>EMZİK SAKLAMA KUTUSU ÜST</v>
      </c>
      <c r="C148" s="99">
        <v>44062</v>
      </c>
      <c r="D148" s="100" t="s">
        <v>33</v>
      </c>
      <c r="E148" s="101"/>
      <c r="F148" s="101"/>
      <c r="G148" s="100">
        <f>IFERROR(VLOOKUP(Tablo517[[#This Row],[ÜRÜN KODU]],YMKODLARI!$A$1:$K$363,3,0)," ")</f>
        <v>2</v>
      </c>
      <c r="H148" s="100">
        <f>IFERROR(VLOOKUP(Tablo517[[#This Row],[ÜRÜN KODU]],YMKODLARI!$A$1:$K$363,4,0)," ")</f>
        <v>37</v>
      </c>
      <c r="I148" s="100">
        <v>587</v>
      </c>
      <c r="J148" s="100" t="str">
        <f>IFERROR(VLOOKUP(Tablo517[[#This Row],[ÜRÜN KODU]],YMKODLARI!$A$1:$K$363,9,0)," ")</f>
        <v>5139C</v>
      </c>
      <c r="K148" s="100" t="str">
        <f>IFERROR(VLOOKUP(Tablo517[[#This Row],[BOYA KODU]],Tablo14[#All],4,0)," ")</f>
        <v>T.MAVİ</v>
      </c>
      <c r="L148" s="100">
        <f>IFERROR(VLOOKUP(Tablo517[[#This Row],[BOYA KODU]],Tablo14[#All],6,0)," ")</f>
        <v>1E-3</v>
      </c>
      <c r="M148" s="100">
        <f t="shared" si="15"/>
        <v>13.090100000000001</v>
      </c>
      <c r="N148" s="100" t="str">
        <f>IFERROR(VLOOKUP(Tablo517[[#This Row],[ÜRÜN KODU]],YMKODLARI!$A$1:$K$363,8,0)," ")</f>
        <v>HM 001</v>
      </c>
      <c r="O148" s="100" t="str">
        <f>IFERROR(VLOOKUP(Tablo517[[#This Row],[HAMMADDE KODU]],Tablo1[#All],3,0)," ")</f>
        <v>CAPILENE</v>
      </c>
      <c r="P148" s="100" t="str">
        <f>IFERROR(VLOOKUP(Tablo517[[#This Row],[HAMMADDE KODU]],Tablo1[#All],4,0)," ")</f>
        <v>PİNHAS</v>
      </c>
      <c r="Q148" s="100">
        <f>IFERROR(VLOOKUP(Tablo517[[#This Row],[ÜRÜN KODU]],YMKODLARI!$A$1:$K$363,5,0)," ")</f>
        <v>22.3</v>
      </c>
      <c r="R148" s="100">
        <f>IFERROR(VLOOKUP(Tablo517[[#This Row],[ÜRÜN KODU]],YMKODLARI!$A$1:$K$363,6,0)," ")</f>
        <v>21.2</v>
      </c>
      <c r="S148" s="100">
        <f>IFERROR(Tablo517[[#This Row],[YOLLUK HARİÇ BASKI GRAMI]]/Tablo517[[#This Row],[KALIP GÖZ ADEDİ]]," ")</f>
        <v>10.6</v>
      </c>
      <c r="T148" s="100">
        <f t="shared" si="17"/>
        <v>1.1000000000000014</v>
      </c>
      <c r="U148" s="100"/>
      <c r="V148" s="100">
        <f t="shared" si="16"/>
        <v>12.4444</v>
      </c>
      <c r="W148" s="101">
        <f t="shared" si="18"/>
        <v>24</v>
      </c>
      <c r="X148" s="102">
        <f t="shared" si="19"/>
        <v>0</v>
      </c>
      <c r="Y148" s="100">
        <f t="shared" si="20"/>
        <v>6.0330555555555554</v>
      </c>
      <c r="Z148" s="100">
        <f t="shared" si="21"/>
        <v>1174</v>
      </c>
    </row>
    <row r="149" spans="1:26">
      <c r="A149" s="100" t="s">
        <v>62</v>
      </c>
      <c r="B149" s="108" t="str">
        <f>IFERROR(VLOOKUP(Tablo517[[#This Row],[ÜRÜN KODU]],YMKODLARI!$A$1:$K$363,2,0)," ")</f>
        <v>EMZİK SAKLAMA KUTUSU ALT</v>
      </c>
      <c r="C149" s="99">
        <v>44062</v>
      </c>
      <c r="D149" s="100" t="s">
        <v>33</v>
      </c>
      <c r="E149" s="101">
        <v>0.39583333333333331</v>
      </c>
      <c r="F149" s="101">
        <v>0.75</v>
      </c>
      <c r="G149" s="100">
        <f>IFERROR(VLOOKUP(Tablo517[[#This Row],[ÜRÜN KODU]],YMKODLARI!$A$1:$K$363,3,0)," ")</f>
        <v>2</v>
      </c>
      <c r="H149" s="100">
        <f>IFERROR(VLOOKUP(Tablo517[[#This Row],[ÜRÜN KODU]],YMKODLARI!$A$1:$K$363,4,0)," ")</f>
        <v>37</v>
      </c>
      <c r="I149" s="100">
        <v>587</v>
      </c>
      <c r="J149" s="100" t="str">
        <f>IFERROR(VLOOKUP(Tablo517[[#This Row],[ÜRÜN KODU]],YMKODLARI!$A$1:$K$363,9,0)," ")</f>
        <v>5139C</v>
      </c>
      <c r="K149" s="100" t="str">
        <f>IFERROR(VLOOKUP(Tablo517[[#This Row],[BOYA KODU]],Tablo14[#All],4,0)," ")</f>
        <v>T.MAVİ</v>
      </c>
      <c r="L149" s="100">
        <f>IFERROR(VLOOKUP(Tablo517[[#This Row],[BOYA KODU]],Tablo14[#All],6,0)," ")</f>
        <v>1E-3</v>
      </c>
      <c r="M149" s="100">
        <f t="shared" si="15"/>
        <v>13.383600000000001</v>
      </c>
      <c r="N149" s="100" t="str">
        <f>IFERROR(VLOOKUP(Tablo517[[#This Row],[ÜRÜN KODU]],YMKODLARI!$A$1:$K$363,8,0)," ")</f>
        <v>HM 001</v>
      </c>
      <c r="O149" s="100" t="str">
        <f>IFERROR(VLOOKUP(Tablo517[[#This Row],[HAMMADDE KODU]],Tablo1[#All],3,0)," ")</f>
        <v>CAPILENE</v>
      </c>
      <c r="P149" s="100" t="str">
        <f>IFERROR(VLOOKUP(Tablo517[[#This Row],[HAMMADDE KODU]],Tablo1[#All],4,0)," ")</f>
        <v>PİNHAS</v>
      </c>
      <c r="Q149" s="100">
        <f>IFERROR(VLOOKUP(Tablo517[[#This Row],[ÜRÜN KODU]],YMKODLARI!$A$1:$K$363,5,0)," ")</f>
        <v>22.8</v>
      </c>
      <c r="R149" s="100">
        <f>IFERROR(VLOOKUP(Tablo517[[#This Row],[ÜRÜN KODU]],YMKODLARI!$A$1:$K$363,6,0)," ")</f>
        <v>21.7</v>
      </c>
      <c r="S149" s="100">
        <f>IFERROR(Tablo517[[#This Row],[YOLLUK HARİÇ BASKI GRAMI]]/Tablo517[[#This Row],[KALIP GÖZ ADEDİ]]," ")</f>
        <v>10.85</v>
      </c>
      <c r="T149" s="100">
        <f t="shared" si="17"/>
        <v>1.1000000000000014</v>
      </c>
      <c r="U149" s="100">
        <v>2.6</v>
      </c>
      <c r="V149" s="100">
        <f t="shared" si="16"/>
        <v>15.337899999999999</v>
      </c>
      <c r="W149" s="101">
        <f t="shared" si="18"/>
        <v>24.354166666666668</v>
      </c>
      <c r="X149" s="102">
        <f t="shared" si="19"/>
        <v>8.5000000000000284</v>
      </c>
      <c r="Y149" s="100">
        <f t="shared" si="20"/>
        <v>6.0330555555555554</v>
      </c>
      <c r="Z149" s="100">
        <f t="shared" si="21"/>
        <v>1174</v>
      </c>
    </row>
    <row r="150" spans="1:26">
      <c r="A150" s="100" t="s">
        <v>116</v>
      </c>
      <c r="B150" s="108" t="str">
        <f>IFERROR(VLOOKUP(Tablo517[[#This Row],[ÜRÜN KODU]],YMKODLARI!$A$1:$K$363,2,0)," ")</f>
        <v>SULUK 30ml KAPAK</v>
      </c>
      <c r="C150" s="99">
        <v>44076</v>
      </c>
      <c r="D150" s="100" t="s">
        <v>33</v>
      </c>
      <c r="E150" s="101">
        <v>0.38541666666666669</v>
      </c>
      <c r="F150" s="101">
        <v>0.51041666666666663</v>
      </c>
      <c r="G150" s="100">
        <f>IFERROR(VLOOKUP(Tablo517[[#This Row],[ÜRÜN KODU]],YMKODLARI!$A$1:$K$363,3,0)," ")</f>
        <v>4</v>
      </c>
      <c r="H150" s="100">
        <f>IFERROR(VLOOKUP(Tablo517[[#This Row],[ÜRÜN KODU]],YMKODLARI!$A$1:$K$363,4,0)," ")</f>
        <v>24</v>
      </c>
      <c r="I150" s="100">
        <v>378</v>
      </c>
      <c r="J150" s="100" t="str">
        <f>IFERROR(VLOOKUP(Tablo517[[#This Row],[ÜRÜN KODU]],YMKODLARI!$A$1:$K$363,9,0)," ")</f>
        <v>9134A</v>
      </c>
      <c r="K150" s="100" t="str">
        <f>IFERROR(VLOOKUP(Tablo517[[#This Row],[BOYA KODU]],Tablo14[#All],4,0)," ")</f>
        <v>BEYAZ</v>
      </c>
      <c r="L150" s="100">
        <f>IFERROR(VLOOKUP(Tablo517[[#This Row],[BOYA KODU]],Tablo14[#All],6,0)," ")</f>
        <v>7.0000000000000001E-3</v>
      </c>
      <c r="M150" s="100">
        <f t="shared" si="15"/>
        <v>60.328800000000001</v>
      </c>
      <c r="N150" s="100" t="str">
        <f>IFERROR(VLOOKUP(Tablo517[[#This Row],[ÜRÜN KODU]],YMKODLARI!$A$1:$K$363,8,0)," ")</f>
        <v>HM 001</v>
      </c>
      <c r="O150" s="100" t="str">
        <f>IFERROR(VLOOKUP(Tablo517[[#This Row],[HAMMADDE KODU]],Tablo1[#All],3,0)," ")</f>
        <v>CAPILENE</v>
      </c>
      <c r="P150" s="100" t="str">
        <f>IFERROR(VLOOKUP(Tablo517[[#This Row],[HAMMADDE KODU]],Tablo1[#All],4,0)," ")</f>
        <v>PİNHAS</v>
      </c>
      <c r="Q150" s="100">
        <f>IFERROR(VLOOKUP(Tablo517[[#This Row],[ÜRÜN KODU]],YMKODLARI!$A$1:$K$363,5,0)," ")</f>
        <v>22.8</v>
      </c>
      <c r="R150" s="100">
        <f>IFERROR(VLOOKUP(Tablo517[[#This Row],[ÜRÜN KODU]],YMKODLARI!$A$1:$K$363,6,0)," ")</f>
        <v>21.2</v>
      </c>
      <c r="S150" s="100">
        <f>IFERROR(Tablo517[[#This Row],[YOLLUK HARİÇ BASKI GRAMI]]/Tablo517[[#This Row],[KALIP GÖZ ADEDİ]]," ")</f>
        <v>5.3</v>
      </c>
      <c r="T150" s="100">
        <f t="shared" si="17"/>
        <v>1.6000000000000014</v>
      </c>
      <c r="U150" s="100">
        <v>2</v>
      </c>
      <c r="V150" s="100">
        <f t="shared" si="16"/>
        <v>10.0136</v>
      </c>
      <c r="W150" s="101">
        <f t="shared" si="18"/>
        <v>24.125</v>
      </c>
      <c r="X150" s="102">
        <f t="shared" si="19"/>
        <v>3</v>
      </c>
      <c r="Y150" s="100">
        <f t="shared" si="20"/>
        <v>2.52</v>
      </c>
      <c r="Z150" s="100">
        <f t="shared" si="21"/>
        <v>1512</v>
      </c>
    </row>
    <row r="151" spans="1:26">
      <c r="A151" s="100" t="s">
        <v>117</v>
      </c>
      <c r="B151" s="108" t="str">
        <f>IFERROR(VLOOKUP(Tablo517[[#This Row],[ÜRÜN KODU]],YMKODLARI!$A$1:$K$363,2,0)," ")</f>
        <v>SULUK 30ml KAPAK</v>
      </c>
      <c r="C151" s="99">
        <v>44076</v>
      </c>
      <c r="D151" s="100" t="s">
        <v>33</v>
      </c>
      <c r="E151" s="101">
        <v>0.51041666666666663</v>
      </c>
      <c r="F151" s="101">
        <v>0.63194444444444442</v>
      </c>
      <c r="G151" s="100">
        <f>IFERROR(VLOOKUP(Tablo517[[#This Row],[ÜRÜN KODU]],YMKODLARI!$A$1:$K$363,3,0)," ")</f>
        <v>4</v>
      </c>
      <c r="H151" s="100">
        <f>IFERROR(VLOOKUP(Tablo517[[#This Row],[ÜRÜN KODU]],YMKODLARI!$A$1:$K$363,4,0)," ")</f>
        <v>24</v>
      </c>
      <c r="I151" s="100">
        <v>316</v>
      </c>
      <c r="J151" s="100">
        <f>IFERROR(VLOOKUP(Tablo517[[#This Row],[ÜRÜN KODU]],YMKODLARI!$A$1:$K$363,9,0)," ")</f>
        <v>1290</v>
      </c>
      <c r="K151" s="100" t="str">
        <f>IFERROR(VLOOKUP(Tablo517[[#This Row],[BOYA KODU]],Tablo14[#All],4,0)," ")</f>
        <v>SARI</v>
      </c>
      <c r="L151" s="100">
        <f>IFERROR(VLOOKUP(Tablo517[[#This Row],[BOYA KODU]],Tablo14[#All],6,0)," ")</f>
        <v>5.0000000000000001E-3</v>
      </c>
      <c r="M151" s="100">
        <f t="shared" si="15"/>
        <v>36.024000000000001</v>
      </c>
      <c r="N151" s="100" t="str">
        <f>IFERROR(VLOOKUP(Tablo517[[#This Row],[ÜRÜN KODU]],YMKODLARI!$A$1:$K$363,8,0)," ")</f>
        <v>HM 001</v>
      </c>
      <c r="O151" s="100" t="str">
        <f>IFERROR(VLOOKUP(Tablo517[[#This Row],[HAMMADDE KODU]],Tablo1[#All],3,0)," ")</f>
        <v>CAPILENE</v>
      </c>
      <c r="P151" s="100" t="str">
        <f>IFERROR(VLOOKUP(Tablo517[[#This Row],[HAMMADDE KODU]],Tablo1[#All],4,0)," ")</f>
        <v>PİNHAS</v>
      </c>
      <c r="Q151" s="100">
        <f>IFERROR(VLOOKUP(Tablo517[[#This Row],[ÜRÜN KODU]],YMKODLARI!$A$1:$K$363,5,0)," ")</f>
        <v>22.8</v>
      </c>
      <c r="R151" s="100">
        <f>IFERROR(VLOOKUP(Tablo517[[#This Row],[ÜRÜN KODU]],YMKODLARI!$A$1:$K$363,6,0)," ")</f>
        <v>21.2</v>
      </c>
      <c r="S151" s="100">
        <f>IFERROR(Tablo517[[#This Row],[YOLLUK HARİÇ BASKI GRAMI]]/Tablo517[[#This Row],[KALIP GÖZ ADEDİ]]," ")</f>
        <v>5.3</v>
      </c>
      <c r="T151" s="100">
        <f t="shared" si="17"/>
        <v>1.6000000000000014</v>
      </c>
      <c r="U151" s="100">
        <v>1.3</v>
      </c>
      <c r="V151" s="100">
        <f t="shared" si="16"/>
        <v>7.9991999999999992</v>
      </c>
      <c r="W151" s="101">
        <f t="shared" si="18"/>
        <v>24.121527777777779</v>
      </c>
      <c r="X151" s="102">
        <f t="shared" si="19"/>
        <v>2.9166666666666856</v>
      </c>
      <c r="Y151" s="100">
        <f t="shared" si="20"/>
        <v>2.1066666666666665</v>
      </c>
      <c r="Z151" s="100">
        <f t="shared" si="21"/>
        <v>1264</v>
      </c>
    </row>
    <row r="152" spans="1:26">
      <c r="A152" s="100" t="s">
        <v>81</v>
      </c>
      <c r="B152" s="108" t="str">
        <f>IFERROR(VLOOKUP(Tablo517[[#This Row],[ÜRÜN KODU]],YMKODLARI!$A$1:$K$363,2,0)," ")</f>
        <v>SULUK 30ml KAPAK</v>
      </c>
      <c r="C152" s="99">
        <v>44076</v>
      </c>
      <c r="D152" s="100" t="s">
        <v>33</v>
      </c>
      <c r="E152" s="101">
        <v>0.63194444444444442</v>
      </c>
      <c r="F152" s="101">
        <v>0.73958333333333337</v>
      </c>
      <c r="G152" s="100">
        <f>IFERROR(VLOOKUP(Tablo517[[#This Row],[ÜRÜN KODU]],YMKODLARI!$A$1:$K$363,3,0)," ")</f>
        <v>4</v>
      </c>
      <c r="H152" s="100">
        <f>IFERROR(VLOOKUP(Tablo517[[#This Row],[ÜRÜN KODU]],YMKODLARI!$A$1:$K$363,4,0)," ")</f>
        <v>24</v>
      </c>
      <c r="I152" s="100">
        <v>329</v>
      </c>
      <c r="J152" s="100">
        <f>IFERROR(VLOOKUP(Tablo517[[#This Row],[ÜRÜN KODU]],YMKODLARI!$A$1:$K$363,9,0)," ")</f>
        <v>3409</v>
      </c>
      <c r="K152" s="100" t="str">
        <f>IFERROR(VLOOKUP(Tablo517[[#This Row],[BOYA KODU]],Tablo14[#All],4,0)," ")</f>
        <v>PEMBE</v>
      </c>
      <c r="L152" s="100">
        <f>IFERROR(VLOOKUP(Tablo517[[#This Row],[BOYA KODU]],Tablo14[#All],6,0)," ")</f>
        <v>5.0000000000000001E-3</v>
      </c>
      <c r="M152" s="100">
        <f t="shared" si="15"/>
        <v>37.999500000000005</v>
      </c>
      <c r="N152" s="100" t="str">
        <f>IFERROR(VLOOKUP(Tablo517[[#This Row],[ÜRÜN KODU]],YMKODLARI!$A$1:$K$363,8,0)," ")</f>
        <v>HM 001</v>
      </c>
      <c r="O152" s="100" t="str">
        <f>IFERROR(VLOOKUP(Tablo517[[#This Row],[HAMMADDE KODU]],Tablo1[#All],3,0)," ")</f>
        <v>CAPILENE</v>
      </c>
      <c r="P152" s="100" t="str">
        <f>IFERROR(VLOOKUP(Tablo517[[#This Row],[HAMMADDE KODU]],Tablo1[#All],4,0)," ")</f>
        <v>PİNHAS</v>
      </c>
      <c r="Q152" s="100">
        <f>IFERROR(VLOOKUP(Tablo517[[#This Row],[ÜRÜN KODU]],YMKODLARI!$A$1:$K$363,5,0)," ")</f>
        <v>23.1</v>
      </c>
      <c r="R152" s="100">
        <f>IFERROR(VLOOKUP(Tablo517[[#This Row],[ÜRÜN KODU]],YMKODLARI!$A$1:$K$363,6,0)," ")</f>
        <v>21.4</v>
      </c>
      <c r="S152" s="100">
        <f>IFERROR(Tablo517[[#This Row],[YOLLUK HARİÇ BASKI GRAMI]]/Tablo517[[#This Row],[KALIP GÖZ ADEDİ]]," ")</f>
        <v>5.35</v>
      </c>
      <c r="T152" s="100">
        <f t="shared" si="17"/>
        <v>1.7000000000000028</v>
      </c>
      <c r="U152" s="100">
        <v>1.8</v>
      </c>
      <c r="V152" s="100">
        <f t="shared" si="16"/>
        <v>8.8406000000000002</v>
      </c>
      <c r="W152" s="101">
        <f t="shared" si="18"/>
        <v>24.107638888888889</v>
      </c>
      <c r="X152" s="102">
        <f t="shared" si="19"/>
        <v>2.5833333333333428</v>
      </c>
      <c r="Y152" s="100">
        <f t="shared" si="20"/>
        <v>2.1933333333333334</v>
      </c>
      <c r="Z152" s="100">
        <f t="shared" si="21"/>
        <v>1316</v>
      </c>
    </row>
    <row r="153" spans="1:26">
      <c r="A153" s="100" t="s">
        <v>82</v>
      </c>
      <c r="B153" s="108" t="str">
        <f>IFERROR(VLOOKUP(Tablo517[[#This Row],[ÜRÜN KODU]],YMKODLARI!$A$1:$K$363,2,0)," ")</f>
        <v>SULUK 30ml KAPAK</v>
      </c>
      <c r="C153" s="99">
        <v>44076</v>
      </c>
      <c r="D153" s="100" t="s">
        <v>33</v>
      </c>
      <c r="E153" s="101">
        <v>0.73958333333333337</v>
      </c>
      <c r="F153" s="101">
        <v>0.75</v>
      </c>
      <c r="G153" s="100">
        <f>IFERROR(VLOOKUP(Tablo517[[#This Row],[ÜRÜN KODU]],YMKODLARI!$A$1:$K$363,3,0)," ")</f>
        <v>4</v>
      </c>
      <c r="H153" s="100">
        <f>IFERROR(VLOOKUP(Tablo517[[#This Row],[ÜRÜN KODU]],YMKODLARI!$A$1:$K$363,4,0)," ")</f>
        <v>24</v>
      </c>
      <c r="I153" s="100">
        <v>31</v>
      </c>
      <c r="J153" s="100">
        <f>IFERROR(VLOOKUP(Tablo517[[#This Row],[ÜRÜN KODU]],YMKODLARI!$A$1:$K$363,9,0)," ")</f>
        <v>5287</v>
      </c>
      <c r="K153" s="100" t="str">
        <f>IFERROR(VLOOKUP(Tablo517[[#This Row],[BOYA KODU]],Tablo14[#All],4,0)," ")</f>
        <v>MAVİ</v>
      </c>
      <c r="L153" s="100">
        <f>IFERROR(VLOOKUP(Tablo517[[#This Row],[BOYA KODU]],Tablo14[#All],6,0)," ")</f>
        <v>5.0000000000000001E-3</v>
      </c>
      <c r="M153" s="100">
        <f t="shared" si="15"/>
        <v>3.5340000000000003</v>
      </c>
      <c r="N153" s="100" t="str">
        <f>IFERROR(VLOOKUP(Tablo517[[#This Row],[ÜRÜN KODU]],YMKODLARI!$A$1:$K$363,8,0)," ")</f>
        <v>HM 001</v>
      </c>
      <c r="O153" s="100" t="str">
        <f>IFERROR(VLOOKUP(Tablo517[[#This Row],[HAMMADDE KODU]],Tablo1[#All],3,0)," ")</f>
        <v>CAPILENE</v>
      </c>
      <c r="P153" s="100" t="str">
        <f>IFERROR(VLOOKUP(Tablo517[[#This Row],[HAMMADDE KODU]],Tablo1[#All],4,0)," ")</f>
        <v>PİNHAS</v>
      </c>
      <c r="Q153" s="100">
        <f>IFERROR(VLOOKUP(Tablo517[[#This Row],[ÜRÜN KODU]],YMKODLARI!$A$1:$K$363,5,0)," ")</f>
        <v>22.8</v>
      </c>
      <c r="R153" s="100">
        <f>IFERROR(VLOOKUP(Tablo517[[#This Row],[ÜRÜN KODU]],YMKODLARI!$A$1:$K$363,6,0)," ")</f>
        <v>21.2</v>
      </c>
      <c r="S153" s="100">
        <f>IFERROR(Tablo517[[#This Row],[YOLLUK HARİÇ BASKI GRAMI]]/Tablo517[[#This Row],[KALIP GÖZ ADEDİ]]," ")</f>
        <v>5.3</v>
      </c>
      <c r="T153" s="100">
        <f t="shared" si="17"/>
        <v>1.6000000000000014</v>
      </c>
      <c r="U153" s="100"/>
      <c r="V153" s="100">
        <f t="shared" si="16"/>
        <v>0.6571999999999999</v>
      </c>
      <c r="W153" s="101">
        <f t="shared" si="18"/>
        <v>24.010416666666668</v>
      </c>
      <c r="X153" s="102">
        <f t="shared" si="19"/>
        <v>0.25000000000002842</v>
      </c>
      <c r="Y153" s="100">
        <f t="shared" si="20"/>
        <v>0.20666666666666667</v>
      </c>
      <c r="Z153" s="100">
        <f t="shared" si="21"/>
        <v>124</v>
      </c>
    </row>
    <row r="154" spans="1:26">
      <c r="A154" s="100" t="s">
        <v>82</v>
      </c>
      <c r="B154" s="108" t="str">
        <f>IFERROR(VLOOKUP(Tablo517[[#This Row],[ÜRÜN KODU]],YMKODLARI!$A$1:$K$363,2,0)," ")</f>
        <v>SULUK 30ml KAPAK</v>
      </c>
      <c r="C154" s="99">
        <v>44077</v>
      </c>
      <c r="D154" s="100" t="s">
        <v>33</v>
      </c>
      <c r="E154" s="101">
        <v>0.34027777777777773</v>
      </c>
      <c r="F154" s="101">
        <v>0.4375</v>
      </c>
      <c r="G154" s="100">
        <f>IFERROR(VLOOKUP(Tablo517[[#This Row],[ÜRÜN KODU]],YMKODLARI!$A$1:$K$363,3,0)," ")</f>
        <v>4</v>
      </c>
      <c r="H154" s="100">
        <f>IFERROR(VLOOKUP(Tablo517[[#This Row],[ÜRÜN KODU]],YMKODLARI!$A$1:$K$363,4,0)," ")</f>
        <v>24</v>
      </c>
      <c r="I154" s="100">
        <v>282</v>
      </c>
      <c r="J154" s="100">
        <f>IFERROR(VLOOKUP(Tablo517[[#This Row],[ÜRÜN KODU]],YMKODLARI!$A$1:$K$363,9,0)," ")</f>
        <v>5287</v>
      </c>
      <c r="K154" s="100" t="str">
        <f>IFERROR(VLOOKUP(Tablo517[[#This Row],[BOYA KODU]],Tablo14[#All],4,0)," ")</f>
        <v>MAVİ</v>
      </c>
      <c r="L154" s="100">
        <f>IFERROR(VLOOKUP(Tablo517[[#This Row],[BOYA KODU]],Tablo14[#All],6,0)," ")</f>
        <v>5.0000000000000001E-3</v>
      </c>
      <c r="M154" s="100">
        <f t="shared" si="15"/>
        <v>32.148000000000003</v>
      </c>
      <c r="N154" s="100" t="str">
        <f>IFERROR(VLOOKUP(Tablo517[[#This Row],[ÜRÜN KODU]],YMKODLARI!$A$1:$K$363,8,0)," ")</f>
        <v>HM 001</v>
      </c>
      <c r="O154" s="100" t="str">
        <f>IFERROR(VLOOKUP(Tablo517[[#This Row],[HAMMADDE KODU]],Tablo1[#All],3,0)," ")</f>
        <v>CAPILENE</v>
      </c>
      <c r="P154" s="100" t="str">
        <f>IFERROR(VLOOKUP(Tablo517[[#This Row],[HAMMADDE KODU]],Tablo1[#All],4,0)," ")</f>
        <v>PİNHAS</v>
      </c>
      <c r="Q154" s="100">
        <f>IFERROR(VLOOKUP(Tablo517[[#This Row],[ÜRÜN KODU]],YMKODLARI!$A$1:$K$363,5,0)," ")</f>
        <v>22.8</v>
      </c>
      <c r="R154" s="100">
        <f>IFERROR(VLOOKUP(Tablo517[[#This Row],[ÜRÜN KODU]],YMKODLARI!$A$1:$K$363,6,0)," ")</f>
        <v>21.2</v>
      </c>
      <c r="S154" s="100">
        <f>IFERROR(Tablo517[[#This Row],[YOLLUK HARİÇ BASKI GRAMI]]/Tablo517[[#This Row],[KALIP GÖZ ADEDİ]]," ")</f>
        <v>5.3</v>
      </c>
      <c r="T154" s="100">
        <f t="shared" si="17"/>
        <v>1.6000000000000014</v>
      </c>
      <c r="U154" s="100">
        <v>1.1000000000000001</v>
      </c>
      <c r="V154" s="100">
        <f t="shared" si="16"/>
        <v>7.0784000000000002</v>
      </c>
      <c r="W154" s="101">
        <f t="shared" si="18"/>
        <v>24.097222222222221</v>
      </c>
      <c r="X154" s="102">
        <f t="shared" si="19"/>
        <v>2.3333333333333144</v>
      </c>
      <c r="Y154" s="100">
        <f t="shared" si="20"/>
        <v>1.88</v>
      </c>
      <c r="Z154" s="100">
        <f t="shared" si="21"/>
        <v>1128</v>
      </c>
    </row>
    <row r="155" spans="1:26">
      <c r="A155" s="100" t="s">
        <v>118</v>
      </c>
      <c r="B155" s="108" t="str">
        <f>IFERROR(VLOOKUP(Tablo517[[#This Row],[ÜRÜN KODU]],YMKODLARI!$A$1:$K$363,2,0)," ")</f>
        <v>SULUK 30ml KAPAK</v>
      </c>
      <c r="C155" s="99">
        <v>44077</v>
      </c>
      <c r="D155" s="100" t="s">
        <v>33</v>
      </c>
      <c r="E155" s="101">
        <v>0.4375</v>
      </c>
      <c r="F155" s="101">
        <v>0.48958333333333331</v>
      </c>
      <c r="G155" s="100">
        <f>IFERROR(VLOOKUP(Tablo517[[#This Row],[ÜRÜN KODU]],YMKODLARI!$A$1:$K$363,3,0)," ")</f>
        <v>4</v>
      </c>
      <c r="H155" s="100">
        <f>IFERROR(VLOOKUP(Tablo517[[#This Row],[ÜRÜN KODU]],YMKODLARI!$A$1:$K$363,4,0)," ")</f>
        <v>24</v>
      </c>
      <c r="I155" s="100">
        <v>175</v>
      </c>
      <c r="J155" s="100">
        <f>IFERROR(VLOOKUP(Tablo517[[#This Row],[ÜRÜN KODU]],YMKODLARI!$A$1:$K$363,9,0)," ")</f>
        <v>4090</v>
      </c>
      <c r="K155" s="100" t="str">
        <f>IFERROR(VLOOKUP(Tablo517[[#This Row],[BOYA KODU]],Tablo14[#All],4,0)," ")</f>
        <v>LİLA</v>
      </c>
      <c r="L155" s="100">
        <f>IFERROR(VLOOKUP(Tablo517[[#This Row],[BOYA KODU]],Tablo14[#All],6,0)," ")</f>
        <v>5.0000000000000001E-3</v>
      </c>
      <c r="M155" s="100">
        <f t="shared" si="15"/>
        <v>19.95</v>
      </c>
      <c r="N155" s="100" t="str">
        <f>IFERROR(VLOOKUP(Tablo517[[#This Row],[ÜRÜN KODU]],YMKODLARI!$A$1:$K$363,8,0)," ")</f>
        <v>HM 001</v>
      </c>
      <c r="O155" s="100" t="str">
        <f>IFERROR(VLOOKUP(Tablo517[[#This Row],[HAMMADDE KODU]],Tablo1[#All],3,0)," ")</f>
        <v>CAPILENE</v>
      </c>
      <c r="P155" s="100" t="str">
        <f>IFERROR(VLOOKUP(Tablo517[[#This Row],[HAMMADDE KODU]],Tablo1[#All],4,0)," ")</f>
        <v>PİNHAS</v>
      </c>
      <c r="Q155" s="100">
        <f>IFERROR(VLOOKUP(Tablo517[[#This Row],[ÜRÜN KODU]],YMKODLARI!$A$1:$K$363,5,0)," ")</f>
        <v>22.8</v>
      </c>
      <c r="R155" s="100">
        <f>IFERROR(VLOOKUP(Tablo517[[#This Row],[ÜRÜN KODU]],YMKODLARI!$A$1:$K$363,6,0)," ")</f>
        <v>21.2</v>
      </c>
      <c r="S155" s="100">
        <f>IFERROR(Tablo517[[#This Row],[YOLLUK HARİÇ BASKI GRAMI]]/Tablo517[[#This Row],[KALIP GÖZ ADEDİ]]," ")</f>
        <v>5.3</v>
      </c>
      <c r="T155" s="100">
        <f t="shared" si="17"/>
        <v>1.6000000000000014</v>
      </c>
      <c r="U155" s="100">
        <v>0.7</v>
      </c>
      <c r="V155" s="100">
        <f t="shared" si="16"/>
        <v>4.41</v>
      </c>
      <c r="W155" s="101">
        <f t="shared" si="18"/>
        <v>24.052083333333332</v>
      </c>
      <c r="X155" s="102">
        <f t="shared" si="19"/>
        <v>1.2499999999999716</v>
      </c>
      <c r="Y155" s="100">
        <f t="shared" si="20"/>
        <v>1.1666666666666667</v>
      </c>
      <c r="Z155" s="100">
        <f t="shared" si="21"/>
        <v>700</v>
      </c>
    </row>
    <row r="156" spans="1:26">
      <c r="A156" s="100" t="s">
        <v>119</v>
      </c>
      <c r="B156" s="108" t="str">
        <f>IFERROR(VLOOKUP(Tablo517[[#This Row],[ÜRÜN KODU]],YMKODLARI!$A$1:$K$363,2,0)," ")</f>
        <v>SULUK 30ml KAPAK</v>
      </c>
      <c r="C156" s="99">
        <v>44077</v>
      </c>
      <c r="D156" s="100" t="s">
        <v>33</v>
      </c>
      <c r="E156" s="101">
        <v>0.48958333333333331</v>
      </c>
      <c r="F156" s="101">
        <v>0.60069444444444442</v>
      </c>
      <c r="G156" s="100">
        <f>IFERROR(VLOOKUP(Tablo517[[#This Row],[ÜRÜN KODU]],YMKODLARI!$A$1:$K$363,3,0)," ")</f>
        <v>4</v>
      </c>
      <c r="H156" s="100">
        <f>IFERROR(VLOOKUP(Tablo517[[#This Row],[ÜRÜN KODU]],YMKODLARI!$A$1:$K$363,4,0)," ")</f>
        <v>24</v>
      </c>
      <c r="I156" s="100">
        <v>320</v>
      </c>
      <c r="J156" s="100">
        <f>IFERROR(VLOOKUP(Tablo517[[#This Row],[ÜRÜN KODU]],YMKODLARI!$A$1:$K$363,9,0)," ")</f>
        <v>3041</v>
      </c>
      <c r="K156" s="100" t="str">
        <f>IFERROR(VLOOKUP(Tablo517[[#This Row],[BOYA KODU]],Tablo14[#All],4,0)," ")</f>
        <v>KIRMIZI</v>
      </c>
      <c r="L156" s="100">
        <f>IFERROR(VLOOKUP(Tablo517[[#This Row],[BOYA KODU]],Tablo14[#All],6,0)," ")</f>
        <v>5.0000000000000001E-3</v>
      </c>
      <c r="M156" s="100">
        <f t="shared" si="15"/>
        <v>36.480000000000004</v>
      </c>
      <c r="N156" s="100" t="str">
        <f>IFERROR(VLOOKUP(Tablo517[[#This Row],[ÜRÜN KODU]],YMKODLARI!$A$1:$K$363,8,0)," ")</f>
        <v>HM 001</v>
      </c>
      <c r="O156" s="100" t="str">
        <f>IFERROR(VLOOKUP(Tablo517[[#This Row],[HAMMADDE KODU]],Tablo1[#All],3,0)," ")</f>
        <v>CAPILENE</v>
      </c>
      <c r="P156" s="100" t="str">
        <f>IFERROR(VLOOKUP(Tablo517[[#This Row],[HAMMADDE KODU]],Tablo1[#All],4,0)," ")</f>
        <v>PİNHAS</v>
      </c>
      <c r="Q156" s="100">
        <f>IFERROR(VLOOKUP(Tablo517[[#This Row],[ÜRÜN KODU]],YMKODLARI!$A$1:$K$363,5,0)," ")</f>
        <v>22.8</v>
      </c>
      <c r="R156" s="100">
        <f>IFERROR(VLOOKUP(Tablo517[[#This Row],[ÜRÜN KODU]],YMKODLARI!$A$1:$K$363,6,0)," ")</f>
        <v>21.2</v>
      </c>
      <c r="S156" s="100">
        <f>IFERROR(Tablo517[[#This Row],[YOLLUK HARİÇ BASKI GRAMI]]/Tablo517[[#This Row],[KALIP GÖZ ADEDİ]]," ")</f>
        <v>5.3</v>
      </c>
      <c r="T156" s="100">
        <f t="shared" si="17"/>
        <v>1.6000000000000014</v>
      </c>
      <c r="U156" s="100">
        <v>1.7</v>
      </c>
      <c r="V156" s="100">
        <f t="shared" si="16"/>
        <v>8.484</v>
      </c>
      <c r="W156" s="101">
        <f t="shared" si="18"/>
        <v>24.111111111111111</v>
      </c>
      <c r="X156" s="102">
        <f t="shared" si="19"/>
        <v>2.6666666666666572</v>
      </c>
      <c r="Y156" s="100">
        <f t="shared" si="20"/>
        <v>2.1333333333333333</v>
      </c>
      <c r="Z156" s="100">
        <f t="shared" si="21"/>
        <v>1280</v>
      </c>
    </row>
    <row r="157" spans="1:26">
      <c r="A157" s="99" t="s">
        <v>55</v>
      </c>
      <c r="B157" s="108" t="str">
        <f>IFERROR(VLOOKUP(Tablo517[[#This Row],[ÜRÜN KODU]],YMKODLARI!$A$1:$K$363,2,0)," ")</f>
        <v>BİBERON SEYAHAT TIPASI</v>
      </c>
      <c r="C157" s="99">
        <v>44089</v>
      </c>
      <c r="D157" s="100" t="s">
        <v>120</v>
      </c>
      <c r="E157" s="101">
        <v>0.5625</v>
      </c>
      <c r="F157" s="101">
        <v>0.75</v>
      </c>
      <c r="G157" s="100">
        <f>IFERROR(VLOOKUP(Tablo517[[#This Row],[ÜRÜN KODU]],YMKODLARI!$A$1:$K$363,3,0)," ")</f>
        <v>8</v>
      </c>
      <c r="H157" s="100">
        <f>IFERROR(VLOOKUP(Tablo517[[#This Row],[ÜRÜN KODU]],YMKODLARI!$A$1:$K$363,4,0)," ")</f>
        <v>15</v>
      </c>
      <c r="I157" s="100">
        <v>935</v>
      </c>
      <c r="J157" s="100" t="str">
        <f>IFERROR(VLOOKUP(Tablo517[[#This Row],[ÜRÜN KODU]],YMKODLARI!$A$1:$K$363,9,0)," ")</f>
        <v>BEYAZ</v>
      </c>
      <c r="K157" s="100" t="str">
        <f>IFERROR(VLOOKUP(Tablo517[[#This Row],[BOYA KODU]],Tablo14[#All],4,0)," ")</f>
        <v xml:space="preserve"> </v>
      </c>
      <c r="L157" s="100" t="str">
        <f>IFERROR(VLOOKUP(Tablo517[[#This Row],[BOYA KODU]],Tablo14[#All],6,0)," ")</f>
        <v xml:space="preserve"> </v>
      </c>
      <c r="M157" s="100" t="str">
        <f t="shared" si="15"/>
        <v xml:space="preserve"> </v>
      </c>
      <c r="N157" s="100" t="str">
        <f>IFERROR(VLOOKUP(Tablo517[[#This Row],[ÜRÜN KODU]],YMKODLARI!$A$1:$K$363,8,0)," ")</f>
        <v>HM 010</v>
      </c>
      <c r="O157" s="100" t="str">
        <f>IFERROR(VLOOKUP(Tablo517[[#This Row],[HAMMADDE KODU]],Tablo1[#All],3,0)," ")</f>
        <v>KIRMA PP</v>
      </c>
      <c r="P157" s="100" t="str">
        <f>IFERROR(VLOOKUP(Tablo517[[#This Row],[HAMMADDE KODU]],Tablo1[#All],4,0)," ")</f>
        <v>KIRMA</v>
      </c>
      <c r="Q157" s="100">
        <f>IFERROR(VLOOKUP(Tablo517[[#This Row],[ÜRÜN KODU]],YMKODLARI!$A$1:$K$363,5,0)," ")</f>
        <v>13</v>
      </c>
      <c r="R157" s="100">
        <f>IFERROR(VLOOKUP(Tablo517[[#This Row],[ÜRÜN KODU]],YMKODLARI!$A$1:$K$363,6,0)," ")</f>
        <v>10.7</v>
      </c>
      <c r="S157" s="100">
        <f>IFERROR(Tablo517[[#This Row],[YOLLUK HARİÇ BASKI GRAMI]]/Tablo517[[#This Row],[KALIP GÖZ ADEDİ]]," ")</f>
        <v>1.3374999999999999</v>
      </c>
      <c r="T157" s="100">
        <f t="shared" si="17"/>
        <v>2.3000000000000007</v>
      </c>
      <c r="U157" s="100">
        <v>1.7</v>
      </c>
      <c r="V157" s="100">
        <f t="shared" si="16"/>
        <v>11.704499999999999</v>
      </c>
      <c r="W157" s="101">
        <f t="shared" si="18"/>
        <v>24.1875</v>
      </c>
      <c r="X157" s="102">
        <f t="shared" si="19"/>
        <v>4.5</v>
      </c>
      <c r="Y157" s="100">
        <f t="shared" si="20"/>
        <v>3.8958333333333335</v>
      </c>
      <c r="Z157" s="100">
        <f t="shared" si="21"/>
        <v>7480</v>
      </c>
    </row>
    <row r="158" spans="1:26">
      <c r="A158" s="99" t="s">
        <v>55</v>
      </c>
      <c r="B158" s="108" t="str">
        <f>IFERROR(VLOOKUP(Tablo517[[#This Row],[ÜRÜN KODU]],YMKODLARI!$A$1:$K$363,2,0)," ")</f>
        <v>BİBERON SEYAHAT TIPASI</v>
      </c>
      <c r="C158" s="99">
        <v>44090</v>
      </c>
      <c r="D158" s="100" t="s">
        <v>37</v>
      </c>
      <c r="E158" s="101">
        <v>0.33333333333333331</v>
      </c>
      <c r="F158" s="101">
        <v>0.6875</v>
      </c>
      <c r="G158" s="100">
        <f>IFERROR(VLOOKUP(Tablo517[[#This Row],[ÜRÜN KODU]],YMKODLARI!$A$1:$K$363,3,0)," ")</f>
        <v>8</v>
      </c>
      <c r="H158" s="100">
        <f>IFERROR(VLOOKUP(Tablo517[[#This Row],[ÜRÜN KODU]],YMKODLARI!$A$1:$K$363,4,0)," ")</f>
        <v>15</v>
      </c>
      <c r="I158" s="100">
        <v>1673</v>
      </c>
      <c r="J158" s="100" t="str">
        <f>IFERROR(VLOOKUP(Tablo517[[#This Row],[ÜRÜN KODU]],YMKODLARI!$A$1:$K$363,9,0)," ")</f>
        <v>BEYAZ</v>
      </c>
      <c r="K158" s="100" t="str">
        <f>IFERROR(VLOOKUP(Tablo517[[#This Row],[BOYA KODU]],Tablo14[#All],4,0)," ")</f>
        <v xml:space="preserve"> </v>
      </c>
      <c r="L158" s="100" t="str">
        <f>IFERROR(VLOOKUP(Tablo517[[#This Row],[BOYA KODU]],Tablo14[#All],6,0)," ")</f>
        <v xml:space="preserve"> </v>
      </c>
      <c r="M158" s="100" t="str">
        <f t="shared" si="15"/>
        <v xml:space="preserve"> </v>
      </c>
      <c r="N158" s="100" t="str">
        <f>IFERROR(VLOOKUP(Tablo517[[#This Row],[ÜRÜN KODU]],YMKODLARI!$A$1:$K$363,8,0)," ")</f>
        <v>HM 010</v>
      </c>
      <c r="O158" s="100" t="str">
        <f>IFERROR(VLOOKUP(Tablo517[[#This Row],[HAMMADDE KODU]],Tablo1[#All],3,0)," ")</f>
        <v>KIRMA PP</v>
      </c>
      <c r="P158" s="100" t="str">
        <f>IFERROR(VLOOKUP(Tablo517[[#This Row],[HAMMADDE KODU]],Tablo1[#All],4,0)," ")</f>
        <v>KIRMA</v>
      </c>
      <c r="Q158" s="100">
        <f>IFERROR(VLOOKUP(Tablo517[[#This Row],[ÜRÜN KODU]],YMKODLARI!$A$1:$K$363,5,0)," ")</f>
        <v>13</v>
      </c>
      <c r="R158" s="100">
        <f>IFERROR(VLOOKUP(Tablo517[[#This Row],[ÜRÜN KODU]],YMKODLARI!$A$1:$K$363,6,0)," ")</f>
        <v>10.7</v>
      </c>
      <c r="S158" s="100">
        <f>IFERROR(Tablo517[[#This Row],[YOLLUK HARİÇ BASKI GRAMI]]/Tablo517[[#This Row],[KALIP GÖZ ADEDİ]]," ")</f>
        <v>1.3374999999999999</v>
      </c>
      <c r="T158" s="100">
        <f t="shared" si="17"/>
        <v>2.3000000000000007</v>
      </c>
      <c r="U158" s="100">
        <v>2.4</v>
      </c>
      <c r="V158" s="100">
        <f t="shared" si="16"/>
        <v>20.301099999999998</v>
      </c>
      <c r="W158" s="101">
        <f t="shared" si="18"/>
        <v>24.354166666666668</v>
      </c>
      <c r="X158" s="102">
        <f t="shared" si="19"/>
        <v>8.5000000000000284</v>
      </c>
      <c r="Y158" s="100">
        <f t="shared" si="20"/>
        <v>6.9708333333333332</v>
      </c>
      <c r="Z158" s="100">
        <f t="shared" si="21"/>
        <v>13384</v>
      </c>
    </row>
    <row r="159" spans="1:26">
      <c r="A159" s="100" t="s">
        <v>93</v>
      </c>
      <c r="B159" s="108" t="str">
        <f>IFERROR(VLOOKUP(Tablo517[[#This Row],[ÜRÜN KODU]],YMKODLARI!$A$1:$K$363,2,0)," ")</f>
        <v>EMZİK ASKI TIPA ÖRDEK</v>
      </c>
      <c r="C159" s="99">
        <v>44091</v>
      </c>
      <c r="D159" s="100" t="s">
        <v>36</v>
      </c>
      <c r="E159" s="101">
        <v>0.59722222222222221</v>
      </c>
      <c r="F159" s="101">
        <v>0.69791666666666663</v>
      </c>
      <c r="G159" s="100">
        <f>IFERROR(VLOOKUP(Tablo517[[#This Row],[ÜRÜN KODU]],YMKODLARI!$A$1:$K$363,3,0)," ")</f>
        <v>8</v>
      </c>
      <c r="H159" s="100">
        <f>IFERROR(VLOOKUP(Tablo517[[#This Row],[ÜRÜN KODU]],YMKODLARI!$A$1:$K$363,4,0)," ")</f>
        <v>20</v>
      </c>
      <c r="I159" s="100">
        <v>444</v>
      </c>
      <c r="J159" s="100">
        <f>IFERROR(VLOOKUP(Tablo517[[#This Row],[ÜRÜN KODU]],YMKODLARI!$A$1:$K$363,9,0)," ")</f>
        <v>3409</v>
      </c>
      <c r="K159" s="100" t="str">
        <f>IFERROR(VLOOKUP(Tablo517[[#This Row],[BOYA KODU]],Tablo14[#All],4,0)," ")</f>
        <v>PEMBE</v>
      </c>
      <c r="L159" s="100">
        <f>IFERROR(VLOOKUP(Tablo517[[#This Row],[BOYA KODU]],Tablo14[#All],6,0)," ")</f>
        <v>5.0000000000000001E-3</v>
      </c>
      <c r="M159" s="100">
        <f t="shared" si="15"/>
        <v>29.526000000000003</v>
      </c>
      <c r="N159" s="100" t="str">
        <f>IFERROR(VLOOKUP(Tablo517[[#This Row],[ÜRÜN KODU]],YMKODLARI!$A$1:$K$363,8,0)," ")</f>
        <v>HM 002</v>
      </c>
      <c r="O159" s="100" t="str">
        <f>IFERROR(VLOOKUP(Tablo517[[#This Row],[HAMMADDE KODU]],Tablo1[#All],3,0)," ")</f>
        <v>NOVAREX</v>
      </c>
      <c r="P159" s="100" t="str">
        <f>IFERROR(VLOOKUP(Tablo517[[#This Row],[HAMMADDE KODU]],Tablo1[#All],4,0)," ")</f>
        <v>PİNHAS</v>
      </c>
      <c r="Q159" s="100">
        <f>IFERROR(VLOOKUP(Tablo517[[#This Row],[ÜRÜN KODU]],YMKODLARI!$A$1:$K$363,5,0)," ")</f>
        <v>13.3</v>
      </c>
      <c r="R159" s="100">
        <f>IFERROR(VLOOKUP(Tablo517[[#This Row],[ÜRÜN KODU]],YMKODLARI!$A$1:$K$363,6,0)," ")</f>
        <v>11.4</v>
      </c>
      <c r="S159" s="100">
        <f>IFERROR(Tablo517[[#This Row],[YOLLUK HARİÇ BASKI GRAMI]]/Tablo517[[#This Row],[KALIP GÖZ ADEDİ]]," ")</f>
        <v>1.425</v>
      </c>
      <c r="T159" s="100">
        <f t="shared" si="17"/>
        <v>1.9000000000000004</v>
      </c>
      <c r="U159" s="100">
        <v>3.8</v>
      </c>
      <c r="V159" s="100">
        <f t="shared" si="16"/>
        <v>8.8615999999999993</v>
      </c>
      <c r="W159" s="101">
        <f t="shared" si="18"/>
        <v>24.100694444444443</v>
      </c>
      <c r="X159" s="102">
        <f t="shared" si="19"/>
        <v>2.4166666666666288</v>
      </c>
      <c r="Y159" s="100">
        <f t="shared" si="20"/>
        <v>2.4666666666666668</v>
      </c>
      <c r="Z159" s="100">
        <f t="shared" si="21"/>
        <v>3552</v>
      </c>
    </row>
    <row r="160" spans="1:26">
      <c r="A160" s="100" t="s">
        <v>94</v>
      </c>
      <c r="B160" s="108" t="str">
        <f>IFERROR(VLOOKUP(Tablo517[[#This Row],[ÜRÜN KODU]],YMKODLARI!$A$1:$K$363,2,0)," ")</f>
        <v>EMZİK ASKI TIPA ÖRDEK</v>
      </c>
      <c r="C160" s="99">
        <v>44091</v>
      </c>
      <c r="D160" s="100" t="s">
        <v>36</v>
      </c>
      <c r="E160" s="101">
        <v>0.70138888888888884</v>
      </c>
      <c r="F160" s="101">
        <v>0.75</v>
      </c>
      <c r="G160" s="100">
        <f>IFERROR(VLOOKUP(Tablo517[[#This Row],[ÜRÜN KODU]],YMKODLARI!$A$1:$K$363,3,0)," ")</f>
        <v>8</v>
      </c>
      <c r="H160" s="100">
        <f>IFERROR(VLOOKUP(Tablo517[[#This Row],[ÜRÜN KODU]],YMKODLARI!$A$1:$K$363,4,0)," ")</f>
        <v>20</v>
      </c>
      <c r="I160" s="100">
        <v>203</v>
      </c>
      <c r="J160" s="100">
        <f>IFERROR(VLOOKUP(Tablo517[[#This Row],[ÜRÜN KODU]],YMKODLARI!$A$1:$K$363,9,0)," ")</f>
        <v>5287</v>
      </c>
      <c r="K160" s="100" t="str">
        <f>IFERROR(VLOOKUP(Tablo517[[#This Row],[BOYA KODU]],Tablo14[#All],4,0)," ")</f>
        <v>MAVİ</v>
      </c>
      <c r="L160" s="100">
        <f>IFERROR(VLOOKUP(Tablo517[[#This Row],[BOYA KODU]],Tablo14[#All],6,0)," ")</f>
        <v>5.0000000000000001E-3</v>
      </c>
      <c r="M160" s="100">
        <f t="shared" si="15"/>
        <v>13.499500000000001</v>
      </c>
      <c r="N160" s="100" t="str">
        <f>IFERROR(VLOOKUP(Tablo517[[#This Row],[ÜRÜN KODU]],YMKODLARI!$A$1:$K$363,8,0)," ")</f>
        <v>HM 002</v>
      </c>
      <c r="O160" s="100" t="str">
        <f>IFERROR(VLOOKUP(Tablo517[[#This Row],[HAMMADDE KODU]],Tablo1[#All],3,0)," ")</f>
        <v>NOVAREX</v>
      </c>
      <c r="P160" s="100" t="str">
        <f>IFERROR(VLOOKUP(Tablo517[[#This Row],[HAMMADDE KODU]],Tablo1[#All],4,0)," ")</f>
        <v>PİNHAS</v>
      </c>
      <c r="Q160" s="100">
        <f>IFERROR(VLOOKUP(Tablo517[[#This Row],[ÜRÜN KODU]],YMKODLARI!$A$1:$K$363,5,0)," ")</f>
        <v>13.3</v>
      </c>
      <c r="R160" s="100">
        <f>IFERROR(VLOOKUP(Tablo517[[#This Row],[ÜRÜN KODU]],YMKODLARI!$A$1:$K$363,6,0)," ")</f>
        <v>11.4</v>
      </c>
      <c r="S160" s="100">
        <f>IFERROR(Tablo517[[#This Row],[YOLLUK HARİÇ BASKI GRAMI]]/Tablo517[[#This Row],[KALIP GÖZ ADEDİ]]," ")</f>
        <v>1.425</v>
      </c>
      <c r="T160" s="100">
        <f t="shared" si="17"/>
        <v>1.9000000000000004</v>
      </c>
      <c r="U160" s="100">
        <v>2</v>
      </c>
      <c r="V160" s="100">
        <f t="shared" si="16"/>
        <v>4.3142000000000005</v>
      </c>
      <c r="W160" s="101">
        <f t="shared" si="18"/>
        <v>24.048611111111111</v>
      </c>
      <c r="X160" s="102">
        <f t="shared" si="19"/>
        <v>1.1666666666666572</v>
      </c>
      <c r="Y160" s="100">
        <f t="shared" si="20"/>
        <v>1.1277777777777778</v>
      </c>
      <c r="Z160" s="100">
        <f t="shared" si="21"/>
        <v>1624</v>
      </c>
    </row>
    <row r="161" spans="1:26">
      <c r="A161" s="100" t="s">
        <v>94</v>
      </c>
      <c r="B161" s="108" t="str">
        <f>IFERROR(VLOOKUP(Tablo517[[#This Row],[ÜRÜN KODU]],YMKODLARI!$A$1:$K$363,2,0)," ")</f>
        <v>EMZİK ASKI TIPA ÖRDEK</v>
      </c>
      <c r="C161" s="99">
        <v>44092</v>
      </c>
      <c r="D161" s="100" t="s">
        <v>36</v>
      </c>
      <c r="E161" s="101">
        <v>0.33333333333333331</v>
      </c>
      <c r="F161" s="101">
        <v>0.43055555555555558</v>
      </c>
      <c r="G161" s="100">
        <f>IFERROR(VLOOKUP(Tablo517[[#This Row],[ÜRÜN KODU]],YMKODLARI!$A$1:$K$363,3,0)," ")</f>
        <v>8</v>
      </c>
      <c r="H161" s="100">
        <f>IFERROR(VLOOKUP(Tablo517[[#This Row],[ÜRÜN KODU]],YMKODLARI!$A$1:$K$363,4,0)," ")</f>
        <v>20</v>
      </c>
      <c r="I161" s="100">
        <v>306</v>
      </c>
      <c r="J161" s="100">
        <f>IFERROR(VLOOKUP(Tablo517[[#This Row],[ÜRÜN KODU]],YMKODLARI!$A$1:$K$363,9,0)," ")</f>
        <v>5287</v>
      </c>
      <c r="K161" s="100" t="str">
        <f>IFERROR(VLOOKUP(Tablo517[[#This Row],[BOYA KODU]],Tablo14[#All],4,0)," ")</f>
        <v>MAVİ</v>
      </c>
      <c r="L161" s="100">
        <f>IFERROR(VLOOKUP(Tablo517[[#This Row],[BOYA KODU]],Tablo14[#All],6,0)," ")</f>
        <v>5.0000000000000001E-3</v>
      </c>
      <c r="M161" s="100">
        <f t="shared" si="15"/>
        <v>20.349</v>
      </c>
      <c r="N161" s="100" t="str">
        <f>IFERROR(VLOOKUP(Tablo517[[#This Row],[ÜRÜN KODU]],YMKODLARI!$A$1:$K$363,8,0)," ")</f>
        <v>HM 002</v>
      </c>
      <c r="O161" s="100" t="str">
        <f>IFERROR(VLOOKUP(Tablo517[[#This Row],[HAMMADDE KODU]],Tablo1[#All],3,0)," ")</f>
        <v>NOVAREX</v>
      </c>
      <c r="P161" s="100" t="str">
        <f>IFERROR(VLOOKUP(Tablo517[[#This Row],[HAMMADDE KODU]],Tablo1[#All],4,0)," ")</f>
        <v>PİNHAS</v>
      </c>
      <c r="Q161" s="100">
        <f>IFERROR(VLOOKUP(Tablo517[[#This Row],[ÜRÜN KODU]],YMKODLARI!$A$1:$K$363,5,0)," ")</f>
        <v>13.3</v>
      </c>
      <c r="R161" s="100">
        <f>IFERROR(VLOOKUP(Tablo517[[#This Row],[ÜRÜN KODU]],YMKODLARI!$A$1:$K$363,6,0)," ")</f>
        <v>11.4</v>
      </c>
      <c r="S161" s="100">
        <f>IFERROR(Tablo517[[#This Row],[YOLLUK HARİÇ BASKI GRAMI]]/Tablo517[[#This Row],[KALIP GÖZ ADEDİ]]," ")</f>
        <v>1.425</v>
      </c>
      <c r="T161" s="100">
        <f t="shared" si="17"/>
        <v>1.9000000000000004</v>
      </c>
      <c r="U161" s="100">
        <v>2.2999999999999998</v>
      </c>
      <c r="V161" s="100">
        <f t="shared" si="16"/>
        <v>5.7883999999999993</v>
      </c>
      <c r="W161" s="101">
        <f t="shared" si="18"/>
        <v>24.097222222222221</v>
      </c>
      <c r="X161" s="102">
        <f t="shared" si="19"/>
        <v>2.3333333333333144</v>
      </c>
      <c r="Y161" s="100">
        <f t="shared" si="20"/>
        <v>1.7</v>
      </c>
      <c r="Z161" s="100">
        <f t="shared" si="21"/>
        <v>2448</v>
      </c>
    </row>
    <row r="162" spans="1:26">
      <c r="A162" s="100" t="s">
        <v>95</v>
      </c>
      <c r="B162" s="108" t="str">
        <f>IFERROR(VLOOKUP(Tablo517[[#This Row],[ÜRÜN KODU]],YMKODLARI!$A$1:$K$363,2,0)," ")</f>
        <v>EMZİK ASKI TIPA ÖRDEK</v>
      </c>
      <c r="C162" s="99">
        <v>44092</v>
      </c>
      <c r="D162" s="100" t="s">
        <v>36</v>
      </c>
      <c r="E162" s="101">
        <v>0.43402777777777773</v>
      </c>
      <c r="F162" s="101">
        <v>0.54166666666666663</v>
      </c>
      <c r="G162" s="100">
        <f>IFERROR(VLOOKUP(Tablo517[[#This Row],[ÜRÜN KODU]],YMKODLARI!$A$1:$K$363,3,0)," ")</f>
        <v>8</v>
      </c>
      <c r="H162" s="100">
        <f>IFERROR(VLOOKUP(Tablo517[[#This Row],[ÜRÜN KODU]],YMKODLARI!$A$1:$K$363,4,0)," ")</f>
        <v>20</v>
      </c>
      <c r="I162" s="100">
        <v>435</v>
      </c>
      <c r="J162" s="100">
        <f>IFERROR(VLOOKUP(Tablo517[[#This Row],[ÜRÜN KODU]],YMKODLARI!$A$1:$K$363,9,0)," ")</f>
        <v>4090</v>
      </c>
      <c r="K162" s="100" t="str">
        <f>IFERROR(VLOOKUP(Tablo517[[#This Row],[BOYA KODU]],Tablo14[#All],4,0)," ")</f>
        <v>LİLA</v>
      </c>
      <c r="L162" s="100">
        <f>IFERROR(VLOOKUP(Tablo517[[#This Row],[BOYA KODU]],Tablo14[#All],6,0)," ")</f>
        <v>5.0000000000000001E-3</v>
      </c>
      <c r="M162" s="100">
        <f t="shared" si="15"/>
        <v>28.927500000000002</v>
      </c>
      <c r="N162" s="100" t="str">
        <f>IFERROR(VLOOKUP(Tablo517[[#This Row],[ÜRÜN KODU]],YMKODLARI!$A$1:$K$363,8,0)," ")</f>
        <v>HM 002</v>
      </c>
      <c r="O162" s="100" t="str">
        <f>IFERROR(VLOOKUP(Tablo517[[#This Row],[HAMMADDE KODU]],Tablo1[#All],3,0)," ")</f>
        <v>NOVAREX</v>
      </c>
      <c r="P162" s="100" t="str">
        <f>IFERROR(VLOOKUP(Tablo517[[#This Row],[HAMMADDE KODU]],Tablo1[#All],4,0)," ")</f>
        <v>PİNHAS</v>
      </c>
      <c r="Q162" s="100">
        <f>IFERROR(VLOOKUP(Tablo517[[#This Row],[ÜRÜN KODU]],YMKODLARI!$A$1:$K$363,5,0)," ")</f>
        <v>13.3</v>
      </c>
      <c r="R162" s="100">
        <f>IFERROR(VLOOKUP(Tablo517[[#This Row],[ÜRÜN KODU]],YMKODLARI!$A$1:$K$363,6,0)," ")</f>
        <v>11.4</v>
      </c>
      <c r="S162" s="100">
        <f>IFERROR(Tablo517[[#This Row],[YOLLUK HARİÇ BASKI GRAMI]]/Tablo517[[#This Row],[KALIP GÖZ ADEDİ]]," ")</f>
        <v>1.425</v>
      </c>
      <c r="T162" s="100">
        <f t="shared" si="17"/>
        <v>1.9000000000000004</v>
      </c>
      <c r="U162" s="100"/>
      <c r="V162" s="100">
        <f t="shared" si="16"/>
        <v>4.9589999999999996</v>
      </c>
      <c r="W162" s="101">
        <f t="shared" si="18"/>
        <v>24.107638888888889</v>
      </c>
      <c r="X162" s="102">
        <f t="shared" si="19"/>
        <v>2.5833333333333428</v>
      </c>
      <c r="Y162" s="100">
        <f t="shared" si="20"/>
        <v>2.4166666666666665</v>
      </c>
      <c r="Z162" s="100">
        <f t="shared" si="21"/>
        <v>3480</v>
      </c>
    </row>
    <row r="163" spans="1:26">
      <c r="A163" s="100" t="s">
        <v>96</v>
      </c>
      <c r="B163" s="108" t="str">
        <f>IFERROR(VLOOKUP(Tablo517[[#This Row],[ÜRÜN KODU]],YMKODLARI!$A$1:$K$363,2,0)," ")</f>
        <v>EMZİK ASKI TIPA ÖRDEK</v>
      </c>
      <c r="C163" s="99">
        <v>44092</v>
      </c>
      <c r="D163" s="100" t="s">
        <v>36</v>
      </c>
      <c r="E163" s="101">
        <v>0.57638888888888895</v>
      </c>
      <c r="F163" s="101">
        <v>0.70833333333333337</v>
      </c>
      <c r="G163" s="100">
        <f>IFERROR(VLOOKUP(Tablo517[[#This Row],[ÜRÜN KODU]],YMKODLARI!$A$1:$K$363,3,0)," ")</f>
        <v>8</v>
      </c>
      <c r="H163" s="100">
        <f>IFERROR(VLOOKUP(Tablo517[[#This Row],[ÜRÜN KODU]],YMKODLARI!$A$1:$K$363,4,0)," ")</f>
        <v>20</v>
      </c>
      <c r="I163" s="100">
        <v>429</v>
      </c>
      <c r="J163" s="100">
        <f>IFERROR(VLOOKUP(Tablo517[[#This Row],[ÜRÜN KODU]],YMKODLARI!$A$1:$K$363,9,0)," ")</f>
        <v>3041</v>
      </c>
      <c r="K163" s="100" t="str">
        <f>IFERROR(VLOOKUP(Tablo517[[#This Row],[BOYA KODU]],Tablo14[#All],4,0)," ")</f>
        <v>KIRMIZI</v>
      </c>
      <c r="L163" s="100">
        <f>IFERROR(VLOOKUP(Tablo517[[#This Row],[BOYA KODU]],Tablo14[#All],6,0)," ")</f>
        <v>5.0000000000000001E-3</v>
      </c>
      <c r="M163" s="100">
        <f t="shared" si="15"/>
        <v>28.528500000000005</v>
      </c>
      <c r="N163" s="100" t="str">
        <f>IFERROR(VLOOKUP(Tablo517[[#This Row],[ÜRÜN KODU]],YMKODLARI!$A$1:$K$363,8,0)," ")</f>
        <v>HM 002</v>
      </c>
      <c r="O163" s="100" t="str">
        <f>IFERROR(VLOOKUP(Tablo517[[#This Row],[HAMMADDE KODU]],Tablo1[#All],3,0)," ")</f>
        <v>NOVAREX</v>
      </c>
      <c r="P163" s="100" t="str">
        <f>IFERROR(VLOOKUP(Tablo517[[#This Row],[HAMMADDE KODU]],Tablo1[#All],4,0)," ")</f>
        <v>PİNHAS</v>
      </c>
      <c r="Q163" s="100">
        <f>IFERROR(VLOOKUP(Tablo517[[#This Row],[ÜRÜN KODU]],YMKODLARI!$A$1:$K$363,5,0)," ")</f>
        <v>13.3</v>
      </c>
      <c r="R163" s="100">
        <f>IFERROR(VLOOKUP(Tablo517[[#This Row],[ÜRÜN KODU]],YMKODLARI!$A$1:$K$363,6,0)," ")</f>
        <v>11.4</v>
      </c>
      <c r="S163" s="100">
        <f>IFERROR(Tablo517[[#This Row],[YOLLUK HARİÇ BASKI GRAMI]]/Tablo517[[#This Row],[KALIP GÖZ ADEDİ]]," ")</f>
        <v>1.425</v>
      </c>
      <c r="T163" s="100">
        <f t="shared" si="17"/>
        <v>1.9000000000000004</v>
      </c>
      <c r="U163" s="100">
        <v>3</v>
      </c>
      <c r="V163" s="100">
        <f t="shared" si="16"/>
        <v>7.8906000000000001</v>
      </c>
      <c r="W163" s="101">
        <f t="shared" si="18"/>
        <v>24.131944444444443</v>
      </c>
      <c r="X163" s="102">
        <f t="shared" si="19"/>
        <v>3.1666666666666288</v>
      </c>
      <c r="Y163" s="100">
        <f t="shared" si="20"/>
        <v>2.3833333333333333</v>
      </c>
      <c r="Z163" s="100">
        <f t="shared" si="21"/>
        <v>3432</v>
      </c>
    </row>
    <row r="164" spans="1:26">
      <c r="A164" s="100" t="s">
        <v>110</v>
      </c>
      <c r="B164" s="108" t="str">
        <f>IFERROR(VLOOKUP(Tablo517[[#This Row],[ÜRÜN KODU]],YMKODLARI!$A$1:$K$363,2,0)," ")</f>
        <v>EMZİK ASKISI KISKAÇ ERKEK</v>
      </c>
      <c r="C164" s="99">
        <v>44095</v>
      </c>
      <c r="D164" s="100" t="s">
        <v>120</v>
      </c>
      <c r="E164" s="101"/>
      <c r="F164" s="101"/>
      <c r="G164" s="100">
        <f>IFERROR(VLOOKUP(Tablo517[[#This Row],[ÜRÜN KODU]],YMKODLARI!$A$1:$K$363,3,0)," ")</f>
        <v>4</v>
      </c>
      <c r="H164" s="100">
        <f>IFERROR(VLOOKUP(Tablo517[[#This Row],[ÜRÜN KODU]],YMKODLARI!$A$1:$K$363,4,0)," ")</f>
        <v>25</v>
      </c>
      <c r="I164" s="100">
        <v>920</v>
      </c>
      <c r="J164" s="100">
        <f>IFERROR(VLOOKUP(Tablo517[[#This Row],[ÜRÜN KODU]],YMKODLARI!$A$1:$K$363,9,0)," ")</f>
        <v>3041</v>
      </c>
      <c r="K164" s="100" t="str">
        <f>IFERROR(VLOOKUP(Tablo517[[#This Row],[BOYA KODU]],Tablo14[#All],4,0)," ")</f>
        <v>KIRMIZI</v>
      </c>
      <c r="L164" s="100">
        <f>IFERROR(VLOOKUP(Tablo517[[#This Row],[BOYA KODU]],Tablo14[#All],6,0)," ")</f>
        <v>5.0000000000000001E-3</v>
      </c>
      <c r="M164" s="100">
        <f t="shared" si="15"/>
        <v>56.58</v>
      </c>
      <c r="N164" s="100" t="str">
        <f>IFERROR(VLOOKUP(Tablo517[[#This Row],[ÜRÜN KODU]],YMKODLARI!$A$1:$K$363,8,0)," ")</f>
        <v>HM 002</v>
      </c>
      <c r="O164" s="100" t="str">
        <f>IFERROR(VLOOKUP(Tablo517[[#This Row],[HAMMADDE KODU]],Tablo1[#All],3,0)," ")</f>
        <v>NOVAREX</v>
      </c>
      <c r="P164" s="100" t="str">
        <f>IFERROR(VLOOKUP(Tablo517[[#This Row],[HAMMADDE KODU]],Tablo1[#All],4,0)," ")</f>
        <v>PİNHAS</v>
      </c>
      <c r="Q164" s="100">
        <f>IFERROR(VLOOKUP(Tablo517[[#This Row],[ÜRÜN KODU]],YMKODLARI!$A$1:$K$363,5,0)," ")</f>
        <v>12.3</v>
      </c>
      <c r="R164" s="100">
        <f>IFERROR(VLOOKUP(Tablo517[[#This Row],[ÜRÜN KODU]],YMKODLARI!$A$1:$K$363,6,0)," ")</f>
        <v>12.3</v>
      </c>
      <c r="S164" s="100">
        <f>IFERROR(Tablo517[[#This Row],[YOLLUK HARİÇ BASKI GRAMI]]/Tablo517[[#This Row],[KALIP GÖZ ADEDİ]]," ")</f>
        <v>3.0750000000000002</v>
      </c>
      <c r="T164" s="100">
        <f t="shared" si="17"/>
        <v>0</v>
      </c>
      <c r="U164" s="100">
        <v>1.5</v>
      </c>
      <c r="V164" s="100">
        <f t="shared" si="16"/>
        <v>12.816000000000001</v>
      </c>
      <c r="W164" s="101">
        <f t="shared" si="18"/>
        <v>24</v>
      </c>
      <c r="X164" s="102">
        <f t="shared" si="19"/>
        <v>0</v>
      </c>
      <c r="Y164" s="100">
        <f t="shared" si="20"/>
        <v>6.3888888888888893</v>
      </c>
      <c r="Z164" s="100">
        <f t="shared" si="21"/>
        <v>3680</v>
      </c>
    </row>
    <row r="165" spans="1:26">
      <c r="A165" s="100" t="s">
        <v>111</v>
      </c>
      <c r="B165" s="108" t="str">
        <f>IFERROR(VLOOKUP(Tablo517[[#This Row],[ÜRÜN KODU]],YMKODLARI!$A$1:$K$363,2,0)," ")</f>
        <v>EMZİK ASKISI KISKAÇ DİŞİ</v>
      </c>
      <c r="C165" s="99">
        <v>44095</v>
      </c>
      <c r="D165" s="100" t="s">
        <v>120</v>
      </c>
      <c r="E165" s="101">
        <v>0.41666666666666669</v>
      </c>
      <c r="F165" s="101">
        <v>0.63888888888888895</v>
      </c>
      <c r="G165" s="100">
        <f>IFERROR(VLOOKUP(Tablo517[[#This Row],[ÜRÜN KODU]],YMKODLARI!$A$1:$K$363,3,0)," ")</f>
        <v>4</v>
      </c>
      <c r="H165" s="100">
        <f>IFERROR(VLOOKUP(Tablo517[[#This Row],[ÜRÜN KODU]],YMKODLARI!$A$1:$K$363,4,0)," ")</f>
        <v>25</v>
      </c>
      <c r="I165" s="100">
        <v>920</v>
      </c>
      <c r="J165" s="100">
        <f>IFERROR(VLOOKUP(Tablo517[[#This Row],[ÜRÜN KODU]],YMKODLARI!$A$1:$K$363,9,0)," ")</f>
        <v>3041</v>
      </c>
      <c r="K165" s="100" t="str">
        <f>IFERROR(VLOOKUP(Tablo517[[#This Row],[BOYA KODU]],Tablo14[#All],4,0)," ")</f>
        <v>KIRMIZI</v>
      </c>
      <c r="L165" s="100">
        <f>IFERROR(VLOOKUP(Tablo517[[#This Row],[BOYA KODU]],Tablo14[#All],6,0)," ")</f>
        <v>5.0000000000000001E-3</v>
      </c>
      <c r="M165" s="100">
        <f t="shared" si="15"/>
        <v>65.78</v>
      </c>
      <c r="N165" s="100" t="str">
        <f>IFERROR(VLOOKUP(Tablo517[[#This Row],[ÜRÜN KODU]],YMKODLARI!$A$1:$K$363,8,0)," ")</f>
        <v>HM 002</v>
      </c>
      <c r="O165" s="100" t="str">
        <f>IFERROR(VLOOKUP(Tablo517[[#This Row],[HAMMADDE KODU]],Tablo1[#All],3,0)," ")</f>
        <v>NOVAREX</v>
      </c>
      <c r="P165" s="100" t="str">
        <f>IFERROR(VLOOKUP(Tablo517[[#This Row],[HAMMADDE KODU]],Tablo1[#All],4,0)," ")</f>
        <v>PİNHAS</v>
      </c>
      <c r="Q165" s="100">
        <f>IFERROR(VLOOKUP(Tablo517[[#This Row],[ÜRÜN KODU]],YMKODLARI!$A$1:$K$363,5,0)," ")</f>
        <v>14.3</v>
      </c>
      <c r="R165" s="100">
        <f>IFERROR(VLOOKUP(Tablo517[[#This Row],[ÜRÜN KODU]],YMKODLARI!$A$1:$K$363,6,0)," ")</f>
        <v>11.8</v>
      </c>
      <c r="S165" s="100">
        <f>IFERROR(Tablo517[[#This Row],[YOLLUK HARİÇ BASKI GRAMI]]/Tablo517[[#This Row],[KALIP GÖZ ADEDİ]]," ")</f>
        <v>2.95</v>
      </c>
      <c r="T165" s="100">
        <f t="shared" si="17"/>
        <v>2.5</v>
      </c>
      <c r="U165" s="100">
        <v>5</v>
      </c>
      <c r="V165" s="100">
        <f t="shared" si="16"/>
        <v>15.856</v>
      </c>
      <c r="W165" s="101">
        <f t="shared" si="18"/>
        <v>24.222222222222221</v>
      </c>
      <c r="X165" s="102">
        <f t="shared" si="19"/>
        <v>5.3333333333333144</v>
      </c>
      <c r="Y165" s="100">
        <f t="shared" si="20"/>
        <v>6.3888888888888893</v>
      </c>
      <c r="Z165" s="100">
        <f t="shared" si="21"/>
        <v>3680</v>
      </c>
    </row>
    <row r="166" spans="1:26">
      <c r="A166" s="100" t="s">
        <v>108</v>
      </c>
      <c r="B166" s="108" t="str">
        <f>IFERROR(VLOOKUP(Tablo517[[#This Row],[ÜRÜN KODU]],YMKODLARI!$A$1:$K$363,2,0)," ")</f>
        <v>EMZİK ASKISI KISKAÇ ERKEK</v>
      </c>
      <c r="C166" s="99">
        <v>44095</v>
      </c>
      <c r="D166" s="100" t="s">
        <v>120</v>
      </c>
      <c r="E166" s="101"/>
      <c r="F166" s="101"/>
      <c r="G166" s="100">
        <f>IFERROR(VLOOKUP(Tablo517[[#This Row],[ÜRÜN KODU]],YMKODLARI!$A$1:$K$363,3,0)," ")</f>
        <v>4</v>
      </c>
      <c r="H166" s="100">
        <f>IFERROR(VLOOKUP(Tablo517[[#This Row],[ÜRÜN KODU]],YMKODLARI!$A$1:$K$363,4,0)," ")</f>
        <v>25</v>
      </c>
      <c r="I166" s="100">
        <v>486</v>
      </c>
      <c r="J166" s="100">
        <f>IFERROR(VLOOKUP(Tablo517[[#This Row],[ÜRÜN KODU]],YMKODLARI!$A$1:$K$363,9,0)," ")</f>
        <v>4090</v>
      </c>
      <c r="K166" s="100" t="str">
        <f>IFERROR(VLOOKUP(Tablo517[[#This Row],[BOYA KODU]],Tablo14[#All],4,0)," ")</f>
        <v>LİLA</v>
      </c>
      <c r="L166" s="100">
        <f>IFERROR(VLOOKUP(Tablo517[[#This Row],[BOYA KODU]],Tablo14[#All],6,0)," ")</f>
        <v>5.0000000000000001E-3</v>
      </c>
      <c r="M166" s="100">
        <f t="shared" si="15"/>
        <v>29.889000000000003</v>
      </c>
      <c r="N166" s="100" t="str">
        <f>IFERROR(VLOOKUP(Tablo517[[#This Row],[ÜRÜN KODU]],YMKODLARI!$A$1:$K$363,8,0)," ")</f>
        <v>HM 002</v>
      </c>
      <c r="O166" s="100" t="str">
        <f>IFERROR(VLOOKUP(Tablo517[[#This Row],[HAMMADDE KODU]],Tablo1[#All],3,0)," ")</f>
        <v>NOVAREX</v>
      </c>
      <c r="P166" s="100" t="str">
        <f>IFERROR(VLOOKUP(Tablo517[[#This Row],[HAMMADDE KODU]],Tablo1[#All],4,0)," ")</f>
        <v>PİNHAS</v>
      </c>
      <c r="Q166" s="100">
        <f>IFERROR(VLOOKUP(Tablo517[[#This Row],[ÜRÜN KODU]],YMKODLARI!$A$1:$K$363,5,0)," ")</f>
        <v>12.3</v>
      </c>
      <c r="R166" s="100">
        <f>IFERROR(VLOOKUP(Tablo517[[#This Row],[ÜRÜN KODU]],YMKODLARI!$A$1:$K$363,6,0)," ")</f>
        <v>12.3</v>
      </c>
      <c r="S166" s="100">
        <f>IFERROR(Tablo517[[#This Row],[YOLLUK HARİÇ BASKI GRAMI]]/Tablo517[[#This Row],[KALIP GÖZ ADEDİ]]," ")</f>
        <v>3.0750000000000002</v>
      </c>
      <c r="T166" s="100">
        <f t="shared" si="17"/>
        <v>0</v>
      </c>
      <c r="U166" s="100"/>
      <c r="V166" s="100">
        <f t="shared" si="16"/>
        <v>5.9778000000000002</v>
      </c>
      <c r="W166" s="101">
        <f t="shared" si="18"/>
        <v>24</v>
      </c>
      <c r="X166" s="102">
        <f t="shared" si="19"/>
        <v>0</v>
      </c>
      <c r="Y166" s="100">
        <f t="shared" si="20"/>
        <v>3.375</v>
      </c>
      <c r="Z166" s="100">
        <f t="shared" si="21"/>
        <v>1944</v>
      </c>
    </row>
    <row r="167" spans="1:26">
      <c r="A167" s="100" t="s">
        <v>109</v>
      </c>
      <c r="B167" s="108" t="str">
        <f>IFERROR(VLOOKUP(Tablo517[[#This Row],[ÜRÜN KODU]],YMKODLARI!$A$1:$K$363,2,0)," ")</f>
        <v>EMZİK ASKISI KISKAÇ DİŞİ</v>
      </c>
      <c r="C167" s="99">
        <v>44095</v>
      </c>
      <c r="D167" s="100" t="s">
        <v>120</v>
      </c>
      <c r="E167" s="101">
        <v>0.64236111111111105</v>
      </c>
      <c r="F167" s="101">
        <v>0.74305555555555547</v>
      </c>
      <c r="G167" s="100">
        <f>IFERROR(VLOOKUP(Tablo517[[#This Row],[ÜRÜN KODU]],YMKODLARI!$A$1:$K$363,3,0)," ")</f>
        <v>4</v>
      </c>
      <c r="H167" s="100">
        <f>IFERROR(VLOOKUP(Tablo517[[#This Row],[ÜRÜN KODU]],YMKODLARI!$A$1:$K$363,4,0)," ")</f>
        <v>25</v>
      </c>
      <c r="I167" s="100">
        <v>486</v>
      </c>
      <c r="J167" s="100">
        <f>IFERROR(VLOOKUP(Tablo517[[#This Row],[ÜRÜN KODU]],YMKODLARI!$A$1:$K$363,9,0)," ")</f>
        <v>4090</v>
      </c>
      <c r="K167" s="100" t="str">
        <f>IFERROR(VLOOKUP(Tablo517[[#This Row],[BOYA KODU]],Tablo14[#All],4,0)," ")</f>
        <v>LİLA</v>
      </c>
      <c r="L167" s="100">
        <f>IFERROR(VLOOKUP(Tablo517[[#This Row],[BOYA KODU]],Tablo14[#All],6,0)," ")</f>
        <v>5.0000000000000001E-3</v>
      </c>
      <c r="M167" s="100">
        <f t="shared" si="15"/>
        <v>34.749000000000002</v>
      </c>
      <c r="N167" s="100" t="str">
        <f>IFERROR(VLOOKUP(Tablo517[[#This Row],[ÜRÜN KODU]],YMKODLARI!$A$1:$K$363,8,0)," ")</f>
        <v>HM 002</v>
      </c>
      <c r="O167" s="100" t="str">
        <f>IFERROR(VLOOKUP(Tablo517[[#This Row],[HAMMADDE KODU]],Tablo1[#All],3,0)," ")</f>
        <v>NOVAREX</v>
      </c>
      <c r="P167" s="100" t="str">
        <f>IFERROR(VLOOKUP(Tablo517[[#This Row],[HAMMADDE KODU]],Tablo1[#All],4,0)," ")</f>
        <v>PİNHAS</v>
      </c>
      <c r="Q167" s="100">
        <f>IFERROR(VLOOKUP(Tablo517[[#This Row],[ÜRÜN KODU]],YMKODLARI!$A$1:$K$363,5,0)," ")</f>
        <v>14.3</v>
      </c>
      <c r="R167" s="100">
        <f>IFERROR(VLOOKUP(Tablo517[[#This Row],[ÜRÜN KODU]],YMKODLARI!$A$1:$K$363,6,0)," ")</f>
        <v>11.8</v>
      </c>
      <c r="S167" s="100">
        <f>IFERROR(Tablo517[[#This Row],[YOLLUK HARİÇ BASKI GRAMI]]/Tablo517[[#This Row],[KALIP GÖZ ADEDİ]]," ")</f>
        <v>2.95</v>
      </c>
      <c r="T167" s="100">
        <f t="shared" si="17"/>
        <v>2.5</v>
      </c>
      <c r="U167" s="100"/>
      <c r="V167" s="100">
        <f t="shared" si="16"/>
        <v>5.7347999999999999</v>
      </c>
      <c r="W167" s="101">
        <f t="shared" si="18"/>
        <v>24.100694444444443</v>
      </c>
      <c r="X167" s="102">
        <f t="shared" si="19"/>
        <v>2.4166666666666288</v>
      </c>
      <c r="Y167" s="100">
        <f t="shared" si="20"/>
        <v>3.375</v>
      </c>
      <c r="Z167" s="100">
        <f t="shared" si="21"/>
        <v>1944</v>
      </c>
    </row>
    <row r="168" spans="1:26">
      <c r="A168" s="100" t="s">
        <v>108</v>
      </c>
      <c r="B168" s="108" t="str">
        <f>IFERROR(VLOOKUP(Tablo517[[#This Row],[ÜRÜN KODU]],YMKODLARI!$A$1:$K$363,2,0)," ")</f>
        <v>EMZİK ASKISI KISKAÇ ERKEK</v>
      </c>
      <c r="C168" s="99">
        <v>44096</v>
      </c>
      <c r="D168" s="100" t="s">
        <v>120</v>
      </c>
      <c r="E168" s="101"/>
      <c r="F168" s="101"/>
      <c r="G168" s="100">
        <f>IFERROR(VLOOKUP(Tablo517[[#This Row],[ÜRÜN KODU]],YMKODLARI!$A$1:$K$363,3,0)," ")</f>
        <v>4</v>
      </c>
      <c r="H168" s="100">
        <f>IFERROR(VLOOKUP(Tablo517[[#This Row],[ÜRÜN KODU]],YMKODLARI!$A$1:$K$363,4,0)," ")</f>
        <v>25</v>
      </c>
      <c r="I168" s="100">
        <v>340</v>
      </c>
      <c r="J168" s="100">
        <f>IFERROR(VLOOKUP(Tablo517[[#This Row],[ÜRÜN KODU]],YMKODLARI!$A$1:$K$363,9,0)," ")</f>
        <v>4090</v>
      </c>
      <c r="K168" s="100" t="str">
        <f>IFERROR(VLOOKUP(Tablo517[[#This Row],[BOYA KODU]],Tablo14[#All],4,0)," ")</f>
        <v>LİLA</v>
      </c>
      <c r="L168" s="100">
        <f>IFERROR(VLOOKUP(Tablo517[[#This Row],[BOYA KODU]],Tablo14[#All],6,0)," ")</f>
        <v>5.0000000000000001E-3</v>
      </c>
      <c r="M168" s="100">
        <f t="shared" si="15"/>
        <v>20.91</v>
      </c>
      <c r="N168" s="100" t="str">
        <f>IFERROR(VLOOKUP(Tablo517[[#This Row],[ÜRÜN KODU]],YMKODLARI!$A$1:$K$363,8,0)," ")</f>
        <v>HM 002</v>
      </c>
      <c r="O168" s="100" t="str">
        <f>IFERROR(VLOOKUP(Tablo517[[#This Row],[HAMMADDE KODU]],Tablo1[#All],3,0)," ")</f>
        <v>NOVAREX</v>
      </c>
      <c r="P168" s="100" t="str">
        <f>IFERROR(VLOOKUP(Tablo517[[#This Row],[HAMMADDE KODU]],Tablo1[#All],4,0)," ")</f>
        <v>PİNHAS</v>
      </c>
      <c r="Q168" s="100">
        <f>IFERROR(VLOOKUP(Tablo517[[#This Row],[ÜRÜN KODU]],YMKODLARI!$A$1:$K$363,5,0)," ")</f>
        <v>12.3</v>
      </c>
      <c r="R168" s="100">
        <f>IFERROR(VLOOKUP(Tablo517[[#This Row],[ÜRÜN KODU]],YMKODLARI!$A$1:$K$363,6,0)," ")</f>
        <v>12.3</v>
      </c>
      <c r="S168" s="100">
        <f>IFERROR(Tablo517[[#This Row],[YOLLUK HARİÇ BASKI GRAMI]]/Tablo517[[#This Row],[KALIP GÖZ ADEDİ]]," ")</f>
        <v>3.0750000000000002</v>
      </c>
      <c r="T168" s="100">
        <f t="shared" si="17"/>
        <v>0</v>
      </c>
      <c r="U168" s="100"/>
      <c r="V168" s="100">
        <f t="shared" si="16"/>
        <v>4.1820000000000004</v>
      </c>
      <c r="W168" s="101">
        <f t="shared" si="18"/>
        <v>24</v>
      </c>
      <c r="X168" s="102">
        <f t="shared" si="19"/>
        <v>0</v>
      </c>
      <c r="Y168" s="100">
        <f t="shared" si="20"/>
        <v>2.3611111111111112</v>
      </c>
      <c r="Z168" s="100">
        <f t="shared" si="21"/>
        <v>1360</v>
      </c>
    </row>
    <row r="169" spans="1:26">
      <c r="A169" s="100" t="s">
        <v>109</v>
      </c>
      <c r="B169" s="108" t="str">
        <f>IFERROR(VLOOKUP(Tablo517[[#This Row],[ÜRÜN KODU]],YMKODLARI!$A$1:$K$363,2,0)," ")</f>
        <v>EMZİK ASKISI KISKAÇ DİŞİ</v>
      </c>
      <c r="C169" s="99">
        <v>44096</v>
      </c>
      <c r="D169" s="100" t="s">
        <v>120</v>
      </c>
      <c r="E169" s="101">
        <v>0.33333333333333331</v>
      </c>
      <c r="F169" s="101">
        <v>0.40277777777777773</v>
      </c>
      <c r="G169" s="100">
        <f>IFERROR(VLOOKUP(Tablo517[[#This Row],[ÜRÜN KODU]],YMKODLARI!$A$1:$K$363,3,0)," ")</f>
        <v>4</v>
      </c>
      <c r="H169" s="100">
        <f>IFERROR(VLOOKUP(Tablo517[[#This Row],[ÜRÜN KODU]],YMKODLARI!$A$1:$K$363,4,0)," ")</f>
        <v>25</v>
      </c>
      <c r="I169" s="100">
        <v>340</v>
      </c>
      <c r="J169" s="100">
        <f>IFERROR(VLOOKUP(Tablo517[[#This Row],[ÜRÜN KODU]],YMKODLARI!$A$1:$K$363,9,0)," ")</f>
        <v>4090</v>
      </c>
      <c r="K169" s="100" t="str">
        <f>IFERROR(VLOOKUP(Tablo517[[#This Row],[BOYA KODU]],Tablo14[#All],4,0)," ")</f>
        <v>LİLA</v>
      </c>
      <c r="L169" s="100">
        <f>IFERROR(VLOOKUP(Tablo517[[#This Row],[BOYA KODU]],Tablo14[#All],6,0)," ")</f>
        <v>5.0000000000000001E-3</v>
      </c>
      <c r="M169" s="100">
        <f t="shared" si="15"/>
        <v>24.310000000000002</v>
      </c>
      <c r="N169" s="100" t="str">
        <f>IFERROR(VLOOKUP(Tablo517[[#This Row],[ÜRÜN KODU]],YMKODLARI!$A$1:$K$363,8,0)," ")</f>
        <v>HM 002</v>
      </c>
      <c r="O169" s="100" t="str">
        <f>IFERROR(VLOOKUP(Tablo517[[#This Row],[HAMMADDE KODU]],Tablo1[#All],3,0)," ")</f>
        <v>NOVAREX</v>
      </c>
      <c r="P169" s="100" t="str">
        <f>IFERROR(VLOOKUP(Tablo517[[#This Row],[HAMMADDE KODU]],Tablo1[#All],4,0)," ")</f>
        <v>PİNHAS</v>
      </c>
      <c r="Q169" s="100">
        <f>IFERROR(VLOOKUP(Tablo517[[#This Row],[ÜRÜN KODU]],YMKODLARI!$A$1:$K$363,5,0)," ")</f>
        <v>14.3</v>
      </c>
      <c r="R169" s="100">
        <f>IFERROR(VLOOKUP(Tablo517[[#This Row],[ÜRÜN KODU]],YMKODLARI!$A$1:$K$363,6,0)," ")</f>
        <v>11.8</v>
      </c>
      <c r="S169" s="100">
        <f>IFERROR(Tablo517[[#This Row],[YOLLUK HARİÇ BASKI GRAMI]]/Tablo517[[#This Row],[KALIP GÖZ ADEDİ]]," ")</f>
        <v>2.95</v>
      </c>
      <c r="T169" s="100">
        <f t="shared" si="17"/>
        <v>2.5</v>
      </c>
      <c r="U169" s="100"/>
      <c r="V169" s="100">
        <f t="shared" si="16"/>
        <v>4.0120000000000005</v>
      </c>
      <c r="W169" s="101">
        <f t="shared" si="18"/>
        <v>24.069444444444443</v>
      </c>
      <c r="X169" s="102">
        <f t="shared" si="19"/>
        <v>1.6666666666666288</v>
      </c>
      <c r="Y169" s="100">
        <f t="shared" si="20"/>
        <v>2.3611111111111112</v>
      </c>
      <c r="Z169" s="100">
        <f t="shared" si="21"/>
        <v>1360</v>
      </c>
    </row>
    <row r="170" spans="1:26">
      <c r="A170" s="100" t="s">
        <v>104</v>
      </c>
      <c r="B170" s="108" t="str">
        <f>IFERROR(VLOOKUP(Tablo517[[#This Row],[ÜRÜN KODU]],YMKODLARI!$A$1:$K$363,2,0)," ")</f>
        <v>EMZİK ASKISI KISKAÇ ERKEK</v>
      </c>
      <c r="C170" s="99">
        <v>44096</v>
      </c>
      <c r="D170" s="100" t="s">
        <v>120</v>
      </c>
      <c r="E170" s="101"/>
      <c r="F170" s="101"/>
      <c r="G170" s="100">
        <f>IFERROR(VLOOKUP(Tablo517[[#This Row],[ÜRÜN KODU]],YMKODLARI!$A$1:$K$363,3,0)," ")</f>
        <v>4</v>
      </c>
      <c r="H170" s="100">
        <f>IFERROR(VLOOKUP(Tablo517[[#This Row],[ÜRÜN KODU]],YMKODLARI!$A$1:$K$363,4,0)," ")</f>
        <v>25</v>
      </c>
      <c r="I170" s="100">
        <v>44</v>
      </c>
      <c r="J170" s="100">
        <f>IFERROR(VLOOKUP(Tablo517[[#This Row],[ÜRÜN KODU]],YMKODLARI!$A$1:$K$363,9,0)," ")</f>
        <v>5287</v>
      </c>
      <c r="K170" s="100" t="str">
        <f>IFERROR(VLOOKUP(Tablo517[[#This Row],[BOYA KODU]],Tablo14[#All],4,0)," ")</f>
        <v>MAVİ</v>
      </c>
      <c r="L170" s="100">
        <f>IFERROR(VLOOKUP(Tablo517[[#This Row],[BOYA KODU]],Tablo14[#All],6,0)," ")</f>
        <v>5.0000000000000001E-3</v>
      </c>
      <c r="M170" s="100">
        <f t="shared" si="15"/>
        <v>2.7060000000000004</v>
      </c>
      <c r="N170" s="100" t="str">
        <f>IFERROR(VLOOKUP(Tablo517[[#This Row],[ÜRÜN KODU]],YMKODLARI!$A$1:$K$363,8,0)," ")</f>
        <v>HM 002</v>
      </c>
      <c r="O170" s="100" t="str">
        <f>IFERROR(VLOOKUP(Tablo517[[#This Row],[HAMMADDE KODU]],Tablo1[#All],3,0)," ")</f>
        <v>NOVAREX</v>
      </c>
      <c r="P170" s="100" t="str">
        <f>IFERROR(VLOOKUP(Tablo517[[#This Row],[HAMMADDE KODU]],Tablo1[#All],4,0)," ")</f>
        <v>PİNHAS</v>
      </c>
      <c r="Q170" s="100">
        <f>IFERROR(VLOOKUP(Tablo517[[#This Row],[ÜRÜN KODU]],YMKODLARI!$A$1:$K$363,5,0)," ")</f>
        <v>12.3</v>
      </c>
      <c r="R170" s="100">
        <f>IFERROR(VLOOKUP(Tablo517[[#This Row],[ÜRÜN KODU]],YMKODLARI!$A$1:$K$363,6,0)," ")</f>
        <v>12.3</v>
      </c>
      <c r="S170" s="100">
        <f>IFERROR(Tablo517[[#This Row],[YOLLUK HARİÇ BASKI GRAMI]]/Tablo517[[#This Row],[KALIP GÖZ ADEDİ]]," ")</f>
        <v>3.0750000000000002</v>
      </c>
      <c r="T170" s="100">
        <f t="shared" si="17"/>
        <v>0</v>
      </c>
      <c r="U170" s="100"/>
      <c r="V170" s="100">
        <f t="shared" si="16"/>
        <v>0.54120000000000001</v>
      </c>
      <c r="W170" s="101">
        <f t="shared" si="18"/>
        <v>24</v>
      </c>
      <c r="X170" s="102">
        <f t="shared" si="19"/>
        <v>0</v>
      </c>
      <c r="Y170" s="100">
        <f t="shared" si="20"/>
        <v>0.30555555555555558</v>
      </c>
      <c r="Z170" s="100">
        <f t="shared" si="21"/>
        <v>176</v>
      </c>
    </row>
    <row r="171" spans="1:26">
      <c r="A171" s="100" t="s">
        <v>105</v>
      </c>
      <c r="B171" s="108" t="str">
        <f>IFERROR(VLOOKUP(Tablo517[[#This Row],[ÜRÜN KODU]],YMKODLARI!$A$1:$K$363,2,0)," ")</f>
        <v>EMZİK ASKISI KISKAÇ DİŞİ</v>
      </c>
      <c r="C171" s="99">
        <v>44096</v>
      </c>
      <c r="D171" s="100" t="s">
        <v>120</v>
      </c>
      <c r="E171" s="101">
        <v>0.41666666666666669</v>
      </c>
      <c r="F171" s="101">
        <v>0.43055555555555558</v>
      </c>
      <c r="G171" s="100">
        <f>IFERROR(VLOOKUP(Tablo517[[#This Row],[ÜRÜN KODU]],YMKODLARI!$A$1:$K$363,3,0)," ")</f>
        <v>4</v>
      </c>
      <c r="H171" s="100">
        <f>IFERROR(VLOOKUP(Tablo517[[#This Row],[ÜRÜN KODU]],YMKODLARI!$A$1:$K$363,4,0)," ")</f>
        <v>25</v>
      </c>
      <c r="I171" s="100">
        <v>44</v>
      </c>
      <c r="J171" s="100">
        <f>IFERROR(VLOOKUP(Tablo517[[#This Row],[ÜRÜN KODU]],YMKODLARI!$A$1:$K$363,9,0)," ")</f>
        <v>5287</v>
      </c>
      <c r="K171" s="100" t="str">
        <f>IFERROR(VLOOKUP(Tablo517[[#This Row],[BOYA KODU]],Tablo14[#All],4,0)," ")</f>
        <v>MAVİ</v>
      </c>
      <c r="L171" s="100">
        <f>IFERROR(VLOOKUP(Tablo517[[#This Row],[BOYA KODU]],Tablo14[#All],6,0)," ")</f>
        <v>5.0000000000000001E-3</v>
      </c>
      <c r="M171" s="100">
        <f t="shared" si="15"/>
        <v>3.1460000000000004</v>
      </c>
      <c r="N171" s="100" t="str">
        <f>IFERROR(VLOOKUP(Tablo517[[#This Row],[ÜRÜN KODU]],YMKODLARI!$A$1:$K$363,8,0)," ")</f>
        <v>HM 002</v>
      </c>
      <c r="O171" s="100" t="str">
        <f>IFERROR(VLOOKUP(Tablo517[[#This Row],[HAMMADDE KODU]],Tablo1[#All],3,0)," ")</f>
        <v>NOVAREX</v>
      </c>
      <c r="P171" s="100" t="str">
        <f>IFERROR(VLOOKUP(Tablo517[[#This Row],[HAMMADDE KODU]],Tablo1[#All],4,0)," ")</f>
        <v>PİNHAS</v>
      </c>
      <c r="Q171" s="100">
        <f>IFERROR(VLOOKUP(Tablo517[[#This Row],[ÜRÜN KODU]],YMKODLARI!$A$1:$K$363,5,0)," ")</f>
        <v>14.3</v>
      </c>
      <c r="R171" s="100">
        <f>IFERROR(VLOOKUP(Tablo517[[#This Row],[ÜRÜN KODU]],YMKODLARI!$A$1:$K$363,6,0)," ")</f>
        <v>11.8</v>
      </c>
      <c r="S171" s="100">
        <f>IFERROR(Tablo517[[#This Row],[YOLLUK HARİÇ BASKI GRAMI]]/Tablo517[[#This Row],[KALIP GÖZ ADEDİ]]," ")</f>
        <v>2.95</v>
      </c>
      <c r="T171" s="100">
        <f t="shared" si="17"/>
        <v>2.5</v>
      </c>
      <c r="U171" s="100">
        <v>2</v>
      </c>
      <c r="V171" s="100">
        <f t="shared" si="16"/>
        <v>2.5192000000000001</v>
      </c>
      <c r="W171" s="101">
        <f t="shared" si="18"/>
        <v>24.013888888888889</v>
      </c>
      <c r="X171" s="102">
        <f t="shared" si="19"/>
        <v>0.33333333333334281</v>
      </c>
      <c r="Y171" s="100">
        <f t="shared" si="20"/>
        <v>0.30555555555555558</v>
      </c>
      <c r="Z171" s="100">
        <f t="shared" si="21"/>
        <v>176</v>
      </c>
    </row>
    <row r="172" spans="1:26">
      <c r="A172" s="100" t="s">
        <v>104</v>
      </c>
      <c r="B172" s="108" t="str">
        <f>IFERROR(VLOOKUP(Tablo517[[#This Row],[ÜRÜN KODU]],YMKODLARI!$A$1:$K$363,2,0)," ")</f>
        <v>EMZİK ASKISI KISKAÇ ERKEK</v>
      </c>
      <c r="C172" s="99">
        <v>44096</v>
      </c>
      <c r="D172" s="100" t="s">
        <v>120</v>
      </c>
      <c r="E172" s="101"/>
      <c r="F172" s="101"/>
      <c r="G172" s="100">
        <f>IFERROR(VLOOKUP(Tablo517[[#This Row],[ÜRÜN KODU]],YMKODLARI!$A$1:$K$363,3,0)," ")</f>
        <v>4</v>
      </c>
      <c r="H172" s="100">
        <f>IFERROR(VLOOKUP(Tablo517[[#This Row],[ÜRÜN KODU]],YMKODLARI!$A$1:$K$363,4,0)," ")</f>
        <v>25</v>
      </c>
      <c r="I172" s="100">
        <v>825</v>
      </c>
      <c r="J172" s="100">
        <f>IFERROR(VLOOKUP(Tablo517[[#This Row],[ÜRÜN KODU]],YMKODLARI!$A$1:$K$363,9,0)," ")</f>
        <v>5287</v>
      </c>
      <c r="K172" s="100" t="str">
        <f>IFERROR(VLOOKUP(Tablo517[[#This Row],[BOYA KODU]],Tablo14[#All],4,0)," ")</f>
        <v>MAVİ</v>
      </c>
      <c r="L172" s="100">
        <f>IFERROR(VLOOKUP(Tablo517[[#This Row],[BOYA KODU]],Tablo14[#All],6,0)," ")</f>
        <v>5.0000000000000001E-3</v>
      </c>
      <c r="M172" s="100">
        <f t="shared" si="15"/>
        <v>50.737500000000004</v>
      </c>
      <c r="N172" s="100" t="str">
        <f>IFERROR(VLOOKUP(Tablo517[[#This Row],[ÜRÜN KODU]],YMKODLARI!$A$1:$K$363,8,0)," ")</f>
        <v>HM 002</v>
      </c>
      <c r="O172" s="100" t="str">
        <f>IFERROR(VLOOKUP(Tablo517[[#This Row],[HAMMADDE KODU]],Tablo1[#All],3,0)," ")</f>
        <v>NOVAREX</v>
      </c>
      <c r="P172" s="100" t="str">
        <f>IFERROR(VLOOKUP(Tablo517[[#This Row],[HAMMADDE KODU]],Tablo1[#All],4,0)," ")</f>
        <v>PİNHAS</v>
      </c>
      <c r="Q172" s="100">
        <f>IFERROR(VLOOKUP(Tablo517[[#This Row],[ÜRÜN KODU]],YMKODLARI!$A$1:$K$363,5,0)," ")</f>
        <v>12.3</v>
      </c>
      <c r="R172" s="100">
        <f>IFERROR(VLOOKUP(Tablo517[[#This Row],[ÜRÜN KODU]],YMKODLARI!$A$1:$K$363,6,0)," ")</f>
        <v>12.3</v>
      </c>
      <c r="S172" s="100">
        <f>IFERROR(Tablo517[[#This Row],[YOLLUK HARİÇ BASKI GRAMI]]/Tablo517[[#This Row],[KALIP GÖZ ADEDİ]]," ")</f>
        <v>3.0750000000000002</v>
      </c>
      <c r="T172" s="100">
        <f t="shared" si="17"/>
        <v>0</v>
      </c>
      <c r="U172" s="100">
        <v>3.8</v>
      </c>
      <c r="V172" s="100">
        <f t="shared" si="16"/>
        <v>13.947500000000002</v>
      </c>
      <c r="W172" s="101">
        <f t="shared" si="18"/>
        <v>24</v>
      </c>
      <c r="X172" s="102">
        <f t="shared" si="19"/>
        <v>0</v>
      </c>
      <c r="Y172" s="100">
        <f t="shared" si="20"/>
        <v>5.729166666666667</v>
      </c>
      <c r="Z172" s="100">
        <f t="shared" si="21"/>
        <v>3300</v>
      </c>
    </row>
    <row r="173" spans="1:26">
      <c r="A173" s="100" t="s">
        <v>105</v>
      </c>
      <c r="B173" s="108" t="str">
        <f>IFERROR(VLOOKUP(Tablo517[[#This Row],[ÜRÜN KODU]],YMKODLARI!$A$1:$K$363,2,0)," ")</f>
        <v>EMZİK ASKISI KISKAÇ DİŞİ</v>
      </c>
      <c r="C173" s="99">
        <v>44096</v>
      </c>
      <c r="D173" s="100" t="s">
        <v>120</v>
      </c>
      <c r="E173" s="101">
        <v>0.43055555555555558</v>
      </c>
      <c r="F173" s="101">
        <v>0.63888888888888895</v>
      </c>
      <c r="G173" s="100">
        <f>IFERROR(VLOOKUP(Tablo517[[#This Row],[ÜRÜN KODU]],YMKODLARI!$A$1:$K$363,3,0)," ")</f>
        <v>4</v>
      </c>
      <c r="H173" s="100">
        <f>IFERROR(VLOOKUP(Tablo517[[#This Row],[ÜRÜN KODU]],YMKODLARI!$A$1:$K$363,4,0)," ")</f>
        <v>25</v>
      </c>
      <c r="I173" s="100">
        <v>825</v>
      </c>
      <c r="J173" s="100">
        <f>IFERROR(VLOOKUP(Tablo517[[#This Row],[ÜRÜN KODU]],YMKODLARI!$A$1:$K$363,9,0)," ")</f>
        <v>5287</v>
      </c>
      <c r="K173" s="100" t="str">
        <f>IFERROR(VLOOKUP(Tablo517[[#This Row],[BOYA KODU]],Tablo14[#All],4,0)," ")</f>
        <v>MAVİ</v>
      </c>
      <c r="L173" s="100">
        <f>IFERROR(VLOOKUP(Tablo517[[#This Row],[BOYA KODU]],Tablo14[#All],6,0)," ")</f>
        <v>5.0000000000000001E-3</v>
      </c>
      <c r="M173" s="100">
        <f t="shared" si="15"/>
        <v>58.987500000000004</v>
      </c>
      <c r="N173" s="100" t="str">
        <f>IFERROR(VLOOKUP(Tablo517[[#This Row],[ÜRÜN KODU]],YMKODLARI!$A$1:$K$363,8,0)," ")</f>
        <v>HM 002</v>
      </c>
      <c r="O173" s="100" t="str">
        <f>IFERROR(VLOOKUP(Tablo517[[#This Row],[HAMMADDE KODU]],Tablo1[#All],3,0)," ")</f>
        <v>NOVAREX</v>
      </c>
      <c r="P173" s="100" t="str">
        <f>IFERROR(VLOOKUP(Tablo517[[#This Row],[HAMMADDE KODU]],Tablo1[#All],4,0)," ")</f>
        <v>PİNHAS</v>
      </c>
      <c r="Q173" s="100">
        <f>IFERROR(VLOOKUP(Tablo517[[#This Row],[ÜRÜN KODU]],YMKODLARI!$A$1:$K$363,5,0)," ")</f>
        <v>14.3</v>
      </c>
      <c r="R173" s="100">
        <f>IFERROR(VLOOKUP(Tablo517[[#This Row],[ÜRÜN KODU]],YMKODLARI!$A$1:$K$363,6,0)," ")</f>
        <v>11.8</v>
      </c>
      <c r="S173" s="100">
        <f>IFERROR(Tablo517[[#This Row],[YOLLUK HARİÇ BASKI GRAMI]]/Tablo517[[#This Row],[KALIP GÖZ ADEDİ]]," ")</f>
        <v>2.95</v>
      </c>
      <c r="T173" s="100">
        <f t="shared" si="17"/>
        <v>2.5</v>
      </c>
      <c r="U173" s="100">
        <v>3.7</v>
      </c>
      <c r="V173" s="100">
        <f t="shared" si="16"/>
        <v>13.434999999999999</v>
      </c>
      <c r="W173" s="101">
        <f t="shared" si="18"/>
        <v>24.208333333333332</v>
      </c>
      <c r="X173" s="102">
        <f t="shared" si="19"/>
        <v>4.9999999999999716</v>
      </c>
      <c r="Y173" s="100">
        <f t="shared" si="20"/>
        <v>5.729166666666667</v>
      </c>
      <c r="Z173" s="100">
        <f t="shared" si="21"/>
        <v>3300</v>
      </c>
    </row>
    <row r="174" spans="1:26">
      <c r="A174" s="100" t="s">
        <v>106</v>
      </c>
      <c r="B174" s="108" t="str">
        <f>IFERROR(VLOOKUP(Tablo517[[#This Row],[ÜRÜN KODU]],YMKODLARI!$A$1:$K$363,2,0)," ")</f>
        <v>EMZİK ASKISI KISKAÇ ERKEK</v>
      </c>
      <c r="C174" s="99">
        <v>44126</v>
      </c>
      <c r="D174" s="100" t="s">
        <v>120</v>
      </c>
      <c r="E174" s="101"/>
      <c r="F174" s="101"/>
      <c r="G174" s="100">
        <f>IFERROR(VLOOKUP(Tablo517[[#This Row],[ÜRÜN KODU]],YMKODLARI!$A$1:$K$363,3,0)," ")</f>
        <v>4</v>
      </c>
      <c r="H174" s="100">
        <f>IFERROR(VLOOKUP(Tablo517[[#This Row],[ÜRÜN KODU]],YMKODLARI!$A$1:$K$363,4,0)," ")</f>
        <v>25</v>
      </c>
      <c r="I174" s="100">
        <v>393</v>
      </c>
      <c r="J174" s="100">
        <f>IFERROR(VLOOKUP(Tablo517[[#This Row],[ÜRÜN KODU]],YMKODLARI!$A$1:$K$363,9,0)," ")</f>
        <v>3409</v>
      </c>
      <c r="K174" s="100" t="str">
        <f>IFERROR(VLOOKUP(Tablo517[[#This Row],[BOYA KODU]],Tablo14[#All],4,0)," ")</f>
        <v>PEMBE</v>
      </c>
      <c r="L174" s="100">
        <f>IFERROR(VLOOKUP(Tablo517[[#This Row],[BOYA KODU]],Tablo14[#All],6,0)," ")</f>
        <v>5.0000000000000001E-3</v>
      </c>
      <c r="M174" s="100">
        <f t="shared" si="15"/>
        <v>24.169500000000003</v>
      </c>
      <c r="N174" s="100" t="str">
        <f>IFERROR(VLOOKUP(Tablo517[[#This Row],[ÜRÜN KODU]],YMKODLARI!$A$1:$K$363,8,0)," ")</f>
        <v>HM 002</v>
      </c>
      <c r="O174" s="100" t="str">
        <f>IFERROR(VLOOKUP(Tablo517[[#This Row],[HAMMADDE KODU]],Tablo1[#All],3,0)," ")</f>
        <v>NOVAREX</v>
      </c>
      <c r="P174" s="100" t="str">
        <f>IFERROR(VLOOKUP(Tablo517[[#This Row],[HAMMADDE KODU]],Tablo1[#All],4,0)," ")</f>
        <v>PİNHAS</v>
      </c>
      <c r="Q174" s="100">
        <f>IFERROR(VLOOKUP(Tablo517[[#This Row],[ÜRÜN KODU]],YMKODLARI!$A$1:$K$363,5,0)," ")</f>
        <v>12.3</v>
      </c>
      <c r="R174" s="100">
        <f>IFERROR(VLOOKUP(Tablo517[[#This Row],[ÜRÜN KODU]],YMKODLARI!$A$1:$K$363,6,0)," ")</f>
        <v>12.3</v>
      </c>
      <c r="S174" s="100">
        <f>IFERROR(Tablo517[[#This Row],[YOLLUK HARİÇ BASKI GRAMI]]/Tablo517[[#This Row],[KALIP GÖZ ADEDİ]]," ")</f>
        <v>3.0750000000000002</v>
      </c>
      <c r="T174" s="100">
        <f t="shared" si="17"/>
        <v>0</v>
      </c>
      <c r="U174" s="100">
        <v>3</v>
      </c>
      <c r="V174" s="100">
        <f t="shared" si="16"/>
        <v>7.8339000000000008</v>
      </c>
      <c r="W174" s="101">
        <f t="shared" si="18"/>
        <v>24</v>
      </c>
      <c r="X174" s="102">
        <f t="shared" si="19"/>
        <v>0</v>
      </c>
      <c r="Y174" s="100">
        <f t="shared" si="20"/>
        <v>2.7291666666666665</v>
      </c>
      <c r="Z174" s="100">
        <f t="shared" si="21"/>
        <v>1572</v>
      </c>
    </row>
    <row r="175" spans="1:26">
      <c r="A175" s="100" t="s">
        <v>107</v>
      </c>
      <c r="B175" s="108" t="str">
        <f>IFERROR(VLOOKUP(Tablo517[[#This Row],[ÜRÜN KODU]],YMKODLARI!$A$1:$K$363,2,0)," ")</f>
        <v>EMZİK ASKISI KISKAÇ DİŞİ</v>
      </c>
      <c r="C175" s="99">
        <v>44126</v>
      </c>
      <c r="D175" s="100" t="s">
        <v>120</v>
      </c>
      <c r="E175" s="101">
        <v>0.63888888888888895</v>
      </c>
      <c r="F175" s="101">
        <v>0.74305555555555547</v>
      </c>
      <c r="G175" s="100">
        <f>IFERROR(VLOOKUP(Tablo517[[#This Row],[ÜRÜN KODU]],YMKODLARI!$A$1:$K$363,3,0)," ")</f>
        <v>4</v>
      </c>
      <c r="H175" s="100">
        <f>IFERROR(VLOOKUP(Tablo517[[#This Row],[ÜRÜN KODU]],YMKODLARI!$A$1:$K$363,4,0)," ")</f>
        <v>25</v>
      </c>
      <c r="I175" s="100">
        <v>393</v>
      </c>
      <c r="J175" s="100">
        <f>IFERROR(VLOOKUP(Tablo517[[#This Row],[ÜRÜN KODU]],YMKODLARI!$A$1:$K$363,9,0)," ")</f>
        <v>3409</v>
      </c>
      <c r="K175" s="100" t="str">
        <f>IFERROR(VLOOKUP(Tablo517[[#This Row],[BOYA KODU]],Tablo14[#All],4,0)," ")</f>
        <v>PEMBE</v>
      </c>
      <c r="L175" s="100">
        <f>IFERROR(VLOOKUP(Tablo517[[#This Row],[BOYA KODU]],Tablo14[#All],6,0)," ")</f>
        <v>5.0000000000000001E-3</v>
      </c>
      <c r="M175" s="100">
        <f t="shared" si="15"/>
        <v>28.099500000000003</v>
      </c>
      <c r="N175" s="100" t="str">
        <f>IFERROR(VLOOKUP(Tablo517[[#This Row],[ÜRÜN KODU]],YMKODLARI!$A$1:$K$363,8,0)," ")</f>
        <v>HM 002</v>
      </c>
      <c r="O175" s="100" t="str">
        <f>IFERROR(VLOOKUP(Tablo517[[#This Row],[HAMMADDE KODU]],Tablo1[#All],3,0)," ")</f>
        <v>NOVAREX</v>
      </c>
      <c r="P175" s="100" t="str">
        <f>IFERROR(VLOOKUP(Tablo517[[#This Row],[HAMMADDE KODU]],Tablo1[#All],4,0)," ")</f>
        <v>PİNHAS</v>
      </c>
      <c r="Q175" s="100">
        <f>IFERROR(VLOOKUP(Tablo517[[#This Row],[ÜRÜN KODU]],YMKODLARI!$A$1:$K$363,5,0)," ")</f>
        <v>14.3</v>
      </c>
      <c r="R175" s="100">
        <f>IFERROR(VLOOKUP(Tablo517[[#This Row],[ÜRÜN KODU]],YMKODLARI!$A$1:$K$363,6,0)," ")</f>
        <v>11.8</v>
      </c>
      <c r="S175" s="100">
        <f>IFERROR(Tablo517[[#This Row],[YOLLUK HARİÇ BASKI GRAMI]]/Tablo517[[#This Row],[KALIP GÖZ ADEDİ]]," ")</f>
        <v>2.95</v>
      </c>
      <c r="T175" s="100">
        <f t="shared" si="17"/>
        <v>2.5</v>
      </c>
      <c r="U175" s="100">
        <v>1.7</v>
      </c>
      <c r="V175" s="100">
        <f t="shared" si="16"/>
        <v>6.3374000000000006</v>
      </c>
      <c r="W175" s="101">
        <f t="shared" si="18"/>
        <v>24.104166666666668</v>
      </c>
      <c r="X175" s="102">
        <f t="shared" si="19"/>
        <v>2.5000000000000284</v>
      </c>
      <c r="Y175" s="100">
        <f t="shared" si="20"/>
        <v>2.7291666666666665</v>
      </c>
      <c r="Z175" s="100">
        <f t="shared" si="21"/>
        <v>1572</v>
      </c>
    </row>
    <row r="176" spans="1:26">
      <c r="A176" s="100" t="s">
        <v>106</v>
      </c>
      <c r="B176" s="108" t="str">
        <f>IFERROR(VLOOKUP(Tablo517[[#This Row],[ÜRÜN KODU]],YMKODLARI!$A$1:$K$363,2,0)," ")</f>
        <v>EMZİK ASKISI KISKAÇ ERKEK</v>
      </c>
      <c r="C176" s="99">
        <v>44097</v>
      </c>
      <c r="D176" s="100" t="s">
        <v>120</v>
      </c>
      <c r="E176" s="101"/>
      <c r="F176" s="101"/>
      <c r="G176" s="100">
        <f>IFERROR(VLOOKUP(Tablo517[[#This Row],[ÜRÜN KODU]],YMKODLARI!$A$1:$K$363,3,0)," ")</f>
        <v>4</v>
      </c>
      <c r="H176" s="100">
        <f>IFERROR(VLOOKUP(Tablo517[[#This Row],[ÜRÜN KODU]],YMKODLARI!$A$1:$K$363,4,0)," ")</f>
        <v>25</v>
      </c>
      <c r="I176" s="100">
        <v>366</v>
      </c>
      <c r="J176" s="100">
        <f>IFERROR(VLOOKUP(Tablo517[[#This Row],[ÜRÜN KODU]],YMKODLARI!$A$1:$K$363,9,0)," ")</f>
        <v>3409</v>
      </c>
      <c r="K176" s="100" t="str">
        <f>IFERROR(VLOOKUP(Tablo517[[#This Row],[BOYA KODU]],Tablo14[#All],4,0)," ")</f>
        <v>PEMBE</v>
      </c>
      <c r="L176" s="100">
        <f>IFERROR(VLOOKUP(Tablo517[[#This Row],[BOYA KODU]],Tablo14[#All],6,0)," ")</f>
        <v>5.0000000000000001E-3</v>
      </c>
      <c r="M176" s="100">
        <f t="shared" si="15"/>
        <v>22.509</v>
      </c>
      <c r="N176" s="100" t="str">
        <f>IFERROR(VLOOKUP(Tablo517[[#This Row],[ÜRÜN KODU]],YMKODLARI!$A$1:$K$363,8,0)," ")</f>
        <v>HM 002</v>
      </c>
      <c r="O176" s="100" t="str">
        <f>IFERROR(VLOOKUP(Tablo517[[#This Row],[HAMMADDE KODU]],Tablo1[#All],3,0)," ")</f>
        <v>NOVAREX</v>
      </c>
      <c r="P176" s="100" t="str">
        <f>IFERROR(VLOOKUP(Tablo517[[#This Row],[HAMMADDE KODU]],Tablo1[#All],4,0)," ")</f>
        <v>PİNHAS</v>
      </c>
      <c r="Q176" s="100">
        <f>IFERROR(VLOOKUP(Tablo517[[#This Row],[ÜRÜN KODU]],YMKODLARI!$A$1:$K$363,5,0)," ")</f>
        <v>12.3</v>
      </c>
      <c r="R176" s="100">
        <f>IFERROR(VLOOKUP(Tablo517[[#This Row],[ÜRÜN KODU]],YMKODLARI!$A$1:$K$363,6,0)," ")</f>
        <v>12.3</v>
      </c>
      <c r="S176" s="100">
        <f>IFERROR(Tablo517[[#This Row],[YOLLUK HARİÇ BASKI GRAMI]]/Tablo517[[#This Row],[KALIP GÖZ ADEDİ]]," ")</f>
        <v>3.0750000000000002</v>
      </c>
      <c r="T176" s="100">
        <f t="shared" si="17"/>
        <v>0</v>
      </c>
      <c r="U176" s="100">
        <v>3.2</v>
      </c>
      <c r="V176" s="100">
        <f t="shared" si="16"/>
        <v>7.7018000000000004</v>
      </c>
      <c r="W176" s="101">
        <f t="shared" si="18"/>
        <v>24</v>
      </c>
      <c r="X176" s="102">
        <f t="shared" si="19"/>
        <v>0</v>
      </c>
      <c r="Y176" s="100">
        <f t="shared" si="20"/>
        <v>2.5416666666666665</v>
      </c>
      <c r="Z176" s="100">
        <f t="shared" si="21"/>
        <v>1464</v>
      </c>
    </row>
    <row r="177" spans="1:26">
      <c r="A177" s="100" t="s">
        <v>107</v>
      </c>
      <c r="B177" s="108" t="str">
        <f>IFERROR(VLOOKUP(Tablo517[[#This Row],[ÜRÜN KODU]],YMKODLARI!$A$1:$K$363,2,0)," ")</f>
        <v>EMZİK ASKISI KISKAÇ DİŞİ</v>
      </c>
      <c r="C177" s="99">
        <v>44097</v>
      </c>
      <c r="D177" s="100" t="s">
        <v>120</v>
      </c>
      <c r="E177" s="101">
        <v>0.33333333333333331</v>
      </c>
      <c r="F177" s="101">
        <v>0.43055555555555558</v>
      </c>
      <c r="G177" s="100">
        <f>IFERROR(VLOOKUP(Tablo517[[#This Row],[ÜRÜN KODU]],YMKODLARI!$A$1:$K$363,3,0)," ")</f>
        <v>4</v>
      </c>
      <c r="H177" s="100">
        <f>IFERROR(VLOOKUP(Tablo517[[#This Row],[ÜRÜN KODU]],YMKODLARI!$A$1:$K$363,4,0)," ")</f>
        <v>25</v>
      </c>
      <c r="I177" s="100">
        <v>366</v>
      </c>
      <c r="J177" s="100">
        <f>IFERROR(VLOOKUP(Tablo517[[#This Row],[ÜRÜN KODU]],YMKODLARI!$A$1:$K$363,9,0)," ")</f>
        <v>3409</v>
      </c>
      <c r="K177" s="100" t="str">
        <f>IFERROR(VLOOKUP(Tablo517[[#This Row],[BOYA KODU]],Tablo14[#All],4,0)," ")</f>
        <v>PEMBE</v>
      </c>
      <c r="L177" s="100">
        <f>IFERROR(VLOOKUP(Tablo517[[#This Row],[BOYA KODU]],Tablo14[#All],6,0)," ")</f>
        <v>5.0000000000000001E-3</v>
      </c>
      <c r="M177" s="100">
        <f t="shared" si="15"/>
        <v>26.169</v>
      </c>
      <c r="N177" s="100" t="str">
        <f>IFERROR(VLOOKUP(Tablo517[[#This Row],[ÜRÜN KODU]],YMKODLARI!$A$1:$K$363,8,0)," ")</f>
        <v>HM 002</v>
      </c>
      <c r="O177" s="100" t="str">
        <f>IFERROR(VLOOKUP(Tablo517[[#This Row],[HAMMADDE KODU]],Tablo1[#All],3,0)," ")</f>
        <v>NOVAREX</v>
      </c>
      <c r="P177" s="100" t="str">
        <f>IFERROR(VLOOKUP(Tablo517[[#This Row],[HAMMADDE KODU]],Tablo1[#All],4,0)," ")</f>
        <v>PİNHAS</v>
      </c>
      <c r="Q177" s="100">
        <f>IFERROR(VLOOKUP(Tablo517[[#This Row],[ÜRÜN KODU]],YMKODLARI!$A$1:$K$363,5,0)," ")</f>
        <v>14.3</v>
      </c>
      <c r="R177" s="100">
        <f>IFERROR(VLOOKUP(Tablo517[[#This Row],[ÜRÜN KODU]],YMKODLARI!$A$1:$K$363,6,0)," ")</f>
        <v>11.8</v>
      </c>
      <c r="S177" s="100">
        <f>IFERROR(Tablo517[[#This Row],[YOLLUK HARİÇ BASKI GRAMI]]/Tablo517[[#This Row],[KALIP GÖZ ADEDİ]]," ")</f>
        <v>2.95</v>
      </c>
      <c r="T177" s="100">
        <f t="shared" si="17"/>
        <v>2.5</v>
      </c>
      <c r="U177" s="100">
        <v>2.6</v>
      </c>
      <c r="V177" s="100">
        <f t="shared" si="16"/>
        <v>6.9188000000000009</v>
      </c>
      <c r="W177" s="101">
        <f t="shared" si="18"/>
        <v>24.097222222222221</v>
      </c>
      <c r="X177" s="102">
        <f t="shared" si="19"/>
        <v>2.3333333333333144</v>
      </c>
      <c r="Y177" s="100">
        <f t="shared" si="20"/>
        <v>2.5416666666666665</v>
      </c>
      <c r="Z177" s="100">
        <f t="shared" si="21"/>
        <v>1464</v>
      </c>
    </row>
    <row r="178" spans="1:26">
      <c r="A178" s="100" t="s">
        <v>112</v>
      </c>
      <c r="B178" s="108" t="str">
        <f>IFERROR(VLOOKUP(Tablo517[[#This Row],[ÜRÜN KODU]],YMKODLARI!$A$1:$K$363,2,0)," ")</f>
        <v>EMZİK ASKISI KANCA</v>
      </c>
      <c r="C178" s="99">
        <v>44098</v>
      </c>
      <c r="D178" s="100" t="s">
        <v>36</v>
      </c>
      <c r="E178" s="101">
        <v>0.34375</v>
      </c>
      <c r="F178" s="101">
        <v>0.75</v>
      </c>
      <c r="G178" s="100">
        <f>IFERROR(VLOOKUP(Tablo517[[#This Row],[ÜRÜN KODU]],YMKODLARI!$A$1:$K$363,3,0)," ")</f>
        <v>8</v>
      </c>
      <c r="H178" s="100">
        <f>IFERROR(VLOOKUP(Tablo517[[#This Row],[ÜRÜN KODU]],YMKODLARI!$A$1:$K$363,4,0)," ")</f>
        <v>12</v>
      </c>
      <c r="I178" s="100">
        <v>2137</v>
      </c>
      <c r="J178" s="100" t="str">
        <f>IFERROR(VLOOKUP(Tablo517[[#This Row],[ÜRÜN KODU]],YMKODLARI!$A$1:$K$363,9,0)," ")</f>
        <v>9134A</v>
      </c>
      <c r="K178" s="100" t="str">
        <f>IFERROR(VLOOKUP(Tablo517[[#This Row],[BOYA KODU]],Tablo14[#All],4,0)," ")</f>
        <v>BEYAZ</v>
      </c>
      <c r="L178" s="100">
        <f>IFERROR(VLOOKUP(Tablo517[[#This Row],[BOYA KODU]],Tablo14[#All],6,0)," ")</f>
        <v>7.0000000000000001E-3</v>
      </c>
      <c r="M178" s="100">
        <f t="shared" si="15"/>
        <v>0</v>
      </c>
      <c r="N178" s="100" t="str">
        <f>IFERROR(VLOOKUP(Tablo517[[#This Row],[ÜRÜN KODU]],YMKODLARI!$A$1:$K$363,8,0)," ")</f>
        <v>HM 001</v>
      </c>
      <c r="O178" s="100" t="str">
        <f>IFERROR(VLOOKUP(Tablo517[[#This Row],[HAMMADDE KODU]],Tablo1[#All],3,0)," ")</f>
        <v>CAPILENE</v>
      </c>
      <c r="P178" s="100" t="str">
        <f>IFERROR(VLOOKUP(Tablo517[[#This Row],[HAMMADDE KODU]],Tablo1[#All],4,0)," ")</f>
        <v>PİNHAS</v>
      </c>
      <c r="Q178" s="100">
        <f>IFERROR(VLOOKUP(Tablo517[[#This Row],[ÜRÜN KODU]],YMKODLARI!$A$1:$K$363,5,0)," ")</f>
        <v>0</v>
      </c>
      <c r="R178" s="100">
        <f>IFERROR(VLOOKUP(Tablo517[[#This Row],[ÜRÜN KODU]],YMKODLARI!$A$1:$K$363,6,0)," ")</f>
        <v>0</v>
      </c>
      <c r="S178" s="100">
        <f>IFERROR(Tablo517[[#This Row],[YOLLUK HARİÇ BASKI GRAMI]]/Tablo517[[#This Row],[KALIP GÖZ ADEDİ]]," ")</f>
        <v>0</v>
      </c>
      <c r="T178" s="100">
        <f t="shared" si="17"/>
        <v>0</v>
      </c>
      <c r="U178" s="100">
        <v>1.3</v>
      </c>
      <c r="V178" s="100">
        <f t="shared" si="16"/>
        <v>1.3</v>
      </c>
      <c r="W178" s="101">
        <f t="shared" si="18"/>
        <v>24.40625</v>
      </c>
      <c r="X178" s="102">
        <f t="shared" si="19"/>
        <v>9.75</v>
      </c>
      <c r="Y178" s="100">
        <f t="shared" si="20"/>
        <v>7.1233333333333331</v>
      </c>
      <c r="Z178" s="100">
        <f t="shared" si="21"/>
        <v>17096</v>
      </c>
    </row>
    <row r="179" spans="1:26">
      <c r="A179" s="100" t="s">
        <v>121</v>
      </c>
      <c r="B179" s="108" t="str">
        <f>IFERROR(VLOOKUP(Tablo517[[#This Row],[ÜRÜN KODU]],YMKODLARI!$A$1:$K$363,2,0)," ")</f>
        <v xml:space="preserve"> </v>
      </c>
      <c r="C179" s="99">
        <v>44099</v>
      </c>
      <c r="D179" s="100" t="s">
        <v>37</v>
      </c>
      <c r="E179" s="101">
        <v>0.33333333333333331</v>
      </c>
      <c r="F179" s="101">
        <v>0.52083333333333337</v>
      </c>
      <c r="G179" s="100" t="str">
        <f>IFERROR(VLOOKUP(Tablo517[[#This Row],[ÜRÜN KODU]],YMKODLARI!$A$1:$K$363,3,0)," ")</f>
        <v xml:space="preserve"> </v>
      </c>
      <c r="H179" s="100" t="str">
        <f>IFERROR(VLOOKUP(Tablo517[[#This Row],[ÜRÜN KODU]],YMKODLARI!$A$1:$K$363,4,0)," ")</f>
        <v xml:space="preserve"> </v>
      </c>
      <c r="I179" s="100">
        <v>962</v>
      </c>
      <c r="J179" s="100" t="str">
        <f>IFERROR(VLOOKUP(Tablo517[[#This Row],[ÜRÜN KODU]],YMKODLARI!$A$1:$K$363,9,0)," ")</f>
        <v xml:space="preserve"> </v>
      </c>
      <c r="K179" s="100" t="str">
        <f>IFERROR(VLOOKUP(Tablo517[[#This Row],[BOYA KODU]],Tablo14[#All],4,0)," ")</f>
        <v xml:space="preserve"> </v>
      </c>
      <c r="L179" s="100" t="str">
        <f>IFERROR(VLOOKUP(Tablo517[[#This Row],[BOYA KODU]],Tablo14[#All],6,0)," ")</f>
        <v xml:space="preserve"> </v>
      </c>
      <c r="M179" s="100" t="str">
        <f t="shared" si="15"/>
        <v xml:space="preserve"> </v>
      </c>
      <c r="N179" s="100" t="str">
        <f>IFERROR(VLOOKUP(Tablo517[[#This Row],[ÜRÜN KODU]],YMKODLARI!$A$1:$K$363,8,0)," ")</f>
        <v xml:space="preserve"> </v>
      </c>
      <c r="O179" s="100" t="str">
        <f>IFERROR(VLOOKUP(Tablo517[[#This Row],[HAMMADDE KODU]],Tablo1[#All],3,0)," ")</f>
        <v xml:space="preserve"> </v>
      </c>
      <c r="P179" s="100" t="str">
        <f>IFERROR(VLOOKUP(Tablo517[[#This Row],[HAMMADDE KODU]],Tablo1[#All],4,0)," ")</f>
        <v xml:space="preserve"> </v>
      </c>
      <c r="Q179" s="100" t="str">
        <f>IFERROR(VLOOKUP(Tablo517[[#This Row],[ÜRÜN KODU]],YMKODLARI!$A$1:$K$363,5,0)," ")</f>
        <v xml:space="preserve"> </v>
      </c>
      <c r="R179" s="100" t="str">
        <f>IFERROR(VLOOKUP(Tablo517[[#This Row],[ÜRÜN KODU]],YMKODLARI!$A$1:$K$363,6,0)," ")</f>
        <v xml:space="preserve"> </v>
      </c>
      <c r="S179" s="100" t="str">
        <f>IFERROR(Tablo517[[#This Row],[YOLLUK HARİÇ BASKI GRAMI]]/Tablo517[[#This Row],[KALIP GÖZ ADEDİ]]," ")</f>
        <v xml:space="preserve"> </v>
      </c>
      <c r="T179" s="100" t="str">
        <f t="shared" si="17"/>
        <v xml:space="preserve"> </v>
      </c>
      <c r="U179" s="100"/>
      <c r="V179" s="100" t="str">
        <f t="shared" si="16"/>
        <v xml:space="preserve"> </v>
      </c>
      <c r="W179" s="101">
        <f t="shared" si="18"/>
        <v>24.1875</v>
      </c>
      <c r="X179" s="102">
        <f t="shared" si="19"/>
        <v>4.5</v>
      </c>
      <c r="Y179" s="100" t="str">
        <f t="shared" si="20"/>
        <v xml:space="preserve"> </v>
      </c>
      <c r="Z179" s="100" t="str">
        <f t="shared" si="21"/>
        <v xml:space="preserve"> </v>
      </c>
    </row>
    <row r="180" spans="1:26">
      <c r="A180" s="100" t="s">
        <v>122</v>
      </c>
      <c r="B180" s="108" t="str">
        <f>IFERROR(VLOOKUP(Tablo517[[#This Row],[ÜRÜN KODU]],YMKODLARI!$A$1:$K$363,2,0)," ")</f>
        <v xml:space="preserve"> </v>
      </c>
      <c r="C180" s="99">
        <v>44099</v>
      </c>
      <c r="D180" s="100" t="s">
        <v>37</v>
      </c>
      <c r="E180" s="101">
        <v>0.52083333333333337</v>
      </c>
      <c r="F180" s="101">
        <v>0.70833333333333337</v>
      </c>
      <c r="G180" s="100" t="str">
        <f>IFERROR(VLOOKUP(Tablo517[[#This Row],[ÜRÜN KODU]],YMKODLARI!$A$1:$K$363,3,0)," ")</f>
        <v xml:space="preserve"> </v>
      </c>
      <c r="H180" s="100" t="str">
        <f>IFERROR(VLOOKUP(Tablo517[[#This Row],[ÜRÜN KODU]],YMKODLARI!$A$1:$K$363,4,0)," ")</f>
        <v xml:space="preserve"> </v>
      </c>
      <c r="I180" s="100">
        <v>991</v>
      </c>
      <c r="J180" s="100" t="str">
        <f>IFERROR(VLOOKUP(Tablo517[[#This Row],[ÜRÜN KODU]],YMKODLARI!$A$1:$K$363,9,0)," ")</f>
        <v xml:space="preserve"> </v>
      </c>
      <c r="K180" s="100" t="str">
        <f>IFERROR(VLOOKUP(Tablo517[[#This Row],[BOYA KODU]],Tablo14[#All],4,0)," ")</f>
        <v xml:space="preserve"> </v>
      </c>
      <c r="L180" s="100" t="str">
        <f>IFERROR(VLOOKUP(Tablo517[[#This Row],[BOYA KODU]],Tablo14[#All],6,0)," ")</f>
        <v xml:space="preserve"> </v>
      </c>
      <c r="M180" s="100" t="str">
        <f t="shared" si="15"/>
        <v xml:space="preserve"> </v>
      </c>
      <c r="N180" s="100" t="str">
        <f>IFERROR(VLOOKUP(Tablo517[[#This Row],[ÜRÜN KODU]],YMKODLARI!$A$1:$K$363,8,0)," ")</f>
        <v xml:space="preserve"> </v>
      </c>
      <c r="O180" s="100" t="str">
        <f>IFERROR(VLOOKUP(Tablo517[[#This Row],[HAMMADDE KODU]],Tablo1[#All],3,0)," ")</f>
        <v xml:space="preserve"> </v>
      </c>
      <c r="P180" s="100" t="str">
        <f>IFERROR(VLOOKUP(Tablo517[[#This Row],[HAMMADDE KODU]],Tablo1[#All],4,0)," ")</f>
        <v xml:space="preserve"> </v>
      </c>
      <c r="Q180" s="100" t="str">
        <f>IFERROR(VLOOKUP(Tablo517[[#This Row],[ÜRÜN KODU]],YMKODLARI!$A$1:$K$363,5,0)," ")</f>
        <v xml:space="preserve"> </v>
      </c>
      <c r="R180" s="100" t="str">
        <f>IFERROR(VLOOKUP(Tablo517[[#This Row],[ÜRÜN KODU]],YMKODLARI!$A$1:$K$363,6,0)," ")</f>
        <v xml:space="preserve"> </v>
      </c>
      <c r="S180" s="100" t="str">
        <f>IFERROR(Tablo517[[#This Row],[YOLLUK HARİÇ BASKI GRAMI]]/Tablo517[[#This Row],[KALIP GÖZ ADEDİ]]," ")</f>
        <v xml:space="preserve"> </v>
      </c>
      <c r="T180" s="100" t="str">
        <f t="shared" si="17"/>
        <v xml:space="preserve"> </v>
      </c>
      <c r="U180" s="100">
        <v>2.2999999999999998</v>
      </c>
      <c r="V180" s="100" t="str">
        <f t="shared" si="16"/>
        <v xml:space="preserve"> </v>
      </c>
      <c r="W180" s="101">
        <f t="shared" si="18"/>
        <v>24.1875</v>
      </c>
      <c r="X180" s="102">
        <f t="shared" si="19"/>
        <v>4.5</v>
      </c>
      <c r="Y180" s="100" t="str">
        <f t="shared" si="20"/>
        <v xml:space="preserve"> </v>
      </c>
      <c r="Z180" s="100" t="str">
        <f t="shared" si="21"/>
        <v xml:space="preserve"> </v>
      </c>
    </row>
    <row r="181" spans="1:26">
      <c r="A181" s="100" t="s">
        <v>122</v>
      </c>
      <c r="B181" s="108" t="str">
        <f>IFERROR(VLOOKUP(Tablo517[[#This Row],[ÜRÜN KODU]],YMKODLARI!$A$1:$K$363,2,0)," ")</f>
        <v xml:space="preserve"> </v>
      </c>
      <c r="C181" s="99">
        <v>44102</v>
      </c>
      <c r="D181" s="100" t="s">
        <v>37</v>
      </c>
      <c r="E181" s="101">
        <v>0.34027777777777773</v>
      </c>
      <c r="F181" s="101">
        <v>0.5</v>
      </c>
      <c r="G181" s="100" t="str">
        <f>IFERROR(VLOOKUP(Tablo517[[#This Row],[ÜRÜN KODU]],YMKODLARI!$A$1:$K$363,3,0)," ")</f>
        <v xml:space="preserve"> </v>
      </c>
      <c r="H181" s="100" t="str">
        <f>IFERROR(VLOOKUP(Tablo517[[#This Row],[ÜRÜN KODU]],YMKODLARI!$A$1:$K$363,4,0)," ")</f>
        <v xml:space="preserve"> </v>
      </c>
      <c r="I181" s="100">
        <v>976</v>
      </c>
      <c r="J181" s="100" t="str">
        <f>IFERROR(VLOOKUP(Tablo517[[#This Row],[ÜRÜN KODU]],YMKODLARI!$A$1:$K$363,9,0)," ")</f>
        <v xml:space="preserve"> </v>
      </c>
      <c r="K181" s="100" t="str">
        <f>IFERROR(VLOOKUP(Tablo517[[#This Row],[BOYA KODU]],Tablo14[#All],4,0)," ")</f>
        <v xml:space="preserve"> </v>
      </c>
      <c r="L181" s="100" t="str">
        <f>IFERROR(VLOOKUP(Tablo517[[#This Row],[BOYA KODU]],Tablo14[#All],6,0)," ")</f>
        <v xml:space="preserve"> </v>
      </c>
      <c r="M181" s="100" t="str">
        <f t="shared" si="15"/>
        <v xml:space="preserve"> </v>
      </c>
      <c r="N181" s="100" t="str">
        <f>IFERROR(VLOOKUP(Tablo517[[#This Row],[ÜRÜN KODU]],YMKODLARI!$A$1:$K$363,8,0)," ")</f>
        <v xml:space="preserve"> </v>
      </c>
      <c r="O181" s="100" t="str">
        <f>IFERROR(VLOOKUP(Tablo517[[#This Row],[HAMMADDE KODU]],Tablo1[#All],3,0)," ")</f>
        <v xml:space="preserve"> </v>
      </c>
      <c r="P181" s="100" t="str">
        <f>IFERROR(VLOOKUP(Tablo517[[#This Row],[HAMMADDE KODU]],Tablo1[#All],4,0)," ")</f>
        <v xml:space="preserve"> </v>
      </c>
      <c r="Q181" s="100" t="str">
        <f>IFERROR(VLOOKUP(Tablo517[[#This Row],[ÜRÜN KODU]],YMKODLARI!$A$1:$K$363,5,0)," ")</f>
        <v xml:space="preserve"> </v>
      </c>
      <c r="R181" s="100" t="str">
        <f>IFERROR(VLOOKUP(Tablo517[[#This Row],[ÜRÜN KODU]],YMKODLARI!$A$1:$K$363,6,0)," ")</f>
        <v xml:space="preserve"> </v>
      </c>
      <c r="S181" s="100" t="str">
        <f>IFERROR(Tablo517[[#This Row],[YOLLUK HARİÇ BASKI GRAMI]]/Tablo517[[#This Row],[KALIP GÖZ ADEDİ]]," ")</f>
        <v xml:space="preserve"> </v>
      </c>
      <c r="T181" s="100" t="str">
        <f t="shared" si="17"/>
        <v xml:space="preserve"> </v>
      </c>
      <c r="U181" s="100"/>
      <c r="V181" s="100" t="str">
        <f t="shared" si="16"/>
        <v xml:space="preserve"> </v>
      </c>
      <c r="W181" s="101">
        <f t="shared" si="18"/>
        <v>24.159722222222221</v>
      </c>
      <c r="X181" s="102">
        <f t="shared" si="19"/>
        <v>3.8333333333333144</v>
      </c>
      <c r="Y181" s="100" t="str">
        <f t="shared" si="20"/>
        <v xml:space="preserve"> </v>
      </c>
      <c r="Z181" s="100" t="str">
        <f t="shared" si="21"/>
        <v xml:space="preserve"> </v>
      </c>
    </row>
    <row r="182" spans="1:26">
      <c r="A182" s="100" t="s">
        <v>123</v>
      </c>
      <c r="B182" s="108" t="str">
        <f>IFERROR(VLOOKUP(Tablo517[[#This Row],[ÜRÜN KODU]],YMKODLARI!$A$1:$K$363,2,0)," ")</f>
        <v xml:space="preserve"> </v>
      </c>
      <c r="C182" s="99">
        <v>44102</v>
      </c>
      <c r="D182" s="100" t="s">
        <v>37</v>
      </c>
      <c r="E182" s="101">
        <v>0.50347222222222221</v>
      </c>
      <c r="F182" s="101">
        <v>0.69444444444444453</v>
      </c>
      <c r="G182" s="100" t="str">
        <f>IFERROR(VLOOKUP(Tablo517[[#This Row],[ÜRÜN KODU]],YMKODLARI!$A$1:$K$363,3,0)," ")</f>
        <v xml:space="preserve"> </v>
      </c>
      <c r="H182" s="100" t="str">
        <f>IFERROR(VLOOKUP(Tablo517[[#This Row],[ÜRÜN KODU]],YMKODLARI!$A$1:$K$363,4,0)," ")</f>
        <v xml:space="preserve"> </v>
      </c>
      <c r="I182" s="100">
        <v>866</v>
      </c>
      <c r="J182" s="100" t="str">
        <f>IFERROR(VLOOKUP(Tablo517[[#This Row],[ÜRÜN KODU]],YMKODLARI!$A$1:$K$363,9,0)," ")</f>
        <v xml:space="preserve"> </v>
      </c>
      <c r="K182" s="100" t="str">
        <f>IFERROR(VLOOKUP(Tablo517[[#This Row],[BOYA KODU]],Tablo14[#All],4,0)," ")</f>
        <v xml:space="preserve"> </v>
      </c>
      <c r="L182" s="100" t="str">
        <f>IFERROR(VLOOKUP(Tablo517[[#This Row],[BOYA KODU]],Tablo14[#All],6,0)," ")</f>
        <v xml:space="preserve"> </v>
      </c>
      <c r="M182" s="100" t="str">
        <f t="shared" si="15"/>
        <v xml:space="preserve"> </v>
      </c>
      <c r="N182" s="100" t="str">
        <f>IFERROR(VLOOKUP(Tablo517[[#This Row],[ÜRÜN KODU]],YMKODLARI!$A$1:$K$363,8,0)," ")</f>
        <v xml:space="preserve"> </v>
      </c>
      <c r="O182" s="100" t="str">
        <f>IFERROR(VLOOKUP(Tablo517[[#This Row],[HAMMADDE KODU]],Tablo1[#All],3,0)," ")</f>
        <v xml:space="preserve"> </v>
      </c>
      <c r="P182" s="100" t="str">
        <f>IFERROR(VLOOKUP(Tablo517[[#This Row],[HAMMADDE KODU]],Tablo1[#All],4,0)," ")</f>
        <v xml:space="preserve"> </v>
      </c>
      <c r="Q182" s="100" t="str">
        <f>IFERROR(VLOOKUP(Tablo517[[#This Row],[ÜRÜN KODU]],YMKODLARI!$A$1:$K$363,5,0)," ")</f>
        <v xml:space="preserve"> </v>
      </c>
      <c r="R182" s="100" t="str">
        <f>IFERROR(VLOOKUP(Tablo517[[#This Row],[ÜRÜN KODU]],YMKODLARI!$A$1:$K$363,6,0)," ")</f>
        <v xml:space="preserve"> </v>
      </c>
      <c r="S182" s="100" t="str">
        <f>IFERROR(Tablo517[[#This Row],[YOLLUK HARİÇ BASKI GRAMI]]/Tablo517[[#This Row],[KALIP GÖZ ADEDİ]]," ")</f>
        <v xml:space="preserve"> </v>
      </c>
      <c r="T182" s="100" t="str">
        <f t="shared" si="17"/>
        <v xml:space="preserve"> </v>
      </c>
      <c r="U182" s="100">
        <v>2.5</v>
      </c>
      <c r="V182" s="100" t="str">
        <f t="shared" si="16"/>
        <v xml:space="preserve"> </v>
      </c>
      <c r="W182" s="101">
        <f t="shared" si="18"/>
        <v>24.190972222222221</v>
      </c>
      <c r="X182" s="102">
        <f t="shared" si="19"/>
        <v>4.5833333333333144</v>
      </c>
      <c r="Y182" s="100" t="str">
        <f t="shared" si="20"/>
        <v xml:space="preserve"> </v>
      </c>
      <c r="Z182" s="100" t="str">
        <f t="shared" si="21"/>
        <v xml:space="preserve"> </v>
      </c>
    </row>
    <row r="183" spans="1:26">
      <c r="A183" s="100" t="s">
        <v>63</v>
      </c>
      <c r="B183" s="108" t="str">
        <f>IFERROR(VLOOKUP(Tablo517[[#This Row],[ÜRÜN KODU]],YMKODLARI!$A$1:$K$363,2,0)," ")</f>
        <v>DAMAK EMZİK SAP</v>
      </c>
      <c r="C183" s="99">
        <v>44116</v>
      </c>
      <c r="D183" s="100" t="s">
        <v>33</v>
      </c>
      <c r="E183" s="101">
        <v>0.4375</v>
      </c>
      <c r="F183" s="101">
        <v>0.72569444444444453</v>
      </c>
      <c r="G183" s="100">
        <f>IFERROR(VLOOKUP(Tablo517[[#This Row],[ÜRÜN KODU]],YMKODLARI!$A$1:$K$363,3,0)," ")</f>
        <v>16</v>
      </c>
      <c r="H183" s="100">
        <f>IFERROR(VLOOKUP(Tablo517[[#This Row],[ÜRÜN KODU]],YMKODLARI!$A$1:$K$363,4,0)," ")</f>
        <v>20</v>
      </c>
      <c r="I183" s="100">
        <v>908</v>
      </c>
      <c r="J183" s="100" t="str">
        <f>IFERROR(VLOOKUP(Tablo517[[#This Row],[ÜRÜN KODU]],YMKODLARI!$A$1:$K$363,9,0)," ")</f>
        <v>Şeffaf</v>
      </c>
      <c r="K183" s="100" t="str">
        <f>IFERROR(VLOOKUP(Tablo517[[#This Row],[BOYA KODU]],Tablo14[#All],4,0)," ")</f>
        <v xml:space="preserve"> </v>
      </c>
      <c r="L183" s="100" t="str">
        <f>IFERROR(VLOOKUP(Tablo517[[#This Row],[BOYA KODU]],Tablo14[#All],6,0)," ")</f>
        <v xml:space="preserve"> </v>
      </c>
      <c r="M183" s="100" t="str">
        <f t="shared" si="15"/>
        <v xml:space="preserve"> </v>
      </c>
      <c r="N183" s="100" t="str">
        <f>IFERROR(VLOOKUP(Tablo517[[#This Row],[ÜRÜN KODU]],YMKODLARI!$A$1:$K$363,8,0)," ")</f>
        <v>HM 002</v>
      </c>
      <c r="O183" s="100" t="str">
        <f>IFERROR(VLOOKUP(Tablo517[[#This Row],[HAMMADDE KODU]],Tablo1[#All],3,0)," ")</f>
        <v>NOVAREX</v>
      </c>
      <c r="P183" s="100" t="str">
        <f>IFERROR(VLOOKUP(Tablo517[[#This Row],[HAMMADDE KODU]],Tablo1[#All],4,0)," ")</f>
        <v>PİNHAS</v>
      </c>
      <c r="Q183" s="100">
        <f>IFERROR(VLOOKUP(Tablo517[[#This Row],[ÜRÜN KODU]],YMKODLARI!$A$1:$K$363,5,0)," ")</f>
        <v>18.600000000000001</v>
      </c>
      <c r="R183" s="100">
        <f>IFERROR(VLOOKUP(Tablo517[[#This Row],[ÜRÜN KODU]],YMKODLARI!$A$1:$K$363,6,0)," ")</f>
        <v>16.7</v>
      </c>
      <c r="S183" s="100">
        <f>IFERROR(Tablo517[[#This Row],[YOLLUK HARİÇ BASKI GRAMI]]/Tablo517[[#This Row],[KALIP GÖZ ADEDİ]]," ")</f>
        <v>1.04375</v>
      </c>
      <c r="T183" s="100">
        <f t="shared" si="17"/>
        <v>1.9000000000000021</v>
      </c>
      <c r="U183" s="100">
        <v>10</v>
      </c>
      <c r="V183" s="100">
        <f t="shared" si="16"/>
        <v>25.163599999999999</v>
      </c>
      <c r="W183" s="101">
        <f t="shared" si="18"/>
        <v>24.288194444444443</v>
      </c>
      <c r="X183" s="102">
        <f t="shared" si="19"/>
        <v>6.9166666666666288</v>
      </c>
      <c r="Y183" s="100">
        <f t="shared" si="20"/>
        <v>5.0444444444444443</v>
      </c>
      <c r="Z183" s="100">
        <f t="shared" si="21"/>
        <v>14528</v>
      </c>
    </row>
    <row r="184" spans="1:26">
      <c r="A184" s="100" t="s">
        <v>68</v>
      </c>
      <c r="B184" s="108" t="str">
        <f>IFERROR(VLOOKUP(Tablo517[[#This Row],[ÜRÜN KODU]],YMKODLARI!$A$1:$K$363,2,0)," ")</f>
        <v>DAMAK EMZİK SAP</v>
      </c>
      <c r="C184" s="99">
        <v>44116</v>
      </c>
      <c r="D184" s="100" t="s">
        <v>33</v>
      </c>
      <c r="E184" s="101">
        <v>0.72569444444444453</v>
      </c>
      <c r="F184" s="101">
        <v>0.75</v>
      </c>
      <c r="G184" s="100">
        <f>IFERROR(VLOOKUP(Tablo517[[#This Row],[ÜRÜN KODU]],YMKODLARI!$A$1:$K$363,3,0)," ")</f>
        <v>16</v>
      </c>
      <c r="H184" s="100">
        <f>IFERROR(VLOOKUP(Tablo517[[#This Row],[ÜRÜN KODU]],YMKODLARI!$A$1:$K$363,4,0)," ")</f>
        <v>20</v>
      </c>
      <c r="I184" s="100">
        <v>99</v>
      </c>
      <c r="J184" s="100">
        <f>IFERROR(VLOOKUP(Tablo517[[#This Row],[ÜRÜN KODU]],YMKODLARI!$A$1:$K$363,9,0)," ")</f>
        <v>1045</v>
      </c>
      <c r="K184" s="100" t="str">
        <f>IFERROR(VLOOKUP(Tablo517[[#This Row],[BOYA KODU]],Tablo14[#All],4,0)," ")</f>
        <v>T.SARI</v>
      </c>
      <c r="L184" s="100">
        <f>IFERROR(VLOOKUP(Tablo517[[#This Row],[BOYA KODU]],Tablo14[#All],6,0)," ")</f>
        <v>2E-3</v>
      </c>
      <c r="M184" s="100">
        <f t="shared" si="15"/>
        <v>3.6828000000000003</v>
      </c>
      <c r="N184" s="100" t="str">
        <f>IFERROR(VLOOKUP(Tablo517[[#This Row],[ÜRÜN KODU]],YMKODLARI!$A$1:$K$363,8,0)," ")</f>
        <v>HM 002</v>
      </c>
      <c r="O184" s="100" t="str">
        <f>IFERROR(VLOOKUP(Tablo517[[#This Row],[HAMMADDE KODU]],Tablo1[#All],3,0)," ")</f>
        <v>NOVAREX</v>
      </c>
      <c r="P184" s="100" t="str">
        <f>IFERROR(VLOOKUP(Tablo517[[#This Row],[HAMMADDE KODU]],Tablo1[#All],4,0)," ")</f>
        <v>PİNHAS</v>
      </c>
      <c r="Q184" s="100">
        <f>IFERROR(VLOOKUP(Tablo517[[#This Row],[ÜRÜN KODU]],YMKODLARI!$A$1:$K$363,5,0)," ")</f>
        <v>18.600000000000001</v>
      </c>
      <c r="R184" s="100">
        <f>IFERROR(VLOOKUP(Tablo517[[#This Row],[ÜRÜN KODU]],YMKODLARI!$A$1:$K$363,6,0)," ")</f>
        <v>16.7</v>
      </c>
      <c r="S184" s="100">
        <f>IFERROR(Tablo517[[#This Row],[YOLLUK HARİÇ BASKI GRAMI]]/Tablo517[[#This Row],[KALIP GÖZ ADEDİ]]," ")</f>
        <v>1.04375</v>
      </c>
      <c r="T184" s="100">
        <f t="shared" si="17"/>
        <v>1.9000000000000021</v>
      </c>
      <c r="U184" s="100">
        <v>1.2</v>
      </c>
      <c r="V184" s="100">
        <f t="shared" si="16"/>
        <v>2.8532999999999999</v>
      </c>
      <c r="W184" s="101">
        <f t="shared" si="18"/>
        <v>24.024305555555557</v>
      </c>
      <c r="X184" s="102">
        <f t="shared" si="19"/>
        <v>0.58333333333337123</v>
      </c>
      <c r="Y184" s="100">
        <f t="shared" si="20"/>
        <v>0.55000000000000004</v>
      </c>
      <c r="Z184" s="100">
        <f t="shared" si="21"/>
        <v>1584</v>
      </c>
    </row>
    <row r="185" spans="1:26">
      <c r="A185" s="100" t="s">
        <v>553</v>
      </c>
      <c r="B185" s="108" t="str">
        <f>IFERROR(VLOOKUP(Tablo517[[#This Row],[ÜRÜN KODU]],YMKODLARI!$A$1:$K$363,2,0)," ")</f>
        <v xml:space="preserve"> </v>
      </c>
      <c r="C185" s="99">
        <v>44117</v>
      </c>
      <c r="D185" s="100" t="s">
        <v>37</v>
      </c>
      <c r="E185" s="101">
        <v>0.34722222222222227</v>
      </c>
      <c r="F185" s="101">
        <v>0.38194444444444442</v>
      </c>
      <c r="G185" s="100" t="str">
        <f>IFERROR(VLOOKUP(Tablo517[[#This Row],[ÜRÜN KODU]],YMKODLARI!$A$1:$K$363,3,0)," ")</f>
        <v xml:space="preserve"> </v>
      </c>
      <c r="H185" s="100" t="str">
        <f>IFERROR(VLOOKUP(Tablo517[[#This Row],[ÜRÜN KODU]],YMKODLARI!$A$1:$K$363,4,0)," ")</f>
        <v xml:space="preserve"> </v>
      </c>
      <c r="I185" s="100">
        <v>160</v>
      </c>
      <c r="J185" s="100" t="str">
        <f>IFERROR(VLOOKUP(Tablo517[[#This Row],[ÜRÜN KODU]],YMKODLARI!$A$1:$K$363,9,0)," ")</f>
        <v xml:space="preserve"> </v>
      </c>
      <c r="K185" s="100" t="str">
        <f>IFERROR(VLOOKUP(Tablo517[[#This Row],[BOYA KODU]],Tablo14[#All],4,0)," ")</f>
        <v xml:space="preserve"> </v>
      </c>
      <c r="L185" s="100" t="str">
        <f>IFERROR(VLOOKUP(Tablo517[[#This Row],[BOYA KODU]],Tablo14[#All],6,0)," ")</f>
        <v xml:space="preserve"> </v>
      </c>
      <c r="M185" s="100" t="str">
        <f t="shared" si="15"/>
        <v xml:space="preserve"> </v>
      </c>
      <c r="N185" s="100" t="str">
        <f>IFERROR(VLOOKUP(Tablo517[[#This Row],[ÜRÜN KODU]],YMKODLARI!$A$1:$K$363,8,0)," ")</f>
        <v xml:space="preserve"> </v>
      </c>
      <c r="O185" s="100" t="str">
        <f>IFERROR(VLOOKUP(Tablo517[[#This Row],[HAMMADDE KODU]],Tablo1[#All],3,0)," ")</f>
        <v xml:space="preserve"> </v>
      </c>
      <c r="P185" s="100" t="str">
        <f>IFERROR(VLOOKUP(Tablo517[[#This Row],[HAMMADDE KODU]],Tablo1[#All],4,0)," ")</f>
        <v xml:space="preserve"> </v>
      </c>
      <c r="Q185" s="100" t="str">
        <f>IFERROR(VLOOKUP(Tablo517[[#This Row],[ÜRÜN KODU]],YMKODLARI!$A$1:$K$363,5,0)," ")</f>
        <v xml:space="preserve"> </v>
      </c>
      <c r="R185" s="100" t="str">
        <f>IFERROR(VLOOKUP(Tablo517[[#This Row],[ÜRÜN KODU]],YMKODLARI!$A$1:$K$363,6,0)," ")</f>
        <v xml:space="preserve"> </v>
      </c>
      <c r="S185" s="100" t="str">
        <f>IFERROR(Tablo517[[#This Row],[YOLLUK HARİÇ BASKI GRAMI]]/Tablo517[[#This Row],[KALIP GÖZ ADEDİ]]," ")</f>
        <v xml:space="preserve"> </v>
      </c>
      <c r="T185" s="100" t="str">
        <f t="shared" si="17"/>
        <v xml:space="preserve"> </v>
      </c>
      <c r="U185" s="100">
        <v>1.5</v>
      </c>
      <c r="V185" s="100" t="str">
        <f t="shared" si="16"/>
        <v xml:space="preserve"> </v>
      </c>
      <c r="W185" s="101">
        <f t="shared" si="18"/>
        <v>24.034722222222221</v>
      </c>
      <c r="X185" s="102">
        <f t="shared" si="19"/>
        <v>0.83333333333331439</v>
      </c>
      <c r="Y185" s="100" t="str">
        <f t="shared" si="20"/>
        <v xml:space="preserve"> </v>
      </c>
      <c r="Z185" s="100" t="str">
        <f t="shared" si="21"/>
        <v xml:space="preserve"> </v>
      </c>
    </row>
    <row r="186" spans="1:26">
      <c r="A186" s="100" t="s">
        <v>64</v>
      </c>
      <c r="B186" s="108" t="str">
        <f>IFERROR(VLOOKUP(Tablo517[[#This Row],[ÜRÜN KODU]],YMKODLARI!$A$1:$K$363,2,0)," ")</f>
        <v>DAMAK EMZİK SAP</v>
      </c>
      <c r="C186" s="99">
        <v>44117</v>
      </c>
      <c r="D186" s="100" t="s">
        <v>37</v>
      </c>
      <c r="E186" s="101">
        <v>0.38194444444444442</v>
      </c>
      <c r="F186" s="101">
        <v>0.51388888888888895</v>
      </c>
      <c r="G186" s="100">
        <f>IFERROR(VLOOKUP(Tablo517[[#This Row],[ÜRÜN KODU]],YMKODLARI!$A$1:$K$363,3,0)," ")</f>
        <v>16</v>
      </c>
      <c r="H186" s="100">
        <f>IFERROR(VLOOKUP(Tablo517[[#This Row],[ÜRÜN KODU]],YMKODLARI!$A$1:$K$363,4,0)," ")</f>
        <v>20</v>
      </c>
      <c r="I186" s="100">
        <v>525</v>
      </c>
      <c r="J186" s="100" t="str">
        <f>IFERROR(VLOOKUP(Tablo517[[#This Row],[ÜRÜN KODU]],YMKODLARI!$A$1:$K$363,9,0)," ")</f>
        <v>5139C</v>
      </c>
      <c r="K186" s="100" t="str">
        <f>IFERROR(VLOOKUP(Tablo517[[#This Row],[BOYA KODU]],Tablo14[#All],4,0)," ")</f>
        <v>T.MAVİ</v>
      </c>
      <c r="L186" s="100">
        <f>IFERROR(VLOOKUP(Tablo517[[#This Row],[BOYA KODU]],Tablo14[#All],6,0)," ")</f>
        <v>1E-3</v>
      </c>
      <c r="M186" s="100">
        <f t="shared" si="15"/>
        <v>9.7650000000000006</v>
      </c>
      <c r="N186" s="100" t="str">
        <f>IFERROR(VLOOKUP(Tablo517[[#This Row],[ÜRÜN KODU]],YMKODLARI!$A$1:$K$363,8,0)," ")</f>
        <v>HM 002</v>
      </c>
      <c r="O186" s="100" t="str">
        <f>IFERROR(VLOOKUP(Tablo517[[#This Row],[HAMMADDE KODU]],Tablo1[#All],3,0)," ")</f>
        <v>NOVAREX</v>
      </c>
      <c r="P186" s="100" t="str">
        <f>IFERROR(VLOOKUP(Tablo517[[#This Row],[HAMMADDE KODU]],Tablo1[#All],4,0)," ")</f>
        <v>PİNHAS</v>
      </c>
      <c r="Q186" s="100">
        <f>IFERROR(VLOOKUP(Tablo517[[#This Row],[ÜRÜN KODU]],YMKODLARI!$A$1:$K$363,5,0)," ")</f>
        <v>18.600000000000001</v>
      </c>
      <c r="R186" s="100">
        <f>IFERROR(VLOOKUP(Tablo517[[#This Row],[ÜRÜN KODU]],YMKODLARI!$A$1:$K$363,6,0)," ")</f>
        <v>16.7</v>
      </c>
      <c r="S186" s="100">
        <f>IFERROR(Tablo517[[#This Row],[YOLLUK HARİÇ BASKI GRAMI]]/Tablo517[[#This Row],[KALIP GÖZ ADEDİ]]," ")</f>
        <v>1.04375</v>
      </c>
      <c r="T186" s="100">
        <f t="shared" si="17"/>
        <v>1.9000000000000021</v>
      </c>
      <c r="U186" s="100">
        <v>3.4</v>
      </c>
      <c r="V186" s="100">
        <f t="shared" si="16"/>
        <v>12.1675</v>
      </c>
      <c r="W186" s="101">
        <f t="shared" si="18"/>
        <v>24.131944444444443</v>
      </c>
      <c r="X186" s="102">
        <f t="shared" si="19"/>
        <v>3.1666666666666288</v>
      </c>
      <c r="Y186" s="100">
        <f t="shared" si="20"/>
        <v>2.9166666666666665</v>
      </c>
      <c r="Z186" s="100">
        <f t="shared" si="21"/>
        <v>8400</v>
      </c>
    </row>
    <row r="187" spans="1:26">
      <c r="A187" s="100" t="s">
        <v>56</v>
      </c>
      <c r="B187" s="108" t="str">
        <f>IFERROR(VLOOKUP(Tablo517[[#This Row],[ÜRÜN KODU]],YMKODLARI!$A$1:$K$363,2,0)," ")</f>
        <v>DAMAK EMZİK SAP</v>
      </c>
      <c r="C187" s="99">
        <v>44117</v>
      </c>
      <c r="D187" s="100" t="s">
        <v>37</v>
      </c>
      <c r="E187" s="101">
        <v>0.51736111111111105</v>
      </c>
      <c r="F187" s="101">
        <v>0.63541666666666663</v>
      </c>
      <c r="G187" s="100">
        <f>IFERROR(VLOOKUP(Tablo517[[#This Row],[ÜRÜN KODU]],YMKODLARI!$A$1:$K$363,3,0)," ")</f>
        <v>16</v>
      </c>
      <c r="H187" s="100">
        <f>IFERROR(VLOOKUP(Tablo517[[#This Row],[ÜRÜN KODU]],YMKODLARI!$A$1:$K$363,4,0)," ")</f>
        <v>20</v>
      </c>
      <c r="I187" s="100">
        <v>440</v>
      </c>
      <c r="J187" s="100" t="str">
        <f>IFERROR(VLOOKUP(Tablo517[[#This Row],[ÜRÜN KODU]],YMKODLARI!$A$1:$K$363,9,0)," ")</f>
        <v>708GN0539G</v>
      </c>
      <c r="K187" s="100" t="str">
        <f>IFERROR(VLOOKUP(Tablo517[[#This Row],[BOYA KODU]],Tablo14[#All],4,0)," ")</f>
        <v>T.YEŞİL</v>
      </c>
      <c r="L187" s="100">
        <f>IFERROR(VLOOKUP(Tablo517[[#This Row],[BOYA KODU]],Tablo14[#All],6,0)," ")</f>
        <v>2E-3</v>
      </c>
      <c r="M187" s="100">
        <f t="shared" si="15"/>
        <v>16.368000000000002</v>
      </c>
      <c r="N187" s="100" t="str">
        <f>IFERROR(VLOOKUP(Tablo517[[#This Row],[ÜRÜN KODU]],YMKODLARI!$A$1:$K$363,8,0)," ")</f>
        <v>HM 002</v>
      </c>
      <c r="O187" s="100" t="str">
        <f>IFERROR(VLOOKUP(Tablo517[[#This Row],[HAMMADDE KODU]],Tablo1[#All],3,0)," ")</f>
        <v>NOVAREX</v>
      </c>
      <c r="P187" s="100" t="str">
        <f>IFERROR(VLOOKUP(Tablo517[[#This Row],[HAMMADDE KODU]],Tablo1[#All],4,0)," ")</f>
        <v>PİNHAS</v>
      </c>
      <c r="Q187" s="100">
        <f>IFERROR(VLOOKUP(Tablo517[[#This Row],[ÜRÜN KODU]],YMKODLARI!$A$1:$K$363,5,0)," ")</f>
        <v>18.600000000000001</v>
      </c>
      <c r="R187" s="100">
        <f>IFERROR(VLOOKUP(Tablo517[[#This Row],[ÜRÜN KODU]],YMKODLARI!$A$1:$K$363,6,0)," ")</f>
        <v>16.7</v>
      </c>
      <c r="S187" s="100">
        <f>IFERROR(Tablo517[[#This Row],[YOLLUK HARİÇ BASKI GRAMI]]/Tablo517[[#This Row],[KALIP GÖZ ADEDİ]]," ")</f>
        <v>1.04375</v>
      </c>
      <c r="T187" s="100">
        <f t="shared" si="17"/>
        <v>1.9000000000000021</v>
      </c>
      <c r="U187" s="100">
        <v>2.2000000000000002</v>
      </c>
      <c r="V187" s="100">
        <f t="shared" si="16"/>
        <v>9.548</v>
      </c>
      <c r="W187" s="101">
        <f t="shared" si="18"/>
        <v>24.118055555555557</v>
      </c>
      <c r="X187" s="102">
        <f t="shared" si="19"/>
        <v>2.8333333333333712</v>
      </c>
      <c r="Y187" s="100">
        <f t="shared" si="20"/>
        <v>2.4444444444444446</v>
      </c>
      <c r="Z187" s="100">
        <f t="shared" si="21"/>
        <v>7040</v>
      </c>
    </row>
    <row r="188" spans="1:26">
      <c r="A188" s="100" t="s">
        <v>63</v>
      </c>
      <c r="B188" s="108" t="str">
        <f>IFERROR(VLOOKUP(Tablo517[[#This Row],[ÜRÜN KODU]],YMKODLARI!$A$1:$K$363,2,0)," ")</f>
        <v>DAMAK EMZİK SAP</v>
      </c>
      <c r="C188" s="99">
        <v>44117</v>
      </c>
      <c r="D188" s="100" t="s">
        <v>37</v>
      </c>
      <c r="E188" s="101">
        <v>0.63888888888888895</v>
      </c>
      <c r="F188" s="101">
        <v>0.75</v>
      </c>
      <c r="G188" s="100">
        <f>IFERROR(VLOOKUP(Tablo517[[#This Row],[ÜRÜN KODU]],YMKODLARI!$A$1:$K$363,3,0)," ")</f>
        <v>16</v>
      </c>
      <c r="H188" s="100">
        <f>IFERROR(VLOOKUP(Tablo517[[#This Row],[ÜRÜN KODU]],YMKODLARI!$A$1:$K$363,4,0)," ")</f>
        <v>20</v>
      </c>
      <c r="I188" s="100">
        <v>510</v>
      </c>
      <c r="J188" s="100" t="str">
        <f>IFERROR(VLOOKUP(Tablo517[[#This Row],[ÜRÜN KODU]],YMKODLARI!$A$1:$K$363,9,0)," ")</f>
        <v>Şeffaf</v>
      </c>
      <c r="K188" s="100" t="str">
        <f>IFERROR(VLOOKUP(Tablo517[[#This Row],[BOYA KODU]],Tablo14[#All],4,0)," ")</f>
        <v xml:space="preserve"> </v>
      </c>
      <c r="L188" s="100" t="str">
        <f>IFERROR(VLOOKUP(Tablo517[[#This Row],[BOYA KODU]],Tablo14[#All],6,0)," ")</f>
        <v xml:space="preserve"> </v>
      </c>
      <c r="M188" s="100" t="str">
        <f t="shared" si="15"/>
        <v xml:space="preserve"> </v>
      </c>
      <c r="N188" s="100" t="str">
        <f>IFERROR(VLOOKUP(Tablo517[[#This Row],[ÜRÜN KODU]],YMKODLARI!$A$1:$K$363,8,0)," ")</f>
        <v>HM 002</v>
      </c>
      <c r="O188" s="100" t="str">
        <f>IFERROR(VLOOKUP(Tablo517[[#This Row],[HAMMADDE KODU]],Tablo1[#All],3,0)," ")</f>
        <v>NOVAREX</v>
      </c>
      <c r="P188" s="100" t="str">
        <f>IFERROR(VLOOKUP(Tablo517[[#This Row],[HAMMADDE KODU]],Tablo1[#All],4,0)," ")</f>
        <v>PİNHAS</v>
      </c>
      <c r="Q188" s="100">
        <f>IFERROR(VLOOKUP(Tablo517[[#This Row],[ÜRÜN KODU]],YMKODLARI!$A$1:$K$363,5,0)," ")</f>
        <v>18.600000000000001</v>
      </c>
      <c r="R188" s="100">
        <f>IFERROR(VLOOKUP(Tablo517[[#This Row],[ÜRÜN KODU]],YMKODLARI!$A$1:$K$363,6,0)," ")</f>
        <v>16.7</v>
      </c>
      <c r="S188" s="100">
        <f>IFERROR(Tablo517[[#This Row],[YOLLUK HARİÇ BASKI GRAMI]]/Tablo517[[#This Row],[KALIP GÖZ ADEDİ]]," ")</f>
        <v>1.04375</v>
      </c>
      <c r="T188" s="100">
        <f t="shared" si="17"/>
        <v>1.9000000000000021</v>
      </c>
      <c r="U188" s="100">
        <v>4.2</v>
      </c>
      <c r="V188" s="100">
        <f t="shared" si="16"/>
        <v>12.716999999999999</v>
      </c>
      <c r="W188" s="101">
        <f t="shared" si="18"/>
        <v>24.111111111111111</v>
      </c>
      <c r="X188" s="102">
        <f t="shared" si="19"/>
        <v>2.6666666666666572</v>
      </c>
      <c r="Y188" s="100">
        <f t="shared" si="20"/>
        <v>2.8333333333333335</v>
      </c>
      <c r="Z188" s="100">
        <f t="shared" si="21"/>
        <v>8160</v>
      </c>
    </row>
    <row r="189" spans="1:26">
      <c r="A189" s="100" t="s">
        <v>83</v>
      </c>
      <c r="B189" s="108" t="str">
        <f>IFERROR(VLOOKUP(Tablo517[[#This Row],[ÜRÜN KODU]],YMKODLARI!$A$1:$K$363,2,0)," ")</f>
        <v>DAMAK EMZİK SAP</v>
      </c>
      <c r="C189" s="99">
        <v>44118</v>
      </c>
      <c r="D189" s="100" t="s">
        <v>37</v>
      </c>
      <c r="E189" s="101">
        <v>0.33333333333333331</v>
      </c>
      <c r="F189" s="101">
        <v>0.4375</v>
      </c>
      <c r="G189" s="100">
        <f>IFERROR(VLOOKUP(Tablo517[[#This Row],[ÜRÜN KODU]],YMKODLARI!$A$1:$K$363,3,0)," ")</f>
        <v>16</v>
      </c>
      <c r="H189" s="100">
        <f>IFERROR(VLOOKUP(Tablo517[[#This Row],[ÜRÜN KODU]],YMKODLARI!$A$1:$K$363,4,0)," ")</f>
        <v>20</v>
      </c>
      <c r="I189" s="100">
        <v>365</v>
      </c>
      <c r="J189" s="100">
        <f>IFERROR(VLOOKUP(Tablo517[[#This Row],[ÜRÜN KODU]],YMKODLARI!$A$1:$K$363,9,0)," ")</f>
        <v>1289</v>
      </c>
      <c r="K189" s="100" t="str">
        <f>IFERROR(VLOOKUP(Tablo517[[#This Row],[BOYA KODU]],Tablo14[#All],4,0)," ")</f>
        <v>SARI</v>
      </c>
      <c r="L189" s="100">
        <f>IFERROR(VLOOKUP(Tablo517[[#This Row],[BOYA KODU]],Tablo14[#All],6,0)," ")</f>
        <v>5.0000000000000001E-3</v>
      </c>
      <c r="M189" s="100">
        <f t="shared" si="15"/>
        <v>33.945000000000007</v>
      </c>
      <c r="N189" s="100" t="str">
        <f>IFERROR(VLOOKUP(Tablo517[[#This Row],[ÜRÜN KODU]],YMKODLARI!$A$1:$K$363,8,0)," ")</f>
        <v>HM 002</v>
      </c>
      <c r="O189" s="100" t="str">
        <f>IFERROR(VLOOKUP(Tablo517[[#This Row],[HAMMADDE KODU]],Tablo1[#All],3,0)," ")</f>
        <v>NOVAREX</v>
      </c>
      <c r="P189" s="100" t="str">
        <f>IFERROR(VLOOKUP(Tablo517[[#This Row],[HAMMADDE KODU]],Tablo1[#All],4,0)," ")</f>
        <v>PİNHAS</v>
      </c>
      <c r="Q189" s="100">
        <f>IFERROR(VLOOKUP(Tablo517[[#This Row],[ÜRÜN KODU]],YMKODLARI!$A$1:$K$363,5,0)," ")</f>
        <v>18.600000000000001</v>
      </c>
      <c r="R189" s="100">
        <f>IFERROR(VLOOKUP(Tablo517[[#This Row],[ÜRÜN KODU]],YMKODLARI!$A$1:$K$363,6,0)," ")</f>
        <v>16.7</v>
      </c>
      <c r="S189" s="100">
        <f>IFERROR(Tablo517[[#This Row],[YOLLUK HARİÇ BASKI GRAMI]]/Tablo517[[#This Row],[KALIP GÖZ ADEDİ]]," ")</f>
        <v>1.04375</v>
      </c>
      <c r="T189" s="100">
        <f t="shared" si="17"/>
        <v>1.9000000000000021</v>
      </c>
      <c r="U189" s="100">
        <v>3.2</v>
      </c>
      <c r="V189" s="100">
        <f t="shared" si="16"/>
        <v>9.2955000000000005</v>
      </c>
      <c r="W189" s="101">
        <f t="shared" si="18"/>
        <v>24.104166666666668</v>
      </c>
      <c r="X189" s="102">
        <f t="shared" si="19"/>
        <v>2.5000000000000284</v>
      </c>
      <c r="Y189" s="100">
        <f t="shared" si="20"/>
        <v>2.0277777777777777</v>
      </c>
      <c r="Z189" s="100">
        <f t="shared" si="21"/>
        <v>5840</v>
      </c>
    </row>
    <row r="190" spans="1:26">
      <c r="A190" s="100" t="s">
        <v>84</v>
      </c>
      <c r="B190" s="108" t="str">
        <f>IFERROR(VLOOKUP(Tablo517[[#This Row],[ÜRÜN KODU]],YMKODLARI!$A$1:$K$363,2,0)," ")</f>
        <v>DAMAK EMZİK SAP</v>
      </c>
      <c r="C190" s="99">
        <v>44118</v>
      </c>
      <c r="D190" s="100" t="s">
        <v>37</v>
      </c>
      <c r="E190" s="101">
        <v>0.44097222222222227</v>
      </c>
      <c r="F190" s="101">
        <v>0.53472222222222221</v>
      </c>
      <c r="G190" s="100">
        <f>IFERROR(VLOOKUP(Tablo517[[#This Row],[ÜRÜN KODU]],YMKODLARI!$A$1:$K$363,3,0)," ")</f>
        <v>16</v>
      </c>
      <c r="H190" s="100">
        <f>IFERROR(VLOOKUP(Tablo517[[#This Row],[ÜRÜN KODU]],YMKODLARI!$A$1:$K$363,4,0)," ")</f>
        <v>20</v>
      </c>
      <c r="I190" s="100">
        <v>410</v>
      </c>
      <c r="J190" s="100">
        <f>IFERROR(VLOOKUP(Tablo517[[#This Row],[ÜRÜN KODU]],YMKODLARI!$A$1:$K$363,9,0)," ")</f>
        <v>3408</v>
      </c>
      <c r="K190" s="100" t="str">
        <f>IFERROR(VLOOKUP(Tablo517[[#This Row],[BOYA KODU]],Tablo14[#All],4,0)," ")</f>
        <v>PEMBE</v>
      </c>
      <c r="L190" s="100">
        <f>IFERROR(VLOOKUP(Tablo517[[#This Row],[BOYA KODU]],Tablo14[#All],6,0)," ")</f>
        <v>5.0000000000000001E-3</v>
      </c>
      <c r="M190" s="100">
        <f t="shared" si="15"/>
        <v>38.130000000000003</v>
      </c>
      <c r="N190" s="100" t="str">
        <f>IFERROR(VLOOKUP(Tablo517[[#This Row],[ÜRÜN KODU]],YMKODLARI!$A$1:$K$363,8,0)," ")</f>
        <v>HM 002</v>
      </c>
      <c r="O190" s="100" t="str">
        <f>IFERROR(VLOOKUP(Tablo517[[#This Row],[HAMMADDE KODU]],Tablo1[#All],3,0)," ")</f>
        <v>NOVAREX</v>
      </c>
      <c r="P190" s="100" t="str">
        <f>IFERROR(VLOOKUP(Tablo517[[#This Row],[HAMMADDE KODU]],Tablo1[#All],4,0)," ")</f>
        <v>PİNHAS</v>
      </c>
      <c r="Q190" s="100">
        <f>IFERROR(VLOOKUP(Tablo517[[#This Row],[ÜRÜN KODU]],YMKODLARI!$A$1:$K$363,5,0)," ")</f>
        <v>18.600000000000001</v>
      </c>
      <c r="R190" s="100">
        <f>IFERROR(VLOOKUP(Tablo517[[#This Row],[ÜRÜN KODU]],YMKODLARI!$A$1:$K$363,6,0)," ")</f>
        <v>16.7</v>
      </c>
      <c r="S190" s="100">
        <f>IFERROR(Tablo517[[#This Row],[YOLLUK HARİÇ BASKI GRAMI]]/Tablo517[[#This Row],[KALIP GÖZ ADEDİ]]," ")</f>
        <v>1.04375</v>
      </c>
      <c r="T190" s="100">
        <f t="shared" si="17"/>
        <v>1.9000000000000021</v>
      </c>
      <c r="U190" s="100">
        <v>4.5</v>
      </c>
      <c r="V190" s="100">
        <f t="shared" si="16"/>
        <v>11.347000000000001</v>
      </c>
      <c r="W190" s="101">
        <f t="shared" si="18"/>
        <v>24.09375</v>
      </c>
      <c r="X190" s="102">
        <f t="shared" si="19"/>
        <v>2.25</v>
      </c>
      <c r="Y190" s="100">
        <f t="shared" si="20"/>
        <v>2.2777777777777777</v>
      </c>
      <c r="Z190" s="100">
        <f t="shared" si="21"/>
        <v>6560</v>
      </c>
    </row>
    <row r="191" spans="1:26">
      <c r="A191" s="100" t="s">
        <v>70</v>
      </c>
      <c r="B191" s="108" t="str">
        <f>IFERROR(VLOOKUP(Tablo517[[#This Row],[ÜRÜN KODU]],YMKODLARI!$A$1:$K$363,2,0)," ")</f>
        <v>DAMAK EMZİK SAP</v>
      </c>
      <c r="C191" s="99">
        <v>44118</v>
      </c>
      <c r="D191" s="100" t="s">
        <v>37</v>
      </c>
      <c r="E191" s="101">
        <v>0.53819444444444442</v>
      </c>
      <c r="F191" s="101">
        <v>0.75</v>
      </c>
      <c r="G191" s="100">
        <f>IFERROR(VLOOKUP(Tablo517[[#This Row],[ÜRÜN KODU]],YMKODLARI!$A$1:$K$363,3,0)," ")</f>
        <v>16</v>
      </c>
      <c r="H191" s="100">
        <f>IFERROR(VLOOKUP(Tablo517[[#This Row],[ÜRÜN KODU]],YMKODLARI!$A$1:$K$363,4,0)," ")</f>
        <v>20</v>
      </c>
      <c r="I191" s="100">
        <v>676</v>
      </c>
      <c r="J191" s="100" t="str">
        <f>IFERROR(VLOOKUP(Tablo517[[#This Row],[ÜRÜN KODU]],YMKODLARI!$A$1:$K$363,9,0)," ")</f>
        <v>5249A</v>
      </c>
      <c r="K191" s="100" t="str">
        <f>IFERROR(VLOOKUP(Tablo517[[#This Row],[BOYA KODU]],Tablo14[#All],4,0)," ")</f>
        <v>MAVİ</v>
      </c>
      <c r="L191" s="100">
        <f>IFERROR(VLOOKUP(Tablo517[[#This Row],[BOYA KODU]],Tablo14[#All],6,0)," ")</f>
        <v>5.0000000000000001E-3</v>
      </c>
      <c r="M191" s="100">
        <f t="shared" si="15"/>
        <v>62.868000000000002</v>
      </c>
      <c r="N191" s="100" t="str">
        <f>IFERROR(VLOOKUP(Tablo517[[#This Row],[ÜRÜN KODU]],YMKODLARI!$A$1:$K$363,8,0)," ")</f>
        <v>HM 002</v>
      </c>
      <c r="O191" s="100" t="str">
        <f>IFERROR(VLOOKUP(Tablo517[[#This Row],[HAMMADDE KODU]],Tablo1[#All],3,0)," ")</f>
        <v>NOVAREX</v>
      </c>
      <c r="P191" s="100" t="str">
        <f>IFERROR(VLOOKUP(Tablo517[[#This Row],[HAMMADDE KODU]],Tablo1[#All],4,0)," ")</f>
        <v>PİNHAS</v>
      </c>
      <c r="Q191" s="100">
        <f>IFERROR(VLOOKUP(Tablo517[[#This Row],[ÜRÜN KODU]],YMKODLARI!$A$1:$K$363,5,0)," ")</f>
        <v>18.600000000000001</v>
      </c>
      <c r="R191" s="100">
        <f>IFERROR(VLOOKUP(Tablo517[[#This Row],[ÜRÜN KODU]],YMKODLARI!$A$1:$K$363,6,0)," ")</f>
        <v>16.7</v>
      </c>
      <c r="S191" s="100">
        <f>IFERROR(Tablo517[[#This Row],[YOLLUK HARİÇ BASKI GRAMI]]/Tablo517[[#This Row],[KALIP GÖZ ADEDİ]]," ")</f>
        <v>1.04375</v>
      </c>
      <c r="T191" s="100">
        <f t="shared" si="17"/>
        <v>1.9000000000000021</v>
      </c>
      <c r="U191" s="100">
        <v>6.2</v>
      </c>
      <c r="V191" s="100">
        <f t="shared" si="16"/>
        <v>17.4892</v>
      </c>
      <c r="W191" s="101">
        <f t="shared" si="18"/>
        <v>24.211805555555557</v>
      </c>
      <c r="X191" s="102">
        <f t="shared" si="19"/>
        <v>5.0833333333333712</v>
      </c>
      <c r="Y191" s="100">
        <f t="shared" si="20"/>
        <v>3.7555555555555555</v>
      </c>
      <c r="Z191" s="100">
        <f t="shared" si="21"/>
        <v>10816</v>
      </c>
    </row>
    <row r="192" spans="1:26">
      <c r="A192" s="100" t="s">
        <v>70</v>
      </c>
      <c r="B192" s="108" t="str">
        <f>IFERROR(VLOOKUP(Tablo517[[#This Row],[ÜRÜN KODU]],YMKODLARI!$A$1:$K$363,2,0)," ")</f>
        <v>DAMAK EMZİK SAP</v>
      </c>
      <c r="C192" s="99">
        <v>44119</v>
      </c>
      <c r="D192" s="100" t="s">
        <v>37</v>
      </c>
      <c r="E192" s="101">
        <v>0.33333333333333331</v>
      </c>
      <c r="F192" s="101">
        <v>0.5</v>
      </c>
      <c r="G192" s="100">
        <f>IFERROR(VLOOKUP(Tablo517[[#This Row],[ÜRÜN KODU]],YMKODLARI!$A$1:$K$363,3,0)," ")</f>
        <v>16</v>
      </c>
      <c r="H192" s="100">
        <f>IFERROR(VLOOKUP(Tablo517[[#This Row],[ÜRÜN KODU]],YMKODLARI!$A$1:$K$363,4,0)," ")</f>
        <v>20</v>
      </c>
      <c r="I192" s="100">
        <v>649</v>
      </c>
      <c r="J192" s="100" t="str">
        <f>IFERROR(VLOOKUP(Tablo517[[#This Row],[ÜRÜN KODU]],YMKODLARI!$A$1:$K$363,9,0)," ")</f>
        <v>5249A</v>
      </c>
      <c r="K192" s="100" t="str">
        <f>IFERROR(VLOOKUP(Tablo517[[#This Row],[BOYA KODU]],Tablo14[#All],4,0)," ")</f>
        <v>MAVİ</v>
      </c>
      <c r="L192" s="100">
        <f>IFERROR(VLOOKUP(Tablo517[[#This Row],[BOYA KODU]],Tablo14[#All],6,0)," ")</f>
        <v>5.0000000000000001E-3</v>
      </c>
      <c r="M192" s="100">
        <f t="shared" si="15"/>
        <v>60.357000000000006</v>
      </c>
      <c r="N192" s="100" t="str">
        <f>IFERROR(VLOOKUP(Tablo517[[#This Row],[ÜRÜN KODU]],YMKODLARI!$A$1:$K$363,8,0)," ")</f>
        <v>HM 002</v>
      </c>
      <c r="O192" s="100" t="str">
        <f>IFERROR(VLOOKUP(Tablo517[[#This Row],[HAMMADDE KODU]],Tablo1[#All],3,0)," ")</f>
        <v>NOVAREX</v>
      </c>
      <c r="P192" s="100" t="str">
        <f>IFERROR(VLOOKUP(Tablo517[[#This Row],[HAMMADDE KODU]],Tablo1[#All],4,0)," ")</f>
        <v>PİNHAS</v>
      </c>
      <c r="Q192" s="100">
        <f>IFERROR(VLOOKUP(Tablo517[[#This Row],[ÜRÜN KODU]],YMKODLARI!$A$1:$K$363,5,0)," ")</f>
        <v>18.600000000000001</v>
      </c>
      <c r="R192" s="100">
        <f>IFERROR(VLOOKUP(Tablo517[[#This Row],[ÜRÜN KODU]],YMKODLARI!$A$1:$K$363,6,0)," ")</f>
        <v>16.7</v>
      </c>
      <c r="S192" s="100">
        <f>IFERROR(Tablo517[[#This Row],[YOLLUK HARİÇ BASKI GRAMI]]/Tablo517[[#This Row],[KALIP GÖZ ADEDİ]]," ")</f>
        <v>1.04375</v>
      </c>
      <c r="T192" s="100">
        <f t="shared" si="17"/>
        <v>1.9000000000000021</v>
      </c>
      <c r="U192" s="100">
        <v>4.7</v>
      </c>
      <c r="V192" s="100">
        <f t="shared" si="16"/>
        <v>15.5383</v>
      </c>
      <c r="W192" s="101">
        <f t="shared" si="18"/>
        <v>24.166666666666668</v>
      </c>
      <c r="X192" s="102">
        <f t="shared" si="19"/>
        <v>4.0000000000000284</v>
      </c>
      <c r="Y192" s="100">
        <f t="shared" si="20"/>
        <v>3.6055555555555556</v>
      </c>
      <c r="Z192" s="100">
        <f t="shared" si="21"/>
        <v>10384</v>
      </c>
    </row>
    <row r="193" spans="1:26">
      <c r="A193" s="100" t="s">
        <v>85</v>
      </c>
      <c r="B193" s="108" t="str">
        <f>IFERROR(VLOOKUP(Tablo517[[#This Row],[ÜRÜN KODU]],YMKODLARI!$A$1:$K$363,2,0)," ")</f>
        <v>DAMAK EMZİK SAP</v>
      </c>
      <c r="C193" s="99">
        <v>44119</v>
      </c>
      <c r="D193" s="100" t="s">
        <v>37</v>
      </c>
      <c r="E193" s="101">
        <v>0.51041666666666663</v>
      </c>
      <c r="F193" s="101">
        <v>0.61805555555555558</v>
      </c>
      <c r="G193" s="100">
        <f>IFERROR(VLOOKUP(Tablo517[[#This Row],[ÜRÜN KODU]],YMKODLARI!$A$1:$K$363,3,0)," ")</f>
        <v>16</v>
      </c>
      <c r="H193" s="100">
        <f>IFERROR(VLOOKUP(Tablo517[[#This Row],[ÜRÜN KODU]],YMKODLARI!$A$1:$K$363,4,0)," ")</f>
        <v>20</v>
      </c>
      <c r="I193" s="100">
        <v>374</v>
      </c>
      <c r="J193" s="100">
        <f>IFERROR(VLOOKUP(Tablo517[[#This Row],[ÜRÜN KODU]],YMKODLARI!$A$1:$K$363,9,0)," ")</f>
        <v>4089</v>
      </c>
      <c r="K193" s="100" t="str">
        <f>IFERROR(VLOOKUP(Tablo517[[#This Row],[BOYA KODU]],Tablo14[#All],4,0)," ")</f>
        <v>LİLA</v>
      </c>
      <c r="L193" s="100">
        <f>IFERROR(VLOOKUP(Tablo517[[#This Row],[BOYA KODU]],Tablo14[#All],6,0)," ")</f>
        <v>5.0000000000000001E-3</v>
      </c>
      <c r="M193" s="100">
        <f t="shared" si="15"/>
        <v>34.782000000000004</v>
      </c>
      <c r="N193" s="100" t="str">
        <f>IFERROR(VLOOKUP(Tablo517[[#This Row],[ÜRÜN KODU]],YMKODLARI!$A$1:$K$363,8,0)," ")</f>
        <v>HM 002</v>
      </c>
      <c r="O193" s="100" t="str">
        <f>IFERROR(VLOOKUP(Tablo517[[#This Row],[HAMMADDE KODU]],Tablo1[#All],3,0)," ")</f>
        <v>NOVAREX</v>
      </c>
      <c r="P193" s="100" t="str">
        <f>IFERROR(VLOOKUP(Tablo517[[#This Row],[HAMMADDE KODU]],Tablo1[#All],4,0)," ")</f>
        <v>PİNHAS</v>
      </c>
      <c r="Q193" s="100">
        <f>IFERROR(VLOOKUP(Tablo517[[#This Row],[ÜRÜN KODU]],YMKODLARI!$A$1:$K$363,5,0)," ")</f>
        <v>18.600000000000001</v>
      </c>
      <c r="R193" s="100">
        <f>IFERROR(VLOOKUP(Tablo517[[#This Row],[ÜRÜN KODU]],YMKODLARI!$A$1:$K$363,6,0)," ")</f>
        <v>16.7</v>
      </c>
      <c r="S193" s="100">
        <f>IFERROR(Tablo517[[#This Row],[YOLLUK HARİÇ BASKI GRAMI]]/Tablo517[[#This Row],[KALIP GÖZ ADEDİ]]," ")</f>
        <v>1.04375</v>
      </c>
      <c r="T193" s="100">
        <f t="shared" si="17"/>
        <v>1.9000000000000021</v>
      </c>
      <c r="U193" s="100">
        <v>4.7</v>
      </c>
      <c r="V193" s="100">
        <f t="shared" si="16"/>
        <v>10.9458</v>
      </c>
      <c r="W193" s="101">
        <f t="shared" si="18"/>
        <v>24.107638888888889</v>
      </c>
      <c r="X193" s="102">
        <f t="shared" si="19"/>
        <v>2.5833333333333428</v>
      </c>
      <c r="Y193" s="100">
        <f t="shared" si="20"/>
        <v>2.0777777777777779</v>
      </c>
      <c r="Z193" s="100">
        <f t="shared" si="21"/>
        <v>5984</v>
      </c>
    </row>
    <row r="194" spans="1:26">
      <c r="A194" s="100" t="s">
        <v>86</v>
      </c>
      <c r="B194" s="108" t="str">
        <f>IFERROR(VLOOKUP(Tablo517[[#This Row],[ÜRÜN KODU]],YMKODLARI!$A$1:$K$363,2,0)," ")</f>
        <v>DAMAK EMZİK SAP</v>
      </c>
      <c r="C194" s="99">
        <v>44119</v>
      </c>
      <c r="D194" s="100" t="s">
        <v>37</v>
      </c>
      <c r="E194" s="101">
        <v>0.62152777777777779</v>
      </c>
      <c r="F194" s="101">
        <v>0.75</v>
      </c>
      <c r="G194" s="100">
        <f>IFERROR(VLOOKUP(Tablo517[[#This Row],[ÜRÜN KODU]],YMKODLARI!$A$1:$K$363,3,0)," ")</f>
        <v>16</v>
      </c>
      <c r="H194" s="100">
        <f>IFERROR(VLOOKUP(Tablo517[[#This Row],[ÜRÜN KODU]],YMKODLARI!$A$1:$K$363,4,0)," ")</f>
        <v>20</v>
      </c>
      <c r="I194" s="100">
        <v>560</v>
      </c>
      <c r="J194" s="100" t="str">
        <f>IFERROR(VLOOKUP(Tablo517[[#This Row],[ÜRÜN KODU]],YMKODLARI!$A$1:$K$363,9,0)," ")</f>
        <v>3407A</v>
      </c>
      <c r="K194" s="100" t="str">
        <f>IFERROR(VLOOKUP(Tablo517[[#This Row],[BOYA KODU]],Tablo14[#All],4,0)," ")</f>
        <v>KIRMIZI</v>
      </c>
      <c r="L194" s="100">
        <f>IFERROR(VLOOKUP(Tablo517[[#This Row],[BOYA KODU]],Tablo14[#All],6,0)," ")</f>
        <v>5.0000000000000001E-3</v>
      </c>
      <c r="M194" s="100">
        <f t="shared" ref="M194:M257" si="22">IFERROR((I194*Q194)*L194," ")</f>
        <v>52.08</v>
      </c>
      <c r="N194" s="100" t="str">
        <f>IFERROR(VLOOKUP(Tablo517[[#This Row],[ÜRÜN KODU]],YMKODLARI!$A$1:$K$363,8,0)," ")</f>
        <v>HM 002</v>
      </c>
      <c r="O194" s="100" t="str">
        <f>IFERROR(VLOOKUP(Tablo517[[#This Row],[HAMMADDE KODU]],Tablo1[#All],3,0)," ")</f>
        <v>NOVAREX</v>
      </c>
      <c r="P194" s="100" t="str">
        <f>IFERROR(VLOOKUP(Tablo517[[#This Row],[HAMMADDE KODU]],Tablo1[#All],4,0)," ")</f>
        <v>PİNHAS</v>
      </c>
      <c r="Q194" s="100">
        <f>IFERROR(VLOOKUP(Tablo517[[#This Row],[ÜRÜN KODU]],YMKODLARI!$A$1:$K$363,5,0)," ")</f>
        <v>18.600000000000001</v>
      </c>
      <c r="R194" s="100">
        <f>IFERROR(VLOOKUP(Tablo517[[#This Row],[ÜRÜN KODU]],YMKODLARI!$A$1:$K$363,6,0)," ")</f>
        <v>16.7</v>
      </c>
      <c r="S194" s="100">
        <f>IFERROR(Tablo517[[#This Row],[YOLLUK HARİÇ BASKI GRAMI]]/Tablo517[[#This Row],[KALIP GÖZ ADEDİ]]," ")</f>
        <v>1.04375</v>
      </c>
      <c r="T194" s="100">
        <f t="shared" si="17"/>
        <v>1.9000000000000021</v>
      </c>
      <c r="U194" s="100">
        <v>2</v>
      </c>
      <c r="V194" s="100">
        <f t="shared" ref="V194:V257" si="23">IFERROR(U194+(R194*I194) /1000," ")</f>
        <v>11.352</v>
      </c>
      <c r="W194" s="101">
        <f t="shared" si="18"/>
        <v>24.128472222222221</v>
      </c>
      <c r="X194" s="102">
        <f t="shared" si="19"/>
        <v>3.0833333333333144</v>
      </c>
      <c r="Y194" s="100">
        <f t="shared" si="20"/>
        <v>3.1111111111111112</v>
      </c>
      <c r="Z194" s="100">
        <f t="shared" si="21"/>
        <v>8960</v>
      </c>
    </row>
    <row r="195" spans="1:26">
      <c r="A195" s="100" t="s">
        <v>86</v>
      </c>
      <c r="B195" s="108" t="str">
        <f>IFERROR(VLOOKUP(Tablo517[[#This Row],[ÜRÜN KODU]],YMKODLARI!$A$1:$K$363,2,0)," ")</f>
        <v>DAMAK EMZİK SAP</v>
      </c>
      <c r="C195" s="99">
        <v>44120</v>
      </c>
      <c r="D195" s="100" t="s">
        <v>37</v>
      </c>
      <c r="E195" s="101">
        <v>0.33333333333333331</v>
      </c>
      <c r="F195" s="101">
        <v>0.50694444444444442</v>
      </c>
      <c r="G195" s="100">
        <f>IFERROR(VLOOKUP(Tablo517[[#This Row],[ÜRÜN KODU]],YMKODLARI!$A$1:$K$363,3,0)," ")</f>
        <v>16</v>
      </c>
      <c r="H195" s="100">
        <f>IFERROR(VLOOKUP(Tablo517[[#This Row],[ÜRÜN KODU]],YMKODLARI!$A$1:$K$363,4,0)," ")</f>
        <v>20</v>
      </c>
      <c r="I195" s="100">
        <v>628</v>
      </c>
      <c r="J195" s="100" t="str">
        <f>IFERROR(VLOOKUP(Tablo517[[#This Row],[ÜRÜN KODU]],YMKODLARI!$A$1:$K$363,9,0)," ")</f>
        <v>3407A</v>
      </c>
      <c r="K195" s="100" t="str">
        <f>IFERROR(VLOOKUP(Tablo517[[#This Row],[BOYA KODU]],Tablo14[#All],4,0)," ")</f>
        <v>KIRMIZI</v>
      </c>
      <c r="L195" s="100">
        <f>IFERROR(VLOOKUP(Tablo517[[#This Row],[BOYA KODU]],Tablo14[#All],6,0)," ")</f>
        <v>5.0000000000000001E-3</v>
      </c>
      <c r="M195" s="100">
        <f t="shared" si="22"/>
        <v>58.404000000000003</v>
      </c>
      <c r="N195" s="100" t="str">
        <f>IFERROR(VLOOKUP(Tablo517[[#This Row],[ÜRÜN KODU]],YMKODLARI!$A$1:$K$363,8,0)," ")</f>
        <v>HM 002</v>
      </c>
      <c r="O195" s="100" t="str">
        <f>IFERROR(VLOOKUP(Tablo517[[#This Row],[HAMMADDE KODU]],Tablo1[#All],3,0)," ")</f>
        <v>NOVAREX</v>
      </c>
      <c r="P195" s="100" t="str">
        <f>IFERROR(VLOOKUP(Tablo517[[#This Row],[HAMMADDE KODU]],Tablo1[#All],4,0)," ")</f>
        <v>PİNHAS</v>
      </c>
      <c r="Q195" s="100">
        <f>IFERROR(VLOOKUP(Tablo517[[#This Row],[ÜRÜN KODU]],YMKODLARI!$A$1:$K$363,5,0)," ")</f>
        <v>18.600000000000001</v>
      </c>
      <c r="R195" s="100">
        <f>IFERROR(VLOOKUP(Tablo517[[#This Row],[ÜRÜN KODU]],YMKODLARI!$A$1:$K$363,6,0)," ")</f>
        <v>16.7</v>
      </c>
      <c r="S195" s="100">
        <f>IFERROR(Tablo517[[#This Row],[YOLLUK HARİÇ BASKI GRAMI]]/Tablo517[[#This Row],[KALIP GÖZ ADEDİ]]," ")</f>
        <v>1.04375</v>
      </c>
      <c r="T195" s="100">
        <f t="shared" ref="T195:T258" si="24">IFERROR(Q195-R195," ")</f>
        <v>1.9000000000000021</v>
      </c>
      <c r="U195" s="100">
        <v>7</v>
      </c>
      <c r="V195" s="100">
        <f t="shared" si="23"/>
        <v>17.4876</v>
      </c>
      <c r="W195" s="101">
        <f t="shared" ref="W195:W258" si="25">IFERROR(24-(E195-F195)," ")</f>
        <v>24.173611111111111</v>
      </c>
      <c r="X195" s="102">
        <f t="shared" ref="X195:X258" si="26">IFERROR((W195-INT(W195))*24," ")</f>
        <v>4.1666666666666572</v>
      </c>
      <c r="Y195" s="100">
        <f t="shared" ref="Y195:Y258" si="27">IFERROR(H195*I195/3600," ")</f>
        <v>3.4888888888888889</v>
      </c>
      <c r="Z195" s="100">
        <f t="shared" ref="Z195:Z258" si="28">IFERROR(I195*G195," " )</f>
        <v>10048</v>
      </c>
    </row>
    <row r="196" spans="1:26">
      <c r="A196" s="100" t="s">
        <v>554</v>
      </c>
      <c r="B196" s="108" t="str">
        <f>IFERROR(VLOOKUP(Tablo517[[#This Row],[ÜRÜN KODU]],YMKODLARI!$A$1:$K$363,2,0)," ")</f>
        <v>KLASİK EMZİK SAP</v>
      </c>
      <c r="C196" s="99">
        <v>44120</v>
      </c>
      <c r="D196" s="100" t="s">
        <v>37</v>
      </c>
      <c r="E196" s="101">
        <v>0.64583333333333337</v>
      </c>
      <c r="F196" s="101">
        <v>0.75</v>
      </c>
      <c r="G196" s="100">
        <f>IFERROR(VLOOKUP(Tablo517[[#This Row],[ÜRÜN KODU]],YMKODLARI!$A$1:$K$363,3,0)," ")</f>
        <v>16</v>
      </c>
      <c r="H196" s="100">
        <f>IFERROR(VLOOKUP(Tablo517[[#This Row],[ÜRÜN KODU]],YMKODLARI!$A$1:$K$363,4,0)," ")</f>
        <v>19.95</v>
      </c>
      <c r="I196" s="100">
        <v>270</v>
      </c>
      <c r="J196" s="100">
        <f>IFERROR(VLOOKUP(Tablo517[[#This Row],[ÜRÜN KODU]],YMKODLARI!$A$1:$K$363,9,0)," ")</f>
        <v>3014</v>
      </c>
      <c r="K196" s="100" t="str">
        <f>IFERROR(VLOOKUP(Tablo517[[#This Row],[BOYA KODU]],Tablo14[#All],4,0)," ")</f>
        <v>T.KIRMIZI</v>
      </c>
      <c r="L196" s="100">
        <f>IFERROR(VLOOKUP(Tablo517[[#This Row],[BOYA KODU]],Tablo14[#All],6,0)," ")</f>
        <v>2E-3</v>
      </c>
      <c r="M196" s="100">
        <f t="shared" si="22"/>
        <v>9.99</v>
      </c>
      <c r="N196" s="100" t="str">
        <f>IFERROR(VLOOKUP(Tablo517[[#This Row],[ÜRÜN KODU]],YMKODLARI!$A$1:$K$363,8,0)," ")</f>
        <v>HM 002</v>
      </c>
      <c r="O196" s="100" t="str">
        <f>IFERROR(VLOOKUP(Tablo517[[#This Row],[HAMMADDE KODU]],Tablo1[#All],3,0)," ")</f>
        <v>NOVAREX</v>
      </c>
      <c r="P196" s="100" t="str">
        <f>IFERROR(VLOOKUP(Tablo517[[#This Row],[HAMMADDE KODU]],Tablo1[#All],4,0)," ")</f>
        <v>PİNHAS</v>
      </c>
      <c r="Q196" s="100">
        <f>IFERROR(VLOOKUP(Tablo517[[#This Row],[ÜRÜN KODU]],YMKODLARI!$A$1:$K$363,5,0)," ")</f>
        <v>18.5</v>
      </c>
      <c r="R196" s="100">
        <f>IFERROR(VLOOKUP(Tablo517[[#This Row],[ÜRÜN KODU]],YMKODLARI!$A$1:$K$363,6,0)," ")</f>
        <v>16.7</v>
      </c>
      <c r="S196" s="100">
        <f>IFERROR(Tablo517[[#This Row],[YOLLUK HARİÇ BASKI GRAMI]]/Tablo517[[#This Row],[KALIP GÖZ ADEDİ]]," ")</f>
        <v>1.04375</v>
      </c>
      <c r="T196" s="100">
        <f t="shared" si="24"/>
        <v>1.8000000000000007</v>
      </c>
      <c r="U196" s="100">
        <v>5</v>
      </c>
      <c r="V196" s="100">
        <f t="shared" si="23"/>
        <v>9.5090000000000003</v>
      </c>
      <c r="W196" s="101">
        <f t="shared" si="25"/>
        <v>24.104166666666668</v>
      </c>
      <c r="X196" s="102">
        <f t="shared" si="26"/>
        <v>2.5000000000000284</v>
      </c>
      <c r="Y196" s="100">
        <f t="shared" si="27"/>
        <v>1.4962500000000001</v>
      </c>
      <c r="Z196" s="100">
        <f t="shared" si="28"/>
        <v>4320</v>
      </c>
    </row>
    <row r="197" spans="1:26">
      <c r="A197" s="100" t="s">
        <v>554</v>
      </c>
      <c r="B197" s="108" t="str">
        <f>IFERROR(VLOOKUP(Tablo517[[#This Row],[ÜRÜN KODU]],YMKODLARI!$A$1:$K$363,2,0)," ")</f>
        <v>KLASİK EMZİK SAP</v>
      </c>
      <c r="C197" s="99">
        <v>44123</v>
      </c>
      <c r="D197" s="100" t="s">
        <v>37</v>
      </c>
      <c r="E197" s="101">
        <v>0.4201388888888889</v>
      </c>
      <c r="F197" s="101">
        <v>0.51388888888888895</v>
      </c>
      <c r="G197" s="100">
        <f>IFERROR(VLOOKUP(Tablo517[[#This Row],[ÜRÜN KODU]],YMKODLARI!$A$1:$K$363,3,0)," ")</f>
        <v>16</v>
      </c>
      <c r="H197" s="100">
        <f>IFERROR(VLOOKUP(Tablo517[[#This Row],[ÜRÜN KODU]],YMKODLARI!$A$1:$K$363,4,0)," ")</f>
        <v>19.95</v>
      </c>
      <c r="I197" s="100">
        <v>390</v>
      </c>
      <c r="J197" s="100">
        <f>IFERROR(VLOOKUP(Tablo517[[#This Row],[ÜRÜN KODU]],YMKODLARI!$A$1:$K$363,9,0)," ")</f>
        <v>3014</v>
      </c>
      <c r="K197" s="100" t="str">
        <f>IFERROR(VLOOKUP(Tablo517[[#This Row],[BOYA KODU]],Tablo14[#All],4,0)," ")</f>
        <v>T.KIRMIZI</v>
      </c>
      <c r="L197" s="100">
        <f>IFERROR(VLOOKUP(Tablo517[[#This Row],[BOYA KODU]],Tablo14[#All],6,0)," ")</f>
        <v>2E-3</v>
      </c>
      <c r="M197" s="100">
        <f t="shared" si="22"/>
        <v>14.43</v>
      </c>
      <c r="N197" s="100" t="str">
        <f>IFERROR(VLOOKUP(Tablo517[[#This Row],[ÜRÜN KODU]],YMKODLARI!$A$1:$K$363,8,0)," ")</f>
        <v>HM 002</v>
      </c>
      <c r="O197" s="100" t="str">
        <f>IFERROR(VLOOKUP(Tablo517[[#This Row],[HAMMADDE KODU]],Tablo1[#All],3,0)," ")</f>
        <v>NOVAREX</v>
      </c>
      <c r="P197" s="100" t="str">
        <f>IFERROR(VLOOKUP(Tablo517[[#This Row],[HAMMADDE KODU]],Tablo1[#All],4,0)," ")</f>
        <v>PİNHAS</v>
      </c>
      <c r="Q197" s="100">
        <f>IFERROR(VLOOKUP(Tablo517[[#This Row],[ÜRÜN KODU]],YMKODLARI!$A$1:$K$363,5,0)," ")</f>
        <v>18.5</v>
      </c>
      <c r="R197" s="100">
        <f>IFERROR(VLOOKUP(Tablo517[[#This Row],[ÜRÜN KODU]],YMKODLARI!$A$1:$K$363,6,0)," ")</f>
        <v>16.7</v>
      </c>
      <c r="S197" s="100">
        <f>IFERROR(Tablo517[[#This Row],[YOLLUK HARİÇ BASKI GRAMI]]/Tablo517[[#This Row],[KALIP GÖZ ADEDİ]]," ")</f>
        <v>1.04375</v>
      </c>
      <c r="T197" s="100">
        <f t="shared" si="24"/>
        <v>1.8000000000000007</v>
      </c>
      <c r="U197" s="100">
        <v>4.7</v>
      </c>
      <c r="V197" s="100">
        <f t="shared" si="23"/>
        <v>11.213000000000001</v>
      </c>
      <c r="W197" s="101">
        <f t="shared" si="25"/>
        <v>24.09375</v>
      </c>
      <c r="X197" s="102">
        <f t="shared" si="26"/>
        <v>2.25</v>
      </c>
      <c r="Y197" s="100">
        <f t="shared" si="27"/>
        <v>2.1612499999999999</v>
      </c>
      <c r="Z197" s="100">
        <f t="shared" si="28"/>
        <v>6240</v>
      </c>
    </row>
    <row r="198" spans="1:26">
      <c r="A198" s="100" t="s">
        <v>576</v>
      </c>
      <c r="B198" s="108" t="str">
        <f>IFERROR(VLOOKUP(Tablo517[[#This Row],[ÜRÜN KODU]],YMKODLARI!$A$1:$K$363,2,0)," ")</f>
        <v>KLASİK EMZİK SAP</v>
      </c>
      <c r="C198" s="99">
        <v>44123</v>
      </c>
      <c r="D198" s="100" t="s">
        <v>37</v>
      </c>
      <c r="E198" s="101">
        <v>0.52083333333333337</v>
      </c>
      <c r="F198" s="101">
        <v>0.70138888888888884</v>
      </c>
      <c r="G198" s="100">
        <f>IFERROR(VLOOKUP(Tablo517[[#This Row],[ÜRÜN KODU]],YMKODLARI!$A$1:$K$363,3,0)," ")</f>
        <v>16</v>
      </c>
      <c r="H198" s="100">
        <f>IFERROR(VLOOKUP(Tablo517[[#This Row],[ÜRÜN KODU]],YMKODLARI!$A$1:$K$363,4,0)," ")</f>
        <v>19.95</v>
      </c>
      <c r="I198" s="100">
        <v>670</v>
      </c>
      <c r="J198" s="100" t="str">
        <f>IFERROR(VLOOKUP(Tablo517[[#This Row],[ÜRÜN KODU]],YMKODLARI!$A$1:$K$363,9,0)," ")</f>
        <v>708GN0539G</v>
      </c>
      <c r="K198" s="100" t="str">
        <f>IFERROR(VLOOKUP(Tablo517[[#This Row],[BOYA KODU]],Tablo14[#All],4,0)," ")</f>
        <v>T.YEŞİL</v>
      </c>
      <c r="L198" s="100">
        <f>IFERROR(VLOOKUP(Tablo517[[#This Row],[BOYA KODU]],Tablo14[#All],6,0)," ")</f>
        <v>2E-3</v>
      </c>
      <c r="M198" s="100">
        <f t="shared" si="22"/>
        <v>24.79</v>
      </c>
      <c r="N198" s="100" t="str">
        <f>IFERROR(VLOOKUP(Tablo517[[#This Row],[ÜRÜN KODU]],YMKODLARI!$A$1:$K$363,8,0)," ")</f>
        <v>HM 002</v>
      </c>
      <c r="O198" s="100" t="str">
        <f>IFERROR(VLOOKUP(Tablo517[[#This Row],[HAMMADDE KODU]],Tablo1[#All],3,0)," ")</f>
        <v>NOVAREX</v>
      </c>
      <c r="P198" s="100" t="str">
        <f>IFERROR(VLOOKUP(Tablo517[[#This Row],[HAMMADDE KODU]],Tablo1[#All],4,0)," ")</f>
        <v>PİNHAS</v>
      </c>
      <c r="Q198" s="100">
        <f>IFERROR(VLOOKUP(Tablo517[[#This Row],[ÜRÜN KODU]],YMKODLARI!$A$1:$K$363,5,0)," ")</f>
        <v>18.5</v>
      </c>
      <c r="R198" s="100">
        <f>IFERROR(VLOOKUP(Tablo517[[#This Row],[ÜRÜN KODU]],YMKODLARI!$A$1:$K$363,6,0)," ")</f>
        <v>16.7</v>
      </c>
      <c r="S198" s="100">
        <f>IFERROR(Tablo517[[#This Row],[YOLLUK HARİÇ BASKI GRAMI]]/Tablo517[[#This Row],[KALIP GÖZ ADEDİ]]," ")</f>
        <v>1.04375</v>
      </c>
      <c r="T198" s="100">
        <f t="shared" si="24"/>
        <v>1.8000000000000007</v>
      </c>
      <c r="U198" s="100">
        <v>3.2</v>
      </c>
      <c r="V198" s="100">
        <f t="shared" si="23"/>
        <v>14.388999999999999</v>
      </c>
      <c r="W198" s="101">
        <f t="shared" si="25"/>
        <v>24.180555555555557</v>
      </c>
      <c r="X198" s="102">
        <f t="shared" si="26"/>
        <v>4.3333333333333712</v>
      </c>
      <c r="Y198" s="100">
        <f t="shared" si="27"/>
        <v>3.7129166666666666</v>
      </c>
      <c r="Z198" s="100">
        <f t="shared" si="28"/>
        <v>10720</v>
      </c>
    </row>
    <row r="199" spans="1:26">
      <c r="A199" s="100" t="s">
        <v>306</v>
      </c>
      <c r="B199" s="108" t="str">
        <f>IFERROR(VLOOKUP(Tablo517[[#This Row],[ÜRÜN KODU]],YMKODLARI!$A$1:$K$363,2,0)," ")</f>
        <v>KLASİK EMZİK SAP</v>
      </c>
      <c r="C199" s="99">
        <v>44123</v>
      </c>
      <c r="D199" s="100" t="s">
        <v>37</v>
      </c>
      <c r="E199" s="101">
        <v>0.70833333333333337</v>
      </c>
      <c r="F199" s="101">
        <v>0.83333333333333337</v>
      </c>
      <c r="G199" s="100">
        <f>IFERROR(VLOOKUP(Tablo517[[#This Row],[ÜRÜN KODU]],YMKODLARI!$A$1:$K$363,3,0)," ")</f>
        <v>16</v>
      </c>
      <c r="H199" s="100">
        <f>IFERROR(VLOOKUP(Tablo517[[#This Row],[ÜRÜN KODU]],YMKODLARI!$A$1:$K$363,4,0)," ")</f>
        <v>19.95</v>
      </c>
      <c r="I199" s="100">
        <v>508</v>
      </c>
      <c r="J199" s="100" t="str">
        <f>IFERROR(VLOOKUP(Tablo517[[#This Row],[ÜRÜN KODU]],YMKODLARI!$A$1:$K$363,9,0)," ")</f>
        <v>Şeffaf</v>
      </c>
      <c r="K199" s="100" t="str">
        <f>IFERROR(VLOOKUP(Tablo517[[#This Row],[BOYA KODU]],Tablo14[#All],4,0)," ")</f>
        <v xml:space="preserve"> </v>
      </c>
      <c r="L199" s="100" t="str">
        <f>IFERROR(VLOOKUP(Tablo517[[#This Row],[BOYA KODU]],Tablo14[#All],6,0)," ")</f>
        <v xml:space="preserve"> </v>
      </c>
      <c r="M199" s="100" t="str">
        <f t="shared" si="22"/>
        <v xml:space="preserve"> </v>
      </c>
      <c r="N199" s="100" t="str">
        <f>IFERROR(VLOOKUP(Tablo517[[#This Row],[ÜRÜN KODU]],YMKODLARI!$A$1:$K$363,8,0)," ")</f>
        <v>HM 002</v>
      </c>
      <c r="O199" s="100" t="str">
        <f>IFERROR(VLOOKUP(Tablo517[[#This Row],[HAMMADDE KODU]],Tablo1[#All],3,0)," ")</f>
        <v>NOVAREX</v>
      </c>
      <c r="P199" s="100" t="str">
        <f>IFERROR(VLOOKUP(Tablo517[[#This Row],[HAMMADDE KODU]],Tablo1[#All],4,0)," ")</f>
        <v>PİNHAS</v>
      </c>
      <c r="Q199" s="100">
        <f>IFERROR(VLOOKUP(Tablo517[[#This Row],[ÜRÜN KODU]],YMKODLARI!$A$1:$K$363,5,0)," ")</f>
        <v>18.5</v>
      </c>
      <c r="R199" s="100">
        <f>IFERROR(VLOOKUP(Tablo517[[#This Row],[ÜRÜN KODU]],YMKODLARI!$A$1:$K$363,6,0)," ")</f>
        <v>16.7</v>
      </c>
      <c r="S199" s="100">
        <f>IFERROR(Tablo517[[#This Row],[YOLLUK HARİÇ BASKI GRAMI]]/Tablo517[[#This Row],[KALIP GÖZ ADEDİ]]," ")</f>
        <v>1.04375</v>
      </c>
      <c r="T199" s="100">
        <f t="shared" si="24"/>
        <v>1.8000000000000007</v>
      </c>
      <c r="U199" s="100"/>
      <c r="V199" s="100">
        <f t="shared" si="23"/>
        <v>8.4836000000000009</v>
      </c>
      <c r="W199" s="101">
        <f t="shared" si="25"/>
        <v>24.125</v>
      </c>
      <c r="X199" s="102">
        <f t="shared" si="26"/>
        <v>3</v>
      </c>
      <c r="Y199" s="100">
        <f t="shared" si="27"/>
        <v>2.8151666666666668</v>
      </c>
      <c r="Z199" s="100">
        <f t="shared" si="28"/>
        <v>8128</v>
      </c>
    </row>
    <row r="200" spans="1:26">
      <c r="A200" s="100" t="s">
        <v>306</v>
      </c>
      <c r="B200" s="108" t="str">
        <f>IFERROR(VLOOKUP(Tablo517[[#This Row],[ÜRÜN KODU]],YMKODLARI!$A$1:$K$363,2,0)," ")</f>
        <v>KLASİK EMZİK SAP</v>
      </c>
      <c r="C200" s="99">
        <v>44124</v>
      </c>
      <c r="D200" s="100" t="s">
        <v>120</v>
      </c>
      <c r="E200" s="101">
        <v>0.34722222222222227</v>
      </c>
      <c r="F200" s="101">
        <v>0.51388888888888895</v>
      </c>
      <c r="G200" s="100">
        <f>IFERROR(VLOOKUP(Tablo517[[#This Row],[ÜRÜN KODU]],YMKODLARI!$A$1:$K$363,3,0)," ")</f>
        <v>16</v>
      </c>
      <c r="H200" s="100">
        <f>IFERROR(VLOOKUP(Tablo517[[#This Row],[ÜRÜN KODU]],YMKODLARI!$A$1:$K$363,4,0)," ")</f>
        <v>19.95</v>
      </c>
      <c r="I200" s="100">
        <v>626</v>
      </c>
      <c r="J200" s="100" t="str">
        <f>IFERROR(VLOOKUP(Tablo517[[#This Row],[ÜRÜN KODU]],YMKODLARI!$A$1:$K$363,9,0)," ")</f>
        <v>Şeffaf</v>
      </c>
      <c r="K200" s="100" t="str">
        <f>IFERROR(VLOOKUP(Tablo517[[#This Row],[BOYA KODU]],Tablo14[#All],4,0)," ")</f>
        <v xml:space="preserve"> </v>
      </c>
      <c r="L200" s="100" t="str">
        <f>IFERROR(VLOOKUP(Tablo517[[#This Row],[BOYA KODU]],Tablo14[#All],6,0)," ")</f>
        <v xml:space="preserve"> </v>
      </c>
      <c r="M200" s="100" t="str">
        <f t="shared" si="22"/>
        <v xml:space="preserve"> </v>
      </c>
      <c r="N200" s="100" t="str">
        <f>IFERROR(VLOOKUP(Tablo517[[#This Row],[ÜRÜN KODU]],YMKODLARI!$A$1:$K$363,8,0)," ")</f>
        <v>HM 002</v>
      </c>
      <c r="O200" s="100" t="str">
        <f>IFERROR(VLOOKUP(Tablo517[[#This Row],[HAMMADDE KODU]],Tablo1[#All],3,0)," ")</f>
        <v>NOVAREX</v>
      </c>
      <c r="P200" s="100" t="str">
        <f>IFERROR(VLOOKUP(Tablo517[[#This Row],[HAMMADDE KODU]],Tablo1[#All],4,0)," ")</f>
        <v>PİNHAS</v>
      </c>
      <c r="Q200" s="100">
        <f>IFERROR(VLOOKUP(Tablo517[[#This Row],[ÜRÜN KODU]],YMKODLARI!$A$1:$K$363,5,0)," ")</f>
        <v>18.5</v>
      </c>
      <c r="R200" s="100">
        <f>IFERROR(VLOOKUP(Tablo517[[#This Row],[ÜRÜN KODU]],YMKODLARI!$A$1:$K$363,6,0)," ")</f>
        <v>16.7</v>
      </c>
      <c r="S200" s="100">
        <f>IFERROR(Tablo517[[#This Row],[YOLLUK HARİÇ BASKI GRAMI]]/Tablo517[[#This Row],[KALIP GÖZ ADEDİ]]," ")</f>
        <v>1.04375</v>
      </c>
      <c r="T200" s="100">
        <f t="shared" si="24"/>
        <v>1.8000000000000007</v>
      </c>
      <c r="U200" s="100">
        <v>4</v>
      </c>
      <c r="V200" s="100">
        <f t="shared" si="23"/>
        <v>14.454199999999998</v>
      </c>
      <c r="W200" s="101">
        <f t="shared" si="25"/>
        <v>24.166666666666668</v>
      </c>
      <c r="X200" s="102">
        <f t="shared" si="26"/>
        <v>4.0000000000000284</v>
      </c>
      <c r="Y200" s="100">
        <f t="shared" si="27"/>
        <v>3.4690833333333329</v>
      </c>
      <c r="Z200" s="100">
        <f t="shared" si="28"/>
        <v>10016</v>
      </c>
    </row>
    <row r="201" spans="1:26">
      <c r="A201" s="100" t="s">
        <v>59</v>
      </c>
      <c r="B201" s="108" t="str">
        <f>IFERROR(VLOOKUP(Tablo517[[#This Row],[ÜRÜN KODU]],YMKODLARI!$A$1:$K$363,2,0)," ")</f>
        <v>EMZİK SAKLAMA KUTUSU ÜST</v>
      </c>
      <c r="C201" s="99">
        <v>44138</v>
      </c>
      <c r="D201" s="100"/>
      <c r="E201" s="101"/>
      <c r="F201" s="101"/>
      <c r="G201" s="100">
        <f>IFERROR(VLOOKUP(Tablo517[[#This Row],[ÜRÜN KODU]],YMKODLARI!$A$1:$K$363,3,0)," ")</f>
        <v>2</v>
      </c>
      <c r="H201" s="100">
        <f>IFERROR(VLOOKUP(Tablo517[[#This Row],[ÜRÜN KODU]],YMKODLARI!$A$1:$K$363,4,0)," ")</f>
        <v>37</v>
      </c>
      <c r="I201" s="100">
        <v>616</v>
      </c>
      <c r="J201" s="100" t="str">
        <f>IFERROR(VLOOKUP(Tablo517[[#This Row],[ÜRÜN KODU]],YMKODLARI!$A$1:$K$363,9,0)," ")</f>
        <v>5139C</v>
      </c>
      <c r="K201" s="100" t="str">
        <f>IFERROR(VLOOKUP(Tablo517[[#This Row],[BOYA KODU]],Tablo14[#All],4,0)," ")</f>
        <v>T.MAVİ</v>
      </c>
      <c r="L201" s="100">
        <f>IFERROR(VLOOKUP(Tablo517[[#This Row],[BOYA KODU]],Tablo14[#All],6,0)," ")</f>
        <v>1E-3</v>
      </c>
      <c r="M201" s="100">
        <f t="shared" si="22"/>
        <v>13.736800000000001</v>
      </c>
      <c r="N201" s="100" t="str">
        <f>IFERROR(VLOOKUP(Tablo517[[#This Row],[ÜRÜN KODU]],YMKODLARI!$A$1:$K$363,8,0)," ")</f>
        <v>HM 001</v>
      </c>
      <c r="O201" s="100" t="str">
        <f>IFERROR(VLOOKUP(Tablo517[[#This Row],[HAMMADDE KODU]],Tablo1[#All],3,0)," ")</f>
        <v>CAPILENE</v>
      </c>
      <c r="P201" s="100" t="str">
        <f>IFERROR(VLOOKUP(Tablo517[[#This Row],[HAMMADDE KODU]],Tablo1[#All],4,0)," ")</f>
        <v>PİNHAS</v>
      </c>
      <c r="Q201" s="100">
        <f>IFERROR(VLOOKUP(Tablo517[[#This Row],[ÜRÜN KODU]],YMKODLARI!$A$1:$K$363,5,0)," ")</f>
        <v>22.3</v>
      </c>
      <c r="R201" s="100">
        <f>IFERROR(VLOOKUP(Tablo517[[#This Row],[ÜRÜN KODU]],YMKODLARI!$A$1:$K$363,6,0)," ")</f>
        <v>21.2</v>
      </c>
      <c r="S201" s="100">
        <f>IFERROR(Tablo517[[#This Row],[YOLLUK HARİÇ BASKI GRAMI]]/Tablo517[[#This Row],[KALIP GÖZ ADEDİ]]," ")</f>
        <v>10.6</v>
      </c>
      <c r="T201" s="100">
        <f t="shared" si="24"/>
        <v>1.1000000000000014</v>
      </c>
      <c r="U201" s="100">
        <v>5.8</v>
      </c>
      <c r="V201" s="100">
        <f t="shared" si="23"/>
        <v>18.859199999999998</v>
      </c>
      <c r="W201" s="101">
        <f t="shared" si="25"/>
        <v>24</v>
      </c>
      <c r="X201" s="102">
        <f t="shared" si="26"/>
        <v>0</v>
      </c>
      <c r="Y201" s="100">
        <f t="shared" si="27"/>
        <v>6.3311111111111114</v>
      </c>
      <c r="Z201" s="100">
        <f t="shared" si="28"/>
        <v>1232</v>
      </c>
    </row>
    <row r="202" spans="1:26">
      <c r="A202" s="100" t="s">
        <v>62</v>
      </c>
      <c r="B202" s="108" t="str">
        <f>IFERROR(VLOOKUP(Tablo517[[#This Row],[ÜRÜN KODU]],YMKODLARI!$A$1:$K$363,2,0)," ")</f>
        <v>EMZİK SAKLAMA KUTUSU ALT</v>
      </c>
      <c r="C202" s="99">
        <v>44138</v>
      </c>
      <c r="D202" s="119" t="s">
        <v>29</v>
      </c>
      <c r="E202" s="101">
        <v>0.45833333333333331</v>
      </c>
      <c r="F202" s="101">
        <v>0.75</v>
      </c>
      <c r="G202" s="100">
        <f>IFERROR(VLOOKUP(Tablo517[[#This Row],[ÜRÜN KODU]],YMKODLARI!$A$1:$K$363,3,0)," ")</f>
        <v>2</v>
      </c>
      <c r="H202" s="100">
        <f>IFERROR(VLOOKUP(Tablo517[[#This Row],[ÜRÜN KODU]],YMKODLARI!$A$1:$K$363,4,0)," ")</f>
        <v>37</v>
      </c>
      <c r="I202" s="100">
        <v>616</v>
      </c>
      <c r="J202" s="100" t="str">
        <f>IFERROR(VLOOKUP(Tablo517[[#This Row],[ÜRÜN KODU]],YMKODLARI!$A$1:$K$363,9,0)," ")</f>
        <v>5139C</v>
      </c>
      <c r="K202" s="100" t="str">
        <f>IFERROR(VLOOKUP(Tablo517[[#This Row],[BOYA KODU]],Tablo14[#All],4,0)," ")</f>
        <v>T.MAVİ</v>
      </c>
      <c r="L202" s="100">
        <f>IFERROR(VLOOKUP(Tablo517[[#This Row],[BOYA KODU]],Tablo14[#All],6,0)," ")</f>
        <v>1E-3</v>
      </c>
      <c r="M202" s="100">
        <f t="shared" si="22"/>
        <v>14.044800000000002</v>
      </c>
      <c r="N202" s="100" t="str">
        <f>IFERROR(VLOOKUP(Tablo517[[#This Row],[ÜRÜN KODU]],YMKODLARI!$A$1:$K$363,8,0)," ")</f>
        <v>HM 001</v>
      </c>
      <c r="O202" s="100" t="str">
        <f>IFERROR(VLOOKUP(Tablo517[[#This Row],[HAMMADDE KODU]],Tablo1[#All],3,0)," ")</f>
        <v>CAPILENE</v>
      </c>
      <c r="P202" s="100" t="str">
        <f>IFERROR(VLOOKUP(Tablo517[[#This Row],[HAMMADDE KODU]],Tablo1[#All],4,0)," ")</f>
        <v>PİNHAS</v>
      </c>
      <c r="Q202" s="100">
        <f>IFERROR(VLOOKUP(Tablo517[[#This Row],[ÜRÜN KODU]],YMKODLARI!$A$1:$K$363,5,0)," ")</f>
        <v>22.8</v>
      </c>
      <c r="R202" s="100">
        <f>IFERROR(VLOOKUP(Tablo517[[#This Row],[ÜRÜN KODU]],YMKODLARI!$A$1:$K$363,6,0)," ")</f>
        <v>21.7</v>
      </c>
      <c r="S202" s="100">
        <f>IFERROR(Tablo517[[#This Row],[YOLLUK HARİÇ BASKI GRAMI]]/Tablo517[[#This Row],[KALIP GÖZ ADEDİ]]," ")</f>
        <v>10.85</v>
      </c>
      <c r="T202" s="100">
        <f t="shared" si="24"/>
        <v>1.1000000000000014</v>
      </c>
      <c r="U202" s="100">
        <v>3.2</v>
      </c>
      <c r="V202" s="100">
        <f t="shared" si="23"/>
        <v>16.5672</v>
      </c>
      <c r="W202" s="101">
        <f t="shared" si="25"/>
        <v>24.291666666666668</v>
      </c>
      <c r="X202" s="102">
        <f t="shared" si="26"/>
        <v>7.0000000000000284</v>
      </c>
      <c r="Y202" s="100">
        <f t="shared" si="27"/>
        <v>6.3311111111111114</v>
      </c>
      <c r="Z202" s="100">
        <f t="shared" si="28"/>
        <v>1232</v>
      </c>
    </row>
    <row r="203" spans="1:26">
      <c r="A203" s="100" t="s">
        <v>59</v>
      </c>
      <c r="B203" s="108" t="str">
        <f>IFERROR(VLOOKUP(Tablo517[[#This Row],[ÜRÜN KODU]],YMKODLARI!$A$1:$K$363,2,0)," ")</f>
        <v>EMZİK SAKLAMA KUTUSU ÜST</v>
      </c>
      <c r="C203" s="99">
        <v>44139</v>
      </c>
      <c r="D203" s="100"/>
      <c r="E203" s="101"/>
      <c r="F203" s="101"/>
      <c r="G203" s="100">
        <f>IFERROR(VLOOKUP(Tablo517[[#This Row],[ÜRÜN KODU]],YMKODLARI!$A$1:$K$363,3,0)," ")</f>
        <v>2</v>
      </c>
      <c r="H203" s="100">
        <f>IFERROR(VLOOKUP(Tablo517[[#This Row],[ÜRÜN KODU]],YMKODLARI!$A$1:$K$363,4,0)," ")</f>
        <v>37</v>
      </c>
      <c r="I203" s="100">
        <v>544</v>
      </c>
      <c r="J203" s="100" t="str">
        <f>IFERROR(VLOOKUP(Tablo517[[#This Row],[ÜRÜN KODU]],YMKODLARI!$A$1:$K$363,9,0)," ")</f>
        <v>5139C</v>
      </c>
      <c r="K203" s="100" t="str">
        <f>IFERROR(VLOOKUP(Tablo517[[#This Row],[BOYA KODU]],Tablo14[#All],4,0)," ")</f>
        <v>T.MAVİ</v>
      </c>
      <c r="L203" s="100">
        <f>IFERROR(VLOOKUP(Tablo517[[#This Row],[BOYA KODU]],Tablo14[#All],6,0)," ")</f>
        <v>1E-3</v>
      </c>
      <c r="M203" s="100">
        <f t="shared" si="22"/>
        <v>12.131200000000002</v>
      </c>
      <c r="N203" s="100" t="str">
        <f>IFERROR(VLOOKUP(Tablo517[[#This Row],[ÜRÜN KODU]],YMKODLARI!$A$1:$K$363,8,0)," ")</f>
        <v>HM 001</v>
      </c>
      <c r="O203" s="100" t="str">
        <f>IFERROR(VLOOKUP(Tablo517[[#This Row],[HAMMADDE KODU]],Tablo1[#All],3,0)," ")</f>
        <v>CAPILENE</v>
      </c>
      <c r="P203" s="100" t="str">
        <f>IFERROR(VLOOKUP(Tablo517[[#This Row],[HAMMADDE KODU]],Tablo1[#All],4,0)," ")</f>
        <v>PİNHAS</v>
      </c>
      <c r="Q203" s="100">
        <f>IFERROR(VLOOKUP(Tablo517[[#This Row],[ÜRÜN KODU]],YMKODLARI!$A$1:$K$363,5,0)," ")</f>
        <v>22.3</v>
      </c>
      <c r="R203" s="100">
        <f>IFERROR(VLOOKUP(Tablo517[[#This Row],[ÜRÜN KODU]],YMKODLARI!$A$1:$K$363,6,0)," ")</f>
        <v>21.2</v>
      </c>
      <c r="S203" s="100">
        <f>IFERROR(Tablo517[[#This Row],[YOLLUK HARİÇ BASKI GRAMI]]/Tablo517[[#This Row],[KALIP GÖZ ADEDİ]]," ")</f>
        <v>10.6</v>
      </c>
      <c r="T203" s="100">
        <f t="shared" si="24"/>
        <v>1.1000000000000014</v>
      </c>
      <c r="U203" s="100"/>
      <c r="V203" s="100">
        <f t="shared" si="23"/>
        <v>11.5328</v>
      </c>
      <c r="W203" s="101">
        <f t="shared" si="25"/>
        <v>24</v>
      </c>
      <c r="X203" s="102">
        <f t="shared" si="26"/>
        <v>0</v>
      </c>
      <c r="Y203" s="100">
        <f t="shared" si="27"/>
        <v>5.5911111111111111</v>
      </c>
      <c r="Z203" s="100">
        <f t="shared" si="28"/>
        <v>1088</v>
      </c>
    </row>
    <row r="204" spans="1:26">
      <c r="A204" s="100" t="s">
        <v>62</v>
      </c>
      <c r="B204" s="108" t="str">
        <f>IFERROR(VLOOKUP(Tablo517[[#This Row],[ÜRÜN KODU]],YMKODLARI!$A$1:$K$363,2,0)," ")</f>
        <v>EMZİK SAKLAMA KUTUSU ALT</v>
      </c>
      <c r="C204" s="99">
        <v>44139</v>
      </c>
      <c r="D204" s="100" t="s">
        <v>29</v>
      </c>
      <c r="E204" s="101">
        <v>0.33680555555555558</v>
      </c>
      <c r="F204" s="101">
        <v>0.61319444444444449</v>
      </c>
      <c r="G204" s="100">
        <f>IFERROR(VLOOKUP(Tablo517[[#This Row],[ÜRÜN KODU]],YMKODLARI!$A$1:$K$363,3,0)," ")</f>
        <v>2</v>
      </c>
      <c r="H204" s="100">
        <f>IFERROR(VLOOKUP(Tablo517[[#This Row],[ÜRÜN KODU]],YMKODLARI!$A$1:$K$363,4,0)," ")</f>
        <v>37</v>
      </c>
      <c r="I204" s="100">
        <v>544</v>
      </c>
      <c r="J204" s="100" t="str">
        <f>IFERROR(VLOOKUP(Tablo517[[#This Row],[ÜRÜN KODU]],YMKODLARI!$A$1:$K$363,9,0)," ")</f>
        <v>5139C</v>
      </c>
      <c r="K204" s="100" t="str">
        <f>IFERROR(VLOOKUP(Tablo517[[#This Row],[BOYA KODU]],Tablo14[#All],4,0)," ")</f>
        <v>T.MAVİ</v>
      </c>
      <c r="L204" s="100">
        <f>IFERROR(VLOOKUP(Tablo517[[#This Row],[BOYA KODU]],Tablo14[#All],6,0)," ")</f>
        <v>1E-3</v>
      </c>
      <c r="M204" s="100">
        <f t="shared" si="22"/>
        <v>12.403200000000002</v>
      </c>
      <c r="N204" s="100" t="str">
        <f>IFERROR(VLOOKUP(Tablo517[[#This Row],[ÜRÜN KODU]],YMKODLARI!$A$1:$K$363,8,0)," ")</f>
        <v>HM 001</v>
      </c>
      <c r="O204" s="100" t="str">
        <f>IFERROR(VLOOKUP(Tablo517[[#This Row],[HAMMADDE KODU]],Tablo1[#All],3,0)," ")</f>
        <v>CAPILENE</v>
      </c>
      <c r="P204" s="100" t="str">
        <f>IFERROR(VLOOKUP(Tablo517[[#This Row],[HAMMADDE KODU]],Tablo1[#All],4,0)," ")</f>
        <v>PİNHAS</v>
      </c>
      <c r="Q204" s="100">
        <f>IFERROR(VLOOKUP(Tablo517[[#This Row],[ÜRÜN KODU]],YMKODLARI!$A$1:$K$363,5,0)," ")</f>
        <v>22.8</v>
      </c>
      <c r="R204" s="100">
        <f>IFERROR(VLOOKUP(Tablo517[[#This Row],[ÜRÜN KODU]],YMKODLARI!$A$1:$K$363,6,0)," ")</f>
        <v>21.7</v>
      </c>
      <c r="S204" s="100">
        <f>IFERROR(Tablo517[[#This Row],[YOLLUK HARİÇ BASKI GRAMI]]/Tablo517[[#This Row],[KALIP GÖZ ADEDİ]]," ")</f>
        <v>10.85</v>
      </c>
      <c r="T204" s="100">
        <f t="shared" si="24"/>
        <v>1.1000000000000014</v>
      </c>
      <c r="U204" s="100">
        <v>4.5</v>
      </c>
      <c r="V204" s="100">
        <f t="shared" si="23"/>
        <v>16.3048</v>
      </c>
      <c r="W204" s="101">
        <f t="shared" si="25"/>
        <v>24.276388888888889</v>
      </c>
      <c r="X204" s="102">
        <f t="shared" si="26"/>
        <v>6.6333333333333258</v>
      </c>
      <c r="Y204" s="100">
        <f t="shared" si="27"/>
        <v>5.5911111111111111</v>
      </c>
      <c r="Z204" s="100">
        <f t="shared" si="28"/>
        <v>1088</v>
      </c>
    </row>
    <row r="205" spans="1:26">
      <c r="A205" s="100" t="s">
        <v>57</v>
      </c>
      <c r="B205" s="108" t="str">
        <f>IFERROR(VLOOKUP(Tablo517[[#This Row],[ÜRÜN KODU]],YMKODLARI!$A$1:$K$363,2,0)," ")</f>
        <v>EMZİK SAKLAMA KUTUSU ÜST</v>
      </c>
      <c r="C205" s="99"/>
      <c r="D205" s="100"/>
      <c r="E205" s="101"/>
      <c r="F205" s="101"/>
      <c r="G205" s="100">
        <f>IFERROR(VLOOKUP(Tablo517[[#This Row],[ÜRÜN KODU]],YMKODLARI!$A$1:$K$363,3,0)," ")</f>
        <v>2</v>
      </c>
      <c r="H205" s="100">
        <f>IFERROR(VLOOKUP(Tablo517[[#This Row],[ÜRÜN KODU]],YMKODLARI!$A$1:$K$363,4,0)," ")</f>
        <v>37</v>
      </c>
      <c r="I205" s="100">
        <v>250</v>
      </c>
      <c r="J205" s="100" t="str">
        <f>IFERROR(VLOOKUP(Tablo517[[#This Row],[ÜRÜN KODU]],YMKODLARI!$A$1:$K$363,9,0)," ")</f>
        <v>708PK532G</v>
      </c>
      <c r="K205" s="100" t="str">
        <f>IFERROR(VLOOKUP(Tablo517[[#This Row],[BOYA KODU]],Tablo14[#All],4,0)," ")</f>
        <v>T.PEMBE</v>
      </c>
      <c r="L205" s="100">
        <f>IFERROR(VLOOKUP(Tablo517[[#This Row],[BOYA KODU]],Tablo14[#All],6,0)," ")</f>
        <v>2E-3</v>
      </c>
      <c r="M205" s="100">
        <f t="shared" si="22"/>
        <v>11.15</v>
      </c>
      <c r="N205" s="100" t="str">
        <f>IFERROR(VLOOKUP(Tablo517[[#This Row],[ÜRÜN KODU]],YMKODLARI!$A$1:$K$363,8,0)," ")</f>
        <v>HM 001</v>
      </c>
      <c r="O205" s="100" t="str">
        <f>IFERROR(VLOOKUP(Tablo517[[#This Row],[HAMMADDE KODU]],Tablo1[#All],3,0)," ")</f>
        <v>CAPILENE</v>
      </c>
      <c r="P205" s="100" t="str">
        <f>IFERROR(VLOOKUP(Tablo517[[#This Row],[HAMMADDE KODU]],Tablo1[#All],4,0)," ")</f>
        <v>PİNHAS</v>
      </c>
      <c r="Q205" s="100">
        <f>IFERROR(VLOOKUP(Tablo517[[#This Row],[ÜRÜN KODU]],YMKODLARI!$A$1:$K$363,5,0)," ")</f>
        <v>22.3</v>
      </c>
      <c r="R205" s="100">
        <f>IFERROR(VLOOKUP(Tablo517[[#This Row],[ÜRÜN KODU]],YMKODLARI!$A$1:$K$363,6,0)," ")</f>
        <v>21.2</v>
      </c>
      <c r="S205" s="100">
        <f>IFERROR(Tablo517[[#This Row],[YOLLUK HARİÇ BASKI GRAMI]]/Tablo517[[#This Row],[KALIP GÖZ ADEDİ]]," ")</f>
        <v>10.6</v>
      </c>
      <c r="T205" s="100">
        <f t="shared" si="24"/>
        <v>1.1000000000000014</v>
      </c>
      <c r="U205" s="100">
        <v>5.8</v>
      </c>
      <c r="V205" s="100">
        <f t="shared" si="23"/>
        <v>11.1</v>
      </c>
      <c r="W205" s="101">
        <f t="shared" si="25"/>
        <v>24</v>
      </c>
      <c r="X205" s="102">
        <f t="shared" si="26"/>
        <v>0</v>
      </c>
      <c r="Y205" s="100">
        <f t="shared" si="27"/>
        <v>2.5694444444444446</v>
      </c>
      <c r="Z205" s="100">
        <f t="shared" si="28"/>
        <v>500</v>
      </c>
    </row>
    <row r="206" spans="1:26">
      <c r="A206" s="100" t="s">
        <v>58</v>
      </c>
      <c r="B206" s="108" t="str">
        <f>IFERROR(VLOOKUP(Tablo517[[#This Row],[ÜRÜN KODU]],YMKODLARI!$A$1:$K$363,2,0)," ")</f>
        <v>EMZİK SAKLAMA KUTUSU ALT</v>
      </c>
      <c r="C206" s="99">
        <v>43834</v>
      </c>
      <c r="D206" s="100" t="s">
        <v>29</v>
      </c>
      <c r="E206" s="101">
        <v>0.63472222222222219</v>
      </c>
      <c r="F206" s="101">
        <v>0.75</v>
      </c>
      <c r="G206" s="100">
        <f>IFERROR(VLOOKUP(Tablo517[[#This Row],[ÜRÜN KODU]],YMKODLARI!$A$1:$K$363,3,0)," ")</f>
        <v>2</v>
      </c>
      <c r="H206" s="100">
        <f>IFERROR(VLOOKUP(Tablo517[[#This Row],[ÜRÜN KODU]],YMKODLARI!$A$1:$K$363,4,0)," ")</f>
        <v>37</v>
      </c>
      <c r="I206" s="100">
        <v>250</v>
      </c>
      <c r="J206" s="100" t="str">
        <f>IFERROR(VLOOKUP(Tablo517[[#This Row],[ÜRÜN KODU]],YMKODLARI!$A$1:$K$363,9,0)," ")</f>
        <v>708PK532G</v>
      </c>
      <c r="K206" s="100" t="str">
        <f>IFERROR(VLOOKUP(Tablo517[[#This Row],[BOYA KODU]],Tablo14[#All],4,0)," ")</f>
        <v>T.PEMBE</v>
      </c>
      <c r="L206" s="100">
        <f>IFERROR(VLOOKUP(Tablo517[[#This Row],[BOYA KODU]],Tablo14[#All],6,0)," ")</f>
        <v>2E-3</v>
      </c>
      <c r="M206" s="100">
        <f t="shared" si="22"/>
        <v>11.4</v>
      </c>
      <c r="N206" s="100" t="str">
        <f>IFERROR(VLOOKUP(Tablo517[[#This Row],[ÜRÜN KODU]],YMKODLARI!$A$1:$K$363,8,0)," ")</f>
        <v>HM 001</v>
      </c>
      <c r="O206" s="100" t="str">
        <f>IFERROR(VLOOKUP(Tablo517[[#This Row],[HAMMADDE KODU]],Tablo1[#All],3,0)," ")</f>
        <v>CAPILENE</v>
      </c>
      <c r="P206" s="100" t="str">
        <f>IFERROR(VLOOKUP(Tablo517[[#This Row],[HAMMADDE KODU]],Tablo1[#All],4,0)," ")</f>
        <v>PİNHAS</v>
      </c>
      <c r="Q206" s="100">
        <f>IFERROR(VLOOKUP(Tablo517[[#This Row],[ÜRÜN KODU]],YMKODLARI!$A$1:$K$363,5,0)," ")</f>
        <v>22.8</v>
      </c>
      <c r="R206" s="100">
        <f>IFERROR(VLOOKUP(Tablo517[[#This Row],[ÜRÜN KODU]],YMKODLARI!$A$1:$K$363,6,0)," ")</f>
        <v>21.7</v>
      </c>
      <c r="S206" s="100">
        <f>IFERROR(Tablo517[[#This Row],[YOLLUK HARİÇ BASKI GRAMI]]/Tablo517[[#This Row],[KALIP GÖZ ADEDİ]]," ")</f>
        <v>10.85</v>
      </c>
      <c r="T206" s="100">
        <f t="shared" si="24"/>
        <v>1.1000000000000014</v>
      </c>
      <c r="U206" s="100">
        <v>1.5</v>
      </c>
      <c r="V206" s="100">
        <f t="shared" si="23"/>
        <v>6.9249999999999998</v>
      </c>
      <c r="W206" s="101">
        <f t="shared" si="25"/>
        <v>24.115277777777777</v>
      </c>
      <c r="X206" s="102">
        <f t="shared" si="26"/>
        <v>2.7666666666666515</v>
      </c>
      <c r="Y206" s="100">
        <f t="shared" si="27"/>
        <v>2.5694444444444446</v>
      </c>
      <c r="Z206" s="100">
        <f t="shared" si="28"/>
        <v>500</v>
      </c>
    </row>
    <row r="207" spans="1:26">
      <c r="A207" s="100" t="s">
        <v>57</v>
      </c>
      <c r="B207" s="108" t="str">
        <f>IFERROR(VLOOKUP(Tablo517[[#This Row],[ÜRÜN KODU]],YMKODLARI!$A$1:$K$363,2,0)," ")</f>
        <v>EMZİK SAKLAMA KUTUSU ÜST</v>
      </c>
      <c r="C207" s="99"/>
      <c r="D207" s="100"/>
      <c r="E207" s="101"/>
      <c r="F207" s="101"/>
      <c r="G207" s="100">
        <f>IFERROR(VLOOKUP(Tablo517[[#This Row],[ÜRÜN KODU]],YMKODLARI!$A$1:$K$363,3,0)," ")</f>
        <v>2</v>
      </c>
      <c r="H207" s="100">
        <f>IFERROR(VLOOKUP(Tablo517[[#This Row],[ÜRÜN KODU]],YMKODLARI!$A$1:$K$363,4,0)," ")</f>
        <v>37</v>
      </c>
      <c r="I207" s="100">
        <v>774</v>
      </c>
      <c r="J207" s="100" t="str">
        <f>IFERROR(VLOOKUP(Tablo517[[#This Row],[ÜRÜN KODU]],YMKODLARI!$A$1:$K$363,9,0)," ")</f>
        <v>708PK532G</v>
      </c>
      <c r="K207" s="100" t="str">
        <f>IFERROR(VLOOKUP(Tablo517[[#This Row],[BOYA KODU]],Tablo14[#All],4,0)," ")</f>
        <v>T.PEMBE</v>
      </c>
      <c r="L207" s="100">
        <f>IFERROR(VLOOKUP(Tablo517[[#This Row],[BOYA KODU]],Tablo14[#All],6,0)," ")</f>
        <v>2E-3</v>
      </c>
      <c r="M207" s="100">
        <f t="shared" si="22"/>
        <v>34.520400000000002</v>
      </c>
      <c r="N207" s="100" t="str">
        <f>IFERROR(VLOOKUP(Tablo517[[#This Row],[ÜRÜN KODU]],YMKODLARI!$A$1:$K$363,8,0)," ")</f>
        <v>HM 001</v>
      </c>
      <c r="O207" s="100" t="str">
        <f>IFERROR(VLOOKUP(Tablo517[[#This Row],[HAMMADDE KODU]],Tablo1[#All],3,0)," ")</f>
        <v>CAPILENE</v>
      </c>
      <c r="P207" s="100" t="str">
        <f>IFERROR(VLOOKUP(Tablo517[[#This Row],[HAMMADDE KODU]],Tablo1[#All],4,0)," ")</f>
        <v>PİNHAS</v>
      </c>
      <c r="Q207" s="100">
        <f>IFERROR(VLOOKUP(Tablo517[[#This Row],[ÜRÜN KODU]],YMKODLARI!$A$1:$K$363,5,0)," ")</f>
        <v>22.3</v>
      </c>
      <c r="R207" s="100">
        <f>IFERROR(VLOOKUP(Tablo517[[#This Row],[ÜRÜN KODU]],YMKODLARI!$A$1:$K$363,6,0)," ")</f>
        <v>21.2</v>
      </c>
      <c r="S207" s="100">
        <f>IFERROR(Tablo517[[#This Row],[YOLLUK HARİÇ BASKI GRAMI]]/Tablo517[[#This Row],[KALIP GÖZ ADEDİ]]," ")</f>
        <v>10.6</v>
      </c>
      <c r="T207" s="100">
        <f t="shared" si="24"/>
        <v>1.1000000000000014</v>
      </c>
      <c r="U207" s="100">
        <v>1</v>
      </c>
      <c r="V207" s="100">
        <f t="shared" si="23"/>
        <v>17.408799999999999</v>
      </c>
      <c r="W207" s="101">
        <f t="shared" si="25"/>
        <v>24</v>
      </c>
      <c r="X207" s="102">
        <f t="shared" si="26"/>
        <v>0</v>
      </c>
      <c r="Y207" s="100">
        <f t="shared" si="27"/>
        <v>7.9550000000000001</v>
      </c>
      <c r="Z207" s="100">
        <f t="shared" si="28"/>
        <v>1548</v>
      </c>
    </row>
    <row r="208" spans="1:26">
      <c r="A208" s="100" t="s">
        <v>58</v>
      </c>
      <c r="B208" s="108" t="str">
        <f>IFERROR(VLOOKUP(Tablo517[[#This Row],[ÜRÜN KODU]],YMKODLARI!$A$1:$K$363,2,0)," ")</f>
        <v>EMZİK SAKLAMA KUTUSU ALT</v>
      </c>
      <c r="C208" s="99">
        <v>44140</v>
      </c>
      <c r="D208" s="100" t="s">
        <v>37</v>
      </c>
      <c r="E208" s="101">
        <v>0.33333333333333331</v>
      </c>
      <c r="F208" s="101">
        <v>0.75</v>
      </c>
      <c r="G208" s="100">
        <f>IFERROR(VLOOKUP(Tablo517[[#This Row],[ÜRÜN KODU]],YMKODLARI!$A$1:$K$363,3,0)," ")</f>
        <v>2</v>
      </c>
      <c r="H208" s="100">
        <f>IFERROR(VLOOKUP(Tablo517[[#This Row],[ÜRÜN KODU]],YMKODLARI!$A$1:$K$363,4,0)," ")</f>
        <v>37</v>
      </c>
      <c r="I208" s="100">
        <v>774</v>
      </c>
      <c r="J208" s="100" t="str">
        <f>IFERROR(VLOOKUP(Tablo517[[#This Row],[ÜRÜN KODU]],YMKODLARI!$A$1:$K$363,9,0)," ")</f>
        <v>708PK532G</v>
      </c>
      <c r="K208" s="100" t="str">
        <f>IFERROR(VLOOKUP(Tablo517[[#This Row],[BOYA KODU]],Tablo14[#All],4,0)," ")</f>
        <v>T.PEMBE</v>
      </c>
      <c r="L208" s="100">
        <f>IFERROR(VLOOKUP(Tablo517[[#This Row],[BOYA KODU]],Tablo14[#All],6,0)," ")</f>
        <v>2E-3</v>
      </c>
      <c r="M208" s="100">
        <f t="shared" si="22"/>
        <v>35.294400000000003</v>
      </c>
      <c r="N208" s="100" t="str">
        <f>IFERROR(VLOOKUP(Tablo517[[#This Row],[ÜRÜN KODU]],YMKODLARI!$A$1:$K$363,8,0)," ")</f>
        <v>HM 001</v>
      </c>
      <c r="O208" s="100" t="str">
        <f>IFERROR(VLOOKUP(Tablo517[[#This Row],[HAMMADDE KODU]],Tablo1[#All],3,0)," ")</f>
        <v>CAPILENE</v>
      </c>
      <c r="P208" s="100" t="str">
        <f>IFERROR(VLOOKUP(Tablo517[[#This Row],[HAMMADDE KODU]],Tablo1[#All],4,0)," ")</f>
        <v>PİNHAS</v>
      </c>
      <c r="Q208" s="100">
        <f>IFERROR(VLOOKUP(Tablo517[[#This Row],[ÜRÜN KODU]],YMKODLARI!$A$1:$K$363,5,0)," ")</f>
        <v>22.8</v>
      </c>
      <c r="R208" s="100">
        <f>IFERROR(VLOOKUP(Tablo517[[#This Row],[ÜRÜN KODU]],YMKODLARI!$A$1:$K$363,6,0)," ")</f>
        <v>21.7</v>
      </c>
      <c r="S208" s="100">
        <f>IFERROR(Tablo517[[#This Row],[YOLLUK HARİÇ BASKI GRAMI]]/Tablo517[[#This Row],[KALIP GÖZ ADEDİ]]," ")</f>
        <v>10.85</v>
      </c>
      <c r="T208" s="100">
        <f t="shared" si="24"/>
        <v>1.1000000000000014</v>
      </c>
      <c r="U208" s="100">
        <v>2.2000000000000002</v>
      </c>
      <c r="V208" s="100">
        <f t="shared" si="23"/>
        <v>18.995799999999999</v>
      </c>
      <c r="W208" s="101">
        <f t="shared" si="25"/>
        <v>24.416666666666668</v>
      </c>
      <c r="X208" s="102">
        <f t="shared" si="26"/>
        <v>10.000000000000028</v>
      </c>
      <c r="Y208" s="100">
        <f t="shared" si="27"/>
        <v>7.9550000000000001</v>
      </c>
      <c r="Z208" s="100">
        <f t="shared" si="28"/>
        <v>1548</v>
      </c>
    </row>
    <row r="209" spans="1:26">
      <c r="A209" s="100" t="s">
        <v>55</v>
      </c>
      <c r="B209" s="108" t="str">
        <f>IFERROR(VLOOKUP(Tablo517[[#This Row],[ÜRÜN KODU]],YMKODLARI!$A$1:$K$363,2,0)," ")</f>
        <v>BİBERON SEYAHAT TIPASI</v>
      </c>
      <c r="C209" s="99">
        <v>44141</v>
      </c>
      <c r="D209" s="100" t="s">
        <v>37</v>
      </c>
      <c r="E209" s="101">
        <v>0.33333333333333331</v>
      </c>
      <c r="F209" s="101">
        <v>0.73611111111111116</v>
      </c>
      <c r="G209" s="100">
        <f>IFERROR(VLOOKUP(Tablo517[[#This Row],[ÜRÜN KODU]],YMKODLARI!$A$1:$K$363,3,0)," ")</f>
        <v>8</v>
      </c>
      <c r="H209" s="100">
        <f>IFERROR(VLOOKUP(Tablo517[[#This Row],[ÜRÜN KODU]],YMKODLARI!$A$1:$K$363,4,0)," ")</f>
        <v>15</v>
      </c>
      <c r="I209" s="100">
        <v>1148</v>
      </c>
      <c r="J209" s="100" t="str">
        <f>IFERROR(VLOOKUP(Tablo517[[#This Row],[ÜRÜN KODU]],YMKODLARI!$A$1:$K$363,9,0)," ")</f>
        <v>BEYAZ</v>
      </c>
      <c r="K209" s="100" t="str">
        <f>IFERROR(VLOOKUP(Tablo517[[#This Row],[BOYA KODU]],Tablo14[#All],4,0)," ")</f>
        <v xml:space="preserve"> </v>
      </c>
      <c r="L209" s="100" t="str">
        <f>IFERROR(VLOOKUP(Tablo517[[#This Row],[BOYA KODU]],Tablo14[#All],6,0)," ")</f>
        <v xml:space="preserve"> </v>
      </c>
      <c r="M209" s="100" t="str">
        <f t="shared" si="22"/>
        <v xml:space="preserve"> </v>
      </c>
      <c r="N209" s="100" t="str">
        <f>IFERROR(VLOOKUP(Tablo517[[#This Row],[ÜRÜN KODU]],YMKODLARI!$A$1:$K$363,8,0)," ")</f>
        <v>HM 010</v>
      </c>
      <c r="O209" s="100" t="str">
        <f>IFERROR(VLOOKUP(Tablo517[[#This Row],[HAMMADDE KODU]],Tablo1[#All],3,0)," ")</f>
        <v>KIRMA PP</v>
      </c>
      <c r="P209" s="100" t="str">
        <f>IFERROR(VLOOKUP(Tablo517[[#This Row],[HAMMADDE KODU]],Tablo1[#All],4,0)," ")</f>
        <v>KIRMA</v>
      </c>
      <c r="Q209" s="100">
        <f>IFERROR(VLOOKUP(Tablo517[[#This Row],[ÜRÜN KODU]],YMKODLARI!$A$1:$K$363,5,0)," ")</f>
        <v>13</v>
      </c>
      <c r="R209" s="100">
        <f>IFERROR(VLOOKUP(Tablo517[[#This Row],[ÜRÜN KODU]],YMKODLARI!$A$1:$K$363,6,0)," ")</f>
        <v>10.7</v>
      </c>
      <c r="S209" s="100">
        <f>IFERROR(Tablo517[[#This Row],[YOLLUK HARİÇ BASKI GRAMI]]/Tablo517[[#This Row],[KALIP GÖZ ADEDİ]]," ")</f>
        <v>1.3374999999999999</v>
      </c>
      <c r="T209" s="100">
        <f t="shared" si="24"/>
        <v>2.3000000000000007</v>
      </c>
      <c r="U209" s="100">
        <v>3.2</v>
      </c>
      <c r="V209" s="100">
        <f t="shared" si="23"/>
        <v>15.483599999999999</v>
      </c>
      <c r="W209" s="101">
        <f t="shared" si="25"/>
        <v>24.402777777777779</v>
      </c>
      <c r="X209" s="102">
        <f t="shared" si="26"/>
        <v>9.6666666666666856</v>
      </c>
      <c r="Y209" s="100">
        <f t="shared" si="27"/>
        <v>4.7833333333333332</v>
      </c>
      <c r="Z209" s="100">
        <f t="shared" si="28"/>
        <v>9184</v>
      </c>
    </row>
    <row r="210" spans="1:26">
      <c r="A210" s="100" t="s">
        <v>55</v>
      </c>
      <c r="B210" s="108" t="str">
        <f>IFERROR(VLOOKUP(Tablo517[[#This Row],[ÜRÜN KODU]],YMKODLARI!$A$1:$K$363,2,0)," ")</f>
        <v>BİBERON SEYAHAT TIPASI</v>
      </c>
      <c r="C210" s="99">
        <v>44144</v>
      </c>
      <c r="D210" s="100" t="s">
        <v>27</v>
      </c>
      <c r="E210" s="101">
        <v>0.33333333333333331</v>
      </c>
      <c r="F210" s="101">
        <v>0.75</v>
      </c>
      <c r="G210" s="100">
        <f>IFERROR(VLOOKUP(Tablo517[[#This Row],[ÜRÜN KODU]],YMKODLARI!$A$1:$K$363,3,0)," ")</f>
        <v>8</v>
      </c>
      <c r="H210" s="100">
        <f>IFERROR(VLOOKUP(Tablo517[[#This Row],[ÜRÜN KODU]],YMKODLARI!$A$1:$K$363,4,0)," ")</f>
        <v>15</v>
      </c>
      <c r="I210" s="100">
        <v>927</v>
      </c>
      <c r="J210" s="100" t="str">
        <f>IFERROR(VLOOKUP(Tablo517[[#This Row],[ÜRÜN KODU]],YMKODLARI!$A$1:$K$363,9,0)," ")</f>
        <v>BEYAZ</v>
      </c>
      <c r="K210" s="100" t="str">
        <f>IFERROR(VLOOKUP(Tablo517[[#This Row],[BOYA KODU]],Tablo14[#All],4,0)," ")</f>
        <v xml:space="preserve"> </v>
      </c>
      <c r="L210" s="100" t="str">
        <f>IFERROR(VLOOKUP(Tablo517[[#This Row],[BOYA KODU]],Tablo14[#All],6,0)," ")</f>
        <v xml:space="preserve"> </v>
      </c>
      <c r="M210" s="100" t="str">
        <f t="shared" si="22"/>
        <v xml:space="preserve"> </v>
      </c>
      <c r="N210" s="100" t="str">
        <f>IFERROR(VLOOKUP(Tablo517[[#This Row],[ÜRÜN KODU]],YMKODLARI!$A$1:$K$363,8,0)," ")</f>
        <v>HM 010</v>
      </c>
      <c r="O210" s="100" t="str">
        <f>IFERROR(VLOOKUP(Tablo517[[#This Row],[HAMMADDE KODU]],Tablo1[#All],3,0)," ")</f>
        <v>KIRMA PP</v>
      </c>
      <c r="P210" s="100" t="str">
        <f>IFERROR(VLOOKUP(Tablo517[[#This Row],[HAMMADDE KODU]],Tablo1[#All],4,0)," ")</f>
        <v>KIRMA</v>
      </c>
      <c r="Q210" s="100">
        <f>IFERROR(VLOOKUP(Tablo517[[#This Row],[ÜRÜN KODU]],YMKODLARI!$A$1:$K$363,5,0)," ")</f>
        <v>13</v>
      </c>
      <c r="R210" s="100">
        <f>IFERROR(VLOOKUP(Tablo517[[#This Row],[ÜRÜN KODU]],YMKODLARI!$A$1:$K$363,6,0)," ")</f>
        <v>10.7</v>
      </c>
      <c r="S210" s="100">
        <f>IFERROR(Tablo517[[#This Row],[YOLLUK HARİÇ BASKI GRAMI]]/Tablo517[[#This Row],[KALIP GÖZ ADEDİ]]," ")</f>
        <v>1.3374999999999999</v>
      </c>
      <c r="T210" s="100">
        <f t="shared" si="24"/>
        <v>2.3000000000000007</v>
      </c>
      <c r="U210" s="100"/>
      <c r="V210" s="100">
        <f t="shared" si="23"/>
        <v>9.9188999999999989</v>
      </c>
      <c r="W210" s="101">
        <f t="shared" si="25"/>
        <v>24.416666666666668</v>
      </c>
      <c r="X210" s="102">
        <f t="shared" si="26"/>
        <v>10.000000000000028</v>
      </c>
      <c r="Y210" s="100">
        <f t="shared" si="27"/>
        <v>3.8624999999999998</v>
      </c>
      <c r="Z210" s="100">
        <f t="shared" si="28"/>
        <v>7416</v>
      </c>
    </row>
    <row r="211" spans="1:26">
      <c r="A211" s="100" t="s">
        <v>55</v>
      </c>
      <c r="B211" s="108" t="str">
        <f>IFERROR(VLOOKUP(Tablo517[[#This Row],[ÜRÜN KODU]],YMKODLARI!$A$1:$K$363,2,0)," ")</f>
        <v>BİBERON SEYAHAT TIPASI</v>
      </c>
      <c r="C211" s="99">
        <v>44145</v>
      </c>
      <c r="D211" s="100" t="s">
        <v>120</v>
      </c>
      <c r="E211" s="101">
        <v>0.33333333333333331</v>
      </c>
      <c r="F211" s="101">
        <v>0.75</v>
      </c>
      <c r="G211" s="100">
        <f>IFERROR(VLOOKUP(Tablo517[[#This Row],[ÜRÜN KODU]],YMKODLARI!$A$1:$K$363,3,0)," ")</f>
        <v>8</v>
      </c>
      <c r="H211" s="100">
        <f>IFERROR(VLOOKUP(Tablo517[[#This Row],[ÜRÜN KODU]],YMKODLARI!$A$1:$K$363,4,0)," ")</f>
        <v>15</v>
      </c>
      <c r="I211" s="100">
        <v>1674</v>
      </c>
      <c r="J211" s="100" t="str">
        <f>IFERROR(VLOOKUP(Tablo517[[#This Row],[ÜRÜN KODU]],YMKODLARI!$A$1:$K$363,9,0)," ")</f>
        <v>BEYAZ</v>
      </c>
      <c r="K211" s="100" t="str">
        <f>IFERROR(VLOOKUP(Tablo517[[#This Row],[BOYA KODU]],Tablo14[#All],4,0)," ")</f>
        <v xml:space="preserve"> </v>
      </c>
      <c r="L211" s="100" t="str">
        <f>IFERROR(VLOOKUP(Tablo517[[#This Row],[BOYA KODU]],Tablo14[#All],6,0)," ")</f>
        <v xml:space="preserve"> </v>
      </c>
      <c r="M211" s="100" t="str">
        <f t="shared" si="22"/>
        <v xml:space="preserve"> </v>
      </c>
      <c r="N211" s="100" t="str">
        <f>IFERROR(VLOOKUP(Tablo517[[#This Row],[ÜRÜN KODU]],YMKODLARI!$A$1:$K$363,8,0)," ")</f>
        <v>HM 010</v>
      </c>
      <c r="O211" s="100" t="str">
        <f>IFERROR(VLOOKUP(Tablo517[[#This Row],[HAMMADDE KODU]],Tablo1[#All],3,0)," ")</f>
        <v>KIRMA PP</v>
      </c>
      <c r="P211" s="100" t="str">
        <f>IFERROR(VLOOKUP(Tablo517[[#This Row],[HAMMADDE KODU]],Tablo1[#All],4,0)," ")</f>
        <v>KIRMA</v>
      </c>
      <c r="Q211" s="100">
        <f>IFERROR(VLOOKUP(Tablo517[[#This Row],[ÜRÜN KODU]],YMKODLARI!$A$1:$K$363,5,0)," ")</f>
        <v>13</v>
      </c>
      <c r="R211" s="100">
        <f>IFERROR(VLOOKUP(Tablo517[[#This Row],[ÜRÜN KODU]],YMKODLARI!$A$1:$K$363,6,0)," ")</f>
        <v>10.7</v>
      </c>
      <c r="S211" s="100">
        <f>IFERROR(Tablo517[[#This Row],[YOLLUK HARİÇ BASKI GRAMI]]/Tablo517[[#This Row],[KALIP GÖZ ADEDİ]]," ")</f>
        <v>1.3374999999999999</v>
      </c>
      <c r="T211" s="100">
        <f t="shared" si="24"/>
        <v>2.3000000000000007</v>
      </c>
      <c r="U211" s="100">
        <v>6.3</v>
      </c>
      <c r="V211" s="100">
        <f t="shared" si="23"/>
        <v>24.2118</v>
      </c>
      <c r="W211" s="101">
        <f t="shared" si="25"/>
        <v>24.416666666666668</v>
      </c>
      <c r="X211" s="102">
        <f t="shared" si="26"/>
        <v>10.000000000000028</v>
      </c>
      <c r="Y211" s="100">
        <f t="shared" si="27"/>
        <v>6.9749999999999996</v>
      </c>
      <c r="Z211" s="100">
        <f t="shared" si="28"/>
        <v>13392</v>
      </c>
    </row>
    <row r="212" spans="1:26">
      <c r="A212" s="100" t="s">
        <v>55</v>
      </c>
      <c r="B212" s="108" t="str">
        <f>IFERROR(VLOOKUP(Tablo517[[#This Row],[ÜRÜN KODU]],YMKODLARI!$A$1:$K$363,2,0)," ")</f>
        <v>BİBERON SEYAHAT TIPASI</v>
      </c>
      <c r="C212" s="99">
        <v>44146</v>
      </c>
      <c r="D212" s="100" t="s">
        <v>37</v>
      </c>
      <c r="E212" s="101">
        <v>0.33333333333333331</v>
      </c>
      <c r="F212" s="101">
        <v>0.75</v>
      </c>
      <c r="G212" s="100">
        <f>IFERROR(VLOOKUP(Tablo517[[#This Row],[ÜRÜN KODU]],YMKODLARI!$A$1:$K$363,3,0)," ")</f>
        <v>8</v>
      </c>
      <c r="H212" s="100">
        <f>IFERROR(VLOOKUP(Tablo517[[#This Row],[ÜRÜN KODU]],YMKODLARI!$A$1:$K$363,4,0)," ")</f>
        <v>15</v>
      </c>
      <c r="I212" s="100">
        <v>1153</v>
      </c>
      <c r="J212" s="100" t="str">
        <f>IFERROR(VLOOKUP(Tablo517[[#This Row],[ÜRÜN KODU]],YMKODLARI!$A$1:$K$363,9,0)," ")</f>
        <v>BEYAZ</v>
      </c>
      <c r="K212" s="100" t="str">
        <f>IFERROR(VLOOKUP(Tablo517[[#This Row],[BOYA KODU]],Tablo14[#All],4,0)," ")</f>
        <v xml:space="preserve"> </v>
      </c>
      <c r="L212" s="100" t="str">
        <f>IFERROR(VLOOKUP(Tablo517[[#This Row],[BOYA KODU]],Tablo14[#All],6,0)," ")</f>
        <v xml:space="preserve"> </v>
      </c>
      <c r="M212" s="100" t="str">
        <f t="shared" si="22"/>
        <v xml:space="preserve"> </v>
      </c>
      <c r="N212" s="100" t="str">
        <f>IFERROR(VLOOKUP(Tablo517[[#This Row],[ÜRÜN KODU]],YMKODLARI!$A$1:$K$363,8,0)," ")</f>
        <v>HM 010</v>
      </c>
      <c r="O212" s="100" t="str">
        <f>IFERROR(VLOOKUP(Tablo517[[#This Row],[HAMMADDE KODU]],Tablo1[#All],3,0)," ")</f>
        <v>KIRMA PP</v>
      </c>
      <c r="P212" s="100" t="str">
        <f>IFERROR(VLOOKUP(Tablo517[[#This Row],[HAMMADDE KODU]],Tablo1[#All],4,0)," ")</f>
        <v>KIRMA</v>
      </c>
      <c r="Q212" s="100">
        <f>IFERROR(VLOOKUP(Tablo517[[#This Row],[ÜRÜN KODU]],YMKODLARI!$A$1:$K$363,5,0)," ")</f>
        <v>13</v>
      </c>
      <c r="R212" s="100">
        <f>IFERROR(VLOOKUP(Tablo517[[#This Row],[ÜRÜN KODU]],YMKODLARI!$A$1:$K$363,6,0)," ")</f>
        <v>10.7</v>
      </c>
      <c r="S212" s="100">
        <f>IFERROR(Tablo517[[#This Row],[YOLLUK HARİÇ BASKI GRAMI]]/Tablo517[[#This Row],[KALIP GÖZ ADEDİ]]," ")</f>
        <v>1.3374999999999999</v>
      </c>
      <c r="T212" s="100">
        <f t="shared" si="24"/>
        <v>2.3000000000000007</v>
      </c>
      <c r="U212" s="100">
        <v>3.6</v>
      </c>
      <c r="V212" s="100">
        <f t="shared" si="23"/>
        <v>15.937099999999997</v>
      </c>
      <c r="W212" s="101">
        <f t="shared" si="25"/>
        <v>24.416666666666668</v>
      </c>
      <c r="X212" s="102">
        <f t="shared" si="26"/>
        <v>10.000000000000028</v>
      </c>
      <c r="Y212" s="100">
        <f t="shared" si="27"/>
        <v>4.8041666666666663</v>
      </c>
      <c r="Z212" s="100">
        <f t="shared" si="28"/>
        <v>9224</v>
      </c>
    </row>
    <row r="213" spans="1:26">
      <c r="A213" s="100" t="s">
        <v>55</v>
      </c>
      <c r="B213" s="108" t="str">
        <f>IFERROR(VLOOKUP(Tablo517[[#This Row],[ÜRÜN KODU]],YMKODLARI!$A$1:$K$363,2,0)," ")</f>
        <v>BİBERON SEYAHAT TIPASI</v>
      </c>
      <c r="C213" s="99">
        <v>44147</v>
      </c>
      <c r="D213" s="100" t="s">
        <v>37</v>
      </c>
      <c r="E213" s="101">
        <v>0.33333333333333331</v>
      </c>
      <c r="F213" s="101">
        <v>0.67013888888888884</v>
      </c>
      <c r="G213" s="100">
        <f>IFERROR(VLOOKUP(Tablo517[[#This Row],[ÜRÜN KODU]],YMKODLARI!$A$1:$K$363,3,0)," ")</f>
        <v>8</v>
      </c>
      <c r="H213" s="100">
        <f>IFERROR(VLOOKUP(Tablo517[[#This Row],[ÜRÜN KODU]],YMKODLARI!$A$1:$K$363,4,0)," ")</f>
        <v>15</v>
      </c>
      <c r="I213" s="100">
        <v>764</v>
      </c>
      <c r="J213" s="100" t="str">
        <f>IFERROR(VLOOKUP(Tablo517[[#This Row],[ÜRÜN KODU]],YMKODLARI!$A$1:$K$363,9,0)," ")</f>
        <v>BEYAZ</v>
      </c>
      <c r="K213" s="100" t="str">
        <f>IFERROR(VLOOKUP(Tablo517[[#This Row],[BOYA KODU]],Tablo14[#All],4,0)," ")</f>
        <v xml:space="preserve"> </v>
      </c>
      <c r="L213" s="100" t="str">
        <f>IFERROR(VLOOKUP(Tablo517[[#This Row],[BOYA KODU]],Tablo14[#All],6,0)," ")</f>
        <v xml:space="preserve"> </v>
      </c>
      <c r="M213" s="100" t="str">
        <f t="shared" si="22"/>
        <v xml:space="preserve"> </v>
      </c>
      <c r="N213" s="100" t="str">
        <f>IFERROR(VLOOKUP(Tablo517[[#This Row],[ÜRÜN KODU]],YMKODLARI!$A$1:$K$363,8,0)," ")</f>
        <v>HM 010</v>
      </c>
      <c r="O213" s="100" t="str">
        <f>IFERROR(VLOOKUP(Tablo517[[#This Row],[HAMMADDE KODU]],Tablo1[#All],3,0)," ")</f>
        <v>KIRMA PP</v>
      </c>
      <c r="P213" s="100" t="str">
        <f>IFERROR(VLOOKUP(Tablo517[[#This Row],[HAMMADDE KODU]],Tablo1[#All],4,0)," ")</f>
        <v>KIRMA</v>
      </c>
      <c r="Q213" s="100">
        <f>IFERROR(VLOOKUP(Tablo517[[#This Row],[ÜRÜN KODU]],YMKODLARI!$A$1:$K$363,5,0)," ")</f>
        <v>13</v>
      </c>
      <c r="R213" s="100">
        <f>IFERROR(VLOOKUP(Tablo517[[#This Row],[ÜRÜN KODU]],YMKODLARI!$A$1:$K$363,6,0)," ")</f>
        <v>10.7</v>
      </c>
      <c r="S213" s="100">
        <f>IFERROR(Tablo517[[#This Row],[YOLLUK HARİÇ BASKI GRAMI]]/Tablo517[[#This Row],[KALIP GÖZ ADEDİ]]," ")</f>
        <v>1.3374999999999999</v>
      </c>
      <c r="T213" s="100">
        <f t="shared" si="24"/>
        <v>2.3000000000000007</v>
      </c>
      <c r="U213" s="100">
        <v>1.6</v>
      </c>
      <c r="V213" s="100">
        <f t="shared" si="23"/>
        <v>9.774799999999999</v>
      </c>
      <c r="W213" s="101">
        <f t="shared" si="25"/>
        <v>24.336805555555557</v>
      </c>
      <c r="X213" s="102">
        <f t="shared" si="26"/>
        <v>8.0833333333333712</v>
      </c>
      <c r="Y213" s="100">
        <f t="shared" si="27"/>
        <v>3.1833333333333331</v>
      </c>
      <c r="Z213" s="100">
        <f t="shared" si="28"/>
        <v>6112</v>
      </c>
    </row>
    <row r="214" spans="1:26">
      <c r="A214" s="100" t="s">
        <v>87</v>
      </c>
      <c r="B214" s="108" t="str">
        <f>IFERROR(VLOOKUP(Tablo517[[#This Row],[ÜRÜN KODU]],YMKODLARI!$A$1:$K$363,2,0)," ")</f>
        <v>EMZİK ASKISI MANDAL</v>
      </c>
      <c r="C214" s="99">
        <v>44151</v>
      </c>
      <c r="D214" s="100" t="s">
        <v>33</v>
      </c>
      <c r="E214" s="101">
        <v>0.56944444444444442</v>
      </c>
      <c r="F214" s="101">
        <v>0.75</v>
      </c>
      <c r="G214" s="100">
        <f>IFERROR(VLOOKUP(Tablo517[[#This Row],[ÜRÜN KODU]],YMKODLARI!$A$1:$K$363,3,0)," ")</f>
        <v>8</v>
      </c>
      <c r="H214" s="100">
        <f>IFERROR(VLOOKUP(Tablo517[[#This Row],[ÜRÜN KODU]],YMKODLARI!$A$1:$K$363,4,0)," ")</f>
        <v>10</v>
      </c>
      <c r="I214" s="100">
        <v>1456</v>
      </c>
      <c r="J214" s="100">
        <f>IFERROR(VLOOKUP(Tablo517[[#This Row],[ÜRÜN KODU]],YMKODLARI!$A$1:$K$363,9,0)," ")</f>
        <v>1290</v>
      </c>
      <c r="K214" s="100" t="str">
        <f>IFERROR(VLOOKUP(Tablo517[[#This Row],[BOYA KODU]],Tablo14[#All],4,0)," ")</f>
        <v>SARI</v>
      </c>
      <c r="L214" s="100">
        <f>IFERROR(VLOOKUP(Tablo517[[#This Row],[BOYA KODU]],Tablo14[#All],6,0)," ")</f>
        <v>5.0000000000000001E-3</v>
      </c>
      <c r="M214" s="100">
        <f t="shared" si="22"/>
        <v>61.152000000000001</v>
      </c>
      <c r="N214" s="100" t="str">
        <f>IFERROR(VLOOKUP(Tablo517[[#This Row],[ÜRÜN KODU]],YMKODLARI!$A$1:$K$363,8,0)," ")</f>
        <v>HM 001</v>
      </c>
      <c r="O214" s="100" t="str">
        <f>IFERROR(VLOOKUP(Tablo517[[#This Row],[HAMMADDE KODU]],Tablo1[#All],3,0)," ")</f>
        <v>CAPILENE</v>
      </c>
      <c r="P214" s="100" t="str">
        <f>IFERROR(VLOOKUP(Tablo517[[#This Row],[HAMMADDE KODU]],Tablo1[#All],4,0)," ")</f>
        <v>PİNHAS</v>
      </c>
      <c r="Q214" s="100">
        <f>IFERROR(VLOOKUP(Tablo517[[#This Row],[ÜRÜN KODU]],YMKODLARI!$A$1:$K$363,5,0)," ")</f>
        <v>8.4</v>
      </c>
      <c r="R214" s="100">
        <f>IFERROR(VLOOKUP(Tablo517[[#This Row],[ÜRÜN KODU]],YMKODLARI!$A$1:$K$363,6,0)," ")</f>
        <v>5.8</v>
      </c>
      <c r="S214" s="100">
        <f>IFERROR(Tablo517[[#This Row],[YOLLUK HARİÇ BASKI GRAMI]]/Tablo517[[#This Row],[KALIP GÖZ ADEDİ]]," ")</f>
        <v>0.72499999999999998</v>
      </c>
      <c r="T214" s="100">
        <f t="shared" si="24"/>
        <v>2.6000000000000005</v>
      </c>
      <c r="U214" s="100"/>
      <c r="V214" s="100">
        <f t="shared" si="23"/>
        <v>8.444799999999999</v>
      </c>
      <c r="W214" s="101">
        <f t="shared" si="25"/>
        <v>24.180555555555557</v>
      </c>
      <c r="X214" s="102">
        <f t="shared" si="26"/>
        <v>4.3333333333333712</v>
      </c>
      <c r="Y214" s="100">
        <f t="shared" si="27"/>
        <v>4.0444444444444443</v>
      </c>
      <c r="Z214" s="100">
        <f t="shared" si="28"/>
        <v>11648</v>
      </c>
    </row>
    <row r="215" spans="1:26">
      <c r="A215" s="100" t="s">
        <v>87</v>
      </c>
      <c r="B215" s="108" t="str">
        <f>IFERROR(VLOOKUP(Tablo517[[#This Row],[ÜRÜN KODU]],YMKODLARI!$A$1:$K$363,2,0)," ")</f>
        <v>EMZİK ASKISI MANDAL</v>
      </c>
      <c r="C215" s="99">
        <v>44152</v>
      </c>
      <c r="D215" s="100" t="s">
        <v>27</v>
      </c>
      <c r="E215" s="101">
        <v>0.33333333333333331</v>
      </c>
      <c r="F215" s="101">
        <v>0.5625</v>
      </c>
      <c r="G215" s="100">
        <f>IFERROR(VLOOKUP(Tablo517[[#This Row],[ÜRÜN KODU]],YMKODLARI!$A$1:$K$363,3,0)," ")</f>
        <v>8</v>
      </c>
      <c r="H215" s="100">
        <f>IFERROR(VLOOKUP(Tablo517[[#This Row],[ÜRÜN KODU]],YMKODLARI!$A$1:$K$363,4,0)," ")</f>
        <v>10</v>
      </c>
      <c r="I215" s="100">
        <v>1484</v>
      </c>
      <c r="J215" s="100">
        <f>IFERROR(VLOOKUP(Tablo517[[#This Row],[ÜRÜN KODU]],YMKODLARI!$A$1:$K$363,9,0)," ")</f>
        <v>1290</v>
      </c>
      <c r="K215" s="100" t="str">
        <f>IFERROR(VLOOKUP(Tablo517[[#This Row],[BOYA KODU]],Tablo14[#All],4,0)," ")</f>
        <v>SARI</v>
      </c>
      <c r="L215" s="100">
        <f>IFERROR(VLOOKUP(Tablo517[[#This Row],[BOYA KODU]],Tablo14[#All],6,0)," ")</f>
        <v>5.0000000000000001E-3</v>
      </c>
      <c r="M215" s="100">
        <f t="shared" si="22"/>
        <v>62.328000000000003</v>
      </c>
      <c r="N215" s="100" t="str">
        <f>IFERROR(VLOOKUP(Tablo517[[#This Row],[ÜRÜN KODU]],YMKODLARI!$A$1:$K$363,8,0)," ")</f>
        <v>HM 001</v>
      </c>
      <c r="O215" s="100" t="str">
        <f>IFERROR(VLOOKUP(Tablo517[[#This Row],[HAMMADDE KODU]],Tablo1[#All],3,0)," ")</f>
        <v>CAPILENE</v>
      </c>
      <c r="P215" s="100" t="str">
        <f>IFERROR(VLOOKUP(Tablo517[[#This Row],[HAMMADDE KODU]],Tablo1[#All],4,0)," ")</f>
        <v>PİNHAS</v>
      </c>
      <c r="Q215" s="100">
        <f>IFERROR(VLOOKUP(Tablo517[[#This Row],[ÜRÜN KODU]],YMKODLARI!$A$1:$K$363,5,0)," ")</f>
        <v>8.4</v>
      </c>
      <c r="R215" s="100">
        <f>IFERROR(VLOOKUP(Tablo517[[#This Row],[ÜRÜN KODU]],YMKODLARI!$A$1:$K$363,6,0)," ")</f>
        <v>5.8</v>
      </c>
      <c r="S215" s="100">
        <f>IFERROR(Tablo517[[#This Row],[YOLLUK HARİÇ BASKI GRAMI]]/Tablo517[[#This Row],[KALIP GÖZ ADEDİ]]," ")</f>
        <v>0.72499999999999998</v>
      </c>
      <c r="T215" s="100">
        <f t="shared" si="24"/>
        <v>2.6000000000000005</v>
      </c>
      <c r="U215" s="100"/>
      <c r="V215" s="100">
        <f t="shared" si="23"/>
        <v>8.6071999999999989</v>
      </c>
      <c r="W215" s="101">
        <f t="shared" si="25"/>
        <v>24.229166666666668</v>
      </c>
      <c r="X215" s="102">
        <f t="shared" si="26"/>
        <v>5.5000000000000284</v>
      </c>
      <c r="Y215" s="100">
        <f t="shared" si="27"/>
        <v>4.1222222222222218</v>
      </c>
      <c r="Z215" s="100">
        <f t="shared" si="28"/>
        <v>11872</v>
      </c>
    </row>
    <row r="216" spans="1:26">
      <c r="A216" s="100"/>
      <c r="B216" s="108" t="str">
        <f>IFERROR(VLOOKUP(Tablo517[[#This Row],[ÜRÜN KODU]],YMKODLARI!$A$1:$K$363,2,0)," ")</f>
        <v xml:space="preserve"> </v>
      </c>
      <c r="C216" s="99"/>
      <c r="D216" s="100"/>
      <c r="E216" s="101"/>
      <c r="F216" s="101"/>
      <c r="G216" s="100" t="str">
        <f>IFERROR(VLOOKUP(Tablo517[[#This Row],[ÜRÜN KODU]],YMKODLARI!$A$1:$K$363,3,0)," ")</f>
        <v xml:space="preserve"> </v>
      </c>
      <c r="H216" s="100" t="str">
        <f>IFERROR(VLOOKUP(Tablo517[[#This Row],[ÜRÜN KODU]],YMKODLARI!$A$1:$K$363,4,0)," ")</f>
        <v xml:space="preserve"> </v>
      </c>
      <c r="I216" s="100"/>
      <c r="J216" s="100" t="str">
        <f>IFERROR(VLOOKUP(Tablo517[[#This Row],[ÜRÜN KODU]],YMKODLARI!$A$1:$K$363,9,0)," ")</f>
        <v xml:space="preserve"> </v>
      </c>
      <c r="K216" s="100" t="str">
        <f>IFERROR(VLOOKUP(Tablo517[[#This Row],[BOYA KODU]],Tablo14[#All],4,0)," ")</f>
        <v xml:space="preserve"> </v>
      </c>
      <c r="L216" s="100" t="str">
        <f>IFERROR(VLOOKUP(Tablo517[[#This Row],[BOYA KODU]],Tablo14[#All],6,0)," ")</f>
        <v xml:space="preserve"> </v>
      </c>
      <c r="M216" s="100" t="str">
        <f t="shared" si="22"/>
        <v xml:space="preserve"> </v>
      </c>
      <c r="N216" s="100" t="str">
        <f>IFERROR(VLOOKUP(Tablo517[[#This Row],[ÜRÜN KODU]],YMKODLARI!$A$1:$K$363,8,0)," ")</f>
        <v xml:space="preserve"> </v>
      </c>
      <c r="O216" s="100" t="str">
        <f>IFERROR(VLOOKUP(Tablo517[[#This Row],[HAMMADDE KODU]],Tablo1[#All],3,0)," ")</f>
        <v xml:space="preserve"> </v>
      </c>
      <c r="P216" s="100" t="str">
        <f>IFERROR(VLOOKUP(Tablo517[[#This Row],[HAMMADDE KODU]],Tablo1[#All],4,0)," ")</f>
        <v xml:space="preserve"> </v>
      </c>
      <c r="Q216" s="100" t="str">
        <f>IFERROR(VLOOKUP(Tablo517[[#This Row],[ÜRÜN KODU]],YMKODLARI!$A$1:$K$363,5,0)," ")</f>
        <v xml:space="preserve"> </v>
      </c>
      <c r="R216" s="100" t="str">
        <f>IFERROR(VLOOKUP(Tablo517[[#This Row],[ÜRÜN KODU]],YMKODLARI!$A$1:$K$363,6,0)," ")</f>
        <v xml:space="preserve"> </v>
      </c>
      <c r="S216" s="100" t="str">
        <f>IFERROR(Tablo517[[#This Row],[YOLLUK HARİÇ BASKI GRAMI]]/Tablo517[[#This Row],[KALIP GÖZ ADEDİ]]," ")</f>
        <v xml:space="preserve"> </v>
      </c>
      <c r="T216" s="100" t="str">
        <f t="shared" si="24"/>
        <v xml:space="preserve"> </v>
      </c>
      <c r="U216" s="100"/>
      <c r="V216" s="100" t="str">
        <f t="shared" si="23"/>
        <v xml:space="preserve"> </v>
      </c>
      <c r="W216" s="101">
        <f t="shared" si="25"/>
        <v>24</v>
      </c>
      <c r="X216" s="102">
        <f t="shared" si="26"/>
        <v>0</v>
      </c>
      <c r="Y216" s="100" t="str">
        <f t="shared" si="27"/>
        <v xml:space="preserve"> </v>
      </c>
      <c r="Z216" s="100" t="str">
        <f t="shared" si="28"/>
        <v xml:space="preserve"> </v>
      </c>
    </row>
    <row r="217" spans="1:26">
      <c r="A217" s="100"/>
      <c r="B217" s="108" t="str">
        <f>IFERROR(VLOOKUP(Tablo517[[#This Row],[ÜRÜN KODU]],YMKODLARI!$A$1:$K$363,2,0)," ")</f>
        <v xml:space="preserve"> </v>
      </c>
      <c r="C217" s="99"/>
      <c r="D217" s="100"/>
      <c r="E217" s="101"/>
      <c r="F217" s="101"/>
      <c r="G217" s="100" t="str">
        <f>IFERROR(VLOOKUP(Tablo517[[#This Row],[ÜRÜN KODU]],YMKODLARI!$A$1:$K$363,3,0)," ")</f>
        <v xml:space="preserve"> </v>
      </c>
      <c r="H217" s="100" t="str">
        <f>IFERROR(VLOOKUP(Tablo517[[#This Row],[ÜRÜN KODU]],YMKODLARI!$A$1:$K$363,4,0)," ")</f>
        <v xml:space="preserve"> </v>
      </c>
      <c r="I217" s="100"/>
      <c r="J217" s="100" t="str">
        <f>IFERROR(VLOOKUP(Tablo517[[#This Row],[ÜRÜN KODU]],YMKODLARI!$A$1:$K$363,9,0)," ")</f>
        <v xml:space="preserve"> </v>
      </c>
      <c r="K217" s="100" t="str">
        <f>IFERROR(VLOOKUP(Tablo517[[#This Row],[BOYA KODU]],Tablo14[#All],4,0)," ")</f>
        <v xml:space="preserve"> </v>
      </c>
      <c r="L217" s="100" t="str">
        <f>IFERROR(VLOOKUP(Tablo517[[#This Row],[BOYA KODU]],Tablo14[#All],6,0)," ")</f>
        <v xml:space="preserve"> </v>
      </c>
      <c r="M217" s="100" t="str">
        <f t="shared" si="22"/>
        <v xml:space="preserve"> </v>
      </c>
      <c r="N217" s="100" t="str">
        <f>IFERROR(VLOOKUP(Tablo517[[#This Row],[ÜRÜN KODU]],YMKODLARI!$A$1:$K$363,8,0)," ")</f>
        <v xml:space="preserve"> </v>
      </c>
      <c r="O217" s="100" t="str">
        <f>IFERROR(VLOOKUP(Tablo517[[#This Row],[HAMMADDE KODU]],Tablo1[#All],3,0)," ")</f>
        <v xml:space="preserve"> </v>
      </c>
      <c r="P217" s="100" t="str">
        <f>IFERROR(VLOOKUP(Tablo517[[#This Row],[HAMMADDE KODU]],Tablo1[#All],4,0)," ")</f>
        <v xml:space="preserve"> </v>
      </c>
      <c r="Q217" s="100" t="str">
        <f>IFERROR(VLOOKUP(Tablo517[[#This Row],[ÜRÜN KODU]],YMKODLARI!$A$1:$K$363,5,0)," ")</f>
        <v xml:space="preserve"> </v>
      </c>
      <c r="R217" s="100" t="str">
        <f>IFERROR(VLOOKUP(Tablo517[[#This Row],[ÜRÜN KODU]],YMKODLARI!$A$1:$K$363,6,0)," ")</f>
        <v xml:space="preserve"> </v>
      </c>
      <c r="S217" s="100" t="str">
        <f>IFERROR(Tablo517[[#This Row],[YOLLUK HARİÇ BASKI GRAMI]]/Tablo517[[#This Row],[KALIP GÖZ ADEDİ]]," ")</f>
        <v xml:space="preserve"> </v>
      </c>
      <c r="T217" s="100" t="str">
        <f t="shared" si="24"/>
        <v xml:space="preserve"> </v>
      </c>
      <c r="U217" s="100"/>
      <c r="V217" s="100" t="str">
        <f t="shared" si="23"/>
        <v xml:space="preserve"> </v>
      </c>
      <c r="W217" s="101">
        <f t="shared" si="25"/>
        <v>24</v>
      </c>
      <c r="X217" s="102">
        <f t="shared" si="26"/>
        <v>0</v>
      </c>
      <c r="Y217" s="100" t="str">
        <f t="shared" si="27"/>
        <v xml:space="preserve"> </v>
      </c>
      <c r="Z217" s="100" t="str">
        <f t="shared" si="28"/>
        <v xml:space="preserve"> </v>
      </c>
    </row>
    <row r="218" spans="1:26">
      <c r="A218" s="100"/>
      <c r="B218" s="108" t="str">
        <f>IFERROR(VLOOKUP(Tablo517[[#This Row],[ÜRÜN KODU]],YMKODLARI!$A$1:$K$363,2,0)," ")</f>
        <v xml:space="preserve"> </v>
      </c>
      <c r="C218" s="99"/>
      <c r="D218" s="100"/>
      <c r="E218" s="101"/>
      <c r="F218" s="101"/>
      <c r="G218" s="100" t="str">
        <f>IFERROR(VLOOKUP(Tablo517[[#This Row],[ÜRÜN KODU]],YMKODLARI!$A$1:$K$363,3,0)," ")</f>
        <v xml:space="preserve"> </v>
      </c>
      <c r="H218" s="100" t="str">
        <f>IFERROR(VLOOKUP(Tablo517[[#This Row],[ÜRÜN KODU]],YMKODLARI!$A$1:$K$363,4,0)," ")</f>
        <v xml:space="preserve"> </v>
      </c>
      <c r="I218" s="100"/>
      <c r="J218" s="100" t="str">
        <f>IFERROR(VLOOKUP(Tablo517[[#This Row],[ÜRÜN KODU]],YMKODLARI!$A$1:$K$363,9,0)," ")</f>
        <v xml:space="preserve"> </v>
      </c>
      <c r="K218" s="100" t="str">
        <f>IFERROR(VLOOKUP(Tablo517[[#This Row],[BOYA KODU]],Tablo14[#All],4,0)," ")</f>
        <v xml:space="preserve"> </v>
      </c>
      <c r="L218" s="100" t="str">
        <f>IFERROR(VLOOKUP(Tablo517[[#This Row],[BOYA KODU]],Tablo14[#All],6,0)," ")</f>
        <v xml:space="preserve"> </v>
      </c>
      <c r="M218" s="100" t="str">
        <f t="shared" si="22"/>
        <v xml:space="preserve"> </v>
      </c>
      <c r="N218" s="100" t="str">
        <f>IFERROR(VLOOKUP(Tablo517[[#This Row],[ÜRÜN KODU]],YMKODLARI!$A$1:$K$363,8,0)," ")</f>
        <v xml:space="preserve"> </v>
      </c>
      <c r="O218" s="100" t="str">
        <f>IFERROR(VLOOKUP(Tablo517[[#This Row],[HAMMADDE KODU]],Tablo1[#All],3,0)," ")</f>
        <v xml:space="preserve"> </v>
      </c>
      <c r="P218" s="100" t="str">
        <f>IFERROR(VLOOKUP(Tablo517[[#This Row],[HAMMADDE KODU]],Tablo1[#All],4,0)," ")</f>
        <v xml:space="preserve"> </v>
      </c>
      <c r="Q218" s="100" t="str">
        <f>IFERROR(VLOOKUP(Tablo517[[#This Row],[ÜRÜN KODU]],YMKODLARI!$A$1:$K$363,5,0)," ")</f>
        <v xml:space="preserve"> </v>
      </c>
      <c r="R218" s="100" t="str">
        <f>IFERROR(VLOOKUP(Tablo517[[#This Row],[ÜRÜN KODU]],YMKODLARI!$A$1:$K$363,6,0)," ")</f>
        <v xml:space="preserve"> </v>
      </c>
      <c r="S218" s="100" t="str">
        <f>IFERROR(Tablo517[[#This Row],[YOLLUK HARİÇ BASKI GRAMI]]/Tablo517[[#This Row],[KALIP GÖZ ADEDİ]]," ")</f>
        <v xml:space="preserve"> </v>
      </c>
      <c r="T218" s="100" t="str">
        <f t="shared" si="24"/>
        <v xml:space="preserve"> </v>
      </c>
      <c r="U218" s="100"/>
      <c r="V218" s="100" t="str">
        <f t="shared" si="23"/>
        <v xml:space="preserve"> </v>
      </c>
      <c r="W218" s="101">
        <f t="shared" si="25"/>
        <v>24</v>
      </c>
      <c r="X218" s="102">
        <f t="shared" si="26"/>
        <v>0</v>
      </c>
      <c r="Y218" s="100" t="str">
        <f t="shared" si="27"/>
        <v xml:space="preserve"> </v>
      </c>
      <c r="Z218" s="100" t="str">
        <f t="shared" si="28"/>
        <v xml:space="preserve"> </v>
      </c>
    </row>
    <row r="219" spans="1:26">
      <c r="A219" s="100"/>
      <c r="B219" s="108" t="str">
        <f>IFERROR(VLOOKUP(Tablo517[[#This Row],[ÜRÜN KODU]],YMKODLARI!$A$1:$K$363,2,0)," ")</f>
        <v xml:space="preserve"> </v>
      </c>
      <c r="C219" s="99"/>
      <c r="D219" s="100"/>
      <c r="E219" s="101"/>
      <c r="F219" s="101"/>
      <c r="G219" s="100" t="str">
        <f>IFERROR(VLOOKUP(Tablo517[[#This Row],[ÜRÜN KODU]],YMKODLARI!$A$1:$K$363,3,0)," ")</f>
        <v xml:space="preserve"> </v>
      </c>
      <c r="H219" s="100" t="str">
        <f>IFERROR(VLOOKUP(Tablo517[[#This Row],[ÜRÜN KODU]],YMKODLARI!$A$1:$K$363,4,0)," ")</f>
        <v xml:space="preserve"> </v>
      </c>
      <c r="I219" s="100"/>
      <c r="J219" s="100" t="str">
        <f>IFERROR(VLOOKUP(Tablo517[[#This Row],[ÜRÜN KODU]],YMKODLARI!$A$1:$K$363,9,0)," ")</f>
        <v xml:space="preserve"> </v>
      </c>
      <c r="K219" s="100" t="str">
        <f>IFERROR(VLOOKUP(Tablo517[[#This Row],[BOYA KODU]],Tablo14[#All],4,0)," ")</f>
        <v xml:space="preserve"> </v>
      </c>
      <c r="L219" s="100" t="str">
        <f>IFERROR(VLOOKUP(Tablo517[[#This Row],[BOYA KODU]],Tablo14[#All],6,0)," ")</f>
        <v xml:space="preserve"> </v>
      </c>
      <c r="M219" s="100" t="str">
        <f t="shared" si="22"/>
        <v xml:space="preserve"> </v>
      </c>
      <c r="N219" s="100" t="str">
        <f>IFERROR(VLOOKUP(Tablo517[[#This Row],[ÜRÜN KODU]],YMKODLARI!$A$1:$K$363,8,0)," ")</f>
        <v xml:space="preserve"> </v>
      </c>
      <c r="O219" s="100" t="str">
        <f>IFERROR(VLOOKUP(Tablo517[[#This Row],[HAMMADDE KODU]],Tablo1[#All],3,0)," ")</f>
        <v xml:space="preserve"> </v>
      </c>
      <c r="P219" s="100" t="str">
        <f>IFERROR(VLOOKUP(Tablo517[[#This Row],[HAMMADDE KODU]],Tablo1[#All],4,0)," ")</f>
        <v xml:space="preserve"> </v>
      </c>
      <c r="Q219" s="100" t="str">
        <f>IFERROR(VLOOKUP(Tablo517[[#This Row],[ÜRÜN KODU]],YMKODLARI!$A$1:$K$363,5,0)," ")</f>
        <v xml:space="preserve"> </v>
      </c>
      <c r="R219" s="100" t="str">
        <f>IFERROR(VLOOKUP(Tablo517[[#This Row],[ÜRÜN KODU]],YMKODLARI!$A$1:$K$363,6,0)," ")</f>
        <v xml:space="preserve"> </v>
      </c>
      <c r="S219" s="100" t="str">
        <f>IFERROR(Tablo517[[#This Row],[YOLLUK HARİÇ BASKI GRAMI]]/Tablo517[[#This Row],[KALIP GÖZ ADEDİ]]," ")</f>
        <v xml:space="preserve"> </v>
      </c>
      <c r="T219" s="100" t="str">
        <f t="shared" si="24"/>
        <v xml:space="preserve"> </v>
      </c>
      <c r="U219" s="100"/>
      <c r="V219" s="100" t="str">
        <f t="shared" si="23"/>
        <v xml:space="preserve"> </v>
      </c>
      <c r="W219" s="101">
        <f t="shared" si="25"/>
        <v>24</v>
      </c>
      <c r="X219" s="102">
        <f t="shared" si="26"/>
        <v>0</v>
      </c>
      <c r="Y219" s="100" t="str">
        <f t="shared" si="27"/>
        <v xml:space="preserve"> </v>
      </c>
      <c r="Z219" s="100" t="str">
        <f t="shared" si="28"/>
        <v xml:space="preserve"> </v>
      </c>
    </row>
    <row r="220" spans="1:26">
      <c r="A220" s="100"/>
      <c r="B220" s="108" t="str">
        <f>IFERROR(VLOOKUP(Tablo517[[#This Row],[ÜRÜN KODU]],YMKODLARI!$A$1:$K$363,2,0)," ")</f>
        <v xml:space="preserve"> </v>
      </c>
      <c r="C220" s="99"/>
      <c r="D220" s="100"/>
      <c r="E220" s="101"/>
      <c r="F220" s="101"/>
      <c r="G220" s="100" t="str">
        <f>IFERROR(VLOOKUP(Tablo517[[#This Row],[ÜRÜN KODU]],YMKODLARI!$A$1:$K$363,3,0)," ")</f>
        <v xml:space="preserve"> </v>
      </c>
      <c r="H220" s="100" t="str">
        <f>IFERROR(VLOOKUP(Tablo517[[#This Row],[ÜRÜN KODU]],YMKODLARI!$A$1:$K$363,4,0)," ")</f>
        <v xml:space="preserve"> </v>
      </c>
      <c r="I220" s="100"/>
      <c r="J220" s="100" t="str">
        <f>IFERROR(VLOOKUP(Tablo517[[#This Row],[ÜRÜN KODU]],YMKODLARI!$A$1:$K$363,9,0)," ")</f>
        <v xml:space="preserve"> </v>
      </c>
      <c r="K220" s="100" t="str">
        <f>IFERROR(VLOOKUP(Tablo517[[#This Row],[BOYA KODU]],Tablo14[#All],4,0)," ")</f>
        <v xml:space="preserve"> </v>
      </c>
      <c r="L220" s="100" t="str">
        <f>IFERROR(VLOOKUP(Tablo517[[#This Row],[BOYA KODU]],Tablo14[#All],6,0)," ")</f>
        <v xml:space="preserve"> </v>
      </c>
      <c r="M220" s="100" t="str">
        <f t="shared" si="22"/>
        <v xml:space="preserve"> </v>
      </c>
      <c r="N220" s="100" t="str">
        <f>IFERROR(VLOOKUP(Tablo517[[#This Row],[ÜRÜN KODU]],YMKODLARI!$A$1:$K$363,8,0)," ")</f>
        <v xml:space="preserve"> </v>
      </c>
      <c r="O220" s="100" t="str">
        <f>IFERROR(VLOOKUP(Tablo517[[#This Row],[HAMMADDE KODU]],Tablo1[#All],3,0)," ")</f>
        <v xml:space="preserve"> </v>
      </c>
      <c r="P220" s="100" t="str">
        <f>IFERROR(VLOOKUP(Tablo517[[#This Row],[HAMMADDE KODU]],Tablo1[#All],4,0)," ")</f>
        <v xml:space="preserve"> </v>
      </c>
      <c r="Q220" s="100" t="str">
        <f>IFERROR(VLOOKUP(Tablo517[[#This Row],[ÜRÜN KODU]],YMKODLARI!$A$1:$K$363,5,0)," ")</f>
        <v xml:space="preserve"> </v>
      </c>
      <c r="R220" s="100" t="str">
        <f>IFERROR(VLOOKUP(Tablo517[[#This Row],[ÜRÜN KODU]],YMKODLARI!$A$1:$K$363,6,0)," ")</f>
        <v xml:space="preserve"> </v>
      </c>
      <c r="S220" s="100" t="str">
        <f>IFERROR(Tablo517[[#This Row],[YOLLUK HARİÇ BASKI GRAMI]]/Tablo517[[#This Row],[KALIP GÖZ ADEDİ]]," ")</f>
        <v xml:space="preserve"> </v>
      </c>
      <c r="T220" s="100" t="str">
        <f t="shared" si="24"/>
        <v xml:space="preserve"> </v>
      </c>
      <c r="U220" s="100"/>
      <c r="V220" s="100" t="str">
        <f t="shared" si="23"/>
        <v xml:space="preserve"> </v>
      </c>
      <c r="W220" s="101">
        <f t="shared" si="25"/>
        <v>24</v>
      </c>
      <c r="X220" s="102">
        <f t="shared" si="26"/>
        <v>0</v>
      </c>
      <c r="Y220" s="100" t="str">
        <f t="shared" si="27"/>
        <v xml:space="preserve"> </v>
      </c>
      <c r="Z220" s="100" t="str">
        <f t="shared" si="28"/>
        <v xml:space="preserve"> </v>
      </c>
    </row>
    <row r="221" spans="1:26">
      <c r="A221" s="100"/>
      <c r="B221" s="108" t="str">
        <f>IFERROR(VLOOKUP(Tablo517[[#This Row],[ÜRÜN KODU]],YMKODLARI!$A$1:$K$363,2,0)," ")</f>
        <v xml:space="preserve"> </v>
      </c>
      <c r="C221" s="99"/>
      <c r="D221" s="100"/>
      <c r="E221" s="101"/>
      <c r="F221" s="101"/>
      <c r="G221" s="100" t="str">
        <f>IFERROR(VLOOKUP(Tablo517[[#This Row],[ÜRÜN KODU]],YMKODLARI!$A$1:$K$363,3,0)," ")</f>
        <v xml:space="preserve"> </v>
      </c>
      <c r="H221" s="100" t="str">
        <f>IFERROR(VLOOKUP(Tablo517[[#This Row],[ÜRÜN KODU]],YMKODLARI!$A$1:$K$363,4,0)," ")</f>
        <v xml:space="preserve"> </v>
      </c>
      <c r="I221" s="100"/>
      <c r="J221" s="100" t="str">
        <f>IFERROR(VLOOKUP(Tablo517[[#This Row],[ÜRÜN KODU]],YMKODLARI!$A$1:$K$363,9,0)," ")</f>
        <v xml:space="preserve"> </v>
      </c>
      <c r="K221" s="100" t="str">
        <f>IFERROR(VLOOKUP(Tablo517[[#This Row],[BOYA KODU]],Tablo14[#All],4,0)," ")</f>
        <v xml:space="preserve"> </v>
      </c>
      <c r="L221" s="100" t="str">
        <f>IFERROR(VLOOKUP(Tablo517[[#This Row],[BOYA KODU]],Tablo14[#All],6,0)," ")</f>
        <v xml:space="preserve"> </v>
      </c>
      <c r="M221" s="100" t="str">
        <f t="shared" si="22"/>
        <v xml:space="preserve"> </v>
      </c>
      <c r="N221" s="100" t="str">
        <f>IFERROR(VLOOKUP(Tablo517[[#This Row],[ÜRÜN KODU]],YMKODLARI!$A$1:$K$363,8,0)," ")</f>
        <v xml:space="preserve"> </v>
      </c>
      <c r="O221" s="100" t="str">
        <f>IFERROR(VLOOKUP(Tablo517[[#This Row],[HAMMADDE KODU]],Tablo1[#All],3,0)," ")</f>
        <v xml:space="preserve"> </v>
      </c>
      <c r="P221" s="100" t="str">
        <f>IFERROR(VLOOKUP(Tablo517[[#This Row],[HAMMADDE KODU]],Tablo1[#All],4,0)," ")</f>
        <v xml:space="preserve"> </v>
      </c>
      <c r="Q221" s="100" t="str">
        <f>IFERROR(VLOOKUP(Tablo517[[#This Row],[ÜRÜN KODU]],YMKODLARI!$A$1:$K$363,5,0)," ")</f>
        <v xml:space="preserve"> </v>
      </c>
      <c r="R221" s="100" t="str">
        <f>IFERROR(VLOOKUP(Tablo517[[#This Row],[ÜRÜN KODU]],YMKODLARI!$A$1:$K$363,6,0)," ")</f>
        <v xml:space="preserve"> </v>
      </c>
      <c r="S221" s="100" t="str">
        <f>IFERROR(Tablo517[[#This Row],[YOLLUK HARİÇ BASKI GRAMI]]/Tablo517[[#This Row],[KALIP GÖZ ADEDİ]]," ")</f>
        <v xml:space="preserve"> </v>
      </c>
      <c r="T221" s="100" t="str">
        <f t="shared" si="24"/>
        <v xml:space="preserve"> </v>
      </c>
      <c r="U221" s="100"/>
      <c r="V221" s="100" t="str">
        <f t="shared" si="23"/>
        <v xml:space="preserve"> </v>
      </c>
      <c r="W221" s="101">
        <f t="shared" si="25"/>
        <v>24</v>
      </c>
      <c r="X221" s="102">
        <f t="shared" si="26"/>
        <v>0</v>
      </c>
      <c r="Y221" s="100" t="str">
        <f t="shared" si="27"/>
        <v xml:space="preserve"> </v>
      </c>
      <c r="Z221" s="100" t="str">
        <f t="shared" si="28"/>
        <v xml:space="preserve"> </v>
      </c>
    </row>
    <row r="222" spans="1:26">
      <c r="A222" s="100"/>
      <c r="B222" s="108" t="str">
        <f>IFERROR(VLOOKUP(Tablo517[[#This Row],[ÜRÜN KODU]],YMKODLARI!$A$1:$K$363,2,0)," ")</f>
        <v xml:space="preserve"> </v>
      </c>
      <c r="C222" s="99"/>
      <c r="D222" s="100"/>
      <c r="E222" s="101"/>
      <c r="F222" s="101"/>
      <c r="G222" s="100" t="str">
        <f>IFERROR(VLOOKUP(Tablo517[[#This Row],[ÜRÜN KODU]],YMKODLARI!$A$1:$K$363,3,0)," ")</f>
        <v xml:space="preserve"> </v>
      </c>
      <c r="H222" s="100" t="str">
        <f>IFERROR(VLOOKUP(Tablo517[[#This Row],[ÜRÜN KODU]],YMKODLARI!$A$1:$K$363,4,0)," ")</f>
        <v xml:space="preserve"> </v>
      </c>
      <c r="I222" s="100"/>
      <c r="J222" s="100" t="str">
        <f>IFERROR(VLOOKUP(Tablo517[[#This Row],[ÜRÜN KODU]],YMKODLARI!$A$1:$K$363,9,0)," ")</f>
        <v xml:space="preserve"> </v>
      </c>
      <c r="K222" s="100" t="str">
        <f>IFERROR(VLOOKUP(Tablo517[[#This Row],[BOYA KODU]],Tablo14[#All],4,0)," ")</f>
        <v xml:space="preserve"> </v>
      </c>
      <c r="L222" s="100" t="str">
        <f>IFERROR(VLOOKUP(Tablo517[[#This Row],[BOYA KODU]],Tablo14[#All],6,0)," ")</f>
        <v xml:space="preserve"> </v>
      </c>
      <c r="M222" s="100" t="str">
        <f t="shared" si="22"/>
        <v xml:space="preserve"> </v>
      </c>
      <c r="N222" s="100" t="str">
        <f>IFERROR(VLOOKUP(Tablo517[[#This Row],[ÜRÜN KODU]],YMKODLARI!$A$1:$K$363,8,0)," ")</f>
        <v xml:space="preserve"> </v>
      </c>
      <c r="O222" s="100" t="str">
        <f>IFERROR(VLOOKUP(Tablo517[[#This Row],[HAMMADDE KODU]],Tablo1[#All],3,0)," ")</f>
        <v xml:space="preserve"> </v>
      </c>
      <c r="P222" s="100" t="str">
        <f>IFERROR(VLOOKUP(Tablo517[[#This Row],[HAMMADDE KODU]],Tablo1[#All],4,0)," ")</f>
        <v xml:space="preserve"> </v>
      </c>
      <c r="Q222" s="100" t="str">
        <f>IFERROR(VLOOKUP(Tablo517[[#This Row],[ÜRÜN KODU]],YMKODLARI!$A$1:$K$363,5,0)," ")</f>
        <v xml:space="preserve"> </v>
      </c>
      <c r="R222" s="100" t="str">
        <f>IFERROR(VLOOKUP(Tablo517[[#This Row],[ÜRÜN KODU]],YMKODLARI!$A$1:$K$363,6,0)," ")</f>
        <v xml:space="preserve"> </v>
      </c>
      <c r="S222" s="100" t="str">
        <f>IFERROR(Tablo517[[#This Row],[YOLLUK HARİÇ BASKI GRAMI]]/Tablo517[[#This Row],[KALIP GÖZ ADEDİ]]," ")</f>
        <v xml:space="preserve"> </v>
      </c>
      <c r="T222" s="100" t="str">
        <f t="shared" si="24"/>
        <v xml:space="preserve"> </v>
      </c>
      <c r="U222" s="100"/>
      <c r="V222" s="100" t="str">
        <f t="shared" si="23"/>
        <v xml:space="preserve"> </v>
      </c>
      <c r="W222" s="101">
        <f t="shared" si="25"/>
        <v>24</v>
      </c>
      <c r="X222" s="102">
        <f t="shared" si="26"/>
        <v>0</v>
      </c>
      <c r="Y222" s="100" t="str">
        <f t="shared" si="27"/>
        <v xml:space="preserve"> </v>
      </c>
      <c r="Z222" s="100" t="str">
        <f t="shared" si="28"/>
        <v xml:space="preserve"> </v>
      </c>
    </row>
    <row r="223" spans="1:26">
      <c r="A223" s="100"/>
      <c r="B223" s="108" t="str">
        <f>IFERROR(VLOOKUP(Tablo517[[#This Row],[ÜRÜN KODU]],YMKODLARI!$A$1:$K$363,2,0)," ")</f>
        <v xml:space="preserve"> </v>
      </c>
      <c r="C223" s="99"/>
      <c r="D223" s="100"/>
      <c r="E223" s="101"/>
      <c r="F223" s="101"/>
      <c r="G223" s="100" t="str">
        <f>IFERROR(VLOOKUP(Tablo517[[#This Row],[ÜRÜN KODU]],YMKODLARI!$A$1:$K$363,3,0)," ")</f>
        <v xml:space="preserve"> </v>
      </c>
      <c r="H223" s="100" t="str">
        <f>IFERROR(VLOOKUP(Tablo517[[#This Row],[ÜRÜN KODU]],YMKODLARI!$A$1:$K$363,4,0)," ")</f>
        <v xml:space="preserve"> </v>
      </c>
      <c r="I223" s="100"/>
      <c r="J223" s="100" t="str">
        <f>IFERROR(VLOOKUP(Tablo517[[#This Row],[ÜRÜN KODU]],YMKODLARI!$A$1:$K$363,9,0)," ")</f>
        <v xml:space="preserve"> </v>
      </c>
      <c r="K223" s="100" t="str">
        <f>IFERROR(VLOOKUP(Tablo517[[#This Row],[BOYA KODU]],Tablo14[#All],4,0)," ")</f>
        <v xml:space="preserve"> </v>
      </c>
      <c r="L223" s="100" t="str">
        <f>IFERROR(VLOOKUP(Tablo517[[#This Row],[BOYA KODU]],Tablo14[#All],6,0)," ")</f>
        <v xml:space="preserve"> </v>
      </c>
      <c r="M223" s="100" t="str">
        <f t="shared" si="22"/>
        <v xml:space="preserve"> </v>
      </c>
      <c r="N223" s="100" t="str">
        <f>IFERROR(VLOOKUP(Tablo517[[#This Row],[ÜRÜN KODU]],YMKODLARI!$A$1:$K$363,8,0)," ")</f>
        <v xml:space="preserve"> </v>
      </c>
      <c r="O223" s="100" t="str">
        <f>IFERROR(VLOOKUP(Tablo517[[#This Row],[HAMMADDE KODU]],Tablo1[#All],3,0)," ")</f>
        <v xml:space="preserve"> </v>
      </c>
      <c r="P223" s="100" t="str">
        <f>IFERROR(VLOOKUP(Tablo517[[#This Row],[HAMMADDE KODU]],Tablo1[#All],4,0)," ")</f>
        <v xml:space="preserve"> </v>
      </c>
      <c r="Q223" s="100" t="str">
        <f>IFERROR(VLOOKUP(Tablo517[[#This Row],[ÜRÜN KODU]],YMKODLARI!$A$1:$K$363,5,0)," ")</f>
        <v xml:space="preserve"> </v>
      </c>
      <c r="R223" s="100" t="str">
        <f>IFERROR(VLOOKUP(Tablo517[[#This Row],[ÜRÜN KODU]],YMKODLARI!$A$1:$K$363,6,0)," ")</f>
        <v xml:space="preserve"> </v>
      </c>
      <c r="S223" s="100" t="str">
        <f>IFERROR(Tablo517[[#This Row],[YOLLUK HARİÇ BASKI GRAMI]]/Tablo517[[#This Row],[KALIP GÖZ ADEDİ]]," ")</f>
        <v xml:space="preserve"> </v>
      </c>
      <c r="T223" s="100" t="str">
        <f t="shared" si="24"/>
        <v xml:space="preserve"> </v>
      </c>
      <c r="U223" s="100"/>
      <c r="V223" s="100" t="str">
        <f t="shared" si="23"/>
        <v xml:space="preserve"> </v>
      </c>
      <c r="W223" s="101">
        <f t="shared" si="25"/>
        <v>24</v>
      </c>
      <c r="X223" s="102">
        <f t="shared" si="26"/>
        <v>0</v>
      </c>
      <c r="Y223" s="100" t="str">
        <f t="shared" si="27"/>
        <v xml:space="preserve"> </v>
      </c>
      <c r="Z223" s="100" t="str">
        <f t="shared" si="28"/>
        <v xml:space="preserve"> </v>
      </c>
    </row>
    <row r="224" spans="1:26">
      <c r="A224" s="100"/>
      <c r="B224" s="108" t="str">
        <f>IFERROR(VLOOKUP(Tablo517[[#This Row],[ÜRÜN KODU]],YMKODLARI!$A$1:$K$363,2,0)," ")</f>
        <v xml:space="preserve"> </v>
      </c>
      <c r="C224" s="99"/>
      <c r="D224" s="100"/>
      <c r="E224" s="101"/>
      <c r="F224" s="101"/>
      <c r="G224" s="100" t="str">
        <f>IFERROR(VLOOKUP(Tablo517[[#This Row],[ÜRÜN KODU]],YMKODLARI!$A$1:$K$363,3,0)," ")</f>
        <v xml:space="preserve"> </v>
      </c>
      <c r="H224" s="100" t="str">
        <f>IFERROR(VLOOKUP(Tablo517[[#This Row],[ÜRÜN KODU]],YMKODLARI!$A$1:$K$363,4,0)," ")</f>
        <v xml:space="preserve"> </v>
      </c>
      <c r="I224" s="100"/>
      <c r="J224" s="100" t="str">
        <f>IFERROR(VLOOKUP(Tablo517[[#This Row],[ÜRÜN KODU]],YMKODLARI!$A$1:$K$363,9,0)," ")</f>
        <v xml:space="preserve"> </v>
      </c>
      <c r="K224" s="100" t="str">
        <f>IFERROR(VLOOKUP(Tablo517[[#This Row],[BOYA KODU]],Tablo14[#All],4,0)," ")</f>
        <v xml:space="preserve"> </v>
      </c>
      <c r="L224" s="100" t="str">
        <f>IFERROR(VLOOKUP(Tablo517[[#This Row],[BOYA KODU]],Tablo14[#All],6,0)," ")</f>
        <v xml:space="preserve"> </v>
      </c>
      <c r="M224" s="100" t="str">
        <f t="shared" si="22"/>
        <v xml:space="preserve"> </v>
      </c>
      <c r="N224" s="100" t="str">
        <f>IFERROR(VLOOKUP(Tablo517[[#This Row],[ÜRÜN KODU]],YMKODLARI!$A$1:$K$363,8,0)," ")</f>
        <v xml:space="preserve"> </v>
      </c>
      <c r="O224" s="100" t="str">
        <f>IFERROR(VLOOKUP(Tablo517[[#This Row],[HAMMADDE KODU]],Tablo1[#All],3,0)," ")</f>
        <v xml:space="preserve"> </v>
      </c>
      <c r="P224" s="100" t="str">
        <f>IFERROR(VLOOKUP(Tablo517[[#This Row],[HAMMADDE KODU]],Tablo1[#All],4,0)," ")</f>
        <v xml:space="preserve"> </v>
      </c>
      <c r="Q224" s="100" t="str">
        <f>IFERROR(VLOOKUP(Tablo517[[#This Row],[ÜRÜN KODU]],YMKODLARI!$A$1:$K$363,5,0)," ")</f>
        <v xml:space="preserve"> </v>
      </c>
      <c r="R224" s="100" t="str">
        <f>IFERROR(VLOOKUP(Tablo517[[#This Row],[ÜRÜN KODU]],YMKODLARI!$A$1:$K$363,6,0)," ")</f>
        <v xml:space="preserve"> </v>
      </c>
      <c r="S224" s="100" t="str">
        <f>IFERROR(Tablo517[[#This Row],[YOLLUK HARİÇ BASKI GRAMI]]/Tablo517[[#This Row],[KALIP GÖZ ADEDİ]]," ")</f>
        <v xml:space="preserve"> </v>
      </c>
      <c r="T224" s="100" t="str">
        <f t="shared" si="24"/>
        <v xml:space="preserve"> </v>
      </c>
      <c r="U224" s="100"/>
      <c r="V224" s="100" t="str">
        <f t="shared" si="23"/>
        <v xml:space="preserve"> </v>
      </c>
      <c r="W224" s="101">
        <f t="shared" si="25"/>
        <v>24</v>
      </c>
      <c r="X224" s="102">
        <f t="shared" si="26"/>
        <v>0</v>
      </c>
      <c r="Y224" s="100" t="str">
        <f t="shared" si="27"/>
        <v xml:space="preserve"> </v>
      </c>
      <c r="Z224" s="100" t="str">
        <f t="shared" si="28"/>
        <v xml:space="preserve"> </v>
      </c>
    </row>
    <row r="225" spans="1:26">
      <c r="A225" s="100"/>
      <c r="B225" s="108" t="str">
        <f>IFERROR(VLOOKUP(Tablo517[[#This Row],[ÜRÜN KODU]],YMKODLARI!$A$1:$K$363,2,0)," ")</f>
        <v xml:space="preserve"> </v>
      </c>
      <c r="C225" s="99"/>
      <c r="D225" s="100"/>
      <c r="E225" s="101"/>
      <c r="F225" s="101"/>
      <c r="G225" s="100" t="str">
        <f>IFERROR(VLOOKUP(Tablo517[[#This Row],[ÜRÜN KODU]],YMKODLARI!$A$1:$K$363,3,0)," ")</f>
        <v xml:space="preserve"> </v>
      </c>
      <c r="H225" s="100" t="str">
        <f>IFERROR(VLOOKUP(Tablo517[[#This Row],[ÜRÜN KODU]],YMKODLARI!$A$1:$K$363,4,0)," ")</f>
        <v xml:space="preserve"> </v>
      </c>
      <c r="I225" s="100"/>
      <c r="J225" s="100" t="str">
        <f>IFERROR(VLOOKUP(Tablo517[[#This Row],[ÜRÜN KODU]],YMKODLARI!$A$1:$K$363,9,0)," ")</f>
        <v xml:space="preserve"> </v>
      </c>
      <c r="K225" s="100" t="str">
        <f>IFERROR(VLOOKUP(Tablo517[[#This Row],[BOYA KODU]],Tablo14[#All],4,0)," ")</f>
        <v xml:space="preserve"> </v>
      </c>
      <c r="L225" s="100" t="str">
        <f>IFERROR(VLOOKUP(Tablo517[[#This Row],[BOYA KODU]],Tablo14[#All],6,0)," ")</f>
        <v xml:space="preserve"> </v>
      </c>
      <c r="M225" s="100" t="str">
        <f t="shared" si="22"/>
        <v xml:space="preserve"> </v>
      </c>
      <c r="N225" s="100" t="str">
        <f>IFERROR(VLOOKUP(Tablo517[[#This Row],[ÜRÜN KODU]],YMKODLARI!$A$1:$K$363,8,0)," ")</f>
        <v xml:space="preserve"> </v>
      </c>
      <c r="O225" s="100" t="str">
        <f>IFERROR(VLOOKUP(Tablo517[[#This Row],[HAMMADDE KODU]],Tablo1[#All],3,0)," ")</f>
        <v xml:space="preserve"> </v>
      </c>
      <c r="P225" s="100" t="str">
        <f>IFERROR(VLOOKUP(Tablo517[[#This Row],[HAMMADDE KODU]],Tablo1[#All],4,0)," ")</f>
        <v xml:space="preserve"> </v>
      </c>
      <c r="Q225" s="100" t="str">
        <f>IFERROR(VLOOKUP(Tablo517[[#This Row],[ÜRÜN KODU]],YMKODLARI!$A$1:$K$363,5,0)," ")</f>
        <v xml:space="preserve"> </v>
      </c>
      <c r="R225" s="100" t="str">
        <f>IFERROR(VLOOKUP(Tablo517[[#This Row],[ÜRÜN KODU]],YMKODLARI!$A$1:$K$363,6,0)," ")</f>
        <v xml:space="preserve"> </v>
      </c>
      <c r="S225" s="100" t="str">
        <f>IFERROR(Tablo517[[#This Row],[YOLLUK HARİÇ BASKI GRAMI]]/Tablo517[[#This Row],[KALIP GÖZ ADEDİ]]," ")</f>
        <v xml:space="preserve"> </v>
      </c>
      <c r="T225" s="100" t="str">
        <f t="shared" si="24"/>
        <v xml:space="preserve"> </v>
      </c>
      <c r="U225" s="100"/>
      <c r="V225" s="100" t="str">
        <f t="shared" si="23"/>
        <v xml:space="preserve"> </v>
      </c>
      <c r="W225" s="101">
        <f t="shared" si="25"/>
        <v>24</v>
      </c>
      <c r="X225" s="102">
        <f t="shared" si="26"/>
        <v>0</v>
      </c>
      <c r="Y225" s="100" t="str">
        <f t="shared" si="27"/>
        <v xml:space="preserve"> </v>
      </c>
      <c r="Z225" s="100" t="str">
        <f t="shared" si="28"/>
        <v xml:space="preserve"> </v>
      </c>
    </row>
    <row r="226" spans="1:26">
      <c r="A226" s="100"/>
      <c r="B226" s="108" t="str">
        <f>IFERROR(VLOOKUP(Tablo517[[#This Row],[ÜRÜN KODU]],YMKODLARI!$A$1:$K$363,2,0)," ")</f>
        <v xml:space="preserve"> </v>
      </c>
      <c r="C226" s="99"/>
      <c r="D226" s="100"/>
      <c r="E226" s="101"/>
      <c r="F226" s="101"/>
      <c r="G226" s="100" t="str">
        <f>IFERROR(VLOOKUP(Tablo517[[#This Row],[ÜRÜN KODU]],YMKODLARI!$A$1:$K$363,3,0)," ")</f>
        <v xml:space="preserve"> </v>
      </c>
      <c r="H226" s="100" t="str">
        <f>IFERROR(VLOOKUP(Tablo517[[#This Row],[ÜRÜN KODU]],YMKODLARI!$A$1:$K$363,4,0)," ")</f>
        <v xml:space="preserve"> </v>
      </c>
      <c r="I226" s="100"/>
      <c r="J226" s="100" t="str">
        <f>IFERROR(VLOOKUP(Tablo517[[#This Row],[ÜRÜN KODU]],YMKODLARI!$A$1:$K$363,9,0)," ")</f>
        <v xml:space="preserve"> </v>
      </c>
      <c r="K226" s="100" t="str">
        <f>IFERROR(VLOOKUP(Tablo517[[#This Row],[BOYA KODU]],Tablo14[#All],4,0)," ")</f>
        <v xml:space="preserve"> </v>
      </c>
      <c r="L226" s="100" t="str">
        <f>IFERROR(VLOOKUP(Tablo517[[#This Row],[BOYA KODU]],Tablo14[#All],6,0)," ")</f>
        <v xml:space="preserve"> </v>
      </c>
      <c r="M226" s="100" t="str">
        <f t="shared" si="22"/>
        <v xml:space="preserve"> </v>
      </c>
      <c r="N226" s="100" t="str">
        <f>IFERROR(VLOOKUP(Tablo517[[#This Row],[ÜRÜN KODU]],YMKODLARI!$A$1:$K$363,8,0)," ")</f>
        <v xml:space="preserve"> </v>
      </c>
      <c r="O226" s="100" t="str">
        <f>IFERROR(VLOOKUP(Tablo517[[#This Row],[HAMMADDE KODU]],Tablo1[#All],3,0)," ")</f>
        <v xml:space="preserve"> </v>
      </c>
      <c r="P226" s="100" t="str">
        <f>IFERROR(VLOOKUP(Tablo517[[#This Row],[HAMMADDE KODU]],Tablo1[#All],4,0)," ")</f>
        <v xml:space="preserve"> </v>
      </c>
      <c r="Q226" s="100" t="str">
        <f>IFERROR(VLOOKUP(Tablo517[[#This Row],[ÜRÜN KODU]],YMKODLARI!$A$1:$K$363,5,0)," ")</f>
        <v xml:space="preserve"> </v>
      </c>
      <c r="R226" s="100" t="str">
        <f>IFERROR(VLOOKUP(Tablo517[[#This Row],[ÜRÜN KODU]],YMKODLARI!$A$1:$K$363,6,0)," ")</f>
        <v xml:space="preserve"> </v>
      </c>
      <c r="S226" s="100" t="str">
        <f>IFERROR(Tablo517[[#This Row],[YOLLUK HARİÇ BASKI GRAMI]]/Tablo517[[#This Row],[KALIP GÖZ ADEDİ]]," ")</f>
        <v xml:space="preserve"> </v>
      </c>
      <c r="T226" s="100" t="str">
        <f t="shared" si="24"/>
        <v xml:space="preserve"> </v>
      </c>
      <c r="U226" s="100"/>
      <c r="V226" s="100" t="str">
        <f t="shared" si="23"/>
        <v xml:space="preserve"> </v>
      </c>
      <c r="W226" s="101">
        <f t="shared" si="25"/>
        <v>24</v>
      </c>
      <c r="X226" s="102">
        <f t="shared" si="26"/>
        <v>0</v>
      </c>
      <c r="Y226" s="100" t="str">
        <f t="shared" si="27"/>
        <v xml:space="preserve"> </v>
      </c>
      <c r="Z226" s="100" t="str">
        <f t="shared" si="28"/>
        <v xml:space="preserve"> </v>
      </c>
    </row>
    <row r="227" spans="1:26">
      <c r="A227" s="100"/>
      <c r="B227" s="108" t="str">
        <f>IFERROR(VLOOKUP(Tablo517[[#This Row],[ÜRÜN KODU]],YMKODLARI!$A$1:$K$363,2,0)," ")</f>
        <v xml:space="preserve"> </v>
      </c>
      <c r="C227" s="99"/>
      <c r="D227" s="100"/>
      <c r="E227" s="101"/>
      <c r="F227" s="101"/>
      <c r="G227" s="100" t="str">
        <f>IFERROR(VLOOKUP(Tablo517[[#This Row],[ÜRÜN KODU]],YMKODLARI!$A$1:$K$363,3,0)," ")</f>
        <v xml:space="preserve"> </v>
      </c>
      <c r="H227" s="100" t="str">
        <f>IFERROR(VLOOKUP(Tablo517[[#This Row],[ÜRÜN KODU]],YMKODLARI!$A$1:$K$363,4,0)," ")</f>
        <v xml:space="preserve"> </v>
      </c>
      <c r="I227" s="100"/>
      <c r="J227" s="100" t="str">
        <f>IFERROR(VLOOKUP(Tablo517[[#This Row],[ÜRÜN KODU]],YMKODLARI!$A$1:$K$363,9,0)," ")</f>
        <v xml:space="preserve"> </v>
      </c>
      <c r="K227" s="100" t="str">
        <f>IFERROR(VLOOKUP(Tablo517[[#This Row],[BOYA KODU]],Tablo14[#All],4,0)," ")</f>
        <v xml:space="preserve"> </v>
      </c>
      <c r="L227" s="100" t="str">
        <f>IFERROR(VLOOKUP(Tablo517[[#This Row],[BOYA KODU]],Tablo14[#All],6,0)," ")</f>
        <v xml:space="preserve"> </v>
      </c>
      <c r="M227" s="100" t="str">
        <f t="shared" si="22"/>
        <v xml:space="preserve"> </v>
      </c>
      <c r="N227" s="100" t="str">
        <f>IFERROR(VLOOKUP(Tablo517[[#This Row],[ÜRÜN KODU]],YMKODLARI!$A$1:$K$363,8,0)," ")</f>
        <v xml:space="preserve"> </v>
      </c>
      <c r="O227" s="100" t="str">
        <f>IFERROR(VLOOKUP(Tablo517[[#This Row],[HAMMADDE KODU]],Tablo1[#All],3,0)," ")</f>
        <v xml:space="preserve"> </v>
      </c>
      <c r="P227" s="100" t="str">
        <f>IFERROR(VLOOKUP(Tablo517[[#This Row],[HAMMADDE KODU]],Tablo1[#All],4,0)," ")</f>
        <v xml:space="preserve"> </v>
      </c>
      <c r="Q227" s="100" t="str">
        <f>IFERROR(VLOOKUP(Tablo517[[#This Row],[ÜRÜN KODU]],YMKODLARI!$A$1:$K$363,5,0)," ")</f>
        <v xml:space="preserve"> </v>
      </c>
      <c r="R227" s="100" t="str">
        <f>IFERROR(VLOOKUP(Tablo517[[#This Row],[ÜRÜN KODU]],YMKODLARI!$A$1:$K$363,6,0)," ")</f>
        <v xml:space="preserve"> </v>
      </c>
      <c r="S227" s="100" t="str">
        <f>IFERROR(Tablo517[[#This Row],[YOLLUK HARİÇ BASKI GRAMI]]/Tablo517[[#This Row],[KALIP GÖZ ADEDİ]]," ")</f>
        <v xml:space="preserve"> </v>
      </c>
      <c r="T227" s="100" t="str">
        <f t="shared" si="24"/>
        <v xml:space="preserve"> </v>
      </c>
      <c r="U227" s="100"/>
      <c r="V227" s="100" t="str">
        <f t="shared" si="23"/>
        <v xml:space="preserve"> </v>
      </c>
      <c r="W227" s="101">
        <f t="shared" si="25"/>
        <v>24</v>
      </c>
      <c r="X227" s="102">
        <f t="shared" si="26"/>
        <v>0</v>
      </c>
      <c r="Y227" s="100" t="str">
        <f t="shared" si="27"/>
        <v xml:space="preserve"> </v>
      </c>
      <c r="Z227" s="100" t="str">
        <f t="shared" si="28"/>
        <v xml:space="preserve"> </v>
      </c>
    </row>
    <row r="228" spans="1:26">
      <c r="A228" s="100"/>
      <c r="B228" s="108" t="str">
        <f>IFERROR(VLOOKUP(Tablo517[[#This Row],[ÜRÜN KODU]],YMKODLARI!$A$1:$K$363,2,0)," ")</f>
        <v xml:space="preserve"> </v>
      </c>
      <c r="C228" s="99"/>
      <c r="D228" s="100"/>
      <c r="E228" s="101"/>
      <c r="F228" s="101"/>
      <c r="G228" s="100" t="str">
        <f>IFERROR(VLOOKUP(Tablo517[[#This Row],[ÜRÜN KODU]],YMKODLARI!$A$1:$K$363,3,0)," ")</f>
        <v xml:space="preserve"> </v>
      </c>
      <c r="H228" s="100" t="str">
        <f>IFERROR(VLOOKUP(Tablo517[[#This Row],[ÜRÜN KODU]],YMKODLARI!$A$1:$K$363,4,0)," ")</f>
        <v xml:space="preserve"> </v>
      </c>
      <c r="I228" s="100"/>
      <c r="J228" s="100" t="str">
        <f>IFERROR(VLOOKUP(Tablo517[[#This Row],[ÜRÜN KODU]],YMKODLARI!$A$1:$K$363,9,0)," ")</f>
        <v xml:space="preserve"> </v>
      </c>
      <c r="K228" s="100" t="str">
        <f>IFERROR(VLOOKUP(Tablo517[[#This Row],[BOYA KODU]],Tablo14[#All],4,0)," ")</f>
        <v xml:space="preserve"> </v>
      </c>
      <c r="L228" s="100" t="str">
        <f>IFERROR(VLOOKUP(Tablo517[[#This Row],[BOYA KODU]],Tablo14[#All],6,0)," ")</f>
        <v xml:space="preserve"> </v>
      </c>
      <c r="M228" s="100" t="str">
        <f t="shared" si="22"/>
        <v xml:space="preserve"> </v>
      </c>
      <c r="N228" s="100" t="str">
        <f>IFERROR(VLOOKUP(Tablo517[[#This Row],[ÜRÜN KODU]],YMKODLARI!$A$1:$K$363,8,0)," ")</f>
        <v xml:space="preserve"> </v>
      </c>
      <c r="O228" s="100" t="str">
        <f>IFERROR(VLOOKUP(Tablo517[[#This Row],[HAMMADDE KODU]],Tablo1[#All],3,0)," ")</f>
        <v xml:space="preserve"> </v>
      </c>
      <c r="P228" s="100" t="str">
        <f>IFERROR(VLOOKUP(Tablo517[[#This Row],[HAMMADDE KODU]],Tablo1[#All],4,0)," ")</f>
        <v xml:space="preserve"> </v>
      </c>
      <c r="Q228" s="100" t="str">
        <f>IFERROR(VLOOKUP(Tablo517[[#This Row],[ÜRÜN KODU]],YMKODLARI!$A$1:$K$363,5,0)," ")</f>
        <v xml:space="preserve"> </v>
      </c>
      <c r="R228" s="100" t="str">
        <f>IFERROR(VLOOKUP(Tablo517[[#This Row],[ÜRÜN KODU]],YMKODLARI!$A$1:$K$363,6,0)," ")</f>
        <v xml:space="preserve"> </v>
      </c>
      <c r="S228" s="100" t="str">
        <f>IFERROR(Tablo517[[#This Row],[YOLLUK HARİÇ BASKI GRAMI]]/Tablo517[[#This Row],[KALIP GÖZ ADEDİ]]," ")</f>
        <v xml:space="preserve"> </v>
      </c>
      <c r="T228" s="100" t="str">
        <f t="shared" si="24"/>
        <v xml:space="preserve"> </v>
      </c>
      <c r="U228" s="100"/>
      <c r="V228" s="100" t="str">
        <f t="shared" si="23"/>
        <v xml:space="preserve"> </v>
      </c>
      <c r="W228" s="101">
        <f t="shared" si="25"/>
        <v>24</v>
      </c>
      <c r="X228" s="102">
        <f t="shared" si="26"/>
        <v>0</v>
      </c>
      <c r="Y228" s="100" t="str">
        <f t="shared" si="27"/>
        <v xml:space="preserve"> </v>
      </c>
      <c r="Z228" s="100" t="str">
        <f t="shared" si="28"/>
        <v xml:space="preserve"> </v>
      </c>
    </row>
    <row r="229" spans="1:26">
      <c r="A229" s="100"/>
      <c r="B229" s="108" t="str">
        <f>IFERROR(VLOOKUP(Tablo517[[#This Row],[ÜRÜN KODU]],YMKODLARI!$A$1:$K$363,2,0)," ")</f>
        <v xml:space="preserve"> </v>
      </c>
      <c r="C229" s="99"/>
      <c r="D229" s="100"/>
      <c r="E229" s="101"/>
      <c r="F229" s="101"/>
      <c r="G229" s="100" t="str">
        <f>IFERROR(VLOOKUP(Tablo517[[#This Row],[ÜRÜN KODU]],YMKODLARI!$A$1:$K$363,3,0)," ")</f>
        <v xml:space="preserve"> </v>
      </c>
      <c r="H229" s="100" t="str">
        <f>IFERROR(VLOOKUP(Tablo517[[#This Row],[ÜRÜN KODU]],YMKODLARI!$A$1:$K$363,4,0)," ")</f>
        <v xml:space="preserve"> </v>
      </c>
      <c r="I229" s="100"/>
      <c r="J229" s="100" t="str">
        <f>IFERROR(VLOOKUP(Tablo517[[#This Row],[ÜRÜN KODU]],YMKODLARI!$A$1:$K$363,9,0)," ")</f>
        <v xml:space="preserve"> </v>
      </c>
      <c r="K229" s="100" t="str">
        <f>IFERROR(VLOOKUP(Tablo517[[#This Row],[BOYA KODU]],Tablo14[#All],4,0)," ")</f>
        <v xml:space="preserve"> </v>
      </c>
      <c r="L229" s="100" t="str">
        <f>IFERROR(VLOOKUP(Tablo517[[#This Row],[BOYA KODU]],Tablo14[#All],6,0)," ")</f>
        <v xml:space="preserve"> </v>
      </c>
      <c r="M229" s="100" t="str">
        <f t="shared" si="22"/>
        <v xml:space="preserve"> </v>
      </c>
      <c r="N229" s="100" t="str">
        <f>IFERROR(VLOOKUP(Tablo517[[#This Row],[ÜRÜN KODU]],YMKODLARI!$A$1:$K$363,8,0)," ")</f>
        <v xml:space="preserve"> </v>
      </c>
      <c r="O229" s="100" t="str">
        <f>IFERROR(VLOOKUP(Tablo517[[#This Row],[HAMMADDE KODU]],Tablo1[#All],3,0)," ")</f>
        <v xml:space="preserve"> </v>
      </c>
      <c r="P229" s="100" t="str">
        <f>IFERROR(VLOOKUP(Tablo517[[#This Row],[HAMMADDE KODU]],Tablo1[#All],4,0)," ")</f>
        <v xml:space="preserve"> </v>
      </c>
      <c r="Q229" s="100" t="str">
        <f>IFERROR(VLOOKUP(Tablo517[[#This Row],[ÜRÜN KODU]],YMKODLARI!$A$1:$K$363,5,0)," ")</f>
        <v xml:space="preserve"> </v>
      </c>
      <c r="R229" s="100" t="str">
        <f>IFERROR(VLOOKUP(Tablo517[[#This Row],[ÜRÜN KODU]],YMKODLARI!$A$1:$K$363,6,0)," ")</f>
        <v xml:space="preserve"> </v>
      </c>
      <c r="S229" s="100" t="str">
        <f>IFERROR(Tablo517[[#This Row],[YOLLUK HARİÇ BASKI GRAMI]]/Tablo517[[#This Row],[KALIP GÖZ ADEDİ]]," ")</f>
        <v xml:space="preserve"> </v>
      </c>
      <c r="T229" s="100" t="str">
        <f t="shared" si="24"/>
        <v xml:space="preserve"> </v>
      </c>
      <c r="U229" s="100"/>
      <c r="V229" s="100" t="str">
        <f t="shared" si="23"/>
        <v xml:space="preserve"> </v>
      </c>
      <c r="W229" s="101">
        <f t="shared" si="25"/>
        <v>24</v>
      </c>
      <c r="X229" s="102">
        <f t="shared" si="26"/>
        <v>0</v>
      </c>
      <c r="Y229" s="100" t="str">
        <f t="shared" si="27"/>
        <v xml:space="preserve"> </v>
      </c>
      <c r="Z229" s="100" t="str">
        <f t="shared" si="28"/>
        <v xml:space="preserve"> </v>
      </c>
    </row>
    <row r="230" spans="1:26">
      <c r="A230" s="100"/>
      <c r="B230" s="108" t="str">
        <f>IFERROR(VLOOKUP(Tablo517[[#This Row],[ÜRÜN KODU]],YMKODLARI!$A$1:$K$363,2,0)," ")</f>
        <v xml:space="preserve"> </v>
      </c>
      <c r="C230" s="99"/>
      <c r="D230" s="100"/>
      <c r="E230" s="101"/>
      <c r="F230" s="101"/>
      <c r="G230" s="100" t="str">
        <f>IFERROR(VLOOKUP(Tablo517[[#This Row],[ÜRÜN KODU]],YMKODLARI!$A$1:$K$363,3,0)," ")</f>
        <v xml:space="preserve"> </v>
      </c>
      <c r="H230" s="100" t="str">
        <f>IFERROR(VLOOKUP(Tablo517[[#This Row],[ÜRÜN KODU]],YMKODLARI!$A$1:$K$363,4,0)," ")</f>
        <v xml:space="preserve"> </v>
      </c>
      <c r="I230" s="100"/>
      <c r="J230" s="100" t="str">
        <f>IFERROR(VLOOKUP(Tablo517[[#This Row],[ÜRÜN KODU]],YMKODLARI!$A$1:$K$363,9,0)," ")</f>
        <v xml:space="preserve"> </v>
      </c>
      <c r="K230" s="100" t="str">
        <f>IFERROR(VLOOKUP(Tablo517[[#This Row],[BOYA KODU]],Tablo14[#All],4,0)," ")</f>
        <v xml:space="preserve"> </v>
      </c>
      <c r="L230" s="100" t="str">
        <f>IFERROR(VLOOKUP(Tablo517[[#This Row],[BOYA KODU]],Tablo14[#All],6,0)," ")</f>
        <v xml:space="preserve"> </v>
      </c>
      <c r="M230" s="100" t="str">
        <f t="shared" si="22"/>
        <v xml:space="preserve"> </v>
      </c>
      <c r="N230" s="100" t="str">
        <f>IFERROR(VLOOKUP(Tablo517[[#This Row],[ÜRÜN KODU]],YMKODLARI!$A$1:$K$363,8,0)," ")</f>
        <v xml:space="preserve"> </v>
      </c>
      <c r="O230" s="100" t="str">
        <f>IFERROR(VLOOKUP(Tablo517[[#This Row],[HAMMADDE KODU]],Tablo1[#All],3,0)," ")</f>
        <v xml:space="preserve"> </v>
      </c>
      <c r="P230" s="100" t="str">
        <f>IFERROR(VLOOKUP(Tablo517[[#This Row],[HAMMADDE KODU]],Tablo1[#All],4,0)," ")</f>
        <v xml:space="preserve"> </v>
      </c>
      <c r="Q230" s="100" t="str">
        <f>IFERROR(VLOOKUP(Tablo517[[#This Row],[ÜRÜN KODU]],YMKODLARI!$A$1:$K$363,5,0)," ")</f>
        <v xml:space="preserve"> </v>
      </c>
      <c r="R230" s="100" t="str">
        <f>IFERROR(VLOOKUP(Tablo517[[#This Row],[ÜRÜN KODU]],YMKODLARI!$A$1:$K$363,6,0)," ")</f>
        <v xml:space="preserve"> </v>
      </c>
      <c r="S230" s="100" t="str">
        <f>IFERROR(Tablo517[[#This Row],[YOLLUK HARİÇ BASKI GRAMI]]/Tablo517[[#This Row],[KALIP GÖZ ADEDİ]]," ")</f>
        <v xml:space="preserve"> </v>
      </c>
      <c r="T230" s="100" t="str">
        <f t="shared" si="24"/>
        <v xml:space="preserve"> </v>
      </c>
      <c r="U230" s="100"/>
      <c r="V230" s="100" t="str">
        <f t="shared" si="23"/>
        <v xml:space="preserve"> </v>
      </c>
      <c r="W230" s="101">
        <f t="shared" si="25"/>
        <v>24</v>
      </c>
      <c r="X230" s="102">
        <f t="shared" si="26"/>
        <v>0</v>
      </c>
      <c r="Y230" s="100" t="str">
        <f t="shared" si="27"/>
        <v xml:space="preserve"> </v>
      </c>
      <c r="Z230" s="100" t="str">
        <f t="shared" si="28"/>
        <v xml:space="preserve"> </v>
      </c>
    </row>
    <row r="231" spans="1:26">
      <c r="A231" s="100"/>
      <c r="B231" s="108" t="str">
        <f>IFERROR(VLOOKUP(Tablo517[[#This Row],[ÜRÜN KODU]],YMKODLARI!$A$1:$K$363,2,0)," ")</f>
        <v xml:space="preserve"> </v>
      </c>
      <c r="C231" s="99"/>
      <c r="D231" s="100"/>
      <c r="E231" s="101"/>
      <c r="F231" s="101"/>
      <c r="G231" s="100" t="str">
        <f>IFERROR(VLOOKUP(Tablo517[[#This Row],[ÜRÜN KODU]],YMKODLARI!$A$1:$K$363,3,0)," ")</f>
        <v xml:space="preserve"> </v>
      </c>
      <c r="H231" s="100" t="str">
        <f>IFERROR(VLOOKUP(Tablo517[[#This Row],[ÜRÜN KODU]],YMKODLARI!$A$1:$K$363,4,0)," ")</f>
        <v xml:space="preserve"> </v>
      </c>
      <c r="I231" s="100"/>
      <c r="J231" s="100" t="str">
        <f>IFERROR(VLOOKUP(Tablo517[[#This Row],[ÜRÜN KODU]],YMKODLARI!$A$1:$K$363,9,0)," ")</f>
        <v xml:space="preserve"> </v>
      </c>
      <c r="K231" s="100" t="str">
        <f>IFERROR(VLOOKUP(Tablo517[[#This Row],[BOYA KODU]],Tablo14[#All],4,0)," ")</f>
        <v xml:space="preserve"> </v>
      </c>
      <c r="L231" s="100" t="str">
        <f>IFERROR(VLOOKUP(Tablo517[[#This Row],[BOYA KODU]],Tablo14[#All],6,0)," ")</f>
        <v xml:space="preserve"> </v>
      </c>
      <c r="M231" s="100" t="str">
        <f t="shared" si="22"/>
        <v xml:space="preserve"> </v>
      </c>
      <c r="N231" s="100" t="str">
        <f>IFERROR(VLOOKUP(Tablo517[[#This Row],[ÜRÜN KODU]],YMKODLARI!$A$1:$K$363,8,0)," ")</f>
        <v xml:space="preserve"> </v>
      </c>
      <c r="O231" s="100" t="str">
        <f>IFERROR(VLOOKUP(Tablo517[[#This Row],[HAMMADDE KODU]],Tablo1[#All],3,0)," ")</f>
        <v xml:space="preserve"> </v>
      </c>
      <c r="P231" s="100" t="str">
        <f>IFERROR(VLOOKUP(Tablo517[[#This Row],[HAMMADDE KODU]],Tablo1[#All],4,0)," ")</f>
        <v xml:space="preserve"> </v>
      </c>
      <c r="Q231" s="100" t="str">
        <f>IFERROR(VLOOKUP(Tablo517[[#This Row],[ÜRÜN KODU]],YMKODLARI!$A$1:$K$363,5,0)," ")</f>
        <v xml:space="preserve"> </v>
      </c>
      <c r="R231" s="100" t="str">
        <f>IFERROR(VLOOKUP(Tablo517[[#This Row],[ÜRÜN KODU]],YMKODLARI!$A$1:$K$363,6,0)," ")</f>
        <v xml:space="preserve"> </v>
      </c>
      <c r="S231" s="100" t="str">
        <f>IFERROR(Tablo517[[#This Row],[YOLLUK HARİÇ BASKI GRAMI]]/Tablo517[[#This Row],[KALIP GÖZ ADEDİ]]," ")</f>
        <v xml:space="preserve"> </v>
      </c>
      <c r="T231" s="100" t="str">
        <f t="shared" si="24"/>
        <v xml:space="preserve"> </v>
      </c>
      <c r="U231" s="100"/>
      <c r="V231" s="100" t="str">
        <f t="shared" si="23"/>
        <v xml:space="preserve"> </v>
      </c>
      <c r="W231" s="101">
        <f t="shared" si="25"/>
        <v>24</v>
      </c>
      <c r="X231" s="102">
        <f t="shared" si="26"/>
        <v>0</v>
      </c>
      <c r="Y231" s="100" t="str">
        <f t="shared" si="27"/>
        <v xml:space="preserve"> </v>
      </c>
      <c r="Z231" s="100" t="str">
        <f t="shared" si="28"/>
        <v xml:space="preserve"> </v>
      </c>
    </row>
    <row r="232" spans="1:26">
      <c r="A232" s="100"/>
      <c r="B232" s="108" t="str">
        <f>IFERROR(VLOOKUP(Tablo517[[#This Row],[ÜRÜN KODU]],YMKODLARI!$A$1:$K$363,2,0)," ")</f>
        <v xml:space="preserve"> </v>
      </c>
      <c r="C232" s="99"/>
      <c r="D232" s="100"/>
      <c r="E232" s="101"/>
      <c r="F232" s="101"/>
      <c r="G232" s="100" t="str">
        <f>IFERROR(VLOOKUP(Tablo517[[#This Row],[ÜRÜN KODU]],YMKODLARI!$A$1:$K$363,3,0)," ")</f>
        <v xml:space="preserve"> </v>
      </c>
      <c r="H232" s="100" t="str">
        <f>IFERROR(VLOOKUP(Tablo517[[#This Row],[ÜRÜN KODU]],YMKODLARI!$A$1:$K$363,4,0)," ")</f>
        <v xml:space="preserve"> </v>
      </c>
      <c r="I232" s="100"/>
      <c r="J232" s="100" t="str">
        <f>IFERROR(VLOOKUP(Tablo517[[#This Row],[ÜRÜN KODU]],YMKODLARI!$A$1:$K$363,9,0)," ")</f>
        <v xml:space="preserve"> </v>
      </c>
      <c r="K232" s="100" t="str">
        <f>IFERROR(VLOOKUP(Tablo517[[#This Row],[BOYA KODU]],Tablo14[#All],4,0)," ")</f>
        <v xml:space="preserve"> </v>
      </c>
      <c r="L232" s="100" t="str">
        <f>IFERROR(VLOOKUP(Tablo517[[#This Row],[BOYA KODU]],Tablo14[#All],6,0)," ")</f>
        <v xml:space="preserve"> </v>
      </c>
      <c r="M232" s="100" t="str">
        <f t="shared" si="22"/>
        <v xml:space="preserve"> </v>
      </c>
      <c r="N232" s="100" t="str">
        <f>IFERROR(VLOOKUP(Tablo517[[#This Row],[ÜRÜN KODU]],YMKODLARI!$A$1:$K$363,8,0)," ")</f>
        <v xml:space="preserve"> </v>
      </c>
      <c r="O232" s="100" t="str">
        <f>IFERROR(VLOOKUP(Tablo517[[#This Row],[HAMMADDE KODU]],Tablo1[#All],3,0)," ")</f>
        <v xml:space="preserve"> </v>
      </c>
      <c r="P232" s="100" t="str">
        <f>IFERROR(VLOOKUP(Tablo517[[#This Row],[HAMMADDE KODU]],Tablo1[#All],4,0)," ")</f>
        <v xml:space="preserve"> </v>
      </c>
      <c r="Q232" s="100" t="str">
        <f>IFERROR(VLOOKUP(Tablo517[[#This Row],[ÜRÜN KODU]],YMKODLARI!$A$1:$K$363,5,0)," ")</f>
        <v xml:space="preserve"> </v>
      </c>
      <c r="R232" s="100" t="str">
        <f>IFERROR(VLOOKUP(Tablo517[[#This Row],[ÜRÜN KODU]],YMKODLARI!$A$1:$K$363,6,0)," ")</f>
        <v xml:space="preserve"> </v>
      </c>
      <c r="S232" s="100" t="str">
        <f>IFERROR(Tablo517[[#This Row],[YOLLUK HARİÇ BASKI GRAMI]]/Tablo517[[#This Row],[KALIP GÖZ ADEDİ]]," ")</f>
        <v xml:space="preserve"> </v>
      </c>
      <c r="T232" s="100" t="str">
        <f t="shared" si="24"/>
        <v xml:space="preserve"> </v>
      </c>
      <c r="U232" s="100"/>
      <c r="V232" s="100" t="str">
        <f t="shared" si="23"/>
        <v xml:space="preserve"> </v>
      </c>
      <c r="W232" s="101">
        <f t="shared" si="25"/>
        <v>24</v>
      </c>
      <c r="X232" s="102">
        <f t="shared" si="26"/>
        <v>0</v>
      </c>
      <c r="Y232" s="100" t="str">
        <f t="shared" si="27"/>
        <v xml:space="preserve"> </v>
      </c>
      <c r="Z232" s="100" t="str">
        <f t="shared" si="28"/>
        <v xml:space="preserve"> </v>
      </c>
    </row>
    <row r="233" spans="1:26">
      <c r="A233" s="100"/>
      <c r="B233" s="108" t="str">
        <f>IFERROR(VLOOKUP(Tablo517[[#This Row],[ÜRÜN KODU]],YMKODLARI!$A$1:$K$363,2,0)," ")</f>
        <v xml:space="preserve"> </v>
      </c>
      <c r="C233" s="99"/>
      <c r="D233" s="100"/>
      <c r="E233" s="101"/>
      <c r="F233" s="101"/>
      <c r="G233" s="100" t="str">
        <f>IFERROR(VLOOKUP(Tablo517[[#This Row],[ÜRÜN KODU]],YMKODLARI!$A$1:$K$363,3,0)," ")</f>
        <v xml:space="preserve"> </v>
      </c>
      <c r="H233" s="100" t="str">
        <f>IFERROR(VLOOKUP(Tablo517[[#This Row],[ÜRÜN KODU]],YMKODLARI!$A$1:$K$363,4,0)," ")</f>
        <v xml:space="preserve"> </v>
      </c>
      <c r="I233" s="100"/>
      <c r="J233" s="100" t="str">
        <f>IFERROR(VLOOKUP(Tablo517[[#This Row],[ÜRÜN KODU]],YMKODLARI!$A$1:$K$363,9,0)," ")</f>
        <v xml:space="preserve"> </v>
      </c>
      <c r="K233" s="100" t="str">
        <f>IFERROR(VLOOKUP(Tablo517[[#This Row],[BOYA KODU]],Tablo14[#All],4,0)," ")</f>
        <v xml:space="preserve"> </v>
      </c>
      <c r="L233" s="100" t="str">
        <f>IFERROR(VLOOKUP(Tablo517[[#This Row],[BOYA KODU]],Tablo14[#All],6,0)," ")</f>
        <v xml:space="preserve"> </v>
      </c>
      <c r="M233" s="100" t="str">
        <f t="shared" si="22"/>
        <v xml:space="preserve"> </v>
      </c>
      <c r="N233" s="100" t="str">
        <f>IFERROR(VLOOKUP(Tablo517[[#This Row],[ÜRÜN KODU]],YMKODLARI!$A$1:$K$363,8,0)," ")</f>
        <v xml:space="preserve"> </v>
      </c>
      <c r="O233" s="100" t="str">
        <f>IFERROR(VLOOKUP(Tablo517[[#This Row],[HAMMADDE KODU]],Tablo1[#All],3,0)," ")</f>
        <v xml:space="preserve"> </v>
      </c>
      <c r="P233" s="100" t="str">
        <f>IFERROR(VLOOKUP(Tablo517[[#This Row],[HAMMADDE KODU]],Tablo1[#All],4,0)," ")</f>
        <v xml:space="preserve"> </v>
      </c>
      <c r="Q233" s="100" t="str">
        <f>IFERROR(VLOOKUP(Tablo517[[#This Row],[ÜRÜN KODU]],YMKODLARI!$A$1:$K$363,5,0)," ")</f>
        <v xml:space="preserve"> </v>
      </c>
      <c r="R233" s="100" t="str">
        <f>IFERROR(VLOOKUP(Tablo517[[#This Row],[ÜRÜN KODU]],YMKODLARI!$A$1:$K$363,6,0)," ")</f>
        <v xml:space="preserve"> </v>
      </c>
      <c r="S233" s="100" t="str">
        <f>IFERROR(Tablo517[[#This Row],[YOLLUK HARİÇ BASKI GRAMI]]/Tablo517[[#This Row],[KALIP GÖZ ADEDİ]]," ")</f>
        <v xml:space="preserve"> </v>
      </c>
      <c r="T233" s="100" t="str">
        <f t="shared" si="24"/>
        <v xml:space="preserve"> </v>
      </c>
      <c r="U233" s="100"/>
      <c r="V233" s="100" t="str">
        <f t="shared" si="23"/>
        <v xml:space="preserve"> </v>
      </c>
      <c r="W233" s="101">
        <f t="shared" si="25"/>
        <v>24</v>
      </c>
      <c r="X233" s="102">
        <f t="shared" si="26"/>
        <v>0</v>
      </c>
      <c r="Y233" s="100" t="str">
        <f t="shared" si="27"/>
        <v xml:space="preserve"> </v>
      </c>
      <c r="Z233" s="100" t="str">
        <f t="shared" si="28"/>
        <v xml:space="preserve"> </v>
      </c>
    </row>
    <row r="234" spans="1:26">
      <c r="A234" s="100"/>
      <c r="B234" s="108" t="str">
        <f>IFERROR(VLOOKUP(Tablo517[[#This Row],[ÜRÜN KODU]],YMKODLARI!$A$1:$K$363,2,0)," ")</f>
        <v xml:space="preserve"> </v>
      </c>
      <c r="C234" s="99"/>
      <c r="D234" s="100"/>
      <c r="E234" s="101"/>
      <c r="F234" s="101"/>
      <c r="G234" s="100" t="str">
        <f>IFERROR(VLOOKUP(Tablo517[[#This Row],[ÜRÜN KODU]],YMKODLARI!$A$1:$K$363,3,0)," ")</f>
        <v xml:space="preserve"> </v>
      </c>
      <c r="H234" s="100" t="str">
        <f>IFERROR(VLOOKUP(Tablo517[[#This Row],[ÜRÜN KODU]],YMKODLARI!$A$1:$K$363,4,0)," ")</f>
        <v xml:space="preserve"> </v>
      </c>
      <c r="I234" s="100"/>
      <c r="J234" s="100" t="str">
        <f>IFERROR(VLOOKUP(Tablo517[[#This Row],[ÜRÜN KODU]],YMKODLARI!$A$1:$K$363,9,0)," ")</f>
        <v xml:space="preserve"> </v>
      </c>
      <c r="K234" s="100" t="str">
        <f>IFERROR(VLOOKUP(Tablo517[[#This Row],[BOYA KODU]],Tablo14[#All],4,0)," ")</f>
        <v xml:space="preserve"> </v>
      </c>
      <c r="L234" s="100" t="str">
        <f>IFERROR(VLOOKUP(Tablo517[[#This Row],[BOYA KODU]],Tablo14[#All],6,0)," ")</f>
        <v xml:space="preserve"> </v>
      </c>
      <c r="M234" s="100" t="str">
        <f t="shared" si="22"/>
        <v xml:space="preserve"> </v>
      </c>
      <c r="N234" s="100" t="str">
        <f>IFERROR(VLOOKUP(Tablo517[[#This Row],[ÜRÜN KODU]],YMKODLARI!$A$1:$K$363,8,0)," ")</f>
        <v xml:space="preserve"> </v>
      </c>
      <c r="O234" s="100" t="str">
        <f>IFERROR(VLOOKUP(Tablo517[[#This Row],[HAMMADDE KODU]],Tablo1[#All],3,0)," ")</f>
        <v xml:space="preserve"> </v>
      </c>
      <c r="P234" s="100" t="str">
        <f>IFERROR(VLOOKUP(Tablo517[[#This Row],[HAMMADDE KODU]],Tablo1[#All],4,0)," ")</f>
        <v xml:space="preserve"> </v>
      </c>
      <c r="Q234" s="100" t="str">
        <f>IFERROR(VLOOKUP(Tablo517[[#This Row],[ÜRÜN KODU]],YMKODLARI!$A$1:$K$363,5,0)," ")</f>
        <v xml:space="preserve"> </v>
      </c>
      <c r="R234" s="100" t="str">
        <f>IFERROR(VLOOKUP(Tablo517[[#This Row],[ÜRÜN KODU]],YMKODLARI!$A$1:$K$363,6,0)," ")</f>
        <v xml:space="preserve"> </v>
      </c>
      <c r="S234" s="100" t="str">
        <f>IFERROR(Tablo517[[#This Row],[YOLLUK HARİÇ BASKI GRAMI]]/Tablo517[[#This Row],[KALIP GÖZ ADEDİ]]," ")</f>
        <v xml:space="preserve"> </v>
      </c>
      <c r="T234" s="100" t="str">
        <f t="shared" si="24"/>
        <v xml:space="preserve"> </v>
      </c>
      <c r="U234" s="100"/>
      <c r="V234" s="100" t="str">
        <f t="shared" si="23"/>
        <v xml:space="preserve"> </v>
      </c>
      <c r="W234" s="101">
        <f t="shared" si="25"/>
        <v>24</v>
      </c>
      <c r="X234" s="102">
        <f t="shared" si="26"/>
        <v>0</v>
      </c>
      <c r="Y234" s="100" t="str">
        <f t="shared" si="27"/>
        <v xml:space="preserve"> </v>
      </c>
      <c r="Z234" s="100" t="str">
        <f t="shared" si="28"/>
        <v xml:space="preserve"> </v>
      </c>
    </row>
    <row r="235" spans="1:26">
      <c r="A235" s="100"/>
      <c r="B235" s="108" t="str">
        <f>IFERROR(VLOOKUP(Tablo517[[#This Row],[ÜRÜN KODU]],YMKODLARI!$A$1:$K$363,2,0)," ")</f>
        <v xml:space="preserve"> </v>
      </c>
      <c r="C235" s="99"/>
      <c r="D235" s="100"/>
      <c r="E235" s="101"/>
      <c r="F235" s="101"/>
      <c r="G235" s="100" t="str">
        <f>IFERROR(VLOOKUP(Tablo517[[#This Row],[ÜRÜN KODU]],YMKODLARI!$A$1:$K$363,3,0)," ")</f>
        <v xml:space="preserve"> </v>
      </c>
      <c r="H235" s="100" t="str">
        <f>IFERROR(VLOOKUP(Tablo517[[#This Row],[ÜRÜN KODU]],YMKODLARI!$A$1:$K$363,4,0)," ")</f>
        <v xml:space="preserve"> </v>
      </c>
      <c r="I235" s="100"/>
      <c r="J235" s="100" t="str">
        <f>IFERROR(VLOOKUP(Tablo517[[#This Row],[ÜRÜN KODU]],YMKODLARI!$A$1:$K$363,9,0)," ")</f>
        <v xml:space="preserve"> </v>
      </c>
      <c r="K235" s="100" t="str">
        <f>IFERROR(VLOOKUP(Tablo517[[#This Row],[BOYA KODU]],Tablo14[#All],4,0)," ")</f>
        <v xml:space="preserve"> </v>
      </c>
      <c r="L235" s="100" t="str">
        <f>IFERROR(VLOOKUP(Tablo517[[#This Row],[BOYA KODU]],Tablo14[#All],6,0)," ")</f>
        <v xml:space="preserve"> </v>
      </c>
      <c r="M235" s="100" t="str">
        <f t="shared" si="22"/>
        <v xml:space="preserve"> </v>
      </c>
      <c r="N235" s="100" t="str">
        <f>IFERROR(VLOOKUP(Tablo517[[#This Row],[ÜRÜN KODU]],YMKODLARI!$A$1:$K$363,8,0)," ")</f>
        <v xml:space="preserve"> </v>
      </c>
      <c r="O235" s="100" t="str">
        <f>IFERROR(VLOOKUP(Tablo517[[#This Row],[HAMMADDE KODU]],Tablo1[#All],3,0)," ")</f>
        <v xml:space="preserve"> </v>
      </c>
      <c r="P235" s="100" t="str">
        <f>IFERROR(VLOOKUP(Tablo517[[#This Row],[HAMMADDE KODU]],Tablo1[#All],4,0)," ")</f>
        <v xml:space="preserve"> </v>
      </c>
      <c r="Q235" s="100" t="str">
        <f>IFERROR(VLOOKUP(Tablo517[[#This Row],[ÜRÜN KODU]],YMKODLARI!$A$1:$K$363,5,0)," ")</f>
        <v xml:space="preserve"> </v>
      </c>
      <c r="R235" s="100" t="str">
        <f>IFERROR(VLOOKUP(Tablo517[[#This Row],[ÜRÜN KODU]],YMKODLARI!$A$1:$K$363,6,0)," ")</f>
        <v xml:space="preserve"> </v>
      </c>
      <c r="S235" s="100" t="str">
        <f>IFERROR(Tablo517[[#This Row],[YOLLUK HARİÇ BASKI GRAMI]]/Tablo517[[#This Row],[KALIP GÖZ ADEDİ]]," ")</f>
        <v xml:space="preserve"> </v>
      </c>
      <c r="T235" s="100" t="str">
        <f t="shared" si="24"/>
        <v xml:space="preserve"> </v>
      </c>
      <c r="U235" s="100"/>
      <c r="V235" s="100" t="str">
        <f t="shared" si="23"/>
        <v xml:space="preserve"> </v>
      </c>
      <c r="W235" s="101">
        <f t="shared" si="25"/>
        <v>24</v>
      </c>
      <c r="X235" s="102">
        <f t="shared" si="26"/>
        <v>0</v>
      </c>
      <c r="Y235" s="100" t="str">
        <f t="shared" si="27"/>
        <v xml:space="preserve"> </v>
      </c>
      <c r="Z235" s="100" t="str">
        <f t="shared" si="28"/>
        <v xml:space="preserve"> </v>
      </c>
    </row>
    <row r="236" spans="1:26">
      <c r="A236" s="100"/>
      <c r="B236" s="108" t="str">
        <f>IFERROR(VLOOKUP(Tablo517[[#This Row],[ÜRÜN KODU]],YMKODLARI!$A$1:$K$363,2,0)," ")</f>
        <v xml:space="preserve"> </v>
      </c>
      <c r="C236" s="99"/>
      <c r="D236" s="100"/>
      <c r="E236" s="101"/>
      <c r="F236" s="101"/>
      <c r="G236" s="100" t="str">
        <f>IFERROR(VLOOKUP(Tablo517[[#This Row],[ÜRÜN KODU]],YMKODLARI!$A$1:$K$363,3,0)," ")</f>
        <v xml:space="preserve"> </v>
      </c>
      <c r="H236" s="100" t="str">
        <f>IFERROR(VLOOKUP(Tablo517[[#This Row],[ÜRÜN KODU]],YMKODLARI!$A$1:$K$363,4,0)," ")</f>
        <v xml:space="preserve"> </v>
      </c>
      <c r="I236" s="100"/>
      <c r="J236" s="100" t="str">
        <f>IFERROR(VLOOKUP(Tablo517[[#This Row],[ÜRÜN KODU]],YMKODLARI!$A$1:$K$363,9,0)," ")</f>
        <v xml:space="preserve"> </v>
      </c>
      <c r="K236" s="100" t="str">
        <f>IFERROR(VLOOKUP(Tablo517[[#This Row],[BOYA KODU]],Tablo14[#All],4,0)," ")</f>
        <v xml:space="preserve"> </v>
      </c>
      <c r="L236" s="100" t="str">
        <f>IFERROR(VLOOKUP(Tablo517[[#This Row],[BOYA KODU]],Tablo14[#All],6,0)," ")</f>
        <v xml:space="preserve"> </v>
      </c>
      <c r="M236" s="100" t="str">
        <f t="shared" si="22"/>
        <v xml:space="preserve"> </v>
      </c>
      <c r="N236" s="100" t="str">
        <f>IFERROR(VLOOKUP(Tablo517[[#This Row],[ÜRÜN KODU]],YMKODLARI!$A$1:$K$363,8,0)," ")</f>
        <v xml:space="preserve"> </v>
      </c>
      <c r="O236" s="100" t="str">
        <f>IFERROR(VLOOKUP(Tablo517[[#This Row],[HAMMADDE KODU]],Tablo1[#All],3,0)," ")</f>
        <v xml:space="preserve"> </v>
      </c>
      <c r="P236" s="100" t="str">
        <f>IFERROR(VLOOKUP(Tablo517[[#This Row],[HAMMADDE KODU]],Tablo1[#All],4,0)," ")</f>
        <v xml:space="preserve"> </v>
      </c>
      <c r="Q236" s="100" t="str">
        <f>IFERROR(VLOOKUP(Tablo517[[#This Row],[ÜRÜN KODU]],YMKODLARI!$A$1:$K$363,5,0)," ")</f>
        <v xml:space="preserve"> </v>
      </c>
      <c r="R236" s="100" t="str">
        <f>IFERROR(VLOOKUP(Tablo517[[#This Row],[ÜRÜN KODU]],YMKODLARI!$A$1:$K$363,6,0)," ")</f>
        <v xml:space="preserve"> </v>
      </c>
      <c r="S236" s="100" t="str">
        <f>IFERROR(Tablo517[[#This Row],[YOLLUK HARİÇ BASKI GRAMI]]/Tablo517[[#This Row],[KALIP GÖZ ADEDİ]]," ")</f>
        <v xml:space="preserve"> </v>
      </c>
      <c r="T236" s="100" t="str">
        <f t="shared" si="24"/>
        <v xml:space="preserve"> </v>
      </c>
      <c r="U236" s="100"/>
      <c r="V236" s="100" t="str">
        <f t="shared" si="23"/>
        <v xml:space="preserve"> </v>
      </c>
      <c r="W236" s="101">
        <f t="shared" si="25"/>
        <v>24</v>
      </c>
      <c r="X236" s="102">
        <f t="shared" si="26"/>
        <v>0</v>
      </c>
      <c r="Y236" s="100" t="str">
        <f t="shared" si="27"/>
        <v xml:space="preserve"> </v>
      </c>
      <c r="Z236" s="100" t="str">
        <f t="shared" si="28"/>
        <v xml:space="preserve"> </v>
      </c>
    </row>
    <row r="237" spans="1:26">
      <c r="A237" s="100"/>
      <c r="B237" s="108" t="str">
        <f>IFERROR(VLOOKUP(Tablo517[[#This Row],[ÜRÜN KODU]],YMKODLARI!$A$1:$K$363,2,0)," ")</f>
        <v xml:space="preserve"> </v>
      </c>
      <c r="C237" s="99"/>
      <c r="D237" s="100"/>
      <c r="E237" s="101"/>
      <c r="F237" s="101"/>
      <c r="G237" s="100" t="str">
        <f>IFERROR(VLOOKUP(Tablo517[[#This Row],[ÜRÜN KODU]],YMKODLARI!$A$1:$K$363,3,0)," ")</f>
        <v xml:space="preserve"> </v>
      </c>
      <c r="H237" s="100" t="str">
        <f>IFERROR(VLOOKUP(Tablo517[[#This Row],[ÜRÜN KODU]],YMKODLARI!$A$1:$K$363,4,0)," ")</f>
        <v xml:space="preserve"> </v>
      </c>
      <c r="I237" s="100"/>
      <c r="J237" s="100" t="str">
        <f>IFERROR(VLOOKUP(Tablo517[[#This Row],[ÜRÜN KODU]],YMKODLARI!$A$1:$K$363,9,0)," ")</f>
        <v xml:space="preserve"> </v>
      </c>
      <c r="K237" s="100" t="str">
        <f>IFERROR(VLOOKUP(Tablo517[[#This Row],[BOYA KODU]],Tablo14[#All],4,0)," ")</f>
        <v xml:space="preserve"> </v>
      </c>
      <c r="L237" s="100" t="str">
        <f>IFERROR(VLOOKUP(Tablo517[[#This Row],[BOYA KODU]],Tablo14[#All],6,0)," ")</f>
        <v xml:space="preserve"> </v>
      </c>
      <c r="M237" s="100" t="str">
        <f t="shared" si="22"/>
        <v xml:space="preserve"> </v>
      </c>
      <c r="N237" s="100" t="str">
        <f>IFERROR(VLOOKUP(Tablo517[[#This Row],[ÜRÜN KODU]],YMKODLARI!$A$1:$K$363,8,0)," ")</f>
        <v xml:space="preserve"> </v>
      </c>
      <c r="O237" s="100" t="str">
        <f>IFERROR(VLOOKUP(Tablo517[[#This Row],[HAMMADDE KODU]],Tablo1[#All],3,0)," ")</f>
        <v xml:space="preserve"> </v>
      </c>
      <c r="P237" s="100" t="str">
        <f>IFERROR(VLOOKUP(Tablo517[[#This Row],[HAMMADDE KODU]],Tablo1[#All],4,0)," ")</f>
        <v xml:space="preserve"> </v>
      </c>
      <c r="Q237" s="100" t="str">
        <f>IFERROR(VLOOKUP(Tablo517[[#This Row],[ÜRÜN KODU]],YMKODLARI!$A$1:$K$363,5,0)," ")</f>
        <v xml:space="preserve"> </v>
      </c>
      <c r="R237" s="100" t="str">
        <f>IFERROR(VLOOKUP(Tablo517[[#This Row],[ÜRÜN KODU]],YMKODLARI!$A$1:$K$363,6,0)," ")</f>
        <v xml:space="preserve"> </v>
      </c>
      <c r="S237" s="100" t="str">
        <f>IFERROR(Tablo517[[#This Row],[YOLLUK HARİÇ BASKI GRAMI]]/Tablo517[[#This Row],[KALIP GÖZ ADEDİ]]," ")</f>
        <v xml:space="preserve"> </v>
      </c>
      <c r="T237" s="100" t="str">
        <f t="shared" si="24"/>
        <v xml:space="preserve"> </v>
      </c>
      <c r="U237" s="100"/>
      <c r="V237" s="100" t="str">
        <f t="shared" si="23"/>
        <v xml:space="preserve"> </v>
      </c>
      <c r="W237" s="101">
        <f t="shared" si="25"/>
        <v>24</v>
      </c>
      <c r="X237" s="102">
        <f t="shared" si="26"/>
        <v>0</v>
      </c>
      <c r="Y237" s="100" t="str">
        <f t="shared" si="27"/>
        <v xml:space="preserve"> </v>
      </c>
      <c r="Z237" s="100" t="str">
        <f t="shared" si="28"/>
        <v xml:space="preserve"> </v>
      </c>
    </row>
    <row r="238" spans="1:26">
      <c r="A238" s="100"/>
      <c r="B238" s="108" t="str">
        <f>IFERROR(VLOOKUP(Tablo517[[#This Row],[ÜRÜN KODU]],YMKODLARI!$A$1:$K$363,2,0)," ")</f>
        <v xml:space="preserve"> </v>
      </c>
      <c r="C238" s="99"/>
      <c r="D238" s="100"/>
      <c r="E238" s="101"/>
      <c r="F238" s="101"/>
      <c r="G238" s="100" t="str">
        <f>IFERROR(VLOOKUP(Tablo517[[#This Row],[ÜRÜN KODU]],YMKODLARI!$A$1:$K$363,3,0)," ")</f>
        <v xml:space="preserve"> </v>
      </c>
      <c r="H238" s="100" t="str">
        <f>IFERROR(VLOOKUP(Tablo517[[#This Row],[ÜRÜN KODU]],YMKODLARI!$A$1:$K$363,4,0)," ")</f>
        <v xml:space="preserve"> </v>
      </c>
      <c r="I238" s="100"/>
      <c r="J238" s="100" t="str">
        <f>IFERROR(VLOOKUP(Tablo517[[#This Row],[ÜRÜN KODU]],YMKODLARI!$A$1:$K$363,9,0)," ")</f>
        <v xml:space="preserve"> </v>
      </c>
      <c r="K238" s="100" t="str">
        <f>IFERROR(VLOOKUP(Tablo517[[#This Row],[BOYA KODU]],Tablo14[#All],4,0)," ")</f>
        <v xml:space="preserve"> </v>
      </c>
      <c r="L238" s="100" t="str">
        <f>IFERROR(VLOOKUP(Tablo517[[#This Row],[BOYA KODU]],Tablo14[#All],6,0)," ")</f>
        <v xml:space="preserve"> </v>
      </c>
      <c r="M238" s="100" t="str">
        <f t="shared" si="22"/>
        <v xml:space="preserve"> </v>
      </c>
      <c r="N238" s="100" t="str">
        <f>IFERROR(VLOOKUP(Tablo517[[#This Row],[ÜRÜN KODU]],YMKODLARI!$A$1:$K$363,8,0)," ")</f>
        <v xml:space="preserve"> </v>
      </c>
      <c r="O238" s="100" t="str">
        <f>IFERROR(VLOOKUP(Tablo517[[#This Row],[HAMMADDE KODU]],Tablo1[#All],3,0)," ")</f>
        <v xml:space="preserve"> </v>
      </c>
      <c r="P238" s="100" t="str">
        <f>IFERROR(VLOOKUP(Tablo517[[#This Row],[HAMMADDE KODU]],Tablo1[#All],4,0)," ")</f>
        <v xml:space="preserve"> </v>
      </c>
      <c r="Q238" s="100" t="str">
        <f>IFERROR(VLOOKUP(Tablo517[[#This Row],[ÜRÜN KODU]],YMKODLARI!$A$1:$K$363,5,0)," ")</f>
        <v xml:space="preserve"> </v>
      </c>
      <c r="R238" s="100" t="str">
        <f>IFERROR(VLOOKUP(Tablo517[[#This Row],[ÜRÜN KODU]],YMKODLARI!$A$1:$K$363,6,0)," ")</f>
        <v xml:space="preserve"> </v>
      </c>
      <c r="S238" s="100" t="str">
        <f>IFERROR(Tablo517[[#This Row],[YOLLUK HARİÇ BASKI GRAMI]]/Tablo517[[#This Row],[KALIP GÖZ ADEDİ]]," ")</f>
        <v xml:space="preserve"> </v>
      </c>
      <c r="T238" s="100" t="str">
        <f t="shared" si="24"/>
        <v xml:space="preserve"> </v>
      </c>
      <c r="U238" s="100"/>
      <c r="V238" s="100" t="str">
        <f t="shared" si="23"/>
        <v xml:space="preserve"> </v>
      </c>
      <c r="W238" s="101">
        <f t="shared" si="25"/>
        <v>24</v>
      </c>
      <c r="X238" s="102">
        <f t="shared" si="26"/>
        <v>0</v>
      </c>
      <c r="Y238" s="100" t="str">
        <f t="shared" si="27"/>
        <v xml:space="preserve"> </v>
      </c>
      <c r="Z238" s="100" t="str">
        <f t="shared" si="28"/>
        <v xml:space="preserve"> </v>
      </c>
    </row>
    <row r="239" spans="1:26">
      <c r="A239" s="100"/>
      <c r="B239" s="108" t="str">
        <f>IFERROR(VLOOKUP(Tablo517[[#This Row],[ÜRÜN KODU]],YMKODLARI!$A$1:$K$363,2,0)," ")</f>
        <v xml:space="preserve"> </v>
      </c>
      <c r="C239" s="99"/>
      <c r="D239" s="100"/>
      <c r="E239" s="101"/>
      <c r="F239" s="101"/>
      <c r="G239" s="100" t="str">
        <f>IFERROR(VLOOKUP(Tablo517[[#This Row],[ÜRÜN KODU]],YMKODLARI!$A$1:$K$363,3,0)," ")</f>
        <v xml:space="preserve"> </v>
      </c>
      <c r="H239" s="100" t="str">
        <f>IFERROR(VLOOKUP(Tablo517[[#This Row],[ÜRÜN KODU]],YMKODLARI!$A$1:$K$363,4,0)," ")</f>
        <v xml:space="preserve"> </v>
      </c>
      <c r="I239" s="100"/>
      <c r="J239" s="100" t="str">
        <f>IFERROR(VLOOKUP(Tablo517[[#This Row],[ÜRÜN KODU]],YMKODLARI!$A$1:$K$363,9,0)," ")</f>
        <v xml:space="preserve"> </v>
      </c>
      <c r="K239" s="100" t="str">
        <f>IFERROR(VLOOKUP(Tablo517[[#This Row],[BOYA KODU]],Tablo14[#All],4,0)," ")</f>
        <v xml:space="preserve"> </v>
      </c>
      <c r="L239" s="100" t="str">
        <f>IFERROR(VLOOKUP(Tablo517[[#This Row],[BOYA KODU]],Tablo14[#All],6,0)," ")</f>
        <v xml:space="preserve"> </v>
      </c>
      <c r="M239" s="100" t="str">
        <f t="shared" si="22"/>
        <v xml:space="preserve"> </v>
      </c>
      <c r="N239" s="100" t="str">
        <f>IFERROR(VLOOKUP(Tablo517[[#This Row],[ÜRÜN KODU]],YMKODLARI!$A$1:$K$363,8,0)," ")</f>
        <v xml:space="preserve"> </v>
      </c>
      <c r="O239" s="100" t="str">
        <f>IFERROR(VLOOKUP(Tablo517[[#This Row],[HAMMADDE KODU]],Tablo1[#All],3,0)," ")</f>
        <v xml:space="preserve"> </v>
      </c>
      <c r="P239" s="100" t="str">
        <f>IFERROR(VLOOKUP(Tablo517[[#This Row],[HAMMADDE KODU]],Tablo1[#All],4,0)," ")</f>
        <v xml:space="preserve"> </v>
      </c>
      <c r="Q239" s="100" t="str">
        <f>IFERROR(VLOOKUP(Tablo517[[#This Row],[ÜRÜN KODU]],YMKODLARI!$A$1:$K$363,5,0)," ")</f>
        <v xml:space="preserve"> </v>
      </c>
      <c r="R239" s="100" t="str">
        <f>IFERROR(VLOOKUP(Tablo517[[#This Row],[ÜRÜN KODU]],YMKODLARI!$A$1:$K$363,6,0)," ")</f>
        <v xml:space="preserve"> </v>
      </c>
      <c r="S239" s="100" t="str">
        <f>IFERROR(Tablo517[[#This Row],[YOLLUK HARİÇ BASKI GRAMI]]/Tablo517[[#This Row],[KALIP GÖZ ADEDİ]]," ")</f>
        <v xml:space="preserve"> </v>
      </c>
      <c r="T239" s="100" t="str">
        <f t="shared" si="24"/>
        <v xml:space="preserve"> </v>
      </c>
      <c r="U239" s="100"/>
      <c r="V239" s="100" t="str">
        <f t="shared" si="23"/>
        <v xml:space="preserve"> </v>
      </c>
      <c r="W239" s="101">
        <f t="shared" si="25"/>
        <v>24</v>
      </c>
      <c r="X239" s="102">
        <f t="shared" si="26"/>
        <v>0</v>
      </c>
      <c r="Y239" s="100" t="str">
        <f t="shared" si="27"/>
        <v xml:space="preserve"> </v>
      </c>
      <c r="Z239" s="100" t="str">
        <f t="shared" si="28"/>
        <v xml:space="preserve"> </v>
      </c>
    </row>
    <row r="240" spans="1:26">
      <c r="A240" s="100"/>
      <c r="B240" s="108" t="str">
        <f>IFERROR(VLOOKUP(Tablo517[[#This Row],[ÜRÜN KODU]],YMKODLARI!$A$1:$K$363,2,0)," ")</f>
        <v xml:space="preserve"> </v>
      </c>
      <c r="C240" s="99"/>
      <c r="D240" s="100"/>
      <c r="E240" s="101"/>
      <c r="F240" s="101"/>
      <c r="G240" s="100" t="str">
        <f>IFERROR(VLOOKUP(Tablo517[[#This Row],[ÜRÜN KODU]],YMKODLARI!$A$1:$K$363,3,0)," ")</f>
        <v xml:space="preserve"> </v>
      </c>
      <c r="H240" s="100" t="str">
        <f>IFERROR(VLOOKUP(Tablo517[[#This Row],[ÜRÜN KODU]],YMKODLARI!$A$1:$K$363,4,0)," ")</f>
        <v xml:space="preserve"> </v>
      </c>
      <c r="I240" s="100"/>
      <c r="J240" s="100" t="str">
        <f>IFERROR(VLOOKUP(Tablo517[[#This Row],[ÜRÜN KODU]],YMKODLARI!$A$1:$K$363,9,0)," ")</f>
        <v xml:space="preserve"> </v>
      </c>
      <c r="K240" s="100" t="str">
        <f>IFERROR(VLOOKUP(Tablo517[[#This Row],[BOYA KODU]],Tablo14[#All],4,0)," ")</f>
        <v xml:space="preserve"> </v>
      </c>
      <c r="L240" s="100" t="str">
        <f>IFERROR(VLOOKUP(Tablo517[[#This Row],[BOYA KODU]],Tablo14[#All],6,0)," ")</f>
        <v xml:space="preserve"> </v>
      </c>
      <c r="M240" s="100" t="str">
        <f t="shared" si="22"/>
        <v xml:space="preserve"> </v>
      </c>
      <c r="N240" s="100" t="str">
        <f>IFERROR(VLOOKUP(Tablo517[[#This Row],[ÜRÜN KODU]],YMKODLARI!$A$1:$K$363,8,0)," ")</f>
        <v xml:space="preserve"> </v>
      </c>
      <c r="O240" s="100" t="str">
        <f>IFERROR(VLOOKUP(Tablo517[[#This Row],[HAMMADDE KODU]],Tablo1[#All],3,0)," ")</f>
        <v xml:space="preserve"> </v>
      </c>
      <c r="P240" s="100" t="str">
        <f>IFERROR(VLOOKUP(Tablo517[[#This Row],[HAMMADDE KODU]],Tablo1[#All],4,0)," ")</f>
        <v xml:space="preserve"> </v>
      </c>
      <c r="Q240" s="100" t="str">
        <f>IFERROR(VLOOKUP(Tablo517[[#This Row],[ÜRÜN KODU]],YMKODLARI!$A$1:$K$363,5,0)," ")</f>
        <v xml:space="preserve"> </v>
      </c>
      <c r="R240" s="100" t="str">
        <f>IFERROR(VLOOKUP(Tablo517[[#This Row],[ÜRÜN KODU]],YMKODLARI!$A$1:$K$363,6,0)," ")</f>
        <v xml:space="preserve"> </v>
      </c>
      <c r="S240" s="100" t="str">
        <f>IFERROR(Tablo517[[#This Row],[YOLLUK HARİÇ BASKI GRAMI]]/Tablo517[[#This Row],[KALIP GÖZ ADEDİ]]," ")</f>
        <v xml:space="preserve"> </v>
      </c>
      <c r="T240" s="100" t="str">
        <f t="shared" si="24"/>
        <v xml:space="preserve"> </v>
      </c>
      <c r="U240" s="100"/>
      <c r="V240" s="100" t="str">
        <f t="shared" si="23"/>
        <v xml:space="preserve"> </v>
      </c>
      <c r="W240" s="101">
        <f t="shared" si="25"/>
        <v>24</v>
      </c>
      <c r="X240" s="102">
        <f t="shared" si="26"/>
        <v>0</v>
      </c>
      <c r="Y240" s="100" t="str">
        <f t="shared" si="27"/>
        <v xml:space="preserve"> </v>
      </c>
      <c r="Z240" s="100" t="str">
        <f t="shared" si="28"/>
        <v xml:space="preserve"> </v>
      </c>
    </row>
    <row r="241" spans="1:26">
      <c r="A241" s="100"/>
      <c r="B241" s="108" t="str">
        <f>IFERROR(VLOOKUP(Tablo517[[#This Row],[ÜRÜN KODU]],YMKODLARI!$A$1:$K$363,2,0)," ")</f>
        <v xml:space="preserve"> </v>
      </c>
      <c r="C241" s="99"/>
      <c r="D241" s="100"/>
      <c r="E241" s="101"/>
      <c r="F241" s="101"/>
      <c r="G241" s="100" t="str">
        <f>IFERROR(VLOOKUP(Tablo517[[#This Row],[ÜRÜN KODU]],YMKODLARI!$A$1:$K$363,3,0)," ")</f>
        <v xml:space="preserve"> </v>
      </c>
      <c r="H241" s="100" t="str">
        <f>IFERROR(VLOOKUP(Tablo517[[#This Row],[ÜRÜN KODU]],YMKODLARI!$A$1:$K$363,4,0)," ")</f>
        <v xml:space="preserve"> </v>
      </c>
      <c r="I241" s="100"/>
      <c r="J241" s="100" t="str">
        <f>IFERROR(VLOOKUP(Tablo517[[#This Row],[ÜRÜN KODU]],YMKODLARI!$A$1:$K$363,9,0)," ")</f>
        <v xml:space="preserve"> </v>
      </c>
      <c r="K241" s="100" t="str">
        <f>IFERROR(VLOOKUP(Tablo517[[#This Row],[BOYA KODU]],Tablo14[#All],4,0)," ")</f>
        <v xml:space="preserve"> </v>
      </c>
      <c r="L241" s="100" t="str">
        <f>IFERROR(VLOOKUP(Tablo517[[#This Row],[BOYA KODU]],Tablo14[#All],6,0)," ")</f>
        <v xml:space="preserve"> </v>
      </c>
      <c r="M241" s="100" t="str">
        <f t="shared" si="22"/>
        <v xml:space="preserve"> </v>
      </c>
      <c r="N241" s="100" t="str">
        <f>IFERROR(VLOOKUP(Tablo517[[#This Row],[ÜRÜN KODU]],YMKODLARI!$A$1:$K$363,8,0)," ")</f>
        <v xml:space="preserve"> </v>
      </c>
      <c r="O241" s="100" t="str">
        <f>IFERROR(VLOOKUP(Tablo517[[#This Row],[HAMMADDE KODU]],Tablo1[#All],3,0)," ")</f>
        <v xml:space="preserve"> </v>
      </c>
      <c r="P241" s="100" t="str">
        <f>IFERROR(VLOOKUP(Tablo517[[#This Row],[HAMMADDE KODU]],Tablo1[#All],4,0)," ")</f>
        <v xml:space="preserve"> </v>
      </c>
      <c r="Q241" s="100" t="str">
        <f>IFERROR(VLOOKUP(Tablo517[[#This Row],[ÜRÜN KODU]],YMKODLARI!$A$1:$K$363,5,0)," ")</f>
        <v xml:space="preserve"> </v>
      </c>
      <c r="R241" s="100" t="str">
        <f>IFERROR(VLOOKUP(Tablo517[[#This Row],[ÜRÜN KODU]],YMKODLARI!$A$1:$K$363,6,0)," ")</f>
        <v xml:space="preserve"> </v>
      </c>
      <c r="S241" s="100" t="str">
        <f>IFERROR(Tablo517[[#This Row],[YOLLUK HARİÇ BASKI GRAMI]]/Tablo517[[#This Row],[KALIP GÖZ ADEDİ]]," ")</f>
        <v xml:space="preserve"> </v>
      </c>
      <c r="T241" s="100" t="str">
        <f t="shared" si="24"/>
        <v xml:space="preserve"> </v>
      </c>
      <c r="U241" s="100"/>
      <c r="V241" s="100" t="str">
        <f t="shared" si="23"/>
        <v xml:space="preserve"> </v>
      </c>
      <c r="W241" s="101">
        <f t="shared" si="25"/>
        <v>24</v>
      </c>
      <c r="X241" s="102">
        <f t="shared" si="26"/>
        <v>0</v>
      </c>
      <c r="Y241" s="100" t="str">
        <f t="shared" si="27"/>
        <v xml:space="preserve"> </v>
      </c>
      <c r="Z241" s="100" t="str">
        <f t="shared" si="28"/>
        <v xml:space="preserve"> </v>
      </c>
    </row>
    <row r="242" spans="1:26">
      <c r="A242" s="100"/>
      <c r="B242" s="108" t="str">
        <f>IFERROR(VLOOKUP(Tablo517[[#This Row],[ÜRÜN KODU]],YMKODLARI!$A$1:$K$363,2,0)," ")</f>
        <v xml:space="preserve"> </v>
      </c>
      <c r="C242" s="99"/>
      <c r="D242" s="100"/>
      <c r="E242" s="101"/>
      <c r="F242" s="101"/>
      <c r="G242" s="100" t="str">
        <f>IFERROR(VLOOKUP(Tablo517[[#This Row],[ÜRÜN KODU]],YMKODLARI!$A$1:$K$363,3,0)," ")</f>
        <v xml:space="preserve"> </v>
      </c>
      <c r="H242" s="100" t="str">
        <f>IFERROR(VLOOKUP(Tablo517[[#This Row],[ÜRÜN KODU]],YMKODLARI!$A$1:$K$363,4,0)," ")</f>
        <v xml:space="preserve"> </v>
      </c>
      <c r="I242" s="100"/>
      <c r="J242" s="100" t="str">
        <f>IFERROR(VLOOKUP(Tablo517[[#This Row],[ÜRÜN KODU]],YMKODLARI!$A$1:$K$363,9,0)," ")</f>
        <v xml:space="preserve"> </v>
      </c>
      <c r="K242" s="100" t="str">
        <f>IFERROR(VLOOKUP(Tablo517[[#This Row],[BOYA KODU]],Tablo14[#All],4,0)," ")</f>
        <v xml:space="preserve"> </v>
      </c>
      <c r="L242" s="100" t="str">
        <f>IFERROR(VLOOKUP(Tablo517[[#This Row],[BOYA KODU]],Tablo14[#All],6,0)," ")</f>
        <v xml:space="preserve"> </v>
      </c>
      <c r="M242" s="100" t="str">
        <f t="shared" si="22"/>
        <v xml:space="preserve"> </v>
      </c>
      <c r="N242" s="100" t="str">
        <f>IFERROR(VLOOKUP(Tablo517[[#This Row],[ÜRÜN KODU]],YMKODLARI!$A$1:$K$363,8,0)," ")</f>
        <v xml:space="preserve"> </v>
      </c>
      <c r="O242" s="100" t="str">
        <f>IFERROR(VLOOKUP(Tablo517[[#This Row],[HAMMADDE KODU]],Tablo1[#All],3,0)," ")</f>
        <v xml:space="preserve"> </v>
      </c>
      <c r="P242" s="100" t="str">
        <f>IFERROR(VLOOKUP(Tablo517[[#This Row],[HAMMADDE KODU]],Tablo1[#All],4,0)," ")</f>
        <v xml:space="preserve"> </v>
      </c>
      <c r="Q242" s="100" t="str">
        <f>IFERROR(VLOOKUP(Tablo517[[#This Row],[ÜRÜN KODU]],YMKODLARI!$A$1:$K$363,5,0)," ")</f>
        <v xml:space="preserve"> </v>
      </c>
      <c r="R242" s="100" t="str">
        <f>IFERROR(VLOOKUP(Tablo517[[#This Row],[ÜRÜN KODU]],YMKODLARI!$A$1:$K$363,6,0)," ")</f>
        <v xml:space="preserve"> </v>
      </c>
      <c r="S242" s="100" t="str">
        <f>IFERROR(Tablo517[[#This Row],[YOLLUK HARİÇ BASKI GRAMI]]/Tablo517[[#This Row],[KALIP GÖZ ADEDİ]]," ")</f>
        <v xml:space="preserve"> </v>
      </c>
      <c r="T242" s="100" t="str">
        <f t="shared" si="24"/>
        <v xml:space="preserve"> </v>
      </c>
      <c r="U242" s="100"/>
      <c r="V242" s="100" t="str">
        <f t="shared" si="23"/>
        <v xml:space="preserve"> </v>
      </c>
      <c r="W242" s="101">
        <f t="shared" si="25"/>
        <v>24</v>
      </c>
      <c r="X242" s="102">
        <f t="shared" si="26"/>
        <v>0</v>
      </c>
      <c r="Y242" s="100" t="str">
        <f t="shared" si="27"/>
        <v xml:space="preserve"> </v>
      </c>
      <c r="Z242" s="100" t="str">
        <f t="shared" si="28"/>
        <v xml:space="preserve"> </v>
      </c>
    </row>
    <row r="243" spans="1:26">
      <c r="A243" s="100"/>
      <c r="B243" s="108" t="str">
        <f>IFERROR(VLOOKUP(Tablo517[[#This Row],[ÜRÜN KODU]],YMKODLARI!$A$1:$K$363,2,0)," ")</f>
        <v xml:space="preserve"> </v>
      </c>
      <c r="C243" s="99"/>
      <c r="D243" s="100"/>
      <c r="E243" s="101"/>
      <c r="F243" s="101"/>
      <c r="G243" s="100" t="str">
        <f>IFERROR(VLOOKUP(Tablo517[[#This Row],[ÜRÜN KODU]],YMKODLARI!$A$1:$K$363,3,0)," ")</f>
        <v xml:space="preserve"> </v>
      </c>
      <c r="H243" s="100" t="str">
        <f>IFERROR(VLOOKUP(Tablo517[[#This Row],[ÜRÜN KODU]],YMKODLARI!$A$1:$K$363,4,0)," ")</f>
        <v xml:space="preserve"> </v>
      </c>
      <c r="I243" s="100"/>
      <c r="J243" s="100" t="str">
        <f>IFERROR(VLOOKUP(Tablo517[[#This Row],[ÜRÜN KODU]],YMKODLARI!$A$1:$K$363,9,0)," ")</f>
        <v xml:space="preserve"> </v>
      </c>
      <c r="K243" s="100" t="str">
        <f>IFERROR(VLOOKUP(Tablo517[[#This Row],[BOYA KODU]],Tablo14[#All],4,0)," ")</f>
        <v xml:space="preserve"> </v>
      </c>
      <c r="L243" s="100" t="str">
        <f>IFERROR(VLOOKUP(Tablo517[[#This Row],[BOYA KODU]],Tablo14[#All],6,0)," ")</f>
        <v xml:space="preserve"> </v>
      </c>
      <c r="M243" s="100" t="str">
        <f t="shared" si="22"/>
        <v xml:space="preserve"> </v>
      </c>
      <c r="N243" s="100" t="str">
        <f>IFERROR(VLOOKUP(Tablo517[[#This Row],[ÜRÜN KODU]],YMKODLARI!$A$1:$K$363,8,0)," ")</f>
        <v xml:space="preserve"> </v>
      </c>
      <c r="O243" s="100" t="str">
        <f>IFERROR(VLOOKUP(Tablo517[[#This Row],[HAMMADDE KODU]],Tablo1[#All],3,0)," ")</f>
        <v xml:space="preserve"> </v>
      </c>
      <c r="P243" s="100" t="str">
        <f>IFERROR(VLOOKUP(Tablo517[[#This Row],[HAMMADDE KODU]],Tablo1[#All],4,0)," ")</f>
        <v xml:space="preserve"> </v>
      </c>
      <c r="Q243" s="100" t="str">
        <f>IFERROR(VLOOKUP(Tablo517[[#This Row],[ÜRÜN KODU]],YMKODLARI!$A$1:$K$363,5,0)," ")</f>
        <v xml:space="preserve"> </v>
      </c>
      <c r="R243" s="100" t="str">
        <f>IFERROR(VLOOKUP(Tablo517[[#This Row],[ÜRÜN KODU]],YMKODLARI!$A$1:$K$363,6,0)," ")</f>
        <v xml:space="preserve"> </v>
      </c>
      <c r="S243" s="100" t="str">
        <f>IFERROR(Tablo517[[#This Row],[YOLLUK HARİÇ BASKI GRAMI]]/Tablo517[[#This Row],[KALIP GÖZ ADEDİ]]," ")</f>
        <v xml:space="preserve"> </v>
      </c>
      <c r="T243" s="100" t="str">
        <f t="shared" si="24"/>
        <v xml:space="preserve"> </v>
      </c>
      <c r="U243" s="100"/>
      <c r="V243" s="100" t="str">
        <f t="shared" si="23"/>
        <v xml:space="preserve"> </v>
      </c>
      <c r="W243" s="101">
        <f t="shared" si="25"/>
        <v>24</v>
      </c>
      <c r="X243" s="102">
        <f t="shared" si="26"/>
        <v>0</v>
      </c>
      <c r="Y243" s="100" t="str">
        <f t="shared" si="27"/>
        <v xml:space="preserve"> </v>
      </c>
      <c r="Z243" s="100" t="str">
        <f t="shared" si="28"/>
        <v xml:space="preserve"> </v>
      </c>
    </row>
    <row r="244" spans="1:26">
      <c r="A244" s="100"/>
      <c r="B244" s="108" t="str">
        <f>IFERROR(VLOOKUP(Tablo517[[#This Row],[ÜRÜN KODU]],YMKODLARI!$A$1:$K$363,2,0)," ")</f>
        <v xml:space="preserve"> </v>
      </c>
      <c r="C244" s="99"/>
      <c r="D244" s="100"/>
      <c r="E244" s="101"/>
      <c r="F244" s="101"/>
      <c r="G244" s="100" t="str">
        <f>IFERROR(VLOOKUP(Tablo517[[#This Row],[ÜRÜN KODU]],YMKODLARI!$A$1:$K$363,3,0)," ")</f>
        <v xml:space="preserve"> </v>
      </c>
      <c r="H244" s="100" t="str">
        <f>IFERROR(VLOOKUP(Tablo517[[#This Row],[ÜRÜN KODU]],YMKODLARI!$A$1:$K$363,4,0)," ")</f>
        <v xml:space="preserve"> </v>
      </c>
      <c r="I244" s="100"/>
      <c r="J244" s="100" t="str">
        <f>IFERROR(VLOOKUP(Tablo517[[#This Row],[ÜRÜN KODU]],YMKODLARI!$A$1:$K$363,9,0)," ")</f>
        <v xml:space="preserve"> </v>
      </c>
      <c r="K244" s="100" t="str">
        <f>IFERROR(VLOOKUP(Tablo517[[#This Row],[BOYA KODU]],Tablo14[#All],4,0)," ")</f>
        <v xml:space="preserve"> </v>
      </c>
      <c r="L244" s="100" t="str">
        <f>IFERROR(VLOOKUP(Tablo517[[#This Row],[BOYA KODU]],Tablo14[#All],6,0)," ")</f>
        <v xml:space="preserve"> </v>
      </c>
      <c r="M244" s="100" t="str">
        <f t="shared" si="22"/>
        <v xml:space="preserve"> </v>
      </c>
      <c r="N244" s="100" t="str">
        <f>IFERROR(VLOOKUP(Tablo517[[#This Row],[ÜRÜN KODU]],YMKODLARI!$A$1:$K$363,8,0)," ")</f>
        <v xml:space="preserve"> </v>
      </c>
      <c r="O244" s="100" t="str">
        <f>IFERROR(VLOOKUP(Tablo517[[#This Row],[HAMMADDE KODU]],Tablo1[#All],3,0)," ")</f>
        <v xml:space="preserve"> </v>
      </c>
      <c r="P244" s="100" t="str">
        <f>IFERROR(VLOOKUP(Tablo517[[#This Row],[HAMMADDE KODU]],Tablo1[#All],4,0)," ")</f>
        <v xml:space="preserve"> </v>
      </c>
      <c r="Q244" s="100" t="str">
        <f>IFERROR(VLOOKUP(Tablo517[[#This Row],[ÜRÜN KODU]],YMKODLARI!$A$1:$K$363,5,0)," ")</f>
        <v xml:space="preserve"> </v>
      </c>
      <c r="R244" s="100" t="str">
        <f>IFERROR(VLOOKUP(Tablo517[[#This Row],[ÜRÜN KODU]],YMKODLARI!$A$1:$K$363,6,0)," ")</f>
        <v xml:space="preserve"> </v>
      </c>
      <c r="S244" s="100" t="str">
        <f>IFERROR(Tablo517[[#This Row],[YOLLUK HARİÇ BASKI GRAMI]]/Tablo517[[#This Row],[KALIP GÖZ ADEDİ]]," ")</f>
        <v xml:space="preserve"> </v>
      </c>
      <c r="T244" s="100" t="str">
        <f t="shared" si="24"/>
        <v xml:space="preserve"> </v>
      </c>
      <c r="U244" s="100"/>
      <c r="V244" s="100" t="str">
        <f t="shared" si="23"/>
        <v xml:space="preserve"> </v>
      </c>
      <c r="W244" s="101">
        <f t="shared" si="25"/>
        <v>24</v>
      </c>
      <c r="X244" s="102">
        <f t="shared" si="26"/>
        <v>0</v>
      </c>
      <c r="Y244" s="100" t="str">
        <f t="shared" si="27"/>
        <v xml:space="preserve"> </v>
      </c>
      <c r="Z244" s="100" t="str">
        <f t="shared" si="28"/>
        <v xml:space="preserve"> </v>
      </c>
    </row>
    <row r="245" spans="1:26">
      <c r="A245" s="100"/>
      <c r="B245" s="108" t="str">
        <f>IFERROR(VLOOKUP(Tablo517[[#This Row],[ÜRÜN KODU]],YMKODLARI!$A$1:$K$363,2,0)," ")</f>
        <v xml:space="preserve"> </v>
      </c>
      <c r="C245" s="99"/>
      <c r="D245" s="100"/>
      <c r="E245" s="101"/>
      <c r="F245" s="101"/>
      <c r="G245" s="100" t="str">
        <f>IFERROR(VLOOKUP(Tablo517[[#This Row],[ÜRÜN KODU]],YMKODLARI!$A$1:$K$363,3,0)," ")</f>
        <v xml:space="preserve"> </v>
      </c>
      <c r="H245" s="100" t="str">
        <f>IFERROR(VLOOKUP(Tablo517[[#This Row],[ÜRÜN KODU]],YMKODLARI!$A$1:$K$363,4,0)," ")</f>
        <v xml:space="preserve"> </v>
      </c>
      <c r="I245" s="100"/>
      <c r="J245" s="100" t="str">
        <f>IFERROR(VLOOKUP(Tablo517[[#This Row],[ÜRÜN KODU]],YMKODLARI!$A$1:$K$363,9,0)," ")</f>
        <v xml:space="preserve"> </v>
      </c>
      <c r="K245" s="100" t="str">
        <f>IFERROR(VLOOKUP(Tablo517[[#This Row],[BOYA KODU]],Tablo14[#All],4,0)," ")</f>
        <v xml:space="preserve"> </v>
      </c>
      <c r="L245" s="100" t="str">
        <f>IFERROR(VLOOKUP(Tablo517[[#This Row],[BOYA KODU]],Tablo14[#All],6,0)," ")</f>
        <v xml:space="preserve"> </v>
      </c>
      <c r="M245" s="100" t="str">
        <f t="shared" si="22"/>
        <v xml:space="preserve"> </v>
      </c>
      <c r="N245" s="100" t="str">
        <f>IFERROR(VLOOKUP(Tablo517[[#This Row],[ÜRÜN KODU]],YMKODLARI!$A$1:$K$363,8,0)," ")</f>
        <v xml:space="preserve"> </v>
      </c>
      <c r="O245" s="100" t="str">
        <f>IFERROR(VLOOKUP(Tablo517[[#This Row],[HAMMADDE KODU]],Tablo1[#All],3,0)," ")</f>
        <v xml:space="preserve"> </v>
      </c>
      <c r="P245" s="100" t="str">
        <f>IFERROR(VLOOKUP(Tablo517[[#This Row],[HAMMADDE KODU]],Tablo1[#All],4,0)," ")</f>
        <v xml:space="preserve"> </v>
      </c>
      <c r="Q245" s="100" t="str">
        <f>IFERROR(VLOOKUP(Tablo517[[#This Row],[ÜRÜN KODU]],YMKODLARI!$A$1:$K$363,5,0)," ")</f>
        <v xml:space="preserve"> </v>
      </c>
      <c r="R245" s="100" t="str">
        <f>IFERROR(VLOOKUP(Tablo517[[#This Row],[ÜRÜN KODU]],YMKODLARI!$A$1:$K$363,6,0)," ")</f>
        <v xml:space="preserve"> </v>
      </c>
      <c r="S245" s="100" t="str">
        <f>IFERROR(Tablo517[[#This Row],[YOLLUK HARİÇ BASKI GRAMI]]/Tablo517[[#This Row],[KALIP GÖZ ADEDİ]]," ")</f>
        <v xml:space="preserve"> </v>
      </c>
      <c r="T245" s="100" t="str">
        <f t="shared" si="24"/>
        <v xml:space="preserve"> </v>
      </c>
      <c r="U245" s="100"/>
      <c r="V245" s="100" t="str">
        <f t="shared" si="23"/>
        <v xml:space="preserve"> </v>
      </c>
      <c r="W245" s="101">
        <f t="shared" si="25"/>
        <v>24</v>
      </c>
      <c r="X245" s="102">
        <f t="shared" si="26"/>
        <v>0</v>
      </c>
      <c r="Y245" s="100" t="str">
        <f t="shared" si="27"/>
        <v xml:space="preserve"> </v>
      </c>
      <c r="Z245" s="100" t="str">
        <f t="shared" si="28"/>
        <v xml:space="preserve"> </v>
      </c>
    </row>
    <row r="246" spans="1:26">
      <c r="A246" s="100"/>
      <c r="B246" s="108" t="str">
        <f>IFERROR(VLOOKUP(Tablo517[[#This Row],[ÜRÜN KODU]],YMKODLARI!$A$1:$K$363,2,0)," ")</f>
        <v xml:space="preserve"> </v>
      </c>
      <c r="C246" s="99"/>
      <c r="D246" s="100"/>
      <c r="E246" s="101"/>
      <c r="F246" s="101"/>
      <c r="G246" s="100" t="str">
        <f>IFERROR(VLOOKUP(Tablo517[[#This Row],[ÜRÜN KODU]],YMKODLARI!$A$1:$K$363,3,0)," ")</f>
        <v xml:space="preserve"> </v>
      </c>
      <c r="H246" s="100" t="str">
        <f>IFERROR(VLOOKUP(Tablo517[[#This Row],[ÜRÜN KODU]],YMKODLARI!$A$1:$K$363,4,0)," ")</f>
        <v xml:space="preserve"> </v>
      </c>
      <c r="I246" s="100"/>
      <c r="J246" s="100" t="str">
        <f>IFERROR(VLOOKUP(Tablo517[[#This Row],[ÜRÜN KODU]],YMKODLARI!$A$1:$K$363,9,0)," ")</f>
        <v xml:space="preserve"> </v>
      </c>
      <c r="K246" s="100" t="str">
        <f>IFERROR(VLOOKUP(Tablo517[[#This Row],[BOYA KODU]],Tablo14[#All],4,0)," ")</f>
        <v xml:space="preserve"> </v>
      </c>
      <c r="L246" s="100" t="str">
        <f>IFERROR(VLOOKUP(Tablo517[[#This Row],[BOYA KODU]],Tablo14[#All],6,0)," ")</f>
        <v xml:space="preserve"> </v>
      </c>
      <c r="M246" s="100" t="str">
        <f t="shared" si="22"/>
        <v xml:space="preserve"> </v>
      </c>
      <c r="N246" s="100" t="str">
        <f>IFERROR(VLOOKUP(Tablo517[[#This Row],[ÜRÜN KODU]],YMKODLARI!$A$1:$K$363,8,0)," ")</f>
        <v xml:space="preserve"> </v>
      </c>
      <c r="O246" s="100" t="str">
        <f>IFERROR(VLOOKUP(Tablo517[[#This Row],[HAMMADDE KODU]],Tablo1[#All],3,0)," ")</f>
        <v xml:space="preserve"> </v>
      </c>
      <c r="P246" s="100" t="str">
        <f>IFERROR(VLOOKUP(Tablo517[[#This Row],[HAMMADDE KODU]],Tablo1[#All],4,0)," ")</f>
        <v xml:space="preserve"> </v>
      </c>
      <c r="Q246" s="100" t="str">
        <f>IFERROR(VLOOKUP(Tablo517[[#This Row],[ÜRÜN KODU]],YMKODLARI!$A$1:$K$363,5,0)," ")</f>
        <v xml:space="preserve"> </v>
      </c>
      <c r="R246" s="100" t="str">
        <f>IFERROR(VLOOKUP(Tablo517[[#This Row],[ÜRÜN KODU]],YMKODLARI!$A$1:$K$363,6,0)," ")</f>
        <v xml:space="preserve"> </v>
      </c>
      <c r="S246" s="100" t="str">
        <f>IFERROR(Tablo517[[#This Row],[YOLLUK HARİÇ BASKI GRAMI]]/Tablo517[[#This Row],[KALIP GÖZ ADEDİ]]," ")</f>
        <v xml:space="preserve"> </v>
      </c>
      <c r="T246" s="100" t="str">
        <f t="shared" si="24"/>
        <v xml:space="preserve"> </v>
      </c>
      <c r="U246" s="100"/>
      <c r="V246" s="100" t="str">
        <f t="shared" si="23"/>
        <v xml:space="preserve"> </v>
      </c>
      <c r="W246" s="101">
        <f t="shared" si="25"/>
        <v>24</v>
      </c>
      <c r="X246" s="102">
        <f t="shared" si="26"/>
        <v>0</v>
      </c>
      <c r="Y246" s="100" t="str">
        <f t="shared" si="27"/>
        <v xml:space="preserve"> </v>
      </c>
      <c r="Z246" s="100" t="str">
        <f t="shared" si="28"/>
        <v xml:space="preserve"> </v>
      </c>
    </row>
    <row r="247" spans="1:26">
      <c r="A247" s="100"/>
      <c r="B247" s="108" t="str">
        <f>IFERROR(VLOOKUP(Tablo517[[#This Row],[ÜRÜN KODU]],YMKODLARI!$A$1:$K$363,2,0)," ")</f>
        <v xml:space="preserve"> </v>
      </c>
      <c r="C247" s="99"/>
      <c r="D247" s="100"/>
      <c r="E247" s="101"/>
      <c r="F247" s="101"/>
      <c r="G247" s="100" t="str">
        <f>IFERROR(VLOOKUP(Tablo517[[#This Row],[ÜRÜN KODU]],YMKODLARI!$A$1:$K$363,3,0)," ")</f>
        <v xml:space="preserve"> </v>
      </c>
      <c r="H247" s="100" t="str">
        <f>IFERROR(VLOOKUP(Tablo517[[#This Row],[ÜRÜN KODU]],YMKODLARI!$A$1:$K$363,4,0)," ")</f>
        <v xml:space="preserve"> </v>
      </c>
      <c r="I247" s="100"/>
      <c r="J247" s="100" t="str">
        <f>IFERROR(VLOOKUP(Tablo517[[#This Row],[ÜRÜN KODU]],YMKODLARI!$A$1:$K$363,9,0)," ")</f>
        <v xml:space="preserve"> </v>
      </c>
      <c r="K247" s="100" t="str">
        <f>IFERROR(VLOOKUP(Tablo517[[#This Row],[BOYA KODU]],Tablo14[#All],4,0)," ")</f>
        <v xml:space="preserve"> </v>
      </c>
      <c r="L247" s="100" t="str">
        <f>IFERROR(VLOOKUP(Tablo517[[#This Row],[BOYA KODU]],Tablo14[#All],6,0)," ")</f>
        <v xml:space="preserve"> </v>
      </c>
      <c r="M247" s="100" t="str">
        <f t="shared" si="22"/>
        <v xml:space="preserve"> </v>
      </c>
      <c r="N247" s="100" t="str">
        <f>IFERROR(VLOOKUP(Tablo517[[#This Row],[ÜRÜN KODU]],YMKODLARI!$A$1:$K$363,8,0)," ")</f>
        <v xml:space="preserve"> </v>
      </c>
      <c r="O247" s="100" t="str">
        <f>IFERROR(VLOOKUP(Tablo517[[#This Row],[HAMMADDE KODU]],Tablo1[#All],3,0)," ")</f>
        <v xml:space="preserve"> </v>
      </c>
      <c r="P247" s="100" t="str">
        <f>IFERROR(VLOOKUP(Tablo517[[#This Row],[HAMMADDE KODU]],Tablo1[#All],4,0)," ")</f>
        <v xml:space="preserve"> </v>
      </c>
      <c r="Q247" s="100" t="str">
        <f>IFERROR(VLOOKUP(Tablo517[[#This Row],[ÜRÜN KODU]],YMKODLARI!$A$1:$K$363,5,0)," ")</f>
        <v xml:space="preserve"> </v>
      </c>
      <c r="R247" s="100" t="str">
        <f>IFERROR(VLOOKUP(Tablo517[[#This Row],[ÜRÜN KODU]],YMKODLARI!$A$1:$K$363,6,0)," ")</f>
        <v xml:space="preserve"> </v>
      </c>
      <c r="S247" s="100" t="str">
        <f>IFERROR(Tablo517[[#This Row],[YOLLUK HARİÇ BASKI GRAMI]]/Tablo517[[#This Row],[KALIP GÖZ ADEDİ]]," ")</f>
        <v xml:space="preserve"> </v>
      </c>
      <c r="T247" s="100" t="str">
        <f t="shared" si="24"/>
        <v xml:space="preserve"> </v>
      </c>
      <c r="U247" s="100"/>
      <c r="V247" s="100" t="str">
        <f t="shared" si="23"/>
        <v xml:space="preserve"> </v>
      </c>
      <c r="W247" s="101">
        <f t="shared" si="25"/>
        <v>24</v>
      </c>
      <c r="X247" s="102">
        <f t="shared" si="26"/>
        <v>0</v>
      </c>
      <c r="Y247" s="100" t="str">
        <f t="shared" si="27"/>
        <v xml:space="preserve"> </v>
      </c>
      <c r="Z247" s="100" t="str">
        <f t="shared" si="28"/>
        <v xml:space="preserve"> </v>
      </c>
    </row>
    <row r="248" spans="1:26">
      <c r="A248" s="100"/>
      <c r="B248" s="108" t="str">
        <f>IFERROR(VLOOKUP(Tablo517[[#This Row],[ÜRÜN KODU]],YMKODLARI!$A$1:$K$363,2,0)," ")</f>
        <v xml:space="preserve"> </v>
      </c>
      <c r="C248" s="99"/>
      <c r="D248" s="100"/>
      <c r="E248" s="101"/>
      <c r="F248" s="101"/>
      <c r="G248" s="100" t="str">
        <f>IFERROR(VLOOKUP(Tablo517[[#This Row],[ÜRÜN KODU]],YMKODLARI!$A$1:$K$363,3,0)," ")</f>
        <v xml:space="preserve"> </v>
      </c>
      <c r="H248" s="100" t="str">
        <f>IFERROR(VLOOKUP(Tablo517[[#This Row],[ÜRÜN KODU]],YMKODLARI!$A$1:$K$363,4,0)," ")</f>
        <v xml:space="preserve"> </v>
      </c>
      <c r="I248" s="100"/>
      <c r="J248" s="100" t="str">
        <f>IFERROR(VLOOKUP(Tablo517[[#This Row],[ÜRÜN KODU]],YMKODLARI!$A$1:$K$363,9,0)," ")</f>
        <v xml:space="preserve"> </v>
      </c>
      <c r="K248" s="100" t="str">
        <f>IFERROR(VLOOKUP(Tablo517[[#This Row],[BOYA KODU]],Tablo14[#All],4,0)," ")</f>
        <v xml:space="preserve"> </v>
      </c>
      <c r="L248" s="100" t="str">
        <f>IFERROR(VLOOKUP(Tablo517[[#This Row],[BOYA KODU]],Tablo14[#All],6,0)," ")</f>
        <v xml:space="preserve"> </v>
      </c>
      <c r="M248" s="100" t="str">
        <f t="shared" si="22"/>
        <v xml:space="preserve"> </v>
      </c>
      <c r="N248" s="100" t="str">
        <f>IFERROR(VLOOKUP(Tablo517[[#This Row],[ÜRÜN KODU]],YMKODLARI!$A$1:$K$363,8,0)," ")</f>
        <v xml:space="preserve"> </v>
      </c>
      <c r="O248" s="100" t="str">
        <f>IFERROR(VLOOKUP(Tablo517[[#This Row],[HAMMADDE KODU]],Tablo1[#All],3,0)," ")</f>
        <v xml:space="preserve"> </v>
      </c>
      <c r="P248" s="100" t="str">
        <f>IFERROR(VLOOKUP(Tablo517[[#This Row],[HAMMADDE KODU]],Tablo1[#All],4,0)," ")</f>
        <v xml:space="preserve"> </v>
      </c>
      <c r="Q248" s="100" t="str">
        <f>IFERROR(VLOOKUP(Tablo517[[#This Row],[ÜRÜN KODU]],YMKODLARI!$A$1:$K$363,5,0)," ")</f>
        <v xml:space="preserve"> </v>
      </c>
      <c r="R248" s="100" t="str">
        <f>IFERROR(VLOOKUP(Tablo517[[#This Row],[ÜRÜN KODU]],YMKODLARI!$A$1:$K$363,6,0)," ")</f>
        <v xml:space="preserve"> </v>
      </c>
      <c r="S248" s="100" t="str">
        <f>IFERROR(Tablo517[[#This Row],[YOLLUK HARİÇ BASKI GRAMI]]/Tablo517[[#This Row],[KALIP GÖZ ADEDİ]]," ")</f>
        <v xml:space="preserve"> </v>
      </c>
      <c r="T248" s="100" t="str">
        <f t="shared" si="24"/>
        <v xml:space="preserve"> </v>
      </c>
      <c r="U248" s="100"/>
      <c r="V248" s="100" t="str">
        <f t="shared" si="23"/>
        <v xml:space="preserve"> </v>
      </c>
      <c r="W248" s="101">
        <f t="shared" si="25"/>
        <v>24</v>
      </c>
      <c r="X248" s="102">
        <f t="shared" si="26"/>
        <v>0</v>
      </c>
      <c r="Y248" s="100" t="str">
        <f t="shared" si="27"/>
        <v xml:space="preserve"> </v>
      </c>
      <c r="Z248" s="100" t="str">
        <f t="shared" si="28"/>
        <v xml:space="preserve"> </v>
      </c>
    </row>
    <row r="249" spans="1:26">
      <c r="A249" s="100"/>
      <c r="B249" s="108" t="str">
        <f>IFERROR(VLOOKUP(Tablo517[[#This Row],[ÜRÜN KODU]],YMKODLARI!$A$1:$K$363,2,0)," ")</f>
        <v xml:space="preserve"> </v>
      </c>
      <c r="C249" s="99"/>
      <c r="D249" s="100"/>
      <c r="E249" s="101"/>
      <c r="F249" s="101"/>
      <c r="G249" s="100" t="str">
        <f>IFERROR(VLOOKUP(Tablo517[[#This Row],[ÜRÜN KODU]],YMKODLARI!$A$1:$K$363,3,0)," ")</f>
        <v xml:space="preserve"> </v>
      </c>
      <c r="H249" s="100" t="str">
        <f>IFERROR(VLOOKUP(Tablo517[[#This Row],[ÜRÜN KODU]],YMKODLARI!$A$1:$K$363,4,0)," ")</f>
        <v xml:space="preserve"> </v>
      </c>
      <c r="I249" s="100"/>
      <c r="J249" s="100" t="str">
        <f>IFERROR(VLOOKUP(Tablo517[[#This Row],[ÜRÜN KODU]],YMKODLARI!$A$1:$K$363,9,0)," ")</f>
        <v xml:space="preserve"> </v>
      </c>
      <c r="K249" s="100" t="str">
        <f>IFERROR(VLOOKUP(Tablo517[[#This Row],[BOYA KODU]],Tablo14[#All],4,0)," ")</f>
        <v xml:space="preserve"> </v>
      </c>
      <c r="L249" s="100" t="str">
        <f>IFERROR(VLOOKUP(Tablo517[[#This Row],[BOYA KODU]],Tablo14[#All],6,0)," ")</f>
        <v xml:space="preserve"> </v>
      </c>
      <c r="M249" s="100" t="str">
        <f t="shared" si="22"/>
        <v xml:space="preserve"> </v>
      </c>
      <c r="N249" s="100" t="str">
        <f>IFERROR(VLOOKUP(Tablo517[[#This Row],[ÜRÜN KODU]],YMKODLARI!$A$1:$K$363,8,0)," ")</f>
        <v xml:space="preserve"> </v>
      </c>
      <c r="O249" s="100" t="str">
        <f>IFERROR(VLOOKUP(Tablo517[[#This Row],[HAMMADDE KODU]],Tablo1[#All],3,0)," ")</f>
        <v xml:space="preserve"> </v>
      </c>
      <c r="P249" s="100" t="str">
        <f>IFERROR(VLOOKUP(Tablo517[[#This Row],[HAMMADDE KODU]],Tablo1[#All],4,0)," ")</f>
        <v xml:space="preserve"> </v>
      </c>
      <c r="Q249" s="100" t="str">
        <f>IFERROR(VLOOKUP(Tablo517[[#This Row],[ÜRÜN KODU]],YMKODLARI!$A$1:$K$363,5,0)," ")</f>
        <v xml:space="preserve"> </v>
      </c>
      <c r="R249" s="100" t="str">
        <f>IFERROR(VLOOKUP(Tablo517[[#This Row],[ÜRÜN KODU]],YMKODLARI!$A$1:$K$363,6,0)," ")</f>
        <v xml:space="preserve"> </v>
      </c>
      <c r="S249" s="100" t="str">
        <f>IFERROR(Tablo517[[#This Row],[YOLLUK HARİÇ BASKI GRAMI]]/Tablo517[[#This Row],[KALIP GÖZ ADEDİ]]," ")</f>
        <v xml:space="preserve"> </v>
      </c>
      <c r="T249" s="100" t="str">
        <f t="shared" si="24"/>
        <v xml:space="preserve"> </v>
      </c>
      <c r="U249" s="100"/>
      <c r="V249" s="100" t="str">
        <f t="shared" si="23"/>
        <v xml:space="preserve"> </v>
      </c>
      <c r="W249" s="101">
        <f t="shared" si="25"/>
        <v>24</v>
      </c>
      <c r="X249" s="102">
        <f t="shared" si="26"/>
        <v>0</v>
      </c>
      <c r="Y249" s="100" t="str">
        <f t="shared" si="27"/>
        <v xml:space="preserve"> </v>
      </c>
      <c r="Z249" s="100" t="str">
        <f t="shared" si="28"/>
        <v xml:space="preserve"> </v>
      </c>
    </row>
    <row r="250" spans="1:26">
      <c r="A250" s="100"/>
      <c r="B250" s="108" t="str">
        <f>IFERROR(VLOOKUP(Tablo517[[#This Row],[ÜRÜN KODU]],YMKODLARI!$A$1:$K$363,2,0)," ")</f>
        <v xml:space="preserve"> </v>
      </c>
      <c r="C250" s="99"/>
      <c r="D250" s="100"/>
      <c r="E250" s="101"/>
      <c r="F250" s="101"/>
      <c r="G250" s="100" t="str">
        <f>IFERROR(VLOOKUP(Tablo517[[#This Row],[ÜRÜN KODU]],YMKODLARI!$A$1:$K$363,3,0)," ")</f>
        <v xml:space="preserve"> </v>
      </c>
      <c r="H250" s="100" t="str">
        <f>IFERROR(VLOOKUP(Tablo517[[#This Row],[ÜRÜN KODU]],YMKODLARI!$A$1:$K$363,4,0)," ")</f>
        <v xml:space="preserve"> </v>
      </c>
      <c r="I250" s="100"/>
      <c r="J250" s="100" t="str">
        <f>IFERROR(VLOOKUP(Tablo517[[#This Row],[ÜRÜN KODU]],YMKODLARI!$A$1:$K$363,9,0)," ")</f>
        <v xml:space="preserve"> </v>
      </c>
      <c r="K250" s="100" t="str">
        <f>IFERROR(VLOOKUP(Tablo517[[#This Row],[BOYA KODU]],Tablo14[#All],4,0)," ")</f>
        <v xml:space="preserve"> </v>
      </c>
      <c r="L250" s="100" t="str">
        <f>IFERROR(VLOOKUP(Tablo517[[#This Row],[BOYA KODU]],Tablo14[#All],6,0)," ")</f>
        <v xml:space="preserve"> </v>
      </c>
      <c r="M250" s="100" t="str">
        <f t="shared" si="22"/>
        <v xml:space="preserve"> </v>
      </c>
      <c r="N250" s="100" t="str">
        <f>IFERROR(VLOOKUP(Tablo517[[#This Row],[ÜRÜN KODU]],YMKODLARI!$A$1:$K$363,8,0)," ")</f>
        <v xml:space="preserve"> </v>
      </c>
      <c r="O250" s="100" t="str">
        <f>IFERROR(VLOOKUP(Tablo517[[#This Row],[HAMMADDE KODU]],Tablo1[#All],3,0)," ")</f>
        <v xml:space="preserve"> </v>
      </c>
      <c r="P250" s="100" t="str">
        <f>IFERROR(VLOOKUP(Tablo517[[#This Row],[HAMMADDE KODU]],Tablo1[#All],4,0)," ")</f>
        <v xml:space="preserve"> </v>
      </c>
      <c r="Q250" s="100" t="str">
        <f>IFERROR(VLOOKUP(Tablo517[[#This Row],[ÜRÜN KODU]],YMKODLARI!$A$1:$K$363,5,0)," ")</f>
        <v xml:space="preserve"> </v>
      </c>
      <c r="R250" s="100" t="str">
        <f>IFERROR(VLOOKUP(Tablo517[[#This Row],[ÜRÜN KODU]],YMKODLARI!$A$1:$K$363,6,0)," ")</f>
        <v xml:space="preserve"> </v>
      </c>
      <c r="S250" s="100" t="str">
        <f>IFERROR(Tablo517[[#This Row],[YOLLUK HARİÇ BASKI GRAMI]]/Tablo517[[#This Row],[KALIP GÖZ ADEDİ]]," ")</f>
        <v xml:space="preserve"> </v>
      </c>
      <c r="T250" s="100" t="str">
        <f t="shared" si="24"/>
        <v xml:space="preserve"> </v>
      </c>
      <c r="U250" s="100"/>
      <c r="V250" s="100" t="str">
        <f t="shared" si="23"/>
        <v xml:space="preserve"> </v>
      </c>
      <c r="W250" s="101">
        <f t="shared" si="25"/>
        <v>24</v>
      </c>
      <c r="X250" s="102">
        <f t="shared" si="26"/>
        <v>0</v>
      </c>
      <c r="Y250" s="100" t="str">
        <f t="shared" si="27"/>
        <v xml:space="preserve"> </v>
      </c>
      <c r="Z250" s="100" t="str">
        <f t="shared" si="28"/>
        <v xml:space="preserve"> </v>
      </c>
    </row>
    <row r="251" spans="1:26">
      <c r="A251" s="100"/>
      <c r="B251" s="108" t="str">
        <f>IFERROR(VLOOKUP(Tablo517[[#This Row],[ÜRÜN KODU]],YMKODLARI!$A$1:$K$363,2,0)," ")</f>
        <v xml:space="preserve"> </v>
      </c>
      <c r="C251" s="99"/>
      <c r="D251" s="100"/>
      <c r="E251" s="101"/>
      <c r="F251" s="101"/>
      <c r="G251" s="100" t="str">
        <f>IFERROR(VLOOKUP(Tablo517[[#This Row],[ÜRÜN KODU]],YMKODLARI!$A$1:$K$363,3,0)," ")</f>
        <v xml:space="preserve"> </v>
      </c>
      <c r="H251" s="100" t="str">
        <f>IFERROR(VLOOKUP(Tablo517[[#This Row],[ÜRÜN KODU]],YMKODLARI!$A$1:$K$363,4,0)," ")</f>
        <v xml:space="preserve"> </v>
      </c>
      <c r="I251" s="100"/>
      <c r="J251" s="100" t="str">
        <f>IFERROR(VLOOKUP(Tablo517[[#This Row],[ÜRÜN KODU]],YMKODLARI!$A$1:$K$363,9,0)," ")</f>
        <v xml:space="preserve"> </v>
      </c>
      <c r="K251" s="100" t="str">
        <f>IFERROR(VLOOKUP(Tablo517[[#This Row],[BOYA KODU]],Tablo14[#All],4,0)," ")</f>
        <v xml:space="preserve"> </v>
      </c>
      <c r="L251" s="100" t="str">
        <f>IFERROR(VLOOKUP(Tablo517[[#This Row],[BOYA KODU]],Tablo14[#All],6,0)," ")</f>
        <v xml:space="preserve"> </v>
      </c>
      <c r="M251" s="100" t="str">
        <f t="shared" si="22"/>
        <v xml:space="preserve"> </v>
      </c>
      <c r="N251" s="100" t="str">
        <f>IFERROR(VLOOKUP(Tablo517[[#This Row],[ÜRÜN KODU]],YMKODLARI!$A$1:$K$363,8,0)," ")</f>
        <v xml:space="preserve"> </v>
      </c>
      <c r="O251" s="100" t="str">
        <f>IFERROR(VLOOKUP(Tablo517[[#This Row],[HAMMADDE KODU]],Tablo1[#All],3,0)," ")</f>
        <v xml:space="preserve"> </v>
      </c>
      <c r="P251" s="100" t="str">
        <f>IFERROR(VLOOKUP(Tablo517[[#This Row],[HAMMADDE KODU]],Tablo1[#All],4,0)," ")</f>
        <v xml:space="preserve"> </v>
      </c>
      <c r="Q251" s="100" t="str">
        <f>IFERROR(VLOOKUP(Tablo517[[#This Row],[ÜRÜN KODU]],YMKODLARI!$A$1:$K$363,5,0)," ")</f>
        <v xml:space="preserve"> </v>
      </c>
      <c r="R251" s="100" t="str">
        <f>IFERROR(VLOOKUP(Tablo517[[#This Row],[ÜRÜN KODU]],YMKODLARI!$A$1:$K$363,6,0)," ")</f>
        <v xml:space="preserve"> </v>
      </c>
      <c r="S251" s="100" t="str">
        <f>IFERROR(Tablo517[[#This Row],[YOLLUK HARİÇ BASKI GRAMI]]/Tablo517[[#This Row],[KALIP GÖZ ADEDİ]]," ")</f>
        <v xml:space="preserve"> </v>
      </c>
      <c r="T251" s="100" t="str">
        <f t="shared" si="24"/>
        <v xml:space="preserve"> </v>
      </c>
      <c r="U251" s="100"/>
      <c r="V251" s="100" t="str">
        <f t="shared" si="23"/>
        <v xml:space="preserve"> </v>
      </c>
      <c r="W251" s="101">
        <f t="shared" si="25"/>
        <v>24</v>
      </c>
      <c r="X251" s="102">
        <f t="shared" si="26"/>
        <v>0</v>
      </c>
      <c r="Y251" s="100" t="str">
        <f t="shared" si="27"/>
        <v xml:space="preserve"> </v>
      </c>
      <c r="Z251" s="100" t="str">
        <f t="shared" si="28"/>
        <v xml:space="preserve"> </v>
      </c>
    </row>
    <row r="252" spans="1:26">
      <c r="A252" s="100"/>
      <c r="B252" s="108" t="str">
        <f>IFERROR(VLOOKUP(Tablo517[[#This Row],[ÜRÜN KODU]],YMKODLARI!$A$1:$K$363,2,0)," ")</f>
        <v xml:space="preserve"> </v>
      </c>
      <c r="C252" s="99"/>
      <c r="D252" s="100"/>
      <c r="E252" s="101"/>
      <c r="F252" s="101"/>
      <c r="G252" s="100" t="str">
        <f>IFERROR(VLOOKUP(Tablo517[[#This Row],[ÜRÜN KODU]],YMKODLARI!$A$1:$K$363,3,0)," ")</f>
        <v xml:space="preserve"> </v>
      </c>
      <c r="H252" s="100" t="str">
        <f>IFERROR(VLOOKUP(Tablo517[[#This Row],[ÜRÜN KODU]],YMKODLARI!$A$1:$K$363,4,0)," ")</f>
        <v xml:space="preserve"> </v>
      </c>
      <c r="I252" s="100"/>
      <c r="J252" s="100" t="str">
        <f>IFERROR(VLOOKUP(Tablo517[[#This Row],[ÜRÜN KODU]],YMKODLARI!$A$1:$K$363,9,0)," ")</f>
        <v xml:space="preserve"> </v>
      </c>
      <c r="K252" s="100" t="str">
        <f>IFERROR(VLOOKUP(Tablo517[[#This Row],[BOYA KODU]],Tablo14[#All],4,0)," ")</f>
        <v xml:space="preserve"> </v>
      </c>
      <c r="L252" s="100" t="str">
        <f>IFERROR(VLOOKUP(Tablo517[[#This Row],[BOYA KODU]],Tablo14[#All],6,0)," ")</f>
        <v xml:space="preserve"> </v>
      </c>
      <c r="M252" s="100" t="str">
        <f t="shared" si="22"/>
        <v xml:space="preserve"> </v>
      </c>
      <c r="N252" s="100" t="str">
        <f>IFERROR(VLOOKUP(Tablo517[[#This Row],[ÜRÜN KODU]],YMKODLARI!$A$1:$K$363,8,0)," ")</f>
        <v xml:space="preserve"> </v>
      </c>
      <c r="O252" s="100" t="str">
        <f>IFERROR(VLOOKUP(Tablo517[[#This Row],[HAMMADDE KODU]],Tablo1[#All],3,0)," ")</f>
        <v xml:space="preserve"> </v>
      </c>
      <c r="P252" s="100" t="str">
        <f>IFERROR(VLOOKUP(Tablo517[[#This Row],[HAMMADDE KODU]],Tablo1[#All],4,0)," ")</f>
        <v xml:space="preserve"> </v>
      </c>
      <c r="Q252" s="100" t="str">
        <f>IFERROR(VLOOKUP(Tablo517[[#This Row],[ÜRÜN KODU]],YMKODLARI!$A$1:$K$363,5,0)," ")</f>
        <v xml:space="preserve"> </v>
      </c>
      <c r="R252" s="100" t="str">
        <f>IFERROR(VLOOKUP(Tablo517[[#This Row],[ÜRÜN KODU]],YMKODLARI!$A$1:$K$363,6,0)," ")</f>
        <v xml:space="preserve"> </v>
      </c>
      <c r="S252" s="100" t="str">
        <f>IFERROR(Tablo517[[#This Row],[YOLLUK HARİÇ BASKI GRAMI]]/Tablo517[[#This Row],[KALIP GÖZ ADEDİ]]," ")</f>
        <v xml:space="preserve"> </v>
      </c>
      <c r="T252" s="100" t="str">
        <f t="shared" si="24"/>
        <v xml:space="preserve"> </v>
      </c>
      <c r="U252" s="100"/>
      <c r="V252" s="100" t="str">
        <f t="shared" si="23"/>
        <v xml:space="preserve"> </v>
      </c>
      <c r="W252" s="101">
        <f t="shared" si="25"/>
        <v>24</v>
      </c>
      <c r="X252" s="102">
        <f t="shared" si="26"/>
        <v>0</v>
      </c>
      <c r="Y252" s="100" t="str">
        <f t="shared" si="27"/>
        <v xml:space="preserve"> </v>
      </c>
      <c r="Z252" s="100" t="str">
        <f t="shared" si="28"/>
        <v xml:space="preserve"> </v>
      </c>
    </row>
    <row r="253" spans="1:26">
      <c r="A253" s="100"/>
      <c r="B253" s="108" t="str">
        <f>IFERROR(VLOOKUP(Tablo517[[#This Row],[ÜRÜN KODU]],YMKODLARI!$A$1:$K$363,2,0)," ")</f>
        <v xml:space="preserve"> </v>
      </c>
      <c r="C253" s="99"/>
      <c r="D253" s="100"/>
      <c r="E253" s="101"/>
      <c r="F253" s="101"/>
      <c r="G253" s="100" t="str">
        <f>IFERROR(VLOOKUP(Tablo517[[#This Row],[ÜRÜN KODU]],YMKODLARI!$A$1:$K$363,3,0)," ")</f>
        <v xml:space="preserve"> </v>
      </c>
      <c r="H253" s="100" t="str">
        <f>IFERROR(VLOOKUP(Tablo517[[#This Row],[ÜRÜN KODU]],YMKODLARI!$A$1:$K$363,4,0)," ")</f>
        <v xml:space="preserve"> </v>
      </c>
      <c r="I253" s="100"/>
      <c r="J253" s="100" t="str">
        <f>IFERROR(VLOOKUP(Tablo517[[#This Row],[ÜRÜN KODU]],YMKODLARI!$A$1:$K$363,9,0)," ")</f>
        <v xml:space="preserve"> </v>
      </c>
      <c r="K253" s="100" t="str">
        <f>IFERROR(VLOOKUP(Tablo517[[#This Row],[BOYA KODU]],Tablo14[#All],4,0)," ")</f>
        <v xml:space="preserve"> </v>
      </c>
      <c r="L253" s="100" t="str">
        <f>IFERROR(VLOOKUP(Tablo517[[#This Row],[BOYA KODU]],Tablo14[#All],6,0)," ")</f>
        <v xml:space="preserve"> </v>
      </c>
      <c r="M253" s="100" t="str">
        <f t="shared" si="22"/>
        <v xml:space="preserve"> </v>
      </c>
      <c r="N253" s="100" t="str">
        <f>IFERROR(VLOOKUP(Tablo517[[#This Row],[ÜRÜN KODU]],YMKODLARI!$A$1:$K$363,8,0)," ")</f>
        <v xml:space="preserve"> </v>
      </c>
      <c r="O253" s="100" t="str">
        <f>IFERROR(VLOOKUP(Tablo517[[#This Row],[HAMMADDE KODU]],Tablo1[#All],3,0)," ")</f>
        <v xml:space="preserve"> </v>
      </c>
      <c r="P253" s="100" t="str">
        <f>IFERROR(VLOOKUP(Tablo517[[#This Row],[HAMMADDE KODU]],Tablo1[#All],4,0)," ")</f>
        <v xml:space="preserve"> </v>
      </c>
      <c r="Q253" s="100" t="str">
        <f>IFERROR(VLOOKUP(Tablo517[[#This Row],[ÜRÜN KODU]],YMKODLARI!$A$1:$K$363,5,0)," ")</f>
        <v xml:space="preserve"> </v>
      </c>
      <c r="R253" s="100" t="str">
        <f>IFERROR(VLOOKUP(Tablo517[[#This Row],[ÜRÜN KODU]],YMKODLARI!$A$1:$K$363,6,0)," ")</f>
        <v xml:space="preserve"> </v>
      </c>
      <c r="S253" s="100" t="str">
        <f>IFERROR(Tablo517[[#This Row],[YOLLUK HARİÇ BASKI GRAMI]]/Tablo517[[#This Row],[KALIP GÖZ ADEDİ]]," ")</f>
        <v xml:space="preserve"> </v>
      </c>
      <c r="T253" s="100" t="str">
        <f t="shared" si="24"/>
        <v xml:space="preserve"> </v>
      </c>
      <c r="U253" s="100"/>
      <c r="V253" s="100" t="str">
        <f t="shared" si="23"/>
        <v xml:space="preserve"> </v>
      </c>
      <c r="W253" s="101">
        <f t="shared" si="25"/>
        <v>24</v>
      </c>
      <c r="X253" s="102">
        <f t="shared" si="26"/>
        <v>0</v>
      </c>
      <c r="Y253" s="100" t="str">
        <f t="shared" si="27"/>
        <v xml:space="preserve"> </v>
      </c>
      <c r="Z253" s="100" t="str">
        <f t="shared" si="28"/>
        <v xml:space="preserve"> </v>
      </c>
    </row>
    <row r="254" spans="1:26">
      <c r="A254" s="100"/>
      <c r="B254" s="108" t="str">
        <f>IFERROR(VLOOKUP(Tablo517[[#This Row],[ÜRÜN KODU]],YMKODLARI!$A$1:$K$363,2,0)," ")</f>
        <v xml:space="preserve"> </v>
      </c>
      <c r="C254" s="99"/>
      <c r="D254" s="100"/>
      <c r="E254" s="101"/>
      <c r="F254" s="101"/>
      <c r="G254" s="100" t="str">
        <f>IFERROR(VLOOKUP(Tablo517[[#This Row],[ÜRÜN KODU]],YMKODLARI!$A$1:$K$363,3,0)," ")</f>
        <v xml:space="preserve"> </v>
      </c>
      <c r="H254" s="100" t="str">
        <f>IFERROR(VLOOKUP(Tablo517[[#This Row],[ÜRÜN KODU]],YMKODLARI!$A$1:$K$363,4,0)," ")</f>
        <v xml:space="preserve"> </v>
      </c>
      <c r="I254" s="100"/>
      <c r="J254" s="100" t="str">
        <f>IFERROR(VLOOKUP(Tablo517[[#This Row],[ÜRÜN KODU]],YMKODLARI!$A$1:$K$363,9,0)," ")</f>
        <v xml:space="preserve"> </v>
      </c>
      <c r="K254" s="100" t="str">
        <f>IFERROR(VLOOKUP(Tablo517[[#This Row],[BOYA KODU]],Tablo14[#All],4,0)," ")</f>
        <v xml:space="preserve"> </v>
      </c>
      <c r="L254" s="100" t="str">
        <f>IFERROR(VLOOKUP(Tablo517[[#This Row],[BOYA KODU]],Tablo14[#All],6,0)," ")</f>
        <v xml:space="preserve"> </v>
      </c>
      <c r="M254" s="100" t="str">
        <f t="shared" si="22"/>
        <v xml:space="preserve"> </v>
      </c>
      <c r="N254" s="100" t="str">
        <f>IFERROR(VLOOKUP(Tablo517[[#This Row],[ÜRÜN KODU]],YMKODLARI!$A$1:$K$363,8,0)," ")</f>
        <v xml:space="preserve"> </v>
      </c>
      <c r="O254" s="100" t="str">
        <f>IFERROR(VLOOKUP(Tablo517[[#This Row],[HAMMADDE KODU]],Tablo1[#All],3,0)," ")</f>
        <v xml:space="preserve"> </v>
      </c>
      <c r="P254" s="100" t="str">
        <f>IFERROR(VLOOKUP(Tablo517[[#This Row],[HAMMADDE KODU]],Tablo1[#All],4,0)," ")</f>
        <v xml:space="preserve"> </v>
      </c>
      <c r="Q254" s="100" t="str">
        <f>IFERROR(VLOOKUP(Tablo517[[#This Row],[ÜRÜN KODU]],YMKODLARI!$A$1:$K$363,5,0)," ")</f>
        <v xml:space="preserve"> </v>
      </c>
      <c r="R254" s="100" t="str">
        <f>IFERROR(VLOOKUP(Tablo517[[#This Row],[ÜRÜN KODU]],YMKODLARI!$A$1:$K$363,6,0)," ")</f>
        <v xml:space="preserve"> </v>
      </c>
      <c r="S254" s="100" t="str">
        <f>IFERROR(Tablo517[[#This Row],[YOLLUK HARİÇ BASKI GRAMI]]/Tablo517[[#This Row],[KALIP GÖZ ADEDİ]]," ")</f>
        <v xml:space="preserve"> </v>
      </c>
      <c r="T254" s="100" t="str">
        <f t="shared" si="24"/>
        <v xml:space="preserve"> </v>
      </c>
      <c r="U254" s="100"/>
      <c r="V254" s="100" t="str">
        <f t="shared" si="23"/>
        <v xml:space="preserve"> </v>
      </c>
      <c r="W254" s="101">
        <f t="shared" si="25"/>
        <v>24</v>
      </c>
      <c r="X254" s="102">
        <f t="shared" si="26"/>
        <v>0</v>
      </c>
      <c r="Y254" s="100" t="str">
        <f t="shared" si="27"/>
        <v xml:space="preserve"> </v>
      </c>
      <c r="Z254" s="100" t="str">
        <f t="shared" si="28"/>
        <v xml:space="preserve"> </v>
      </c>
    </row>
    <row r="255" spans="1:26">
      <c r="A255" s="100"/>
      <c r="B255" s="108" t="str">
        <f>IFERROR(VLOOKUP(Tablo517[[#This Row],[ÜRÜN KODU]],YMKODLARI!$A$1:$K$363,2,0)," ")</f>
        <v xml:space="preserve"> </v>
      </c>
      <c r="C255" s="99"/>
      <c r="D255" s="100"/>
      <c r="E255" s="101"/>
      <c r="F255" s="101"/>
      <c r="G255" s="100" t="str">
        <f>IFERROR(VLOOKUP(Tablo517[[#This Row],[ÜRÜN KODU]],YMKODLARI!$A$1:$K$363,3,0)," ")</f>
        <v xml:space="preserve"> </v>
      </c>
      <c r="H255" s="100" t="str">
        <f>IFERROR(VLOOKUP(Tablo517[[#This Row],[ÜRÜN KODU]],YMKODLARI!$A$1:$K$363,4,0)," ")</f>
        <v xml:space="preserve"> </v>
      </c>
      <c r="I255" s="100"/>
      <c r="J255" s="100" t="str">
        <f>IFERROR(VLOOKUP(Tablo517[[#This Row],[ÜRÜN KODU]],YMKODLARI!$A$1:$K$363,9,0)," ")</f>
        <v xml:space="preserve"> </v>
      </c>
      <c r="K255" s="100" t="str">
        <f>IFERROR(VLOOKUP(Tablo517[[#This Row],[BOYA KODU]],Tablo14[#All],4,0)," ")</f>
        <v xml:space="preserve"> </v>
      </c>
      <c r="L255" s="100" t="str">
        <f>IFERROR(VLOOKUP(Tablo517[[#This Row],[BOYA KODU]],Tablo14[#All],6,0)," ")</f>
        <v xml:space="preserve"> </v>
      </c>
      <c r="M255" s="100" t="str">
        <f t="shared" si="22"/>
        <v xml:space="preserve"> </v>
      </c>
      <c r="N255" s="100" t="str">
        <f>IFERROR(VLOOKUP(Tablo517[[#This Row],[ÜRÜN KODU]],YMKODLARI!$A$1:$K$363,8,0)," ")</f>
        <v xml:space="preserve"> </v>
      </c>
      <c r="O255" s="100" t="str">
        <f>IFERROR(VLOOKUP(Tablo517[[#This Row],[HAMMADDE KODU]],Tablo1[#All],3,0)," ")</f>
        <v xml:space="preserve"> </v>
      </c>
      <c r="P255" s="100" t="str">
        <f>IFERROR(VLOOKUP(Tablo517[[#This Row],[HAMMADDE KODU]],Tablo1[#All],4,0)," ")</f>
        <v xml:space="preserve"> </v>
      </c>
      <c r="Q255" s="100" t="str">
        <f>IFERROR(VLOOKUP(Tablo517[[#This Row],[ÜRÜN KODU]],YMKODLARI!$A$1:$K$363,5,0)," ")</f>
        <v xml:space="preserve"> </v>
      </c>
      <c r="R255" s="100" t="str">
        <f>IFERROR(VLOOKUP(Tablo517[[#This Row],[ÜRÜN KODU]],YMKODLARI!$A$1:$K$363,6,0)," ")</f>
        <v xml:space="preserve"> </v>
      </c>
      <c r="S255" s="100" t="str">
        <f>IFERROR(Tablo517[[#This Row],[YOLLUK HARİÇ BASKI GRAMI]]/Tablo517[[#This Row],[KALIP GÖZ ADEDİ]]," ")</f>
        <v xml:space="preserve"> </v>
      </c>
      <c r="T255" s="100" t="str">
        <f t="shared" si="24"/>
        <v xml:space="preserve"> </v>
      </c>
      <c r="U255" s="100"/>
      <c r="V255" s="100" t="str">
        <f t="shared" si="23"/>
        <v xml:space="preserve"> </v>
      </c>
      <c r="W255" s="101">
        <f t="shared" si="25"/>
        <v>24</v>
      </c>
      <c r="X255" s="102">
        <f t="shared" si="26"/>
        <v>0</v>
      </c>
      <c r="Y255" s="100" t="str">
        <f t="shared" si="27"/>
        <v xml:space="preserve"> </v>
      </c>
      <c r="Z255" s="100" t="str">
        <f t="shared" si="28"/>
        <v xml:space="preserve"> </v>
      </c>
    </row>
    <row r="256" spans="1:26">
      <c r="A256" s="100"/>
      <c r="B256" s="108" t="str">
        <f>IFERROR(VLOOKUP(Tablo517[[#This Row],[ÜRÜN KODU]],YMKODLARI!$A$1:$K$363,2,0)," ")</f>
        <v xml:space="preserve"> </v>
      </c>
      <c r="C256" s="99"/>
      <c r="D256" s="100"/>
      <c r="E256" s="101"/>
      <c r="F256" s="101"/>
      <c r="G256" s="100" t="str">
        <f>IFERROR(VLOOKUP(Tablo517[[#This Row],[ÜRÜN KODU]],YMKODLARI!$A$1:$K$363,3,0)," ")</f>
        <v xml:space="preserve"> </v>
      </c>
      <c r="H256" s="100" t="str">
        <f>IFERROR(VLOOKUP(Tablo517[[#This Row],[ÜRÜN KODU]],YMKODLARI!$A$1:$K$363,4,0)," ")</f>
        <v xml:space="preserve"> </v>
      </c>
      <c r="I256" s="100"/>
      <c r="J256" s="100" t="str">
        <f>IFERROR(VLOOKUP(Tablo517[[#This Row],[ÜRÜN KODU]],YMKODLARI!$A$1:$K$363,9,0)," ")</f>
        <v xml:space="preserve"> </v>
      </c>
      <c r="K256" s="100" t="str">
        <f>IFERROR(VLOOKUP(Tablo517[[#This Row],[BOYA KODU]],Tablo14[#All],4,0)," ")</f>
        <v xml:space="preserve"> </v>
      </c>
      <c r="L256" s="100" t="str">
        <f>IFERROR(VLOOKUP(Tablo517[[#This Row],[BOYA KODU]],Tablo14[#All],6,0)," ")</f>
        <v xml:space="preserve"> </v>
      </c>
      <c r="M256" s="100" t="str">
        <f t="shared" si="22"/>
        <v xml:space="preserve"> </v>
      </c>
      <c r="N256" s="100" t="str">
        <f>IFERROR(VLOOKUP(Tablo517[[#This Row],[ÜRÜN KODU]],YMKODLARI!$A$1:$K$363,8,0)," ")</f>
        <v xml:space="preserve"> </v>
      </c>
      <c r="O256" s="100" t="str">
        <f>IFERROR(VLOOKUP(Tablo517[[#This Row],[HAMMADDE KODU]],Tablo1[#All],3,0)," ")</f>
        <v xml:space="preserve"> </v>
      </c>
      <c r="P256" s="100" t="str">
        <f>IFERROR(VLOOKUP(Tablo517[[#This Row],[HAMMADDE KODU]],Tablo1[#All],4,0)," ")</f>
        <v xml:space="preserve"> </v>
      </c>
      <c r="Q256" s="100" t="str">
        <f>IFERROR(VLOOKUP(Tablo517[[#This Row],[ÜRÜN KODU]],YMKODLARI!$A$1:$K$363,5,0)," ")</f>
        <v xml:space="preserve"> </v>
      </c>
      <c r="R256" s="100" t="str">
        <f>IFERROR(VLOOKUP(Tablo517[[#This Row],[ÜRÜN KODU]],YMKODLARI!$A$1:$K$363,6,0)," ")</f>
        <v xml:space="preserve"> </v>
      </c>
      <c r="S256" s="100" t="str">
        <f>IFERROR(Tablo517[[#This Row],[YOLLUK HARİÇ BASKI GRAMI]]/Tablo517[[#This Row],[KALIP GÖZ ADEDİ]]," ")</f>
        <v xml:space="preserve"> </v>
      </c>
      <c r="T256" s="100" t="str">
        <f t="shared" si="24"/>
        <v xml:space="preserve"> </v>
      </c>
      <c r="U256" s="100"/>
      <c r="V256" s="100" t="str">
        <f t="shared" si="23"/>
        <v xml:space="preserve"> </v>
      </c>
      <c r="W256" s="101">
        <f t="shared" si="25"/>
        <v>24</v>
      </c>
      <c r="X256" s="102">
        <f t="shared" si="26"/>
        <v>0</v>
      </c>
      <c r="Y256" s="100" t="str">
        <f t="shared" si="27"/>
        <v xml:space="preserve"> </v>
      </c>
      <c r="Z256" s="100" t="str">
        <f t="shared" si="28"/>
        <v xml:space="preserve"> </v>
      </c>
    </row>
    <row r="257" spans="1:26">
      <c r="A257" s="100"/>
      <c r="B257" s="108" t="str">
        <f>IFERROR(VLOOKUP(Tablo517[[#This Row],[ÜRÜN KODU]],YMKODLARI!$A$1:$K$363,2,0)," ")</f>
        <v xml:space="preserve"> </v>
      </c>
      <c r="C257" s="99"/>
      <c r="D257" s="100"/>
      <c r="E257" s="101"/>
      <c r="F257" s="101"/>
      <c r="G257" s="100" t="str">
        <f>IFERROR(VLOOKUP(Tablo517[[#This Row],[ÜRÜN KODU]],YMKODLARI!$A$1:$K$363,3,0)," ")</f>
        <v xml:space="preserve"> </v>
      </c>
      <c r="H257" s="100" t="str">
        <f>IFERROR(VLOOKUP(Tablo517[[#This Row],[ÜRÜN KODU]],YMKODLARI!$A$1:$K$363,4,0)," ")</f>
        <v xml:space="preserve"> </v>
      </c>
      <c r="I257" s="100"/>
      <c r="J257" s="100" t="str">
        <f>IFERROR(VLOOKUP(Tablo517[[#This Row],[ÜRÜN KODU]],YMKODLARI!$A$1:$K$363,9,0)," ")</f>
        <v xml:space="preserve"> </v>
      </c>
      <c r="K257" s="100" t="str">
        <f>IFERROR(VLOOKUP(Tablo517[[#This Row],[BOYA KODU]],Tablo14[#All],4,0)," ")</f>
        <v xml:space="preserve"> </v>
      </c>
      <c r="L257" s="100" t="str">
        <f>IFERROR(VLOOKUP(Tablo517[[#This Row],[BOYA KODU]],Tablo14[#All],6,0)," ")</f>
        <v xml:space="preserve"> </v>
      </c>
      <c r="M257" s="100" t="str">
        <f t="shared" si="22"/>
        <v xml:space="preserve"> </v>
      </c>
      <c r="N257" s="100" t="str">
        <f>IFERROR(VLOOKUP(Tablo517[[#This Row],[ÜRÜN KODU]],YMKODLARI!$A$1:$K$363,8,0)," ")</f>
        <v xml:space="preserve"> </v>
      </c>
      <c r="O257" s="100" t="str">
        <f>IFERROR(VLOOKUP(Tablo517[[#This Row],[HAMMADDE KODU]],Tablo1[#All],3,0)," ")</f>
        <v xml:space="preserve"> </v>
      </c>
      <c r="P257" s="100" t="str">
        <f>IFERROR(VLOOKUP(Tablo517[[#This Row],[HAMMADDE KODU]],Tablo1[#All],4,0)," ")</f>
        <v xml:space="preserve"> </v>
      </c>
      <c r="Q257" s="100" t="str">
        <f>IFERROR(VLOOKUP(Tablo517[[#This Row],[ÜRÜN KODU]],YMKODLARI!$A$1:$K$363,5,0)," ")</f>
        <v xml:space="preserve"> </v>
      </c>
      <c r="R257" s="100" t="str">
        <f>IFERROR(VLOOKUP(Tablo517[[#This Row],[ÜRÜN KODU]],YMKODLARI!$A$1:$K$363,6,0)," ")</f>
        <v xml:space="preserve"> </v>
      </c>
      <c r="S257" s="100" t="str">
        <f>IFERROR(Tablo517[[#This Row],[YOLLUK HARİÇ BASKI GRAMI]]/Tablo517[[#This Row],[KALIP GÖZ ADEDİ]]," ")</f>
        <v xml:space="preserve"> </v>
      </c>
      <c r="T257" s="100" t="str">
        <f t="shared" si="24"/>
        <v xml:space="preserve"> </v>
      </c>
      <c r="U257" s="100"/>
      <c r="V257" s="100" t="str">
        <f t="shared" si="23"/>
        <v xml:space="preserve"> </v>
      </c>
      <c r="W257" s="101">
        <f t="shared" si="25"/>
        <v>24</v>
      </c>
      <c r="X257" s="102">
        <f t="shared" si="26"/>
        <v>0</v>
      </c>
      <c r="Y257" s="100" t="str">
        <f t="shared" si="27"/>
        <v xml:space="preserve"> </v>
      </c>
      <c r="Z257" s="100" t="str">
        <f t="shared" si="28"/>
        <v xml:space="preserve"> </v>
      </c>
    </row>
    <row r="258" spans="1:26">
      <c r="A258" s="100"/>
      <c r="B258" s="108" t="str">
        <f>IFERROR(VLOOKUP(Tablo517[[#This Row],[ÜRÜN KODU]],YMKODLARI!$A$1:$K$363,2,0)," ")</f>
        <v xml:space="preserve"> </v>
      </c>
      <c r="C258" s="99"/>
      <c r="D258" s="100"/>
      <c r="E258" s="101"/>
      <c r="F258" s="101"/>
      <c r="G258" s="100" t="str">
        <f>IFERROR(VLOOKUP(Tablo517[[#This Row],[ÜRÜN KODU]],YMKODLARI!$A$1:$K$363,3,0)," ")</f>
        <v xml:space="preserve"> </v>
      </c>
      <c r="H258" s="100" t="str">
        <f>IFERROR(VLOOKUP(Tablo517[[#This Row],[ÜRÜN KODU]],YMKODLARI!$A$1:$K$363,4,0)," ")</f>
        <v xml:space="preserve"> </v>
      </c>
      <c r="I258" s="100"/>
      <c r="J258" s="100" t="str">
        <f>IFERROR(VLOOKUP(Tablo517[[#This Row],[ÜRÜN KODU]],YMKODLARI!$A$1:$K$363,9,0)," ")</f>
        <v xml:space="preserve"> </v>
      </c>
      <c r="K258" s="100" t="str">
        <f>IFERROR(VLOOKUP(Tablo517[[#This Row],[BOYA KODU]],Tablo14[#All],4,0)," ")</f>
        <v xml:space="preserve"> </v>
      </c>
      <c r="L258" s="100" t="str">
        <f>IFERROR(VLOOKUP(Tablo517[[#This Row],[BOYA KODU]],Tablo14[#All],6,0)," ")</f>
        <v xml:space="preserve"> </v>
      </c>
      <c r="M258" s="100" t="str">
        <f t="shared" ref="M258:M321" si="29">IFERROR((I258*Q258)*L258," ")</f>
        <v xml:space="preserve"> </v>
      </c>
      <c r="N258" s="100" t="str">
        <f>IFERROR(VLOOKUP(Tablo517[[#This Row],[ÜRÜN KODU]],YMKODLARI!$A$1:$K$363,8,0)," ")</f>
        <v xml:space="preserve"> </v>
      </c>
      <c r="O258" s="100" t="str">
        <f>IFERROR(VLOOKUP(Tablo517[[#This Row],[HAMMADDE KODU]],Tablo1[#All],3,0)," ")</f>
        <v xml:space="preserve"> </v>
      </c>
      <c r="P258" s="100" t="str">
        <f>IFERROR(VLOOKUP(Tablo517[[#This Row],[HAMMADDE KODU]],Tablo1[#All],4,0)," ")</f>
        <v xml:space="preserve"> </v>
      </c>
      <c r="Q258" s="100" t="str">
        <f>IFERROR(VLOOKUP(Tablo517[[#This Row],[ÜRÜN KODU]],YMKODLARI!$A$1:$K$363,5,0)," ")</f>
        <v xml:space="preserve"> </v>
      </c>
      <c r="R258" s="100" t="str">
        <f>IFERROR(VLOOKUP(Tablo517[[#This Row],[ÜRÜN KODU]],YMKODLARI!$A$1:$K$363,6,0)," ")</f>
        <v xml:space="preserve"> </v>
      </c>
      <c r="S258" s="100" t="str">
        <f>IFERROR(Tablo517[[#This Row],[YOLLUK HARİÇ BASKI GRAMI]]/Tablo517[[#This Row],[KALIP GÖZ ADEDİ]]," ")</f>
        <v xml:space="preserve"> </v>
      </c>
      <c r="T258" s="100" t="str">
        <f t="shared" si="24"/>
        <v xml:space="preserve"> </v>
      </c>
      <c r="U258" s="100"/>
      <c r="V258" s="100" t="str">
        <f t="shared" ref="V258:V321" si="30">IFERROR(U258+(R258*I258) /1000," ")</f>
        <v xml:space="preserve"> </v>
      </c>
      <c r="W258" s="101">
        <f t="shared" si="25"/>
        <v>24</v>
      </c>
      <c r="X258" s="102">
        <f t="shared" si="26"/>
        <v>0</v>
      </c>
      <c r="Y258" s="100" t="str">
        <f t="shared" si="27"/>
        <v xml:space="preserve"> </v>
      </c>
      <c r="Z258" s="100" t="str">
        <f t="shared" si="28"/>
        <v xml:space="preserve"> </v>
      </c>
    </row>
    <row r="259" spans="1:26">
      <c r="A259" s="100"/>
      <c r="B259" s="108" t="str">
        <f>IFERROR(VLOOKUP(Tablo517[[#This Row],[ÜRÜN KODU]],YMKODLARI!$A$1:$K$363,2,0)," ")</f>
        <v xml:space="preserve"> </v>
      </c>
      <c r="C259" s="99"/>
      <c r="D259" s="100"/>
      <c r="E259" s="101"/>
      <c r="F259" s="101"/>
      <c r="G259" s="100" t="str">
        <f>IFERROR(VLOOKUP(Tablo517[[#This Row],[ÜRÜN KODU]],YMKODLARI!$A$1:$K$363,3,0)," ")</f>
        <v xml:space="preserve"> </v>
      </c>
      <c r="H259" s="100" t="str">
        <f>IFERROR(VLOOKUP(Tablo517[[#This Row],[ÜRÜN KODU]],YMKODLARI!$A$1:$K$363,4,0)," ")</f>
        <v xml:space="preserve"> </v>
      </c>
      <c r="I259" s="100"/>
      <c r="J259" s="100" t="str">
        <f>IFERROR(VLOOKUP(Tablo517[[#This Row],[ÜRÜN KODU]],YMKODLARI!$A$1:$K$363,9,0)," ")</f>
        <v xml:space="preserve"> </v>
      </c>
      <c r="K259" s="100" t="str">
        <f>IFERROR(VLOOKUP(Tablo517[[#This Row],[BOYA KODU]],Tablo14[#All],4,0)," ")</f>
        <v xml:space="preserve"> </v>
      </c>
      <c r="L259" s="100" t="str">
        <f>IFERROR(VLOOKUP(Tablo517[[#This Row],[BOYA KODU]],Tablo14[#All],6,0)," ")</f>
        <v xml:space="preserve"> </v>
      </c>
      <c r="M259" s="100" t="str">
        <f t="shared" si="29"/>
        <v xml:space="preserve"> </v>
      </c>
      <c r="N259" s="100" t="str">
        <f>IFERROR(VLOOKUP(Tablo517[[#This Row],[ÜRÜN KODU]],YMKODLARI!$A$1:$K$363,8,0)," ")</f>
        <v xml:space="preserve"> </v>
      </c>
      <c r="O259" s="100" t="str">
        <f>IFERROR(VLOOKUP(Tablo517[[#This Row],[HAMMADDE KODU]],Tablo1[#All],3,0)," ")</f>
        <v xml:space="preserve"> </v>
      </c>
      <c r="P259" s="100" t="str">
        <f>IFERROR(VLOOKUP(Tablo517[[#This Row],[HAMMADDE KODU]],Tablo1[#All],4,0)," ")</f>
        <v xml:space="preserve"> </v>
      </c>
      <c r="Q259" s="100" t="str">
        <f>IFERROR(VLOOKUP(Tablo517[[#This Row],[ÜRÜN KODU]],YMKODLARI!$A$1:$K$363,5,0)," ")</f>
        <v xml:space="preserve"> </v>
      </c>
      <c r="R259" s="100" t="str">
        <f>IFERROR(VLOOKUP(Tablo517[[#This Row],[ÜRÜN KODU]],YMKODLARI!$A$1:$K$363,6,0)," ")</f>
        <v xml:space="preserve"> </v>
      </c>
      <c r="S259" s="100" t="str">
        <f>IFERROR(Tablo517[[#This Row],[YOLLUK HARİÇ BASKI GRAMI]]/Tablo517[[#This Row],[KALIP GÖZ ADEDİ]]," ")</f>
        <v xml:space="preserve"> </v>
      </c>
      <c r="T259" s="100" t="str">
        <f t="shared" ref="T259:T322" si="31">IFERROR(Q259-R259," ")</f>
        <v xml:space="preserve"> </v>
      </c>
      <c r="U259" s="100"/>
      <c r="V259" s="100" t="str">
        <f t="shared" si="30"/>
        <v xml:space="preserve"> </v>
      </c>
      <c r="W259" s="101">
        <f t="shared" ref="W259:W322" si="32">IFERROR(24-(E259-F259)," ")</f>
        <v>24</v>
      </c>
      <c r="X259" s="102">
        <f t="shared" ref="X259:X322" si="33">IFERROR((W259-INT(W259))*24," ")</f>
        <v>0</v>
      </c>
      <c r="Y259" s="100" t="str">
        <f t="shared" ref="Y259:Y322" si="34">IFERROR(H259*I259/3600," ")</f>
        <v xml:space="preserve"> </v>
      </c>
      <c r="Z259" s="100" t="str">
        <f t="shared" ref="Z259:Z322" si="35">IFERROR(I259*G259," " )</f>
        <v xml:space="preserve"> </v>
      </c>
    </row>
    <row r="260" spans="1:26">
      <c r="A260" s="100"/>
      <c r="B260" s="108" t="str">
        <f>IFERROR(VLOOKUP(Tablo517[[#This Row],[ÜRÜN KODU]],YMKODLARI!$A$1:$K$363,2,0)," ")</f>
        <v xml:space="preserve"> </v>
      </c>
      <c r="C260" s="99"/>
      <c r="D260" s="100"/>
      <c r="E260" s="101"/>
      <c r="F260" s="101"/>
      <c r="G260" s="100" t="str">
        <f>IFERROR(VLOOKUP(Tablo517[[#This Row],[ÜRÜN KODU]],YMKODLARI!$A$1:$K$363,3,0)," ")</f>
        <v xml:space="preserve"> </v>
      </c>
      <c r="H260" s="100" t="str">
        <f>IFERROR(VLOOKUP(Tablo517[[#This Row],[ÜRÜN KODU]],YMKODLARI!$A$1:$K$363,4,0)," ")</f>
        <v xml:space="preserve"> </v>
      </c>
      <c r="I260" s="100"/>
      <c r="J260" s="100" t="str">
        <f>IFERROR(VLOOKUP(Tablo517[[#This Row],[ÜRÜN KODU]],YMKODLARI!$A$1:$K$363,9,0)," ")</f>
        <v xml:space="preserve"> </v>
      </c>
      <c r="K260" s="100" t="str">
        <f>IFERROR(VLOOKUP(Tablo517[[#This Row],[BOYA KODU]],Tablo14[#All],4,0)," ")</f>
        <v xml:space="preserve"> </v>
      </c>
      <c r="L260" s="100" t="str">
        <f>IFERROR(VLOOKUP(Tablo517[[#This Row],[BOYA KODU]],Tablo14[#All],6,0)," ")</f>
        <v xml:space="preserve"> </v>
      </c>
      <c r="M260" s="100" t="str">
        <f t="shared" si="29"/>
        <v xml:space="preserve"> </v>
      </c>
      <c r="N260" s="100" t="str">
        <f>IFERROR(VLOOKUP(Tablo517[[#This Row],[ÜRÜN KODU]],YMKODLARI!$A$1:$K$363,8,0)," ")</f>
        <v xml:space="preserve"> </v>
      </c>
      <c r="O260" s="100" t="str">
        <f>IFERROR(VLOOKUP(Tablo517[[#This Row],[HAMMADDE KODU]],Tablo1[#All],3,0)," ")</f>
        <v xml:space="preserve"> </v>
      </c>
      <c r="P260" s="100" t="str">
        <f>IFERROR(VLOOKUP(Tablo517[[#This Row],[HAMMADDE KODU]],Tablo1[#All],4,0)," ")</f>
        <v xml:space="preserve"> </v>
      </c>
      <c r="Q260" s="100" t="str">
        <f>IFERROR(VLOOKUP(Tablo517[[#This Row],[ÜRÜN KODU]],YMKODLARI!$A$1:$K$363,5,0)," ")</f>
        <v xml:space="preserve"> </v>
      </c>
      <c r="R260" s="100" t="str">
        <f>IFERROR(VLOOKUP(Tablo517[[#This Row],[ÜRÜN KODU]],YMKODLARI!$A$1:$K$363,6,0)," ")</f>
        <v xml:space="preserve"> </v>
      </c>
      <c r="S260" s="100" t="str">
        <f>IFERROR(Tablo517[[#This Row],[YOLLUK HARİÇ BASKI GRAMI]]/Tablo517[[#This Row],[KALIP GÖZ ADEDİ]]," ")</f>
        <v xml:space="preserve"> </v>
      </c>
      <c r="T260" s="100" t="str">
        <f t="shared" si="31"/>
        <v xml:space="preserve"> </v>
      </c>
      <c r="U260" s="100"/>
      <c r="V260" s="100" t="str">
        <f t="shared" si="30"/>
        <v xml:space="preserve"> </v>
      </c>
      <c r="W260" s="101">
        <f t="shared" si="32"/>
        <v>24</v>
      </c>
      <c r="X260" s="102">
        <f t="shared" si="33"/>
        <v>0</v>
      </c>
      <c r="Y260" s="100" t="str">
        <f t="shared" si="34"/>
        <v xml:space="preserve"> </v>
      </c>
      <c r="Z260" s="100" t="str">
        <f t="shared" si="35"/>
        <v xml:space="preserve"> </v>
      </c>
    </row>
    <row r="261" spans="1:26">
      <c r="A261" s="100"/>
      <c r="B261" s="108" t="str">
        <f>IFERROR(VLOOKUP(Tablo517[[#This Row],[ÜRÜN KODU]],YMKODLARI!$A$1:$K$363,2,0)," ")</f>
        <v xml:space="preserve"> </v>
      </c>
      <c r="C261" s="99"/>
      <c r="D261" s="100"/>
      <c r="E261" s="101"/>
      <c r="F261" s="101"/>
      <c r="G261" s="100" t="str">
        <f>IFERROR(VLOOKUP(Tablo517[[#This Row],[ÜRÜN KODU]],YMKODLARI!$A$1:$K$363,3,0)," ")</f>
        <v xml:space="preserve"> </v>
      </c>
      <c r="H261" s="100" t="str">
        <f>IFERROR(VLOOKUP(Tablo517[[#This Row],[ÜRÜN KODU]],YMKODLARI!$A$1:$K$363,4,0)," ")</f>
        <v xml:space="preserve"> </v>
      </c>
      <c r="I261" s="100"/>
      <c r="J261" s="100" t="str">
        <f>IFERROR(VLOOKUP(Tablo517[[#This Row],[ÜRÜN KODU]],YMKODLARI!$A$1:$K$363,9,0)," ")</f>
        <v xml:space="preserve"> </v>
      </c>
      <c r="K261" s="100" t="str">
        <f>IFERROR(VLOOKUP(Tablo517[[#This Row],[BOYA KODU]],Tablo14[#All],4,0)," ")</f>
        <v xml:space="preserve"> </v>
      </c>
      <c r="L261" s="100" t="str">
        <f>IFERROR(VLOOKUP(Tablo517[[#This Row],[BOYA KODU]],Tablo14[#All],6,0)," ")</f>
        <v xml:space="preserve"> </v>
      </c>
      <c r="M261" s="100" t="str">
        <f t="shared" si="29"/>
        <v xml:space="preserve"> </v>
      </c>
      <c r="N261" s="100" t="str">
        <f>IFERROR(VLOOKUP(Tablo517[[#This Row],[ÜRÜN KODU]],YMKODLARI!$A$1:$K$363,8,0)," ")</f>
        <v xml:space="preserve"> </v>
      </c>
      <c r="O261" s="100" t="str">
        <f>IFERROR(VLOOKUP(Tablo517[[#This Row],[HAMMADDE KODU]],Tablo1[#All],3,0)," ")</f>
        <v xml:space="preserve"> </v>
      </c>
      <c r="P261" s="100" t="str">
        <f>IFERROR(VLOOKUP(Tablo517[[#This Row],[HAMMADDE KODU]],Tablo1[#All],4,0)," ")</f>
        <v xml:space="preserve"> </v>
      </c>
      <c r="Q261" s="100" t="str">
        <f>IFERROR(VLOOKUP(Tablo517[[#This Row],[ÜRÜN KODU]],YMKODLARI!$A$1:$K$363,5,0)," ")</f>
        <v xml:space="preserve"> </v>
      </c>
      <c r="R261" s="100" t="str">
        <f>IFERROR(VLOOKUP(Tablo517[[#This Row],[ÜRÜN KODU]],YMKODLARI!$A$1:$K$363,6,0)," ")</f>
        <v xml:space="preserve"> </v>
      </c>
      <c r="S261" s="100" t="str">
        <f>IFERROR(Tablo517[[#This Row],[YOLLUK HARİÇ BASKI GRAMI]]/Tablo517[[#This Row],[KALIP GÖZ ADEDİ]]," ")</f>
        <v xml:space="preserve"> </v>
      </c>
      <c r="T261" s="100" t="str">
        <f t="shared" si="31"/>
        <v xml:space="preserve"> </v>
      </c>
      <c r="U261" s="100"/>
      <c r="V261" s="100" t="str">
        <f t="shared" si="30"/>
        <v xml:space="preserve"> </v>
      </c>
      <c r="W261" s="101">
        <f t="shared" si="32"/>
        <v>24</v>
      </c>
      <c r="X261" s="102">
        <f t="shared" si="33"/>
        <v>0</v>
      </c>
      <c r="Y261" s="100" t="str">
        <f t="shared" si="34"/>
        <v xml:space="preserve"> </v>
      </c>
      <c r="Z261" s="100" t="str">
        <f t="shared" si="35"/>
        <v xml:space="preserve"> </v>
      </c>
    </row>
    <row r="262" spans="1:26">
      <c r="A262" s="100"/>
      <c r="B262" s="108" t="str">
        <f>IFERROR(VLOOKUP(Tablo517[[#This Row],[ÜRÜN KODU]],YMKODLARI!$A$1:$K$363,2,0)," ")</f>
        <v xml:space="preserve"> </v>
      </c>
      <c r="C262" s="99"/>
      <c r="D262" s="100"/>
      <c r="E262" s="101"/>
      <c r="F262" s="101"/>
      <c r="G262" s="100" t="str">
        <f>IFERROR(VLOOKUP(Tablo517[[#This Row],[ÜRÜN KODU]],YMKODLARI!$A$1:$K$363,3,0)," ")</f>
        <v xml:space="preserve"> </v>
      </c>
      <c r="H262" s="100" t="str">
        <f>IFERROR(VLOOKUP(Tablo517[[#This Row],[ÜRÜN KODU]],YMKODLARI!$A$1:$K$363,4,0)," ")</f>
        <v xml:space="preserve"> </v>
      </c>
      <c r="I262" s="100"/>
      <c r="J262" s="100" t="str">
        <f>IFERROR(VLOOKUP(Tablo517[[#This Row],[ÜRÜN KODU]],YMKODLARI!$A$1:$K$363,9,0)," ")</f>
        <v xml:space="preserve"> </v>
      </c>
      <c r="K262" s="100" t="str">
        <f>IFERROR(VLOOKUP(Tablo517[[#This Row],[BOYA KODU]],Tablo14[#All],4,0)," ")</f>
        <v xml:space="preserve"> </v>
      </c>
      <c r="L262" s="100" t="str">
        <f>IFERROR(VLOOKUP(Tablo517[[#This Row],[BOYA KODU]],Tablo14[#All],6,0)," ")</f>
        <v xml:space="preserve"> </v>
      </c>
      <c r="M262" s="100" t="str">
        <f t="shared" si="29"/>
        <v xml:space="preserve"> </v>
      </c>
      <c r="N262" s="100" t="str">
        <f>IFERROR(VLOOKUP(Tablo517[[#This Row],[ÜRÜN KODU]],YMKODLARI!$A$1:$K$363,8,0)," ")</f>
        <v xml:space="preserve"> </v>
      </c>
      <c r="O262" s="100" t="str">
        <f>IFERROR(VLOOKUP(Tablo517[[#This Row],[HAMMADDE KODU]],Tablo1[#All],3,0)," ")</f>
        <v xml:space="preserve"> </v>
      </c>
      <c r="P262" s="100" t="str">
        <f>IFERROR(VLOOKUP(Tablo517[[#This Row],[HAMMADDE KODU]],Tablo1[#All],4,0)," ")</f>
        <v xml:space="preserve"> </v>
      </c>
      <c r="Q262" s="100" t="str">
        <f>IFERROR(VLOOKUP(Tablo517[[#This Row],[ÜRÜN KODU]],YMKODLARI!$A$1:$K$363,5,0)," ")</f>
        <v xml:space="preserve"> </v>
      </c>
      <c r="R262" s="100" t="str">
        <f>IFERROR(VLOOKUP(Tablo517[[#This Row],[ÜRÜN KODU]],YMKODLARI!$A$1:$K$363,6,0)," ")</f>
        <v xml:space="preserve"> </v>
      </c>
      <c r="S262" s="100" t="str">
        <f>IFERROR(Tablo517[[#This Row],[YOLLUK HARİÇ BASKI GRAMI]]/Tablo517[[#This Row],[KALIP GÖZ ADEDİ]]," ")</f>
        <v xml:space="preserve"> </v>
      </c>
      <c r="T262" s="100" t="str">
        <f t="shared" si="31"/>
        <v xml:space="preserve"> </v>
      </c>
      <c r="U262" s="100"/>
      <c r="V262" s="100" t="str">
        <f t="shared" si="30"/>
        <v xml:space="preserve"> </v>
      </c>
      <c r="W262" s="101">
        <f t="shared" si="32"/>
        <v>24</v>
      </c>
      <c r="X262" s="102">
        <f t="shared" si="33"/>
        <v>0</v>
      </c>
      <c r="Y262" s="100" t="str">
        <f t="shared" si="34"/>
        <v xml:space="preserve"> </v>
      </c>
      <c r="Z262" s="100" t="str">
        <f t="shared" si="35"/>
        <v xml:space="preserve"> </v>
      </c>
    </row>
    <row r="263" spans="1:26">
      <c r="A263" s="100"/>
      <c r="B263" s="108" t="str">
        <f>IFERROR(VLOOKUP(Tablo517[[#This Row],[ÜRÜN KODU]],YMKODLARI!$A$1:$K$363,2,0)," ")</f>
        <v xml:space="preserve"> </v>
      </c>
      <c r="C263" s="99"/>
      <c r="D263" s="100"/>
      <c r="E263" s="101"/>
      <c r="F263" s="101"/>
      <c r="G263" s="100" t="str">
        <f>IFERROR(VLOOKUP(Tablo517[[#This Row],[ÜRÜN KODU]],YMKODLARI!$A$1:$K$363,3,0)," ")</f>
        <v xml:space="preserve"> </v>
      </c>
      <c r="H263" s="100" t="str">
        <f>IFERROR(VLOOKUP(Tablo517[[#This Row],[ÜRÜN KODU]],YMKODLARI!$A$1:$K$363,4,0)," ")</f>
        <v xml:space="preserve"> </v>
      </c>
      <c r="I263" s="100"/>
      <c r="J263" s="100" t="str">
        <f>IFERROR(VLOOKUP(Tablo517[[#This Row],[ÜRÜN KODU]],YMKODLARI!$A$1:$K$363,9,0)," ")</f>
        <v xml:space="preserve"> </v>
      </c>
      <c r="K263" s="100" t="str">
        <f>IFERROR(VLOOKUP(Tablo517[[#This Row],[BOYA KODU]],Tablo14[#All],4,0)," ")</f>
        <v xml:space="preserve"> </v>
      </c>
      <c r="L263" s="100" t="str">
        <f>IFERROR(VLOOKUP(Tablo517[[#This Row],[BOYA KODU]],Tablo14[#All],6,0)," ")</f>
        <v xml:space="preserve"> </v>
      </c>
      <c r="M263" s="100" t="str">
        <f t="shared" si="29"/>
        <v xml:space="preserve"> </v>
      </c>
      <c r="N263" s="100" t="str">
        <f>IFERROR(VLOOKUP(Tablo517[[#This Row],[ÜRÜN KODU]],YMKODLARI!$A$1:$K$363,8,0)," ")</f>
        <v xml:space="preserve"> </v>
      </c>
      <c r="O263" s="100" t="str">
        <f>IFERROR(VLOOKUP(Tablo517[[#This Row],[HAMMADDE KODU]],Tablo1[#All],3,0)," ")</f>
        <v xml:space="preserve"> </v>
      </c>
      <c r="P263" s="100" t="str">
        <f>IFERROR(VLOOKUP(Tablo517[[#This Row],[HAMMADDE KODU]],Tablo1[#All],4,0)," ")</f>
        <v xml:space="preserve"> </v>
      </c>
      <c r="Q263" s="100" t="str">
        <f>IFERROR(VLOOKUP(Tablo517[[#This Row],[ÜRÜN KODU]],YMKODLARI!$A$1:$K$363,5,0)," ")</f>
        <v xml:space="preserve"> </v>
      </c>
      <c r="R263" s="100" t="str">
        <f>IFERROR(VLOOKUP(Tablo517[[#This Row],[ÜRÜN KODU]],YMKODLARI!$A$1:$K$363,6,0)," ")</f>
        <v xml:space="preserve"> </v>
      </c>
      <c r="S263" s="100" t="str">
        <f>IFERROR(Tablo517[[#This Row],[YOLLUK HARİÇ BASKI GRAMI]]/Tablo517[[#This Row],[KALIP GÖZ ADEDİ]]," ")</f>
        <v xml:space="preserve"> </v>
      </c>
      <c r="T263" s="100" t="str">
        <f t="shared" si="31"/>
        <v xml:space="preserve"> </v>
      </c>
      <c r="U263" s="100"/>
      <c r="V263" s="100" t="str">
        <f t="shared" si="30"/>
        <v xml:space="preserve"> </v>
      </c>
      <c r="W263" s="101">
        <f t="shared" si="32"/>
        <v>24</v>
      </c>
      <c r="X263" s="102">
        <f t="shared" si="33"/>
        <v>0</v>
      </c>
      <c r="Y263" s="100" t="str">
        <f t="shared" si="34"/>
        <v xml:space="preserve"> </v>
      </c>
      <c r="Z263" s="100" t="str">
        <f t="shared" si="35"/>
        <v xml:space="preserve"> </v>
      </c>
    </row>
    <row r="264" spans="1:26">
      <c r="A264" s="100"/>
      <c r="B264" s="108" t="str">
        <f>IFERROR(VLOOKUP(Tablo517[[#This Row],[ÜRÜN KODU]],YMKODLARI!$A$1:$K$363,2,0)," ")</f>
        <v xml:space="preserve"> </v>
      </c>
      <c r="C264" s="99"/>
      <c r="D264" s="100"/>
      <c r="E264" s="101"/>
      <c r="F264" s="101"/>
      <c r="G264" s="100" t="str">
        <f>IFERROR(VLOOKUP(Tablo517[[#This Row],[ÜRÜN KODU]],YMKODLARI!$A$1:$K$363,3,0)," ")</f>
        <v xml:space="preserve"> </v>
      </c>
      <c r="H264" s="100" t="str">
        <f>IFERROR(VLOOKUP(Tablo517[[#This Row],[ÜRÜN KODU]],YMKODLARI!$A$1:$K$363,4,0)," ")</f>
        <v xml:space="preserve"> </v>
      </c>
      <c r="I264" s="100"/>
      <c r="J264" s="100" t="str">
        <f>IFERROR(VLOOKUP(Tablo517[[#This Row],[ÜRÜN KODU]],YMKODLARI!$A$1:$K$363,9,0)," ")</f>
        <v xml:space="preserve"> </v>
      </c>
      <c r="K264" s="100" t="str">
        <f>IFERROR(VLOOKUP(Tablo517[[#This Row],[BOYA KODU]],Tablo14[#All],4,0)," ")</f>
        <v xml:space="preserve"> </v>
      </c>
      <c r="L264" s="100" t="str">
        <f>IFERROR(VLOOKUP(Tablo517[[#This Row],[BOYA KODU]],Tablo14[#All],6,0)," ")</f>
        <v xml:space="preserve"> </v>
      </c>
      <c r="M264" s="100" t="str">
        <f t="shared" si="29"/>
        <v xml:space="preserve"> </v>
      </c>
      <c r="N264" s="100" t="str">
        <f>IFERROR(VLOOKUP(Tablo517[[#This Row],[ÜRÜN KODU]],YMKODLARI!$A$1:$K$363,8,0)," ")</f>
        <v xml:space="preserve"> </v>
      </c>
      <c r="O264" s="100" t="str">
        <f>IFERROR(VLOOKUP(Tablo517[[#This Row],[HAMMADDE KODU]],Tablo1[#All],3,0)," ")</f>
        <v xml:space="preserve"> </v>
      </c>
      <c r="P264" s="100" t="str">
        <f>IFERROR(VLOOKUP(Tablo517[[#This Row],[HAMMADDE KODU]],Tablo1[#All],4,0)," ")</f>
        <v xml:space="preserve"> </v>
      </c>
      <c r="Q264" s="100" t="str">
        <f>IFERROR(VLOOKUP(Tablo517[[#This Row],[ÜRÜN KODU]],YMKODLARI!$A$1:$K$363,5,0)," ")</f>
        <v xml:space="preserve"> </v>
      </c>
      <c r="R264" s="100" t="str">
        <f>IFERROR(VLOOKUP(Tablo517[[#This Row],[ÜRÜN KODU]],YMKODLARI!$A$1:$K$363,6,0)," ")</f>
        <v xml:space="preserve"> </v>
      </c>
      <c r="S264" s="100" t="str">
        <f>IFERROR(Tablo517[[#This Row],[YOLLUK HARİÇ BASKI GRAMI]]/Tablo517[[#This Row],[KALIP GÖZ ADEDİ]]," ")</f>
        <v xml:space="preserve"> </v>
      </c>
      <c r="T264" s="100" t="str">
        <f t="shared" si="31"/>
        <v xml:space="preserve"> </v>
      </c>
      <c r="U264" s="100"/>
      <c r="V264" s="100" t="str">
        <f t="shared" si="30"/>
        <v xml:space="preserve"> </v>
      </c>
      <c r="W264" s="101">
        <f t="shared" si="32"/>
        <v>24</v>
      </c>
      <c r="X264" s="102">
        <f t="shared" si="33"/>
        <v>0</v>
      </c>
      <c r="Y264" s="100" t="str">
        <f t="shared" si="34"/>
        <v xml:space="preserve"> </v>
      </c>
      <c r="Z264" s="100" t="str">
        <f t="shared" si="35"/>
        <v xml:space="preserve"> </v>
      </c>
    </row>
    <row r="265" spans="1:26">
      <c r="A265" s="100"/>
      <c r="B265" s="108" t="str">
        <f>IFERROR(VLOOKUP(Tablo517[[#This Row],[ÜRÜN KODU]],YMKODLARI!$A$1:$K$363,2,0)," ")</f>
        <v xml:space="preserve"> </v>
      </c>
      <c r="C265" s="99"/>
      <c r="D265" s="100"/>
      <c r="E265" s="101"/>
      <c r="F265" s="101"/>
      <c r="G265" s="100" t="str">
        <f>IFERROR(VLOOKUP(Tablo517[[#This Row],[ÜRÜN KODU]],YMKODLARI!$A$1:$K$363,3,0)," ")</f>
        <v xml:space="preserve"> </v>
      </c>
      <c r="H265" s="100" t="str">
        <f>IFERROR(VLOOKUP(Tablo517[[#This Row],[ÜRÜN KODU]],YMKODLARI!$A$1:$K$363,4,0)," ")</f>
        <v xml:space="preserve"> </v>
      </c>
      <c r="I265" s="100"/>
      <c r="J265" s="100" t="str">
        <f>IFERROR(VLOOKUP(Tablo517[[#This Row],[ÜRÜN KODU]],YMKODLARI!$A$1:$K$363,9,0)," ")</f>
        <v xml:space="preserve"> </v>
      </c>
      <c r="K265" s="100" t="str">
        <f>IFERROR(VLOOKUP(Tablo517[[#This Row],[BOYA KODU]],Tablo14[#All],4,0)," ")</f>
        <v xml:space="preserve"> </v>
      </c>
      <c r="L265" s="100" t="str">
        <f>IFERROR(VLOOKUP(Tablo517[[#This Row],[BOYA KODU]],Tablo14[#All],6,0)," ")</f>
        <v xml:space="preserve"> </v>
      </c>
      <c r="M265" s="100" t="str">
        <f t="shared" si="29"/>
        <v xml:space="preserve"> </v>
      </c>
      <c r="N265" s="100" t="str">
        <f>IFERROR(VLOOKUP(Tablo517[[#This Row],[ÜRÜN KODU]],YMKODLARI!$A$1:$K$363,8,0)," ")</f>
        <v xml:space="preserve"> </v>
      </c>
      <c r="O265" s="100" t="str">
        <f>IFERROR(VLOOKUP(Tablo517[[#This Row],[HAMMADDE KODU]],Tablo1[#All],3,0)," ")</f>
        <v xml:space="preserve"> </v>
      </c>
      <c r="P265" s="100" t="str">
        <f>IFERROR(VLOOKUP(Tablo517[[#This Row],[HAMMADDE KODU]],Tablo1[#All],4,0)," ")</f>
        <v xml:space="preserve"> </v>
      </c>
      <c r="Q265" s="100" t="str">
        <f>IFERROR(VLOOKUP(Tablo517[[#This Row],[ÜRÜN KODU]],YMKODLARI!$A$1:$K$363,5,0)," ")</f>
        <v xml:space="preserve"> </v>
      </c>
      <c r="R265" s="100" t="str">
        <f>IFERROR(VLOOKUP(Tablo517[[#This Row],[ÜRÜN KODU]],YMKODLARI!$A$1:$K$363,6,0)," ")</f>
        <v xml:space="preserve"> </v>
      </c>
      <c r="S265" s="100" t="str">
        <f>IFERROR(Tablo517[[#This Row],[YOLLUK HARİÇ BASKI GRAMI]]/Tablo517[[#This Row],[KALIP GÖZ ADEDİ]]," ")</f>
        <v xml:space="preserve"> </v>
      </c>
      <c r="T265" s="100" t="str">
        <f t="shared" si="31"/>
        <v xml:space="preserve"> </v>
      </c>
      <c r="U265" s="100"/>
      <c r="V265" s="100" t="str">
        <f t="shared" si="30"/>
        <v xml:space="preserve"> </v>
      </c>
      <c r="W265" s="101">
        <f t="shared" si="32"/>
        <v>24</v>
      </c>
      <c r="X265" s="102">
        <f t="shared" si="33"/>
        <v>0</v>
      </c>
      <c r="Y265" s="100" t="str">
        <f t="shared" si="34"/>
        <v xml:space="preserve"> </v>
      </c>
      <c r="Z265" s="100" t="str">
        <f t="shared" si="35"/>
        <v xml:space="preserve"> </v>
      </c>
    </row>
    <row r="266" spans="1:26">
      <c r="A266" s="100"/>
      <c r="B266" s="108" t="str">
        <f>IFERROR(VLOOKUP(Tablo517[[#This Row],[ÜRÜN KODU]],YMKODLARI!$A$1:$K$363,2,0)," ")</f>
        <v xml:space="preserve"> </v>
      </c>
      <c r="C266" s="99"/>
      <c r="D266" s="100"/>
      <c r="E266" s="101"/>
      <c r="F266" s="101"/>
      <c r="G266" s="100" t="str">
        <f>IFERROR(VLOOKUP(Tablo517[[#This Row],[ÜRÜN KODU]],YMKODLARI!$A$1:$K$363,3,0)," ")</f>
        <v xml:space="preserve"> </v>
      </c>
      <c r="H266" s="100" t="str">
        <f>IFERROR(VLOOKUP(Tablo517[[#This Row],[ÜRÜN KODU]],YMKODLARI!$A$1:$K$363,4,0)," ")</f>
        <v xml:space="preserve"> </v>
      </c>
      <c r="I266" s="100"/>
      <c r="J266" s="100" t="str">
        <f>IFERROR(VLOOKUP(Tablo517[[#This Row],[ÜRÜN KODU]],YMKODLARI!$A$1:$K$363,9,0)," ")</f>
        <v xml:space="preserve"> </v>
      </c>
      <c r="K266" s="100" t="str">
        <f>IFERROR(VLOOKUP(Tablo517[[#This Row],[BOYA KODU]],Tablo14[#All],4,0)," ")</f>
        <v xml:space="preserve"> </v>
      </c>
      <c r="L266" s="100" t="str">
        <f>IFERROR(VLOOKUP(Tablo517[[#This Row],[BOYA KODU]],Tablo14[#All],6,0)," ")</f>
        <v xml:space="preserve"> </v>
      </c>
      <c r="M266" s="100" t="str">
        <f t="shared" si="29"/>
        <v xml:space="preserve"> </v>
      </c>
      <c r="N266" s="100" t="str">
        <f>IFERROR(VLOOKUP(Tablo517[[#This Row],[ÜRÜN KODU]],YMKODLARI!$A$1:$K$363,8,0)," ")</f>
        <v xml:space="preserve"> </v>
      </c>
      <c r="O266" s="100" t="str">
        <f>IFERROR(VLOOKUP(Tablo517[[#This Row],[HAMMADDE KODU]],Tablo1[#All],3,0)," ")</f>
        <v xml:space="preserve"> </v>
      </c>
      <c r="P266" s="100" t="str">
        <f>IFERROR(VLOOKUP(Tablo517[[#This Row],[HAMMADDE KODU]],Tablo1[#All],4,0)," ")</f>
        <v xml:space="preserve"> </v>
      </c>
      <c r="Q266" s="100" t="str">
        <f>IFERROR(VLOOKUP(Tablo517[[#This Row],[ÜRÜN KODU]],YMKODLARI!$A$1:$K$363,5,0)," ")</f>
        <v xml:space="preserve"> </v>
      </c>
      <c r="R266" s="100" t="str">
        <f>IFERROR(VLOOKUP(Tablo517[[#This Row],[ÜRÜN KODU]],YMKODLARI!$A$1:$K$363,6,0)," ")</f>
        <v xml:space="preserve"> </v>
      </c>
      <c r="S266" s="100" t="str">
        <f>IFERROR(Tablo517[[#This Row],[YOLLUK HARİÇ BASKI GRAMI]]/Tablo517[[#This Row],[KALIP GÖZ ADEDİ]]," ")</f>
        <v xml:space="preserve"> </v>
      </c>
      <c r="T266" s="100" t="str">
        <f t="shared" si="31"/>
        <v xml:space="preserve"> </v>
      </c>
      <c r="U266" s="100"/>
      <c r="V266" s="100" t="str">
        <f t="shared" si="30"/>
        <v xml:space="preserve"> </v>
      </c>
      <c r="W266" s="101">
        <f t="shared" si="32"/>
        <v>24</v>
      </c>
      <c r="X266" s="102">
        <f t="shared" si="33"/>
        <v>0</v>
      </c>
      <c r="Y266" s="100" t="str">
        <f t="shared" si="34"/>
        <v xml:space="preserve"> </v>
      </c>
      <c r="Z266" s="100" t="str">
        <f t="shared" si="35"/>
        <v xml:space="preserve"> </v>
      </c>
    </row>
    <row r="267" spans="1:26">
      <c r="A267" s="100"/>
      <c r="B267" s="108" t="str">
        <f>IFERROR(VLOOKUP(Tablo517[[#This Row],[ÜRÜN KODU]],YMKODLARI!$A$1:$K$363,2,0)," ")</f>
        <v xml:space="preserve"> </v>
      </c>
      <c r="C267" s="99"/>
      <c r="D267" s="100"/>
      <c r="E267" s="101"/>
      <c r="F267" s="101"/>
      <c r="G267" s="100" t="str">
        <f>IFERROR(VLOOKUP(Tablo517[[#This Row],[ÜRÜN KODU]],YMKODLARI!$A$1:$K$363,3,0)," ")</f>
        <v xml:space="preserve"> </v>
      </c>
      <c r="H267" s="100" t="str">
        <f>IFERROR(VLOOKUP(Tablo517[[#This Row],[ÜRÜN KODU]],YMKODLARI!$A$1:$K$363,4,0)," ")</f>
        <v xml:space="preserve"> </v>
      </c>
      <c r="I267" s="100"/>
      <c r="J267" s="100" t="str">
        <f>IFERROR(VLOOKUP(Tablo517[[#This Row],[ÜRÜN KODU]],YMKODLARI!$A$1:$K$363,9,0)," ")</f>
        <v xml:space="preserve"> </v>
      </c>
      <c r="K267" s="100" t="str">
        <f>IFERROR(VLOOKUP(Tablo517[[#This Row],[BOYA KODU]],Tablo14[#All],4,0)," ")</f>
        <v xml:space="preserve"> </v>
      </c>
      <c r="L267" s="100" t="str">
        <f>IFERROR(VLOOKUP(Tablo517[[#This Row],[BOYA KODU]],Tablo14[#All],6,0)," ")</f>
        <v xml:space="preserve"> </v>
      </c>
      <c r="M267" s="100" t="str">
        <f t="shared" si="29"/>
        <v xml:space="preserve"> </v>
      </c>
      <c r="N267" s="100" t="str">
        <f>IFERROR(VLOOKUP(Tablo517[[#This Row],[ÜRÜN KODU]],YMKODLARI!$A$1:$K$363,8,0)," ")</f>
        <v xml:space="preserve"> </v>
      </c>
      <c r="O267" s="100" t="str">
        <f>IFERROR(VLOOKUP(Tablo517[[#This Row],[HAMMADDE KODU]],Tablo1[#All],3,0)," ")</f>
        <v xml:space="preserve"> </v>
      </c>
      <c r="P267" s="100" t="str">
        <f>IFERROR(VLOOKUP(Tablo517[[#This Row],[HAMMADDE KODU]],Tablo1[#All],4,0)," ")</f>
        <v xml:space="preserve"> </v>
      </c>
      <c r="Q267" s="100" t="str">
        <f>IFERROR(VLOOKUP(Tablo517[[#This Row],[ÜRÜN KODU]],YMKODLARI!$A$1:$K$363,5,0)," ")</f>
        <v xml:space="preserve"> </v>
      </c>
      <c r="R267" s="100" t="str">
        <f>IFERROR(VLOOKUP(Tablo517[[#This Row],[ÜRÜN KODU]],YMKODLARI!$A$1:$K$363,6,0)," ")</f>
        <v xml:space="preserve"> </v>
      </c>
      <c r="S267" s="100" t="str">
        <f>IFERROR(Tablo517[[#This Row],[YOLLUK HARİÇ BASKI GRAMI]]/Tablo517[[#This Row],[KALIP GÖZ ADEDİ]]," ")</f>
        <v xml:space="preserve"> </v>
      </c>
      <c r="T267" s="100" t="str">
        <f t="shared" si="31"/>
        <v xml:space="preserve"> </v>
      </c>
      <c r="U267" s="100"/>
      <c r="V267" s="100" t="str">
        <f t="shared" si="30"/>
        <v xml:space="preserve"> </v>
      </c>
      <c r="W267" s="101">
        <f t="shared" si="32"/>
        <v>24</v>
      </c>
      <c r="X267" s="102">
        <f t="shared" si="33"/>
        <v>0</v>
      </c>
      <c r="Y267" s="100" t="str">
        <f t="shared" si="34"/>
        <v xml:space="preserve"> </v>
      </c>
      <c r="Z267" s="100" t="str">
        <f t="shared" si="35"/>
        <v xml:space="preserve"> </v>
      </c>
    </row>
    <row r="268" spans="1:26">
      <c r="A268" s="100"/>
      <c r="B268" s="108" t="str">
        <f>IFERROR(VLOOKUP(Tablo517[[#This Row],[ÜRÜN KODU]],YMKODLARI!$A$1:$K$363,2,0)," ")</f>
        <v xml:space="preserve"> </v>
      </c>
      <c r="C268" s="99"/>
      <c r="D268" s="100"/>
      <c r="E268" s="101"/>
      <c r="F268" s="101"/>
      <c r="G268" s="100" t="str">
        <f>IFERROR(VLOOKUP(Tablo517[[#This Row],[ÜRÜN KODU]],YMKODLARI!$A$1:$K$363,3,0)," ")</f>
        <v xml:space="preserve"> </v>
      </c>
      <c r="H268" s="100" t="str">
        <f>IFERROR(VLOOKUP(Tablo517[[#This Row],[ÜRÜN KODU]],YMKODLARI!$A$1:$K$363,4,0)," ")</f>
        <v xml:space="preserve"> </v>
      </c>
      <c r="I268" s="100"/>
      <c r="J268" s="100" t="str">
        <f>IFERROR(VLOOKUP(Tablo517[[#This Row],[ÜRÜN KODU]],YMKODLARI!$A$1:$K$363,9,0)," ")</f>
        <v xml:space="preserve"> </v>
      </c>
      <c r="K268" s="100" t="str">
        <f>IFERROR(VLOOKUP(Tablo517[[#This Row],[BOYA KODU]],Tablo14[#All],4,0)," ")</f>
        <v xml:space="preserve"> </v>
      </c>
      <c r="L268" s="100" t="str">
        <f>IFERROR(VLOOKUP(Tablo517[[#This Row],[BOYA KODU]],Tablo14[#All],6,0)," ")</f>
        <v xml:space="preserve"> </v>
      </c>
      <c r="M268" s="100" t="str">
        <f t="shared" si="29"/>
        <v xml:space="preserve"> </v>
      </c>
      <c r="N268" s="100" t="str">
        <f>IFERROR(VLOOKUP(Tablo517[[#This Row],[ÜRÜN KODU]],YMKODLARI!$A$1:$K$363,8,0)," ")</f>
        <v xml:space="preserve"> </v>
      </c>
      <c r="O268" s="100" t="str">
        <f>IFERROR(VLOOKUP(Tablo517[[#This Row],[HAMMADDE KODU]],Tablo1[#All],3,0)," ")</f>
        <v xml:space="preserve"> </v>
      </c>
      <c r="P268" s="100" t="str">
        <f>IFERROR(VLOOKUP(Tablo517[[#This Row],[HAMMADDE KODU]],Tablo1[#All],4,0)," ")</f>
        <v xml:space="preserve"> </v>
      </c>
      <c r="Q268" s="100" t="str">
        <f>IFERROR(VLOOKUP(Tablo517[[#This Row],[ÜRÜN KODU]],YMKODLARI!$A$1:$K$363,5,0)," ")</f>
        <v xml:space="preserve"> </v>
      </c>
      <c r="R268" s="100" t="str">
        <f>IFERROR(VLOOKUP(Tablo517[[#This Row],[ÜRÜN KODU]],YMKODLARI!$A$1:$K$363,6,0)," ")</f>
        <v xml:space="preserve"> </v>
      </c>
      <c r="S268" s="100" t="str">
        <f>IFERROR(Tablo517[[#This Row],[YOLLUK HARİÇ BASKI GRAMI]]/Tablo517[[#This Row],[KALIP GÖZ ADEDİ]]," ")</f>
        <v xml:space="preserve"> </v>
      </c>
      <c r="T268" s="100" t="str">
        <f t="shared" si="31"/>
        <v xml:space="preserve"> </v>
      </c>
      <c r="U268" s="100"/>
      <c r="V268" s="100" t="str">
        <f t="shared" si="30"/>
        <v xml:space="preserve"> </v>
      </c>
      <c r="W268" s="101">
        <f t="shared" si="32"/>
        <v>24</v>
      </c>
      <c r="X268" s="102">
        <f t="shared" si="33"/>
        <v>0</v>
      </c>
      <c r="Y268" s="100" t="str">
        <f t="shared" si="34"/>
        <v xml:space="preserve"> </v>
      </c>
      <c r="Z268" s="100" t="str">
        <f t="shared" si="35"/>
        <v xml:space="preserve"> </v>
      </c>
    </row>
    <row r="269" spans="1:26">
      <c r="A269" s="100"/>
      <c r="B269" s="108" t="str">
        <f>IFERROR(VLOOKUP(Tablo517[[#This Row],[ÜRÜN KODU]],YMKODLARI!$A$1:$K$363,2,0)," ")</f>
        <v xml:space="preserve"> </v>
      </c>
      <c r="C269" s="99"/>
      <c r="D269" s="100"/>
      <c r="E269" s="101"/>
      <c r="F269" s="101"/>
      <c r="G269" s="100" t="str">
        <f>IFERROR(VLOOKUP(Tablo517[[#This Row],[ÜRÜN KODU]],YMKODLARI!$A$1:$K$363,3,0)," ")</f>
        <v xml:space="preserve"> </v>
      </c>
      <c r="H269" s="100" t="str">
        <f>IFERROR(VLOOKUP(Tablo517[[#This Row],[ÜRÜN KODU]],YMKODLARI!$A$1:$K$363,4,0)," ")</f>
        <v xml:space="preserve"> </v>
      </c>
      <c r="I269" s="100"/>
      <c r="J269" s="100" t="str">
        <f>IFERROR(VLOOKUP(Tablo517[[#This Row],[ÜRÜN KODU]],YMKODLARI!$A$1:$K$363,9,0)," ")</f>
        <v xml:space="preserve"> </v>
      </c>
      <c r="K269" s="100" t="str">
        <f>IFERROR(VLOOKUP(Tablo517[[#This Row],[BOYA KODU]],Tablo14[#All],4,0)," ")</f>
        <v xml:space="preserve"> </v>
      </c>
      <c r="L269" s="100" t="str">
        <f>IFERROR(VLOOKUP(Tablo517[[#This Row],[BOYA KODU]],Tablo14[#All],6,0)," ")</f>
        <v xml:space="preserve"> </v>
      </c>
      <c r="M269" s="100" t="str">
        <f t="shared" si="29"/>
        <v xml:space="preserve"> </v>
      </c>
      <c r="N269" s="100" t="str">
        <f>IFERROR(VLOOKUP(Tablo517[[#This Row],[ÜRÜN KODU]],YMKODLARI!$A$1:$K$363,8,0)," ")</f>
        <v xml:space="preserve"> </v>
      </c>
      <c r="O269" s="100" t="str">
        <f>IFERROR(VLOOKUP(Tablo517[[#This Row],[HAMMADDE KODU]],Tablo1[#All],3,0)," ")</f>
        <v xml:space="preserve"> </v>
      </c>
      <c r="P269" s="100" t="str">
        <f>IFERROR(VLOOKUP(Tablo517[[#This Row],[HAMMADDE KODU]],Tablo1[#All],4,0)," ")</f>
        <v xml:space="preserve"> </v>
      </c>
      <c r="Q269" s="100" t="str">
        <f>IFERROR(VLOOKUP(Tablo517[[#This Row],[ÜRÜN KODU]],YMKODLARI!$A$1:$K$363,5,0)," ")</f>
        <v xml:space="preserve"> </v>
      </c>
      <c r="R269" s="100" t="str">
        <f>IFERROR(VLOOKUP(Tablo517[[#This Row],[ÜRÜN KODU]],YMKODLARI!$A$1:$K$363,6,0)," ")</f>
        <v xml:space="preserve"> </v>
      </c>
      <c r="S269" s="100" t="str">
        <f>IFERROR(Tablo517[[#This Row],[YOLLUK HARİÇ BASKI GRAMI]]/Tablo517[[#This Row],[KALIP GÖZ ADEDİ]]," ")</f>
        <v xml:space="preserve"> </v>
      </c>
      <c r="T269" s="100" t="str">
        <f t="shared" si="31"/>
        <v xml:space="preserve"> </v>
      </c>
      <c r="U269" s="100"/>
      <c r="V269" s="100" t="str">
        <f t="shared" si="30"/>
        <v xml:space="preserve"> </v>
      </c>
      <c r="W269" s="101">
        <f t="shared" si="32"/>
        <v>24</v>
      </c>
      <c r="X269" s="102">
        <f t="shared" si="33"/>
        <v>0</v>
      </c>
      <c r="Y269" s="100" t="str">
        <f t="shared" si="34"/>
        <v xml:space="preserve"> </v>
      </c>
      <c r="Z269" s="100" t="str">
        <f t="shared" si="35"/>
        <v xml:space="preserve"> </v>
      </c>
    </row>
    <row r="270" spans="1:26">
      <c r="A270" s="100"/>
      <c r="B270" s="108" t="str">
        <f>IFERROR(VLOOKUP(Tablo517[[#This Row],[ÜRÜN KODU]],YMKODLARI!$A$1:$K$363,2,0)," ")</f>
        <v xml:space="preserve"> </v>
      </c>
      <c r="C270" s="99"/>
      <c r="D270" s="100"/>
      <c r="E270" s="101"/>
      <c r="F270" s="101"/>
      <c r="G270" s="100" t="str">
        <f>IFERROR(VLOOKUP(Tablo517[[#This Row],[ÜRÜN KODU]],YMKODLARI!$A$1:$K$363,3,0)," ")</f>
        <v xml:space="preserve"> </v>
      </c>
      <c r="H270" s="100" t="str">
        <f>IFERROR(VLOOKUP(Tablo517[[#This Row],[ÜRÜN KODU]],YMKODLARI!$A$1:$K$363,4,0)," ")</f>
        <v xml:space="preserve"> </v>
      </c>
      <c r="I270" s="100"/>
      <c r="J270" s="100" t="str">
        <f>IFERROR(VLOOKUP(Tablo517[[#This Row],[ÜRÜN KODU]],YMKODLARI!$A$1:$K$363,9,0)," ")</f>
        <v xml:space="preserve"> </v>
      </c>
      <c r="K270" s="100" t="str">
        <f>IFERROR(VLOOKUP(Tablo517[[#This Row],[BOYA KODU]],Tablo14[#All],4,0)," ")</f>
        <v xml:space="preserve"> </v>
      </c>
      <c r="L270" s="100" t="str">
        <f>IFERROR(VLOOKUP(Tablo517[[#This Row],[BOYA KODU]],Tablo14[#All],6,0)," ")</f>
        <v xml:space="preserve"> </v>
      </c>
      <c r="M270" s="100" t="str">
        <f t="shared" si="29"/>
        <v xml:space="preserve"> </v>
      </c>
      <c r="N270" s="100" t="str">
        <f>IFERROR(VLOOKUP(Tablo517[[#This Row],[ÜRÜN KODU]],YMKODLARI!$A$1:$K$363,8,0)," ")</f>
        <v xml:space="preserve"> </v>
      </c>
      <c r="O270" s="100" t="str">
        <f>IFERROR(VLOOKUP(Tablo517[[#This Row],[HAMMADDE KODU]],Tablo1[#All],3,0)," ")</f>
        <v xml:space="preserve"> </v>
      </c>
      <c r="P270" s="100" t="str">
        <f>IFERROR(VLOOKUP(Tablo517[[#This Row],[HAMMADDE KODU]],Tablo1[#All],4,0)," ")</f>
        <v xml:space="preserve"> </v>
      </c>
      <c r="Q270" s="100" t="str">
        <f>IFERROR(VLOOKUP(Tablo517[[#This Row],[ÜRÜN KODU]],YMKODLARI!$A$1:$K$363,5,0)," ")</f>
        <v xml:space="preserve"> </v>
      </c>
      <c r="R270" s="100" t="str">
        <f>IFERROR(VLOOKUP(Tablo517[[#This Row],[ÜRÜN KODU]],YMKODLARI!$A$1:$K$363,6,0)," ")</f>
        <v xml:space="preserve"> </v>
      </c>
      <c r="S270" s="100" t="str">
        <f>IFERROR(Tablo517[[#This Row],[YOLLUK HARİÇ BASKI GRAMI]]/Tablo517[[#This Row],[KALIP GÖZ ADEDİ]]," ")</f>
        <v xml:space="preserve"> </v>
      </c>
      <c r="T270" s="100" t="str">
        <f t="shared" si="31"/>
        <v xml:space="preserve"> </v>
      </c>
      <c r="U270" s="100"/>
      <c r="V270" s="100" t="str">
        <f t="shared" si="30"/>
        <v xml:space="preserve"> </v>
      </c>
      <c r="W270" s="101">
        <f t="shared" si="32"/>
        <v>24</v>
      </c>
      <c r="X270" s="102">
        <f t="shared" si="33"/>
        <v>0</v>
      </c>
      <c r="Y270" s="100" t="str">
        <f t="shared" si="34"/>
        <v xml:space="preserve"> </v>
      </c>
      <c r="Z270" s="100" t="str">
        <f t="shared" si="35"/>
        <v xml:space="preserve"> </v>
      </c>
    </row>
    <row r="271" spans="1:26">
      <c r="A271" s="100"/>
      <c r="B271" s="108" t="str">
        <f>IFERROR(VLOOKUP(Tablo517[[#This Row],[ÜRÜN KODU]],YMKODLARI!$A$1:$K$363,2,0)," ")</f>
        <v xml:space="preserve"> </v>
      </c>
      <c r="C271" s="99"/>
      <c r="D271" s="100"/>
      <c r="E271" s="101"/>
      <c r="F271" s="101"/>
      <c r="G271" s="100" t="str">
        <f>IFERROR(VLOOKUP(Tablo517[[#This Row],[ÜRÜN KODU]],YMKODLARI!$A$1:$K$363,3,0)," ")</f>
        <v xml:space="preserve"> </v>
      </c>
      <c r="H271" s="100" t="str">
        <f>IFERROR(VLOOKUP(Tablo517[[#This Row],[ÜRÜN KODU]],YMKODLARI!$A$1:$K$363,4,0)," ")</f>
        <v xml:space="preserve"> </v>
      </c>
      <c r="I271" s="100"/>
      <c r="J271" s="100" t="str">
        <f>IFERROR(VLOOKUP(Tablo517[[#This Row],[ÜRÜN KODU]],YMKODLARI!$A$1:$K$363,9,0)," ")</f>
        <v xml:space="preserve"> </v>
      </c>
      <c r="K271" s="100" t="str">
        <f>IFERROR(VLOOKUP(Tablo517[[#This Row],[BOYA KODU]],Tablo14[#All],4,0)," ")</f>
        <v xml:space="preserve"> </v>
      </c>
      <c r="L271" s="100" t="str">
        <f>IFERROR(VLOOKUP(Tablo517[[#This Row],[BOYA KODU]],Tablo14[#All],6,0)," ")</f>
        <v xml:space="preserve"> </v>
      </c>
      <c r="M271" s="100" t="str">
        <f t="shared" si="29"/>
        <v xml:space="preserve"> </v>
      </c>
      <c r="N271" s="100" t="str">
        <f>IFERROR(VLOOKUP(Tablo517[[#This Row],[ÜRÜN KODU]],YMKODLARI!$A$1:$K$363,8,0)," ")</f>
        <v xml:space="preserve"> </v>
      </c>
      <c r="O271" s="100" t="str">
        <f>IFERROR(VLOOKUP(Tablo517[[#This Row],[HAMMADDE KODU]],Tablo1[#All],3,0)," ")</f>
        <v xml:space="preserve"> </v>
      </c>
      <c r="P271" s="100" t="str">
        <f>IFERROR(VLOOKUP(Tablo517[[#This Row],[HAMMADDE KODU]],Tablo1[#All],4,0)," ")</f>
        <v xml:space="preserve"> </v>
      </c>
      <c r="Q271" s="100" t="str">
        <f>IFERROR(VLOOKUP(Tablo517[[#This Row],[ÜRÜN KODU]],YMKODLARI!$A$1:$K$363,5,0)," ")</f>
        <v xml:space="preserve"> </v>
      </c>
      <c r="R271" s="100" t="str">
        <f>IFERROR(VLOOKUP(Tablo517[[#This Row],[ÜRÜN KODU]],YMKODLARI!$A$1:$K$363,6,0)," ")</f>
        <v xml:space="preserve"> </v>
      </c>
      <c r="S271" s="100" t="str">
        <f>IFERROR(Tablo517[[#This Row],[YOLLUK HARİÇ BASKI GRAMI]]/Tablo517[[#This Row],[KALIP GÖZ ADEDİ]]," ")</f>
        <v xml:space="preserve"> </v>
      </c>
      <c r="T271" s="100" t="str">
        <f t="shared" si="31"/>
        <v xml:space="preserve"> </v>
      </c>
      <c r="U271" s="100"/>
      <c r="V271" s="100" t="str">
        <f t="shared" si="30"/>
        <v xml:space="preserve"> </v>
      </c>
      <c r="W271" s="101">
        <f t="shared" si="32"/>
        <v>24</v>
      </c>
      <c r="X271" s="102">
        <f t="shared" si="33"/>
        <v>0</v>
      </c>
      <c r="Y271" s="100" t="str">
        <f t="shared" si="34"/>
        <v xml:space="preserve"> </v>
      </c>
      <c r="Z271" s="100" t="str">
        <f t="shared" si="35"/>
        <v xml:space="preserve"> </v>
      </c>
    </row>
    <row r="272" spans="1:26">
      <c r="A272" s="100"/>
      <c r="B272" s="108" t="str">
        <f>IFERROR(VLOOKUP(Tablo517[[#This Row],[ÜRÜN KODU]],YMKODLARI!$A$1:$K$363,2,0)," ")</f>
        <v xml:space="preserve"> </v>
      </c>
      <c r="C272" s="99"/>
      <c r="D272" s="100"/>
      <c r="E272" s="101"/>
      <c r="F272" s="101"/>
      <c r="G272" s="100" t="str">
        <f>IFERROR(VLOOKUP(Tablo517[[#This Row],[ÜRÜN KODU]],YMKODLARI!$A$1:$K$363,3,0)," ")</f>
        <v xml:space="preserve"> </v>
      </c>
      <c r="H272" s="100" t="str">
        <f>IFERROR(VLOOKUP(Tablo517[[#This Row],[ÜRÜN KODU]],YMKODLARI!$A$1:$K$363,4,0)," ")</f>
        <v xml:space="preserve"> </v>
      </c>
      <c r="I272" s="100"/>
      <c r="J272" s="100" t="str">
        <f>IFERROR(VLOOKUP(Tablo517[[#This Row],[ÜRÜN KODU]],YMKODLARI!$A$1:$K$363,9,0)," ")</f>
        <v xml:space="preserve"> </v>
      </c>
      <c r="K272" s="100" t="str">
        <f>IFERROR(VLOOKUP(Tablo517[[#This Row],[BOYA KODU]],Tablo14[#All],4,0)," ")</f>
        <v xml:space="preserve"> </v>
      </c>
      <c r="L272" s="100" t="str">
        <f>IFERROR(VLOOKUP(Tablo517[[#This Row],[BOYA KODU]],Tablo14[#All],6,0)," ")</f>
        <v xml:space="preserve"> </v>
      </c>
      <c r="M272" s="100" t="str">
        <f t="shared" si="29"/>
        <v xml:space="preserve"> </v>
      </c>
      <c r="N272" s="100" t="str">
        <f>IFERROR(VLOOKUP(Tablo517[[#This Row],[ÜRÜN KODU]],YMKODLARI!$A$1:$K$363,8,0)," ")</f>
        <v xml:space="preserve"> </v>
      </c>
      <c r="O272" s="100" t="str">
        <f>IFERROR(VLOOKUP(Tablo517[[#This Row],[HAMMADDE KODU]],Tablo1[#All],3,0)," ")</f>
        <v xml:space="preserve"> </v>
      </c>
      <c r="P272" s="100" t="str">
        <f>IFERROR(VLOOKUP(Tablo517[[#This Row],[HAMMADDE KODU]],Tablo1[#All],4,0)," ")</f>
        <v xml:space="preserve"> </v>
      </c>
      <c r="Q272" s="100" t="str">
        <f>IFERROR(VLOOKUP(Tablo517[[#This Row],[ÜRÜN KODU]],YMKODLARI!$A$1:$K$363,5,0)," ")</f>
        <v xml:space="preserve"> </v>
      </c>
      <c r="R272" s="100" t="str">
        <f>IFERROR(VLOOKUP(Tablo517[[#This Row],[ÜRÜN KODU]],YMKODLARI!$A$1:$K$363,6,0)," ")</f>
        <v xml:space="preserve"> </v>
      </c>
      <c r="S272" s="100" t="str">
        <f>IFERROR(Tablo517[[#This Row],[YOLLUK HARİÇ BASKI GRAMI]]/Tablo517[[#This Row],[KALIP GÖZ ADEDİ]]," ")</f>
        <v xml:space="preserve"> </v>
      </c>
      <c r="T272" s="100" t="str">
        <f t="shared" si="31"/>
        <v xml:space="preserve"> </v>
      </c>
      <c r="U272" s="100"/>
      <c r="V272" s="100" t="str">
        <f t="shared" si="30"/>
        <v xml:space="preserve"> </v>
      </c>
      <c r="W272" s="101">
        <f t="shared" si="32"/>
        <v>24</v>
      </c>
      <c r="X272" s="102">
        <f t="shared" si="33"/>
        <v>0</v>
      </c>
      <c r="Y272" s="100" t="str">
        <f t="shared" si="34"/>
        <v xml:space="preserve"> </v>
      </c>
      <c r="Z272" s="100" t="str">
        <f t="shared" si="35"/>
        <v xml:space="preserve"> </v>
      </c>
    </row>
    <row r="273" spans="1:26">
      <c r="A273" s="100"/>
      <c r="B273" s="108" t="str">
        <f>IFERROR(VLOOKUP(Tablo517[[#This Row],[ÜRÜN KODU]],YMKODLARI!$A$1:$K$363,2,0)," ")</f>
        <v xml:space="preserve"> </v>
      </c>
      <c r="C273" s="99"/>
      <c r="D273" s="100"/>
      <c r="E273" s="101"/>
      <c r="F273" s="101"/>
      <c r="G273" s="100" t="str">
        <f>IFERROR(VLOOKUP(Tablo517[[#This Row],[ÜRÜN KODU]],YMKODLARI!$A$1:$K$363,3,0)," ")</f>
        <v xml:space="preserve"> </v>
      </c>
      <c r="H273" s="100" t="str">
        <f>IFERROR(VLOOKUP(Tablo517[[#This Row],[ÜRÜN KODU]],YMKODLARI!$A$1:$K$363,4,0)," ")</f>
        <v xml:space="preserve"> </v>
      </c>
      <c r="I273" s="100"/>
      <c r="J273" s="100" t="str">
        <f>IFERROR(VLOOKUP(Tablo517[[#This Row],[ÜRÜN KODU]],YMKODLARI!$A$1:$K$363,9,0)," ")</f>
        <v xml:space="preserve"> </v>
      </c>
      <c r="K273" s="100" t="str">
        <f>IFERROR(VLOOKUP(Tablo517[[#This Row],[BOYA KODU]],Tablo14[#All],4,0)," ")</f>
        <v xml:space="preserve"> </v>
      </c>
      <c r="L273" s="100" t="str">
        <f>IFERROR(VLOOKUP(Tablo517[[#This Row],[BOYA KODU]],Tablo14[#All],6,0)," ")</f>
        <v xml:space="preserve"> </v>
      </c>
      <c r="M273" s="100" t="str">
        <f t="shared" si="29"/>
        <v xml:space="preserve"> </v>
      </c>
      <c r="N273" s="100" t="str">
        <f>IFERROR(VLOOKUP(Tablo517[[#This Row],[ÜRÜN KODU]],YMKODLARI!$A$1:$K$363,8,0)," ")</f>
        <v xml:space="preserve"> </v>
      </c>
      <c r="O273" s="100" t="str">
        <f>IFERROR(VLOOKUP(Tablo517[[#This Row],[HAMMADDE KODU]],Tablo1[#All],3,0)," ")</f>
        <v xml:space="preserve"> </v>
      </c>
      <c r="P273" s="100" t="str">
        <f>IFERROR(VLOOKUP(Tablo517[[#This Row],[HAMMADDE KODU]],Tablo1[#All],4,0)," ")</f>
        <v xml:space="preserve"> </v>
      </c>
      <c r="Q273" s="100" t="str">
        <f>IFERROR(VLOOKUP(Tablo517[[#This Row],[ÜRÜN KODU]],YMKODLARI!$A$1:$K$363,5,0)," ")</f>
        <v xml:space="preserve"> </v>
      </c>
      <c r="R273" s="100" t="str">
        <f>IFERROR(VLOOKUP(Tablo517[[#This Row],[ÜRÜN KODU]],YMKODLARI!$A$1:$K$363,6,0)," ")</f>
        <v xml:space="preserve"> </v>
      </c>
      <c r="S273" s="100" t="str">
        <f>IFERROR(Tablo517[[#This Row],[YOLLUK HARİÇ BASKI GRAMI]]/Tablo517[[#This Row],[KALIP GÖZ ADEDİ]]," ")</f>
        <v xml:space="preserve"> </v>
      </c>
      <c r="T273" s="100" t="str">
        <f t="shared" si="31"/>
        <v xml:space="preserve"> </v>
      </c>
      <c r="U273" s="100"/>
      <c r="V273" s="100" t="str">
        <f t="shared" si="30"/>
        <v xml:space="preserve"> </v>
      </c>
      <c r="W273" s="101">
        <f t="shared" si="32"/>
        <v>24</v>
      </c>
      <c r="X273" s="102">
        <f t="shared" si="33"/>
        <v>0</v>
      </c>
      <c r="Y273" s="100" t="str">
        <f t="shared" si="34"/>
        <v xml:space="preserve"> </v>
      </c>
      <c r="Z273" s="100" t="str">
        <f t="shared" si="35"/>
        <v xml:space="preserve"> </v>
      </c>
    </row>
    <row r="274" spans="1:26">
      <c r="A274" s="100"/>
      <c r="B274" s="108" t="str">
        <f>IFERROR(VLOOKUP(Tablo517[[#This Row],[ÜRÜN KODU]],YMKODLARI!$A$1:$K$363,2,0)," ")</f>
        <v xml:space="preserve"> </v>
      </c>
      <c r="C274" s="99"/>
      <c r="D274" s="100"/>
      <c r="E274" s="101"/>
      <c r="F274" s="101"/>
      <c r="G274" s="100" t="str">
        <f>IFERROR(VLOOKUP(Tablo517[[#This Row],[ÜRÜN KODU]],YMKODLARI!$A$1:$K$363,3,0)," ")</f>
        <v xml:space="preserve"> </v>
      </c>
      <c r="H274" s="100" t="str">
        <f>IFERROR(VLOOKUP(Tablo517[[#This Row],[ÜRÜN KODU]],YMKODLARI!$A$1:$K$363,4,0)," ")</f>
        <v xml:space="preserve"> </v>
      </c>
      <c r="I274" s="100"/>
      <c r="J274" s="100" t="str">
        <f>IFERROR(VLOOKUP(Tablo517[[#This Row],[ÜRÜN KODU]],YMKODLARI!$A$1:$K$363,9,0)," ")</f>
        <v xml:space="preserve"> </v>
      </c>
      <c r="K274" s="100" t="str">
        <f>IFERROR(VLOOKUP(Tablo517[[#This Row],[BOYA KODU]],Tablo14[#All],4,0)," ")</f>
        <v xml:space="preserve"> </v>
      </c>
      <c r="L274" s="100" t="str">
        <f>IFERROR(VLOOKUP(Tablo517[[#This Row],[BOYA KODU]],Tablo14[#All],6,0)," ")</f>
        <v xml:space="preserve"> </v>
      </c>
      <c r="M274" s="100" t="str">
        <f t="shared" si="29"/>
        <v xml:space="preserve"> </v>
      </c>
      <c r="N274" s="100" t="str">
        <f>IFERROR(VLOOKUP(Tablo517[[#This Row],[ÜRÜN KODU]],YMKODLARI!$A$1:$K$363,8,0)," ")</f>
        <v xml:space="preserve"> </v>
      </c>
      <c r="O274" s="100" t="str">
        <f>IFERROR(VLOOKUP(Tablo517[[#This Row],[HAMMADDE KODU]],Tablo1[#All],3,0)," ")</f>
        <v xml:space="preserve"> </v>
      </c>
      <c r="P274" s="100" t="str">
        <f>IFERROR(VLOOKUP(Tablo517[[#This Row],[HAMMADDE KODU]],Tablo1[#All],4,0)," ")</f>
        <v xml:space="preserve"> </v>
      </c>
      <c r="Q274" s="100" t="str">
        <f>IFERROR(VLOOKUP(Tablo517[[#This Row],[ÜRÜN KODU]],YMKODLARI!$A$1:$K$363,5,0)," ")</f>
        <v xml:space="preserve"> </v>
      </c>
      <c r="R274" s="100" t="str">
        <f>IFERROR(VLOOKUP(Tablo517[[#This Row],[ÜRÜN KODU]],YMKODLARI!$A$1:$K$363,6,0)," ")</f>
        <v xml:space="preserve"> </v>
      </c>
      <c r="S274" s="100" t="str">
        <f>IFERROR(Tablo517[[#This Row],[YOLLUK HARİÇ BASKI GRAMI]]/Tablo517[[#This Row],[KALIP GÖZ ADEDİ]]," ")</f>
        <v xml:space="preserve"> </v>
      </c>
      <c r="T274" s="100" t="str">
        <f t="shared" si="31"/>
        <v xml:space="preserve"> </v>
      </c>
      <c r="U274" s="100"/>
      <c r="V274" s="100" t="str">
        <f t="shared" si="30"/>
        <v xml:space="preserve"> </v>
      </c>
      <c r="W274" s="101">
        <f t="shared" si="32"/>
        <v>24</v>
      </c>
      <c r="X274" s="102">
        <f t="shared" si="33"/>
        <v>0</v>
      </c>
      <c r="Y274" s="100" t="str">
        <f t="shared" si="34"/>
        <v xml:space="preserve"> </v>
      </c>
      <c r="Z274" s="100" t="str">
        <f t="shared" si="35"/>
        <v xml:space="preserve"> </v>
      </c>
    </row>
    <row r="275" spans="1:26">
      <c r="A275" s="100"/>
      <c r="B275" s="108" t="str">
        <f>IFERROR(VLOOKUP(Tablo517[[#This Row],[ÜRÜN KODU]],YMKODLARI!$A$1:$K$363,2,0)," ")</f>
        <v xml:space="preserve"> </v>
      </c>
      <c r="C275" s="99"/>
      <c r="D275" s="100"/>
      <c r="E275" s="101"/>
      <c r="F275" s="101"/>
      <c r="G275" s="100" t="str">
        <f>IFERROR(VLOOKUP(Tablo517[[#This Row],[ÜRÜN KODU]],YMKODLARI!$A$1:$K$363,3,0)," ")</f>
        <v xml:space="preserve"> </v>
      </c>
      <c r="H275" s="100" t="str">
        <f>IFERROR(VLOOKUP(Tablo517[[#This Row],[ÜRÜN KODU]],YMKODLARI!$A$1:$K$363,4,0)," ")</f>
        <v xml:space="preserve"> </v>
      </c>
      <c r="I275" s="100"/>
      <c r="J275" s="100" t="str">
        <f>IFERROR(VLOOKUP(Tablo517[[#This Row],[ÜRÜN KODU]],YMKODLARI!$A$1:$K$363,9,0)," ")</f>
        <v xml:space="preserve"> </v>
      </c>
      <c r="K275" s="100" t="str">
        <f>IFERROR(VLOOKUP(Tablo517[[#This Row],[BOYA KODU]],Tablo14[#All],4,0)," ")</f>
        <v xml:space="preserve"> </v>
      </c>
      <c r="L275" s="100" t="str">
        <f>IFERROR(VLOOKUP(Tablo517[[#This Row],[BOYA KODU]],Tablo14[#All],6,0)," ")</f>
        <v xml:space="preserve"> </v>
      </c>
      <c r="M275" s="100" t="str">
        <f t="shared" si="29"/>
        <v xml:space="preserve"> </v>
      </c>
      <c r="N275" s="100" t="str">
        <f>IFERROR(VLOOKUP(Tablo517[[#This Row],[ÜRÜN KODU]],YMKODLARI!$A$1:$K$363,8,0)," ")</f>
        <v xml:space="preserve"> </v>
      </c>
      <c r="O275" s="100" t="str">
        <f>IFERROR(VLOOKUP(Tablo517[[#This Row],[HAMMADDE KODU]],Tablo1[#All],3,0)," ")</f>
        <v xml:space="preserve"> </v>
      </c>
      <c r="P275" s="100" t="str">
        <f>IFERROR(VLOOKUP(Tablo517[[#This Row],[HAMMADDE KODU]],Tablo1[#All],4,0)," ")</f>
        <v xml:space="preserve"> </v>
      </c>
      <c r="Q275" s="100" t="str">
        <f>IFERROR(VLOOKUP(Tablo517[[#This Row],[ÜRÜN KODU]],YMKODLARI!$A$1:$K$363,5,0)," ")</f>
        <v xml:space="preserve"> </v>
      </c>
      <c r="R275" s="100" t="str">
        <f>IFERROR(VLOOKUP(Tablo517[[#This Row],[ÜRÜN KODU]],YMKODLARI!$A$1:$K$363,6,0)," ")</f>
        <v xml:space="preserve"> </v>
      </c>
      <c r="S275" s="100" t="str">
        <f>IFERROR(Tablo517[[#This Row],[YOLLUK HARİÇ BASKI GRAMI]]/Tablo517[[#This Row],[KALIP GÖZ ADEDİ]]," ")</f>
        <v xml:space="preserve"> </v>
      </c>
      <c r="T275" s="100" t="str">
        <f t="shared" si="31"/>
        <v xml:space="preserve"> </v>
      </c>
      <c r="U275" s="100"/>
      <c r="V275" s="100" t="str">
        <f t="shared" si="30"/>
        <v xml:space="preserve"> </v>
      </c>
      <c r="W275" s="101">
        <f t="shared" si="32"/>
        <v>24</v>
      </c>
      <c r="X275" s="102">
        <f t="shared" si="33"/>
        <v>0</v>
      </c>
      <c r="Y275" s="100" t="str">
        <f t="shared" si="34"/>
        <v xml:space="preserve"> </v>
      </c>
      <c r="Z275" s="100" t="str">
        <f t="shared" si="35"/>
        <v xml:space="preserve"> </v>
      </c>
    </row>
    <row r="276" spans="1:26">
      <c r="A276" s="100"/>
      <c r="B276" s="108" t="str">
        <f>IFERROR(VLOOKUP(Tablo517[[#This Row],[ÜRÜN KODU]],YMKODLARI!$A$1:$K$363,2,0)," ")</f>
        <v xml:space="preserve"> </v>
      </c>
      <c r="C276" s="99"/>
      <c r="D276" s="100"/>
      <c r="E276" s="101"/>
      <c r="F276" s="101"/>
      <c r="G276" s="100" t="str">
        <f>IFERROR(VLOOKUP(Tablo517[[#This Row],[ÜRÜN KODU]],YMKODLARI!$A$1:$K$363,3,0)," ")</f>
        <v xml:space="preserve"> </v>
      </c>
      <c r="H276" s="100" t="str">
        <f>IFERROR(VLOOKUP(Tablo517[[#This Row],[ÜRÜN KODU]],YMKODLARI!$A$1:$K$363,4,0)," ")</f>
        <v xml:space="preserve"> </v>
      </c>
      <c r="I276" s="100"/>
      <c r="J276" s="100" t="str">
        <f>IFERROR(VLOOKUP(Tablo517[[#This Row],[ÜRÜN KODU]],YMKODLARI!$A$1:$K$363,9,0)," ")</f>
        <v xml:space="preserve"> </v>
      </c>
      <c r="K276" s="100" t="str">
        <f>IFERROR(VLOOKUP(Tablo517[[#This Row],[BOYA KODU]],Tablo14[#All],4,0)," ")</f>
        <v xml:space="preserve"> </v>
      </c>
      <c r="L276" s="100" t="str">
        <f>IFERROR(VLOOKUP(Tablo517[[#This Row],[BOYA KODU]],Tablo14[#All],6,0)," ")</f>
        <v xml:space="preserve"> </v>
      </c>
      <c r="M276" s="100" t="str">
        <f t="shared" si="29"/>
        <v xml:space="preserve"> </v>
      </c>
      <c r="N276" s="100" t="str">
        <f>IFERROR(VLOOKUP(Tablo517[[#This Row],[ÜRÜN KODU]],YMKODLARI!$A$1:$K$363,8,0)," ")</f>
        <v xml:space="preserve"> </v>
      </c>
      <c r="O276" s="100" t="str">
        <f>IFERROR(VLOOKUP(Tablo517[[#This Row],[HAMMADDE KODU]],Tablo1[#All],3,0)," ")</f>
        <v xml:space="preserve"> </v>
      </c>
      <c r="P276" s="100" t="str">
        <f>IFERROR(VLOOKUP(Tablo517[[#This Row],[HAMMADDE KODU]],Tablo1[#All],4,0)," ")</f>
        <v xml:space="preserve"> </v>
      </c>
      <c r="Q276" s="100" t="str">
        <f>IFERROR(VLOOKUP(Tablo517[[#This Row],[ÜRÜN KODU]],YMKODLARI!$A$1:$K$363,5,0)," ")</f>
        <v xml:space="preserve"> </v>
      </c>
      <c r="R276" s="100" t="str">
        <f>IFERROR(VLOOKUP(Tablo517[[#This Row],[ÜRÜN KODU]],YMKODLARI!$A$1:$K$363,6,0)," ")</f>
        <v xml:space="preserve"> </v>
      </c>
      <c r="S276" s="100" t="str">
        <f>IFERROR(Tablo517[[#This Row],[YOLLUK HARİÇ BASKI GRAMI]]/Tablo517[[#This Row],[KALIP GÖZ ADEDİ]]," ")</f>
        <v xml:space="preserve"> </v>
      </c>
      <c r="T276" s="100" t="str">
        <f t="shared" si="31"/>
        <v xml:space="preserve"> </v>
      </c>
      <c r="U276" s="100"/>
      <c r="V276" s="100" t="str">
        <f t="shared" si="30"/>
        <v xml:space="preserve"> </v>
      </c>
      <c r="W276" s="101">
        <f t="shared" si="32"/>
        <v>24</v>
      </c>
      <c r="X276" s="102">
        <f t="shared" si="33"/>
        <v>0</v>
      </c>
      <c r="Y276" s="100" t="str">
        <f t="shared" si="34"/>
        <v xml:space="preserve"> </v>
      </c>
      <c r="Z276" s="100" t="str">
        <f t="shared" si="35"/>
        <v xml:space="preserve"> </v>
      </c>
    </row>
    <row r="277" spans="1:26">
      <c r="A277" s="100"/>
      <c r="B277" s="108" t="str">
        <f>IFERROR(VLOOKUP(Tablo517[[#This Row],[ÜRÜN KODU]],YMKODLARI!$A$1:$K$363,2,0)," ")</f>
        <v xml:space="preserve"> </v>
      </c>
      <c r="C277" s="99"/>
      <c r="D277" s="100"/>
      <c r="E277" s="101"/>
      <c r="F277" s="101"/>
      <c r="G277" s="100" t="str">
        <f>IFERROR(VLOOKUP(Tablo517[[#This Row],[ÜRÜN KODU]],YMKODLARI!$A$1:$K$363,3,0)," ")</f>
        <v xml:space="preserve"> </v>
      </c>
      <c r="H277" s="100" t="str">
        <f>IFERROR(VLOOKUP(Tablo517[[#This Row],[ÜRÜN KODU]],YMKODLARI!$A$1:$K$363,4,0)," ")</f>
        <v xml:space="preserve"> </v>
      </c>
      <c r="I277" s="100"/>
      <c r="J277" s="100" t="str">
        <f>IFERROR(VLOOKUP(Tablo517[[#This Row],[ÜRÜN KODU]],YMKODLARI!$A$1:$K$363,9,0)," ")</f>
        <v xml:space="preserve"> </v>
      </c>
      <c r="K277" s="100" t="str">
        <f>IFERROR(VLOOKUP(Tablo517[[#This Row],[BOYA KODU]],Tablo14[#All],4,0)," ")</f>
        <v xml:space="preserve"> </v>
      </c>
      <c r="L277" s="100" t="str">
        <f>IFERROR(VLOOKUP(Tablo517[[#This Row],[BOYA KODU]],Tablo14[#All],6,0)," ")</f>
        <v xml:space="preserve"> </v>
      </c>
      <c r="M277" s="100" t="str">
        <f t="shared" si="29"/>
        <v xml:space="preserve"> </v>
      </c>
      <c r="N277" s="100" t="str">
        <f>IFERROR(VLOOKUP(Tablo517[[#This Row],[ÜRÜN KODU]],YMKODLARI!$A$1:$K$363,8,0)," ")</f>
        <v xml:space="preserve"> </v>
      </c>
      <c r="O277" s="100" t="str">
        <f>IFERROR(VLOOKUP(Tablo517[[#This Row],[HAMMADDE KODU]],Tablo1[#All],3,0)," ")</f>
        <v xml:space="preserve"> </v>
      </c>
      <c r="P277" s="100" t="str">
        <f>IFERROR(VLOOKUP(Tablo517[[#This Row],[HAMMADDE KODU]],Tablo1[#All],4,0)," ")</f>
        <v xml:space="preserve"> </v>
      </c>
      <c r="Q277" s="100" t="str">
        <f>IFERROR(VLOOKUP(Tablo517[[#This Row],[ÜRÜN KODU]],YMKODLARI!$A$1:$K$363,5,0)," ")</f>
        <v xml:space="preserve"> </v>
      </c>
      <c r="R277" s="100" t="str">
        <f>IFERROR(VLOOKUP(Tablo517[[#This Row],[ÜRÜN KODU]],YMKODLARI!$A$1:$K$363,6,0)," ")</f>
        <v xml:space="preserve"> </v>
      </c>
      <c r="S277" s="100" t="str">
        <f>IFERROR(Tablo517[[#This Row],[YOLLUK HARİÇ BASKI GRAMI]]/Tablo517[[#This Row],[KALIP GÖZ ADEDİ]]," ")</f>
        <v xml:space="preserve"> </v>
      </c>
      <c r="T277" s="100" t="str">
        <f t="shared" si="31"/>
        <v xml:space="preserve"> </v>
      </c>
      <c r="U277" s="100"/>
      <c r="V277" s="100" t="str">
        <f t="shared" si="30"/>
        <v xml:space="preserve"> </v>
      </c>
      <c r="W277" s="101">
        <f t="shared" si="32"/>
        <v>24</v>
      </c>
      <c r="X277" s="102">
        <f t="shared" si="33"/>
        <v>0</v>
      </c>
      <c r="Y277" s="100" t="str">
        <f t="shared" si="34"/>
        <v xml:space="preserve"> </v>
      </c>
      <c r="Z277" s="100" t="str">
        <f t="shared" si="35"/>
        <v xml:space="preserve"> </v>
      </c>
    </row>
    <row r="278" spans="1:26">
      <c r="A278" s="100"/>
      <c r="B278" s="108" t="str">
        <f>IFERROR(VLOOKUP(Tablo517[[#This Row],[ÜRÜN KODU]],YMKODLARI!$A$1:$K$363,2,0)," ")</f>
        <v xml:space="preserve"> </v>
      </c>
      <c r="C278" s="99"/>
      <c r="D278" s="100"/>
      <c r="E278" s="101"/>
      <c r="F278" s="101"/>
      <c r="G278" s="100" t="str">
        <f>IFERROR(VLOOKUP(Tablo517[[#This Row],[ÜRÜN KODU]],YMKODLARI!$A$1:$K$363,3,0)," ")</f>
        <v xml:space="preserve"> </v>
      </c>
      <c r="H278" s="100" t="str">
        <f>IFERROR(VLOOKUP(Tablo517[[#This Row],[ÜRÜN KODU]],YMKODLARI!$A$1:$K$363,4,0)," ")</f>
        <v xml:space="preserve"> </v>
      </c>
      <c r="I278" s="100"/>
      <c r="J278" s="100" t="str">
        <f>IFERROR(VLOOKUP(Tablo517[[#This Row],[ÜRÜN KODU]],YMKODLARI!$A$1:$K$363,9,0)," ")</f>
        <v xml:space="preserve"> </v>
      </c>
      <c r="K278" s="100" t="str">
        <f>IFERROR(VLOOKUP(Tablo517[[#This Row],[BOYA KODU]],Tablo14[#All],4,0)," ")</f>
        <v xml:space="preserve"> </v>
      </c>
      <c r="L278" s="100" t="str">
        <f>IFERROR(VLOOKUP(Tablo517[[#This Row],[BOYA KODU]],Tablo14[#All],6,0)," ")</f>
        <v xml:space="preserve"> </v>
      </c>
      <c r="M278" s="100" t="str">
        <f t="shared" si="29"/>
        <v xml:space="preserve"> </v>
      </c>
      <c r="N278" s="100" t="str">
        <f>IFERROR(VLOOKUP(Tablo517[[#This Row],[ÜRÜN KODU]],YMKODLARI!$A$1:$K$363,8,0)," ")</f>
        <v xml:space="preserve"> </v>
      </c>
      <c r="O278" s="100" t="str">
        <f>IFERROR(VLOOKUP(Tablo517[[#This Row],[HAMMADDE KODU]],Tablo1[#All],3,0)," ")</f>
        <v xml:space="preserve"> </v>
      </c>
      <c r="P278" s="100" t="str">
        <f>IFERROR(VLOOKUP(Tablo517[[#This Row],[HAMMADDE KODU]],Tablo1[#All],4,0)," ")</f>
        <v xml:space="preserve"> </v>
      </c>
      <c r="Q278" s="100" t="str">
        <f>IFERROR(VLOOKUP(Tablo517[[#This Row],[ÜRÜN KODU]],YMKODLARI!$A$1:$K$363,5,0)," ")</f>
        <v xml:space="preserve"> </v>
      </c>
      <c r="R278" s="100" t="str">
        <f>IFERROR(VLOOKUP(Tablo517[[#This Row],[ÜRÜN KODU]],YMKODLARI!$A$1:$K$363,6,0)," ")</f>
        <v xml:space="preserve"> </v>
      </c>
      <c r="S278" s="100" t="str">
        <f>IFERROR(Tablo517[[#This Row],[YOLLUK HARİÇ BASKI GRAMI]]/Tablo517[[#This Row],[KALIP GÖZ ADEDİ]]," ")</f>
        <v xml:space="preserve"> </v>
      </c>
      <c r="T278" s="100" t="str">
        <f t="shared" si="31"/>
        <v xml:space="preserve"> </v>
      </c>
      <c r="U278" s="100"/>
      <c r="V278" s="100" t="str">
        <f t="shared" si="30"/>
        <v xml:space="preserve"> </v>
      </c>
      <c r="W278" s="101">
        <f t="shared" si="32"/>
        <v>24</v>
      </c>
      <c r="X278" s="102">
        <f t="shared" si="33"/>
        <v>0</v>
      </c>
      <c r="Y278" s="100" t="str">
        <f t="shared" si="34"/>
        <v xml:space="preserve"> </v>
      </c>
      <c r="Z278" s="100" t="str">
        <f t="shared" si="35"/>
        <v xml:space="preserve"> </v>
      </c>
    </row>
    <row r="279" spans="1:26">
      <c r="A279" s="100"/>
      <c r="B279" s="108" t="str">
        <f>IFERROR(VLOOKUP(Tablo517[[#This Row],[ÜRÜN KODU]],YMKODLARI!$A$1:$K$363,2,0)," ")</f>
        <v xml:space="preserve"> </v>
      </c>
      <c r="C279" s="99"/>
      <c r="D279" s="100"/>
      <c r="E279" s="101"/>
      <c r="F279" s="101"/>
      <c r="G279" s="100" t="str">
        <f>IFERROR(VLOOKUP(Tablo517[[#This Row],[ÜRÜN KODU]],YMKODLARI!$A$1:$K$363,3,0)," ")</f>
        <v xml:space="preserve"> </v>
      </c>
      <c r="H279" s="100" t="str">
        <f>IFERROR(VLOOKUP(Tablo517[[#This Row],[ÜRÜN KODU]],YMKODLARI!$A$1:$K$363,4,0)," ")</f>
        <v xml:space="preserve"> </v>
      </c>
      <c r="I279" s="100"/>
      <c r="J279" s="100" t="str">
        <f>IFERROR(VLOOKUP(Tablo517[[#This Row],[ÜRÜN KODU]],YMKODLARI!$A$1:$K$363,9,0)," ")</f>
        <v xml:space="preserve"> </v>
      </c>
      <c r="K279" s="100" t="str">
        <f>IFERROR(VLOOKUP(Tablo517[[#This Row],[BOYA KODU]],Tablo14[#All],4,0)," ")</f>
        <v xml:space="preserve"> </v>
      </c>
      <c r="L279" s="100" t="str">
        <f>IFERROR(VLOOKUP(Tablo517[[#This Row],[BOYA KODU]],Tablo14[#All],6,0)," ")</f>
        <v xml:space="preserve"> </v>
      </c>
      <c r="M279" s="100" t="str">
        <f t="shared" si="29"/>
        <v xml:space="preserve"> </v>
      </c>
      <c r="N279" s="100" t="str">
        <f>IFERROR(VLOOKUP(Tablo517[[#This Row],[ÜRÜN KODU]],YMKODLARI!$A$1:$K$363,8,0)," ")</f>
        <v xml:space="preserve"> </v>
      </c>
      <c r="O279" s="100" t="str">
        <f>IFERROR(VLOOKUP(Tablo517[[#This Row],[HAMMADDE KODU]],Tablo1[#All],3,0)," ")</f>
        <v xml:space="preserve"> </v>
      </c>
      <c r="P279" s="100" t="str">
        <f>IFERROR(VLOOKUP(Tablo517[[#This Row],[HAMMADDE KODU]],Tablo1[#All],4,0)," ")</f>
        <v xml:space="preserve"> </v>
      </c>
      <c r="Q279" s="100" t="str">
        <f>IFERROR(VLOOKUP(Tablo517[[#This Row],[ÜRÜN KODU]],YMKODLARI!$A$1:$K$363,5,0)," ")</f>
        <v xml:space="preserve"> </v>
      </c>
      <c r="R279" s="100" t="str">
        <f>IFERROR(VLOOKUP(Tablo517[[#This Row],[ÜRÜN KODU]],YMKODLARI!$A$1:$K$363,6,0)," ")</f>
        <v xml:space="preserve"> </v>
      </c>
      <c r="S279" s="100" t="str">
        <f>IFERROR(Tablo517[[#This Row],[YOLLUK HARİÇ BASKI GRAMI]]/Tablo517[[#This Row],[KALIP GÖZ ADEDİ]]," ")</f>
        <v xml:space="preserve"> </v>
      </c>
      <c r="T279" s="100" t="str">
        <f t="shared" si="31"/>
        <v xml:space="preserve"> </v>
      </c>
      <c r="U279" s="100"/>
      <c r="V279" s="100" t="str">
        <f t="shared" si="30"/>
        <v xml:space="preserve"> </v>
      </c>
      <c r="W279" s="101">
        <f t="shared" si="32"/>
        <v>24</v>
      </c>
      <c r="X279" s="102">
        <f t="shared" si="33"/>
        <v>0</v>
      </c>
      <c r="Y279" s="100" t="str">
        <f t="shared" si="34"/>
        <v xml:space="preserve"> </v>
      </c>
      <c r="Z279" s="100" t="str">
        <f t="shared" si="35"/>
        <v xml:space="preserve"> </v>
      </c>
    </row>
    <row r="280" spans="1:26">
      <c r="A280" s="100"/>
      <c r="B280" s="108" t="str">
        <f>IFERROR(VLOOKUP(Tablo517[[#This Row],[ÜRÜN KODU]],YMKODLARI!$A$1:$K$363,2,0)," ")</f>
        <v xml:space="preserve"> </v>
      </c>
      <c r="C280" s="99"/>
      <c r="D280" s="100"/>
      <c r="E280" s="101"/>
      <c r="F280" s="101"/>
      <c r="G280" s="100" t="str">
        <f>IFERROR(VLOOKUP(Tablo517[[#This Row],[ÜRÜN KODU]],YMKODLARI!$A$1:$K$363,3,0)," ")</f>
        <v xml:space="preserve"> </v>
      </c>
      <c r="H280" s="100" t="str">
        <f>IFERROR(VLOOKUP(Tablo517[[#This Row],[ÜRÜN KODU]],YMKODLARI!$A$1:$K$363,4,0)," ")</f>
        <v xml:space="preserve"> </v>
      </c>
      <c r="I280" s="100"/>
      <c r="J280" s="100" t="str">
        <f>IFERROR(VLOOKUP(Tablo517[[#This Row],[ÜRÜN KODU]],YMKODLARI!$A$1:$K$363,9,0)," ")</f>
        <v xml:space="preserve"> </v>
      </c>
      <c r="K280" s="100" t="str">
        <f>IFERROR(VLOOKUP(Tablo517[[#This Row],[BOYA KODU]],Tablo14[#All],4,0)," ")</f>
        <v xml:space="preserve"> </v>
      </c>
      <c r="L280" s="100" t="str">
        <f>IFERROR(VLOOKUP(Tablo517[[#This Row],[BOYA KODU]],Tablo14[#All],6,0)," ")</f>
        <v xml:space="preserve"> </v>
      </c>
      <c r="M280" s="100" t="str">
        <f t="shared" si="29"/>
        <v xml:space="preserve"> </v>
      </c>
      <c r="N280" s="100" t="str">
        <f>IFERROR(VLOOKUP(Tablo517[[#This Row],[ÜRÜN KODU]],YMKODLARI!$A$1:$K$363,8,0)," ")</f>
        <v xml:space="preserve"> </v>
      </c>
      <c r="O280" s="100" t="str">
        <f>IFERROR(VLOOKUP(Tablo517[[#This Row],[HAMMADDE KODU]],Tablo1[#All],3,0)," ")</f>
        <v xml:space="preserve"> </v>
      </c>
      <c r="P280" s="100" t="str">
        <f>IFERROR(VLOOKUP(Tablo517[[#This Row],[HAMMADDE KODU]],Tablo1[#All],4,0)," ")</f>
        <v xml:space="preserve"> </v>
      </c>
      <c r="Q280" s="100" t="str">
        <f>IFERROR(VLOOKUP(Tablo517[[#This Row],[ÜRÜN KODU]],YMKODLARI!$A$1:$K$363,5,0)," ")</f>
        <v xml:space="preserve"> </v>
      </c>
      <c r="R280" s="100" t="str">
        <f>IFERROR(VLOOKUP(Tablo517[[#This Row],[ÜRÜN KODU]],YMKODLARI!$A$1:$K$363,6,0)," ")</f>
        <v xml:space="preserve"> </v>
      </c>
      <c r="S280" s="100" t="str">
        <f>IFERROR(Tablo517[[#This Row],[YOLLUK HARİÇ BASKI GRAMI]]/Tablo517[[#This Row],[KALIP GÖZ ADEDİ]]," ")</f>
        <v xml:space="preserve"> </v>
      </c>
      <c r="T280" s="100" t="str">
        <f t="shared" si="31"/>
        <v xml:space="preserve"> </v>
      </c>
      <c r="U280" s="100"/>
      <c r="V280" s="100" t="str">
        <f t="shared" si="30"/>
        <v xml:space="preserve"> </v>
      </c>
      <c r="W280" s="101">
        <f t="shared" si="32"/>
        <v>24</v>
      </c>
      <c r="X280" s="102">
        <f t="shared" si="33"/>
        <v>0</v>
      </c>
      <c r="Y280" s="100" t="str">
        <f t="shared" si="34"/>
        <v xml:space="preserve"> </v>
      </c>
      <c r="Z280" s="100" t="str">
        <f t="shared" si="35"/>
        <v xml:space="preserve"> </v>
      </c>
    </row>
    <row r="281" spans="1:26">
      <c r="A281" s="100"/>
      <c r="B281" s="108" t="str">
        <f>IFERROR(VLOOKUP(Tablo517[[#This Row],[ÜRÜN KODU]],YMKODLARI!$A$1:$K$363,2,0)," ")</f>
        <v xml:space="preserve"> </v>
      </c>
      <c r="C281" s="99"/>
      <c r="D281" s="100"/>
      <c r="E281" s="101"/>
      <c r="F281" s="101"/>
      <c r="G281" s="100" t="str">
        <f>IFERROR(VLOOKUP(Tablo517[[#This Row],[ÜRÜN KODU]],YMKODLARI!$A$1:$K$363,3,0)," ")</f>
        <v xml:space="preserve"> </v>
      </c>
      <c r="H281" s="100" t="str">
        <f>IFERROR(VLOOKUP(Tablo517[[#This Row],[ÜRÜN KODU]],YMKODLARI!$A$1:$K$363,4,0)," ")</f>
        <v xml:space="preserve"> </v>
      </c>
      <c r="I281" s="100"/>
      <c r="J281" s="100" t="str">
        <f>IFERROR(VLOOKUP(Tablo517[[#This Row],[ÜRÜN KODU]],YMKODLARI!$A$1:$K$363,9,0)," ")</f>
        <v xml:space="preserve"> </v>
      </c>
      <c r="K281" s="100" t="str">
        <f>IFERROR(VLOOKUP(Tablo517[[#This Row],[BOYA KODU]],Tablo14[#All],4,0)," ")</f>
        <v xml:space="preserve"> </v>
      </c>
      <c r="L281" s="100" t="str">
        <f>IFERROR(VLOOKUP(Tablo517[[#This Row],[BOYA KODU]],Tablo14[#All],6,0)," ")</f>
        <v xml:space="preserve"> </v>
      </c>
      <c r="M281" s="100" t="str">
        <f t="shared" si="29"/>
        <v xml:space="preserve"> </v>
      </c>
      <c r="N281" s="100" t="str">
        <f>IFERROR(VLOOKUP(Tablo517[[#This Row],[ÜRÜN KODU]],YMKODLARI!$A$1:$K$363,8,0)," ")</f>
        <v xml:space="preserve"> </v>
      </c>
      <c r="O281" s="100" t="str">
        <f>IFERROR(VLOOKUP(Tablo517[[#This Row],[HAMMADDE KODU]],Tablo1[#All],3,0)," ")</f>
        <v xml:space="preserve"> </v>
      </c>
      <c r="P281" s="100" t="str">
        <f>IFERROR(VLOOKUP(Tablo517[[#This Row],[HAMMADDE KODU]],Tablo1[#All],4,0)," ")</f>
        <v xml:space="preserve"> </v>
      </c>
      <c r="Q281" s="100" t="str">
        <f>IFERROR(VLOOKUP(Tablo517[[#This Row],[ÜRÜN KODU]],YMKODLARI!$A$1:$K$363,5,0)," ")</f>
        <v xml:space="preserve"> </v>
      </c>
      <c r="R281" s="100" t="str">
        <f>IFERROR(VLOOKUP(Tablo517[[#This Row],[ÜRÜN KODU]],YMKODLARI!$A$1:$K$363,6,0)," ")</f>
        <v xml:space="preserve"> </v>
      </c>
      <c r="S281" s="100" t="str">
        <f>IFERROR(Tablo517[[#This Row],[YOLLUK HARİÇ BASKI GRAMI]]/Tablo517[[#This Row],[KALIP GÖZ ADEDİ]]," ")</f>
        <v xml:space="preserve"> </v>
      </c>
      <c r="T281" s="100" t="str">
        <f t="shared" si="31"/>
        <v xml:space="preserve"> </v>
      </c>
      <c r="U281" s="100"/>
      <c r="V281" s="100" t="str">
        <f t="shared" si="30"/>
        <v xml:space="preserve"> </v>
      </c>
      <c r="W281" s="101">
        <f t="shared" si="32"/>
        <v>24</v>
      </c>
      <c r="X281" s="102">
        <f t="shared" si="33"/>
        <v>0</v>
      </c>
      <c r="Y281" s="100" t="str">
        <f t="shared" si="34"/>
        <v xml:space="preserve"> </v>
      </c>
      <c r="Z281" s="100" t="str">
        <f t="shared" si="35"/>
        <v xml:space="preserve"> </v>
      </c>
    </row>
    <row r="282" spans="1:26">
      <c r="A282" s="100"/>
      <c r="B282" s="108" t="str">
        <f>IFERROR(VLOOKUP(Tablo517[[#This Row],[ÜRÜN KODU]],YMKODLARI!$A$1:$K$363,2,0)," ")</f>
        <v xml:space="preserve"> </v>
      </c>
      <c r="C282" s="99"/>
      <c r="D282" s="100"/>
      <c r="E282" s="101"/>
      <c r="F282" s="101"/>
      <c r="G282" s="100" t="str">
        <f>IFERROR(VLOOKUP(Tablo517[[#This Row],[ÜRÜN KODU]],YMKODLARI!$A$1:$K$363,3,0)," ")</f>
        <v xml:space="preserve"> </v>
      </c>
      <c r="H282" s="100" t="str">
        <f>IFERROR(VLOOKUP(Tablo517[[#This Row],[ÜRÜN KODU]],YMKODLARI!$A$1:$K$363,4,0)," ")</f>
        <v xml:space="preserve"> </v>
      </c>
      <c r="I282" s="100"/>
      <c r="J282" s="100" t="str">
        <f>IFERROR(VLOOKUP(Tablo517[[#This Row],[ÜRÜN KODU]],YMKODLARI!$A$1:$K$363,9,0)," ")</f>
        <v xml:space="preserve"> </v>
      </c>
      <c r="K282" s="100" t="str">
        <f>IFERROR(VLOOKUP(Tablo517[[#This Row],[BOYA KODU]],Tablo14[#All],4,0)," ")</f>
        <v xml:space="preserve"> </v>
      </c>
      <c r="L282" s="100" t="str">
        <f>IFERROR(VLOOKUP(Tablo517[[#This Row],[BOYA KODU]],Tablo14[#All],6,0)," ")</f>
        <v xml:space="preserve"> </v>
      </c>
      <c r="M282" s="100" t="str">
        <f t="shared" si="29"/>
        <v xml:space="preserve"> </v>
      </c>
      <c r="N282" s="100" t="str">
        <f>IFERROR(VLOOKUP(Tablo517[[#This Row],[ÜRÜN KODU]],YMKODLARI!$A$1:$K$363,8,0)," ")</f>
        <v xml:space="preserve"> </v>
      </c>
      <c r="O282" s="100" t="str">
        <f>IFERROR(VLOOKUP(Tablo517[[#This Row],[HAMMADDE KODU]],Tablo1[#All],3,0)," ")</f>
        <v xml:space="preserve"> </v>
      </c>
      <c r="P282" s="100" t="str">
        <f>IFERROR(VLOOKUP(Tablo517[[#This Row],[HAMMADDE KODU]],Tablo1[#All],4,0)," ")</f>
        <v xml:space="preserve"> </v>
      </c>
      <c r="Q282" s="100" t="str">
        <f>IFERROR(VLOOKUP(Tablo517[[#This Row],[ÜRÜN KODU]],YMKODLARI!$A$1:$K$363,5,0)," ")</f>
        <v xml:space="preserve"> </v>
      </c>
      <c r="R282" s="100" t="str">
        <f>IFERROR(VLOOKUP(Tablo517[[#This Row],[ÜRÜN KODU]],YMKODLARI!$A$1:$K$363,6,0)," ")</f>
        <v xml:space="preserve"> </v>
      </c>
      <c r="S282" s="100" t="str">
        <f>IFERROR(Tablo517[[#This Row],[YOLLUK HARİÇ BASKI GRAMI]]/Tablo517[[#This Row],[KALIP GÖZ ADEDİ]]," ")</f>
        <v xml:space="preserve"> </v>
      </c>
      <c r="T282" s="100" t="str">
        <f t="shared" si="31"/>
        <v xml:space="preserve"> </v>
      </c>
      <c r="U282" s="100"/>
      <c r="V282" s="100" t="str">
        <f t="shared" si="30"/>
        <v xml:space="preserve"> </v>
      </c>
      <c r="W282" s="101">
        <f t="shared" si="32"/>
        <v>24</v>
      </c>
      <c r="X282" s="102">
        <f t="shared" si="33"/>
        <v>0</v>
      </c>
      <c r="Y282" s="100" t="str">
        <f t="shared" si="34"/>
        <v xml:space="preserve"> </v>
      </c>
      <c r="Z282" s="100" t="str">
        <f t="shared" si="35"/>
        <v xml:space="preserve"> </v>
      </c>
    </row>
    <row r="283" spans="1:26">
      <c r="A283" s="100"/>
      <c r="B283" s="108" t="str">
        <f>IFERROR(VLOOKUP(Tablo517[[#This Row],[ÜRÜN KODU]],YMKODLARI!$A$1:$K$363,2,0)," ")</f>
        <v xml:space="preserve"> </v>
      </c>
      <c r="C283" s="99"/>
      <c r="D283" s="100"/>
      <c r="E283" s="101"/>
      <c r="F283" s="101"/>
      <c r="G283" s="100" t="str">
        <f>IFERROR(VLOOKUP(Tablo517[[#This Row],[ÜRÜN KODU]],YMKODLARI!$A$1:$K$363,3,0)," ")</f>
        <v xml:space="preserve"> </v>
      </c>
      <c r="H283" s="100" t="str">
        <f>IFERROR(VLOOKUP(Tablo517[[#This Row],[ÜRÜN KODU]],YMKODLARI!$A$1:$K$363,4,0)," ")</f>
        <v xml:space="preserve"> </v>
      </c>
      <c r="I283" s="100"/>
      <c r="J283" s="100" t="str">
        <f>IFERROR(VLOOKUP(Tablo517[[#This Row],[ÜRÜN KODU]],YMKODLARI!$A$1:$K$363,9,0)," ")</f>
        <v xml:space="preserve"> </v>
      </c>
      <c r="K283" s="100" t="str">
        <f>IFERROR(VLOOKUP(Tablo517[[#This Row],[BOYA KODU]],Tablo14[#All],4,0)," ")</f>
        <v xml:space="preserve"> </v>
      </c>
      <c r="L283" s="100" t="str">
        <f>IFERROR(VLOOKUP(Tablo517[[#This Row],[BOYA KODU]],Tablo14[#All],6,0)," ")</f>
        <v xml:space="preserve"> </v>
      </c>
      <c r="M283" s="100" t="str">
        <f t="shared" si="29"/>
        <v xml:space="preserve"> </v>
      </c>
      <c r="N283" s="100" t="str">
        <f>IFERROR(VLOOKUP(Tablo517[[#This Row],[ÜRÜN KODU]],YMKODLARI!$A$1:$K$363,8,0)," ")</f>
        <v xml:space="preserve"> </v>
      </c>
      <c r="O283" s="100" t="str">
        <f>IFERROR(VLOOKUP(Tablo517[[#This Row],[HAMMADDE KODU]],Tablo1[#All],3,0)," ")</f>
        <v xml:space="preserve"> </v>
      </c>
      <c r="P283" s="100" t="str">
        <f>IFERROR(VLOOKUP(Tablo517[[#This Row],[HAMMADDE KODU]],Tablo1[#All],4,0)," ")</f>
        <v xml:space="preserve"> </v>
      </c>
      <c r="Q283" s="100" t="str">
        <f>IFERROR(VLOOKUP(Tablo517[[#This Row],[ÜRÜN KODU]],YMKODLARI!$A$1:$K$363,5,0)," ")</f>
        <v xml:space="preserve"> </v>
      </c>
      <c r="R283" s="100" t="str">
        <f>IFERROR(VLOOKUP(Tablo517[[#This Row],[ÜRÜN KODU]],YMKODLARI!$A$1:$K$363,6,0)," ")</f>
        <v xml:space="preserve"> </v>
      </c>
      <c r="S283" s="100" t="str">
        <f>IFERROR(Tablo517[[#This Row],[YOLLUK HARİÇ BASKI GRAMI]]/Tablo517[[#This Row],[KALIP GÖZ ADEDİ]]," ")</f>
        <v xml:space="preserve"> </v>
      </c>
      <c r="T283" s="100" t="str">
        <f t="shared" si="31"/>
        <v xml:space="preserve"> </v>
      </c>
      <c r="U283" s="100"/>
      <c r="V283" s="100" t="str">
        <f t="shared" si="30"/>
        <v xml:space="preserve"> </v>
      </c>
      <c r="W283" s="101">
        <f t="shared" si="32"/>
        <v>24</v>
      </c>
      <c r="X283" s="102">
        <f t="shared" si="33"/>
        <v>0</v>
      </c>
      <c r="Y283" s="100" t="str">
        <f t="shared" si="34"/>
        <v xml:space="preserve"> </v>
      </c>
      <c r="Z283" s="100" t="str">
        <f t="shared" si="35"/>
        <v xml:space="preserve"> </v>
      </c>
    </row>
    <row r="284" spans="1:26">
      <c r="A284" s="100"/>
      <c r="B284" s="108" t="str">
        <f>IFERROR(VLOOKUP(Tablo517[[#This Row],[ÜRÜN KODU]],YMKODLARI!$A$1:$K$363,2,0)," ")</f>
        <v xml:space="preserve"> </v>
      </c>
      <c r="C284" s="99"/>
      <c r="D284" s="100"/>
      <c r="E284" s="101"/>
      <c r="F284" s="101"/>
      <c r="G284" s="100" t="str">
        <f>IFERROR(VLOOKUP(Tablo517[[#This Row],[ÜRÜN KODU]],YMKODLARI!$A$1:$K$363,3,0)," ")</f>
        <v xml:space="preserve"> </v>
      </c>
      <c r="H284" s="100" t="str">
        <f>IFERROR(VLOOKUP(Tablo517[[#This Row],[ÜRÜN KODU]],YMKODLARI!$A$1:$K$363,4,0)," ")</f>
        <v xml:space="preserve"> </v>
      </c>
      <c r="I284" s="100"/>
      <c r="J284" s="100" t="str">
        <f>IFERROR(VLOOKUP(Tablo517[[#This Row],[ÜRÜN KODU]],YMKODLARI!$A$1:$K$363,9,0)," ")</f>
        <v xml:space="preserve"> </v>
      </c>
      <c r="K284" s="100" t="str">
        <f>IFERROR(VLOOKUP(Tablo517[[#This Row],[BOYA KODU]],Tablo14[#All],4,0)," ")</f>
        <v xml:space="preserve"> </v>
      </c>
      <c r="L284" s="100" t="str">
        <f>IFERROR(VLOOKUP(Tablo517[[#This Row],[BOYA KODU]],Tablo14[#All],6,0)," ")</f>
        <v xml:space="preserve"> </v>
      </c>
      <c r="M284" s="100" t="str">
        <f t="shared" si="29"/>
        <v xml:space="preserve"> </v>
      </c>
      <c r="N284" s="100" t="str">
        <f>IFERROR(VLOOKUP(Tablo517[[#This Row],[ÜRÜN KODU]],YMKODLARI!$A$1:$K$363,8,0)," ")</f>
        <v xml:space="preserve"> </v>
      </c>
      <c r="O284" s="100" t="str">
        <f>IFERROR(VLOOKUP(Tablo517[[#This Row],[HAMMADDE KODU]],Tablo1[#All],3,0)," ")</f>
        <v xml:space="preserve"> </v>
      </c>
      <c r="P284" s="100" t="str">
        <f>IFERROR(VLOOKUP(Tablo517[[#This Row],[HAMMADDE KODU]],Tablo1[#All],4,0)," ")</f>
        <v xml:space="preserve"> </v>
      </c>
      <c r="Q284" s="100" t="str">
        <f>IFERROR(VLOOKUP(Tablo517[[#This Row],[ÜRÜN KODU]],YMKODLARI!$A$1:$K$363,5,0)," ")</f>
        <v xml:space="preserve"> </v>
      </c>
      <c r="R284" s="100" t="str">
        <f>IFERROR(VLOOKUP(Tablo517[[#This Row],[ÜRÜN KODU]],YMKODLARI!$A$1:$K$363,6,0)," ")</f>
        <v xml:space="preserve"> </v>
      </c>
      <c r="S284" s="100" t="str">
        <f>IFERROR(Tablo517[[#This Row],[YOLLUK HARİÇ BASKI GRAMI]]/Tablo517[[#This Row],[KALIP GÖZ ADEDİ]]," ")</f>
        <v xml:space="preserve"> </v>
      </c>
      <c r="T284" s="100" t="str">
        <f t="shared" si="31"/>
        <v xml:space="preserve"> </v>
      </c>
      <c r="U284" s="100"/>
      <c r="V284" s="100" t="str">
        <f t="shared" si="30"/>
        <v xml:space="preserve"> </v>
      </c>
      <c r="W284" s="101">
        <f t="shared" si="32"/>
        <v>24</v>
      </c>
      <c r="X284" s="102">
        <f t="shared" si="33"/>
        <v>0</v>
      </c>
      <c r="Y284" s="100" t="str">
        <f t="shared" si="34"/>
        <v xml:space="preserve"> </v>
      </c>
      <c r="Z284" s="100" t="str">
        <f t="shared" si="35"/>
        <v xml:space="preserve"> </v>
      </c>
    </row>
    <row r="285" spans="1:26">
      <c r="A285" s="100"/>
      <c r="B285" s="108" t="str">
        <f>IFERROR(VLOOKUP(Tablo517[[#This Row],[ÜRÜN KODU]],YMKODLARI!$A$1:$K$363,2,0)," ")</f>
        <v xml:space="preserve"> </v>
      </c>
      <c r="C285" s="99"/>
      <c r="D285" s="100"/>
      <c r="E285" s="101"/>
      <c r="F285" s="101"/>
      <c r="G285" s="100" t="str">
        <f>IFERROR(VLOOKUP(Tablo517[[#This Row],[ÜRÜN KODU]],YMKODLARI!$A$1:$K$363,3,0)," ")</f>
        <v xml:space="preserve"> </v>
      </c>
      <c r="H285" s="100" t="str">
        <f>IFERROR(VLOOKUP(Tablo517[[#This Row],[ÜRÜN KODU]],YMKODLARI!$A$1:$K$363,4,0)," ")</f>
        <v xml:space="preserve"> </v>
      </c>
      <c r="I285" s="100"/>
      <c r="J285" s="100" t="str">
        <f>IFERROR(VLOOKUP(Tablo517[[#This Row],[ÜRÜN KODU]],YMKODLARI!$A$1:$K$363,9,0)," ")</f>
        <v xml:space="preserve"> </v>
      </c>
      <c r="K285" s="100" t="str">
        <f>IFERROR(VLOOKUP(Tablo517[[#This Row],[BOYA KODU]],Tablo14[#All],4,0)," ")</f>
        <v xml:space="preserve"> </v>
      </c>
      <c r="L285" s="100" t="str">
        <f>IFERROR(VLOOKUP(Tablo517[[#This Row],[BOYA KODU]],Tablo14[#All],6,0)," ")</f>
        <v xml:space="preserve"> </v>
      </c>
      <c r="M285" s="100" t="str">
        <f t="shared" si="29"/>
        <v xml:space="preserve"> </v>
      </c>
      <c r="N285" s="100" t="str">
        <f>IFERROR(VLOOKUP(Tablo517[[#This Row],[ÜRÜN KODU]],YMKODLARI!$A$1:$K$363,8,0)," ")</f>
        <v xml:space="preserve"> </v>
      </c>
      <c r="O285" s="100" t="str">
        <f>IFERROR(VLOOKUP(Tablo517[[#This Row],[HAMMADDE KODU]],Tablo1[#All],3,0)," ")</f>
        <v xml:space="preserve"> </v>
      </c>
      <c r="P285" s="100" t="str">
        <f>IFERROR(VLOOKUP(Tablo517[[#This Row],[HAMMADDE KODU]],Tablo1[#All],4,0)," ")</f>
        <v xml:space="preserve"> </v>
      </c>
      <c r="Q285" s="100" t="str">
        <f>IFERROR(VLOOKUP(Tablo517[[#This Row],[ÜRÜN KODU]],YMKODLARI!$A$1:$K$363,5,0)," ")</f>
        <v xml:space="preserve"> </v>
      </c>
      <c r="R285" s="100" t="str">
        <f>IFERROR(VLOOKUP(Tablo517[[#This Row],[ÜRÜN KODU]],YMKODLARI!$A$1:$K$363,6,0)," ")</f>
        <v xml:space="preserve"> </v>
      </c>
      <c r="S285" s="100" t="str">
        <f>IFERROR(Tablo517[[#This Row],[YOLLUK HARİÇ BASKI GRAMI]]/Tablo517[[#This Row],[KALIP GÖZ ADEDİ]]," ")</f>
        <v xml:space="preserve"> </v>
      </c>
      <c r="T285" s="100" t="str">
        <f t="shared" si="31"/>
        <v xml:space="preserve"> </v>
      </c>
      <c r="U285" s="100"/>
      <c r="V285" s="100" t="str">
        <f t="shared" si="30"/>
        <v xml:space="preserve"> </v>
      </c>
      <c r="W285" s="101">
        <f t="shared" si="32"/>
        <v>24</v>
      </c>
      <c r="X285" s="102">
        <f t="shared" si="33"/>
        <v>0</v>
      </c>
      <c r="Y285" s="100" t="str">
        <f t="shared" si="34"/>
        <v xml:space="preserve"> </v>
      </c>
      <c r="Z285" s="100" t="str">
        <f t="shared" si="35"/>
        <v xml:space="preserve"> </v>
      </c>
    </row>
    <row r="286" spans="1:26">
      <c r="A286" s="100"/>
      <c r="B286" s="108" t="str">
        <f>IFERROR(VLOOKUP(Tablo517[[#This Row],[ÜRÜN KODU]],YMKODLARI!$A$1:$K$363,2,0)," ")</f>
        <v xml:space="preserve"> </v>
      </c>
      <c r="C286" s="99"/>
      <c r="D286" s="100"/>
      <c r="E286" s="101"/>
      <c r="F286" s="101"/>
      <c r="G286" s="100" t="str">
        <f>IFERROR(VLOOKUP(Tablo517[[#This Row],[ÜRÜN KODU]],YMKODLARI!$A$1:$K$363,3,0)," ")</f>
        <v xml:space="preserve"> </v>
      </c>
      <c r="H286" s="100" t="str">
        <f>IFERROR(VLOOKUP(Tablo517[[#This Row],[ÜRÜN KODU]],YMKODLARI!$A$1:$K$363,4,0)," ")</f>
        <v xml:space="preserve"> </v>
      </c>
      <c r="I286" s="100"/>
      <c r="J286" s="100" t="str">
        <f>IFERROR(VLOOKUP(Tablo517[[#This Row],[ÜRÜN KODU]],YMKODLARI!$A$1:$K$363,9,0)," ")</f>
        <v xml:space="preserve"> </v>
      </c>
      <c r="K286" s="100" t="str">
        <f>IFERROR(VLOOKUP(Tablo517[[#This Row],[BOYA KODU]],Tablo14[#All],4,0)," ")</f>
        <v xml:space="preserve"> </v>
      </c>
      <c r="L286" s="100" t="str">
        <f>IFERROR(VLOOKUP(Tablo517[[#This Row],[BOYA KODU]],Tablo14[#All],6,0)," ")</f>
        <v xml:space="preserve"> </v>
      </c>
      <c r="M286" s="100" t="str">
        <f t="shared" si="29"/>
        <v xml:space="preserve"> </v>
      </c>
      <c r="N286" s="100" t="str">
        <f>IFERROR(VLOOKUP(Tablo517[[#This Row],[ÜRÜN KODU]],YMKODLARI!$A$1:$K$363,8,0)," ")</f>
        <v xml:space="preserve"> </v>
      </c>
      <c r="O286" s="100" t="str">
        <f>IFERROR(VLOOKUP(Tablo517[[#This Row],[HAMMADDE KODU]],Tablo1[#All],3,0)," ")</f>
        <v xml:space="preserve"> </v>
      </c>
      <c r="P286" s="100" t="str">
        <f>IFERROR(VLOOKUP(Tablo517[[#This Row],[HAMMADDE KODU]],Tablo1[#All],4,0)," ")</f>
        <v xml:space="preserve"> </v>
      </c>
      <c r="Q286" s="100" t="str">
        <f>IFERROR(VLOOKUP(Tablo517[[#This Row],[ÜRÜN KODU]],YMKODLARI!$A$1:$K$363,5,0)," ")</f>
        <v xml:space="preserve"> </v>
      </c>
      <c r="R286" s="100" t="str">
        <f>IFERROR(VLOOKUP(Tablo517[[#This Row],[ÜRÜN KODU]],YMKODLARI!$A$1:$K$363,6,0)," ")</f>
        <v xml:space="preserve"> </v>
      </c>
      <c r="S286" s="100" t="str">
        <f>IFERROR(Tablo517[[#This Row],[YOLLUK HARİÇ BASKI GRAMI]]/Tablo517[[#This Row],[KALIP GÖZ ADEDİ]]," ")</f>
        <v xml:space="preserve"> </v>
      </c>
      <c r="T286" s="100" t="str">
        <f t="shared" si="31"/>
        <v xml:space="preserve"> </v>
      </c>
      <c r="U286" s="100"/>
      <c r="V286" s="100" t="str">
        <f t="shared" si="30"/>
        <v xml:space="preserve"> </v>
      </c>
      <c r="W286" s="101">
        <f t="shared" si="32"/>
        <v>24</v>
      </c>
      <c r="X286" s="102">
        <f t="shared" si="33"/>
        <v>0</v>
      </c>
      <c r="Y286" s="100" t="str">
        <f t="shared" si="34"/>
        <v xml:space="preserve"> </v>
      </c>
      <c r="Z286" s="100" t="str">
        <f t="shared" si="35"/>
        <v xml:space="preserve"> </v>
      </c>
    </row>
    <row r="287" spans="1:26">
      <c r="A287" s="100"/>
      <c r="B287" s="108" t="str">
        <f>IFERROR(VLOOKUP(Tablo517[[#This Row],[ÜRÜN KODU]],YMKODLARI!$A$1:$K$363,2,0)," ")</f>
        <v xml:space="preserve"> </v>
      </c>
      <c r="C287" s="99"/>
      <c r="D287" s="100"/>
      <c r="E287" s="101"/>
      <c r="F287" s="101"/>
      <c r="G287" s="100" t="str">
        <f>IFERROR(VLOOKUP(Tablo517[[#This Row],[ÜRÜN KODU]],YMKODLARI!$A$1:$K$363,3,0)," ")</f>
        <v xml:space="preserve"> </v>
      </c>
      <c r="H287" s="100" t="str">
        <f>IFERROR(VLOOKUP(Tablo517[[#This Row],[ÜRÜN KODU]],YMKODLARI!$A$1:$K$363,4,0)," ")</f>
        <v xml:space="preserve"> </v>
      </c>
      <c r="I287" s="100"/>
      <c r="J287" s="100" t="str">
        <f>IFERROR(VLOOKUP(Tablo517[[#This Row],[ÜRÜN KODU]],YMKODLARI!$A$1:$K$363,9,0)," ")</f>
        <v xml:space="preserve"> </v>
      </c>
      <c r="K287" s="100" t="str">
        <f>IFERROR(VLOOKUP(Tablo517[[#This Row],[BOYA KODU]],Tablo14[#All],4,0)," ")</f>
        <v xml:space="preserve"> </v>
      </c>
      <c r="L287" s="100" t="str">
        <f>IFERROR(VLOOKUP(Tablo517[[#This Row],[BOYA KODU]],Tablo14[#All],6,0)," ")</f>
        <v xml:space="preserve"> </v>
      </c>
      <c r="M287" s="100" t="str">
        <f t="shared" si="29"/>
        <v xml:space="preserve"> </v>
      </c>
      <c r="N287" s="100" t="str">
        <f>IFERROR(VLOOKUP(Tablo517[[#This Row],[ÜRÜN KODU]],YMKODLARI!$A$1:$K$363,8,0)," ")</f>
        <v xml:space="preserve"> </v>
      </c>
      <c r="O287" s="100" t="str">
        <f>IFERROR(VLOOKUP(Tablo517[[#This Row],[HAMMADDE KODU]],Tablo1[#All],3,0)," ")</f>
        <v xml:space="preserve"> </v>
      </c>
      <c r="P287" s="100" t="str">
        <f>IFERROR(VLOOKUP(Tablo517[[#This Row],[HAMMADDE KODU]],Tablo1[#All],4,0)," ")</f>
        <v xml:space="preserve"> </v>
      </c>
      <c r="Q287" s="100" t="str">
        <f>IFERROR(VLOOKUP(Tablo517[[#This Row],[ÜRÜN KODU]],YMKODLARI!$A$1:$K$363,5,0)," ")</f>
        <v xml:space="preserve"> </v>
      </c>
      <c r="R287" s="100" t="str">
        <f>IFERROR(VLOOKUP(Tablo517[[#This Row],[ÜRÜN KODU]],YMKODLARI!$A$1:$K$363,6,0)," ")</f>
        <v xml:space="preserve"> </v>
      </c>
      <c r="S287" s="100" t="str">
        <f>IFERROR(Tablo517[[#This Row],[YOLLUK HARİÇ BASKI GRAMI]]/Tablo517[[#This Row],[KALIP GÖZ ADEDİ]]," ")</f>
        <v xml:space="preserve"> </v>
      </c>
      <c r="T287" s="100" t="str">
        <f t="shared" si="31"/>
        <v xml:space="preserve"> </v>
      </c>
      <c r="U287" s="100"/>
      <c r="V287" s="100" t="str">
        <f t="shared" si="30"/>
        <v xml:space="preserve"> </v>
      </c>
      <c r="W287" s="101">
        <f t="shared" si="32"/>
        <v>24</v>
      </c>
      <c r="X287" s="102">
        <f t="shared" si="33"/>
        <v>0</v>
      </c>
      <c r="Y287" s="100" t="str">
        <f t="shared" si="34"/>
        <v xml:space="preserve"> </v>
      </c>
      <c r="Z287" s="100" t="str">
        <f t="shared" si="35"/>
        <v xml:space="preserve"> </v>
      </c>
    </row>
    <row r="288" spans="1:26">
      <c r="A288" s="100"/>
      <c r="B288" s="108" t="str">
        <f>IFERROR(VLOOKUP(Tablo517[[#This Row],[ÜRÜN KODU]],YMKODLARI!$A$1:$K$363,2,0)," ")</f>
        <v xml:space="preserve"> </v>
      </c>
      <c r="C288" s="99"/>
      <c r="D288" s="100"/>
      <c r="E288" s="101"/>
      <c r="F288" s="101"/>
      <c r="G288" s="100" t="str">
        <f>IFERROR(VLOOKUP(Tablo517[[#This Row],[ÜRÜN KODU]],YMKODLARI!$A$1:$K$363,3,0)," ")</f>
        <v xml:space="preserve"> </v>
      </c>
      <c r="H288" s="100" t="str">
        <f>IFERROR(VLOOKUP(Tablo517[[#This Row],[ÜRÜN KODU]],YMKODLARI!$A$1:$K$363,4,0)," ")</f>
        <v xml:space="preserve"> </v>
      </c>
      <c r="I288" s="100"/>
      <c r="J288" s="100" t="str">
        <f>IFERROR(VLOOKUP(Tablo517[[#This Row],[ÜRÜN KODU]],YMKODLARI!$A$1:$K$363,9,0)," ")</f>
        <v xml:space="preserve"> </v>
      </c>
      <c r="K288" s="100" t="str">
        <f>IFERROR(VLOOKUP(Tablo517[[#This Row],[BOYA KODU]],Tablo14[#All],4,0)," ")</f>
        <v xml:space="preserve"> </v>
      </c>
      <c r="L288" s="100" t="str">
        <f>IFERROR(VLOOKUP(Tablo517[[#This Row],[BOYA KODU]],Tablo14[#All],6,0)," ")</f>
        <v xml:space="preserve"> </v>
      </c>
      <c r="M288" s="100" t="str">
        <f t="shared" si="29"/>
        <v xml:space="preserve"> </v>
      </c>
      <c r="N288" s="100" t="str">
        <f>IFERROR(VLOOKUP(Tablo517[[#This Row],[ÜRÜN KODU]],YMKODLARI!$A$1:$K$363,8,0)," ")</f>
        <v xml:space="preserve"> </v>
      </c>
      <c r="O288" s="100" t="str">
        <f>IFERROR(VLOOKUP(Tablo517[[#This Row],[HAMMADDE KODU]],Tablo1[#All],3,0)," ")</f>
        <v xml:space="preserve"> </v>
      </c>
      <c r="P288" s="100" t="str">
        <f>IFERROR(VLOOKUP(Tablo517[[#This Row],[HAMMADDE KODU]],Tablo1[#All],4,0)," ")</f>
        <v xml:space="preserve"> </v>
      </c>
      <c r="Q288" s="100" t="str">
        <f>IFERROR(VLOOKUP(Tablo517[[#This Row],[ÜRÜN KODU]],YMKODLARI!$A$1:$K$363,5,0)," ")</f>
        <v xml:space="preserve"> </v>
      </c>
      <c r="R288" s="100" t="str">
        <f>IFERROR(VLOOKUP(Tablo517[[#This Row],[ÜRÜN KODU]],YMKODLARI!$A$1:$K$363,6,0)," ")</f>
        <v xml:space="preserve"> </v>
      </c>
      <c r="S288" s="100" t="str">
        <f>IFERROR(Tablo517[[#This Row],[YOLLUK HARİÇ BASKI GRAMI]]/Tablo517[[#This Row],[KALIP GÖZ ADEDİ]]," ")</f>
        <v xml:space="preserve"> </v>
      </c>
      <c r="T288" s="100" t="str">
        <f t="shared" si="31"/>
        <v xml:space="preserve"> </v>
      </c>
      <c r="U288" s="100"/>
      <c r="V288" s="100" t="str">
        <f t="shared" si="30"/>
        <v xml:space="preserve"> </v>
      </c>
      <c r="W288" s="101">
        <f t="shared" si="32"/>
        <v>24</v>
      </c>
      <c r="X288" s="102">
        <f t="shared" si="33"/>
        <v>0</v>
      </c>
      <c r="Y288" s="100" t="str">
        <f t="shared" si="34"/>
        <v xml:space="preserve"> </v>
      </c>
      <c r="Z288" s="100" t="str">
        <f t="shared" si="35"/>
        <v xml:space="preserve"> </v>
      </c>
    </row>
    <row r="289" spans="1:26">
      <c r="A289" s="100"/>
      <c r="B289" s="108" t="str">
        <f>IFERROR(VLOOKUP(Tablo517[[#This Row],[ÜRÜN KODU]],YMKODLARI!$A$1:$K$363,2,0)," ")</f>
        <v xml:space="preserve"> </v>
      </c>
      <c r="C289" s="99"/>
      <c r="D289" s="100"/>
      <c r="E289" s="101"/>
      <c r="F289" s="101"/>
      <c r="G289" s="100" t="str">
        <f>IFERROR(VLOOKUP(Tablo517[[#This Row],[ÜRÜN KODU]],YMKODLARI!$A$1:$K$363,3,0)," ")</f>
        <v xml:space="preserve"> </v>
      </c>
      <c r="H289" s="100" t="str">
        <f>IFERROR(VLOOKUP(Tablo517[[#This Row],[ÜRÜN KODU]],YMKODLARI!$A$1:$K$363,4,0)," ")</f>
        <v xml:space="preserve"> </v>
      </c>
      <c r="I289" s="100"/>
      <c r="J289" s="100" t="str">
        <f>IFERROR(VLOOKUP(Tablo517[[#This Row],[ÜRÜN KODU]],YMKODLARI!$A$1:$K$363,9,0)," ")</f>
        <v xml:space="preserve"> </v>
      </c>
      <c r="K289" s="100" t="str">
        <f>IFERROR(VLOOKUP(Tablo517[[#This Row],[BOYA KODU]],Tablo14[#All],4,0)," ")</f>
        <v xml:space="preserve"> </v>
      </c>
      <c r="L289" s="100" t="str">
        <f>IFERROR(VLOOKUP(Tablo517[[#This Row],[BOYA KODU]],Tablo14[#All],6,0)," ")</f>
        <v xml:space="preserve"> </v>
      </c>
      <c r="M289" s="100" t="str">
        <f t="shared" si="29"/>
        <v xml:space="preserve"> </v>
      </c>
      <c r="N289" s="100" t="str">
        <f>IFERROR(VLOOKUP(Tablo517[[#This Row],[ÜRÜN KODU]],YMKODLARI!$A$1:$K$363,8,0)," ")</f>
        <v xml:space="preserve"> </v>
      </c>
      <c r="O289" s="100" t="str">
        <f>IFERROR(VLOOKUP(Tablo517[[#This Row],[HAMMADDE KODU]],Tablo1[#All],3,0)," ")</f>
        <v xml:space="preserve"> </v>
      </c>
      <c r="P289" s="100" t="str">
        <f>IFERROR(VLOOKUP(Tablo517[[#This Row],[HAMMADDE KODU]],Tablo1[#All],4,0)," ")</f>
        <v xml:space="preserve"> </v>
      </c>
      <c r="Q289" s="100" t="str">
        <f>IFERROR(VLOOKUP(Tablo517[[#This Row],[ÜRÜN KODU]],YMKODLARI!$A$1:$K$363,5,0)," ")</f>
        <v xml:space="preserve"> </v>
      </c>
      <c r="R289" s="100" t="str">
        <f>IFERROR(VLOOKUP(Tablo517[[#This Row],[ÜRÜN KODU]],YMKODLARI!$A$1:$K$363,6,0)," ")</f>
        <v xml:space="preserve"> </v>
      </c>
      <c r="S289" s="100" t="str">
        <f>IFERROR(Tablo517[[#This Row],[YOLLUK HARİÇ BASKI GRAMI]]/Tablo517[[#This Row],[KALIP GÖZ ADEDİ]]," ")</f>
        <v xml:space="preserve"> </v>
      </c>
      <c r="T289" s="100" t="str">
        <f t="shared" si="31"/>
        <v xml:space="preserve"> </v>
      </c>
      <c r="U289" s="100"/>
      <c r="V289" s="100" t="str">
        <f t="shared" si="30"/>
        <v xml:space="preserve"> </v>
      </c>
      <c r="W289" s="101">
        <f t="shared" si="32"/>
        <v>24</v>
      </c>
      <c r="X289" s="102">
        <f t="shared" si="33"/>
        <v>0</v>
      </c>
      <c r="Y289" s="100" t="str">
        <f t="shared" si="34"/>
        <v xml:space="preserve"> </v>
      </c>
      <c r="Z289" s="100" t="str">
        <f t="shared" si="35"/>
        <v xml:space="preserve"> </v>
      </c>
    </row>
    <row r="290" spans="1:26">
      <c r="A290" s="100"/>
      <c r="B290" s="108" t="str">
        <f>IFERROR(VLOOKUP(Tablo517[[#This Row],[ÜRÜN KODU]],YMKODLARI!$A$1:$K$363,2,0)," ")</f>
        <v xml:space="preserve"> </v>
      </c>
      <c r="C290" s="99"/>
      <c r="D290" s="100"/>
      <c r="E290" s="101"/>
      <c r="F290" s="101"/>
      <c r="G290" s="100" t="str">
        <f>IFERROR(VLOOKUP(Tablo517[[#This Row],[ÜRÜN KODU]],YMKODLARI!$A$1:$K$363,3,0)," ")</f>
        <v xml:space="preserve"> </v>
      </c>
      <c r="H290" s="100" t="str">
        <f>IFERROR(VLOOKUP(Tablo517[[#This Row],[ÜRÜN KODU]],YMKODLARI!$A$1:$K$363,4,0)," ")</f>
        <v xml:space="preserve"> </v>
      </c>
      <c r="I290" s="100"/>
      <c r="J290" s="100" t="str">
        <f>IFERROR(VLOOKUP(Tablo517[[#This Row],[ÜRÜN KODU]],YMKODLARI!$A$1:$K$363,9,0)," ")</f>
        <v xml:space="preserve"> </v>
      </c>
      <c r="K290" s="100" t="str">
        <f>IFERROR(VLOOKUP(Tablo517[[#This Row],[BOYA KODU]],Tablo14[#All],4,0)," ")</f>
        <v xml:space="preserve"> </v>
      </c>
      <c r="L290" s="100" t="str">
        <f>IFERROR(VLOOKUP(Tablo517[[#This Row],[BOYA KODU]],Tablo14[#All],6,0)," ")</f>
        <v xml:space="preserve"> </v>
      </c>
      <c r="M290" s="100" t="str">
        <f t="shared" si="29"/>
        <v xml:space="preserve"> </v>
      </c>
      <c r="N290" s="100" t="str">
        <f>IFERROR(VLOOKUP(Tablo517[[#This Row],[ÜRÜN KODU]],YMKODLARI!$A$1:$K$363,8,0)," ")</f>
        <v xml:space="preserve"> </v>
      </c>
      <c r="O290" s="100" t="str">
        <f>IFERROR(VLOOKUP(Tablo517[[#This Row],[HAMMADDE KODU]],Tablo1[#All],3,0)," ")</f>
        <v xml:space="preserve"> </v>
      </c>
      <c r="P290" s="100" t="str">
        <f>IFERROR(VLOOKUP(Tablo517[[#This Row],[HAMMADDE KODU]],Tablo1[#All],4,0)," ")</f>
        <v xml:space="preserve"> </v>
      </c>
      <c r="Q290" s="100" t="str">
        <f>IFERROR(VLOOKUP(Tablo517[[#This Row],[ÜRÜN KODU]],YMKODLARI!$A$1:$K$363,5,0)," ")</f>
        <v xml:space="preserve"> </v>
      </c>
      <c r="R290" s="100" t="str">
        <f>IFERROR(VLOOKUP(Tablo517[[#This Row],[ÜRÜN KODU]],YMKODLARI!$A$1:$K$363,6,0)," ")</f>
        <v xml:space="preserve"> </v>
      </c>
      <c r="S290" s="100" t="str">
        <f>IFERROR(Tablo517[[#This Row],[YOLLUK HARİÇ BASKI GRAMI]]/Tablo517[[#This Row],[KALIP GÖZ ADEDİ]]," ")</f>
        <v xml:space="preserve"> </v>
      </c>
      <c r="T290" s="100" t="str">
        <f t="shared" si="31"/>
        <v xml:space="preserve"> </v>
      </c>
      <c r="U290" s="100"/>
      <c r="V290" s="100" t="str">
        <f t="shared" si="30"/>
        <v xml:space="preserve"> </v>
      </c>
      <c r="W290" s="101">
        <f t="shared" si="32"/>
        <v>24</v>
      </c>
      <c r="X290" s="102">
        <f t="shared" si="33"/>
        <v>0</v>
      </c>
      <c r="Y290" s="100" t="str">
        <f t="shared" si="34"/>
        <v xml:space="preserve"> </v>
      </c>
      <c r="Z290" s="100" t="str">
        <f t="shared" si="35"/>
        <v xml:space="preserve"> </v>
      </c>
    </row>
    <row r="291" spans="1:26">
      <c r="A291" s="100"/>
      <c r="B291" s="108" t="str">
        <f>IFERROR(VLOOKUP(Tablo517[[#This Row],[ÜRÜN KODU]],YMKODLARI!$A$1:$K$363,2,0)," ")</f>
        <v xml:space="preserve"> </v>
      </c>
      <c r="C291" s="99"/>
      <c r="D291" s="100"/>
      <c r="E291" s="101"/>
      <c r="F291" s="101"/>
      <c r="G291" s="100" t="str">
        <f>IFERROR(VLOOKUP(Tablo517[[#This Row],[ÜRÜN KODU]],YMKODLARI!$A$1:$K$363,3,0)," ")</f>
        <v xml:space="preserve"> </v>
      </c>
      <c r="H291" s="100" t="str">
        <f>IFERROR(VLOOKUP(Tablo517[[#This Row],[ÜRÜN KODU]],YMKODLARI!$A$1:$K$363,4,0)," ")</f>
        <v xml:space="preserve"> </v>
      </c>
      <c r="I291" s="100"/>
      <c r="J291" s="100" t="str">
        <f>IFERROR(VLOOKUP(Tablo517[[#This Row],[ÜRÜN KODU]],YMKODLARI!$A$1:$K$363,9,0)," ")</f>
        <v xml:space="preserve"> </v>
      </c>
      <c r="K291" s="100" t="str">
        <f>IFERROR(VLOOKUP(Tablo517[[#This Row],[BOYA KODU]],Tablo14[#All],4,0)," ")</f>
        <v xml:space="preserve"> </v>
      </c>
      <c r="L291" s="100" t="str">
        <f>IFERROR(VLOOKUP(Tablo517[[#This Row],[BOYA KODU]],Tablo14[#All],6,0)," ")</f>
        <v xml:space="preserve"> </v>
      </c>
      <c r="M291" s="100" t="str">
        <f t="shared" si="29"/>
        <v xml:space="preserve"> </v>
      </c>
      <c r="N291" s="100" t="str">
        <f>IFERROR(VLOOKUP(Tablo517[[#This Row],[ÜRÜN KODU]],YMKODLARI!$A$1:$K$363,8,0)," ")</f>
        <v xml:space="preserve"> </v>
      </c>
      <c r="O291" s="100" t="str">
        <f>IFERROR(VLOOKUP(Tablo517[[#This Row],[HAMMADDE KODU]],Tablo1[#All],3,0)," ")</f>
        <v xml:space="preserve"> </v>
      </c>
      <c r="P291" s="100" t="str">
        <f>IFERROR(VLOOKUP(Tablo517[[#This Row],[HAMMADDE KODU]],Tablo1[#All],4,0)," ")</f>
        <v xml:space="preserve"> </v>
      </c>
      <c r="Q291" s="100" t="str">
        <f>IFERROR(VLOOKUP(Tablo517[[#This Row],[ÜRÜN KODU]],YMKODLARI!$A$1:$K$363,5,0)," ")</f>
        <v xml:space="preserve"> </v>
      </c>
      <c r="R291" s="100" t="str">
        <f>IFERROR(VLOOKUP(Tablo517[[#This Row],[ÜRÜN KODU]],YMKODLARI!$A$1:$K$363,6,0)," ")</f>
        <v xml:space="preserve"> </v>
      </c>
      <c r="S291" s="100" t="str">
        <f>IFERROR(Tablo517[[#This Row],[YOLLUK HARİÇ BASKI GRAMI]]/Tablo517[[#This Row],[KALIP GÖZ ADEDİ]]," ")</f>
        <v xml:space="preserve"> </v>
      </c>
      <c r="T291" s="100" t="str">
        <f t="shared" si="31"/>
        <v xml:space="preserve"> </v>
      </c>
      <c r="U291" s="100"/>
      <c r="V291" s="100" t="str">
        <f t="shared" si="30"/>
        <v xml:space="preserve"> </v>
      </c>
      <c r="W291" s="101">
        <f t="shared" si="32"/>
        <v>24</v>
      </c>
      <c r="X291" s="102">
        <f t="shared" si="33"/>
        <v>0</v>
      </c>
      <c r="Y291" s="100" t="str">
        <f t="shared" si="34"/>
        <v xml:space="preserve"> </v>
      </c>
      <c r="Z291" s="100" t="str">
        <f t="shared" si="35"/>
        <v xml:space="preserve"> </v>
      </c>
    </row>
    <row r="292" spans="1:26">
      <c r="A292" s="100"/>
      <c r="B292" s="108" t="str">
        <f>IFERROR(VLOOKUP(Tablo517[[#This Row],[ÜRÜN KODU]],YMKODLARI!$A$1:$K$363,2,0)," ")</f>
        <v xml:space="preserve"> </v>
      </c>
      <c r="C292" s="99"/>
      <c r="D292" s="100"/>
      <c r="E292" s="101"/>
      <c r="F292" s="101"/>
      <c r="G292" s="100" t="str">
        <f>IFERROR(VLOOKUP(Tablo517[[#This Row],[ÜRÜN KODU]],YMKODLARI!$A$1:$K$363,3,0)," ")</f>
        <v xml:space="preserve"> </v>
      </c>
      <c r="H292" s="100" t="str">
        <f>IFERROR(VLOOKUP(Tablo517[[#This Row],[ÜRÜN KODU]],YMKODLARI!$A$1:$K$363,4,0)," ")</f>
        <v xml:space="preserve"> </v>
      </c>
      <c r="I292" s="100"/>
      <c r="J292" s="100" t="str">
        <f>IFERROR(VLOOKUP(Tablo517[[#This Row],[ÜRÜN KODU]],YMKODLARI!$A$1:$K$363,9,0)," ")</f>
        <v xml:space="preserve"> </v>
      </c>
      <c r="K292" s="100" t="str">
        <f>IFERROR(VLOOKUP(Tablo517[[#This Row],[BOYA KODU]],Tablo14[#All],4,0)," ")</f>
        <v xml:space="preserve"> </v>
      </c>
      <c r="L292" s="100" t="str">
        <f>IFERROR(VLOOKUP(Tablo517[[#This Row],[BOYA KODU]],Tablo14[#All],6,0)," ")</f>
        <v xml:space="preserve"> </v>
      </c>
      <c r="M292" s="100" t="str">
        <f t="shared" si="29"/>
        <v xml:space="preserve"> </v>
      </c>
      <c r="N292" s="100" t="str">
        <f>IFERROR(VLOOKUP(Tablo517[[#This Row],[ÜRÜN KODU]],YMKODLARI!$A$1:$K$363,8,0)," ")</f>
        <v xml:space="preserve"> </v>
      </c>
      <c r="O292" s="100" t="str">
        <f>IFERROR(VLOOKUP(Tablo517[[#This Row],[HAMMADDE KODU]],Tablo1[#All],3,0)," ")</f>
        <v xml:space="preserve"> </v>
      </c>
      <c r="P292" s="100" t="str">
        <f>IFERROR(VLOOKUP(Tablo517[[#This Row],[HAMMADDE KODU]],Tablo1[#All],4,0)," ")</f>
        <v xml:space="preserve"> </v>
      </c>
      <c r="Q292" s="100" t="str">
        <f>IFERROR(VLOOKUP(Tablo517[[#This Row],[ÜRÜN KODU]],YMKODLARI!$A$1:$K$363,5,0)," ")</f>
        <v xml:space="preserve"> </v>
      </c>
      <c r="R292" s="100" t="str">
        <f>IFERROR(VLOOKUP(Tablo517[[#This Row],[ÜRÜN KODU]],YMKODLARI!$A$1:$K$363,6,0)," ")</f>
        <v xml:space="preserve"> </v>
      </c>
      <c r="S292" s="100" t="str">
        <f>IFERROR(Tablo517[[#This Row],[YOLLUK HARİÇ BASKI GRAMI]]/Tablo517[[#This Row],[KALIP GÖZ ADEDİ]]," ")</f>
        <v xml:space="preserve"> </v>
      </c>
      <c r="T292" s="100" t="str">
        <f t="shared" si="31"/>
        <v xml:space="preserve"> </v>
      </c>
      <c r="U292" s="100"/>
      <c r="V292" s="100" t="str">
        <f t="shared" si="30"/>
        <v xml:space="preserve"> </v>
      </c>
      <c r="W292" s="101">
        <f t="shared" si="32"/>
        <v>24</v>
      </c>
      <c r="X292" s="102">
        <f t="shared" si="33"/>
        <v>0</v>
      </c>
      <c r="Y292" s="100" t="str">
        <f t="shared" si="34"/>
        <v xml:space="preserve"> </v>
      </c>
      <c r="Z292" s="100" t="str">
        <f t="shared" si="35"/>
        <v xml:space="preserve"> </v>
      </c>
    </row>
    <row r="293" spans="1:26">
      <c r="A293" s="100"/>
      <c r="B293" s="108" t="str">
        <f>IFERROR(VLOOKUP(Tablo517[[#This Row],[ÜRÜN KODU]],YMKODLARI!$A$1:$K$363,2,0)," ")</f>
        <v xml:space="preserve"> </v>
      </c>
      <c r="C293" s="99"/>
      <c r="D293" s="100"/>
      <c r="E293" s="101"/>
      <c r="F293" s="101"/>
      <c r="G293" s="100" t="str">
        <f>IFERROR(VLOOKUP(Tablo517[[#This Row],[ÜRÜN KODU]],YMKODLARI!$A$1:$K$363,3,0)," ")</f>
        <v xml:space="preserve"> </v>
      </c>
      <c r="H293" s="100" t="str">
        <f>IFERROR(VLOOKUP(Tablo517[[#This Row],[ÜRÜN KODU]],YMKODLARI!$A$1:$K$363,4,0)," ")</f>
        <v xml:space="preserve"> </v>
      </c>
      <c r="I293" s="100"/>
      <c r="J293" s="100" t="str">
        <f>IFERROR(VLOOKUP(Tablo517[[#This Row],[ÜRÜN KODU]],YMKODLARI!$A$1:$K$363,9,0)," ")</f>
        <v xml:space="preserve"> </v>
      </c>
      <c r="K293" s="100" t="str">
        <f>IFERROR(VLOOKUP(Tablo517[[#This Row],[BOYA KODU]],Tablo14[#All],4,0)," ")</f>
        <v xml:space="preserve"> </v>
      </c>
      <c r="L293" s="100" t="str">
        <f>IFERROR(VLOOKUP(Tablo517[[#This Row],[BOYA KODU]],Tablo14[#All],6,0)," ")</f>
        <v xml:space="preserve"> </v>
      </c>
      <c r="M293" s="100" t="str">
        <f t="shared" si="29"/>
        <v xml:space="preserve"> </v>
      </c>
      <c r="N293" s="100" t="str">
        <f>IFERROR(VLOOKUP(Tablo517[[#This Row],[ÜRÜN KODU]],YMKODLARI!$A$1:$K$363,8,0)," ")</f>
        <v xml:space="preserve"> </v>
      </c>
      <c r="O293" s="100" t="str">
        <f>IFERROR(VLOOKUP(Tablo517[[#This Row],[HAMMADDE KODU]],Tablo1[#All],3,0)," ")</f>
        <v xml:space="preserve"> </v>
      </c>
      <c r="P293" s="100" t="str">
        <f>IFERROR(VLOOKUP(Tablo517[[#This Row],[HAMMADDE KODU]],Tablo1[#All],4,0)," ")</f>
        <v xml:space="preserve"> </v>
      </c>
      <c r="Q293" s="100" t="str">
        <f>IFERROR(VLOOKUP(Tablo517[[#This Row],[ÜRÜN KODU]],YMKODLARI!$A$1:$K$363,5,0)," ")</f>
        <v xml:space="preserve"> </v>
      </c>
      <c r="R293" s="100" t="str">
        <f>IFERROR(VLOOKUP(Tablo517[[#This Row],[ÜRÜN KODU]],YMKODLARI!$A$1:$K$363,6,0)," ")</f>
        <v xml:space="preserve"> </v>
      </c>
      <c r="S293" s="100" t="str">
        <f>IFERROR(Tablo517[[#This Row],[YOLLUK HARİÇ BASKI GRAMI]]/Tablo517[[#This Row],[KALIP GÖZ ADEDİ]]," ")</f>
        <v xml:space="preserve"> </v>
      </c>
      <c r="T293" s="100" t="str">
        <f t="shared" si="31"/>
        <v xml:space="preserve"> </v>
      </c>
      <c r="U293" s="100"/>
      <c r="V293" s="100" t="str">
        <f t="shared" si="30"/>
        <v xml:space="preserve"> </v>
      </c>
      <c r="W293" s="101">
        <f t="shared" si="32"/>
        <v>24</v>
      </c>
      <c r="X293" s="102">
        <f t="shared" si="33"/>
        <v>0</v>
      </c>
      <c r="Y293" s="100" t="str">
        <f t="shared" si="34"/>
        <v xml:space="preserve"> </v>
      </c>
      <c r="Z293" s="100" t="str">
        <f t="shared" si="35"/>
        <v xml:space="preserve"> </v>
      </c>
    </row>
    <row r="294" spans="1:26">
      <c r="A294" s="100"/>
      <c r="B294" s="108" t="str">
        <f>IFERROR(VLOOKUP(Tablo517[[#This Row],[ÜRÜN KODU]],YMKODLARI!$A$1:$K$363,2,0)," ")</f>
        <v xml:space="preserve"> </v>
      </c>
      <c r="C294" s="99"/>
      <c r="D294" s="100"/>
      <c r="E294" s="101"/>
      <c r="F294" s="101"/>
      <c r="G294" s="100" t="str">
        <f>IFERROR(VLOOKUP(Tablo517[[#This Row],[ÜRÜN KODU]],YMKODLARI!$A$1:$K$363,3,0)," ")</f>
        <v xml:space="preserve"> </v>
      </c>
      <c r="H294" s="100" t="str">
        <f>IFERROR(VLOOKUP(Tablo517[[#This Row],[ÜRÜN KODU]],YMKODLARI!$A$1:$K$363,4,0)," ")</f>
        <v xml:space="preserve"> </v>
      </c>
      <c r="I294" s="100"/>
      <c r="J294" s="100" t="str">
        <f>IFERROR(VLOOKUP(Tablo517[[#This Row],[ÜRÜN KODU]],YMKODLARI!$A$1:$K$363,9,0)," ")</f>
        <v xml:space="preserve"> </v>
      </c>
      <c r="K294" s="100" t="str">
        <f>IFERROR(VLOOKUP(Tablo517[[#This Row],[BOYA KODU]],Tablo14[#All],4,0)," ")</f>
        <v xml:space="preserve"> </v>
      </c>
      <c r="L294" s="100" t="str">
        <f>IFERROR(VLOOKUP(Tablo517[[#This Row],[BOYA KODU]],Tablo14[#All],6,0)," ")</f>
        <v xml:space="preserve"> </v>
      </c>
      <c r="M294" s="100" t="str">
        <f t="shared" si="29"/>
        <v xml:space="preserve"> </v>
      </c>
      <c r="N294" s="100" t="str">
        <f>IFERROR(VLOOKUP(Tablo517[[#This Row],[ÜRÜN KODU]],YMKODLARI!$A$1:$K$363,8,0)," ")</f>
        <v xml:space="preserve"> </v>
      </c>
      <c r="O294" s="100" t="str">
        <f>IFERROR(VLOOKUP(Tablo517[[#This Row],[HAMMADDE KODU]],Tablo1[#All],3,0)," ")</f>
        <v xml:space="preserve"> </v>
      </c>
      <c r="P294" s="100" t="str">
        <f>IFERROR(VLOOKUP(Tablo517[[#This Row],[HAMMADDE KODU]],Tablo1[#All],4,0)," ")</f>
        <v xml:space="preserve"> </v>
      </c>
      <c r="Q294" s="100" t="str">
        <f>IFERROR(VLOOKUP(Tablo517[[#This Row],[ÜRÜN KODU]],YMKODLARI!$A$1:$K$363,5,0)," ")</f>
        <v xml:space="preserve"> </v>
      </c>
      <c r="R294" s="100" t="str">
        <f>IFERROR(VLOOKUP(Tablo517[[#This Row],[ÜRÜN KODU]],YMKODLARI!$A$1:$K$363,6,0)," ")</f>
        <v xml:space="preserve"> </v>
      </c>
      <c r="S294" s="100" t="str">
        <f>IFERROR(Tablo517[[#This Row],[YOLLUK HARİÇ BASKI GRAMI]]/Tablo517[[#This Row],[KALIP GÖZ ADEDİ]]," ")</f>
        <v xml:space="preserve"> </v>
      </c>
      <c r="T294" s="100" t="str">
        <f t="shared" si="31"/>
        <v xml:space="preserve"> </v>
      </c>
      <c r="U294" s="100"/>
      <c r="V294" s="100" t="str">
        <f t="shared" si="30"/>
        <v xml:space="preserve"> </v>
      </c>
      <c r="W294" s="101">
        <f t="shared" si="32"/>
        <v>24</v>
      </c>
      <c r="X294" s="102">
        <f t="shared" si="33"/>
        <v>0</v>
      </c>
      <c r="Y294" s="100" t="str">
        <f t="shared" si="34"/>
        <v xml:space="preserve"> </v>
      </c>
      <c r="Z294" s="100" t="str">
        <f t="shared" si="35"/>
        <v xml:space="preserve"> </v>
      </c>
    </row>
    <row r="295" spans="1:26">
      <c r="A295" s="100"/>
      <c r="B295" s="108" t="str">
        <f>IFERROR(VLOOKUP(Tablo517[[#This Row],[ÜRÜN KODU]],YMKODLARI!$A$1:$K$363,2,0)," ")</f>
        <v xml:space="preserve"> </v>
      </c>
      <c r="C295" s="99"/>
      <c r="D295" s="100"/>
      <c r="E295" s="101"/>
      <c r="F295" s="101"/>
      <c r="G295" s="100" t="str">
        <f>IFERROR(VLOOKUP(Tablo517[[#This Row],[ÜRÜN KODU]],YMKODLARI!$A$1:$K$363,3,0)," ")</f>
        <v xml:space="preserve"> </v>
      </c>
      <c r="H295" s="100" t="str">
        <f>IFERROR(VLOOKUP(Tablo517[[#This Row],[ÜRÜN KODU]],YMKODLARI!$A$1:$K$363,4,0)," ")</f>
        <v xml:space="preserve"> </v>
      </c>
      <c r="I295" s="100"/>
      <c r="J295" s="100" t="str">
        <f>IFERROR(VLOOKUP(Tablo517[[#This Row],[ÜRÜN KODU]],YMKODLARI!$A$1:$K$363,9,0)," ")</f>
        <v xml:space="preserve"> </v>
      </c>
      <c r="K295" s="100" t="str">
        <f>IFERROR(VLOOKUP(Tablo517[[#This Row],[BOYA KODU]],Tablo14[#All],4,0)," ")</f>
        <v xml:space="preserve"> </v>
      </c>
      <c r="L295" s="100" t="str">
        <f>IFERROR(VLOOKUP(Tablo517[[#This Row],[BOYA KODU]],Tablo14[#All],6,0)," ")</f>
        <v xml:space="preserve"> </v>
      </c>
      <c r="M295" s="100" t="str">
        <f t="shared" si="29"/>
        <v xml:space="preserve"> </v>
      </c>
      <c r="N295" s="100" t="str">
        <f>IFERROR(VLOOKUP(Tablo517[[#This Row],[ÜRÜN KODU]],YMKODLARI!$A$1:$K$363,8,0)," ")</f>
        <v xml:space="preserve"> </v>
      </c>
      <c r="O295" s="100" t="str">
        <f>IFERROR(VLOOKUP(Tablo517[[#This Row],[HAMMADDE KODU]],Tablo1[#All],3,0)," ")</f>
        <v xml:space="preserve"> </v>
      </c>
      <c r="P295" s="100" t="str">
        <f>IFERROR(VLOOKUP(Tablo517[[#This Row],[HAMMADDE KODU]],Tablo1[#All],4,0)," ")</f>
        <v xml:space="preserve"> </v>
      </c>
      <c r="Q295" s="100" t="str">
        <f>IFERROR(VLOOKUP(Tablo517[[#This Row],[ÜRÜN KODU]],YMKODLARI!$A$1:$K$363,5,0)," ")</f>
        <v xml:space="preserve"> </v>
      </c>
      <c r="R295" s="100" t="str">
        <f>IFERROR(VLOOKUP(Tablo517[[#This Row],[ÜRÜN KODU]],YMKODLARI!$A$1:$K$363,6,0)," ")</f>
        <v xml:space="preserve"> </v>
      </c>
      <c r="S295" s="100" t="str">
        <f>IFERROR(Tablo517[[#This Row],[YOLLUK HARİÇ BASKI GRAMI]]/Tablo517[[#This Row],[KALIP GÖZ ADEDİ]]," ")</f>
        <v xml:space="preserve"> </v>
      </c>
      <c r="T295" s="100" t="str">
        <f t="shared" si="31"/>
        <v xml:space="preserve"> </v>
      </c>
      <c r="U295" s="100"/>
      <c r="V295" s="100" t="str">
        <f t="shared" si="30"/>
        <v xml:space="preserve"> </v>
      </c>
      <c r="W295" s="101">
        <f t="shared" si="32"/>
        <v>24</v>
      </c>
      <c r="X295" s="102">
        <f t="shared" si="33"/>
        <v>0</v>
      </c>
      <c r="Y295" s="100" t="str">
        <f t="shared" si="34"/>
        <v xml:space="preserve"> </v>
      </c>
      <c r="Z295" s="100" t="str">
        <f t="shared" si="35"/>
        <v xml:space="preserve"> </v>
      </c>
    </row>
    <row r="296" spans="1:26">
      <c r="A296" s="100"/>
      <c r="B296" s="108" t="str">
        <f>IFERROR(VLOOKUP(Tablo517[[#This Row],[ÜRÜN KODU]],YMKODLARI!$A$1:$K$363,2,0)," ")</f>
        <v xml:space="preserve"> </v>
      </c>
      <c r="C296" s="99"/>
      <c r="D296" s="100"/>
      <c r="E296" s="101"/>
      <c r="F296" s="101"/>
      <c r="G296" s="100" t="str">
        <f>IFERROR(VLOOKUP(Tablo517[[#This Row],[ÜRÜN KODU]],YMKODLARI!$A$1:$K$363,3,0)," ")</f>
        <v xml:space="preserve"> </v>
      </c>
      <c r="H296" s="100" t="str">
        <f>IFERROR(VLOOKUP(Tablo517[[#This Row],[ÜRÜN KODU]],YMKODLARI!$A$1:$K$363,4,0)," ")</f>
        <v xml:space="preserve"> </v>
      </c>
      <c r="I296" s="100"/>
      <c r="J296" s="100" t="str">
        <f>IFERROR(VLOOKUP(Tablo517[[#This Row],[ÜRÜN KODU]],YMKODLARI!$A$1:$K$363,9,0)," ")</f>
        <v xml:space="preserve"> </v>
      </c>
      <c r="K296" s="100" t="str">
        <f>IFERROR(VLOOKUP(Tablo517[[#This Row],[BOYA KODU]],Tablo14[#All],4,0)," ")</f>
        <v xml:space="preserve"> </v>
      </c>
      <c r="L296" s="100" t="str">
        <f>IFERROR(VLOOKUP(Tablo517[[#This Row],[BOYA KODU]],Tablo14[#All],6,0)," ")</f>
        <v xml:space="preserve"> </v>
      </c>
      <c r="M296" s="100" t="str">
        <f t="shared" si="29"/>
        <v xml:space="preserve"> </v>
      </c>
      <c r="N296" s="100" t="str">
        <f>IFERROR(VLOOKUP(Tablo517[[#This Row],[ÜRÜN KODU]],YMKODLARI!$A$1:$K$363,8,0)," ")</f>
        <v xml:space="preserve"> </v>
      </c>
      <c r="O296" s="100" t="str">
        <f>IFERROR(VLOOKUP(Tablo517[[#This Row],[HAMMADDE KODU]],Tablo1[#All],3,0)," ")</f>
        <v xml:space="preserve"> </v>
      </c>
      <c r="P296" s="100" t="str">
        <f>IFERROR(VLOOKUP(Tablo517[[#This Row],[HAMMADDE KODU]],Tablo1[#All],4,0)," ")</f>
        <v xml:space="preserve"> </v>
      </c>
      <c r="Q296" s="100" t="str">
        <f>IFERROR(VLOOKUP(Tablo517[[#This Row],[ÜRÜN KODU]],YMKODLARI!$A$1:$K$363,5,0)," ")</f>
        <v xml:space="preserve"> </v>
      </c>
      <c r="R296" s="100" t="str">
        <f>IFERROR(VLOOKUP(Tablo517[[#This Row],[ÜRÜN KODU]],YMKODLARI!$A$1:$K$363,6,0)," ")</f>
        <v xml:space="preserve"> </v>
      </c>
      <c r="S296" s="100" t="str">
        <f>IFERROR(Tablo517[[#This Row],[YOLLUK HARİÇ BASKI GRAMI]]/Tablo517[[#This Row],[KALIP GÖZ ADEDİ]]," ")</f>
        <v xml:space="preserve"> </v>
      </c>
      <c r="T296" s="100" t="str">
        <f t="shared" si="31"/>
        <v xml:space="preserve"> </v>
      </c>
      <c r="U296" s="100"/>
      <c r="V296" s="100" t="str">
        <f t="shared" si="30"/>
        <v xml:space="preserve"> </v>
      </c>
      <c r="W296" s="101">
        <f t="shared" si="32"/>
        <v>24</v>
      </c>
      <c r="X296" s="102">
        <f t="shared" si="33"/>
        <v>0</v>
      </c>
      <c r="Y296" s="100" t="str">
        <f t="shared" si="34"/>
        <v xml:space="preserve"> </v>
      </c>
      <c r="Z296" s="100" t="str">
        <f t="shared" si="35"/>
        <v xml:space="preserve"> </v>
      </c>
    </row>
    <row r="297" spans="1:26">
      <c r="A297" s="100"/>
      <c r="B297" s="108" t="str">
        <f>IFERROR(VLOOKUP(Tablo517[[#This Row],[ÜRÜN KODU]],YMKODLARI!$A$1:$K$363,2,0)," ")</f>
        <v xml:space="preserve"> </v>
      </c>
      <c r="C297" s="99"/>
      <c r="D297" s="100"/>
      <c r="E297" s="101"/>
      <c r="F297" s="101"/>
      <c r="G297" s="100" t="str">
        <f>IFERROR(VLOOKUP(Tablo517[[#This Row],[ÜRÜN KODU]],YMKODLARI!$A$1:$K$363,3,0)," ")</f>
        <v xml:space="preserve"> </v>
      </c>
      <c r="H297" s="100" t="str">
        <f>IFERROR(VLOOKUP(Tablo517[[#This Row],[ÜRÜN KODU]],YMKODLARI!$A$1:$K$363,4,0)," ")</f>
        <v xml:space="preserve"> </v>
      </c>
      <c r="I297" s="100"/>
      <c r="J297" s="100" t="str">
        <f>IFERROR(VLOOKUP(Tablo517[[#This Row],[ÜRÜN KODU]],YMKODLARI!$A$1:$K$363,9,0)," ")</f>
        <v xml:space="preserve"> </v>
      </c>
      <c r="K297" s="100" t="str">
        <f>IFERROR(VLOOKUP(Tablo517[[#This Row],[BOYA KODU]],Tablo14[#All],4,0)," ")</f>
        <v xml:space="preserve"> </v>
      </c>
      <c r="L297" s="100" t="str">
        <f>IFERROR(VLOOKUP(Tablo517[[#This Row],[BOYA KODU]],Tablo14[#All],6,0)," ")</f>
        <v xml:space="preserve"> </v>
      </c>
      <c r="M297" s="100" t="str">
        <f t="shared" si="29"/>
        <v xml:space="preserve"> </v>
      </c>
      <c r="N297" s="100" t="str">
        <f>IFERROR(VLOOKUP(Tablo517[[#This Row],[ÜRÜN KODU]],YMKODLARI!$A$1:$K$363,8,0)," ")</f>
        <v xml:space="preserve"> </v>
      </c>
      <c r="O297" s="100" t="str">
        <f>IFERROR(VLOOKUP(Tablo517[[#This Row],[HAMMADDE KODU]],Tablo1[#All],3,0)," ")</f>
        <v xml:space="preserve"> </v>
      </c>
      <c r="P297" s="100" t="str">
        <f>IFERROR(VLOOKUP(Tablo517[[#This Row],[HAMMADDE KODU]],Tablo1[#All],4,0)," ")</f>
        <v xml:space="preserve"> </v>
      </c>
      <c r="Q297" s="100" t="str">
        <f>IFERROR(VLOOKUP(Tablo517[[#This Row],[ÜRÜN KODU]],YMKODLARI!$A$1:$K$363,5,0)," ")</f>
        <v xml:space="preserve"> </v>
      </c>
      <c r="R297" s="100" t="str">
        <f>IFERROR(VLOOKUP(Tablo517[[#This Row],[ÜRÜN KODU]],YMKODLARI!$A$1:$K$363,6,0)," ")</f>
        <v xml:space="preserve"> </v>
      </c>
      <c r="S297" s="100" t="str">
        <f>IFERROR(Tablo517[[#This Row],[YOLLUK HARİÇ BASKI GRAMI]]/Tablo517[[#This Row],[KALIP GÖZ ADEDİ]]," ")</f>
        <v xml:space="preserve"> </v>
      </c>
      <c r="T297" s="100" t="str">
        <f t="shared" si="31"/>
        <v xml:space="preserve"> </v>
      </c>
      <c r="U297" s="100"/>
      <c r="V297" s="100" t="str">
        <f t="shared" si="30"/>
        <v xml:space="preserve"> </v>
      </c>
      <c r="W297" s="101">
        <f t="shared" si="32"/>
        <v>24</v>
      </c>
      <c r="X297" s="102">
        <f t="shared" si="33"/>
        <v>0</v>
      </c>
      <c r="Y297" s="100" t="str">
        <f t="shared" si="34"/>
        <v xml:space="preserve"> </v>
      </c>
      <c r="Z297" s="100" t="str">
        <f t="shared" si="35"/>
        <v xml:space="preserve"> </v>
      </c>
    </row>
    <row r="298" spans="1:26">
      <c r="A298" s="100"/>
      <c r="B298" s="108" t="str">
        <f>IFERROR(VLOOKUP(Tablo517[[#This Row],[ÜRÜN KODU]],YMKODLARI!$A$1:$K$363,2,0)," ")</f>
        <v xml:space="preserve"> </v>
      </c>
      <c r="C298" s="99"/>
      <c r="D298" s="100"/>
      <c r="E298" s="101"/>
      <c r="F298" s="101"/>
      <c r="G298" s="100" t="str">
        <f>IFERROR(VLOOKUP(Tablo517[[#This Row],[ÜRÜN KODU]],YMKODLARI!$A$1:$K$363,3,0)," ")</f>
        <v xml:space="preserve"> </v>
      </c>
      <c r="H298" s="100" t="str">
        <f>IFERROR(VLOOKUP(Tablo517[[#This Row],[ÜRÜN KODU]],YMKODLARI!$A$1:$K$363,4,0)," ")</f>
        <v xml:space="preserve"> </v>
      </c>
      <c r="I298" s="100"/>
      <c r="J298" s="100" t="str">
        <f>IFERROR(VLOOKUP(Tablo517[[#This Row],[ÜRÜN KODU]],YMKODLARI!$A$1:$K$363,9,0)," ")</f>
        <v xml:space="preserve"> </v>
      </c>
      <c r="K298" s="100" t="str">
        <f>IFERROR(VLOOKUP(Tablo517[[#This Row],[BOYA KODU]],Tablo14[#All],4,0)," ")</f>
        <v xml:space="preserve"> </v>
      </c>
      <c r="L298" s="100" t="str">
        <f>IFERROR(VLOOKUP(Tablo517[[#This Row],[BOYA KODU]],Tablo14[#All],6,0)," ")</f>
        <v xml:space="preserve"> </v>
      </c>
      <c r="M298" s="100" t="str">
        <f t="shared" si="29"/>
        <v xml:space="preserve"> </v>
      </c>
      <c r="N298" s="100" t="str">
        <f>IFERROR(VLOOKUP(Tablo517[[#This Row],[ÜRÜN KODU]],YMKODLARI!$A$1:$K$363,8,0)," ")</f>
        <v xml:space="preserve"> </v>
      </c>
      <c r="O298" s="100" t="str">
        <f>IFERROR(VLOOKUP(Tablo517[[#This Row],[HAMMADDE KODU]],Tablo1[#All],3,0)," ")</f>
        <v xml:space="preserve"> </v>
      </c>
      <c r="P298" s="100" t="str">
        <f>IFERROR(VLOOKUP(Tablo517[[#This Row],[HAMMADDE KODU]],Tablo1[#All],4,0)," ")</f>
        <v xml:space="preserve"> </v>
      </c>
      <c r="Q298" s="100" t="str">
        <f>IFERROR(VLOOKUP(Tablo517[[#This Row],[ÜRÜN KODU]],YMKODLARI!$A$1:$K$363,5,0)," ")</f>
        <v xml:space="preserve"> </v>
      </c>
      <c r="R298" s="100" t="str">
        <f>IFERROR(VLOOKUP(Tablo517[[#This Row],[ÜRÜN KODU]],YMKODLARI!$A$1:$K$363,6,0)," ")</f>
        <v xml:space="preserve"> </v>
      </c>
      <c r="S298" s="100" t="str">
        <f>IFERROR(Tablo517[[#This Row],[YOLLUK HARİÇ BASKI GRAMI]]/Tablo517[[#This Row],[KALIP GÖZ ADEDİ]]," ")</f>
        <v xml:space="preserve"> </v>
      </c>
      <c r="T298" s="100" t="str">
        <f t="shared" si="31"/>
        <v xml:space="preserve"> </v>
      </c>
      <c r="U298" s="100"/>
      <c r="V298" s="100" t="str">
        <f t="shared" si="30"/>
        <v xml:space="preserve"> </v>
      </c>
      <c r="W298" s="101">
        <f t="shared" si="32"/>
        <v>24</v>
      </c>
      <c r="X298" s="102">
        <f t="shared" si="33"/>
        <v>0</v>
      </c>
      <c r="Y298" s="100" t="str">
        <f t="shared" si="34"/>
        <v xml:space="preserve"> </v>
      </c>
      <c r="Z298" s="100" t="str">
        <f t="shared" si="35"/>
        <v xml:space="preserve"> </v>
      </c>
    </row>
    <row r="299" spans="1:26">
      <c r="A299" s="100"/>
      <c r="B299" s="108" t="str">
        <f>IFERROR(VLOOKUP(Tablo517[[#This Row],[ÜRÜN KODU]],YMKODLARI!$A$1:$K$363,2,0)," ")</f>
        <v xml:space="preserve"> </v>
      </c>
      <c r="C299" s="99"/>
      <c r="D299" s="100"/>
      <c r="E299" s="101"/>
      <c r="F299" s="101"/>
      <c r="G299" s="100" t="str">
        <f>IFERROR(VLOOKUP(Tablo517[[#This Row],[ÜRÜN KODU]],YMKODLARI!$A$1:$K$363,3,0)," ")</f>
        <v xml:space="preserve"> </v>
      </c>
      <c r="H299" s="100" t="str">
        <f>IFERROR(VLOOKUP(Tablo517[[#This Row],[ÜRÜN KODU]],YMKODLARI!$A$1:$K$363,4,0)," ")</f>
        <v xml:space="preserve"> </v>
      </c>
      <c r="I299" s="100"/>
      <c r="J299" s="100" t="str">
        <f>IFERROR(VLOOKUP(Tablo517[[#This Row],[ÜRÜN KODU]],YMKODLARI!$A$1:$K$363,9,0)," ")</f>
        <v xml:space="preserve"> </v>
      </c>
      <c r="K299" s="100" t="str">
        <f>IFERROR(VLOOKUP(Tablo517[[#This Row],[BOYA KODU]],Tablo14[#All],4,0)," ")</f>
        <v xml:space="preserve"> </v>
      </c>
      <c r="L299" s="100" t="str">
        <f>IFERROR(VLOOKUP(Tablo517[[#This Row],[BOYA KODU]],Tablo14[#All],6,0)," ")</f>
        <v xml:space="preserve"> </v>
      </c>
      <c r="M299" s="100" t="str">
        <f t="shared" si="29"/>
        <v xml:space="preserve"> </v>
      </c>
      <c r="N299" s="100" t="str">
        <f>IFERROR(VLOOKUP(Tablo517[[#This Row],[ÜRÜN KODU]],YMKODLARI!$A$1:$K$363,8,0)," ")</f>
        <v xml:space="preserve"> </v>
      </c>
      <c r="O299" s="100" t="str">
        <f>IFERROR(VLOOKUP(Tablo517[[#This Row],[HAMMADDE KODU]],Tablo1[#All],3,0)," ")</f>
        <v xml:space="preserve"> </v>
      </c>
      <c r="P299" s="100" t="str">
        <f>IFERROR(VLOOKUP(Tablo517[[#This Row],[HAMMADDE KODU]],Tablo1[#All],4,0)," ")</f>
        <v xml:space="preserve"> </v>
      </c>
      <c r="Q299" s="100" t="str">
        <f>IFERROR(VLOOKUP(Tablo517[[#This Row],[ÜRÜN KODU]],YMKODLARI!$A$1:$K$363,5,0)," ")</f>
        <v xml:space="preserve"> </v>
      </c>
      <c r="R299" s="100" t="str">
        <f>IFERROR(VLOOKUP(Tablo517[[#This Row],[ÜRÜN KODU]],YMKODLARI!$A$1:$K$363,6,0)," ")</f>
        <v xml:space="preserve"> </v>
      </c>
      <c r="S299" s="100" t="str">
        <f>IFERROR(Tablo517[[#This Row],[YOLLUK HARİÇ BASKI GRAMI]]/Tablo517[[#This Row],[KALIP GÖZ ADEDİ]]," ")</f>
        <v xml:space="preserve"> </v>
      </c>
      <c r="T299" s="100" t="str">
        <f t="shared" si="31"/>
        <v xml:space="preserve"> </v>
      </c>
      <c r="U299" s="100"/>
      <c r="V299" s="100" t="str">
        <f t="shared" si="30"/>
        <v xml:space="preserve"> </v>
      </c>
      <c r="W299" s="101">
        <f t="shared" si="32"/>
        <v>24</v>
      </c>
      <c r="X299" s="102">
        <f t="shared" si="33"/>
        <v>0</v>
      </c>
      <c r="Y299" s="100" t="str">
        <f t="shared" si="34"/>
        <v xml:space="preserve"> </v>
      </c>
      <c r="Z299" s="100" t="str">
        <f t="shared" si="35"/>
        <v xml:space="preserve"> </v>
      </c>
    </row>
    <row r="300" spans="1:26">
      <c r="A300" s="100"/>
      <c r="B300" s="108" t="str">
        <f>IFERROR(VLOOKUP(Tablo517[[#This Row],[ÜRÜN KODU]],YMKODLARI!$A$1:$K$363,2,0)," ")</f>
        <v xml:space="preserve"> </v>
      </c>
      <c r="C300" s="99"/>
      <c r="D300" s="100"/>
      <c r="E300" s="101"/>
      <c r="F300" s="101"/>
      <c r="G300" s="100" t="str">
        <f>IFERROR(VLOOKUP(Tablo517[[#This Row],[ÜRÜN KODU]],YMKODLARI!$A$1:$K$363,3,0)," ")</f>
        <v xml:space="preserve"> </v>
      </c>
      <c r="H300" s="100" t="str">
        <f>IFERROR(VLOOKUP(Tablo517[[#This Row],[ÜRÜN KODU]],YMKODLARI!$A$1:$K$363,4,0)," ")</f>
        <v xml:space="preserve"> </v>
      </c>
      <c r="I300" s="100"/>
      <c r="J300" s="100" t="str">
        <f>IFERROR(VLOOKUP(Tablo517[[#This Row],[ÜRÜN KODU]],YMKODLARI!$A$1:$K$363,9,0)," ")</f>
        <v xml:space="preserve"> </v>
      </c>
      <c r="K300" s="100" t="str">
        <f>IFERROR(VLOOKUP(Tablo517[[#This Row],[BOYA KODU]],Tablo14[#All],4,0)," ")</f>
        <v xml:space="preserve"> </v>
      </c>
      <c r="L300" s="100" t="str">
        <f>IFERROR(VLOOKUP(Tablo517[[#This Row],[BOYA KODU]],Tablo14[#All],6,0)," ")</f>
        <v xml:space="preserve"> </v>
      </c>
      <c r="M300" s="100" t="str">
        <f t="shared" si="29"/>
        <v xml:space="preserve"> </v>
      </c>
      <c r="N300" s="100" t="str">
        <f>IFERROR(VLOOKUP(Tablo517[[#This Row],[ÜRÜN KODU]],YMKODLARI!$A$1:$K$363,8,0)," ")</f>
        <v xml:space="preserve"> </v>
      </c>
      <c r="O300" s="100" t="str">
        <f>IFERROR(VLOOKUP(Tablo517[[#This Row],[HAMMADDE KODU]],Tablo1[#All],3,0)," ")</f>
        <v xml:space="preserve"> </v>
      </c>
      <c r="P300" s="100" t="str">
        <f>IFERROR(VLOOKUP(Tablo517[[#This Row],[HAMMADDE KODU]],Tablo1[#All],4,0)," ")</f>
        <v xml:space="preserve"> </v>
      </c>
      <c r="Q300" s="100" t="str">
        <f>IFERROR(VLOOKUP(Tablo517[[#This Row],[ÜRÜN KODU]],YMKODLARI!$A$1:$K$363,5,0)," ")</f>
        <v xml:space="preserve"> </v>
      </c>
      <c r="R300" s="100" t="str">
        <f>IFERROR(VLOOKUP(Tablo517[[#This Row],[ÜRÜN KODU]],YMKODLARI!$A$1:$K$363,6,0)," ")</f>
        <v xml:space="preserve"> </v>
      </c>
      <c r="S300" s="100" t="str">
        <f>IFERROR(Tablo517[[#This Row],[YOLLUK HARİÇ BASKI GRAMI]]/Tablo517[[#This Row],[KALIP GÖZ ADEDİ]]," ")</f>
        <v xml:space="preserve"> </v>
      </c>
      <c r="T300" s="100" t="str">
        <f t="shared" si="31"/>
        <v xml:space="preserve"> </v>
      </c>
      <c r="U300" s="100"/>
      <c r="V300" s="100" t="str">
        <f t="shared" si="30"/>
        <v xml:space="preserve"> </v>
      </c>
      <c r="W300" s="101">
        <f t="shared" si="32"/>
        <v>24</v>
      </c>
      <c r="X300" s="102">
        <f t="shared" si="33"/>
        <v>0</v>
      </c>
      <c r="Y300" s="100" t="str">
        <f t="shared" si="34"/>
        <v xml:space="preserve"> </v>
      </c>
      <c r="Z300" s="100" t="str">
        <f t="shared" si="35"/>
        <v xml:space="preserve"> </v>
      </c>
    </row>
    <row r="301" spans="1:26">
      <c r="A301" s="100"/>
      <c r="B301" s="108" t="str">
        <f>IFERROR(VLOOKUP(Tablo517[[#This Row],[ÜRÜN KODU]],YMKODLARI!$A$1:$K$363,2,0)," ")</f>
        <v xml:space="preserve"> </v>
      </c>
      <c r="C301" s="99"/>
      <c r="D301" s="100"/>
      <c r="E301" s="101"/>
      <c r="F301" s="101"/>
      <c r="G301" s="100" t="str">
        <f>IFERROR(VLOOKUP(Tablo517[[#This Row],[ÜRÜN KODU]],YMKODLARI!$A$1:$K$363,3,0)," ")</f>
        <v xml:space="preserve"> </v>
      </c>
      <c r="H301" s="100" t="str">
        <f>IFERROR(VLOOKUP(Tablo517[[#This Row],[ÜRÜN KODU]],YMKODLARI!$A$1:$K$363,4,0)," ")</f>
        <v xml:space="preserve"> </v>
      </c>
      <c r="I301" s="100"/>
      <c r="J301" s="100" t="str">
        <f>IFERROR(VLOOKUP(Tablo517[[#This Row],[ÜRÜN KODU]],YMKODLARI!$A$1:$K$363,9,0)," ")</f>
        <v xml:space="preserve"> </v>
      </c>
      <c r="K301" s="100" t="str">
        <f>IFERROR(VLOOKUP(Tablo517[[#This Row],[BOYA KODU]],Tablo14[#All],4,0)," ")</f>
        <v xml:space="preserve"> </v>
      </c>
      <c r="L301" s="100" t="str">
        <f>IFERROR(VLOOKUP(Tablo517[[#This Row],[BOYA KODU]],Tablo14[#All],6,0)," ")</f>
        <v xml:space="preserve"> </v>
      </c>
      <c r="M301" s="100" t="str">
        <f t="shared" si="29"/>
        <v xml:space="preserve"> </v>
      </c>
      <c r="N301" s="100" t="str">
        <f>IFERROR(VLOOKUP(Tablo517[[#This Row],[ÜRÜN KODU]],YMKODLARI!$A$1:$K$363,8,0)," ")</f>
        <v xml:space="preserve"> </v>
      </c>
      <c r="O301" s="100" t="str">
        <f>IFERROR(VLOOKUP(Tablo517[[#This Row],[HAMMADDE KODU]],Tablo1[#All],3,0)," ")</f>
        <v xml:space="preserve"> </v>
      </c>
      <c r="P301" s="100" t="str">
        <f>IFERROR(VLOOKUP(Tablo517[[#This Row],[HAMMADDE KODU]],Tablo1[#All],4,0)," ")</f>
        <v xml:space="preserve"> </v>
      </c>
      <c r="Q301" s="100" t="str">
        <f>IFERROR(VLOOKUP(Tablo517[[#This Row],[ÜRÜN KODU]],YMKODLARI!$A$1:$K$363,5,0)," ")</f>
        <v xml:space="preserve"> </v>
      </c>
      <c r="R301" s="100" t="str">
        <f>IFERROR(VLOOKUP(Tablo517[[#This Row],[ÜRÜN KODU]],YMKODLARI!$A$1:$K$363,6,0)," ")</f>
        <v xml:space="preserve"> </v>
      </c>
      <c r="S301" s="100" t="str">
        <f>IFERROR(Tablo517[[#This Row],[YOLLUK HARİÇ BASKI GRAMI]]/Tablo517[[#This Row],[KALIP GÖZ ADEDİ]]," ")</f>
        <v xml:space="preserve"> </v>
      </c>
      <c r="T301" s="100" t="str">
        <f t="shared" si="31"/>
        <v xml:space="preserve"> </v>
      </c>
      <c r="U301" s="100"/>
      <c r="V301" s="100" t="str">
        <f t="shared" si="30"/>
        <v xml:space="preserve"> </v>
      </c>
      <c r="W301" s="101">
        <f t="shared" si="32"/>
        <v>24</v>
      </c>
      <c r="X301" s="102">
        <f t="shared" si="33"/>
        <v>0</v>
      </c>
      <c r="Y301" s="100" t="str">
        <f t="shared" si="34"/>
        <v xml:space="preserve"> </v>
      </c>
      <c r="Z301" s="100" t="str">
        <f t="shared" si="35"/>
        <v xml:space="preserve"> </v>
      </c>
    </row>
    <row r="302" spans="1:26">
      <c r="A302" s="100"/>
      <c r="B302" s="108" t="str">
        <f>IFERROR(VLOOKUP(Tablo517[[#This Row],[ÜRÜN KODU]],YMKODLARI!$A$1:$K$363,2,0)," ")</f>
        <v xml:space="preserve"> </v>
      </c>
      <c r="C302" s="99"/>
      <c r="D302" s="100"/>
      <c r="E302" s="101"/>
      <c r="F302" s="101"/>
      <c r="G302" s="100" t="str">
        <f>IFERROR(VLOOKUP(Tablo517[[#This Row],[ÜRÜN KODU]],YMKODLARI!$A$1:$K$363,3,0)," ")</f>
        <v xml:space="preserve"> </v>
      </c>
      <c r="H302" s="100" t="str">
        <f>IFERROR(VLOOKUP(Tablo517[[#This Row],[ÜRÜN KODU]],YMKODLARI!$A$1:$K$363,4,0)," ")</f>
        <v xml:space="preserve"> </v>
      </c>
      <c r="I302" s="100"/>
      <c r="J302" s="100" t="str">
        <f>IFERROR(VLOOKUP(Tablo517[[#This Row],[ÜRÜN KODU]],YMKODLARI!$A$1:$K$363,9,0)," ")</f>
        <v xml:space="preserve"> </v>
      </c>
      <c r="K302" s="100" t="str">
        <f>IFERROR(VLOOKUP(Tablo517[[#This Row],[BOYA KODU]],Tablo14[#All],4,0)," ")</f>
        <v xml:space="preserve"> </v>
      </c>
      <c r="L302" s="100" t="str">
        <f>IFERROR(VLOOKUP(Tablo517[[#This Row],[BOYA KODU]],Tablo14[#All],6,0)," ")</f>
        <v xml:space="preserve"> </v>
      </c>
      <c r="M302" s="100" t="str">
        <f t="shared" si="29"/>
        <v xml:space="preserve"> </v>
      </c>
      <c r="N302" s="100" t="str">
        <f>IFERROR(VLOOKUP(Tablo517[[#This Row],[ÜRÜN KODU]],YMKODLARI!$A$1:$K$363,8,0)," ")</f>
        <v xml:space="preserve"> </v>
      </c>
      <c r="O302" s="100" t="str">
        <f>IFERROR(VLOOKUP(Tablo517[[#This Row],[HAMMADDE KODU]],Tablo1[#All],3,0)," ")</f>
        <v xml:space="preserve"> </v>
      </c>
      <c r="P302" s="100" t="str">
        <f>IFERROR(VLOOKUP(Tablo517[[#This Row],[HAMMADDE KODU]],Tablo1[#All],4,0)," ")</f>
        <v xml:space="preserve"> </v>
      </c>
      <c r="Q302" s="100" t="str">
        <f>IFERROR(VLOOKUP(Tablo517[[#This Row],[ÜRÜN KODU]],YMKODLARI!$A$1:$K$363,5,0)," ")</f>
        <v xml:space="preserve"> </v>
      </c>
      <c r="R302" s="100" t="str">
        <f>IFERROR(VLOOKUP(Tablo517[[#This Row],[ÜRÜN KODU]],YMKODLARI!$A$1:$K$363,6,0)," ")</f>
        <v xml:space="preserve"> </v>
      </c>
      <c r="S302" s="100" t="str">
        <f>IFERROR(Tablo517[[#This Row],[YOLLUK HARİÇ BASKI GRAMI]]/Tablo517[[#This Row],[KALIP GÖZ ADEDİ]]," ")</f>
        <v xml:space="preserve"> </v>
      </c>
      <c r="T302" s="100" t="str">
        <f t="shared" si="31"/>
        <v xml:space="preserve"> </v>
      </c>
      <c r="U302" s="100"/>
      <c r="V302" s="100" t="str">
        <f t="shared" si="30"/>
        <v xml:space="preserve"> </v>
      </c>
      <c r="W302" s="101">
        <f t="shared" si="32"/>
        <v>24</v>
      </c>
      <c r="X302" s="102">
        <f t="shared" si="33"/>
        <v>0</v>
      </c>
      <c r="Y302" s="100" t="str">
        <f t="shared" si="34"/>
        <v xml:space="preserve"> </v>
      </c>
      <c r="Z302" s="100" t="str">
        <f t="shared" si="35"/>
        <v xml:space="preserve"> </v>
      </c>
    </row>
    <row r="303" spans="1:26">
      <c r="A303" s="100"/>
      <c r="B303" s="108" t="str">
        <f>IFERROR(VLOOKUP(Tablo517[[#This Row],[ÜRÜN KODU]],YMKODLARI!$A$1:$K$363,2,0)," ")</f>
        <v xml:space="preserve"> </v>
      </c>
      <c r="C303" s="99"/>
      <c r="D303" s="100"/>
      <c r="E303" s="101"/>
      <c r="F303" s="101"/>
      <c r="G303" s="100" t="str">
        <f>IFERROR(VLOOKUP(Tablo517[[#This Row],[ÜRÜN KODU]],YMKODLARI!$A$1:$K$363,3,0)," ")</f>
        <v xml:space="preserve"> </v>
      </c>
      <c r="H303" s="100" t="str">
        <f>IFERROR(VLOOKUP(Tablo517[[#This Row],[ÜRÜN KODU]],YMKODLARI!$A$1:$K$363,4,0)," ")</f>
        <v xml:space="preserve"> </v>
      </c>
      <c r="I303" s="100"/>
      <c r="J303" s="100" t="str">
        <f>IFERROR(VLOOKUP(Tablo517[[#This Row],[ÜRÜN KODU]],YMKODLARI!$A$1:$K$363,9,0)," ")</f>
        <v xml:space="preserve"> </v>
      </c>
      <c r="K303" s="100" t="str">
        <f>IFERROR(VLOOKUP(Tablo517[[#This Row],[BOYA KODU]],Tablo14[#All],4,0)," ")</f>
        <v xml:space="preserve"> </v>
      </c>
      <c r="L303" s="100" t="str">
        <f>IFERROR(VLOOKUP(Tablo517[[#This Row],[BOYA KODU]],Tablo14[#All],6,0)," ")</f>
        <v xml:space="preserve"> </v>
      </c>
      <c r="M303" s="100" t="str">
        <f t="shared" si="29"/>
        <v xml:space="preserve"> </v>
      </c>
      <c r="N303" s="100" t="str">
        <f>IFERROR(VLOOKUP(Tablo517[[#This Row],[ÜRÜN KODU]],YMKODLARI!$A$1:$K$363,8,0)," ")</f>
        <v xml:space="preserve"> </v>
      </c>
      <c r="O303" s="100" t="str">
        <f>IFERROR(VLOOKUP(Tablo517[[#This Row],[HAMMADDE KODU]],Tablo1[#All],3,0)," ")</f>
        <v xml:space="preserve"> </v>
      </c>
      <c r="P303" s="100" t="str">
        <f>IFERROR(VLOOKUP(Tablo517[[#This Row],[HAMMADDE KODU]],Tablo1[#All],4,0)," ")</f>
        <v xml:space="preserve"> </v>
      </c>
      <c r="Q303" s="100" t="str">
        <f>IFERROR(VLOOKUP(Tablo517[[#This Row],[ÜRÜN KODU]],YMKODLARI!$A$1:$K$363,5,0)," ")</f>
        <v xml:space="preserve"> </v>
      </c>
      <c r="R303" s="100" t="str">
        <f>IFERROR(VLOOKUP(Tablo517[[#This Row],[ÜRÜN KODU]],YMKODLARI!$A$1:$K$363,6,0)," ")</f>
        <v xml:space="preserve"> </v>
      </c>
      <c r="S303" s="100" t="str">
        <f>IFERROR(Tablo517[[#This Row],[YOLLUK HARİÇ BASKI GRAMI]]/Tablo517[[#This Row],[KALIP GÖZ ADEDİ]]," ")</f>
        <v xml:space="preserve"> </v>
      </c>
      <c r="T303" s="100" t="str">
        <f t="shared" si="31"/>
        <v xml:space="preserve"> </v>
      </c>
      <c r="U303" s="100"/>
      <c r="V303" s="100" t="str">
        <f t="shared" si="30"/>
        <v xml:space="preserve"> </v>
      </c>
      <c r="W303" s="101">
        <f t="shared" si="32"/>
        <v>24</v>
      </c>
      <c r="X303" s="102">
        <f t="shared" si="33"/>
        <v>0</v>
      </c>
      <c r="Y303" s="100" t="str">
        <f t="shared" si="34"/>
        <v xml:space="preserve"> </v>
      </c>
      <c r="Z303" s="100" t="str">
        <f t="shared" si="35"/>
        <v xml:space="preserve"> </v>
      </c>
    </row>
    <row r="304" spans="1:26">
      <c r="A304" s="100"/>
      <c r="B304" s="108" t="str">
        <f>IFERROR(VLOOKUP(Tablo517[[#This Row],[ÜRÜN KODU]],YMKODLARI!$A$1:$K$363,2,0)," ")</f>
        <v xml:space="preserve"> </v>
      </c>
      <c r="C304" s="99"/>
      <c r="D304" s="100"/>
      <c r="E304" s="101"/>
      <c r="F304" s="101"/>
      <c r="G304" s="100" t="str">
        <f>IFERROR(VLOOKUP(Tablo517[[#This Row],[ÜRÜN KODU]],YMKODLARI!$A$1:$K$363,3,0)," ")</f>
        <v xml:space="preserve"> </v>
      </c>
      <c r="H304" s="100" t="str">
        <f>IFERROR(VLOOKUP(Tablo517[[#This Row],[ÜRÜN KODU]],YMKODLARI!$A$1:$K$363,4,0)," ")</f>
        <v xml:space="preserve"> </v>
      </c>
      <c r="I304" s="100"/>
      <c r="J304" s="100" t="str">
        <f>IFERROR(VLOOKUP(Tablo517[[#This Row],[ÜRÜN KODU]],YMKODLARI!$A$1:$K$363,9,0)," ")</f>
        <v xml:space="preserve"> </v>
      </c>
      <c r="K304" s="100" t="str">
        <f>IFERROR(VLOOKUP(Tablo517[[#This Row],[BOYA KODU]],Tablo14[#All],4,0)," ")</f>
        <v xml:space="preserve"> </v>
      </c>
      <c r="L304" s="100" t="str">
        <f>IFERROR(VLOOKUP(Tablo517[[#This Row],[BOYA KODU]],Tablo14[#All],6,0)," ")</f>
        <v xml:space="preserve"> </v>
      </c>
      <c r="M304" s="100" t="str">
        <f t="shared" si="29"/>
        <v xml:space="preserve"> </v>
      </c>
      <c r="N304" s="100" t="str">
        <f>IFERROR(VLOOKUP(Tablo517[[#This Row],[ÜRÜN KODU]],YMKODLARI!$A$1:$K$363,8,0)," ")</f>
        <v xml:space="preserve"> </v>
      </c>
      <c r="O304" s="100" t="str">
        <f>IFERROR(VLOOKUP(Tablo517[[#This Row],[HAMMADDE KODU]],Tablo1[#All],3,0)," ")</f>
        <v xml:space="preserve"> </v>
      </c>
      <c r="P304" s="100" t="str">
        <f>IFERROR(VLOOKUP(Tablo517[[#This Row],[HAMMADDE KODU]],Tablo1[#All],4,0)," ")</f>
        <v xml:space="preserve"> </v>
      </c>
      <c r="Q304" s="100" t="str">
        <f>IFERROR(VLOOKUP(Tablo517[[#This Row],[ÜRÜN KODU]],YMKODLARI!$A$1:$K$363,5,0)," ")</f>
        <v xml:space="preserve"> </v>
      </c>
      <c r="R304" s="100" t="str">
        <f>IFERROR(VLOOKUP(Tablo517[[#This Row],[ÜRÜN KODU]],YMKODLARI!$A$1:$K$363,6,0)," ")</f>
        <v xml:space="preserve"> </v>
      </c>
      <c r="S304" s="100" t="str">
        <f>IFERROR(Tablo517[[#This Row],[YOLLUK HARİÇ BASKI GRAMI]]/Tablo517[[#This Row],[KALIP GÖZ ADEDİ]]," ")</f>
        <v xml:space="preserve"> </v>
      </c>
      <c r="T304" s="100" t="str">
        <f t="shared" si="31"/>
        <v xml:space="preserve"> </v>
      </c>
      <c r="U304" s="100"/>
      <c r="V304" s="100" t="str">
        <f t="shared" si="30"/>
        <v xml:space="preserve"> </v>
      </c>
      <c r="W304" s="101">
        <f t="shared" si="32"/>
        <v>24</v>
      </c>
      <c r="X304" s="102">
        <f t="shared" si="33"/>
        <v>0</v>
      </c>
      <c r="Y304" s="100" t="str">
        <f t="shared" si="34"/>
        <v xml:space="preserve"> </v>
      </c>
      <c r="Z304" s="100" t="str">
        <f t="shared" si="35"/>
        <v xml:space="preserve"> </v>
      </c>
    </row>
    <row r="305" spans="1:26">
      <c r="A305" s="100"/>
      <c r="B305" s="108" t="str">
        <f>IFERROR(VLOOKUP(Tablo517[[#This Row],[ÜRÜN KODU]],YMKODLARI!$A$1:$K$363,2,0)," ")</f>
        <v xml:space="preserve"> </v>
      </c>
      <c r="C305" s="99"/>
      <c r="D305" s="100"/>
      <c r="E305" s="101"/>
      <c r="F305" s="101"/>
      <c r="G305" s="100" t="str">
        <f>IFERROR(VLOOKUP(Tablo517[[#This Row],[ÜRÜN KODU]],YMKODLARI!$A$1:$K$363,3,0)," ")</f>
        <v xml:space="preserve"> </v>
      </c>
      <c r="H305" s="100" t="str">
        <f>IFERROR(VLOOKUP(Tablo517[[#This Row],[ÜRÜN KODU]],YMKODLARI!$A$1:$K$363,4,0)," ")</f>
        <v xml:space="preserve"> </v>
      </c>
      <c r="I305" s="100"/>
      <c r="J305" s="100" t="str">
        <f>IFERROR(VLOOKUP(Tablo517[[#This Row],[ÜRÜN KODU]],YMKODLARI!$A$1:$K$363,9,0)," ")</f>
        <v xml:space="preserve"> </v>
      </c>
      <c r="K305" s="100" t="str">
        <f>IFERROR(VLOOKUP(Tablo517[[#This Row],[BOYA KODU]],Tablo14[#All],4,0)," ")</f>
        <v xml:space="preserve"> </v>
      </c>
      <c r="L305" s="100" t="str">
        <f>IFERROR(VLOOKUP(Tablo517[[#This Row],[BOYA KODU]],Tablo14[#All],6,0)," ")</f>
        <v xml:space="preserve"> </v>
      </c>
      <c r="M305" s="100" t="str">
        <f t="shared" si="29"/>
        <v xml:space="preserve"> </v>
      </c>
      <c r="N305" s="100" t="str">
        <f>IFERROR(VLOOKUP(Tablo517[[#This Row],[ÜRÜN KODU]],YMKODLARI!$A$1:$K$363,8,0)," ")</f>
        <v xml:space="preserve"> </v>
      </c>
      <c r="O305" s="100" t="str">
        <f>IFERROR(VLOOKUP(Tablo517[[#This Row],[HAMMADDE KODU]],Tablo1[#All],3,0)," ")</f>
        <v xml:space="preserve"> </v>
      </c>
      <c r="P305" s="100" t="str">
        <f>IFERROR(VLOOKUP(Tablo517[[#This Row],[HAMMADDE KODU]],Tablo1[#All],4,0)," ")</f>
        <v xml:space="preserve"> </v>
      </c>
      <c r="Q305" s="100" t="str">
        <f>IFERROR(VLOOKUP(Tablo517[[#This Row],[ÜRÜN KODU]],YMKODLARI!$A$1:$K$363,5,0)," ")</f>
        <v xml:space="preserve"> </v>
      </c>
      <c r="R305" s="100" t="str">
        <f>IFERROR(VLOOKUP(Tablo517[[#This Row],[ÜRÜN KODU]],YMKODLARI!$A$1:$K$363,6,0)," ")</f>
        <v xml:space="preserve"> </v>
      </c>
      <c r="S305" s="100" t="str">
        <f>IFERROR(Tablo517[[#This Row],[YOLLUK HARİÇ BASKI GRAMI]]/Tablo517[[#This Row],[KALIP GÖZ ADEDİ]]," ")</f>
        <v xml:space="preserve"> </v>
      </c>
      <c r="T305" s="100" t="str">
        <f t="shared" si="31"/>
        <v xml:space="preserve"> </v>
      </c>
      <c r="U305" s="100"/>
      <c r="V305" s="100" t="str">
        <f t="shared" si="30"/>
        <v xml:space="preserve"> </v>
      </c>
      <c r="W305" s="101">
        <f t="shared" si="32"/>
        <v>24</v>
      </c>
      <c r="X305" s="102">
        <f t="shared" si="33"/>
        <v>0</v>
      </c>
      <c r="Y305" s="100" t="str">
        <f t="shared" si="34"/>
        <v xml:space="preserve"> </v>
      </c>
      <c r="Z305" s="100" t="str">
        <f t="shared" si="35"/>
        <v xml:space="preserve"> </v>
      </c>
    </row>
    <row r="306" spans="1:26">
      <c r="A306" s="100"/>
      <c r="B306" s="108" t="str">
        <f>IFERROR(VLOOKUP(Tablo517[[#This Row],[ÜRÜN KODU]],YMKODLARI!$A$1:$K$363,2,0)," ")</f>
        <v xml:space="preserve"> </v>
      </c>
      <c r="C306" s="99"/>
      <c r="D306" s="100"/>
      <c r="E306" s="101"/>
      <c r="F306" s="101"/>
      <c r="G306" s="100" t="str">
        <f>IFERROR(VLOOKUP(Tablo517[[#This Row],[ÜRÜN KODU]],YMKODLARI!$A$1:$K$363,3,0)," ")</f>
        <v xml:space="preserve"> </v>
      </c>
      <c r="H306" s="100" t="str">
        <f>IFERROR(VLOOKUP(Tablo517[[#This Row],[ÜRÜN KODU]],YMKODLARI!$A$1:$K$363,4,0)," ")</f>
        <v xml:space="preserve"> </v>
      </c>
      <c r="I306" s="100"/>
      <c r="J306" s="100" t="str">
        <f>IFERROR(VLOOKUP(Tablo517[[#This Row],[ÜRÜN KODU]],YMKODLARI!$A$1:$K$363,9,0)," ")</f>
        <v xml:space="preserve"> </v>
      </c>
      <c r="K306" s="100" t="str">
        <f>IFERROR(VLOOKUP(Tablo517[[#This Row],[BOYA KODU]],Tablo14[#All],4,0)," ")</f>
        <v xml:space="preserve"> </v>
      </c>
      <c r="L306" s="100" t="str">
        <f>IFERROR(VLOOKUP(Tablo517[[#This Row],[BOYA KODU]],Tablo14[#All],6,0)," ")</f>
        <v xml:space="preserve"> </v>
      </c>
      <c r="M306" s="100" t="str">
        <f t="shared" si="29"/>
        <v xml:space="preserve"> </v>
      </c>
      <c r="N306" s="100" t="str">
        <f>IFERROR(VLOOKUP(Tablo517[[#This Row],[ÜRÜN KODU]],YMKODLARI!$A$1:$K$363,8,0)," ")</f>
        <v xml:space="preserve"> </v>
      </c>
      <c r="O306" s="100" t="str">
        <f>IFERROR(VLOOKUP(Tablo517[[#This Row],[HAMMADDE KODU]],Tablo1[#All],3,0)," ")</f>
        <v xml:space="preserve"> </v>
      </c>
      <c r="P306" s="100" t="str">
        <f>IFERROR(VLOOKUP(Tablo517[[#This Row],[HAMMADDE KODU]],Tablo1[#All],4,0)," ")</f>
        <v xml:space="preserve"> </v>
      </c>
      <c r="Q306" s="100" t="str">
        <f>IFERROR(VLOOKUP(Tablo517[[#This Row],[ÜRÜN KODU]],YMKODLARI!$A$1:$K$363,5,0)," ")</f>
        <v xml:space="preserve"> </v>
      </c>
      <c r="R306" s="100" t="str">
        <f>IFERROR(VLOOKUP(Tablo517[[#This Row],[ÜRÜN KODU]],YMKODLARI!$A$1:$K$363,6,0)," ")</f>
        <v xml:space="preserve"> </v>
      </c>
      <c r="S306" s="100" t="str">
        <f>IFERROR(Tablo517[[#This Row],[YOLLUK HARİÇ BASKI GRAMI]]/Tablo517[[#This Row],[KALIP GÖZ ADEDİ]]," ")</f>
        <v xml:space="preserve"> </v>
      </c>
      <c r="T306" s="100" t="str">
        <f t="shared" si="31"/>
        <v xml:space="preserve"> </v>
      </c>
      <c r="U306" s="100"/>
      <c r="V306" s="100" t="str">
        <f t="shared" si="30"/>
        <v xml:space="preserve"> </v>
      </c>
      <c r="W306" s="101">
        <f t="shared" si="32"/>
        <v>24</v>
      </c>
      <c r="X306" s="102">
        <f t="shared" si="33"/>
        <v>0</v>
      </c>
      <c r="Y306" s="100" t="str">
        <f t="shared" si="34"/>
        <v xml:space="preserve"> </v>
      </c>
      <c r="Z306" s="100" t="str">
        <f t="shared" si="35"/>
        <v xml:space="preserve"> </v>
      </c>
    </row>
    <row r="307" spans="1:26">
      <c r="A307" s="100"/>
      <c r="B307" s="108" t="str">
        <f>IFERROR(VLOOKUP(Tablo517[[#This Row],[ÜRÜN KODU]],YMKODLARI!$A$1:$K$363,2,0)," ")</f>
        <v xml:space="preserve"> </v>
      </c>
      <c r="C307" s="99"/>
      <c r="D307" s="100"/>
      <c r="E307" s="101"/>
      <c r="F307" s="101"/>
      <c r="G307" s="100" t="str">
        <f>IFERROR(VLOOKUP(Tablo517[[#This Row],[ÜRÜN KODU]],YMKODLARI!$A$1:$K$363,3,0)," ")</f>
        <v xml:space="preserve"> </v>
      </c>
      <c r="H307" s="100" t="str">
        <f>IFERROR(VLOOKUP(Tablo517[[#This Row],[ÜRÜN KODU]],YMKODLARI!$A$1:$K$363,4,0)," ")</f>
        <v xml:space="preserve"> </v>
      </c>
      <c r="I307" s="100"/>
      <c r="J307" s="100" t="str">
        <f>IFERROR(VLOOKUP(Tablo517[[#This Row],[ÜRÜN KODU]],YMKODLARI!$A$1:$K$363,9,0)," ")</f>
        <v xml:space="preserve"> </v>
      </c>
      <c r="K307" s="100" t="str">
        <f>IFERROR(VLOOKUP(Tablo517[[#This Row],[BOYA KODU]],Tablo14[#All],4,0)," ")</f>
        <v xml:space="preserve"> </v>
      </c>
      <c r="L307" s="100" t="str">
        <f>IFERROR(VLOOKUP(Tablo517[[#This Row],[BOYA KODU]],Tablo14[#All],6,0)," ")</f>
        <v xml:space="preserve"> </v>
      </c>
      <c r="M307" s="100" t="str">
        <f t="shared" si="29"/>
        <v xml:space="preserve"> </v>
      </c>
      <c r="N307" s="100" t="str">
        <f>IFERROR(VLOOKUP(Tablo517[[#This Row],[ÜRÜN KODU]],YMKODLARI!$A$1:$K$363,8,0)," ")</f>
        <v xml:space="preserve"> </v>
      </c>
      <c r="O307" s="100" t="str">
        <f>IFERROR(VLOOKUP(Tablo517[[#This Row],[HAMMADDE KODU]],Tablo1[#All],3,0)," ")</f>
        <v xml:space="preserve"> </v>
      </c>
      <c r="P307" s="100" t="str">
        <f>IFERROR(VLOOKUP(Tablo517[[#This Row],[HAMMADDE KODU]],Tablo1[#All],4,0)," ")</f>
        <v xml:space="preserve"> </v>
      </c>
      <c r="Q307" s="100" t="str">
        <f>IFERROR(VLOOKUP(Tablo517[[#This Row],[ÜRÜN KODU]],YMKODLARI!$A$1:$K$363,5,0)," ")</f>
        <v xml:space="preserve"> </v>
      </c>
      <c r="R307" s="100" t="str">
        <f>IFERROR(VLOOKUP(Tablo517[[#This Row],[ÜRÜN KODU]],YMKODLARI!$A$1:$K$363,6,0)," ")</f>
        <v xml:space="preserve"> </v>
      </c>
      <c r="S307" s="100" t="str">
        <f>IFERROR(Tablo517[[#This Row],[YOLLUK HARİÇ BASKI GRAMI]]/Tablo517[[#This Row],[KALIP GÖZ ADEDİ]]," ")</f>
        <v xml:space="preserve"> </v>
      </c>
      <c r="T307" s="100" t="str">
        <f t="shared" si="31"/>
        <v xml:space="preserve"> </v>
      </c>
      <c r="U307" s="100"/>
      <c r="V307" s="100" t="str">
        <f t="shared" si="30"/>
        <v xml:space="preserve"> </v>
      </c>
      <c r="W307" s="101">
        <f t="shared" si="32"/>
        <v>24</v>
      </c>
      <c r="X307" s="102">
        <f t="shared" si="33"/>
        <v>0</v>
      </c>
      <c r="Y307" s="100" t="str">
        <f t="shared" si="34"/>
        <v xml:space="preserve"> </v>
      </c>
      <c r="Z307" s="100" t="str">
        <f t="shared" si="35"/>
        <v xml:space="preserve"> </v>
      </c>
    </row>
    <row r="308" spans="1:26">
      <c r="A308" s="100"/>
      <c r="B308" s="108" t="str">
        <f>IFERROR(VLOOKUP(Tablo517[[#This Row],[ÜRÜN KODU]],YMKODLARI!$A$1:$K$363,2,0)," ")</f>
        <v xml:space="preserve"> </v>
      </c>
      <c r="C308" s="99"/>
      <c r="D308" s="100"/>
      <c r="E308" s="101"/>
      <c r="F308" s="101"/>
      <c r="G308" s="100" t="str">
        <f>IFERROR(VLOOKUP(Tablo517[[#This Row],[ÜRÜN KODU]],YMKODLARI!$A$1:$K$363,3,0)," ")</f>
        <v xml:space="preserve"> </v>
      </c>
      <c r="H308" s="100" t="str">
        <f>IFERROR(VLOOKUP(Tablo517[[#This Row],[ÜRÜN KODU]],YMKODLARI!$A$1:$K$363,4,0)," ")</f>
        <v xml:space="preserve"> </v>
      </c>
      <c r="I308" s="100"/>
      <c r="J308" s="100" t="str">
        <f>IFERROR(VLOOKUP(Tablo517[[#This Row],[ÜRÜN KODU]],YMKODLARI!$A$1:$K$363,9,0)," ")</f>
        <v xml:space="preserve"> </v>
      </c>
      <c r="K308" s="100" t="str">
        <f>IFERROR(VLOOKUP(Tablo517[[#This Row],[BOYA KODU]],Tablo14[#All],4,0)," ")</f>
        <v xml:space="preserve"> </v>
      </c>
      <c r="L308" s="100" t="str">
        <f>IFERROR(VLOOKUP(Tablo517[[#This Row],[BOYA KODU]],Tablo14[#All],6,0)," ")</f>
        <v xml:space="preserve"> </v>
      </c>
      <c r="M308" s="100" t="str">
        <f t="shared" si="29"/>
        <v xml:space="preserve"> </v>
      </c>
      <c r="N308" s="100" t="str">
        <f>IFERROR(VLOOKUP(Tablo517[[#This Row],[ÜRÜN KODU]],YMKODLARI!$A$1:$K$363,8,0)," ")</f>
        <v xml:space="preserve"> </v>
      </c>
      <c r="O308" s="100" t="str">
        <f>IFERROR(VLOOKUP(Tablo517[[#This Row],[HAMMADDE KODU]],Tablo1[#All],3,0)," ")</f>
        <v xml:space="preserve"> </v>
      </c>
      <c r="P308" s="100" t="str">
        <f>IFERROR(VLOOKUP(Tablo517[[#This Row],[HAMMADDE KODU]],Tablo1[#All],4,0)," ")</f>
        <v xml:space="preserve"> </v>
      </c>
      <c r="Q308" s="100" t="str">
        <f>IFERROR(VLOOKUP(Tablo517[[#This Row],[ÜRÜN KODU]],YMKODLARI!$A$1:$K$363,5,0)," ")</f>
        <v xml:space="preserve"> </v>
      </c>
      <c r="R308" s="100" t="str">
        <f>IFERROR(VLOOKUP(Tablo517[[#This Row],[ÜRÜN KODU]],YMKODLARI!$A$1:$K$363,6,0)," ")</f>
        <v xml:space="preserve"> </v>
      </c>
      <c r="S308" s="100" t="str">
        <f>IFERROR(Tablo517[[#This Row],[YOLLUK HARİÇ BASKI GRAMI]]/Tablo517[[#This Row],[KALIP GÖZ ADEDİ]]," ")</f>
        <v xml:space="preserve"> </v>
      </c>
      <c r="T308" s="100" t="str">
        <f t="shared" si="31"/>
        <v xml:space="preserve"> </v>
      </c>
      <c r="U308" s="100"/>
      <c r="V308" s="100" t="str">
        <f t="shared" si="30"/>
        <v xml:space="preserve"> </v>
      </c>
      <c r="W308" s="101">
        <f t="shared" si="32"/>
        <v>24</v>
      </c>
      <c r="X308" s="102">
        <f t="shared" si="33"/>
        <v>0</v>
      </c>
      <c r="Y308" s="100" t="str">
        <f t="shared" si="34"/>
        <v xml:space="preserve"> </v>
      </c>
      <c r="Z308" s="100" t="str">
        <f t="shared" si="35"/>
        <v xml:space="preserve"> </v>
      </c>
    </row>
    <row r="309" spans="1:26">
      <c r="A309" s="100"/>
      <c r="B309" s="108" t="str">
        <f>IFERROR(VLOOKUP(Tablo517[[#This Row],[ÜRÜN KODU]],YMKODLARI!$A$1:$K$363,2,0)," ")</f>
        <v xml:space="preserve"> </v>
      </c>
      <c r="C309" s="99"/>
      <c r="D309" s="100"/>
      <c r="E309" s="101"/>
      <c r="F309" s="101"/>
      <c r="G309" s="100" t="str">
        <f>IFERROR(VLOOKUP(Tablo517[[#This Row],[ÜRÜN KODU]],YMKODLARI!$A$1:$K$363,3,0)," ")</f>
        <v xml:space="preserve"> </v>
      </c>
      <c r="H309" s="100" t="str">
        <f>IFERROR(VLOOKUP(Tablo517[[#This Row],[ÜRÜN KODU]],YMKODLARI!$A$1:$K$363,4,0)," ")</f>
        <v xml:space="preserve"> </v>
      </c>
      <c r="I309" s="100"/>
      <c r="J309" s="100" t="str">
        <f>IFERROR(VLOOKUP(Tablo517[[#This Row],[ÜRÜN KODU]],YMKODLARI!$A$1:$K$363,9,0)," ")</f>
        <v xml:space="preserve"> </v>
      </c>
      <c r="K309" s="100" t="str">
        <f>IFERROR(VLOOKUP(Tablo517[[#This Row],[BOYA KODU]],Tablo14[#All],4,0)," ")</f>
        <v xml:space="preserve"> </v>
      </c>
      <c r="L309" s="100" t="str">
        <f>IFERROR(VLOOKUP(Tablo517[[#This Row],[BOYA KODU]],Tablo14[#All],6,0)," ")</f>
        <v xml:space="preserve"> </v>
      </c>
      <c r="M309" s="100" t="str">
        <f t="shared" si="29"/>
        <v xml:space="preserve"> </v>
      </c>
      <c r="N309" s="100" t="str">
        <f>IFERROR(VLOOKUP(Tablo517[[#This Row],[ÜRÜN KODU]],YMKODLARI!$A$1:$K$363,8,0)," ")</f>
        <v xml:space="preserve"> </v>
      </c>
      <c r="O309" s="100" t="str">
        <f>IFERROR(VLOOKUP(Tablo517[[#This Row],[HAMMADDE KODU]],Tablo1[#All],3,0)," ")</f>
        <v xml:space="preserve"> </v>
      </c>
      <c r="P309" s="100" t="str">
        <f>IFERROR(VLOOKUP(Tablo517[[#This Row],[HAMMADDE KODU]],Tablo1[#All],4,0)," ")</f>
        <v xml:space="preserve"> </v>
      </c>
      <c r="Q309" s="100" t="str">
        <f>IFERROR(VLOOKUP(Tablo517[[#This Row],[ÜRÜN KODU]],YMKODLARI!$A$1:$K$363,5,0)," ")</f>
        <v xml:space="preserve"> </v>
      </c>
      <c r="R309" s="100" t="str">
        <f>IFERROR(VLOOKUP(Tablo517[[#This Row],[ÜRÜN KODU]],YMKODLARI!$A$1:$K$363,6,0)," ")</f>
        <v xml:space="preserve"> </v>
      </c>
      <c r="S309" s="100" t="str">
        <f>IFERROR(Tablo517[[#This Row],[YOLLUK HARİÇ BASKI GRAMI]]/Tablo517[[#This Row],[KALIP GÖZ ADEDİ]]," ")</f>
        <v xml:space="preserve"> </v>
      </c>
      <c r="T309" s="100" t="str">
        <f t="shared" si="31"/>
        <v xml:space="preserve"> </v>
      </c>
      <c r="U309" s="100"/>
      <c r="V309" s="100" t="str">
        <f t="shared" si="30"/>
        <v xml:space="preserve"> </v>
      </c>
      <c r="W309" s="101">
        <f t="shared" si="32"/>
        <v>24</v>
      </c>
      <c r="X309" s="102">
        <f t="shared" si="33"/>
        <v>0</v>
      </c>
      <c r="Y309" s="100" t="str">
        <f t="shared" si="34"/>
        <v xml:space="preserve"> </v>
      </c>
      <c r="Z309" s="100" t="str">
        <f t="shared" si="35"/>
        <v xml:space="preserve"> </v>
      </c>
    </row>
    <row r="310" spans="1:26">
      <c r="A310" s="100"/>
      <c r="B310" s="108" t="str">
        <f>IFERROR(VLOOKUP(Tablo517[[#This Row],[ÜRÜN KODU]],YMKODLARI!$A$1:$K$363,2,0)," ")</f>
        <v xml:space="preserve"> </v>
      </c>
      <c r="C310" s="99"/>
      <c r="D310" s="100"/>
      <c r="E310" s="101"/>
      <c r="F310" s="101"/>
      <c r="G310" s="100" t="str">
        <f>IFERROR(VLOOKUP(Tablo517[[#This Row],[ÜRÜN KODU]],YMKODLARI!$A$1:$K$363,3,0)," ")</f>
        <v xml:space="preserve"> </v>
      </c>
      <c r="H310" s="100" t="str">
        <f>IFERROR(VLOOKUP(Tablo517[[#This Row],[ÜRÜN KODU]],YMKODLARI!$A$1:$K$363,4,0)," ")</f>
        <v xml:space="preserve"> </v>
      </c>
      <c r="I310" s="100"/>
      <c r="J310" s="100" t="str">
        <f>IFERROR(VLOOKUP(Tablo517[[#This Row],[ÜRÜN KODU]],YMKODLARI!$A$1:$K$363,9,0)," ")</f>
        <v xml:space="preserve"> </v>
      </c>
      <c r="K310" s="100" t="str">
        <f>IFERROR(VLOOKUP(Tablo517[[#This Row],[BOYA KODU]],Tablo14[#All],4,0)," ")</f>
        <v xml:space="preserve"> </v>
      </c>
      <c r="L310" s="100" t="str">
        <f>IFERROR(VLOOKUP(Tablo517[[#This Row],[BOYA KODU]],Tablo14[#All],6,0)," ")</f>
        <v xml:space="preserve"> </v>
      </c>
      <c r="M310" s="100" t="str">
        <f t="shared" si="29"/>
        <v xml:space="preserve"> </v>
      </c>
      <c r="N310" s="100" t="str">
        <f>IFERROR(VLOOKUP(Tablo517[[#This Row],[ÜRÜN KODU]],YMKODLARI!$A$1:$K$363,8,0)," ")</f>
        <v xml:space="preserve"> </v>
      </c>
      <c r="O310" s="100" t="str">
        <f>IFERROR(VLOOKUP(Tablo517[[#This Row],[HAMMADDE KODU]],Tablo1[#All],3,0)," ")</f>
        <v xml:space="preserve"> </v>
      </c>
      <c r="P310" s="100" t="str">
        <f>IFERROR(VLOOKUP(Tablo517[[#This Row],[HAMMADDE KODU]],Tablo1[#All],4,0)," ")</f>
        <v xml:space="preserve"> </v>
      </c>
      <c r="Q310" s="100" t="str">
        <f>IFERROR(VLOOKUP(Tablo517[[#This Row],[ÜRÜN KODU]],YMKODLARI!$A$1:$K$363,5,0)," ")</f>
        <v xml:space="preserve"> </v>
      </c>
      <c r="R310" s="100" t="str">
        <f>IFERROR(VLOOKUP(Tablo517[[#This Row],[ÜRÜN KODU]],YMKODLARI!$A$1:$K$363,6,0)," ")</f>
        <v xml:space="preserve"> </v>
      </c>
      <c r="S310" s="100" t="str">
        <f>IFERROR(Tablo517[[#This Row],[YOLLUK HARİÇ BASKI GRAMI]]/Tablo517[[#This Row],[KALIP GÖZ ADEDİ]]," ")</f>
        <v xml:space="preserve"> </v>
      </c>
      <c r="T310" s="100" t="str">
        <f t="shared" si="31"/>
        <v xml:space="preserve"> </v>
      </c>
      <c r="U310" s="100"/>
      <c r="V310" s="100" t="str">
        <f t="shared" si="30"/>
        <v xml:space="preserve"> </v>
      </c>
      <c r="W310" s="101">
        <f t="shared" si="32"/>
        <v>24</v>
      </c>
      <c r="X310" s="102">
        <f t="shared" si="33"/>
        <v>0</v>
      </c>
      <c r="Y310" s="100" t="str">
        <f t="shared" si="34"/>
        <v xml:space="preserve"> </v>
      </c>
      <c r="Z310" s="100" t="str">
        <f t="shared" si="35"/>
        <v xml:space="preserve"> </v>
      </c>
    </row>
    <row r="311" spans="1:26">
      <c r="A311" s="100"/>
      <c r="B311" s="108" t="str">
        <f>IFERROR(VLOOKUP(Tablo517[[#This Row],[ÜRÜN KODU]],YMKODLARI!$A$1:$K$363,2,0)," ")</f>
        <v xml:space="preserve"> </v>
      </c>
      <c r="C311" s="99"/>
      <c r="D311" s="100"/>
      <c r="E311" s="101"/>
      <c r="F311" s="101"/>
      <c r="G311" s="100" t="str">
        <f>IFERROR(VLOOKUP(Tablo517[[#This Row],[ÜRÜN KODU]],YMKODLARI!$A$1:$K$363,3,0)," ")</f>
        <v xml:space="preserve"> </v>
      </c>
      <c r="H311" s="100" t="str">
        <f>IFERROR(VLOOKUP(Tablo517[[#This Row],[ÜRÜN KODU]],YMKODLARI!$A$1:$K$363,4,0)," ")</f>
        <v xml:space="preserve"> </v>
      </c>
      <c r="I311" s="100"/>
      <c r="J311" s="100" t="str">
        <f>IFERROR(VLOOKUP(Tablo517[[#This Row],[ÜRÜN KODU]],YMKODLARI!$A$1:$K$363,9,0)," ")</f>
        <v xml:space="preserve"> </v>
      </c>
      <c r="K311" s="100" t="str">
        <f>IFERROR(VLOOKUP(Tablo517[[#This Row],[BOYA KODU]],Tablo14[#All],4,0)," ")</f>
        <v xml:space="preserve"> </v>
      </c>
      <c r="L311" s="100" t="str">
        <f>IFERROR(VLOOKUP(Tablo517[[#This Row],[BOYA KODU]],Tablo14[#All],6,0)," ")</f>
        <v xml:space="preserve"> </v>
      </c>
      <c r="M311" s="100" t="str">
        <f t="shared" si="29"/>
        <v xml:space="preserve"> </v>
      </c>
      <c r="N311" s="100" t="str">
        <f>IFERROR(VLOOKUP(Tablo517[[#This Row],[ÜRÜN KODU]],YMKODLARI!$A$1:$K$363,8,0)," ")</f>
        <v xml:space="preserve"> </v>
      </c>
      <c r="O311" s="100" t="str">
        <f>IFERROR(VLOOKUP(Tablo517[[#This Row],[HAMMADDE KODU]],Tablo1[#All],3,0)," ")</f>
        <v xml:space="preserve"> </v>
      </c>
      <c r="P311" s="100" t="str">
        <f>IFERROR(VLOOKUP(Tablo517[[#This Row],[HAMMADDE KODU]],Tablo1[#All],4,0)," ")</f>
        <v xml:space="preserve"> </v>
      </c>
      <c r="Q311" s="100" t="str">
        <f>IFERROR(VLOOKUP(Tablo517[[#This Row],[ÜRÜN KODU]],YMKODLARI!$A$1:$K$363,5,0)," ")</f>
        <v xml:space="preserve"> </v>
      </c>
      <c r="R311" s="100" t="str">
        <f>IFERROR(VLOOKUP(Tablo517[[#This Row],[ÜRÜN KODU]],YMKODLARI!$A$1:$K$363,6,0)," ")</f>
        <v xml:space="preserve"> </v>
      </c>
      <c r="S311" s="100" t="str">
        <f>IFERROR(Tablo517[[#This Row],[YOLLUK HARİÇ BASKI GRAMI]]/Tablo517[[#This Row],[KALIP GÖZ ADEDİ]]," ")</f>
        <v xml:space="preserve"> </v>
      </c>
      <c r="T311" s="100" t="str">
        <f t="shared" si="31"/>
        <v xml:space="preserve"> </v>
      </c>
      <c r="U311" s="100"/>
      <c r="V311" s="100" t="str">
        <f t="shared" si="30"/>
        <v xml:space="preserve"> </v>
      </c>
      <c r="W311" s="101">
        <f t="shared" si="32"/>
        <v>24</v>
      </c>
      <c r="X311" s="102">
        <f t="shared" si="33"/>
        <v>0</v>
      </c>
      <c r="Y311" s="100" t="str">
        <f t="shared" si="34"/>
        <v xml:space="preserve"> </v>
      </c>
      <c r="Z311" s="100" t="str">
        <f t="shared" si="35"/>
        <v xml:space="preserve"> </v>
      </c>
    </row>
    <row r="312" spans="1:26">
      <c r="A312" s="100"/>
      <c r="B312" s="108" t="str">
        <f>IFERROR(VLOOKUP(Tablo517[[#This Row],[ÜRÜN KODU]],YMKODLARI!$A$1:$K$363,2,0)," ")</f>
        <v xml:space="preserve"> </v>
      </c>
      <c r="C312" s="99"/>
      <c r="D312" s="100"/>
      <c r="E312" s="101"/>
      <c r="F312" s="101"/>
      <c r="G312" s="100" t="str">
        <f>IFERROR(VLOOKUP(Tablo517[[#This Row],[ÜRÜN KODU]],YMKODLARI!$A$1:$K$363,3,0)," ")</f>
        <v xml:space="preserve"> </v>
      </c>
      <c r="H312" s="100" t="str">
        <f>IFERROR(VLOOKUP(Tablo517[[#This Row],[ÜRÜN KODU]],YMKODLARI!$A$1:$K$363,4,0)," ")</f>
        <v xml:space="preserve"> </v>
      </c>
      <c r="I312" s="100"/>
      <c r="J312" s="100" t="str">
        <f>IFERROR(VLOOKUP(Tablo517[[#This Row],[ÜRÜN KODU]],YMKODLARI!$A$1:$K$363,9,0)," ")</f>
        <v xml:space="preserve"> </v>
      </c>
      <c r="K312" s="100" t="str">
        <f>IFERROR(VLOOKUP(Tablo517[[#This Row],[BOYA KODU]],Tablo14[#All],4,0)," ")</f>
        <v xml:space="preserve"> </v>
      </c>
      <c r="L312" s="100" t="str">
        <f>IFERROR(VLOOKUP(Tablo517[[#This Row],[BOYA KODU]],Tablo14[#All],6,0)," ")</f>
        <v xml:space="preserve"> </v>
      </c>
      <c r="M312" s="100" t="str">
        <f t="shared" si="29"/>
        <v xml:space="preserve"> </v>
      </c>
      <c r="N312" s="100" t="str">
        <f>IFERROR(VLOOKUP(Tablo517[[#This Row],[ÜRÜN KODU]],YMKODLARI!$A$1:$K$363,8,0)," ")</f>
        <v xml:space="preserve"> </v>
      </c>
      <c r="O312" s="100" t="str">
        <f>IFERROR(VLOOKUP(Tablo517[[#This Row],[HAMMADDE KODU]],Tablo1[#All],3,0)," ")</f>
        <v xml:space="preserve"> </v>
      </c>
      <c r="P312" s="100" t="str">
        <f>IFERROR(VLOOKUP(Tablo517[[#This Row],[HAMMADDE KODU]],Tablo1[#All],4,0)," ")</f>
        <v xml:space="preserve"> </v>
      </c>
      <c r="Q312" s="100" t="str">
        <f>IFERROR(VLOOKUP(Tablo517[[#This Row],[ÜRÜN KODU]],YMKODLARI!$A$1:$K$363,5,0)," ")</f>
        <v xml:space="preserve"> </v>
      </c>
      <c r="R312" s="100" t="str">
        <f>IFERROR(VLOOKUP(Tablo517[[#This Row],[ÜRÜN KODU]],YMKODLARI!$A$1:$K$363,6,0)," ")</f>
        <v xml:space="preserve"> </v>
      </c>
      <c r="S312" s="100" t="str">
        <f>IFERROR(Tablo517[[#This Row],[YOLLUK HARİÇ BASKI GRAMI]]/Tablo517[[#This Row],[KALIP GÖZ ADEDİ]]," ")</f>
        <v xml:space="preserve"> </v>
      </c>
      <c r="T312" s="100" t="str">
        <f t="shared" si="31"/>
        <v xml:space="preserve"> </v>
      </c>
      <c r="U312" s="100"/>
      <c r="V312" s="100" t="str">
        <f t="shared" si="30"/>
        <v xml:space="preserve"> </v>
      </c>
      <c r="W312" s="101">
        <f t="shared" si="32"/>
        <v>24</v>
      </c>
      <c r="X312" s="102">
        <f t="shared" si="33"/>
        <v>0</v>
      </c>
      <c r="Y312" s="100" t="str">
        <f t="shared" si="34"/>
        <v xml:space="preserve"> </v>
      </c>
      <c r="Z312" s="100" t="str">
        <f t="shared" si="35"/>
        <v xml:space="preserve"> </v>
      </c>
    </row>
    <row r="313" spans="1:26">
      <c r="A313" s="100"/>
      <c r="B313" s="108" t="str">
        <f>IFERROR(VLOOKUP(Tablo517[[#This Row],[ÜRÜN KODU]],YMKODLARI!$A$1:$K$363,2,0)," ")</f>
        <v xml:space="preserve"> </v>
      </c>
      <c r="C313" s="99"/>
      <c r="D313" s="100"/>
      <c r="E313" s="101"/>
      <c r="F313" s="101"/>
      <c r="G313" s="100" t="str">
        <f>IFERROR(VLOOKUP(Tablo517[[#This Row],[ÜRÜN KODU]],YMKODLARI!$A$1:$K$363,3,0)," ")</f>
        <v xml:space="preserve"> </v>
      </c>
      <c r="H313" s="100" t="str">
        <f>IFERROR(VLOOKUP(Tablo517[[#This Row],[ÜRÜN KODU]],YMKODLARI!$A$1:$K$363,4,0)," ")</f>
        <v xml:space="preserve"> </v>
      </c>
      <c r="I313" s="100"/>
      <c r="J313" s="100" t="str">
        <f>IFERROR(VLOOKUP(Tablo517[[#This Row],[ÜRÜN KODU]],YMKODLARI!$A$1:$K$363,9,0)," ")</f>
        <v xml:space="preserve"> </v>
      </c>
      <c r="K313" s="100" t="str">
        <f>IFERROR(VLOOKUP(Tablo517[[#This Row],[BOYA KODU]],Tablo14[#All],4,0)," ")</f>
        <v xml:space="preserve"> </v>
      </c>
      <c r="L313" s="100" t="str">
        <f>IFERROR(VLOOKUP(Tablo517[[#This Row],[BOYA KODU]],Tablo14[#All],6,0)," ")</f>
        <v xml:space="preserve"> </v>
      </c>
      <c r="M313" s="100" t="str">
        <f t="shared" si="29"/>
        <v xml:space="preserve"> </v>
      </c>
      <c r="N313" s="100" t="str">
        <f>IFERROR(VLOOKUP(Tablo517[[#This Row],[ÜRÜN KODU]],YMKODLARI!$A$1:$K$363,8,0)," ")</f>
        <v xml:space="preserve"> </v>
      </c>
      <c r="O313" s="100" t="str">
        <f>IFERROR(VLOOKUP(Tablo517[[#This Row],[HAMMADDE KODU]],Tablo1[#All],3,0)," ")</f>
        <v xml:space="preserve"> </v>
      </c>
      <c r="P313" s="100" t="str">
        <f>IFERROR(VLOOKUP(Tablo517[[#This Row],[HAMMADDE KODU]],Tablo1[#All],4,0)," ")</f>
        <v xml:space="preserve"> </v>
      </c>
      <c r="Q313" s="100" t="str">
        <f>IFERROR(VLOOKUP(Tablo517[[#This Row],[ÜRÜN KODU]],YMKODLARI!$A$1:$K$363,5,0)," ")</f>
        <v xml:space="preserve"> </v>
      </c>
      <c r="R313" s="100" t="str">
        <f>IFERROR(VLOOKUP(Tablo517[[#This Row],[ÜRÜN KODU]],YMKODLARI!$A$1:$K$363,6,0)," ")</f>
        <v xml:space="preserve"> </v>
      </c>
      <c r="S313" s="100" t="str">
        <f>IFERROR(Tablo517[[#This Row],[YOLLUK HARİÇ BASKI GRAMI]]/Tablo517[[#This Row],[KALIP GÖZ ADEDİ]]," ")</f>
        <v xml:space="preserve"> </v>
      </c>
      <c r="T313" s="100" t="str">
        <f t="shared" si="31"/>
        <v xml:space="preserve"> </v>
      </c>
      <c r="U313" s="100"/>
      <c r="V313" s="100" t="str">
        <f t="shared" si="30"/>
        <v xml:space="preserve"> </v>
      </c>
      <c r="W313" s="101">
        <f t="shared" si="32"/>
        <v>24</v>
      </c>
      <c r="X313" s="102">
        <f t="shared" si="33"/>
        <v>0</v>
      </c>
      <c r="Y313" s="100" t="str">
        <f t="shared" si="34"/>
        <v xml:space="preserve"> </v>
      </c>
      <c r="Z313" s="100" t="str">
        <f t="shared" si="35"/>
        <v xml:space="preserve"> </v>
      </c>
    </row>
    <row r="314" spans="1:26">
      <c r="A314" s="100"/>
      <c r="B314" s="108" t="str">
        <f>IFERROR(VLOOKUP(Tablo517[[#This Row],[ÜRÜN KODU]],YMKODLARI!$A$1:$K$363,2,0)," ")</f>
        <v xml:space="preserve"> </v>
      </c>
      <c r="C314" s="99"/>
      <c r="D314" s="100"/>
      <c r="E314" s="101"/>
      <c r="F314" s="101"/>
      <c r="G314" s="100" t="str">
        <f>IFERROR(VLOOKUP(Tablo517[[#This Row],[ÜRÜN KODU]],YMKODLARI!$A$1:$K$363,3,0)," ")</f>
        <v xml:space="preserve"> </v>
      </c>
      <c r="H314" s="100" t="str">
        <f>IFERROR(VLOOKUP(Tablo517[[#This Row],[ÜRÜN KODU]],YMKODLARI!$A$1:$K$363,4,0)," ")</f>
        <v xml:space="preserve"> </v>
      </c>
      <c r="I314" s="100"/>
      <c r="J314" s="100" t="str">
        <f>IFERROR(VLOOKUP(Tablo517[[#This Row],[ÜRÜN KODU]],YMKODLARI!$A$1:$K$363,9,0)," ")</f>
        <v xml:space="preserve"> </v>
      </c>
      <c r="K314" s="100" t="str">
        <f>IFERROR(VLOOKUP(Tablo517[[#This Row],[BOYA KODU]],Tablo14[#All],4,0)," ")</f>
        <v xml:space="preserve"> </v>
      </c>
      <c r="L314" s="100" t="str">
        <f>IFERROR(VLOOKUP(Tablo517[[#This Row],[BOYA KODU]],Tablo14[#All],6,0)," ")</f>
        <v xml:space="preserve"> </v>
      </c>
      <c r="M314" s="100" t="str">
        <f t="shared" si="29"/>
        <v xml:space="preserve"> </v>
      </c>
      <c r="N314" s="100" t="str">
        <f>IFERROR(VLOOKUP(Tablo517[[#This Row],[ÜRÜN KODU]],YMKODLARI!$A$1:$K$363,8,0)," ")</f>
        <v xml:space="preserve"> </v>
      </c>
      <c r="O314" s="100" t="str">
        <f>IFERROR(VLOOKUP(Tablo517[[#This Row],[HAMMADDE KODU]],Tablo1[#All],3,0)," ")</f>
        <v xml:space="preserve"> </v>
      </c>
      <c r="P314" s="100" t="str">
        <f>IFERROR(VLOOKUP(Tablo517[[#This Row],[HAMMADDE KODU]],Tablo1[#All],4,0)," ")</f>
        <v xml:space="preserve"> </v>
      </c>
      <c r="Q314" s="100" t="str">
        <f>IFERROR(VLOOKUP(Tablo517[[#This Row],[ÜRÜN KODU]],YMKODLARI!$A$1:$K$363,5,0)," ")</f>
        <v xml:space="preserve"> </v>
      </c>
      <c r="R314" s="100" t="str">
        <f>IFERROR(VLOOKUP(Tablo517[[#This Row],[ÜRÜN KODU]],YMKODLARI!$A$1:$K$363,6,0)," ")</f>
        <v xml:space="preserve"> </v>
      </c>
      <c r="S314" s="100" t="str">
        <f>IFERROR(Tablo517[[#This Row],[YOLLUK HARİÇ BASKI GRAMI]]/Tablo517[[#This Row],[KALIP GÖZ ADEDİ]]," ")</f>
        <v xml:space="preserve"> </v>
      </c>
      <c r="T314" s="100" t="str">
        <f t="shared" si="31"/>
        <v xml:space="preserve"> </v>
      </c>
      <c r="U314" s="100"/>
      <c r="V314" s="100" t="str">
        <f t="shared" si="30"/>
        <v xml:space="preserve"> </v>
      </c>
      <c r="W314" s="101">
        <f t="shared" si="32"/>
        <v>24</v>
      </c>
      <c r="X314" s="102">
        <f t="shared" si="33"/>
        <v>0</v>
      </c>
      <c r="Y314" s="100" t="str">
        <f t="shared" si="34"/>
        <v xml:space="preserve"> </v>
      </c>
      <c r="Z314" s="100" t="str">
        <f t="shared" si="35"/>
        <v xml:space="preserve"> </v>
      </c>
    </row>
    <row r="315" spans="1:26">
      <c r="A315" s="100"/>
      <c r="B315" s="108" t="str">
        <f>IFERROR(VLOOKUP(Tablo517[[#This Row],[ÜRÜN KODU]],YMKODLARI!$A$1:$K$363,2,0)," ")</f>
        <v xml:space="preserve"> </v>
      </c>
      <c r="C315" s="99"/>
      <c r="D315" s="100"/>
      <c r="E315" s="101"/>
      <c r="F315" s="101"/>
      <c r="G315" s="100" t="str">
        <f>IFERROR(VLOOKUP(Tablo517[[#This Row],[ÜRÜN KODU]],YMKODLARI!$A$1:$K$363,3,0)," ")</f>
        <v xml:space="preserve"> </v>
      </c>
      <c r="H315" s="100" t="str">
        <f>IFERROR(VLOOKUP(Tablo517[[#This Row],[ÜRÜN KODU]],YMKODLARI!$A$1:$K$363,4,0)," ")</f>
        <v xml:space="preserve"> </v>
      </c>
      <c r="I315" s="100"/>
      <c r="J315" s="100" t="str">
        <f>IFERROR(VLOOKUP(Tablo517[[#This Row],[ÜRÜN KODU]],YMKODLARI!$A$1:$K$363,9,0)," ")</f>
        <v xml:space="preserve"> </v>
      </c>
      <c r="K315" s="100" t="str">
        <f>IFERROR(VLOOKUP(Tablo517[[#This Row],[BOYA KODU]],Tablo14[#All],4,0)," ")</f>
        <v xml:space="preserve"> </v>
      </c>
      <c r="L315" s="100" t="str">
        <f>IFERROR(VLOOKUP(Tablo517[[#This Row],[BOYA KODU]],Tablo14[#All],6,0)," ")</f>
        <v xml:space="preserve"> </v>
      </c>
      <c r="M315" s="100" t="str">
        <f t="shared" si="29"/>
        <v xml:space="preserve"> </v>
      </c>
      <c r="N315" s="100" t="str">
        <f>IFERROR(VLOOKUP(Tablo517[[#This Row],[ÜRÜN KODU]],YMKODLARI!$A$1:$K$363,8,0)," ")</f>
        <v xml:space="preserve"> </v>
      </c>
      <c r="O315" s="100" t="str">
        <f>IFERROR(VLOOKUP(Tablo517[[#This Row],[HAMMADDE KODU]],Tablo1[#All],3,0)," ")</f>
        <v xml:space="preserve"> </v>
      </c>
      <c r="P315" s="100" t="str">
        <f>IFERROR(VLOOKUP(Tablo517[[#This Row],[HAMMADDE KODU]],Tablo1[#All],4,0)," ")</f>
        <v xml:space="preserve"> </v>
      </c>
      <c r="Q315" s="100" t="str">
        <f>IFERROR(VLOOKUP(Tablo517[[#This Row],[ÜRÜN KODU]],YMKODLARI!$A$1:$K$363,5,0)," ")</f>
        <v xml:space="preserve"> </v>
      </c>
      <c r="R315" s="100" t="str">
        <f>IFERROR(VLOOKUP(Tablo517[[#This Row],[ÜRÜN KODU]],YMKODLARI!$A$1:$K$363,6,0)," ")</f>
        <v xml:space="preserve"> </v>
      </c>
      <c r="S315" s="100" t="str">
        <f>IFERROR(Tablo517[[#This Row],[YOLLUK HARİÇ BASKI GRAMI]]/Tablo517[[#This Row],[KALIP GÖZ ADEDİ]]," ")</f>
        <v xml:space="preserve"> </v>
      </c>
      <c r="T315" s="100" t="str">
        <f t="shared" si="31"/>
        <v xml:space="preserve"> </v>
      </c>
      <c r="U315" s="100"/>
      <c r="V315" s="100" t="str">
        <f t="shared" si="30"/>
        <v xml:space="preserve"> </v>
      </c>
      <c r="W315" s="101">
        <f t="shared" si="32"/>
        <v>24</v>
      </c>
      <c r="X315" s="102">
        <f t="shared" si="33"/>
        <v>0</v>
      </c>
      <c r="Y315" s="100" t="str">
        <f t="shared" si="34"/>
        <v xml:space="preserve"> </v>
      </c>
      <c r="Z315" s="100" t="str">
        <f t="shared" si="35"/>
        <v xml:space="preserve"> </v>
      </c>
    </row>
    <row r="316" spans="1:26">
      <c r="A316" s="100"/>
      <c r="B316" s="108" t="str">
        <f>IFERROR(VLOOKUP(Tablo517[[#This Row],[ÜRÜN KODU]],YMKODLARI!$A$1:$K$363,2,0)," ")</f>
        <v xml:space="preserve"> </v>
      </c>
      <c r="C316" s="99"/>
      <c r="D316" s="100"/>
      <c r="E316" s="101"/>
      <c r="F316" s="101"/>
      <c r="G316" s="100" t="str">
        <f>IFERROR(VLOOKUP(Tablo517[[#This Row],[ÜRÜN KODU]],YMKODLARI!$A$1:$K$363,3,0)," ")</f>
        <v xml:space="preserve"> </v>
      </c>
      <c r="H316" s="100" t="str">
        <f>IFERROR(VLOOKUP(Tablo517[[#This Row],[ÜRÜN KODU]],YMKODLARI!$A$1:$K$363,4,0)," ")</f>
        <v xml:space="preserve"> </v>
      </c>
      <c r="I316" s="100"/>
      <c r="J316" s="100" t="str">
        <f>IFERROR(VLOOKUP(Tablo517[[#This Row],[ÜRÜN KODU]],YMKODLARI!$A$1:$K$363,9,0)," ")</f>
        <v xml:space="preserve"> </v>
      </c>
      <c r="K316" s="100" t="str">
        <f>IFERROR(VLOOKUP(Tablo517[[#This Row],[BOYA KODU]],Tablo14[#All],4,0)," ")</f>
        <v xml:space="preserve"> </v>
      </c>
      <c r="L316" s="100" t="str">
        <f>IFERROR(VLOOKUP(Tablo517[[#This Row],[BOYA KODU]],Tablo14[#All],6,0)," ")</f>
        <v xml:space="preserve"> </v>
      </c>
      <c r="M316" s="100" t="str">
        <f t="shared" si="29"/>
        <v xml:space="preserve"> </v>
      </c>
      <c r="N316" s="100" t="str">
        <f>IFERROR(VLOOKUP(Tablo517[[#This Row],[ÜRÜN KODU]],YMKODLARI!$A$1:$K$363,8,0)," ")</f>
        <v xml:space="preserve"> </v>
      </c>
      <c r="O316" s="100" t="str">
        <f>IFERROR(VLOOKUP(Tablo517[[#This Row],[HAMMADDE KODU]],Tablo1[#All],3,0)," ")</f>
        <v xml:space="preserve"> </v>
      </c>
      <c r="P316" s="100" t="str">
        <f>IFERROR(VLOOKUP(Tablo517[[#This Row],[HAMMADDE KODU]],Tablo1[#All],4,0)," ")</f>
        <v xml:space="preserve"> </v>
      </c>
      <c r="Q316" s="100" t="str">
        <f>IFERROR(VLOOKUP(Tablo517[[#This Row],[ÜRÜN KODU]],YMKODLARI!$A$1:$K$363,5,0)," ")</f>
        <v xml:space="preserve"> </v>
      </c>
      <c r="R316" s="100" t="str">
        <f>IFERROR(VLOOKUP(Tablo517[[#This Row],[ÜRÜN KODU]],YMKODLARI!$A$1:$K$363,6,0)," ")</f>
        <v xml:space="preserve"> </v>
      </c>
      <c r="S316" s="100" t="str">
        <f>IFERROR(Tablo517[[#This Row],[YOLLUK HARİÇ BASKI GRAMI]]/Tablo517[[#This Row],[KALIP GÖZ ADEDİ]]," ")</f>
        <v xml:space="preserve"> </v>
      </c>
      <c r="T316" s="100" t="str">
        <f t="shared" si="31"/>
        <v xml:space="preserve"> </v>
      </c>
      <c r="U316" s="100"/>
      <c r="V316" s="100" t="str">
        <f t="shared" si="30"/>
        <v xml:space="preserve"> </v>
      </c>
      <c r="W316" s="101">
        <f t="shared" si="32"/>
        <v>24</v>
      </c>
      <c r="X316" s="102">
        <f t="shared" si="33"/>
        <v>0</v>
      </c>
      <c r="Y316" s="100" t="str">
        <f t="shared" si="34"/>
        <v xml:space="preserve"> </v>
      </c>
      <c r="Z316" s="100" t="str">
        <f t="shared" si="35"/>
        <v xml:space="preserve"> </v>
      </c>
    </row>
    <row r="317" spans="1:26">
      <c r="A317" s="100"/>
      <c r="B317" s="108" t="str">
        <f>IFERROR(VLOOKUP(Tablo517[[#This Row],[ÜRÜN KODU]],YMKODLARI!$A$1:$K$363,2,0)," ")</f>
        <v xml:space="preserve"> </v>
      </c>
      <c r="C317" s="99"/>
      <c r="D317" s="100"/>
      <c r="E317" s="101"/>
      <c r="F317" s="101"/>
      <c r="G317" s="100" t="str">
        <f>IFERROR(VLOOKUP(Tablo517[[#This Row],[ÜRÜN KODU]],YMKODLARI!$A$1:$K$363,3,0)," ")</f>
        <v xml:space="preserve"> </v>
      </c>
      <c r="H317" s="100" t="str">
        <f>IFERROR(VLOOKUP(Tablo517[[#This Row],[ÜRÜN KODU]],YMKODLARI!$A$1:$K$363,4,0)," ")</f>
        <v xml:space="preserve"> </v>
      </c>
      <c r="I317" s="100"/>
      <c r="J317" s="100" t="str">
        <f>IFERROR(VLOOKUP(Tablo517[[#This Row],[ÜRÜN KODU]],YMKODLARI!$A$1:$K$363,9,0)," ")</f>
        <v xml:space="preserve"> </v>
      </c>
      <c r="K317" s="100" t="str">
        <f>IFERROR(VLOOKUP(Tablo517[[#This Row],[BOYA KODU]],Tablo14[#All],4,0)," ")</f>
        <v xml:space="preserve"> </v>
      </c>
      <c r="L317" s="100" t="str">
        <f>IFERROR(VLOOKUP(Tablo517[[#This Row],[BOYA KODU]],Tablo14[#All],6,0)," ")</f>
        <v xml:space="preserve"> </v>
      </c>
      <c r="M317" s="100" t="str">
        <f t="shared" si="29"/>
        <v xml:space="preserve"> </v>
      </c>
      <c r="N317" s="100" t="str">
        <f>IFERROR(VLOOKUP(Tablo517[[#This Row],[ÜRÜN KODU]],YMKODLARI!$A$1:$K$363,8,0)," ")</f>
        <v xml:space="preserve"> </v>
      </c>
      <c r="O317" s="100" t="str">
        <f>IFERROR(VLOOKUP(Tablo517[[#This Row],[HAMMADDE KODU]],Tablo1[#All],3,0)," ")</f>
        <v xml:space="preserve"> </v>
      </c>
      <c r="P317" s="100" t="str">
        <f>IFERROR(VLOOKUP(Tablo517[[#This Row],[HAMMADDE KODU]],Tablo1[#All],4,0)," ")</f>
        <v xml:space="preserve"> </v>
      </c>
      <c r="Q317" s="100" t="str">
        <f>IFERROR(VLOOKUP(Tablo517[[#This Row],[ÜRÜN KODU]],YMKODLARI!$A$1:$K$363,5,0)," ")</f>
        <v xml:space="preserve"> </v>
      </c>
      <c r="R317" s="100" t="str">
        <f>IFERROR(VLOOKUP(Tablo517[[#This Row],[ÜRÜN KODU]],YMKODLARI!$A$1:$K$363,6,0)," ")</f>
        <v xml:space="preserve"> </v>
      </c>
      <c r="S317" s="100" t="str">
        <f>IFERROR(Tablo517[[#This Row],[YOLLUK HARİÇ BASKI GRAMI]]/Tablo517[[#This Row],[KALIP GÖZ ADEDİ]]," ")</f>
        <v xml:space="preserve"> </v>
      </c>
      <c r="T317" s="100" t="str">
        <f t="shared" si="31"/>
        <v xml:space="preserve"> </v>
      </c>
      <c r="U317" s="100"/>
      <c r="V317" s="100" t="str">
        <f t="shared" si="30"/>
        <v xml:space="preserve"> </v>
      </c>
      <c r="W317" s="101">
        <f t="shared" si="32"/>
        <v>24</v>
      </c>
      <c r="X317" s="102">
        <f t="shared" si="33"/>
        <v>0</v>
      </c>
      <c r="Y317" s="100" t="str">
        <f t="shared" si="34"/>
        <v xml:space="preserve"> </v>
      </c>
      <c r="Z317" s="100" t="str">
        <f t="shared" si="35"/>
        <v xml:space="preserve"> </v>
      </c>
    </row>
    <row r="318" spans="1:26">
      <c r="A318" s="100"/>
      <c r="B318" s="108" t="str">
        <f>IFERROR(VLOOKUP(Tablo517[[#This Row],[ÜRÜN KODU]],YMKODLARI!$A$1:$K$363,2,0)," ")</f>
        <v xml:space="preserve"> </v>
      </c>
      <c r="C318" s="99"/>
      <c r="D318" s="100"/>
      <c r="E318" s="101"/>
      <c r="F318" s="101"/>
      <c r="G318" s="100" t="str">
        <f>IFERROR(VLOOKUP(Tablo517[[#This Row],[ÜRÜN KODU]],YMKODLARI!$A$1:$K$363,3,0)," ")</f>
        <v xml:space="preserve"> </v>
      </c>
      <c r="H318" s="100" t="str">
        <f>IFERROR(VLOOKUP(Tablo517[[#This Row],[ÜRÜN KODU]],YMKODLARI!$A$1:$K$363,4,0)," ")</f>
        <v xml:space="preserve"> </v>
      </c>
      <c r="I318" s="100"/>
      <c r="J318" s="100" t="str">
        <f>IFERROR(VLOOKUP(Tablo517[[#This Row],[ÜRÜN KODU]],YMKODLARI!$A$1:$K$363,9,0)," ")</f>
        <v xml:space="preserve"> </v>
      </c>
      <c r="K318" s="100" t="str">
        <f>IFERROR(VLOOKUP(Tablo517[[#This Row],[BOYA KODU]],Tablo14[#All],4,0)," ")</f>
        <v xml:space="preserve"> </v>
      </c>
      <c r="L318" s="100" t="str">
        <f>IFERROR(VLOOKUP(Tablo517[[#This Row],[BOYA KODU]],Tablo14[#All],6,0)," ")</f>
        <v xml:space="preserve"> </v>
      </c>
      <c r="M318" s="100" t="str">
        <f t="shared" si="29"/>
        <v xml:space="preserve"> </v>
      </c>
      <c r="N318" s="100" t="str">
        <f>IFERROR(VLOOKUP(Tablo517[[#This Row],[ÜRÜN KODU]],YMKODLARI!$A$1:$K$363,8,0)," ")</f>
        <v xml:space="preserve"> </v>
      </c>
      <c r="O318" s="100" t="str">
        <f>IFERROR(VLOOKUP(Tablo517[[#This Row],[HAMMADDE KODU]],Tablo1[#All],3,0)," ")</f>
        <v xml:space="preserve"> </v>
      </c>
      <c r="P318" s="100" t="str">
        <f>IFERROR(VLOOKUP(Tablo517[[#This Row],[HAMMADDE KODU]],Tablo1[#All],4,0)," ")</f>
        <v xml:space="preserve"> </v>
      </c>
      <c r="Q318" s="100" t="str">
        <f>IFERROR(VLOOKUP(Tablo517[[#This Row],[ÜRÜN KODU]],YMKODLARI!$A$1:$K$363,5,0)," ")</f>
        <v xml:space="preserve"> </v>
      </c>
      <c r="R318" s="100" t="str">
        <f>IFERROR(VLOOKUP(Tablo517[[#This Row],[ÜRÜN KODU]],YMKODLARI!$A$1:$K$363,6,0)," ")</f>
        <v xml:space="preserve"> </v>
      </c>
      <c r="S318" s="100" t="str">
        <f>IFERROR(Tablo517[[#This Row],[YOLLUK HARİÇ BASKI GRAMI]]/Tablo517[[#This Row],[KALIP GÖZ ADEDİ]]," ")</f>
        <v xml:space="preserve"> </v>
      </c>
      <c r="T318" s="100" t="str">
        <f t="shared" si="31"/>
        <v xml:space="preserve"> </v>
      </c>
      <c r="U318" s="100"/>
      <c r="V318" s="100" t="str">
        <f t="shared" si="30"/>
        <v xml:space="preserve"> </v>
      </c>
      <c r="W318" s="101">
        <f t="shared" si="32"/>
        <v>24</v>
      </c>
      <c r="X318" s="102">
        <f t="shared" si="33"/>
        <v>0</v>
      </c>
      <c r="Y318" s="100" t="str">
        <f t="shared" si="34"/>
        <v xml:space="preserve"> </v>
      </c>
      <c r="Z318" s="100" t="str">
        <f t="shared" si="35"/>
        <v xml:space="preserve"> </v>
      </c>
    </row>
    <row r="319" spans="1:26">
      <c r="A319" s="100"/>
      <c r="B319" s="108" t="str">
        <f>IFERROR(VLOOKUP(Tablo517[[#This Row],[ÜRÜN KODU]],YMKODLARI!$A$1:$K$363,2,0)," ")</f>
        <v xml:space="preserve"> </v>
      </c>
      <c r="C319" s="99"/>
      <c r="D319" s="100"/>
      <c r="E319" s="101"/>
      <c r="F319" s="101"/>
      <c r="G319" s="100" t="str">
        <f>IFERROR(VLOOKUP(Tablo517[[#This Row],[ÜRÜN KODU]],YMKODLARI!$A$1:$K$363,3,0)," ")</f>
        <v xml:space="preserve"> </v>
      </c>
      <c r="H319" s="100" t="str">
        <f>IFERROR(VLOOKUP(Tablo517[[#This Row],[ÜRÜN KODU]],YMKODLARI!$A$1:$K$363,4,0)," ")</f>
        <v xml:space="preserve"> </v>
      </c>
      <c r="I319" s="100"/>
      <c r="J319" s="100" t="str">
        <f>IFERROR(VLOOKUP(Tablo517[[#This Row],[ÜRÜN KODU]],YMKODLARI!$A$1:$K$363,9,0)," ")</f>
        <v xml:space="preserve"> </v>
      </c>
      <c r="K319" s="100" t="str">
        <f>IFERROR(VLOOKUP(Tablo517[[#This Row],[BOYA KODU]],Tablo14[#All],4,0)," ")</f>
        <v xml:space="preserve"> </v>
      </c>
      <c r="L319" s="100" t="str">
        <f>IFERROR(VLOOKUP(Tablo517[[#This Row],[BOYA KODU]],Tablo14[#All],6,0)," ")</f>
        <v xml:space="preserve"> </v>
      </c>
      <c r="M319" s="100" t="str">
        <f t="shared" si="29"/>
        <v xml:space="preserve"> </v>
      </c>
      <c r="N319" s="100" t="str">
        <f>IFERROR(VLOOKUP(Tablo517[[#This Row],[ÜRÜN KODU]],YMKODLARI!$A$1:$K$363,8,0)," ")</f>
        <v xml:space="preserve"> </v>
      </c>
      <c r="O319" s="100" t="str">
        <f>IFERROR(VLOOKUP(Tablo517[[#This Row],[HAMMADDE KODU]],Tablo1[#All],3,0)," ")</f>
        <v xml:space="preserve"> </v>
      </c>
      <c r="P319" s="100" t="str">
        <f>IFERROR(VLOOKUP(Tablo517[[#This Row],[HAMMADDE KODU]],Tablo1[#All],4,0)," ")</f>
        <v xml:space="preserve"> </v>
      </c>
      <c r="Q319" s="100" t="str">
        <f>IFERROR(VLOOKUP(Tablo517[[#This Row],[ÜRÜN KODU]],YMKODLARI!$A$1:$K$363,5,0)," ")</f>
        <v xml:space="preserve"> </v>
      </c>
      <c r="R319" s="100" t="str">
        <f>IFERROR(VLOOKUP(Tablo517[[#This Row],[ÜRÜN KODU]],YMKODLARI!$A$1:$K$363,6,0)," ")</f>
        <v xml:space="preserve"> </v>
      </c>
      <c r="S319" s="100" t="str">
        <f>IFERROR(Tablo517[[#This Row],[YOLLUK HARİÇ BASKI GRAMI]]/Tablo517[[#This Row],[KALIP GÖZ ADEDİ]]," ")</f>
        <v xml:space="preserve"> </v>
      </c>
      <c r="T319" s="100" t="str">
        <f t="shared" si="31"/>
        <v xml:space="preserve"> </v>
      </c>
      <c r="U319" s="100"/>
      <c r="V319" s="100" t="str">
        <f t="shared" si="30"/>
        <v xml:space="preserve"> </v>
      </c>
      <c r="W319" s="101">
        <f t="shared" si="32"/>
        <v>24</v>
      </c>
      <c r="X319" s="102">
        <f t="shared" si="33"/>
        <v>0</v>
      </c>
      <c r="Y319" s="100" t="str">
        <f t="shared" si="34"/>
        <v xml:space="preserve"> </v>
      </c>
      <c r="Z319" s="100" t="str">
        <f t="shared" si="35"/>
        <v xml:space="preserve"> </v>
      </c>
    </row>
    <row r="320" spans="1:26">
      <c r="A320" s="100"/>
      <c r="B320" s="108" t="str">
        <f>IFERROR(VLOOKUP(Tablo517[[#This Row],[ÜRÜN KODU]],YMKODLARI!$A$1:$K$363,2,0)," ")</f>
        <v xml:space="preserve"> </v>
      </c>
      <c r="C320" s="99"/>
      <c r="D320" s="100"/>
      <c r="E320" s="101"/>
      <c r="F320" s="101"/>
      <c r="G320" s="100" t="str">
        <f>IFERROR(VLOOKUP(Tablo517[[#This Row],[ÜRÜN KODU]],YMKODLARI!$A$1:$K$363,3,0)," ")</f>
        <v xml:space="preserve"> </v>
      </c>
      <c r="H320" s="100" t="str">
        <f>IFERROR(VLOOKUP(Tablo517[[#This Row],[ÜRÜN KODU]],YMKODLARI!$A$1:$K$363,4,0)," ")</f>
        <v xml:space="preserve"> </v>
      </c>
      <c r="I320" s="100"/>
      <c r="J320" s="100" t="str">
        <f>IFERROR(VLOOKUP(Tablo517[[#This Row],[ÜRÜN KODU]],YMKODLARI!$A$1:$K$363,9,0)," ")</f>
        <v xml:space="preserve"> </v>
      </c>
      <c r="K320" s="100" t="str">
        <f>IFERROR(VLOOKUP(Tablo517[[#This Row],[BOYA KODU]],Tablo14[#All],4,0)," ")</f>
        <v xml:space="preserve"> </v>
      </c>
      <c r="L320" s="100" t="str">
        <f>IFERROR(VLOOKUP(Tablo517[[#This Row],[BOYA KODU]],Tablo14[#All],6,0)," ")</f>
        <v xml:space="preserve"> </v>
      </c>
      <c r="M320" s="100" t="str">
        <f t="shared" si="29"/>
        <v xml:space="preserve"> </v>
      </c>
      <c r="N320" s="100" t="str">
        <f>IFERROR(VLOOKUP(Tablo517[[#This Row],[ÜRÜN KODU]],YMKODLARI!$A$1:$K$363,8,0)," ")</f>
        <v xml:space="preserve"> </v>
      </c>
      <c r="O320" s="100" t="str">
        <f>IFERROR(VLOOKUP(Tablo517[[#This Row],[HAMMADDE KODU]],Tablo1[#All],3,0)," ")</f>
        <v xml:space="preserve"> </v>
      </c>
      <c r="P320" s="100" t="str">
        <f>IFERROR(VLOOKUP(Tablo517[[#This Row],[HAMMADDE KODU]],Tablo1[#All],4,0)," ")</f>
        <v xml:space="preserve"> </v>
      </c>
      <c r="Q320" s="100" t="str">
        <f>IFERROR(VLOOKUP(Tablo517[[#This Row],[ÜRÜN KODU]],YMKODLARI!$A$1:$K$363,5,0)," ")</f>
        <v xml:space="preserve"> </v>
      </c>
      <c r="R320" s="100" t="str">
        <f>IFERROR(VLOOKUP(Tablo517[[#This Row],[ÜRÜN KODU]],YMKODLARI!$A$1:$K$363,6,0)," ")</f>
        <v xml:space="preserve"> </v>
      </c>
      <c r="S320" s="100" t="str">
        <f>IFERROR(Tablo517[[#This Row],[YOLLUK HARİÇ BASKI GRAMI]]/Tablo517[[#This Row],[KALIP GÖZ ADEDİ]]," ")</f>
        <v xml:space="preserve"> </v>
      </c>
      <c r="T320" s="100" t="str">
        <f t="shared" si="31"/>
        <v xml:space="preserve"> </v>
      </c>
      <c r="U320" s="100"/>
      <c r="V320" s="100" t="str">
        <f t="shared" si="30"/>
        <v xml:space="preserve"> </v>
      </c>
      <c r="W320" s="101">
        <f t="shared" si="32"/>
        <v>24</v>
      </c>
      <c r="X320" s="102">
        <f t="shared" si="33"/>
        <v>0</v>
      </c>
      <c r="Y320" s="100" t="str">
        <f t="shared" si="34"/>
        <v xml:space="preserve"> </v>
      </c>
      <c r="Z320" s="100" t="str">
        <f t="shared" si="35"/>
        <v xml:space="preserve"> </v>
      </c>
    </row>
    <row r="321" spans="1:26">
      <c r="A321" s="100"/>
      <c r="B321" s="108" t="str">
        <f>IFERROR(VLOOKUP(Tablo517[[#This Row],[ÜRÜN KODU]],YMKODLARI!$A$1:$K$363,2,0)," ")</f>
        <v xml:space="preserve"> </v>
      </c>
      <c r="C321" s="99"/>
      <c r="D321" s="100"/>
      <c r="E321" s="101"/>
      <c r="F321" s="101"/>
      <c r="G321" s="100" t="str">
        <f>IFERROR(VLOOKUP(Tablo517[[#This Row],[ÜRÜN KODU]],YMKODLARI!$A$1:$K$363,3,0)," ")</f>
        <v xml:space="preserve"> </v>
      </c>
      <c r="H321" s="100" t="str">
        <f>IFERROR(VLOOKUP(Tablo517[[#This Row],[ÜRÜN KODU]],YMKODLARI!$A$1:$K$363,4,0)," ")</f>
        <v xml:space="preserve"> </v>
      </c>
      <c r="I321" s="100"/>
      <c r="J321" s="100" t="str">
        <f>IFERROR(VLOOKUP(Tablo517[[#This Row],[ÜRÜN KODU]],YMKODLARI!$A$1:$K$363,9,0)," ")</f>
        <v xml:space="preserve"> </v>
      </c>
      <c r="K321" s="100" t="str">
        <f>IFERROR(VLOOKUP(Tablo517[[#This Row],[BOYA KODU]],Tablo14[#All],4,0)," ")</f>
        <v xml:space="preserve"> </v>
      </c>
      <c r="L321" s="100" t="str">
        <f>IFERROR(VLOOKUP(Tablo517[[#This Row],[BOYA KODU]],Tablo14[#All],6,0)," ")</f>
        <v xml:space="preserve"> </v>
      </c>
      <c r="M321" s="100" t="str">
        <f t="shared" si="29"/>
        <v xml:space="preserve"> </v>
      </c>
      <c r="N321" s="100" t="str">
        <f>IFERROR(VLOOKUP(Tablo517[[#This Row],[ÜRÜN KODU]],YMKODLARI!$A$1:$K$363,8,0)," ")</f>
        <v xml:space="preserve"> </v>
      </c>
      <c r="O321" s="100" t="str">
        <f>IFERROR(VLOOKUP(Tablo517[[#This Row],[HAMMADDE KODU]],Tablo1[#All],3,0)," ")</f>
        <v xml:space="preserve"> </v>
      </c>
      <c r="P321" s="100" t="str">
        <f>IFERROR(VLOOKUP(Tablo517[[#This Row],[HAMMADDE KODU]],Tablo1[#All],4,0)," ")</f>
        <v xml:space="preserve"> </v>
      </c>
      <c r="Q321" s="100" t="str">
        <f>IFERROR(VLOOKUP(Tablo517[[#This Row],[ÜRÜN KODU]],YMKODLARI!$A$1:$K$363,5,0)," ")</f>
        <v xml:space="preserve"> </v>
      </c>
      <c r="R321" s="100" t="str">
        <f>IFERROR(VLOOKUP(Tablo517[[#This Row],[ÜRÜN KODU]],YMKODLARI!$A$1:$K$363,6,0)," ")</f>
        <v xml:space="preserve"> </v>
      </c>
      <c r="S321" s="100" t="str">
        <f>IFERROR(Tablo517[[#This Row],[YOLLUK HARİÇ BASKI GRAMI]]/Tablo517[[#This Row],[KALIP GÖZ ADEDİ]]," ")</f>
        <v xml:space="preserve"> </v>
      </c>
      <c r="T321" s="100" t="str">
        <f t="shared" si="31"/>
        <v xml:space="preserve"> </v>
      </c>
      <c r="U321" s="100"/>
      <c r="V321" s="100" t="str">
        <f t="shared" si="30"/>
        <v xml:space="preserve"> </v>
      </c>
      <c r="W321" s="101">
        <f t="shared" si="32"/>
        <v>24</v>
      </c>
      <c r="X321" s="102">
        <f t="shared" si="33"/>
        <v>0</v>
      </c>
      <c r="Y321" s="100" t="str">
        <f t="shared" si="34"/>
        <v xml:space="preserve"> </v>
      </c>
      <c r="Z321" s="100" t="str">
        <f t="shared" si="35"/>
        <v xml:space="preserve"> </v>
      </c>
    </row>
    <row r="322" spans="1:26">
      <c r="A322" s="100"/>
      <c r="B322" s="108" t="str">
        <f>IFERROR(VLOOKUP(Tablo517[[#This Row],[ÜRÜN KODU]],YMKODLARI!$A$1:$K$363,2,0)," ")</f>
        <v xml:space="preserve"> </v>
      </c>
      <c r="C322" s="99"/>
      <c r="D322" s="100"/>
      <c r="E322" s="101"/>
      <c r="F322" s="101"/>
      <c r="G322" s="100" t="str">
        <f>IFERROR(VLOOKUP(Tablo517[[#This Row],[ÜRÜN KODU]],YMKODLARI!$A$1:$K$363,3,0)," ")</f>
        <v xml:space="preserve"> </v>
      </c>
      <c r="H322" s="100" t="str">
        <f>IFERROR(VLOOKUP(Tablo517[[#This Row],[ÜRÜN KODU]],YMKODLARI!$A$1:$K$363,4,0)," ")</f>
        <v xml:space="preserve"> </v>
      </c>
      <c r="I322" s="100"/>
      <c r="J322" s="100" t="str">
        <f>IFERROR(VLOOKUP(Tablo517[[#This Row],[ÜRÜN KODU]],YMKODLARI!$A$1:$K$363,9,0)," ")</f>
        <v xml:space="preserve"> </v>
      </c>
      <c r="K322" s="100" t="str">
        <f>IFERROR(VLOOKUP(Tablo517[[#This Row],[BOYA KODU]],Tablo14[#All],4,0)," ")</f>
        <v xml:space="preserve"> </v>
      </c>
      <c r="L322" s="100" t="str">
        <f>IFERROR(VLOOKUP(Tablo517[[#This Row],[BOYA KODU]],Tablo14[#All],6,0)," ")</f>
        <v xml:space="preserve"> </v>
      </c>
      <c r="M322" s="100" t="str">
        <f t="shared" ref="M322:M385" si="36">IFERROR((I322*Q322)*L322," ")</f>
        <v xml:space="preserve"> </v>
      </c>
      <c r="N322" s="100" t="str">
        <f>IFERROR(VLOOKUP(Tablo517[[#This Row],[ÜRÜN KODU]],YMKODLARI!$A$1:$K$363,8,0)," ")</f>
        <v xml:space="preserve"> </v>
      </c>
      <c r="O322" s="100" t="str">
        <f>IFERROR(VLOOKUP(Tablo517[[#This Row],[HAMMADDE KODU]],Tablo1[#All],3,0)," ")</f>
        <v xml:space="preserve"> </v>
      </c>
      <c r="P322" s="100" t="str">
        <f>IFERROR(VLOOKUP(Tablo517[[#This Row],[HAMMADDE KODU]],Tablo1[#All],4,0)," ")</f>
        <v xml:space="preserve"> </v>
      </c>
      <c r="Q322" s="100" t="str">
        <f>IFERROR(VLOOKUP(Tablo517[[#This Row],[ÜRÜN KODU]],YMKODLARI!$A$1:$K$363,5,0)," ")</f>
        <v xml:space="preserve"> </v>
      </c>
      <c r="R322" s="100" t="str">
        <f>IFERROR(VLOOKUP(Tablo517[[#This Row],[ÜRÜN KODU]],YMKODLARI!$A$1:$K$363,6,0)," ")</f>
        <v xml:space="preserve"> </v>
      </c>
      <c r="S322" s="100" t="str">
        <f>IFERROR(Tablo517[[#This Row],[YOLLUK HARİÇ BASKI GRAMI]]/Tablo517[[#This Row],[KALIP GÖZ ADEDİ]]," ")</f>
        <v xml:space="preserve"> </v>
      </c>
      <c r="T322" s="100" t="str">
        <f t="shared" si="31"/>
        <v xml:space="preserve"> </v>
      </c>
      <c r="U322" s="100"/>
      <c r="V322" s="100" t="str">
        <f t="shared" ref="V322:V385" si="37">IFERROR(U322+(R322*I322) /1000," ")</f>
        <v xml:space="preserve"> </v>
      </c>
      <c r="W322" s="101">
        <f t="shared" si="32"/>
        <v>24</v>
      </c>
      <c r="X322" s="102">
        <f t="shared" si="33"/>
        <v>0</v>
      </c>
      <c r="Y322" s="100" t="str">
        <f t="shared" si="34"/>
        <v xml:space="preserve"> </v>
      </c>
      <c r="Z322" s="100" t="str">
        <f t="shared" si="35"/>
        <v xml:space="preserve"> </v>
      </c>
    </row>
    <row r="323" spans="1:26">
      <c r="A323" s="100"/>
      <c r="B323" s="108" t="str">
        <f>IFERROR(VLOOKUP(Tablo517[[#This Row],[ÜRÜN KODU]],YMKODLARI!$A$1:$K$363,2,0)," ")</f>
        <v xml:space="preserve"> </v>
      </c>
      <c r="C323" s="99"/>
      <c r="D323" s="100"/>
      <c r="E323" s="101"/>
      <c r="F323" s="101"/>
      <c r="G323" s="100" t="str">
        <f>IFERROR(VLOOKUP(Tablo517[[#This Row],[ÜRÜN KODU]],YMKODLARI!$A$1:$K$363,3,0)," ")</f>
        <v xml:space="preserve"> </v>
      </c>
      <c r="H323" s="100" t="str">
        <f>IFERROR(VLOOKUP(Tablo517[[#This Row],[ÜRÜN KODU]],YMKODLARI!$A$1:$K$363,4,0)," ")</f>
        <v xml:space="preserve"> </v>
      </c>
      <c r="I323" s="100"/>
      <c r="J323" s="100" t="str">
        <f>IFERROR(VLOOKUP(Tablo517[[#This Row],[ÜRÜN KODU]],YMKODLARI!$A$1:$K$363,9,0)," ")</f>
        <v xml:space="preserve"> </v>
      </c>
      <c r="K323" s="100" t="str">
        <f>IFERROR(VLOOKUP(Tablo517[[#This Row],[BOYA KODU]],Tablo14[#All],4,0)," ")</f>
        <v xml:space="preserve"> </v>
      </c>
      <c r="L323" s="100" t="str">
        <f>IFERROR(VLOOKUP(Tablo517[[#This Row],[BOYA KODU]],Tablo14[#All],6,0)," ")</f>
        <v xml:space="preserve"> </v>
      </c>
      <c r="M323" s="100" t="str">
        <f t="shared" si="36"/>
        <v xml:space="preserve"> </v>
      </c>
      <c r="N323" s="100" t="str">
        <f>IFERROR(VLOOKUP(Tablo517[[#This Row],[ÜRÜN KODU]],YMKODLARI!$A$1:$K$363,8,0)," ")</f>
        <v xml:space="preserve"> </v>
      </c>
      <c r="O323" s="100" t="str">
        <f>IFERROR(VLOOKUP(Tablo517[[#This Row],[HAMMADDE KODU]],Tablo1[#All],3,0)," ")</f>
        <v xml:space="preserve"> </v>
      </c>
      <c r="P323" s="100" t="str">
        <f>IFERROR(VLOOKUP(Tablo517[[#This Row],[HAMMADDE KODU]],Tablo1[#All],4,0)," ")</f>
        <v xml:space="preserve"> </v>
      </c>
      <c r="Q323" s="100" t="str">
        <f>IFERROR(VLOOKUP(Tablo517[[#This Row],[ÜRÜN KODU]],YMKODLARI!$A$1:$K$363,5,0)," ")</f>
        <v xml:space="preserve"> </v>
      </c>
      <c r="R323" s="100" t="str">
        <f>IFERROR(VLOOKUP(Tablo517[[#This Row],[ÜRÜN KODU]],YMKODLARI!$A$1:$K$363,6,0)," ")</f>
        <v xml:space="preserve"> </v>
      </c>
      <c r="S323" s="100" t="str">
        <f>IFERROR(Tablo517[[#This Row],[YOLLUK HARİÇ BASKI GRAMI]]/Tablo517[[#This Row],[KALIP GÖZ ADEDİ]]," ")</f>
        <v xml:space="preserve"> </v>
      </c>
      <c r="T323" s="100" t="str">
        <f t="shared" ref="T323:T386" si="38">IFERROR(Q323-R323," ")</f>
        <v xml:space="preserve"> </v>
      </c>
      <c r="U323" s="100"/>
      <c r="V323" s="100" t="str">
        <f t="shared" si="37"/>
        <v xml:space="preserve"> </v>
      </c>
      <c r="W323" s="101">
        <f t="shared" ref="W323:W386" si="39">IFERROR(24-(E323-F323)," ")</f>
        <v>24</v>
      </c>
      <c r="X323" s="102">
        <f t="shared" ref="X323:X386" si="40">IFERROR((W323-INT(W323))*24," ")</f>
        <v>0</v>
      </c>
      <c r="Y323" s="100" t="str">
        <f t="shared" ref="Y323:Y386" si="41">IFERROR(H323*I323/3600," ")</f>
        <v xml:space="preserve"> </v>
      </c>
      <c r="Z323" s="100" t="str">
        <f t="shared" ref="Z323:Z386" si="42">IFERROR(I323*G323," " )</f>
        <v xml:space="preserve"> </v>
      </c>
    </row>
    <row r="324" spans="1:26">
      <c r="A324" s="100"/>
      <c r="B324" s="108" t="str">
        <f>IFERROR(VLOOKUP(Tablo517[[#This Row],[ÜRÜN KODU]],YMKODLARI!$A$1:$K$363,2,0)," ")</f>
        <v xml:space="preserve"> </v>
      </c>
      <c r="C324" s="99"/>
      <c r="D324" s="100"/>
      <c r="E324" s="101"/>
      <c r="F324" s="101"/>
      <c r="G324" s="100" t="str">
        <f>IFERROR(VLOOKUP(Tablo517[[#This Row],[ÜRÜN KODU]],YMKODLARI!$A$1:$K$363,3,0)," ")</f>
        <v xml:space="preserve"> </v>
      </c>
      <c r="H324" s="100" t="str">
        <f>IFERROR(VLOOKUP(Tablo517[[#This Row],[ÜRÜN KODU]],YMKODLARI!$A$1:$K$363,4,0)," ")</f>
        <v xml:space="preserve"> </v>
      </c>
      <c r="I324" s="100"/>
      <c r="J324" s="100" t="str">
        <f>IFERROR(VLOOKUP(Tablo517[[#This Row],[ÜRÜN KODU]],YMKODLARI!$A$1:$K$363,9,0)," ")</f>
        <v xml:space="preserve"> </v>
      </c>
      <c r="K324" s="100" t="str">
        <f>IFERROR(VLOOKUP(Tablo517[[#This Row],[BOYA KODU]],Tablo14[#All],4,0)," ")</f>
        <v xml:space="preserve"> </v>
      </c>
      <c r="L324" s="100" t="str">
        <f>IFERROR(VLOOKUP(Tablo517[[#This Row],[BOYA KODU]],Tablo14[#All],6,0)," ")</f>
        <v xml:space="preserve"> </v>
      </c>
      <c r="M324" s="100" t="str">
        <f t="shared" si="36"/>
        <v xml:space="preserve"> </v>
      </c>
      <c r="N324" s="100" t="str">
        <f>IFERROR(VLOOKUP(Tablo517[[#This Row],[ÜRÜN KODU]],YMKODLARI!$A$1:$K$363,8,0)," ")</f>
        <v xml:space="preserve"> </v>
      </c>
      <c r="O324" s="100" t="str">
        <f>IFERROR(VLOOKUP(Tablo517[[#This Row],[HAMMADDE KODU]],Tablo1[#All],3,0)," ")</f>
        <v xml:space="preserve"> </v>
      </c>
      <c r="P324" s="100" t="str">
        <f>IFERROR(VLOOKUP(Tablo517[[#This Row],[HAMMADDE KODU]],Tablo1[#All],4,0)," ")</f>
        <v xml:space="preserve"> </v>
      </c>
      <c r="Q324" s="100" t="str">
        <f>IFERROR(VLOOKUP(Tablo517[[#This Row],[ÜRÜN KODU]],YMKODLARI!$A$1:$K$363,5,0)," ")</f>
        <v xml:space="preserve"> </v>
      </c>
      <c r="R324" s="100" t="str">
        <f>IFERROR(VLOOKUP(Tablo517[[#This Row],[ÜRÜN KODU]],YMKODLARI!$A$1:$K$363,6,0)," ")</f>
        <v xml:space="preserve"> </v>
      </c>
      <c r="S324" s="100" t="str">
        <f>IFERROR(Tablo517[[#This Row],[YOLLUK HARİÇ BASKI GRAMI]]/Tablo517[[#This Row],[KALIP GÖZ ADEDİ]]," ")</f>
        <v xml:space="preserve"> </v>
      </c>
      <c r="T324" s="100" t="str">
        <f t="shared" si="38"/>
        <v xml:space="preserve"> </v>
      </c>
      <c r="U324" s="100"/>
      <c r="V324" s="100" t="str">
        <f t="shared" si="37"/>
        <v xml:space="preserve"> </v>
      </c>
      <c r="W324" s="101">
        <f t="shared" si="39"/>
        <v>24</v>
      </c>
      <c r="X324" s="102">
        <f t="shared" si="40"/>
        <v>0</v>
      </c>
      <c r="Y324" s="100" t="str">
        <f t="shared" si="41"/>
        <v xml:space="preserve"> </v>
      </c>
      <c r="Z324" s="100" t="str">
        <f t="shared" si="42"/>
        <v xml:space="preserve"> </v>
      </c>
    </row>
    <row r="325" spans="1:26">
      <c r="A325" s="100"/>
      <c r="B325" s="108" t="str">
        <f>IFERROR(VLOOKUP(Tablo517[[#This Row],[ÜRÜN KODU]],YMKODLARI!$A$1:$K$363,2,0)," ")</f>
        <v xml:space="preserve"> </v>
      </c>
      <c r="C325" s="99"/>
      <c r="D325" s="100"/>
      <c r="E325" s="101"/>
      <c r="F325" s="101"/>
      <c r="G325" s="100" t="str">
        <f>IFERROR(VLOOKUP(Tablo517[[#This Row],[ÜRÜN KODU]],YMKODLARI!$A$1:$K$363,3,0)," ")</f>
        <v xml:space="preserve"> </v>
      </c>
      <c r="H325" s="100" t="str">
        <f>IFERROR(VLOOKUP(Tablo517[[#This Row],[ÜRÜN KODU]],YMKODLARI!$A$1:$K$363,4,0)," ")</f>
        <v xml:space="preserve"> </v>
      </c>
      <c r="I325" s="100"/>
      <c r="J325" s="100" t="str">
        <f>IFERROR(VLOOKUP(Tablo517[[#This Row],[ÜRÜN KODU]],YMKODLARI!$A$1:$K$363,9,0)," ")</f>
        <v xml:space="preserve"> </v>
      </c>
      <c r="K325" s="100" t="str">
        <f>IFERROR(VLOOKUP(Tablo517[[#This Row],[BOYA KODU]],Tablo14[#All],4,0)," ")</f>
        <v xml:space="preserve"> </v>
      </c>
      <c r="L325" s="100" t="str">
        <f>IFERROR(VLOOKUP(Tablo517[[#This Row],[BOYA KODU]],Tablo14[#All],6,0)," ")</f>
        <v xml:space="preserve"> </v>
      </c>
      <c r="M325" s="100" t="str">
        <f t="shared" si="36"/>
        <v xml:space="preserve"> </v>
      </c>
      <c r="N325" s="100" t="str">
        <f>IFERROR(VLOOKUP(Tablo517[[#This Row],[ÜRÜN KODU]],YMKODLARI!$A$1:$K$363,8,0)," ")</f>
        <v xml:space="preserve"> </v>
      </c>
      <c r="O325" s="100" t="str">
        <f>IFERROR(VLOOKUP(Tablo517[[#This Row],[HAMMADDE KODU]],Tablo1[#All],3,0)," ")</f>
        <v xml:space="preserve"> </v>
      </c>
      <c r="P325" s="100" t="str">
        <f>IFERROR(VLOOKUP(Tablo517[[#This Row],[HAMMADDE KODU]],Tablo1[#All],4,0)," ")</f>
        <v xml:space="preserve"> </v>
      </c>
      <c r="Q325" s="100" t="str">
        <f>IFERROR(VLOOKUP(Tablo517[[#This Row],[ÜRÜN KODU]],YMKODLARI!$A$1:$K$363,5,0)," ")</f>
        <v xml:space="preserve"> </v>
      </c>
      <c r="R325" s="100" t="str">
        <f>IFERROR(VLOOKUP(Tablo517[[#This Row],[ÜRÜN KODU]],YMKODLARI!$A$1:$K$363,6,0)," ")</f>
        <v xml:space="preserve"> </v>
      </c>
      <c r="S325" s="100" t="str">
        <f>IFERROR(Tablo517[[#This Row],[YOLLUK HARİÇ BASKI GRAMI]]/Tablo517[[#This Row],[KALIP GÖZ ADEDİ]]," ")</f>
        <v xml:space="preserve"> </v>
      </c>
      <c r="T325" s="100" t="str">
        <f t="shared" si="38"/>
        <v xml:space="preserve"> </v>
      </c>
      <c r="U325" s="100"/>
      <c r="V325" s="100" t="str">
        <f t="shared" si="37"/>
        <v xml:space="preserve"> </v>
      </c>
      <c r="W325" s="101">
        <f t="shared" si="39"/>
        <v>24</v>
      </c>
      <c r="X325" s="102">
        <f t="shared" si="40"/>
        <v>0</v>
      </c>
      <c r="Y325" s="100" t="str">
        <f t="shared" si="41"/>
        <v xml:space="preserve"> </v>
      </c>
      <c r="Z325" s="100" t="str">
        <f t="shared" si="42"/>
        <v xml:space="preserve"> </v>
      </c>
    </row>
    <row r="326" spans="1:26">
      <c r="A326" s="100"/>
      <c r="B326" s="108" t="str">
        <f>IFERROR(VLOOKUP(Tablo517[[#This Row],[ÜRÜN KODU]],YMKODLARI!$A$1:$K$363,2,0)," ")</f>
        <v xml:space="preserve"> </v>
      </c>
      <c r="C326" s="99"/>
      <c r="D326" s="100"/>
      <c r="E326" s="101"/>
      <c r="F326" s="101"/>
      <c r="G326" s="100" t="str">
        <f>IFERROR(VLOOKUP(Tablo517[[#This Row],[ÜRÜN KODU]],YMKODLARI!$A$1:$K$363,3,0)," ")</f>
        <v xml:space="preserve"> </v>
      </c>
      <c r="H326" s="100" t="str">
        <f>IFERROR(VLOOKUP(Tablo517[[#This Row],[ÜRÜN KODU]],YMKODLARI!$A$1:$K$363,4,0)," ")</f>
        <v xml:space="preserve"> </v>
      </c>
      <c r="I326" s="100"/>
      <c r="J326" s="100" t="str">
        <f>IFERROR(VLOOKUP(Tablo517[[#This Row],[ÜRÜN KODU]],YMKODLARI!$A$1:$K$363,9,0)," ")</f>
        <v xml:space="preserve"> </v>
      </c>
      <c r="K326" s="100" t="str">
        <f>IFERROR(VLOOKUP(Tablo517[[#This Row],[BOYA KODU]],Tablo14[#All],4,0)," ")</f>
        <v xml:space="preserve"> </v>
      </c>
      <c r="L326" s="100" t="str">
        <f>IFERROR(VLOOKUP(Tablo517[[#This Row],[BOYA KODU]],Tablo14[#All],6,0)," ")</f>
        <v xml:space="preserve"> </v>
      </c>
      <c r="M326" s="100" t="str">
        <f t="shared" si="36"/>
        <v xml:space="preserve"> </v>
      </c>
      <c r="N326" s="100" t="str">
        <f>IFERROR(VLOOKUP(Tablo517[[#This Row],[ÜRÜN KODU]],YMKODLARI!$A$1:$K$363,8,0)," ")</f>
        <v xml:space="preserve"> </v>
      </c>
      <c r="O326" s="100" t="str">
        <f>IFERROR(VLOOKUP(Tablo517[[#This Row],[HAMMADDE KODU]],Tablo1[#All],3,0)," ")</f>
        <v xml:space="preserve"> </v>
      </c>
      <c r="P326" s="100" t="str">
        <f>IFERROR(VLOOKUP(Tablo517[[#This Row],[HAMMADDE KODU]],Tablo1[#All],4,0)," ")</f>
        <v xml:space="preserve"> </v>
      </c>
      <c r="Q326" s="100" t="str">
        <f>IFERROR(VLOOKUP(Tablo517[[#This Row],[ÜRÜN KODU]],YMKODLARI!$A$1:$K$363,5,0)," ")</f>
        <v xml:space="preserve"> </v>
      </c>
      <c r="R326" s="100" t="str">
        <f>IFERROR(VLOOKUP(Tablo517[[#This Row],[ÜRÜN KODU]],YMKODLARI!$A$1:$K$363,6,0)," ")</f>
        <v xml:space="preserve"> </v>
      </c>
      <c r="S326" s="100" t="str">
        <f>IFERROR(Tablo517[[#This Row],[YOLLUK HARİÇ BASKI GRAMI]]/Tablo517[[#This Row],[KALIP GÖZ ADEDİ]]," ")</f>
        <v xml:space="preserve"> </v>
      </c>
      <c r="T326" s="100" t="str">
        <f t="shared" si="38"/>
        <v xml:space="preserve"> </v>
      </c>
      <c r="U326" s="100"/>
      <c r="V326" s="100" t="str">
        <f t="shared" si="37"/>
        <v xml:space="preserve"> </v>
      </c>
      <c r="W326" s="101">
        <f t="shared" si="39"/>
        <v>24</v>
      </c>
      <c r="X326" s="102">
        <f t="shared" si="40"/>
        <v>0</v>
      </c>
      <c r="Y326" s="100" t="str">
        <f t="shared" si="41"/>
        <v xml:space="preserve"> </v>
      </c>
      <c r="Z326" s="100" t="str">
        <f t="shared" si="42"/>
        <v xml:space="preserve"> </v>
      </c>
    </row>
    <row r="327" spans="1:26">
      <c r="A327" s="100"/>
      <c r="B327" s="108" t="str">
        <f>IFERROR(VLOOKUP(Tablo517[[#This Row],[ÜRÜN KODU]],YMKODLARI!$A$1:$K$363,2,0)," ")</f>
        <v xml:space="preserve"> </v>
      </c>
      <c r="C327" s="99"/>
      <c r="D327" s="100"/>
      <c r="E327" s="101"/>
      <c r="F327" s="101"/>
      <c r="G327" s="100" t="str">
        <f>IFERROR(VLOOKUP(Tablo517[[#This Row],[ÜRÜN KODU]],YMKODLARI!$A$1:$K$363,3,0)," ")</f>
        <v xml:space="preserve"> </v>
      </c>
      <c r="H327" s="100" t="str">
        <f>IFERROR(VLOOKUP(Tablo517[[#This Row],[ÜRÜN KODU]],YMKODLARI!$A$1:$K$363,4,0)," ")</f>
        <v xml:space="preserve"> </v>
      </c>
      <c r="I327" s="100"/>
      <c r="J327" s="100" t="str">
        <f>IFERROR(VLOOKUP(Tablo517[[#This Row],[ÜRÜN KODU]],YMKODLARI!$A$1:$K$363,9,0)," ")</f>
        <v xml:space="preserve"> </v>
      </c>
      <c r="K327" s="100" t="str">
        <f>IFERROR(VLOOKUP(Tablo517[[#This Row],[BOYA KODU]],Tablo14[#All],4,0)," ")</f>
        <v xml:space="preserve"> </v>
      </c>
      <c r="L327" s="100" t="str">
        <f>IFERROR(VLOOKUP(Tablo517[[#This Row],[BOYA KODU]],Tablo14[#All],6,0)," ")</f>
        <v xml:space="preserve"> </v>
      </c>
      <c r="M327" s="100" t="str">
        <f t="shared" si="36"/>
        <v xml:space="preserve"> </v>
      </c>
      <c r="N327" s="100" t="str">
        <f>IFERROR(VLOOKUP(Tablo517[[#This Row],[ÜRÜN KODU]],YMKODLARI!$A$1:$K$363,8,0)," ")</f>
        <v xml:space="preserve"> </v>
      </c>
      <c r="O327" s="100" t="str">
        <f>IFERROR(VLOOKUP(Tablo517[[#This Row],[HAMMADDE KODU]],Tablo1[#All],3,0)," ")</f>
        <v xml:space="preserve"> </v>
      </c>
      <c r="P327" s="100" t="str">
        <f>IFERROR(VLOOKUP(Tablo517[[#This Row],[HAMMADDE KODU]],Tablo1[#All],4,0)," ")</f>
        <v xml:space="preserve"> </v>
      </c>
      <c r="Q327" s="100" t="str">
        <f>IFERROR(VLOOKUP(Tablo517[[#This Row],[ÜRÜN KODU]],YMKODLARI!$A$1:$K$363,5,0)," ")</f>
        <v xml:space="preserve"> </v>
      </c>
      <c r="R327" s="100" t="str">
        <f>IFERROR(VLOOKUP(Tablo517[[#This Row],[ÜRÜN KODU]],YMKODLARI!$A$1:$K$363,6,0)," ")</f>
        <v xml:space="preserve"> </v>
      </c>
      <c r="S327" s="100" t="str">
        <f>IFERROR(Tablo517[[#This Row],[YOLLUK HARİÇ BASKI GRAMI]]/Tablo517[[#This Row],[KALIP GÖZ ADEDİ]]," ")</f>
        <v xml:space="preserve"> </v>
      </c>
      <c r="T327" s="100" t="str">
        <f t="shared" si="38"/>
        <v xml:space="preserve"> </v>
      </c>
      <c r="U327" s="100"/>
      <c r="V327" s="100" t="str">
        <f t="shared" si="37"/>
        <v xml:space="preserve"> </v>
      </c>
      <c r="W327" s="101">
        <f t="shared" si="39"/>
        <v>24</v>
      </c>
      <c r="X327" s="102">
        <f t="shared" si="40"/>
        <v>0</v>
      </c>
      <c r="Y327" s="100" t="str">
        <f t="shared" si="41"/>
        <v xml:space="preserve"> </v>
      </c>
      <c r="Z327" s="100" t="str">
        <f t="shared" si="42"/>
        <v xml:space="preserve"> </v>
      </c>
    </row>
    <row r="328" spans="1:26">
      <c r="A328" s="100"/>
      <c r="B328" s="108" t="str">
        <f>IFERROR(VLOOKUP(Tablo517[[#This Row],[ÜRÜN KODU]],YMKODLARI!$A$1:$K$363,2,0)," ")</f>
        <v xml:space="preserve"> </v>
      </c>
      <c r="C328" s="99"/>
      <c r="D328" s="100"/>
      <c r="E328" s="101"/>
      <c r="F328" s="101"/>
      <c r="G328" s="100" t="str">
        <f>IFERROR(VLOOKUP(Tablo517[[#This Row],[ÜRÜN KODU]],YMKODLARI!$A$1:$K$363,3,0)," ")</f>
        <v xml:space="preserve"> </v>
      </c>
      <c r="H328" s="100" t="str">
        <f>IFERROR(VLOOKUP(Tablo517[[#This Row],[ÜRÜN KODU]],YMKODLARI!$A$1:$K$363,4,0)," ")</f>
        <v xml:space="preserve"> </v>
      </c>
      <c r="I328" s="100"/>
      <c r="J328" s="100" t="str">
        <f>IFERROR(VLOOKUP(Tablo517[[#This Row],[ÜRÜN KODU]],YMKODLARI!$A$1:$K$363,9,0)," ")</f>
        <v xml:space="preserve"> </v>
      </c>
      <c r="K328" s="100" t="str">
        <f>IFERROR(VLOOKUP(Tablo517[[#This Row],[BOYA KODU]],Tablo14[#All],4,0)," ")</f>
        <v xml:space="preserve"> </v>
      </c>
      <c r="L328" s="100" t="str">
        <f>IFERROR(VLOOKUP(Tablo517[[#This Row],[BOYA KODU]],Tablo14[#All],6,0)," ")</f>
        <v xml:space="preserve"> </v>
      </c>
      <c r="M328" s="100" t="str">
        <f t="shared" si="36"/>
        <v xml:space="preserve"> </v>
      </c>
      <c r="N328" s="100" t="str">
        <f>IFERROR(VLOOKUP(Tablo517[[#This Row],[ÜRÜN KODU]],YMKODLARI!$A$1:$K$363,8,0)," ")</f>
        <v xml:space="preserve"> </v>
      </c>
      <c r="O328" s="100" t="str">
        <f>IFERROR(VLOOKUP(Tablo517[[#This Row],[HAMMADDE KODU]],Tablo1[#All],3,0)," ")</f>
        <v xml:space="preserve"> </v>
      </c>
      <c r="P328" s="100" t="str">
        <f>IFERROR(VLOOKUP(Tablo517[[#This Row],[HAMMADDE KODU]],Tablo1[#All],4,0)," ")</f>
        <v xml:space="preserve"> </v>
      </c>
      <c r="Q328" s="100" t="str">
        <f>IFERROR(VLOOKUP(Tablo517[[#This Row],[ÜRÜN KODU]],YMKODLARI!$A$1:$K$363,5,0)," ")</f>
        <v xml:space="preserve"> </v>
      </c>
      <c r="R328" s="100" t="str">
        <f>IFERROR(VLOOKUP(Tablo517[[#This Row],[ÜRÜN KODU]],YMKODLARI!$A$1:$K$363,6,0)," ")</f>
        <v xml:space="preserve"> </v>
      </c>
      <c r="S328" s="100" t="str">
        <f>IFERROR(Tablo517[[#This Row],[YOLLUK HARİÇ BASKI GRAMI]]/Tablo517[[#This Row],[KALIP GÖZ ADEDİ]]," ")</f>
        <v xml:space="preserve"> </v>
      </c>
      <c r="T328" s="100" t="str">
        <f t="shared" si="38"/>
        <v xml:space="preserve"> </v>
      </c>
      <c r="U328" s="100"/>
      <c r="V328" s="100" t="str">
        <f t="shared" si="37"/>
        <v xml:space="preserve"> </v>
      </c>
      <c r="W328" s="101">
        <f t="shared" si="39"/>
        <v>24</v>
      </c>
      <c r="X328" s="102">
        <f t="shared" si="40"/>
        <v>0</v>
      </c>
      <c r="Y328" s="100" t="str">
        <f t="shared" si="41"/>
        <v xml:space="preserve"> </v>
      </c>
      <c r="Z328" s="100" t="str">
        <f t="shared" si="42"/>
        <v xml:space="preserve"> </v>
      </c>
    </row>
    <row r="329" spans="1:26">
      <c r="A329" s="100"/>
      <c r="B329" s="108" t="str">
        <f>IFERROR(VLOOKUP(Tablo517[[#This Row],[ÜRÜN KODU]],YMKODLARI!$A$1:$K$363,2,0)," ")</f>
        <v xml:space="preserve"> </v>
      </c>
      <c r="C329" s="99"/>
      <c r="D329" s="100"/>
      <c r="E329" s="101"/>
      <c r="F329" s="101"/>
      <c r="G329" s="100" t="str">
        <f>IFERROR(VLOOKUP(Tablo517[[#This Row],[ÜRÜN KODU]],YMKODLARI!$A$1:$K$363,3,0)," ")</f>
        <v xml:space="preserve"> </v>
      </c>
      <c r="H329" s="100" t="str">
        <f>IFERROR(VLOOKUP(Tablo517[[#This Row],[ÜRÜN KODU]],YMKODLARI!$A$1:$K$363,4,0)," ")</f>
        <v xml:space="preserve"> </v>
      </c>
      <c r="I329" s="100"/>
      <c r="J329" s="100" t="str">
        <f>IFERROR(VLOOKUP(Tablo517[[#This Row],[ÜRÜN KODU]],YMKODLARI!$A$1:$K$363,9,0)," ")</f>
        <v xml:space="preserve"> </v>
      </c>
      <c r="K329" s="100" t="str">
        <f>IFERROR(VLOOKUP(Tablo517[[#This Row],[BOYA KODU]],Tablo14[#All],4,0)," ")</f>
        <v xml:space="preserve"> </v>
      </c>
      <c r="L329" s="100" t="str">
        <f>IFERROR(VLOOKUP(Tablo517[[#This Row],[BOYA KODU]],Tablo14[#All],6,0)," ")</f>
        <v xml:space="preserve"> </v>
      </c>
      <c r="M329" s="100" t="str">
        <f t="shared" si="36"/>
        <v xml:space="preserve"> </v>
      </c>
      <c r="N329" s="100" t="str">
        <f>IFERROR(VLOOKUP(Tablo517[[#This Row],[ÜRÜN KODU]],YMKODLARI!$A$1:$K$363,8,0)," ")</f>
        <v xml:space="preserve"> </v>
      </c>
      <c r="O329" s="100" t="str">
        <f>IFERROR(VLOOKUP(Tablo517[[#This Row],[HAMMADDE KODU]],Tablo1[#All],3,0)," ")</f>
        <v xml:space="preserve"> </v>
      </c>
      <c r="P329" s="100" t="str">
        <f>IFERROR(VLOOKUP(Tablo517[[#This Row],[HAMMADDE KODU]],Tablo1[#All],4,0)," ")</f>
        <v xml:space="preserve"> </v>
      </c>
      <c r="Q329" s="100" t="str">
        <f>IFERROR(VLOOKUP(Tablo517[[#This Row],[ÜRÜN KODU]],YMKODLARI!$A$1:$K$363,5,0)," ")</f>
        <v xml:space="preserve"> </v>
      </c>
      <c r="R329" s="100" t="str">
        <f>IFERROR(VLOOKUP(Tablo517[[#This Row],[ÜRÜN KODU]],YMKODLARI!$A$1:$K$363,6,0)," ")</f>
        <v xml:space="preserve"> </v>
      </c>
      <c r="S329" s="100" t="str">
        <f>IFERROR(Tablo517[[#This Row],[YOLLUK HARİÇ BASKI GRAMI]]/Tablo517[[#This Row],[KALIP GÖZ ADEDİ]]," ")</f>
        <v xml:space="preserve"> </v>
      </c>
      <c r="T329" s="100" t="str">
        <f t="shared" si="38"/>
        <v xml:space="preserve"> </v>
      </c>
      <c r="U329" s="100"/>
      <c r="V329" s="100" t="str">
        <f t="shared" si="37"/>
        <v xml:space="preserve"> </v>
      </c>
      <c r="W329" s="101">
        <f t="shared" si="39"/>
        <v>24</v>
      </c>
      <c r="X329" s="102">
        <f t="shared" si="40"/>
        <v>0</v>
      </c>
      <c r="Y329" s="100" t="str">
        <f t="shared" si="41"/>
        <v xml:space="preserve"> </v>
      </c>
      <c r="Z329" s="100" t="str">
        <f t="shared" si="42"/>
        <v xml:space="preserve"> </v>
      </c>
    </row>
    <row r="330" spans="1:26">
      <c r="A330" s="100"/>
      <c r="B330" s="108" t="str">
        <f>IFERROR(VLOOKUP(Tablo517[[#This Row],[ÜRÜN KODU]],YMKODLARI!$A$1:$K$363,2,0)," ")</f>
        <v xml:space="preserve"> </v>
      </c>
      <c r="C330" s="99"/>
      <c r="D330" s="100"/>
      <c r="E330" s="101"/>
      <c r="F330" s="101"/>
      <c r="G330" s="100" t="str">
        <f>IFERROR(VLOOKUP(Tablo517[[#This Row],[ÜRÜN KODU]],YMKODLARI!$A$1:$K$363,3,0)," ")</f>
        <v xml:space="preserve"> </v>
      </c>
      <c r="H330" s="100" t="str">
        <f>IFERROR(VLOOKUP(Tablo517[[#This Row],[ÜRÜN KODU]],YMKODLARI!$A$1:$K$363,4,0)," ")</f>
        <v xml:space="preserve"> </v>
      </c>
      <c r="I330" s="100"/>
      <c r="J330" s="100" t="str">
        <f>IFERROR(VLOOKUP(Tablo517[[#This Row],[ÜRÜN KODU]],YMKODLARI!$A$1:$K$363,9,0)," ")</f>
        <v xml:space="preserve"> </v>
      </c>
      <c r="K330" s="100" t="str">
        <f>IFERROR(VLOOKUP(Tablo517[[#This Row],[BOYA KODU]],Tablo14[#All],4,0)," ")</f>
        <v xml:space="preserve"> </v>
      </c>
      <c r="L330" s="100" t="str">
        <f>IFERROR(VLOOKUP(Tablo517[[#This Row],[BOYA KODU]],Tablo14[#All],6,0)," ")</f>
        <v xml:space="preserve"> </v>
      </c>
      <c r="M330" s="100" t="str">
        <f t="shared" si="36"/>
        <v xml:space="preserve"> </v>
      </c>
      <c r="N330" s="100" t="str">
        <f>IFERROR(VLOOKUP(Tablo517[[#This Row],[ÜRÜN KODU]],YMKODLARI!$A$1:$K$363,8,0)," ")</f>
        <v xml:space="preserve"> </v>
      </c>
      <c r="O330" s="100" t="str">
        <f>IFERROR(VLOOKUP(Tablo517[[#This Row],[HAMMADDE KODU]],Tablo1[#All],3,0)," ")</f>
        <v xml:space="preserve"> </v>
      </c>
      <c r="P330" s="100" t="str">
        <f>IFERROR(VLOOKUP(Tablo517[[#This Row],[HAMMADDE KODU]],Tablo1[#All],4,0)," ")</f>
        <v xml:space="preserve"> </v>
      </c>
      <c r="Q330" s="100" t="str">
        <f>IFERROR(VLOOKUP(Tablo517[[#This Row],[ÜRÜN KODU]],YMKODLARI!$A$1:$K$363,5,0)," ")</f>
        <v xml:space="preserve"> </v>
      </c>
      <c r="R330" s="100" t="str">
        <f>IFERROR(VLOOKUP(Tablo517[[#This Row],[ÜRÜN KODU]],YMKODLARI!$A$1:$K$363,6,0)," ")</f>
        <v xml:space="preserve"> </v>
      </c>
      <c r="S330" s="100" t="str">
        <f>IFERROR(Tablo517[[#This Row],[YOLLUK HARİÇ BASKI GRAMI]]/Tablo517[[#This Row],[KALIP GÖZ ADEDİ]]," ")</f>
        <v xml:space="preserve"> </v>
      </c>
      <c r="T330" s="100" t="str">
        <f t="shared" si="38"/>
        <v xml:space="preserve"> </v>
      </c>
      <c r="U330" s="100"/>
      <c r="V330" s="100" t="str">
        <f t="shared" si="37"/>
        <v xml:space="preserve"> </v>
      </c>
      <c r="W330" s="101">
        <f t="shared" si="39"/>
        <v>24</v>
      </c>
      <c r="X330" s="102">
        <f t="shared" si="40"/>
        <v>0</v>
      </c>
      <c r="Y330" s="100" t="str">
        <f t="shared" si="41"/>
        <v xml:space="preserve"> </v>
      </c>
      <c r="Z330" s="100" t="str">
        <f t="shared" si="42"/>
        <v xml:space="preserve"> </v>
      </c>
    </row>
    <row r="331" spans="1:26">
      <c r="A331" s="100"/>
      <c r="B331" s="108" t="str">
        <f>IFERROR(VLOOKUP(Tablo517[[#This Row],[ÜRÜN KODU]],YMKODLARI!$A$1:$K$363,2,0)," ")</f>
        <v xml:space="preserve"> </v>
      </c>
      <c r="C331" s="99"/>
      <c r="D331" s="100"/>
      <c r="E331" s="101"/>
      <c r="F331" s="101"/>
      <c r="G331" s="100" t="str">
        <f>IFERROR(VLOOKUP(Tablo517[[#This Row],[ÜRÜN KODU]],YMKODLARI!$A$1:$K$363,3,0)," ")</f>
        <v xml:space="preserve"> </v>
      </c>
      <c r="H331" s="100" t="str">
        <f>IFERROR(VLOOKUP(Tablo517[[#This Row],[ÜRÜN KODU]],YMKODLARI!$A$1:$K$363,4,0)," ")</f>
        <v xml:space="preserve"> </v>
      </c>
      <c r="I331" s="100"/>
      <c r="J331" s="100" t="str">
        <f>IFERROR(VLOOKUP(Tablo517[[#This Row],[ÜRÜN KODU]],YMKODLARI!$A$1:$K$363,9,0)," ")</f>
        <v xml:space="preserve"> </v>
      </c>
      <c r="K331" s="100" t="str">
        <f>IFERROR(VLOOKUP(Tablo517[[#This Row],[BOYA KODU]],Tablo14[#All],4,0)," ")</f>
        <v xml:space="preserve"> </v>
      </c>
      <c r="L331" s="100" t="str">
        <f>IFERROR(VLOOKUP(Tablo517[[#This Row],[BOYA KODU]],Tablo14[#All],6,0)," ")</f>
        <v xml:space="preserve"> </v>
      </c>
      <c r="M331" s="100" t="str">
        <f t="shared" si="36"/>
        <v xml:space="preserve"> </v>
      </c>
      <c r="N331" s="100" t="str">
        <f>IFERROR(VLOOKUP(Tablo517[[#This Row],[ÜRÜN KODU]],YMKODLARI!$A$1:$K$363,8,0)," ")</f>
        <v xml:space="preserve"> </v>
      </c>
      <c r="O331" s="100" t="str">
        <f>IFERROR(VLOOKUP(Tablo517[[#This Row],[HAMMADDE KODU]],Tablo1[#All],3,0)," ")</f>
        <v xml:space="preserve"> </v>
      </c>
      <c r="P331" s="100" t="str">
        <f>IFERROR(VLOOKUP(Tablo517[[#This Row],[HAMMADDE KODU]],Tablo1[#All],4,0)," ")</f>
        <v xml:space="preserve"> </v>
      </c>
      <c r="Q331" s="100" t="str">
        <f>IFERROR(VLOOKUP(Tablo517[[#This Row],[ÜRÜN KODU]],YMKODLARI!$A$1:$K$363,5,0)," ")</f>
        <v xml:space="preserve"> </v>
      </c>
      <c r="R331" s="100" t="str">
        <f>IFERROR(VLOOKUP(Tablo517[[#This Row],[ÜRÜN KODU]],YMKODLARI!$A$1:$K$363,6,0)," ")</f>
        <v xml:space="preserve"> </v>
      </c>
      <c r="S331" s="100" t="str">
        <f>IFERROR(Tablo517[[#This Row],[YOLLUK HARİÇ BASKI GRAMI]]/Tablo517[[#This Row],[KALIP GÖZ ADEDİ]]," ")</f>
        <v xml:space="preserve"> </v>
      </c>
      <c r="T331" s="100" t="str">
        <f t="shared" si="38"/>
        <v xml:space="preserve"> </v>
      </c>
      <c r="U331" s="100"/>
      <c r="V331" s="100" t="str">
        <f t="shared" si="37"/>
        <v xml:space="preserve"> </v>
      </c>
      <c r="W331" s="101">
        <f t="shared" si="39"/>
        <v>24</v>
      </c>
      <c r="X331" s="102">
        <f t="shared" si="40"/>
        <v>0</v>
      </c>
      <c r="Y331" s="100" t="str">
        <f t="shared" si="41"/>
        <v xml:space="preserve"> </v>
      </c>
      <c r="Z331" s="100" t="str">
        <f t="shared" si="42"/>
        <v xml:space="preserve"> </v>
      </c>
    </row>
    <row r="332" spans="1:26">
      <c r="A332" s="100"/>
      <c r="B332" s="108" t="str">
        <f>IFERROR(VLOOKUP(Tablo517[[#This Row],[ÜRÜN KODU]],YMKODLARI!$A$1:$K$363,2,0)," ")</f>
        <v xml:space="preserve"> </v>
      </c>
      <c r="C332" s="99"/>
      <c r="D332" s="100"/>
      <c r="E332" s="101"/>
      <c r="F332" s="101"/>
      <c r="G332" s="100" t="str">
        <f>IFERROR(VLOOKUP(Tablo517[[#This Row],[ÜRÜN KODU]],YMKODLARI!$A$1:$K$363,3,0)," ")</f>
        <v xml:space="preserve"> </v>
      </c>
      <c r="H332" s="100" t="str">
        <f>IFERROR(VLOOKUP(Tablo517[[#This Row],[ÜRÜN KODU]],YMKODLARI!$A$1:$K$363,4,0)," ")</f>
        <v xml:space="preserve"> </v>
      </c>
      <c r="I332" s="100"/>
      <c r="J332" s="100" t="str">
        <f>IFERROR(VLOOKUP(Tablo517[[#This Row],[ÜRÜN KODU]],YMKODLARI!$A$1:$K$363,9,0)," ")</f>
        <v xml:space="preserve"> </v>
      </c>
      <c r="K332" s="100" t="str">
        <f>IFERROR(VLOOKUP(Tablo517[[#This Row],[BOYA KODU]],Tablo14[#All],4,0)," ")</f>
        <v xml:space="preserve"> </v>
      </c>
      <c r="L332" s="100" t="str">
        <f>IFERROR(VLOOKUP(Tablo517[[#This Row],[BOYA KODU]],Tablo14[#All],6,0)," ")</f>
        <v xml:space="preserve"> </v>
      </c>
      <c r="M332" s="100" t="str">
        <f t="shared" si="36"/>
        <v xml:space="preserve"> </v>
      </c>
      <c r="N332" s="100" t="str">
        <f>IFERROR(VLOOKUP(Tablo517[[#This Row],[ÜRÜN KODU]],YMKODLARI!$A$1:$K$363,8,0)," ")</f>
        <v xml:space="preserve"> </v>
      </c>
      <c r="O332" s="100" t="str">
        <f>IFERROR(VLOOKUP(Tablo517[[#This Row],[HAMMADDE KODU]],Tablo1[#All],3,0)," ")</f>
        <v xml:space="preserve"> </v>
      </c>
      <c r="P332" s="100" t="str">
        <f>IFERROR(VLOOKUP(Tablo517[[#This Row],[HAMMADDE KODU]],Tablo1[#All],4,0)," ")</f>
        <v xml:space="preserve"> </v>
      </c>
      <c r="Q332" s="100" t="str">
        <f>IFERROR(VLOOKUP(Tablo517[[#This Row],[ÜRÜN KODU]],YMKODLARI!$A$1:$K$363,5,0)," ")</f>
        <v xml:space="preserve"> </v>
      </c>
      <c r="R332" s="100" t="str">
        <f>IFERROR(VLOOKUP(Tablo517[[#This Row],[ÜRÜN KODU]],YMKODLARI!$A$1:$K$363,6,0)," ")</f>
        <v xml:space="preserve"> </v>
      </c>
      <c r="S332" s="100" t="str">
        <f>IFERROR(Tablo517[[#This Row],[YOLLUK HARİÇ BASKI GRAMI]]/Tablo517[[#This Row],[KALIP GÖZ ADEDİ]]," ")</f>
        <v xml:space="preserve"> </v>
      </c>
      <c r="T332" s="100" t="str">
        <f t="shared" si="38"/>
        <v xml:space="preserve"> </v>
      </c>
      <c r="U332" s="100"/>
      <c r="V332" s="100" t="str">
        <f t="shared" si="37"/>
        <v xml:space="preserve"> </v>
      </c>
      <c r="W332" s="101">
        <f t="shared" si="39"/>
        <v>24</v>
      </c>
      <c r="X332" s="102">
        <f t="shared" si="40"/>
        <v>0</v>
      </c>
      <c r="Y332" s="100" t="str">
        <f t="shared" si="41"/>
        <v xml:space="preserve"> </v>
      </c>
      <c r="Z332" s="100" t="str">
        <f t="shared" si="42"/>
        <v xml:space="preserve"> </v>
      </c>
    </row>
    <row r="333" spans="1:26">
      <c r="A333" s="100"/>
      <c r="B333" s="108" t="str">
        <f>IFERROR(VLOOKUP(Tablo517[[#This Row],[ÜRÜN KODU]],YMKODLARI!$A$1:$K$363,2,0)," ")</f>
        <v xml:space="preserve"> </v>
      </c>
      <c r="C333" s="99"/>
      <c r="D333" s="100"/>
      <c r="E333" s="101"/>
      <c r="F333" s="101"/>
      <c r="G333" s="100" t="str">
        <f>IFERROR(VLOOKUP(Tablo517[[#This Row],[ÜRÜN KODU]],YMKODLARI!$A$1:$K$363,3,0)," ")</f>
        <v xml:space="preserve"> </v>
      </c>
      <c r="H333" s="100" t="str">
        <f>IFERROR(VLOOKUP(Tablo517[[#This Row],[ÜRÜN KODU]],YMKODLARI!$A$1:$K$363,4,0)," ")</f>
        <v xml:space="preserve"> </v>
      </c>
      <c r="I333" s="100"/>
      <c r="J333" s="100" t="str">
        <f>IFERROR(VLOOKUP(Tablo517[[#This Row],[ÜRÜN KODU]],YMKODLARI!$A$1:$K$363,9,0)," ")</f>
        <v xml:space="preserve"> </v>
      </c>
      <c r="K333" s="100" t="str">
        <f>IFERROR(VLOOKUP(Tablo517[[#This Row],[BOYA KODU]],Tablo14[#All],4,0)," ")</f>
        <v xml:space="preserve"> </v>
      </c>
      <c r="L333" s="100" t="str">
        <f>IFERROR(VLOOKUP(Tablo517[[#This Row],[BOYA KODU]],Tablo14[#All],6,0)," ")</f>
        <v xml:space="preserve"> </v>
      </c>
      <c r="M333" s="100" t="str">
        <f t="shared" si="36"/>
        <v xml:space="preserve"> </v>
      </c>
      <c r="N333" s="100" t="str">
        <f>IFERROR(VLOOKUP(Tablo517[[#This Row],[ÜRÜN KODU]],YMKODLARI!$A$1:$K$363,8,0)," ")</f>
        <v xml:space="preserve"> </v>
      </c>
      <c r="O333" s="100" t="str">
        <f>IFERROR(VLOOKUP(Tablo517[[#This Row],[HAMMADDE KODU]],Tablo1[#All],3,0)," ")</f>
        <v xml:space="preserve"> </v>
      </c>
      <c r="P333" s="100" t="str">
        <f>IFERROR(VLOOKUP(Tablo517[[#This Row],[HAMMADDE KODU]],Tablo1[#All],4,0)," ")</f>
        <v xml:space="preserve"> </v>
      </c>
      <c r="Q333" s="100" t="str">
        <f>IFERROR(VLOOKUP(Tablo517[[#This Row],[ÜRÜN KODU]],YMKODLARI!$A$1:$K$363,5,0)," ")</f>
        <v xml:space="preserve"> </v>
      </c>
      <c r="R333" s="100" t="str">
        <f>IFERROR(VLOOKUP(Tablo517[[#This Row],[ÜRÜN KODU]],YMKODLARI!$A$1:$K$363,6,0)," ")</f>
        <v xml:space="preserve"> </v>
      </c>
      <c r="S333" s="100" t="str">
        <f>IFERROR(Tablo517[[#This Row],[YOLLUK HARİÇ BASKI GRAMI]]/Tablo517[[#This Row],[KALIP GÖZ ADEDİ]]," ")</f>
        <v xml:space="preserve"> </v>
      </c>
      <c r="T333" s="100" t="str">
        <f t="shared" si="38"/>
        <v xml:space="preserve"> </v>
      </c>
      <c r="U333" s="100"/>
      <c r="V333" s="100" t="str">
        <f t="shared" si="37"/>
        <v xml:space="preserve"> </v>
      </c>
      <c r="W333" s="101">
        <f t="shared" si="39"/>
        <v>24</v>
      </c>
      <c r="X333" s="102">
        <f t="shared" si="40"/>
        <v>0</v>
      </c>
      <c r="Y333" s="100" t="str">
        <f t="shared" si="41"/>
        <v xml:space="preserve"> </v>
      </c>
      <c r="Z333" s="100" t="str">
        <f t="shared" si="42"/>
        <v xml:space="preserve"> </v>
      </c>
    </row>
    <row r="334" spans="1:26">
      <c r="A334" s="100"/>
      <c r="B334" s="108" t="str">
        <f>IFERROR(VLOOKUP(Tablo517[[#This Row],[ÜRÜN KODU]],YMKODLARI!$A$1:$K$363,2,0)," ")</f>
        <v xml:space="preserve"> </v>
      </c>
      <c r="C334" s="99"/>
      <c r="D334" s="100"/>
      <c r="E334" s="101"/>
      <c r="F334" s="101"/>
      <c r="G334" s="100" t="str">
        <f>IFERROR(VLOOKUP(Tablo517[[#This Row],[ÜRÜN KODU]],YMKODLARI!$A$1:$K$363,3,0)," ")</f>
        <v xml:space="preserve"> </v>
      </c>
      <c r="H334" s="100" t="str">
        <f>IFERROR(VLOOKUP(Tablo517[[#This Row],[ÜRÜN KODU]],YMKODLARI!$A$1:$K$363,4,0)," ")</f>
        <v xml:space="preserve"> </v>
      </c>
      <c r="I334" s="100"/>
      <c r="J334" s="100" t="str">
        <f>IFERROR(VLOOKUP(Tablo517[[#This Row],[ÜRÜN KODU]],YMKODLARI!$A$1:$K$363,9,0)," ")</f>
        <v xml:space="preserve"> </v>
      </c>
      <c r="K334" s="100" t="str">
        <f>IFERROR(VLOOKUP(Tablo517[[#This Row],[BOYA KODU]],Tablo14[#All],4,0)," ")</f>
        <v xml:space="preserve"> </v>
      </c>
      <c r="L334" s="100" t="str">
        <f>IFERROR(VLOOKUP(Tablo517[[#This Row],[BOYA KODU]],Tablo14[#All],6,0)," ")</f>
        <v xml:space="preserve"> </v>
      </c>
      <c r="M334" s="100" t="str">
        <f t="shared" si="36"/>
        <v xml:space="preserve"> </v>
      </c>
      <c r="N334" s="100" t="str">
        <f>IFERROR(VLOOKUP(Tablo517[[#This Row],[ÜRÜN KODU]],YMKODLARI!$A$1:$K$363,8,0)," ")</f>
        <v xml:space="preserve"> </v>
      </c>
      <c r="O334" s="100" t="str">
        <f>IFERROR(VLOOKUP(Tablo517[[#This Row],[HAMMADDE KODU]],Tablo1[#All],3,0)," ")</f>
        <v xml:space="preserve"> </v>
      </c>
      <c r="P334" s="100" t="str">
        <f>IFERROR(VLOOKUP(Tablo517[[#This Row],[HAMMADDE KODU]],Tablo1[#All],4,0)," ")</f>
        <v xml:space="preserve"> </v>
      </c>
      <c r="Q334" s="100" t="str">
        <f>IFERROR(VLOOKUP(Tablo517[[#This Row],[ÜRÜN KODU]],YMKODLARI!$A$1:$K$363,5,0)," ")</f>
        <v xml:space="preserve"> </v>
      </c>
      <c r="R334" s="100" t="str">
        <f>IFERROR(VLOOKUP(Tablo517[[#This Row],[ÜRÜN KODU]],YMKODLARI!$A$1:$K$363,6,0)," ")</f>
        <v xml:space="preserve"> </v>
      </c>
      <c r="S334" s="100" t="str">
        <f>IFERROR(Tablo517[[#This Row],[YOLLUK HARİÇ BASKI GRAMI]]/Tablo517[[#This Row],[KALIP GÖZ ADEDİ]]," ")</f>
        <v xml:space="preserve"> </v>
      </c>
      <c r="T334" s="100" t="str">
        <f t="shared" si="38"/>
        <v xml:space="preserve"> </v>
      </c>
      <c r="U334" s="100"/>
      <c r="V334" s="100" t="str">
        <f t="shared" si="37"/>
        <v xml:space="preserve"> </v>
      </c>
      <c r="W334" s="101">
        <f t="shared" si="39"/>
        <v>24</v>
      </c>
      <c r="X334" s="102">
        <f t="shared" si="40"/>
        <v>0</v>
      </c>
      <c r="Y334" s="100" t="str">
        <f t="shared" si="41"/>
        <v xml:space="preserve"> </v>
      </c>
      <c r="Z334" s="100" t="str">
        <f t="shared" si="42"/>
        <v xml:space="preserve"> </v>
      </c>
    </row>
    <row r="335" spans="1:26">
      <c r="A335" s="100"/>
      <c r="B335" s="108" t="str">
        <f>IFERROR(VLOOKUP(Tablo517[[#This Row],[ÜRÜN KODU]],YMKODLARI!$A$1:$K$363,2,0)," ")</f>
        <v xml:space="preserve"> </v>
      </c>
      <c r="C335" s="99"/>
      <c r="D335" s="100"/>
      <c r="E335" s="101"/>
      <c r="F335" s="101"/>
      <c r="G335" s="100" t="str">
        <f>IFERROR(VLOOKUP(Tablo517[[#This Row],[ÜRÜN KODU]],YMKODLARI!$A$1:$K$363,3,0)," ")</f>
        <v xml:space="preserve"> </v>
      </c>
      <c r="H335" s="100" t="str">
        <f>IFERROR(VLOOKUP(Tablo517[[#This Row],[ÜRÜN KODU]],YMKODLARI!$A$1:$K$363,4,0)," ")</f>
        <v xml:space="preserve"> </v>
      </c>
      <c r="I335" s="100"/>
      <c r="J335" s="100" t="str">
        <f>IFERROR(VLOOKUP(Tablo517[[#This Row],[ÜRÜN KODU]],YMKODLARI!$A$1:$K$363,9,0)," ")</f>
        <v xml:space="preserve"> </v>
      </c>
      <c r="K335" s="100" t="str">
        <f>IFERROR(VLOOKUP(Tablo517[[#This Row],[BOYA KODU]],Tablo14[#All],4,0)," ")</f>
        <v xml:space="preserve"> </v>
      </c>
      <c r="L335" s="100" t="str">
        <f>IFERROR(VLOOKUP(Tablo517[[#This Row],[BOYA KODU]],Tablo14[#All],6,0)," ")</f>
        <v xml:space="preserve"> </v>
      </c>
      <c r="M335" s="100" t="str">
        <f t="shared" si="36"/>
        <v xml:space="preserve"> </v>
      </c>
      <c r="N335" s="100" t="str">
        <f>IFERROR(VLOOKUP(Tablo517[[#This Row],[ÜRÜN KODU]],YMKODLARI!$A$1:$K$363,8,0)," ")</f>
        <v xml:space="preserve"> </v>
      </c>
      <c r="O335" s="100" t="str">
        <f>IFERROR(VLOOKUP(Tablo517[[#This Row],[HAMMADDE KODU]],Tablo1[#All],3,0)," ")</f>
        <v xml:space="preserve"> </v>
      </c>
      <c r="P335" s="100" t="str">
        <f>IFERROR(VLOOKUP(Tablo517[[#This Row],[HAMMADDE KODU]],Tablo1[#All],4,0)," ")</f>
        <v xml:space="preserve"> </v>
      </c>
      <c r="Q335" s="100" t="str">
        <f>IFERROR(VLOOKUP(Tablo517[[#This Row],[ÜRÜN KODU]],YMKODLARI!$A$1:$K$363,5,0)," ")</f>
        <v xml:space="preserve"> </v>
      </c>
      <c r="R335" s="100" t="str">
        <f>IFERROR(VLOOKUP(Tablo517[[#This Row],[ÜRÜN KODU]],YMKODLARI!$A$1:$K$363,6,0)," ")</f>
        <v xml:space="preserve"> </v>
      </c>
      <c r="S335" s="100" t="str">
        <f>IFERROR(Tablo517[[#This Row],[YOLLUK HARİÇ BASKI GRAMI]]/Tablo517[[#This Row],[KALIP GÖZ ADEDİ]]," ")</f>
        <v xml:space="preserve"> </v>
      </c>
      <c r="T335" s="100" t="str">
        <f t="shared" si="38"/>
        <v xml:space="preserve"> </v>
      </c>
      <c r="U335" s="100"/>
      <c r="V335" s="100" t="str">
        <f t="shared" si="37"/>
        <v xml:space="preserve"> </v>
      </c>
      <c r="W335" s="101">
        <f t="shared" si="39"/>
        <v>24</v>
      </c>
      <c r="X335" s="102">
        <f t="shared" si="40"/>
        <v>0</v>
      </c>
      <c r="Y335" s="100" t="str">
        <f t="shared" si="41"/>
        <v xml:space="preserve"> </v>
      </c>
      <c r="Z335" s="100" t="str">
        <f t="shared" si="42"/>
        <v xml:space="preserve"> </v>
      </c>
    </row>
    <row r="336" spans="1:26">
      <c r="A336" s="100"/>
      <c r="B336" s="108" t="str">
        <f>IFERROR(VLOOKUP(Tablo517[[#This Row],[ÜRÜN KODU]],YMKODLARI!$A$1:$K$363,2,0)," ")</f>
        <v xml:space="preserve"> </v>
      </c>
      <c r="C336" s="99"/>
      <c r="D336" s="100"/>
      <c r="E336" s="101"/>
      <c r="F336" s="101"/>
      <c r="G336" s="100" t="str">
        <f>IFERROR(VLOOKUP(Tablo517[[#This Row],[ÜRÜN KODU]],YMKODLARI!$A$1:$K$363,3,0)," ")</f>
        <v xml:space="preserve"> </v>
      </c>
      <c r="H336" s="100" t="str">
        <f>IFERROR(VLOOKUP(Tablo517[[#This Row],[ÜRÜN KODU]],YMKODLARI!$A$1:$K$363,4,0)," ")</f>
        <v xml:space="preserve"> </v>
      </c>
      <c r="I336" s="100"/>
      <c r="J336" s="100" t="str">
        <f>IFERROR(VLOOKUP(Tablo517[[#This Row],[ÜRÜN KODU]],YMKODLARI!$A$1:$K$363,9,0)," ")</f>
        <v xml:space="preserve"> </v>
      </c>
      <c r="K336" s="100" t="str">
        <f>IFERROR(VLOOKUP(Tablo517[[#This Row],[BOYA KODU]],Tablo14[#All],4,0)," ")</f>
        <v xml:space="preserve"> </v>
      </c>
      <c r="L336" s="100" t="str">
        <f>IFERROR(VLOOKUP(Tablo517[[#This Row],[BOYA KODU]],Tablo14[#All],6,0)," ")</f>
        <v xml:space="preserve"> </v>
      </c>
      <c r="M336" s="100" t="str">
        <f t="shared" si="36"/>
        <v xml:space="preserve"> </v>
      </c>
      <c r="N336" s="100" t="str">
        <f>IFERROR(VLOOKUP(Tablo517[[#This Row],[ÜRÜN KODU]],YMKODLARI!$A$1:$K$363,8,0)," ")</f>
        <v xml:space="preserve"> </v>
      </c>
      <c r="O336" s="100" t="str">
        <f>IFERROR(VLOOKUP(Tablo517[[#This Row],[HAMMADDE KODU]],Tablo1[#All],3,0)," ")</f>
        <v xml:space="preserve"> </v>
      </c>
      <c r="P336" s="100" t="str">
        <f>IFERROR(VLOOKUP(Tablo517[[#This Row],[HAMMADDE KODU]],Tablo1[#All],4,0)," ")</f>
        <v xml:space="preserve"> </v>
      </c>
      <c r="Q336" s="100" t="str">
        <f>IFERROR(VLOOKUP(Tablo517[[#This Row],[ÜRÜN KODU]],YMKODLARI!$A$1:$K$363,5,0)," ")</f>
        <v xml:space="preserve"> </v>
      </c>
      <c r="R336" s="100" t="str">
        <f>IFERROR(VLOOKUP(Tablo517[[#This Row],[ÜRÜN KODU]],YMKODLARI!$A$1:$K$363,6,0)," ")</f>
        <v xml:space="preserve"> </v>
      </c>
      <c r="S336" s="100" t="str">
        <f>IFERROR(Tablo517[[#This Row],[YOLLUK HARİÇ BASKI GRAMI]]/Tablo517[[#This Row],[KALIP GÖZ ADEDİ]]," ")</f>
        <v xml:space="preserve"> </v>
      </c>
      <c r="T336" s="100" t="str">
        <f t="shared" si="38"/>
        <v xml:space="preserve"> </v>
      </c>
      <c r="U336" s="100"/>
      <c r="V336" s="100" t="str">
        <f t="shared" si="37"/>
        <v xml:space="preserve"> </v>
      </c>
      <c r="W336" s="101">
        <f t="shared" si="39"/>
        <v>24</v>
      </c>
      <c r="X336" s="102">
        <f t="shared" si="40"/>
        <v>0</v>
      </c>
      <c r="Y336" s="100" t="str">
        <f t="shared" si="41"/>
        <v xml:space="preserve"> </v>
      </c>
      <c r="Z336" s="100" t="str">
        <f t="shared" si="42"/>
        <v xml:space="preserve"> </v>
      </c>
    </row>
    <row r="337" spans="1:26">
      <c r="A337" s="100"/>
      <c r="B337" s="108" t="str">
        <f>IFERROR(VLOOKUP(Tablo517[[#This Row],[ÜRÜN KODU]],YMKODLARI!$A$1:$K$363,2,0)," ")</f>
        <v xml:space="preserve"> </v>
      </c>
      <c r="C337" s="99"/>
      <c r="D337" s="100"/>
      <c r="E337" s="101"/>
      <c r="F337" s="101"/>
      <c r="G337" s="100" t="str">
        <f>IFERROR(VLOOKUP(Tablo517[[#This Row],[ÜRÜN KODU]],YMKODLARI!$A$1:$K$363,3,0)," ")</f>
        <v xml:space="preserve"> </v>
      </c>
      <c r="H337" s="100" t="str">
        <f>IFERROR(VLOOKUP(Tablo517[[#This Row],[ÜRÜN KODU]],YMKODLARI!$A$1:$K$363,4,0)," ")</f>
        <v xml:space="preserve"> </v>
      </c>
      <c r="I337" s="100"/>
      <c r="J337" s="100" t="str">
        <f>IFERROR(VLOOKUP(Tablo517[[#This Row],[ÜRÜN KODU]],YMKODLARI!$A$1:$K$363,9,0)," ")</f>
        <v xml:space="preserve"> </v>
      </c>
      <c r="K337" s="100" t="str">
        <f>IFERROR(VLOOKUP(Tablo517[[#This Row],[BOYA KODU]],Tablo14[#All],4,0)," ")</f>
        <v xml:space="preserve"> </v>
      </c>
      <c r="L337" s="100" t="str">
        <f>IFERROR(VLOOKUP(Tablo517[[#This Row],[BOYA KODU]],Tablo14[#All],6,0)," ")</f>
        <v xml:space="preserve"> </v>
      </c>
      <c r="M337" s="100" t="str">
        <f t="shared" si="36"/>
        <v xml:space="preserve"> </v>
      </c>
      <c r="N337" s="100" t="str">
        <f>IFERROR(VLOOKUP(Tablo517[[#This Row],[ÜRÜN KODU]],YMKODLARI!$A$1:$K$363,8,0)," ")</f>
        <v xml:space="preserve"> </v>
      </c>
      <c r="O337" s="100" t="str">
        <f>IFERROR(VLOOKUP(Tablo517[[#This Row],[HAMMADDE KODU]],Tablo1[#All],3,0)," ")</f>
        <v xml:space="preserve"> </v>
      </c>
      <c r="P337" s="100" t="str">
        <f>IFERROR(VLOOKUP(Tablo517[[#This Row],[HAMMADDE KODU]],Tablo1[#All],4,0)," ")</f>
        <v xml:space="preserve"> </v>
      </c>
      <c r="Q337" s="100" t="str">
        <f>IFERROR(VLOOKUP(Tablo517[[#This Row],[ÜRÜN KODU]],YMKODLARI!$A$1:$K$363,5,0)," ")</f>
        <v xml:space="preserve"> </v>
      </c>
      <c r="R337" s="100" t="str">
        <f>IFERROR(VLOOKUP(Tablo517[[#This Row],[ÜRÜN KODU]],YMKODLARI!$A$1:$K$363,6,0)," ")</f>
        <v xml:space="preserve"> </v>
      </c>
      <c r="S337" s="100" t="str">
        <f>IFERROR(Tablo517[[#This Row],[YOLLUK HARİÇ BASKI GRAMI]]/Tablo517[[#This Row],[KALIP GÖZ ADEDİ]]," ")</f>
        <v xml:space="preserve"> </v>
      </c>
      <c r="T337" s="100" t="str">
        <f t="shared" si="38"/>
        <v xml:space="preserve"> </v>
      </c>
      <c r="U337" s="100"/>
      <c r="V337" s="100" t="str">
        <f t="shared" si="37"/>
        <v xml:space="preserve"> </v>
      </c>
      <c r="W337" s="101">
        <f t="shared" si="39"/>
        <v>24</v>
      </c>
      <c r="X337" s="102">
        <f t="shared" si="40"/>
        <v>0</v>
      </c>
      <c r="Y337" s="100" t="str">
        <f t="shared" si="41"/>
        <v xml:space="preserve"> </v>
      </c>
      <c r="Z337" s="100" t="str">
        <f t="shared" si="42"/>
        <v xml:space="preserve"> </v>
      </c>
    </row>
    <row r="338" spans="1:26">
      <c r="A338" s="100"/>
      <c r="B338" s="108" t="str">
        <f>IFERROR(VLOOKUP(Tablo517[[#This Row],[ÜRÜN KODU]],YMKODLARI!$A$1:$K$363,2,0)," ")</f>
        <v xml:space="preserve"> </v>
      </c>
      <c r="C338" s="99"/>
      <c r="D338" s="100"/>
      <c r="E338" s="101"/>
      <c r="F338" s="101"/>
      <c r="G338" s="100" t="str">
        <f>IFERROR(VLOOKUP(Tablo517[[#This Row],[ÜRÜN KODU]],YMKODLARI!$A$1:$K$363,3,0)," ")</f>
        <v xml:space="preserve"> </v>
      </c>
      <c r="H338" s="100" t="str">
        <f>IFERROR(VLOOKUP(Tablo517[[#This Row],[ÜRÜN KODU]],YMKODLARI!$A$1:$K$363,4,0)," ")</f>
        <v xml:space="preserve"> </v>
      </c>
      <c r="I338" s="100"/>
      <c r="J338" s="100" t="str">
        <f>IFERROR(VLOOKUP(Tablo517[[#This Row],[ÜRÜN KODU]],YMKODLARI!$A$1:$K$363,9,0)," ")</f>
        <v xml:space="preserve"> </v>
      </c>
      <c r="K338" s="100" t="str">
        <f>IFERROR(VLOOKUP(Tablo517[[#This Row],[BOYA KODU]],Tablo14[#All],4,0)," ")</f>
        <v xml:space="preserve"> </v>
      </c>
      <c r="L338" s="100" t="str">
        <f>IFERROR(VLOOKUP(Tablo517[[#This Row],[BOYA KODU]],Tablo14[#All],6,0)," ")</f>
        <v xml:space="preserve"> </v>
      </c>
      <c r="M338" s="100" t="str">
        <f t="shared" si="36"/>
        <v xml:space="preserve"> </v>
      </c>
      <c r="N338" s="100" t="str">
        <f>IFERROR(VLOOKUP(Tablo517[[#This Row],[ÜRÜN KODU]],YMKODLARI!$A$1:$K$363,8,0)," ")</f>
        <v xml:space="preserve"> </v>
      </c>
      <c r="O338" s="100" t="str">
        <f>IFERROR(VLOOKUP(Tablo517[[#This Row],[HAMMADDE KODU]],Tablo1[#All],3,0)," ")</f>
        <v xml:space="preserve"> </v>
      </c>
      <c r="P338" s="100" t="str">
        <f>IFERROR(VLOOKUP(Tablo517[[#This Row],[HAMMADDE KODU]],Tablo1[#All],4,0)," ")</f>
        <v xml:space="preserve"> </v>
      </c>
      <c r="Q338" s="100" t="str">
        <f>IFERROR(VLOOKUP(Tablo517[[#This Row],[ÜRÜN KODU]],YMKODLARI!$A$1:$K$363,5,0)," ")</f>
        <v xml:space="preserve"> </v>
      </c>
      <c r="R338" s="100" t="str">
        <f>IFERROR(VLOOKUP(Tablo517[[#This Row],[ÜRÜN KODU]],YMKODLARI!$A$1:$K$363,6,0)," ")</f>
        <v xml:space="preserve"> </v>
      </c>
      <c r="S338" s="100" t="str">
        <f>IFERROR(Tablo517[[#This Row],[YOLLUK HARİÇ BASKI GRAMI]]/Tablo517[[#This Row],[KALIP GÖZ ADEDİ]]," ")</f>
        <v xml:space="preserve"> </v>
      </c>
      <c r="T338" s="100" t="str">
        <f t="shared" si="38"/>
        <v xml:space="preserve"> </v>
      </c>
      <c r="U338" s="100"/>
      <c r="V338" s="100" t="str">
        <f t="shared" si="37"/>
        <v xml:space="preserve"> </v>
      </c>
      <c r="W338" s="101">
        <f t="shared" si="39"/>
        <v>24</v>
      </c>
      <c r="X338" s="102">
        <f t="shared" si="40"/>
        <v>0</v>
      </c>
      <c r="Y338" s="100" t="str">
        <f t="shared" si="41"/>
        <v xml:space="preserve"> </v>
      </c>
      <c r="Z338" s="100" t="str">
        <f t="shared" si="42"/>
        <v xml:space="preserve"> </v>
      </c>
    </row>
    <row r="339" spans="1:26">
      <c r="A339" s="100"/>
      <c r="B339" s="108" t="str">
        <f>IFERROR(VLOOKUP(Tablo517[[#This Row],[ÜRÜN KODU]],YMKODLARI!$A$1:$K$363,2,0)," ")</f>
        <v xml:space="preserve"> </v>
      </c>
      <c r="C339" s="99"/>
      <c r="D339" s="100"/>
      <c r="E339" s="101"/>
      <c r="F339" s="101"/>
      <c r="G339" s="100" t="str">
        <f>IFERROR(VLOOKUP(Tablo517[[#This Row],[ÜRÜN KODU]],YMKODLARI!$A$1:$K$363,3,0)," ")</f>
        <v xml:space="preserve"> </v>
      </c>
      <c r="H339" s="100" t="str">
        <f>IFERROR(VLOOKUP(Tablo517[[#This Row],[ÜRÜN KODU]],YMKODLARI!$A$1:$K$363,4,0)," ")</f>
        <v xml:space="preserve"> </v>
      </c>
      <c r="I339" s="100"/>
      <c r="J339" s="100" t="str">
        <f>IFERROR(VLOOKUP(Tablo517[[#This Row],[ÜRÜN KODU]],YMKODLARI!$A$1:$K$363,9,0)," ")</f>
        <v xml:space="preserve"> </v>
      </c>
      <c r="K339" s="100" t="str">
        <f>IFERROR(VLOOKUP(Tablo517[[#This Row],[BOYA KODU]],Tablo14[#All],4,0)," ")</f>
        <v xml:space="preserve"> </v>
      </c>
      <c r="L339" s="100" t="str">
        <f>IFERROR(VLOOKUP(Tablo517[[#This Row],[BOYA KODU]],Tablo14[#All],6,0)," ")</f>
        <v xml:space="preserve"> </v>
      </c>
      <c r="M339" s="100" t="str">
        <f t="shared" si="36"/>
        <v xml:space="preserve"> </v>
      </c>
      <c r="N339" s="100" t="str">
        <f>IFERROR(VLOOKUP(Tablo517[[#This Row],[ÜRÜN KODU]],YMKODLARI!$A$1:$K$363,8,0)," ")</f>
        <v xml:space="preserve"> </v>
      </c>
      <c r="O339" s="100" t="str">
        <f>IFERROR(VLOOKUP(Tablo517[[#This Row],[HAMMADDE KODU]],Tablo1[#All],3,0)," ")</f>
        <v xml:space="preserve"> </v>
      </c>
      <c r="P339" s="100" t="str">
        <f>IFERROR(VLOOKUP(Tablo517[[#This Row],[HAMMADDE KODU]],Tablo1[#All],4,0)," ")</f>
        <v xml:space="preserve"> </v>
      </c>
      <c r="Q339" s="100" t="str">
        <f>IFERROR(VLOOKUP(Tablo517[[#This Row],[ÜRÜN KODU]],YMKODLARI!$A$1:$K$363,5,0)," ")</f>
        <v xml:space="preserve"> </v>
      </c>
      <c r="R339" s="100" t="str">
        <f>IFERROR(VLOOKUP(Tablo517[[#This Row],[ÜRÜN KODU]],YMKODLARI!$A$1:$K$363,6,0)," ")</f>
        <v xml:space="preserve"> </v>
      </c>
      <c r="S339" s="100" t="str">
        <f>IFERROR(Tablo517[[#This Row],[YOLLUK HARİÇ BASKI GRAMI]]/Tablo517[[#This Row],[KALIP GÖZ ADEDİ]]," ")</f>
        <v xml:space="preserve"> </v>
      </c>
      <c r="T339" s="100" t="str">
        <f t="shared" si="38"/>
        <v xml:space="preserve"> </v>
      </c>
      <c r="U339" s="100"/>
      <c r="V339" s="100" t="str">
        <f t="shared" si="37"/>
        <v xml:space="preserve"> </v>
      </c>
      <c r="W339" s="101">
        <f t="shared" si="39"/>
        <v>24</v>
      </c>
      <c r="X339" s="102">
        <f t="shared" si="40"/>
        <v>0</v>
      </c>
      <c r="Y339" s="100" t="str">
        <f t="shared" si="41"/>
        <v xml:space="preserve"> </v>
      </c>
      <c r="Z339" s="100" t="str">
        <f t="shared" si="42"/>
        <v xml:space="preserve"> </v>
      </c>
    </row>
    <row r="340" spans="1:26">
      <c r="A340" s="100"/>
      <c r="B340" s="108" t="str">
        <f>IFERROR(VLOOKUP(Tablo517[[#This Row],[ÜRÜN KODU]],YMKODLARI!$A$1:$K$363,2,0)," ")</f>
        <v xml:space="preserve"> </v>
      </c>
      <c r="C340" s="99"/>
      <c r="D340" s="100"/>
      <c r="E340" s="101"/>
      <c r="F340" s="101"/>
      <c r="G340" s="100" t="str">
        <f>IFERROR(VLOOKUP(Tablo517[[#This Row],[ÜRÜN KODU]],YMKODLARI!$A$1:$K$363,3,0)," ")</f>
        <v xml:space="preserve"> </v>
      </c>
      <c r="H340" s="100" t="str">
        <f>IFERROR(VLOOKUP(Tablo517[[#This Row],[ÜRÜN KODU]],YMKODLARI!$A$1:$K$363,4,0)," ")</f>
        <v xml:space="preserve"> </v>
      </c>
      <c r="I340" s="100"/>
      <c r="J340" s="100" t="str">
        <f>IFERROR(VLOOKUP(Tablo517[[#This Row],[ÜRÜN KODU]],YMKODLARI!$A$1:$K$363,9,0)," ")</f>
        <v xml:space="preserve"> </v>
      </c>
      <c r="K340" s="100" t="str">
        <f>IFERROR(VLOOKUP(Tablo517[[#This Row],[BOYA KODU]],Tablo14[#All],4,0)," ")</f>
        <v xml:space="preserve"> </v>
      </c>
      <c r="L340" s="100" t="str">
        <f>IFERROR(VLOOKUP(Tablo517[[#This Row],[BOYA KODU]],Tablo14[#All],6,0)," ")</f>
        <v xml:space="preserve"> </v>
      </c>
      <c r="M340" s="100" t="str">
        <f t="shared" si="36"/>
        <v xml:space="preserve"> </v>
      </c>
      <c r="N340" s="100" t="str">
        <f>IFERROR(VLOOKUP(Tablo517[[#This Row],[ÜRÜN KODU]],YMKODLARI!$A$1:$K$363,8,0)," ")</f>
        <v xml:space="preserve"> </v>
      </c>
      <c r="O340" s="100" t="str">
        <f>IFERROR(VLOOKUP(Tablo517[[#This Row],[HAMMADDE KODU]],Tablo1[#All],3,0)," ")</f>
        <v xml:space="preserve"> </v>
      </c>
      <c r="P340" s="100" t="str">
        <f>IFERROR(VLOOKUP(Tablo517[[#This Row],[HAMMADDE KODU]],Tablo1[#All],4,0)," ")</f>
        <v xml:space="preserve"> </v>
      </c>
      <c r="Q340" s="100" t="str">
        <f>IFERROR(VLOOKUP(Tablo517[[#This Row],[ÜRÜN KODU]],YMKODLARI!$A$1:$K$363,5,0)," ")</f>
        <v xml:space="preserve"> </v>
      </c>
      <c r="R340" s="100" t="str">
        <f>IFERROR(VLOOKUP(Tablo517[[#This Row],[ÜRÜN KODU]],YMKODLARI!$A$1:$K$363,6,0)," ")</f>
        <v xml:space="preserve"> </v>
      </c>
      <c r="S340" s="100" t="str">
        <f>IFERROR(Tablo517[[#This Row],[YOLLUK HARİÇ BASKI GRAMI]]/Tablo517[[#This Row],[KALIP GÖZ ADEDİ]]," ")</f>
        <v xml:space="preserve"> </v>
      </c>
      <c r="T340" s="100" t="str">
        <f t="shared" si="38"/>
        <v xml:space="preserve"> </v>
      </c>
      <c r="U340" s="100"/>
      <c r="V340" s="100" t="str">
        <f t="shared" si="37"/>
        <v xml:space="preserve"> </v>
      </c>
      <c r="W340" s="101">
        <f t="shared" si="39"/>
        <v>24</v>
      </c>
      <c r="X340" s="102">
        <f t="shared" si="40"/>
        <v>0</v>
      </c>
      <c r="Y340" s="100" t="str">
        <f t="shared" si="41"/>
        <v xml:space="preserve"> </v>
      </c>
      <c r="Z340" s="100" t="str">
        <f t="shared" si="42"/>
        <v xml:space="preserve"> </v>
      </c>
    </row>
    <row r="341" spans="1:26">
      <c r="A341" s="100"/>
      <c r="B341" s="108" t="str">
        <f>IFERROR(VLOOKUP(Tablo517[[#This Row],[ÜRÜN KODU]],YMKODLARI!$A$1:$K$363,2,0)," ")</f>
        <v xml:space="preserve"> </v>
      </c>
      <c r="C341" s="99"/>
      <c r="D341" s="100"/>
      <c r="E341" s="101"/>
      <c r="F341" s="101"/>
      <c r="G341" s="100" t="str">
        <f>IFERROR(VLOOKUP(Tablo517[[#This Row],[ÜRÜN KODU]],YMKODLARI!$A$1:$K$363,3,0)," ")</f>
        <v xml:space="preserve"> </v>
      </c>
      <c r="H341" s="100" t="str">
        <f>IFERROR(VLOOKUP(Tablo517[[#This Row],[ÜRÜN KODU]],YMKODLARI!$A$1:$K$363,4,0)," ")</f>
        <v xml:space="preserve"> </v>
      </c>
      <c r="I341" s="100"/>
      <c r="J341" s="100" t="str">
        <f>IFERROR(VLOOKUP(Tablo517[[#This Row],[ÜRÜN KODU]],YMKODLARI!$A$1:$K$363,9,0)," ")</f>
        <v xml:space="preserve"> </v>
      </c>
      <c r="K341" s="100" t="str">
        <f>IFERROR(VLOOKUP(Tablo517[[#This Row],[BOYA KODU]],Tablo14[#All],4,0)," ")</f>
        <v xml:space="preserve"> </v>
      </c>
      <c r="L341" s="100" t="str">
        <f>IFERROR(VLOOKUP(Tablo517[[#This Row],[BOYA KODU]],Tablo14[#All],6,0)," ")</f>
        <v xml:space="preserve"> </v>
      </c>
      <c r="M341" s="100" t="str">
        <f t="shared" si="36"/>
        <v xml:space="preserve"> </v>
      </c>
      <c r="N341" s="100" t="str">
        <f>IFERROR(VLOOKUP(Tablo517[[#This Row],[ÜRÜN KODU]],YMKODLARI!$A$1:$K$363,8,0)," ")</f>
        <v xml:space="preserve"> </v>
      </c>
      <c r="O341" s="100" t="str">
        <f>IFERROR(VLOOKUP(Tablo517[[#This Row],[HAMMADDE KODU]],Tablo1[#All],3,0)," ")</f>
        <v xml:space="preserve"> </v>
      </c>
      <c r="P341" s="100" t="str">
        <f>IFERROR(VLOOKUP(Tablo517[[#This Row],[HAMMADDE KODU]],Tablo1[#All],4,0)," ")</f>
        <v xml:space="preserve"> </v>
      </c>
      <c r="Q341" s="100" t="str">
        <f>IFERROR(VLOOKUP(Tablo517[[#This Row],[ÜRÜN KODU]],YMKODLARI!$A$1:$K$363,5,0)," ")</f>
        <v xml:space="preserve"> </v>
      </c>
      <c r="R341" s="100" t="str">
        <f>IFERROR(VLOOKUP(Tablo517[[#This Row],[ÜRÜN KODU]],YMKODLARI!$A$1:$K$363,6,0)," ")</f>
        <v xml:space="preserve"> </v>
      </c>
      <c r="S341" s="100" t="str">
        <f>IFERROR(Tablo517[[#This Row],[YOLLUK HARİÇ BASKI GRAMI]]/Tablo517[[#This Row],[KALIP GÖZ ADEDİ]]," ")</f>
        <v xml:space="preserve"> </v>
      </c>
      <c r="T341" s="100" t="str">
        <f t="shared" si="38"/>
        <v xml:space="preserve"> </v>
      </c>
      <c r="U341" s="100"/>
      <c r="V341" s="100" t="str">
        <f t="shared" si="37"/>
        <v xml:space="preserve"> </v>
      </c>
      <c r="W341" s="101">
        <f t="shared" si="39"/>
        <v>24</v>
      </c>
      <c r="X341" s="102">
        <f t="shared" si="40"/>
        <v>0</v>
      </c>
      <c r="Y341" s="100" t="str">
        <f t="shared" si="41"/>
        <v xml:space="preserve"> </v>
      </c>
      <c r="Z341" s="100" t="str">
        <f t="shared" si="42"/>
        <v xml:space="preserve"> </v>
      </c>
    </row>
    <row r="342" spans="1:26">
      <c r="A342" s="100"/>
      <c r="B342" s="108" t="str">
        <f>IFERROR(VLOOKUP(Tablo517[[#This Row],[ÜRÜN KODU]],YMKODLARI!$A$1:$K$363,2,0)," ")</f>
        <v xml:space="preserve"> </v>
      </c>
      <c r="C342" s="99"/>
      <c r="D342" s="100"/>
      <c r="E342" s="101"/>
      <c r="F342" s="101"/>
      <c r="G342" s="100" t="str">
        <f>IFERROR(VLOOKUP(Tablo517[[#This Row],[ÜRÜN KODU]],YMKODLARI!$A$1:$K$363,3,0)," ")</f>
        <v xml:space="preserve"> </v>
      </c>
      <c r="H342" s="100" t="str">
        <f>IFERROR(VLOOKUP(Tablo517[[#This Row],[ÜRÜN KODU]],YMKODLARI!$A$1:$K$363,4,0)," ")</f>
        <v xml:space="preserve"> </v>
      </c>
      <c r="I342" s="100"/>
      <c r="J342" s="100" t="str">
        <f>IFERROR(VLOOKUP(Tablo517[[#This Row],[ÜRÜN KODU]],YMKODLARI!$A$1:$K$363,9,0)," ")</f>
        <v xml:space="preserve"> </v>
      </c>
      <c r="K342" s="100" t="str">
        <f>IFERROR(VLOOKUP(Tablo517[[#This Row],[BOYA KODU]],Tablo14[#All],4,0)," ")</f>
        <v xml:space="preserve"> </v>
      </c>
      <c r="L342" s="100" t="str">
        <f>IFERROR(VLOOKUP(Tablo517[[#This Row],[BOYA KODU]],Tablo14[#All],6,0)," ")</f>
        <v xml:space="preserve"> </v>
      </c>
      <c r="M342" s="100" t="str">
        <f t="shared" si="36"/>
        <v xml:space="preserve"> </v>
      </c>
      <c r="N342" s="100" t="str">
        <f>IFERROR(VLOOKUP(Tablo517[[#This Row],[ÜRÜN KODU]],YMKODLARI!$A$1:$K$363,8,0)," ")</f>
        <v xml:space="preserve"> </v>
      </c>
      <c r="O342" s="100" t="str">
        <f>IFERROR(VLOOKUP(Tablo517[[#This Row],[HAMMADDE KODU]],Tablo1[#All],3,0)," ")</f>
        <v xml:space="preserve"> </v>
      </c>
      <c r="P342" s="100" t="str">
        <f>IFERROR(VLOOKUP(Tablo517[[#This Row],[HAMMADDE KODU]],Tablo1[#All],4,0)," ")</f>
        <v xml:space="preserve"> </v>
      </c>
      <c r="Q342" s="100" t="str">
        <f>IFERROR(VLOOKUP(Tablo517[[#This Row],[ÜRÜN KODU]],YMKODLARI!$A$1:$K$363,5,0)," ")</f>
        <v xml:space="preserve"> </v>
      </c>
      <c r="R342" s="100" t="str">
        <f>IFERROR(VLOOKUP(Tablo517[[#This Row],[ÜRÜN KODU]],YMKODLARI!$A$1:$K$363,6,0)," ")</f>
        <v xml:space="preserve"> </v>
      </c>
      <c r="S342" s="100" t="str">
        <f>IFERROR(Tablo517[[#This Row],[YOLLUK HARİÇ BASKI GRAMI]]/Tablo517[[#This Row],[KALIP GÖZ ADEDİ]]," ")</f>
        <v xml:space="preserve"> </v>
      </c>
      <c r="T342" s="100" t="str">
        <f t="shared" si="38"/>
        <v xml:space="preserve"> </v>
      </c>
      <c r="U342" s="100"/>
      <c r="V342" s="100" t="str">
        <f t="shared" si="37"/>
        <v xml:space="preserve"> </v>
      </c>
      <c r="W342" s="101">
        <f t="shared" si="39"/>
        <v>24</v>
      </c>
      <c r="X342" s="102">
        <f t="shared" si="40"/>
        <v>0</v>
      </c>
      <c r="Y342" s="100" t="str">
        <f t="shared" si="41"/>
        <v xml:space="preserve"> </v>
      </c>
      <c r="Z342" s="100" t="str">
        <f t="shared" si="42"/>
        <v xml:space="preserve"> </v>
      </c>
    </row>
    <row r="343" spans="1:26">
      <c r="A343" s="100"/>
      <c r="B343" s="108" t="str">
        <f>IFERROR(VLOOKUP(Tablo517[[#This Row],[ÜRÜN KODU]],YMKODLARI!$A$1:$K$363,2,0)," ")</f>
        <v xml:space="preserve"> </v>
      </c>
      <c r="C343" s="99"/>
      <c r="D343" s="100"/>
      <c r="E343" s="101"/>
      <c r="F343" s="101"/>
      <c r="G343" s="100" t="str">
        <f>IFERROR(VLOOKUP(Tablo517[[#This Row],[ÜRÜN KODU]],YMKODLARI!$A$1:$K$363,3,0)," ")</f>
        <v xml:space="preserve"> </v>
      </c>
      <c r="H343" s="100" t="str">
        <f>IFERROR(VLOOKUP(Tablo517[[#This Row],[ÜRÜN KODU]],YMKODLARI!$A$1:$K$363,4,0)," ")</f>
        <v xml:space="preserve"> </v>
      </c>
      <c r="I343" s="100"/>
      <c r="J343" s="100" t="str">
        <f>IFERROR(VLOOKUP(Tablo517[[#This Row],[ÜRÜN KODU]],YMKODLARI!$A$1:$K$363,9,0)," ")</f>
        <v xml:space="preserve"> </v>
      </c>
      <c r="K343" s="100" t="str">
        <f>IFERROR(VLOOKUP(Tablo517[[#This Row],[BOYA KODU]],Tablo14[#All],4,0)," ")</f>
        <v xml:space="preserve"> </v>
      </c>
      <c r="L343" s="100" t="str">
        <f>IFERROR(VLOOKUP(Tablo517[[#This Row],[BOYA KODU]],Tablo14[#All],6,0)," ")</f>
        <v xml:space="preserve"> </v>
      </c>
      <c r="M343" s="100" t="str">
        <f t="shared" si="36"/>
        <v xml:space="preserve"> </v>
      </c>
      <c r="N343" s="100" t="str">
        <f>IFERROR(VLOOKUP(Tablo517[[#This Row],[ÜRÜN KODU]],YMKODLARI!$A$1:$K$363,8,0)," ")</f>
        <v xml:space="preserve"> </v>
      </c>
      <c r="O343" s="100" t="str">
        <f>IFERROR(VLOOKUP(Tablo517[[#This Row],[HAMMADDE KODU]],Tablo1[#All],3,0)," ")</f>
        <v xml:space="preserve"> </v>
      </c>
      <c r="P343" s="100" t="str">
        <f>IFERROR(VLOOKUP(Tablo517[[#This Row],[HAMMADDE KODU]],Tablo1[#All],4,0)," ")</f>
        <v xml:space="preserve"> </v>
      </c>
      <c r="Q343" s="100" t="str">
        <f>IFERROR(VLOOKUP(Tablo517[[#This Row],[ÜRÜN KODU]],YMKODLARI!$A$1:$K$363,5,0)," ")</f>
        <v xml:space="preserve"> </v>
      </c>
      <c r="R343" s="100" t="str">
        <f>IFERROR(VLOOKUP(Tablo517[[#This Row],[ÜRÜN KODU]],YMKODLARI!$A$1:$K$363,6,0)," ")</f>
        <v xml:space="preserve"> </v>
      </c>
      <c r="S343" s="100" t="str">
        <f>IFERROR(Tablo517[[#This Row],[YOLLUK HARİÇ BASKI GRAMI]]/Tablo517[[#This Row],[KALIP GÖZ ADEDİ]]," ")</f>
        <v xml:space="preserve"> </v>
      </c>
      <c r="T343" s="100" t="str">
        <f t="shared" si="38"/>
        <v xml:space="preserve"> </v>
      </c>
      <c r="U343" s="100"/>
      <c r="V343" s="100" t="str">
        <f t="shared" si="37"/>
        <v xml:space="preserve"> </v>
      </c>
      <c r="W343" s="101">
        <f t="shared" si="39"/>
        <v>24</v>
      </c>
      <c r="X343" s="102">
        <f t="shared" si="40"/>
        <v>0</v>
      </c>
      <c r="Y343" s="100" t="str">
        <f t="shared" si="41"/>
        <v xml:space="preserve"> </v>
      </c>
      <c r="Z343" s="100" t="str">
        <f t="shared" si="42"/>
        <v xml:space="preserve"> </v>
      </c>
    </row>
    <row r="344" spans="1:26">
      <c r="A344" s="100"/>
      <c r="B344" s="108" t="str">
        <f>IFERROR(VLOOKUP(Tablo517[[#This Row],[ÜRÜN KODU]],YMKODLARI!$A$1:$K$363,2,0)," ")</f>
        <v xml:space="preserve"> </v>
      </c>
      <c r="C344" s="99"/>
      <c r="D344" s="100"/>
      <c r="E344" s="101"/>
      <c r="F344" s="101"/>
      <c r="G344" s="100" t="str">
        <f>IFERROR(VLOOKUP(Tablo517[[#This Row],[ÜRÜN KODU]],YMKODLARI!$A$1:$K$363,3,0)," ")</f>
        <v xml:space="preserve"> </v>
      </c>
      <c r="H344" s="100" t="str">
        <f>IFERROR(VLOOKUP(Tablo517[[#This Row],[ÜRÜN KODU]],YMKODLARI!$A$1:$K$363,4,0)," ")</f>
        <v xml:space="preserve"> </v>
      </c>
      <c r="I344" s="100"/>
      <c r="J344" s="100" t="str">
        <f>IFERROR(VLOOKUP(Tablo517[[#This Row],[ÜRÜN KODU]],YMKODLARI!$A$1:$K$363,9,0)," ")</f>
        <v xml:space="preserve"> </v>
      </c>
      <c r="K344" s="100" t="str">
        <f>IFERROR(VLOOKUP(Tablo517[[#This Row],[BOYA KODU]],Tablo14[#All],4,0)," ")</f>
        <v xml:space="preserve"> </v>
      </c>
      <c r="L344" s="100" t="str">
        <f>IFERROR(VLOOKUP(Tablo517[[#This Row],[BOYA KODU]],Tablo14[#All],6,0)," ")</f>
        <v xml:space="preserve"> </v>
      </c>
      <c r="M344" s="100" t="str">
        <f t="shared" si="36"/>
        <v xml:space="preserve"> </v>
      </c>
      <c r="N344" s="100" t="str">
        <f>IFERROR(VLOOKUP(Tablo517[[#This Row],[ÜRÜN KODU]],YMKODLARI!$A$1:$K$363,8,0)," ")</f>
        <v xml:space="preserve"> </v>
      </c>
      <c r="O344" s="100" t="str">
        <f>IFERROR(VLOOKUP(Tablo517[[#This Row],[HAMMADDE KODU]],Tablo1[#All],3,0)," ")</f>
        <v xml:space="preserve"> </v>
      </c>
      <c r="P344" s="100" t="str">
        <f>IFERROR(VLOOKUP(Tablo517[[#This Row],[HAMMADDE KODU]],Tablo1[#All],4,0)," ")</f>
        <v xml:space="preserve"> </v>
      </c>
      <c r="Q344" s="100" t="str">
        <f>IFERROR(VLOOKUP(Tablo517[[#This Row],[ÜRÜN KODU]],YMKODLARI!$A$1:$K$363,5,0)," ")</f>
        <v xml:space="preserve"> </v>
      </c>
      <c r="R344" s="100" t="str">
        <f>IFERROR(VLOOKUP(Tablo517[[#This Row],[ÜRÜN KODU]],YMKODLARI!$A$1:$K$363,6,0)," ")</f>
        <v xml:space="preserve"> </v>
      </c>
      <c r="S344" s="100" t="str">
        <f>IFERROR(Tablo517[[#This Row],[YOLLUK HARİÇ BASKI GRAMI]]/Tablo517[[#This Row],[KALIP GÖZ ADEDİ]]," ")</f>
        <v xml:space="preserve"> </v>
      </c>
      <c r="T344" s="100" t="str">
        <f t="shared" si="38"/>
        <v xml:space="preserve"> </v>
      </c>
      <c r="U344" s="100"/>
      <c r="V344" s="100" t="str">
        <f t="shared" si="37"/>
        <v xml:space="preserve"> </v>
      </c>
      <c r="W344" s="101">
        <f t="shared" si="39"/>
        <v>24</v>
      </c>
      <c r="X344" s="102">
        <f t="shared" si="40"/>
        <v>0</v>
      </c>
      <c r="Y344" s="100" t="str">
        <f t="shared" si="41"/>
        <v xml:space="preserve"> </v>
      </c>
      <c r="Z344" s="100" t="str">
        <f t="shared" si="42"/>
        <v xml:space="preserve"> </v>
      </c>
    </row>
    <row r="345" spans="1:26">
      <c r="A345" s="100"/>
      <c r="B345" s="108" t="str">
        <f>IFERROR(VLOOKUP(Tablo517[[#This Row],[ÜRÜN KODU]],YMKODLARI!$A$1:$K$363,2,0)," ")</f>
        <v xml:space="preserve"> </v>
      </c>
      <c r="C345" s="99"/>
      <c r="D345" s="100"/>
      <c r="E345" s="101"/>
      <c r="F345" s="101"/>
      <c r="G345" s="100" t="str">
        <f>IFERROR(VLOOKUP(Tablo517[[#This Row],[ÜRÜN KODU]],YMKODLARI!$A$1:$K$363,3,0)," ")</f>
        <v xml:space="preserve"> </v>
      </c>
      <c r="H345" s="100" t="str">
        <f>IFERROR(VLOOKUP(Tablo517[[#This Row],[ÜRÜN KODU]],YMKODLARI!$A$1:$K$363,4,0)," ")</f>
        <v xml:space="preserve"> </v>
      </c>
      <c r="I345" s="100"/>
      <c r="J345" s="100" t="str">
        <f>IFERROR(VLOOKUP(Tablo517[[#This Row],[ÜRÜN KODU]],YMKODLARI!$A$1:$K$363,9,0)," ")</f>
        <v xml:space="preserve"> </v>
      </c>
      <c r="K345" s="100" t="str">
        <f>IFERROR(VLOOKUP(Tablo517[[#This Row],[BOYA KODU]],Tablo14[#All],4,0)," ")</f>
        <v xml:space="preserve"> </v>
      </c>
      <c r="L345" s="100" t="str">
        <f>IFERROR(VLOOKUP(Tablo517[[#This Row],[BOYA KODU]],Tablo14[#All],6,0)," ")</f>
        <v xml:space="preserve"> </v>
      </c>
      <c r="M345" s="100" t="str">
        <f t="shared" si="36"/>
        <v xml:space="preserve"> </v>
      </c>
      <c r="N345" s="100" t="str">
        <f>IFERROR(VLOOKUP(Tablo517[[#This Row],[ÜRÜN KODU]],YMKODLARI!$A$1:$K$363,8,0)," ")</f>
        <v xml:space="preserve"> </v>
      </c>
      <c r="O345" s="100" t="str">
        <f>IFERROR(VLOOKUP(Tablo517[[#This Row],[HAMMADDE KODU]],Tablo1[#All],3,0)," ")</f>
        <v xml:space="preserve"> </v>
      </c>
      <c r="P345" s="100" t="str">
        <f>IFERROR(VLOOKUP(Tablo517[[#This Row],[HAMMADDE KODU]],Tablo1[#All],4,0)," ")</f>
        <v xml:space="preserve"> </v>
      </c>
      <c r="Q345" s="100" t="str">
        <f>IFERROR(VLOOKUP(Tablo517[[#This Row],[ÜRÜN KODU]],YMKODLARI!$A$1:$K$363,5,0)," ")</f>
        <v xml:space="preserve"> </v>
      </c>
      <c r="R345" s="100" t="str">
        <f>IFERROR(VLOOKUP(Tablo517[[#This Row],[ÜRÜN KODU]],YMKODLARI!$A$1:$K$363,6,0)," ")</f>
        <v xml:space="preserve"> </v>
      </c>
      <c r="S345" s="100" t="str">
        <f>IFERROR(Tablo517[[#This Row],[YOLLUK HARİÇ BASKI GRAMI]]/Tablo517[[#This Row],[KALIP GÖZ ADEDİ]]," ")</f>
        <v xml:space="preserve"> </v>
      </c>
      <c r="T345" s="100" t="str">
        <f t="shared" si="38"/>
        <v xml:space="preserve"> </v>
      </c>
      <c r="U345" s="100"/>
      <c r="V345" s="100" t="str">
        <f t="shared" si="37"/>
        <v xml:space="preserve"> </v>
      </c>
      <c r="W345" s="101">
        <f t="shared" si="39"/>
        <v>24</v>
      </c>
      <c r="X345" s="102">
        <f t="shared" si="40"/>
        <v>0</v>
      </c>
      <c r="Y345" s="100" t="str">
        <f t="shared" si="41"/>
        <v xml:space="preserve"> </v>
      </c>
      <c r="Z345" s="100" t="str">
        <f t="shared" si="42"/>
        <v xml:space="preserve"> </v>
      </c>
    </row>
    <row r="346" spans="1:26">
      <c r="A346" s="100"/>
      <c r="B346" s="108" t="str">
        <f>IFERROR(VLOOKUP(Tablo517[[#This Row],[ÜRÜN KODU]],YMKODLARI!$A$1:$K$363,2,0)," ")</f>
        <v xml:space="preserve"> </v>
      </c>
      <c r="C346" s="99"/>
      <c r="D346" s="100"/>
      <c r="E346" s="101"/>
      <c r="F346" s="101"/>
      <c r="G346" s="100" t="str">
        <f>IFERROR(VLOOKUP(Tablo517[[#This Row],[ÜRÜN KODU]],YMKODLARI!$A$1:$K$363,3,0)," ")</f>
        <v xml:space="preserve"> </v>
      </c>
      <c r="H346" s="100" t="str">
        <f>IFERROR(VLOOKUP(Tablo517[[#This Row],[ÜRÜN KODU]],YMKODLARI!$A$1:$K$363,4,0)," ")</f>
        <v xml:space="preserve"> </v>
      </c>
      <c r="I346" s="100"/>
      <c r="J346" s="100" t="str">
        <f>IFERROR(VLOOKUP(Tablo517[[#This Row],[ÜRÜN KODU]],YMKODLARI!$A$1:$K$363,9,0)," ")</f>
        <v xml:space="preserve"> </v>
      </c>
      <c r="K346" s="100" t="str">
        <f>IFERROR(VLOOKUP(Tablo517[[#This Row],[BOYA KODU]],Tablo14[#All],4,0)," ")</f>
        <v xml:space="preserve"> </v>
      </c>
      <c r="L346" s="100" t="str">
        <f>IFERROR(VLOOKUP(Tablo517[[#This Row],[BOYA KODU]],Tablo14[#All],6,0)," ")</f>
        <v xml:space="preserve"> </v>
      </c>
      <c r="M346" s="100" t="str">
        <f t="shared" si="36"/>
        <v xml:space="preserve"> </v>
      </c>
      <c r="N346" s="100" t="str">
        <f>IFERROR(VLOOKUP(Tablo517[[#This Row],[ÜRÜN KODU]],YMKODLARI!$A$1:$K$363,8,0)," ")</f>
        <v xml:space="preserve"> </v>
      </c>
      <c r="O346" s="100" t="str">
        <f>IFERROR(VLOOKUP(Tablo517[[#This Row],[HAMMADDE KODU]],Tablo1[#All],3,0)," ")</f>
        <v xml:space="preserve"> </v>
      </c>
      <c r="P346" s="100" t="str">
        <f>IFERROR(VLOOKUP(Tablo517[[#This Row],[HAMMADDE KODU]],Tablo1[#All],4,0)," ")</f>
        <v xml:space="preserve"> </v>
      </c>
      <c r="Q346" s="100" t="str">
        <f>IFERROR(VLOOKUP(Tablo517[[#This Row],[ÜRÜN KODU]],YMKODLARI!$A$1:$K$363,5,0)," ")</f>
        <v xml:space="preserve"> </v>
      </c>
      <c r="R346" s="100" t="str">
        <f>IFERROR(VLOOKUP(Tablo517[[#This Row],[ÜRÜN KODU]],YMKODLARI!$A$1:$K$363,6,0)," ")</f>
        <v xml:space="preserve"> </v>
      </c>
      <c r="S346" s="100" t="str">
        <f>IFERROR(Tablo517[[#This Row],[YOLLUK HARİÇ BASKI GRAMI]]/Tablo517[[#This Row],[KALIP GÖZ ADEDİ]]," ")</f>
        <v xml:space="preserve"> </v>
      </c>
      <c r="T346" s="100" t="str">
        <f t="shared" si="38"/>
        <v xml:space="preserve"> </v>
      </c>
      <c r="U346" s="100"/>
      <c r="V346" s="100" t="str">
        <f t="shared" si="37"/>
        <v xml:space="preserve"> </v>
      </c>
      <c r="W346" s="101">
        <f t="shared" si="39"/>
        <v>24</v>
      </c>
      <c r="X346" s="102">
        <f t="shared" si="40"/>
        <v>0</v>
      </c>
      <c r="Y346" s="100" t="str">
        <f t="shared" si="41"/>
        <v xml:space="preserve"> </v>
      </c>
      <c r="Z346" s="100" t="str">
        <f t="shared" si="42"/>
        <v xml:space="preserve"> </v>
      </c>
    </row>
    <row r="347" spans="1:26">
      <c r="A347" s="100"/>
      <c r="B347" s="108" t="str">
        <f>IFERROR(VLOOKUP(Tablo517[[#This Row],[ÜRÜN KODU]],YMKODLARI!$A$1:$K$363,2,0)," ")</f>
        <v xml:space="preserve"> </v>
      </c>
      <c r="C347" s="99"/>
      <c r="D347" s="100"/>
      <c r="E347" s="101"/>
      <c r="F347" s="101"/>
      <c r="G347" s="100" t="str">
        <f>IFERROR(VLOOKUP(Tablo517[[#This Row],[ÜRÜN KODU]],YMKODLARI!$A$1:$K$363,3,0)," ")</f>
        <v xml:space="preserve"> </v>
      </c>
      <c r="H347" s="100" t="str">
        <f>IFERROR(VLOOKUP(Tablo517[[#This Row],[ÜRÜN KODU]],YMKODLARI!$A$1:$K$363,4,0)," ")</f>
        <v xml:space="preserve"> </v>
      </c>
      <c r="I347" s="100"/>
      <c r="J347" s="100" t="str">
        <f>IFERROR(VLOOKUP(Tablo517[[#This Row],[ÜRÜN KODU]],YMKODLARI!$A$1:$K$363,9,0)," ")</f>
        <v xml:space="preserve"> </v>
      </c>
      <c r="K347" s="100" t="str">
        <f>IFERROR(VLOOKUP(Tablo517[[#This Row],[BOYA KODU]],Tablo14[#All],4,0)," ")</f>
        <v xml:space="preserve"> </v>
      </c>
      <c r="L347" s="100" t="str">
        <f>IFERROR(VLOOKUP(Tablo517[[#This Row],[BOYA KODU]],Tablo14[#All],6,0)," ")</f>
        <v xml:space="preserve"> </v>
      </c>
      <c r="M347" s="100" t="str">
        <f t="shared" si="36"/>
        <v xml:space="preserve"> </v>
      </c>
      <c r="N347" s="100" t="str">
        <f>IFERROR(VLOOKUP(Tablo517[[#This Row],[ÜRÜN KODU]],YMKODLARI!$A$1:$K$363,8,0)," ")</f>
        <v xml:space="preserve"> </v>
      </c>
      <c r="O347" s="100" t="str">
        <f>IFERROR(VLOOKUP(Tablo517[[#This Row],[HAMMADDE KODU]],Tablo1[#All],3,0)," ")</f>
        <v xml:space="preserve"> </v>
      </c>
      <c r="P347" s="100" t="str">
        <f>IFERROR(VLOOKUP(Tablo517[[#This Row],[HAMMADDE KODU]],Tablo1[#All],4,0)," ")</f>
        <v xml:space="preserve"> </v>
      </c>
      <c r="Q347" s="100" t="str">
        <f>IFERROR(VLOOKUP(Tablo517[[#This Row],[ÜRÜN KODU]],YMKODLARI!$A$1:$K$363,5,0)," ")</f>
        <v xml:space="preserve"> </v>
      </c>
      <c r="R347" s="100" t="str">
        <f>IFERROR(VLOOKUP(Tablo517[[#This Row],[ÜRÜN KODU]],YMKODLARI!$A$1:$K$363,6,0)," ")</f>
        <v xml:space="preserve"> </v>
      </c>
      <c r="S347" s="100" t="str">
        <f>IFERROR(Tablo517[[#This Row],[YOLLUK HARİÇ BASKI GRAMI]]/Tablo517[[#This Row],[KALIP GÖZ ADEDİ]]," ")</f>
        <v xml:space="preserve"> </v>
      </c>
      <c r="T347" s="100" t="str">
        <f t="shared" si="38"/>
        <v xml:space="preserve"> </v>
      </c>
      <c r="U347" s="100"/>
      <c r="V347" s="100" t="str">
        <f t="shared" si="37"/>
        <v xml:space="preserve"> </v>
      </c>
      <c r="W347" s="101">
        <f t="shared" si="39"/>
        <v>24</v>
      </c>
      <c r="X347" s="102">
        <f t="shared" si="40"/>
        <v>0</v>
      </c>
      <c r="Y347" s="100" t="str">
        <f t="shared" si="41"/>
        <v xml:space="preserve"> </v>
      </c>
      <c r="Z347" s="100" t="str">
        <f t="shared" si="42"/>
        <v xml:space="preserve"> </v>
      </c>
    </row>
    <row r="348" spans="1:26">
      <c r="A348" s="100"/>
      <c r="B348" s="108" t="str">
        <f>IFERROR(VLOOKUP(Tablo517[[#This Row],[ÜRÜN KODU]],YMKODLARI!$A$1:$K$363,2,0)," ")</f>
        <v xml:space="preserve"> </v>
      </c>
      <c r="C348" s="99"/>
      <c r="D348" s="100"/>
      <c r="E348" s="101"/>
      <c r="F348" s="101"/>
      <c r="G348" s="100" t="str">
        <f>IFERROR(VLOOKUP(Tablo517[[#This Row],[ÜRÜN KODU]],YMKODLARI!$A$1:$K$363,3,0)," ")</f>
        <v xml:space="preserve"> </v>
      </c>
      <c r="H348" s="100" t="str">
        <f>IFERROR(VLOOKUP(Tablo517[[#This Row],[ÜRÜN KODU]],YMKODLARI!$A$1:$K$363,4,0)," ")</f>
        <v xml:space="preserve"> </v>
      </c>
      <c r="I348" s="100"/>
      <c r="J348" s="100" t="str">
        <f>IFERROR(VLOOKUP(Tablo517[[#This Row],[ÜRÜN KODU]],YMKODLARI!$A$1:$K$363,9,0)," ")</f>
        <v xml:space="preserve"> </v>
      </c>
      <c r="K348" s="100" t="str">
        <f>IFERROR(VLOOKUP(Tablo517[[#This Row],[BOYA KODU]],Tablo14[#All],4,0)," ")</f>
        <v xml:space="preserve"> </v>
      </c>
      <c r="L348" s="100" t="str">
        <f>IFERROR(VLOOKUP(Tablo517[[#This Row],[BOYA KODU]],Tablo14[#All],6,0)," ")</f>
        <v xml:space="preserve"> </v>
      </c>
      <c r="M348" s="100" t="str">
        <f t="shared" si="36"/>
        <v xml:space="preserve"> </v>
      </c>
      <c r="N348" s="100" t="str">
        <f>IFERROR(VLOOKUP(Tablo517[[#This Row],[ÜRÜN KODU]],YMKODLARI!$A$1:$K$363,8,0)," ")</f>
        <v xml:space="preserve"> </v>
      </c>
      <c r="O348" s="100" t="str">
        <f>IFERROR(VLOOKUP(Tablo517[[#This Row],[HAMMADDE KODU]],Tablo1[#All],3,0)," ")</f>
        <v xml:space="preserve"> </v>
      </c>
      <c r="P348" s="100" t="str">
        <f>IFERROR(VLOOKUP(Tablo517[[#This Row],[HAMMADDE KODU]],Tablo1[#All],4,0)," ")</f>
        <v xml:space="preserve"> </v>
      </c>
      <c r="Q348" s="100" t="str">
        <f>IFERROR(VLOOKUP(Tablo517[[#This Row],[ÜRÜN KODU]],YMKODLARI!$A$1:$K$363,5,0)," ")</f>
        <v xml:space="preserve"> </v>
      </c>
      <c r="R348" s="100" t="str">
        <f>IFERROR(VLOOKUP(Tablo517[[#This Row],[ÜRÜN KODU]],YMKODLARI!$A$1:$K$363,6,0)," ")</f>
        <v xml:space="preserve"> </v>
      </c>
      <c r="S348" s="100" t="str">
        <f>IFERROR(Tablo517[[#This Row],[YOLLUK HARİÇ BASKI GRAMI]]/Tablo517[[#This Row],[KALIP GÖZ ADEDİ]]," ")</f>
        <v xml:space="preserve"> </v>
      </c>
      <c r="T348" s="100" t="str">
        <f t="shared" si="38"/>
        <v xml:space="preserve"> </v>
      </c>
      <c r="U348" s="100"/>
      <c r="V348" s="100" t="str">
        <f t="shared" si="37"/>
        <v xml:space="preserve"> </v>
      </c>
      <c r="W348" s="101">
        <f t="shared" si="39"/>
        <v>24</v>
      </c>
      <c r="X348" s="102">
        <f t="shared" si="40"/>
        <v>0</v>
      </c>
      <c r="Y348" s="100" t="str">
        <f t="shared" si="41"/>
        <v xml:space="preserve"> </v>
      </c>
      <c r="Z348" s="100" t="str">
        <f t="shared" si="42"/>
        <v xml:space="preserve"> </v>
      </c>
    </row>
    <row r="349" spans="1:26">
      <c r="A349" s="100"/>
      <c r="B349" s="108" t="str">
        <f>IFERROR(VLOOKUP(Tablo517[[#This Row],[ÜRÜN KODU]],YMKODLARI!$A$1:$K$363,2,0)," ")</f>
        <v xml:space="preserve"> </v>
      </c>
      <c r="C349" s="99"/>
      <c r="D349" s="100"/>
      <c r="E349" s="101"/>
      <c r="F349" s="101"/>
      <c r="G349" s="100" t="str">
        <f>IFERROR(VLOOKUP(Tablo517[[#This Row],[ÜRÜN KODU]],YMKODLARI!$A$1:$K$363,3,0)," ")</f>
        <v xml:space="preserve"> </v>
      </c>
      <c r="H349" s="100" t="str">
        <f>IFERROR(VLOOKUP(Tablo517[[#This Row],[ÜRÜN KODU]],YMKODLARI!$A$1:$K$363,4,0)," ")</f>
        <v xml:space="preserve"> </v>
      </c>
      <c r="I349" s="100"/>
      <c r="J349" s="100" t="str">
        <f>IFERROR(VLOOKUP(Tablo517[[#This Row],[ÜRÜN KODU]],YMKODLARI!$A$1:$K$363,9,0)," ")</f>
        <v xml:space="preserve"> </v>
      </c>
      <c r="K349" s="100" t="str">
        <f>IFERROR(VLOOKUP(Tablo517[[#This Row],[BOYA KODU]],Tablo14[#All],4,0)," ")</f>
        <v xml:space="preserve"> </v>
      </c>
      <c r="L349" s="100" t="str">
        <f>IFERROR(VLOOKUP(Tablo517[[#This Row],[BOYA KODU]],Tablo14[#All],6,0)," ")</f>
        <v xml:space="preserve"> </v>
      </c>
      <c r="M349" s="100" t="str">
        <f t="shared" si="36"/>
        <v xml:space="preserve"> </v>
      </c>
      <c r="N349" s="100" t="str">
        <f>IFERROR(VLOOKUP(Tablo517[[#This Row],[ÜRÜN KODU]],YMKODLARI!$A$1:$K$363,8,0)," ")</f>
        <v xml:space="preserve"> </v>
      </c>
      <c r="O349" s="100" t="str">
        <f>IFERROR(VLOOKUP(Tablo517[[#This Row],[HAMMADDE KODU]],Tablo1[#All],3,0)," ")</f>
        <v xml:space="preserve"> </v>
      </c>
      <c r="P349" s="100" t="str">
        <f>IFERROR(VLOOKUP(Tablo517[[#This Row],[HAMMADDE KODU]],Tablo1[#All],4,0)," ")</f>
        <v xml:space="preserve"> </v>
      </c>
      <c r="Q349" s="100" t="str">
        <f>IFERROR(VLOOKUP(Tablo517[[#This Row],[ÜRÜN KODU]],YMKODLARI!$A$1:$K$363,5,0)," ")</f>
        <v xml:space="preserve"> </v>
      </c>
      <c r="R349" s="100" t="str">
        <f>IFERROR(VLOOKUP(Tablo517[[#This Row],[ÜRÜN KODU]],YMKODLARI!$A$1:$K$363,6,0)," ")</f>
        <v xml:space="preserve"> </v>
      </c>
      <c r="S349" s="100" t="str">
        <f>IFERROR(Tablo517[[#This Row],[YOLLUK HARİÇ BASKI GRAMI]]/Tablo517[[#This Row],[KALIP GÖZ ADEDİ]]," ")</f>
        <v xml:space="preserve"> </v>
      </c>
      <c r="T349" s="100" t="str">
        <f t="shared" si="38"/>
        <v xml:space="preserve"> </v>
      </c>
      <c r="U349" s="100"/>
      <c r="V349" s="100" t="str">
        <f t="shared" si="37"/>
        <v xml:space="preserve"> </v>
      </c>
      <c r="W349" s="101">
        <f t="shared" si="39"/>
        <v>24</v>
      </c>
      <c r="X349" s="102">
        <f t="shared" si="40"/>
        <v>0</v>
      </c>
      <c r="Y349" s="100" t="str">
        <f t="shared" si="41"/>
        <v xml:space="preserve"> </v>
      </c>
      <c r="Z349" s="100" t="str">
        <f t="shared" si="42"/>
        <v xml:space="preserve"> </v>
      </c>
    </row>
    <row r="350" spans="1:26">
      <c r="A350" s="100"/>
      <c r="B350" s="108" t="str">
        <f>IFERROR(VLOOKUP(Tablo517[[#This Row],[ÜRÜN KODU]],YMKODLARI!$A$1:$K$363,2,0)," ")</f>
        <v xml:space="preserve"> </v>
      </c>
      <c r="C350" s="99"/>
      <c r="D350" s="100"/>
      <c r="E350" s="101"/>
      <c r="F350" s="101"/>
      <c r="G350" s="100" t="str">
        <f>IFERROR(VLOOKUP(Tablo517[[#This Row],[ÜRÜN KODU]],YMKODLARI!$A$1:$K$363,3,0)," ")</f>
        <v xml:space="preserve"> </v>
      </c>
      <c r="H350" s="100" t="str">
        <f>IFERROR(VLOOKUP(Tablo517[[#This Row],[ÜRÜN KODU]],YMKODLARI!$A$1:$K$363,4,0)," ")</f>
        <v xml:space="preserve"> </v>
      </c>
      <c r="I350" s="100"/>
      <c r="J350" s="100" t="str">
        <f>IFERROR(VLOOKUP(Tablo517[[#This Row],[ÜRÜN KODU]],YMKODLARI!$A$1:$K$363,9,0)," ")</f>
        <v xml:space="preserve"> </v>
      </c>
      <c r="K350" s="100" t="str">
        <f>IFERROR(VLOOKUP(Tablo517[[#This Row],[BOYA KODU]],Tablo14[#All],4,0)," ")</f>
        <v xml:space="preserve"> </v>
      </c>
      <c r="L350" s="100" t="str">
        <f>IFERROR(VLOOKUP(Tablo517[[#This Row],[BOYA KODU]],Tablo14[#All],6,0)," ")</f>
        <v xml:space="preserve"> </v>
      </c>
      <c r="M350" s="100" t="str">
        <f t="shared" si="36"/>
        <v xml:space="preserve"> </v>
      </c>
      <c r="N350" s="100" t="str">
        <f>IFERROR(VLOOKUP(Tablo517[[#This Row],[ÜRÜN KODU]],YMKODLARI!$A$1:$K$363,8,0)," ")</f>
        <v xml:space="preserve"> </v>
      </c>
      <c r="O350" s="100" t="str">
        <f>IFERROR(VLOOKUP(Tablo517[[#This Row],[HAMMADDE KODU]],Tablo1[#All],3,0)," ")</f>
        <v xml:space="preserve"> </v>
      </c>
      <c r="P350" s="100" t="str">
        <f>IFERROR(VLOOKUP(Tablo517[[#This Row],[HAMMADDE KODU]],Tablo1[#All],4,0)," ")</f>
        <v xml:space="preserve"> </v>
      </c>
      <c r="Q350" s="100" t="str">
        <f>IFERROR(VLOOKUP(Tablo517[[#This Row],[ÜRÜN KODU]],YMKODLARI!$A$1:$K$363,5,0)," ")</f>
        <v xml:space="preserve"> </v>
      </c>
      <c r="R350" s="100" t="str">
        <f>IFERROR(VLOOKUP(Tablo517[[#This Row],[ÜRÜN KODU]],YMKODLARI!$A$1:$K$363,6,0)," ")</f>
        <v xml:space="preserve"> </v>
      </c>
      <c r="S350" s="100" t="str">
        <f>IFERROR(Tablo517[[#This Row],[YOLLUK HARİÇ BASKI GRAMI]]/Tablo517[[#This Row],[KALIP GÖZ ADEDİ]]," ")</f>
        <v xml:space="preserve"> </v>
      </c>
      <c r="T350" s="100" t="str">
        <f t="shared" si="38"/>
        <v xml:space="preserve"> </v>
      </c>
      <c r="U350" s="100"/>
      <c r="V350" s="100" t="str">
        <f t="shared" si="37"/>
        <v xml:space="preserve"> </v>
      </c>
      <c r="W350" s="101">
        <f t="shared" si="39"/>
        <v>24</v>
      </c>
      <c r="X350" s="102">
        <f t="shared" si="40"/>
        <v>0</v>
      </c>
      <c r="Y350" s="100" t="str">
        <f t="shared" si="41"/>
        <v xml:space="preserve"> </v>
      </c>
      <c r="Z350" s="100" t="str">
        <f t="shared" si="42"/>
        <v xml:space="preserve"> </v>
      </c>
    </row>
    <row r="351" spans="1:26">
      <c r="A351" s="100"/>
      <c r="B351" s="108" t="str">
        <f>IFERROR(VLOOKUP(Tablo517[[#This Row],[ÜRÜN KODU]],YMKODLARI!$A$1:$K$363,2,0)," ")</f>
        <v xml:space="preserve"> </v>
      </c>
      <c r="C351" s="99"/>
      <c r="D351" s="100"/>
      <c r="E351" s="101"/>
      <c r="F351" s="101"/>
      <c r="G351" s="100" t="str">
        <f>IFERROR(VLOOKUP(Tablo517[[#This Row],[ÜRÜN KODU]],YMKODLARI!$A$1:$K$363,3,0)," ")</f>
        <v xml:space="preserve"> </v>
      </c>
      <c r="H351" s="100" t="str">
        <f>IFERROR(VLOOKUP(Tablo517[[#This Row],[ÜRÜN KODU]],YMKODLARI!$A$1:$K$363,4,0)," ")</f>
        <v xml:space="preserve"> </v>
      </c>
      <c r="I351" s="100"/>
      <c r="J351" s="100" t="str">
        <f>IFERROR(VLOOKUP(Tablo517[[#This Row],[ÜRÜN KODU]],YMKODLARI!$A$1:$K$363,9,0)," ")</f>
        <v xml:space="preserve"> </v>
      </c>
      <c r="K351" s="100" t="str">
        <f>IFERROR(VLOOKUP(Tablo517[[#This Row],[BOYA KODU]],Tablo14[#All],4,0)," ")</f>
        <v xml:space="preserve"> </v>
      </c>
      <c r="L351" s="100" t="str">
        <f>IFERROR(VLOOKUP(Tablo517[[#This Row],[BOYA KODU]],Tablo14[#All],6,0)," ")</f>
        <v xml:space="preserve"> </v>
      </c>
      <c r="M351" s="100" t="str">
        <f t="shared" si="36"/>
        <v xml:space="preserve"> </v>
      </c>
      <c r="N351" s="100" t="str">
        <f>IFERROR(VLOOKUP(Tablo517[[#This Row],[ÜRÜN KODU]],YMKODLARI!$A$1:$K$363,8,0)," ")</f>
        <v xml:space="preserve"> </v>
      </c>
      <c r="O351" s="100" t="str">
        <f>IFERROR(VLOOKUP(Tablo517[[#This Row],[HAMMADDE KODU]],Tablo1[#All],3,0)," ")</f>
        <v xml:space="preserve"> </v>
      </c>
      <c r="P351" s="100" t="str">
        <f>IFERROR(VLOOKUP(Tablo517[[#This Row],[HAMMADDE KODU]],Tablo1[#All],4,0)," ")</f>
        <v xml:space="preserve"> </v>
      </c>
      <c r="Q351" s="100" t="str">
        <f>IFERROR(VLOOKUP(Tablo517[[#This Row],[ÜRÜN KODU]],YMKODLARI!$A$1:$K$363,5,0)," ")</f>
        <v xml:space="preserve"> </v>
      </c>
      <c r="R351" s="100" t="str">
        <f>IFERROR(VLOOKUP(Tablo517[[#This Row],[ÜRÜN KODU]],YMKODLARI!$A$1:$K$363,6,0)," ")</f>
        <v xml:space="preserve"> </v>
      </c>
      <c r="S351" s="100" t="str">
        <f>IFERROR(Tablo517[[#This Row],[YOLLUK HARİÇ BASKI GRAMI]]/Tablo517[[#This Row],[KALIP GÖZ ADEDİ]]," ")</f>
        <v xml:space="preserve"> </v>
      </c>
      <c r="T351" s="100" t="str">
        <f t="shared" si="38"/>
        <v xml:space="preserve"> </v>
      </c>
      <c r="U351" s="100"/>
      <c r="V351" s="100" t="str">
        <f t="shared" si="37"/>
        <v xml:space="preserve"> </v>
      </c>
      <c r="W351" s="101">
        <f t="shared" si="39"/>
        <v>24</v>
      </c>
      <c r="X351" s="102">
        <f t="shared" si="40"/>
        <v>0</v>
      </c>
      <c r="Y351" s="100" t="str">
        <f t="shared" si="41"/>
        <v xml:space="preserve"> </v>
      </c>
      <c r="Z351" s="100" t="str">
        <f t="shared" si="42"/>
        <v xml:space="preserve"> </v>
      </c>
    </row>
    <row r="352" spans="1:26">
      <c r="A352" s="100"/>
      <c r="B352" s="108" t="str">
        <f>IFERROR(VLOOKUP(Tablo517[[#This Row],[ÜRÜN KODU]],YMKODLARI!$A$1:$K$363,2,0)," ")</f>
        <v xml:space="preserve"> </v>
      </c>
      <c r="C352" s="99"/>
      <c r="D352" s="100"/>
      <c r="E352" s="101"/>
      <c r="F352" s="101"/>
      <c r="G352" s="100" t="str">
        <f>IFERROR(VLOOKUP(Tablo517[[#This Row],[ÜRÜN KODU]],YMKODLARI!$A$1:$K$363,3,0)," ")</f>
        <v xml:space="preserve"> </v>
      </c>
      <c r="H352" s="100" t="str">
        <f>IFERROR(VLOOKUP(Tablo517[[#This Row],[ÜRÜN KODU]],YMKODLARI!$A$1:$K$363,4,0)," ")</f>
        <v xml:space="preserve"> </v>
      </c>
      <c r="I352" s="100"/>
      <c r="J352" s="100" t="str">
        <f>IFERROR(VLOOKUP(Tablo517[[#This Row],[ÜRÜN KODU]],YMKODLARI!$A$1:$K$363,9,0)," ")</f>
        <v xml:space="preserve"> </v>
      </c>
      <c r="K352" s="100" t="str">
        <f>IFERROR(VLOOKUP(Tablo517[[#This Row],[BOYA KODU]],Tablo14[#All],4,0)," ")</f>
        <v xml:space="preserve"> </v>
      </c>
      <c r="L352" s="100" t="str">
        <f>IFERROR(VLOOKUP(Tablo517[[#This Row],[BOYA KODU]],Tablo14[#All],6,0)," ")</f>
        <v xml:space="preserve"> </v>
      </c>
      <c r="M352" s="100" t="str">
        <f t="shared" si="36"/>
        <v xml:space="preserve"> </v>
      </c>
      <c r="N352" s="100" t="str">
        <f>IFERROR(VLOOKUP(Tablo517[[#This Row],[ÜRÜN KODU]],YMKODLARI!$A$1:$K$363,8,0)," ")</f>
        <v xml:space="preserve"> </v>
      </c>
      <c r="O352" s="100" t="str">
        <f>IFERROR(VLOOKUP(Tablo517[[#This Row],[HAMMADDE KODU]],Tablo1[#All],3,0)," ")</f>
        <v xml:space="preserve"> </v>
      </c>
      <c r="P352" s="100" t="str">
        <f>IFERROR(VLOOKUP(Tablo517[[#This Row],[HAMMADDE KODU]],Tablo1[#All],4,0)," ")</f>
        <v xml:space="preserve"> </v>
      </c>
      <c r="Q352" s="100" t="str">
        <f>IFERROR(VLOOKUP(Tablo517[[#This Row],[ÜRÜN KODU]],YMKODLARI!$A$1:$K$363,5,0)," ")</f>
        <v xml:space="preserve"> </v>
      </c>
      <c r="R352" s="100" t="str">
        <f>IFERROR(VLOOKUP(Tablo517[[#This Row],[ÜRÜN KODU]],YMKODLARI!$A$1:$K$363,6,0)," ")</f>
        <v xml:space="preserve"> </v>
      </c>
      <c r="S352" s="100" t="str">
        <f>IFERROR(Tablo517[[#This Row],[YOLLUK HARİÇ BASKI GRAMI]]/Tablo517[[#This Row],[KALIP GÖZ ADEDİ]]," ")</f>
        <v xml:space="preserve"> </v>
      </c>
      <c r="T352" s="100" t="str">
        <f t="shared" si="38"/>
        <v xml:space="preserve"> </v>
      </c>
      <c r="U352" s="100"/>
      <c r="V352" s="100" t="str">
        <f t="shared" si="37"/>
        <v xml:space="preserve"> </v>
      </c>
      <c r="W352" s="101">
        <f t="shared" si="39"/>
        <v>24</v>
      </c>
      <c r="X352" s="102">
        <f t="shared" si="40"/>
        <v>0</v>
      </c>
      <c r="Y352" s="100" t="str">
        <f t="shared" si="41"/>
        <v xml:space="preserve"> </v>
      </c>
      <c r="Z352" s="100" t="str">
        <f t="shared" si="42"/>
        <v xml:space="preserve"> </v>
      </c>
    </row>
    <row r="353" spans="1:26">
      <c r="A353" s="100"/>
      <c r="B353" s="108" t="str">
        <f>IFERROR(VLOOKUP(Tablo517[[#This Row],[ÜRÜN KODU]],YMKODLARI!$A$1:$K$363,2,0)," ")</f>
        <v xml:space="preserve"> </v>
      </c>
      <c r="C353" s="99"/>
      <c r="D353" s="100"/>
      <c r="E353" s="101"/>
      <c r="F353" s="101"/>
      <c r="G353" s="100" t="str">
        <f>IFERROR(VLOOKUP(Tablo517[[#This Row],[ÜRÜN KODU]],YMKODLARI!$A$1:$K$363,3,0)," ")</f>
        <v xml:space="preserve"> </v>
      </c>
      <c r="H353" s="100" t="str">
        <f>IFERROR(VLOOKUP(Tablo517[[#This Row],[ÜRÜN KODU]],YMKODLARI!$A$1:$K$363,4,0)," ")</f>
        <v xml:space="preserve"> </v>
      </c>
      <c r="I353" s="100"/>
      <c r="J353" s="100" t="str">
        <f>IFERROR(VLOOKUP(Tablo517[[#This Row],[ÜRÜN KODU]],YMKODLARI!$A$1:$K$363,9,0)," ")</f>
        <v xml:space="preserve"> </v>
      </c>
      <c r="K353" s="100" t="str">
        <f>IFERROR(VLOOKUP(Tablo517[[#This Row],[BOYA KODU]],Tablo14[#All],4,0)," ")</f>
        <v xml:space="preserve"> </v>
      </c>
      <c r="L353" s="100" t="str">
        <f>IFERROR(VLOOKUP(Tablo517[[#This Row],[BOYA KODU]],Tablo14[#All],6,0)," ")</f>
        <v xml:space="preserve"> </v>
      </c>
      <c r="M353" s="100" t="str">
        <f t="shared" si="36"/>
        <v xml:space="preserve"> </v>
      </c>
      <c r="N353" s="100" t="str">
        <f>IFERROR(VLOOKUP(Tablo517[[#This Row],[ÜRÜN KODU]],YMKODLARI!$A$1:$K$363,8,0)," ")</f>
        <v xml:space="preserve"> </v>
      </c>
      <c r="O353" s="100" t="str">
        <f>IFERROR(VLOOKUP(Tablo517[[#This Row],[HAMMADDE KODU]],Tablo1[#All],3,0)," ")</f>
        <v xml:space="preserve"> </v>
      </c>
      <c r="P353" s="100" t="str">
        <f>IFERROR(VLOOKUP(Tablo517[[#This Row],[HAMMADDE KODU]],Tablo1[#All],4,0)," ")</f>
        <v xml:space="preserve"> </v>
      </c>
      <c r="Q353" s="100" t="str">
        <f>IFERROR(VLOOKUP(Tablo517[[#This Row],[ÜRÜN KODU]],YMKODLARI!$A$1:$K$363,5,0)," ")</f>
        <v xml:space="preserve"> </v>
      </c>
      <c r="R353" s="100" t="str">
        <f>IFERROR(VLOOKUP(Tablo517[[#This Row],[ÜRÜN KODU]],YMKODLARI!$A$1:$K$363,6,0)," ")</f>
        <v xml:space="preserve"> </v>
      </c>
      <c r="S353" s="100" t="str">
        <f>IFERROR(Tablo517[[#This Row],[YOLLUK HARİÇ BASKI GRAMI]]/Tablo517[[#This Row],[KALIP GÖZ ADEDİ]]," ")</f>
        <v xml:space="preserve"> </v>
      </c>
      <c r="T353" s="100" t="str">
        <f t="shared" si="38"/>
        <v xml:space="preserve"> </v>
      </c>
      <c r="U353" s="100"/>
      <c r="V353" s="100" t="str">
        <f t="shared" si="37"/>
        <v xml:space="preserve"> </v>
      </c>
      <c r="W353" s="101">
        <f t="shared" si="39"/>
        <v>24</v>
      </c>
      <c r="X353" s="102">
        <f t="shared" si="40"/>
        <v>0</v>
      </c>
      <c r="Y353" s="100" t="str">
        <f t="shared" si="41"/>
        <v xml:space="preserve"> </v>
      </c>
      <c r="Z353" s="100" t="str">
        <f t="shared" si="42"/>
        <v xml:space="preserve"> </v>
      </c>
    </row>
    <row r="354" spans="1:26">
      <c r="A354" s="100"/>
      <c r="B354" s="108" t="str">
        <f>IFERROR(VLOOKUP(Tablo517[[#This Row],[ÜRÜN KODU]],YMKODLARI!$A$1:$K$363,2,0)," ")</f>
        <v xml:space="preserve"> </v>
      </c>
      <c r="C354" s="99"/>
      <c r="D354" s="100"/>
      <c r="E354" s="101"/>
      <c r="F354" s="101"/>
      <c r="G354" s="100" t="str">
        <f>IFERROR(VLOOKUP(Tablo517[[#This Row],[ÜRÜN KODU]],YMKODLARI!$A$1:$K$363,3,0)," ")</f>
        <v xml:space="preserve"> </v>
      </c>
      <c r="H354" s="100" t="str">
        <f>IFERROR(VLOOKUP(Tablo517[[#This Row],[ÜRÜN KODU]],YMKODLARI!$A$1:$K$363,4,0)," ")</f>
        <v xml:space="preserve"> </v>
      </c>
      <c r="I354" s="100"/>
      <c r="J354" s="100" t="str">
        <f>IFERROR(VLOOKUP(Tablo517[[#This Row],[ÜRÜN KODU]],YMKODLARI!$A$1:$K$363,9,0)," ")</f>
        <v xml:space="preserve"> </v>
      </c>
      <c r="K354" s="100" t="str">
        <f>IFERROR(VLOOKUP(Tablo517[[#This Row],[BOYA KODU]],Tablo14[#All],4,0)," ")</f>
        <v xml:space="preserve"> </v>
      </c>
      <c r="L354" s="100" t="str">
        <f>IFERROR(VLOOKUP(Tablo517[[#This Row],[BOYA KODU]],Tablo14[#All],6,0)," ")</f>
        <v xml:space="preserve"> </v>
      </c>
      <c r="M354" s="100" t="str">
        <f t="shared" si="36"/>
        <v xml:space="preserve"> </v>
      </c>
      <c r="N354" s="100" t="str">
        <f>IFERROR(VLOOKUP(Tablo517[[#This Row],[ÜRÜN KODU]],YMKODLARI!$A$1:$K$363,8,0)," ")</f>
        <v xml:space="preserve"> </v>
      </c>
      <c r="O354" s="100" t="str">
        <f>IFERROR(VLOOKUP(Tablo517[[#This Row],[HAMMADDE KODU]],Tablo1[#All],3,0)," ")</f>
        <v xml:space="preserve"> </v>
      </c>
      <c r="P354" s="100" t="str">
        <f>IFERROR(VLOOKUP(Tablo517[[#This Row],[HAMMADDE KODU]],Tablo1[#All],4,0)," ")</f>
        <v xml:space="preserve"> </v>
      </c>
      <c r="Q354" s="100" t="str">
        <f>IFERROR(VLOOKUP(Tablo517[[#This Row],[ÜRÜN KODU]],YMKODLARI!$A$1:$K$363,5,0)," ")</f>
        <v xml:space="preserve"> </v>
      </c>
      <c r="R354" s="100" t="str">
        <f>IFERROR(VLOOKUP(Tablo517[[#This Row],[ÜRÜN KODU]],YMKODLARI!$A$1:$K$363,6,0)," ")</f>
        <v xml:space="preserve"> </v>
      </c>
      <c r="S354" s="100" t="str">
        <f>IFERROR(Tablo517[[#This Row],[YOLLUK HARİÇ BASKI GRAMI]]/Tablo517[[#This Row],[KALIP GÖZ ADEDİ]]," ")</f>
        <v xml:space="preserve"> </v>
      </c>
      <c r="T354" s="100" t="str">
        <f t="shared" si="38"/>
        <v xml:space="preserve"> </v>
      </c>
      <c r="U354" s="100"/>
      <c r="V354" s="100" t="str">
        <f t="shared" si="37"/>
        <v xml:space="preserve"> </v>
      </c>
      <c r="W354" s="101">
        <f t="shared" si="39"/>
        <v>24</v>
      </c>
      <c r="X354" s="102">
        <f t="shared" si="40"/>
        <v>0</v>
      </c>
      <c r="Y354" s="100" t="str">
        <f t="shared" si="41"/>
        <v xml:space="preserve"> </v>
      </c>
      <c r="Z354" s="100" t="str">
        <f t="shared" si="42"/>
        <v xml:space="preserve"> </v>
      </c>
    </row>
    <row r="355" spans="1:26">
      <c r="A355" s="100"/>
      <c r="B355" s="108" t="str">
        <f>IFERROR(VLOOKUP(Tablo517[[#This Row],[ÜRÜN KODU]],YMKODLARI!$A$1:$K$363,2,0)," ")</f>
        <v xml:space="preserve"> </v>
      </c>
      <c r="C355" s="99"/>
      <c r="D355" s="100"/>
      <c r="E355" s="101"/>
      <c r="F355" s="101"/>
      <c r="G355" s="100" t="str">
        <f>IFERROR(VLOOKUP(Tablo517[[#This Row],[ÜRÜN KODU]],YMKODLARI!$A$1:$K$363,3,0)," ")</f>
        <v xml:space="preserve"> </v>
      </c>
      <c r="H355" s="100" t="str">
        <f>IFERROR(VLOOKUP(Tablo517[[#This Row],[ÜRÜN KODU]],YMKODLARI!$A$1:$K$363,4,0)," ")</f>
        <v xml:space="preserve"> </v>
      </c>
      <c r="I355" s="100"/>
      <c r="J355" s="100" t="str">
        <f>IFERROR(VLOOKUP(Tablo517[[#This Row],[ÜRÜN KODU]],YMKODLARI!$A$1:$K$363,9,0)," ")</f>
        <v xml:space="preserve"> </v>
      </c>
      <c r="K355" s="100" t="str">
        <f>IFERROR(VLOOKUP(Tablo517[[#This Row],[BOYA KODU]],Tablo14[#All],4,0)," ")</f>
        <v xml:space="preserve"> </v>
      </c>
      <c r="L355" s="100" t="str">
        <f>IFERROR(VLOOKUP(Tablo517[[#This Row],[BOYA KODU]],Tablo14[#All],6,0)," ")</f>
        <v xml:space="preserve"> </v>
      </c>
      <c r="M355" s="100" t="str">
        <f t="shared" si="36"/>
        <v xml:space="preserve"> </v>
      </c>
      <c r="N355" s="100" t="str">
        <f>IFERROR(VLOOKUP(Tablo517[[#This Row],[ÜRÜN KODU]],YMKODLARI!$A$1:$K$363,8,0)," ")</f>
        <v xml:space="preserve"> </v>
      </c>
      <c r="O355" s="100" t="str">
        <f>IFERROR(VLOOKUP(Tablo517[[#This Row],[HAMMADDE KODU]],Tablo1[#All],3,0)," ")</f>
        <v xml:space="preserve"> </v>
      </c>
      <c r="P355" s="100" t="str">
        <f>IFERROR(VLOOKUP(Tablo517[[#This Row],[HAMMADDE KODU]],Tablo1[#All],4,0)," ")</f>
        <v xml:space="preserve"> </v>
      </c>
      <c r="Q355" s="100" t="str">
        <f>IFERROR(VLOOKUP(Tablo517[[#This Row],[ÜRÜN KODU]],YMKODLARI!$A$1:$K$363,5,0)," ")</f>
        <v xml:space="preserve"> </v>
      </c>
      <c r="R355" s="100" t="str">
        <f>IFERROR(VLOOKUP(Tablo517[[#This Row],[ÜRÜN KODU]],YMKODLARI!$A$1:$K$363,6,0)," ")</f>
        <v xml:space="preserve"> </v>
      </c>
      <c r="S355" s="100" t="str">
        <f>IFERROR(Tablo517[[#This Row],[YOLLUK HARİÇ BASKI GRAMI]]/Tablo517[[#This Row],[KALIP GÖZ ADEDİ]]," ")</f>
        <v xml:space="preserve"> </v>
      </c>
      <c r="T355" s="100" t="str">
        <f t="shared" si="38"/>
        <v xml:space="preserve"> </v>
      </c>
      <c r="U355" s="100"/>
      <c r="V355" s="100" t="str">
        <f t="shared" si="37"/>
        <v xml:space="preserve"> </v>
      </c>
      <c r="W355" s="101">
        <f t="shared" si="39"/>
        <v>24</v>
      </c>
      <c r="X355" s="102">
        <f t="shared" si="40"/>
        <v>0</v>
      </c>
      <c r="Y355" s="100" t="str">
        <f t="shared" si="41"/>
        <v xml:space="preserve"> </v>
      </c>
      <c r="Z355" s="100" t="str">
        <f t="shared" si="42"/>
        <v xml:space="preserve"> </v>
      </c>
    </row>
    <row r="356" spans="1:26">
      <c r="A356" s="100"/>
      <c r="B356" s="108" t="str">
        <f>IFERROR(VLOOKUP(Tablo517[[#This Row],[ÜRÜN KODU]],YMKODLARI!$A$1:$K$363,2,0)," ")</f>
        <v xml:space="preserve"> </v>
      </c>
      <c r="C356" s="99"/>
      <c r="D356" s="100"/>
      <c r="E356" s="101"/>
      <c r="F356" s="101"/>
      <c r="G356" s="100" t="str">
        <f>IFERROR(VLOOKUP(Tablo517[[#This Row],[ÜRÜN KODU]],YMKODLARI!$A$1:$K$363,3,0)," ")</f>
        <v xml:space="preserve"> </v>
      </c>
      <c r="H356" s="100" t="str">
        <f>IFERROR(VLOOKUP(Tablo517[[#This Row],[ÜRÜN KODU]],YMKODLARI!$A$1:$K$363,4,0)," ")</f>
        <v xml:space="preserve"> </v>
      </c>
      <c r="I356" s="100"/>
      <c r="J356" s="100" t="str">
        <f>IFERROR(VLOOKUP(Tablo517[[#This Row],[ÜRÜN KODU]],YMKODLARI!$A$1:$K$363,9,0)," ")</f>
        <v xml:space="preserve"> </v>
      </c>
      <c r="K356" s="100" t="str">
        <f>IFERROR(VLOOKUP(Tablo517[[#This Row],[BOYA KODU]],Tablo14[#All],4,0)," ")</f>
        <v xml:space="preserve"> </v>
      </c>
      <c r="L356" s="100" t="str">
        <f>IFERROR(VLOOKUP(Tablo517[[#This Row],[BOYA KODU]],Tablo14[#All],6,0)," ")</f>
        <v xml:space="preserve"> </v>
      </c>
      <c r="M356" s="100" t="str">
        <f t="shared" si="36"/>
        <v xml:space="preserve"> </v>
      </c>
      <c r="N356" s="100" t="str">
        <f>IFERROR(VLOOKUP(Tablo517[[#This Row],[ÜRÜN KODU]],YMKODLARI!$A$1:$K$363,8,0)," ")</f>
        <v xml:space="preserve"> </v>
      </c>
      <c r="O356" s="100" t="str">
        <f>IFERROR(VLOOKUP(Tablo517[[#This Row],[HAMMADDE KODU]],Tablo1[#All],3,0)," ")</f>
        <v xml:space="preserve"> </v>
      </c>
      <c r="P356" s="100" t="str">
        <f>IFERROR(VLOOKUP(Tablo517[[#This Row],[HAMMADDE KODU]],Tablo1[#All],4,0)," ")</f>
        <v xml:space="preserve"> </v>
      </c>
      <c r="Q356" s="100" t="str">
        <f>IFERROR(VLOOKUP(Tablo517[[#This Row],[ÜRÜN KODU]],YMKODLARI!$A$1:$K$363,5,0)," ")</f>
        <v xml:space="preserve"> </v>
      </c>
      <c r="R356" s="100" t="str">
        <f>IFERROR(VLOOKUP(Tablo517[[#This Row],[ÜRÜN KODU]],YMKODLARI!$A$1:$K$363,6,0)," ")</f>
        <v xml:space="preserve"> </v>
      </c>
      <c r="S356" s="100" t="str">
        <f>IFERROR(Tablo517[[#This Row],[YOLLUK HARİÇ BASKI GRAMI]]/Tablo517[[#This Row],[KALIP GÖZ ADEDİ]]," ")</f>
        <v xml:space="preserve"> </v>
      </c>
      <c r="T356" s="100" t="str">
        <f t="shared" si="38"/>
        <v xml:space="preserve"> </v>
      </c>
      <c r="U356" s="100"/>
      <c r="V356" s="100" t="str">
        <f t="shared" si="37"/>
        <v xml:space="preserve"> </v>
      </c>
      <c r="W356" s="101">
        <f t="shared" si="39"/>
        <v>24</v>
      </c>
      <c r="X356" s="102">
        <f t="shared" si="40"/>
        <v>0</v>
      </c>
      <c r="Y356" s="100" t="str">
        <f t="shared" si="41"/>
        <v xml:space="preserve"> </v>
      </c>
      <c r="Z356" s="100" t="str">
        <f t="shared" si="42"/>
        <v xml:space="preserve"> </v>
      </c>
    </row>
    <row r="357" spans="1:26">
      <c r="A357" s="100"/>
      <c r="B357" s="108" t="str">
        <f>IFERROR(VLOOKUP(Tablo517[[#This Row],[ÜRÜN KODU]],YMKODLARI!$A$1:$K$363,2,0)," ")</f>
        <v xml:space="preserve"> </v>
      </c>
      <c r="C357" s="99"/>
      <c r="D357" s="100"/>
      <c r="E357" s="101"/>
      <c r="F357" s="101"/>
      <c r="G357" s="100" t="str">
        <f>IFERROR(VLOOKUP(Tablo517[[#This Row],[ÜRÜN KODU]],YMKODLARI!$A$1:$K$363,3,0)," ")</f>
        <v xml:space="preserve"> </v>
      </c>
      <c r="H357" s="100" t="str">
        <f>IFERROR(VLOOKUP(Tablo517[[#This Row],[ÜRÜN KODU]],YMKODLARI!$A$1:$K$363,4,0)," ")</f>
        <v xml:space="preserve"> </v>
      </c>
      <c r="I357" s="100"/>
      <c r="J357" s="100" t="str">
        <f>IFERROR(VLOOKUP(Tablo517[[#This Row],[ÜRÜN KODU]],YMKODLARI!$A$1:$K$363,9,0)," ")</f>
        <v xml:space="preserve"> </v>
      </c>
      <c r="K357" s="100" t="str">
        <f>IFERROR(VLOOKUP(Tablo517[[#This Row],[BOYA KODU]],Tablo14[#All],4,0)," ")</f>
        <v xml:space="preserve"> </v>
      </c>
      <c r="L357" s="100" t="str">
        <f>IFERROR(VLOOKUP(Tablo517[[#This Row],[BOYA KODU]],Tablo14[#All],6,0)," ")</f>
        <v xml:space="preserve"> </v>
      </c>
      <c r="M357" s="100" t="str">
        <f t="shared" si="36"/>
        <v xml:space="preserve"> </v>
      </c>
      <c r="N357" s="100" t="str">
        <f>IFERROR(VLOOKUP(Tablo517[[#This Row],[ÜRÜN KODU]],YMKODLARI!$A$1:$K$363,8,0)," ")</f>
        <v xml:space="preserve"> </v>
      </c>
      <c r="O357" s="100" t="str">
        <f>IFERROR(VLOOKUP(Tablo517[[#This Row],[HAMMADDE KODU]],Tablo1[#All],3,0)," ")</f>
        <v xml:space="preserve"> </v>
      </c>
      <c r="P357" s="100" t="str">
        <f>IFERROR(VLOOKUP(Tablo517[[#This Row],[HAMMADDE KODU]],Tablo1[#All],4,0)," ")</f>
        <v xml:space="preserve"> </v>
      </c>
      <c r="Q357" s="100" t="str">
        <f>IFERROR(VLOOKUP(Tablo517[[#This Row],[ÜRÜN KODU]],YMKODLARI!$A$1:$K$363,5,0)," ")</f>
        <v xml:space="preserve"> </v>
      </c>
      <c r="R357" s="100" t="str">
        <f>IFERROR(VLOOKUP(Tablo517[[#This Row],[ÜRÜN KODU]],YMKODLARI!$A$1:$K$363,6,0)," ")</f>
        <v xml:space="preserve"> </v>
      </c>
      <c r="S357" s="100" t="str">
        <f>IFERROR(Tablo517[[#This Row],[YOLLUK HARİÇ BASKI GRAMI]]/Tablo517[[#This Row],[KALIP GÖZ ADEDİ]]," ")</f>
        <v xml:space="preserve"> </v>
      </c>
      <c r="T357" s="100" t="str">
        <f t="shared" si="38"/>
        <v xml:space="preserve"> </v>
      </c>
      <c r="U357" s="100"/>
      <c r="V357" s="100" t="str">
        <f t="shared" si="37"/>
        <v xml:space="preserve"> </v>
      </c>
      <c r="W357" s="101">
        <f t="shared" si="39"/>
        <v>24</v>
      </c>
      <c r="X357" s="102">
        <f t="shared" si="40"/>
        <v>0</v>
      </c>
      <c r="Y357" s="100" t="str">
        <f t="shared" si="41"/>
        <v xml:space="preserve"> </v>
      </c>
      <c r="Z357" s="100" t="str">
        <f t="shared" si="42"/>
        <v xml:space="preserve"> </v>
      </c>
    </row>
    <row r="358" spans="1:26">
      <c r="A358" s="100"/>
      <c r="B358" s="108" t="str">
        <f>IFERROR(VLOOKUP(Tablo517[[#This Row],[ÜRÜN KODU]],YMKODLARI!$A$1:$K$363,2,0)," ")</f>
        <v xml:space="preserve"> </v>
      </c>
      <c r="C358" s="99"/>
      <c r="D358" s="100"/>
      <c r="E358" s="101"/>
      <c r="F358" s="101"/>
      <c r="G358" s="100" t="str">
        <f>IFERROR(VLOOKUP(Tablo517[[#This Row],[ÜRÜN KODU]],YMKODLARI!$A$1:$K$363,3,0)," ")</f>
        <v xml:space="preserve"> </v>
      </c>
      <c r="H358" s="100" t="str">
        <f>IFERROR(VLOOKUP(Tablo517[[#This Row],[ÜRÜN KODU]],YMKODLARI!$A$1:$K$363,4,0)," ")</f>
        <v xml:space="preserve"> </v>
      </c>
      <c r="I358" s="100"/>
      <c r="J358" s="100" t="str">
        <f>IFERROR(VLOOKUP(Tablo517[[#This Row],[ÜRÜN KODU]],YMKODLARI!$A$1:$K$363,9,0)," ")</f>
        <v xml:space="preserve"> </v>
      </c>
      <c r="K358" s="100" t="str">
        <f>IFERROR(VLOOKUP(Tablo517[[#This Row],[BOYA KODU]],Tablo14[#All],4,0)," ")</f>
        <v xml:space="preserve"> </v>
      </c>
      <c r="L358" s="100" t="str">
        <f>IFERROR(VLOOKUP(Tablo517[[#This Row],[BOYA KODU]],Tablo14[#All],6,0)," ")</f>
        <v xml:space="preserve"> </v>
      </c>
      <c r="M358" s="100" t="str">
        <f t="shared" si="36"/>
        <v xml:space="preserve"> </v>
      </c>
      <c r="N358" s="100" t="str">
        <f>IFERROR(VLOOKUP(Tablo517[[#This Row],[ÜRÜN KODU]],YMKODLARI!$A$1:$K$363,8,0)," ")</f>
        <v xml:space="preserve"> </v>
      </c>
      <c r="O358" s="100" t="str">
        <f>IFERROR(VLOOKUP(Tablo517[[#This Row],[HAMMADDE KODU]],Tablo1[#All],3,0)," ")</f>
        <v xml:space="preserve"> </v>
      </c>
      <c r="P358" s="100" t="str">
        <f>IFERROR(VLOOKUP(Tablo517[[#This Row],[HAMMADDE KODU]],Tablo1[#All],4,0)," ")</f>
        <v xml:space="preserve"> </v>
      </c>
      <c r="Q358" s="100" t="str">
        <f>IFERROR(VLOOKUP(Tablo517[[#This Row],[ÜRÜN KODU]],YMKODLARI!$A$1:$K$363,5,0)," ")</f>
        <v xml:space="preserve"> </v>
      </c>
      <c r="R358" s="100" t="str">
        <f>IFERROR(VLOOKUP(Tablo517[[#This Row],[ÜRÜN KODU]],YMKODLARI!$A$1:$K$363,6,0)," ")</f>
        <v xml:space="preserve"> </v>
      </c>
      <c r="S358" s="100" t="str">
        <f>IFERROR(Tablo517[[#This Row],[YOLLUK HARİÇ BASKI GRAMI]]/Tablo517[[#This Row],[KALIP GÖZ ADEDİ]]," ")</f>
        <v xml:space="preserve"> </v>
      </c>
      <c r="T358" s="100" t="str">
        <f t="shared" si="38"/>
        <v xml:space="preserve"> </v>
      </c>
      <c r="U358" s="100"/>
      <c r="V358" s="100" t="str">
        <f t="shared" si="37"/>
        <v xml:space="preserve"> </v>
      </c>
      <c r="W358" s="101">
        <f t="shared" si="39"/>
        <v>24</v>
      </c>
      <c r="X358" s="102">
        <f t="shared" si="40"/>
        <v>0</v>
      </c>
      <c r="Y358" s="100" t="str">
        <f t="shared" si="41"/>
        <v xml:space="preserve"> </v>
      </c>
      <c r="Z358" s="100" t="str">
        <f t="shared" si="42"/>
        <v xml:space="preserve"> </v>
      </c>
    </row>
    <row r="359" spans="1:26">
      <c r="A359" s="100"/>
      <c r="B359" s="108" t="str">
        <f>IFERROR(VLOOKUP(Tablo517[[#This Row],[ÜRÜN KODU]],YMKODLARI!$A$1:$K$363,2,0)," ")</f>
        <v xml:space="preserve"> </v>
      </c>
      <c r="C359" s="99"/>
      <c r="D359" s="100"/>
      <c r="E359" s="101"/>
      <c r="F359" s="101"/>
      <c r="G359" s="100" t="str">
        <f>IFERROR(VLOOKUP(Tablo517[[#This Row],[ÜRÜN KODU]],YMKODLARI!$A$1:$K$363,3,0)," ")</f>
        <v xml:space="preserve"> </v>
      </c>
      <c r="H359" s="100" t="str">
        <f>IFERROR(VLOOKUP(Tablo517[[#This Row],[ÜRÜN KODU]],YMKODLARI!$A$1:$K$363,4,0)," ")</f>
        <v xml:space="preserve"> </v>
      </c>
      <c r="I359" s="100"/>
      <c r="J359" s="100" t="str">
        <f>IFERROR(VLOOKUP(Tablo517[[#This Row],[ÜRÜN KODU]],YMKODLARI!$A$1:$K$363,9,0)," ")</f>
        <v xml:space="preserve"> </v>
      </c>
      <c r="K359" s="100" t="str">
        <f>IFERROR(VLOOKUP(Tablo517[[#This Row],[BOYA KODU]],Tablo14[#All],4,0)," ")</f>
        <v xml:space="preserve"> </v>
      </c>
      <c r="L359" s="100" t="str">
        <f>IFERROR(VLOOKUP(Tablo517[[#This Row],[BOYA KODU]],Tablo14[#All],6,0)," ")</f>
        <v xml:space="preserve"> </v>
      </c>
      <c r="M359" s="100" t="str">
        <f t="shared" si="36"/>
        <v xml:space="preserve"> </v>
      </c>
      <c r="N359" s="100" t="str">
        <f>IFERROR(VLOOKUP(Tablo517[[#This Row],[ÜRÜN KODU]],YMKODLARI!$A$1:$K$363,8,0)," ")</f>
        <v xml:space="preserve"> </v>
      </c>
      <c r="O359" s="100" t="str">
        <f>IFERROR(VLOOKUP(Tablo517[[#This Row],[HAMMADDE KODU]],Tablo1[#All],3,0)," ")</f>
        <v xml:space="preserve"> </v>
      </c>
      <c r="P359" s="100" t="str">
        <f>IFERROR(VLOOKUP(Tablo517[[#This Row],[HAMMADDE KODU]],Tablo1[#All],4,0)," ")</f>
        <v xml:space="preserve"> </v>
      </c>
      <c r="Q359" s="100" t="str">
        <f>IFERROR(VLOOKUP(Tablo517[[#This Row],[ÜRÜN KODU]],YMKODLARI!$A$1:$K$363,5,0)," ")</f>
        <v xml:space="preserve"> </v>
      </c>
      <c r="R359" s="100" t="str">
        <f>IFERROR(VLOOKUP(Tablo517[[#This Row],[ÜRÜN KODU]],YMKODLARI!$A$1:$K$363,6,0)," ")</f>
        <v xml:space="preserve"> </v>
      </c>
      <c r="S359" s="100" t="str">
        <f>IFERROR(Tablo517[[#This Row],[YOLLUK HARİÇ BASKI GRAMI]]/Tablo517[[#This Row],[KALIP GÖZ ADEDİ]]," ")</f>
        <v xml:space="preserve"> </v>
      </c>
      <c r="T359" s="100" t="str">
        <f t="shared" si="38"/>
        <v xml:space="preserve"> </v>
      </c>
      <c r="U359" s="100"/>
      <c r="V359" s="100" t="str">
        <f t="shared" si="37"/>
        <v xml:space="preserve"> </v>
      </c>
      <c r="W359" s="101">
        <f t="shared" si="39"/>
        <v>24</v>
      </c>
      <c r="X359" s="102">
        <f t="shared" si="40"/>
        <v>0</v>
      </c>
      <c r="Y359" s="100" t="str">
        <f t="shared" si="41"/>
        <v xml:space="preserve"> </v>
      </c>
      <c r="Z359" s="100" t="str">
        <f t="shared" si="42"/>
        <v xml:space="preserve"> </v>
      </c>
    </row>
    <row r="360" spans="1:26">
      <c r="A360" s="100"/>
      <c r="B360" s="108" t="str">
        <f>IFERROR(VLOOKUP(Tablo517[[#This Row],[ÜRÜN KODU]],YMKODLARI!$A$1:$K$363,2,0)," ")</f>
        <v xml:space="preserve"> </v>
      </c>
      <c r="C360" s="99"/>
      <c r="D360" s="100"/>
      <c r="E360" s="101"/>
      <c r="F360" s="101"/>
      <c r="G360" s="100" t="str">
        <f>IFERROR(VLOOKUP(Tablo517[[#This Row],[ÜRÜN KODU]],YMKODLARI!$A$1:$K$363,3,0)," ")</f>
        <v xml:space="preserve"> </v>
      </c>
      <c r="H360" s="100" t="str">
        <f>IFERROR(VLOOKUP(Tablo517[[#This Row],[ÜRÜN KODU]],YMKODLARI!$A$1:$K$363,4,0)," ")</f>
        <v xml:space="preserve"> </v>
      </c>
      <c r="I360" s="100"/>
      <c r="J360" s="100" t="str">
        <f>IFERROR(VLOOKUP(Tablo517[[#This Row],[ÜRÜN KODU]],YMKODLARI!$A$1:$K$363,9,0)," ")</f>
        <v xml:space="preserve"> </v>
      </c>
      <c r="K360" s="100" t="str">
        <f>IFERROR(VLOOKUP(Tablo517[[#This Row],[BOYA KODU]],Tablo14[#All],4,0)," ")</f>
        <v xml:space="preserve"> </v>
      </c>
      <c r="L360" s="100" t="str">
        <f>IFERROR(VLOOKUP(Tablo517[[#This Row],[BOYA KODU]],Tablo14[#All],6,0)," ")</f>
        <v xml:space="preserve"> </v>
      </c>
      <c r="M360" s="100" t="str">
        <f t="shared" si="36"/>
        <v xml:space="preserve"> </v>
      </c>
      <c r="N360" s="100" t="str">
        <f>IFERROR(VLOOKUP(Tablo517[[#This Row],[ÜRÜN KODU]],YMKODLARI!$A$1:$K$363,8,0)," ")</f>
        <v xml:space="preserve"> </v>
      </c>
      <c r="O360" s="100" t="str">
        <f>IFERROR(VLOOKUP(Tablo517[[#This Row],[HAMMADDE KODU]],Tablo1[#All],3,0)," ")</f>
        <v xml:space="preserve"> </v>
      </c>
      <c r="P360" s="100" t="str">
        <f>IFERROR(VLOOKUP(Tablo517[[#This Row],[HAMMADDE KODU]],Tablo1[#All],4,0)," ")</f>
        <v xml:space="preserve"> </v>
      </c>
      <c r="Q360" s="100" t="str">
        <f>IFERROR(VLOOKUP(Tablo517[[#This Row],[ÜRÜN KODU]],YMKODLARI!$A$1:$K$363,5,0)," ")</f>
        <v xml:space="preserve"> </v>
      </c>
      <c r="R360" s="100" t="str">
        <f>IFERROR(VLOOKUP(Tablo517[[#This Row],[ÜRÜN KODU]],YMKODLARI!$A$1:$K$363,6,0)," ")</f>
        <v xml:space="preserve"> </v>
      </c>
      <c r="S360" s="100" t="str">
        <f>IFERROR(Tablo517[[#This Row],[YOLLUK HARİÇ BASKI GRAMI]]/Tablo517[[#This Row],[KALIP GÖZ ADEDİ]]," ")</f>
        <v xml:space="preserve"> </v>
      </c>
      <c r="T360" s="100" t="str">
        <f t="shared" si="38"/>
        <v xml:space="preserve"> </v>
      </c>
      <c r="U360" s="100"/>
      <c r="V360" s="100" t="str">
        <f t="shared" si="37"/>
        <v xml:space="preserve"> </v>
      </c>
      <c r="W360" s="101">
        <f t="shared" si="39"/>
        <v>24</v>
      </c>
      <c r="X360" s="102">
        <f t="shared" si="40"/>
        <v>0</v>
      </c>
      <c r="Y360" s="100" t="str">
        <f t="shared" si="41"/>
        <v xml:space="preserve"> </v>
      </c>
      <c r="Z360" s="100" t="str">
        <f t="shared" si="42"/>
        <v xml:space="preserve"> </v>
      </c>
    </row>
    <row r="361" spans="1:26">
      <c r="A361" s="100"/>
      <c r="B361" s="108" t="str">
        <f>IFERROR(VLOOKUP(Tablo517[[#This Row],[ÜRÜN KODU]],YMKODLARI!$A$1:$K$363,2,0)," ")</f>
        <v xml:space="preserve"> </v>
      </c>
      <c r="C361" s="99"/>
      <c r="D361" s="100"/>
      <c r="E361" s="101"/>
      <c r="F361" s="101"/>
      <c r="G361" s="100" t="str">
        <f>IFERROR(VLOOKUP(Tablo517[[#This Row],[ÜRÜN KODU]],YMKODLARI!$A$1:$K$363,3,0)," ")</f>
        <v xml:space="preserve"> </v>
      </c>
      <c r="H361" s="100" t="str">
        <f>IFERROR(VLOOKUP(Tablo517[[#This Row],[ÜRÜN KODU]],YMKODLARI!$A$1:$K$363,4,0)," ")</f>
        <v xml:space="preserve"> </v>
      </c>
      <c r="I361" s="100"/>
      <c r="J361" s="100" t="str">
        <f>IFERROR(VLOOKUP(Tablo517[[#This Row],[ÜRÜN KODU]],YMKODLARI!$A$1:$K$363,9,0)," ")</f>
        <v xml:space="preserve"> </v>
      </c>
      <c r="K361" s="100" t="str">
        <f>IFERROR(VLOOKUP(Tablo517[[#This Row],[BOYA KODU]],Tablo14[#All],4,0)," ")</f>
        <v xml:space="preserve"> </v>
      </c>
      <c r="L361" s="100" t="str">
        <f>IFERROR(VLOOKUP(Tablo517[[#This Row],[BOYA KODU]],Tablo14[#All],6,0)," ")</f>
        <v xml:space="preserve"> </v>
      </c>
      <c r="M361" s="100" t="str">
        <f t="shared" si="36"/>
        <v xml:space="preserve"> </v>
      </c>
      <c r="N361" s="100" t="str">
        <f>IFERROR(VLOOKUP(Tablo517[[#This Row],[ÜRÜN KODU]],YMKODLARI!$A$1:$K$363,8,0)," ")</f>
        <v xml:space="preserve"> </v>
      </c>
      <c r="O361" s="100" t="str">
        <f>IFERROR(VLOOKUP(Tablo517[[#This Row],[HAMMADDE KODU]],Tablo1[#All],3,0)," ")</f>
        <v xml:space="preserve"> </v>
      </c>
      <c r="P361" s="100" t="str">
        <f>IFERROR(VLOOKUP(Tablo517[[#This Row],[HAMMADDE KODU]],Tablo1[#All],4,0)," ")</f>
        <v xml:space="preserve"> </v>
      </c>
      <c r="Q361" s="100" t="str">
        <f>IFERROR(VLOOKUP(Tablo517[[#This Row],[ÜRÜN KODU]],YMKODLARI!$A$1:$K$363,5,0)," ")</f>
        <v xml:space="preserve"> </v>
      </c>
      <c r="R361" s="100" t="str">
        <f>IFERROR(VLOOKUP(Tablo517[[#This Row],[ÜRÜN KODU]],YMKODLARI!$A$1:$K$363,6,0)," ")</f>
        <v xml:space="preserve"> </v>
      </c>
      <c r="S361" s="100" t="str">
        <f>IFERROR(Tablo517[[#This Row],[YOLLUK HARİÇ BASKI GRAMI]]/Tablo517[[#This Row],[KALIP GÖZ ADEDİ]]," ")</f>
        <v xml:space="preserve"> </v>
      </c>
      <c r="T361" s="100" t="str">
        <f t="shared" si="38"/>
        <v xml:space="preserve"> </v>
      </c>
      <c r="U361" s="100"/>
      <c r="V361" s="100" t="str">
        <f t="shared" si="37"/>
        <v xml:space="preserve"> </v>
      </c>
      <c r="W361" s="101">
        <f t="shared" si="39"/>
        <v>24</v>
      </c>
      <c r="X361" s="102">
        <f t="shared" si="40"/>
        <v>0</v>
      </c>
      <c r="Y361" s="100" t="str">
        <f t="shared" si="41"/>
        <v xml:space="preserve"> </v>
      </c>
      <c r="Z361" s="100" t="str">
        <f t="shared" si="42"/>
        <v xml:space="preserve"> </v>
      </c>
    </row>
    <row r="362" spans="1:26">
      <c r="A362" s="100"/>
      <c r="B362" s="108" t="str">
        <f>IFERROR(VLOOKUP(Tablo517[[#This Row],[ÜRÜN KODU]],YMKODLARI!$A$1:$K$363,2,0)," ")</f>
        <v xml:space="preserve"> </v>
      </c>
      <c r="C362" s="99"/>
      <c r="D362" s="100"/>
      <c r="E362" s="101"/>
      <c r="F362" s="101"/>
      <c r="G362" s="100" t="str">
        <f>IFERROR(VLOOKUP(Tablo517[[#This Row],[ÜRÜN KODU]],YMKODLARI!$A$1:$K$363,3,0)," ")</f>
        <v xml:space="preserve"> </v>
      </c>
      <c r="H362" s="100" t="str">
        <f>IFERROR(VLOOKUP(Tablo517[[#This Row],[ÜRÜN KODU]],YMKODLARI!$A$1:$K$363,4,0)," ")</f>
        <v xml:space="preserve"> </v>
      </c>
      <c r="I362" s="100"/>
      <c r="J362" s="100" t="str">
        <f>IFERROR(VLOOKUP(Tablo517[[#This Row],[ÜRÜN KODU]],YMKODLARI!$A$1:$K$363,9,0)," ")</f>
        <v xml:space="preserve"> </v>
      </c>
      <c r="K362" s="100" t="str">
        <f>IFERROR(VLOOKUP(Tablo517[[#This Row],[BOYA KODU]],Tablo14[#All],4,0)," ")</f>
        <v xml:space="preserve"> </v>
      </c>
      <c r="L362" s="100" t="str">
        <f>IFERROR(VLOOKUP(Tablo517[[#This Row],[BOYA KODU]],Tablo14[#All],6,0)," ")</f>
        <v xml:space="preserve"> </v>
      </c>
      <c r="M362" s="100" t="str">
        <f t="shared" si="36"/>
        <v xml:space="preserve"> </v>
      </c>
      <c r="N362" s="100" t="str">
        <f>IFERROR(VLOOKUP(Tablo517[[#This Row],[ÜRÜN KODU]],YMKODLARI!$A$1:$K$363,8,0)," ")</f>
        <v xml:space="preserve"> </v>
      </c>
      <c r="O362" s="100" t="str">
        <f>IFERROR(VLOOKUP(Tablo517[[#This Row],[HAMMADDE KODU]],Tablo1[#All],3,0)," ")</f>
        <v xml:space="preserve"> </v>
      </c>
      <c r="P362" s="100" t="str">
        <f>IFERROR(VLOOKUP(Tablo517[[#This Row],[HAMMADDE KODU]],Tablo1[#All],4,0)," ")</f>
        <v xml:space="preserve"> </v>
      </c>
      <c r="Q362" s="100" t="str">
        <f>IFERROR(VLOOKUP(Tablo517[[#This Row],[ÜRÜN KODU]],YMKODLARI!$A$1:$K$363,5,0)," ")</f>
        <v xml:space="preserve"> </v>
      </c>
      <c r="R362" s="100" t="str">
        <f>IFERROR(VLOOKUP(Tablo517[[#This Row],[ÜRÜN KODU]],YMKODLARI!$A$1:$K$363,6,0)," ")</f>
        <v xml:space="preserve"> </v>
      </c>
      <c r="S362" s="100" t="str">
        <f>IFERROR(Tablo517[[#This Row],[YOLLUK HARİÇ BASKI GRAMI]]/Tablo517[[#This Row],[KALIP GÖZ ADEDİ]]," ")</f>
        <v xml:space="preserve"> </v>
      </c>
      <c r="T362" s="100" t="str">
        <f t="shared" si="38"/>
        <v xml:space="preserve"> </v>
      </c>
      <c r="U362" s="100"/>
      <c r="V362" s="100" t="str">
        <f t="shared" si="37"/>
        <v xml:space="preserve"> </v>
      </c>
      <c r="W362" s="101">
        <f t="shared" si="39"/>
        <v>24</v>
      </c>
      <c r="X362" s="102">
        <f t="shared" si="40"/>
        <v>0</v>
      </c>
      <c r="Y362" s="100" t="str">
        <f t="shared" si="41"/>
        <v xml:space="preserve"> </v>
      </c>
      <c r="Z362" s="100" t="str">
        <f t="shared" si="42"/>
        <v xml:space="preserve"> </v>
      </c>
    </row>
    <row r="363" spans="1:26">
      <c r="A363" s="100"/>
      <c r="B363" s="108" t="str">
        <f>IFERROR(VLOOKUP(Tablo517[[#This Row],[ÜRÜN KODU]],YMKODLARI!$A$1:$K$363,2,0)," ")</f>
        <v xml:space="preserve"> </v>
      </c>
      <c r="C363" s="99"/>
      <c r="D363" s="100"/>
      <c r="E363" s="101"/>
      <c r="F363" s="101"/>
      <c r="G363" s="100" t="str">
        <f>IFERROR(VLOOKUP(Tablo517[[#This Row],[ÜRÜN KODU]],YMKODLARI!$A$1:$K$363,3,0)," ")</f>
        <v xml:space="preserve"> </v>
      </c>
      <c r="H363" s="100" t="str">
        <f>IFERROR(VLOOKUP(Tablo517[[#This Row],[ÜRÜN KODU]],YMKODLARI!$A$1:$K$363,4,0)," ")</f>
        <v xml:space="preserve"> </v>
      </c>
      <c r="I363" s="100"/>
      <c r="J363" s="100" t="str">
        <f>IFERROR(VLOOKUP(Tablo517[[#This Row],[ÜRÜN KODU]],YMKODLARI!$A$1:$K$363,9,0)," ")</f>
        <v xml:space="preserve"> </v>
      </c>
      <c r="K363" s="100" t="str">
        <f>IFERROR(VLOOKUP(Tablo517[[#This Row],[BOYA KODU]],Tablo14[#All],4,0)," ")</f>
        <v xml:space="preserve"> </v>
      </c>
      <c r="L363" s="100" t="str">
        <f>IFERROR(VLOOKUP(Tablo517[[#This Row],[BOYA KODU]],Tablo14[#All],6,0)," ")</f>
        <v xml:space="preserve"> </v>
      </c>
      <c r="M363" s="100" t="str">
        <f t="shared" si="36"/>
        <v xml:space="preserve"> </v>
      </c>
      <c r="N363" s="100" t="str">
        <f>IFERROR(VLOOKUP(Tablo517[[#This Row],[ÜRÜN KODU]],YMKODLARI!$A$1:$K$363,8,0)," ")</f>
        <v xml:space="preserve"> </v>
      </c>
      <c r="O363" s="100" t="str">
        <f>IFERROR(VLOOKUP(Tablo517[[#This Row],[HAMMADDE KODU]],Tablo1[#All],3,0)," ")</f>
        <v xml:space="preserve"> </v>
      </c>
      <c r="P363" s="100" t="str">
        <f>IFERROR(VLOOKUP(Tablo517[[#This Row],[HAMMADDE KODU]],Tablo1[#All],4,0)," ")</f>
        <v xml:space="preserve"> </v>
      </c>
      <c r="Q363" s="100" t="str">
        <f>IFERROR(VLOOKUP(Tablo517[[#This Row],[ÜRÜN KODU]],YMKODLARI!$A$1:$K$363,5,0)," ")</f>
        <v xml:space="preserve"> </v>
      </c>
      <c r="R363" s="100" t="str">
        <f>IFERROR(VLOOKUP(Tablo517[[#This Row],[ÜRÜN KODU]],YMKODLARI!$A$1:$K$363,6,0)," ")</f>
        <v xml:space="preserve"> </v>
      </c>
      <c r="S363" s="100" t="str">
        <f>IFERROR(Tablo517[[#This Row],[YOLLUK HARİÇ BASKI GRAMI]]/Tablo517[[#This Row],[KALIP GÖZ ADEDİ]]," ")</f>
        <v xml:space="preserve"> </v>
      </c>
      <c r="T363" s="100" t="str">
        <f t="shared" si="38"/>
        <v xml:space="preserve"> </v>
      </c>
      <c r="U363" s="100"/>
      <c r="V363" s="100" t="str">
        <f t="shared" si="37"/>
        <v xml:space="preserve"> </v>
      </c>
      <c r="W363" s="101">
        <f t="shared" si="39"/>
        <v>24</v>
      </c>
      <c r="X363" s="102">
        <f t="shared" si="40"/>
        <v>0</v>
      </c>
      <c r="Y363" s="100" t="str">
        <f t="shared" si="41"/>
        <v xml:space="preserve"> </v>
      </c>
      <c r="Z363" s="100" t="str">
        <f t="shared" si="42"/>
        <v xml:space="preserve"> </v>
      </c>
    </row>
    <row r="364" spans="1:26">
      <c r="A364" s="100"/>
      <c r="B364" s="108" t="str">
        <f>IFERROR(VLOOKUP(Tablo517[[#This Row],[ÜRÜN KODU]],YMKODLARI!$A$1:$K$363,2,0)," ")</f>
        <v xml:space="preserve"> </v>
      </c>
      <c r="C364" s="99"/>
      <c r="D364" s="100"/>
      <c r="E364" s="101"/>
      <c r="F364" s="101"/>
      <c r="G364" s="100" t="str">
        <f>IFERROR(VLOOKUP(Tablo517[[#This Row],[ÜRÜN KODU]],YMKODLARI!$A$1:$K$363,3,0)," ")</f>
        <v xml:space="preserve"> </v>
      </c>
      <c r="H364" s="100" t="str">
        <f>IFERROR(VLOOKUP(Tablo517[[#This Row],[ÜRÜN KODU]],YMKODLARI!$A$1:$K$363,4,0)," ")</f>
        <v xml:space="preserve"> </v>
      </c>
      <c r="I364" s="100"/>
      <c r="J364" s="100" t="str">
        <f>IFERROR(VLOOKUP(Tablo517[[#This Row],[ÜRÜN KODU]],YMKODLARI!$A$1:$K$363,9,0)," ")</f>
        <v xml:space="preserve"> </v>
      </c>
      <c r="K364" s="100" t="str">
        <f>IFERROR(VLOOKUP(Tablo517[[#This Row],[BOYA KODU]],Tablo14[#All],4,0)," ")</f>
        <v xml:space="preserve"> </v>
      </c>
      <c r="L364" s="100" t="str">
        <f>IFERROR(VLOOKUP(Tablo517[[#This Row],[BOYA KODU]],Tablo14[#All],6,0)," ")</f>
        <v xml:space="preserve"> </v>
      </c>
      <c r="M364" s="100" t="str">
        <f t="shared" si="36"/>
        <v xml:space="preserve"> </v>
      </c>
      <c r="N364" s="100" t="str">
        <f>IFERROR(VLOOKUP(Tablo517[[#This Row],[ÜRÜN KODU]],YMKODLARI!$A$1:$K$363,8,0)," ")</f>
        <v xml:space="preserve"> </v>
      </c>
      <c r="O364" s="100" t="str">
        <f>IFERROR(VLOOKUP(Tablo517[[#This Row],[HAMMADDE KODU]],Tablo1[#All],3,0)," ")</f>
        <v xml:space="preserve"> </v>
      </c>
      <c r="P364" s="100" t="str">
        <f>IFERROR(VLOOKUP(Tablo517[[#This Row],[HAMMADDE KODU]],Tablo1[#All],4,0)," ")</f>
        <v xml:space="preserve"> </v>
      </c>
      <c r="Q364" s="100" t="str">
        <f>IFERROR(VLOOKUP(Tablo517[[#This Row],[ÜRÜN KODU]],YMKODLARI!$A$1:$K$363,5,0)," ")</f>
        <v xml:space="preserve"> </v>
      </c>
      <c r="R364" s="100" t="str">
        <f>IFERROR(VLOOKUP(Tablo517[[#This Row],[ÜRÜN KODU]],YMKODLARI!$A$1:$K$363,6,0)," ")</f>
        <v xml:space="preserve"> </v>
      </c>
      <c r="S364" s="100" t="str">
        <f>IFERROR(Tablo517[[#This Row],[YOLLUK HARİÇ BASKI GRAMI]]/Tablo517[[#This Row],[KALIP GÖZ ADEDİ]]," ")</f>
        <v xml:space="preserve"> </v>
      </c>
      <c r="T364" s="100" t="str">
        <f t="shared" si="38"/>
        <v xml:space="preserve"> </v>
      </c>
      <c r="U364" s="100"/>
      <c r="V364" s="100" t="str">
        <f t="shared" si="37"/>
        <v xml:space="preserve"> </v>
      </c>
      <c r="W364" s="101">
        <f t="shared" si="39"/>
        <v>24</v>
      </c>
      <c r="X364" s="102">
        <f t="shared" si="40"/>
        <v>0</v>
      </c>
      <c r="Y364" s="100" t="str">
        <f t="shared" si="41"/>
        <v xml:space="preserve"> </v>
      </c>
      <c r="Z364" s="100" t="str">
        <f t="shared" si="42"/>
        <v xml:space="preserve"> </v>
      </c>
    </row>
    <row r="365" spans="1:26">
      <c r="A365" s="100"/>
      <c r="B365" s="108" t="str">
        <f>IFERROR(VLOOKUP(Tablo517[[#This Row],[ÜRÜN KODU]],YMKODLARI!$A$1:$K$363,2,0)," ")</f>
        <v xml:space="preserve"> </v>
      </c>
      <c r="C365" s="99"/>
      <c r="D365" s="100"/>
      <c r="E365" s="101"/>
      <c r="F365" s="101"/>
      <c r="G365" s="100" t="str">
        <f>IFERROR(VLOOKUP(Tablo517[[#This Row],[ÜRÜN KODU]],YMKODLARI!$A$1:$K$363,3,0)," ")</f>
        <v xml:space="preserve"> </v>
      </c>
      <c r="H365" s="100" t="str">
        <f>IFERROR(VLOOKUP(Tablo517[[#This Row],[ÜRÜN KODU]],YMKODLARI!$A$1:$K$363,4,0)," ")</f>
        <v xml:space="preserve"> </v>
      </c>
      <c r="I365" s="100"/>
      <c r="J365" s="100" t="str">
        <f>IFERROR(VLOOKUP(Tablo517[[#This Row],[ÜRÜN KODU]],YMKODLARI!$A$1:$K$363,9,0)," ")</f>
        <v xml:space="preserve"> </v>
      </c>
      <c r="K365" s="100" t="str">
        <f>IFERROR(VLOOKUP(Tablo517[[#This Row],[BOYA KODU]],Tablo14[#All],4,0)," ")</f>
        <v xml:space="preserve"> </v>
      </c>
      <c r="L365" s="100" t="str">
        <f>IFERROR(VLOOKUP(Tablo517[[#This Row],[BOYA KODU]],Tablo14[#All],6,0)," ")</f>
        <v xml:space="preserve"> </v>
      </c>
      <c r="M365" s="100" t="str">
        <f t="shared" si="36"/>
        <v xml:space="preserve"> </v>
      </c>
      <c r="N365" s="100" t="str">
        <f>IFERROR(VLOOKUP(Tablo517[[#This Row],[ÜRÜN KODU]],YMKODLARI!$A$1:$K$363,8,0)," ")</f>
        <v xml:space="preserve"> </v>
      </c>
      <c r="O365" s="100" t="str">
        <f>IFERROR(VLOOKUP(Tablo517[[#This Row],[HAMMADDE KODU]],Tablo1[#All],3,0)," ")</f>
        <v xml:space="preserve"> </v>
      </c>
      <c r="P365" s="100" t="str">
        <f>IFERROR(VLOOKUP(Tablo517[[#This Row],[HAMMADDE KODU]],Tablo1[#All],4,0)," ")</f>
        <v xml:space="preserve"> </v>
      </c>
      <c r="Q365" s="100" t="str">
        <f>IFERROR(VLOOKUP(Tablo517[[#This Row],[ÜRÜN KODU]],YMKODLARI!$A$1:$K$363,5,0)," ")</f>
        <v xml:space="preserve"> </v>
      </c>
      <c r="R365" s="100" t="str">
        <f>IFERROR(VLOOKUP(Tablo517[[#This Row],[ÜRÜN KODU]],YMKODLARI!$A$1:$K$363,6,0)," ")</f>
        <v xml:space="preserve"> </v>
      </c>
      <c r="S365" s="100" t="str">
        <f>IFERROR(Tablo517[[#This Row],[YOLLUK HARİÇ BASKI GRAMI]]/Tablo517[[#This Row],[KALIP GÖZ ADEDİ]]," ")</f>
        <v xml:space="preserve"> </v>
      </c>
      <c r="T365" s="100" t="str">
        <f t="shared" si="38"/>
        <v xml:space="preserve"> </v>
      </c>
      <c r="U365" s="100"/>
      <c r="V365" s="100" t="str">
        <f t="shared" si="37"/>
        <v xml:space="preserve"> </v>
      </c>
      <c r="W365" s="101">
        <f t="shared" si="39"/>
        <v>24</v>
      </c>
      <c r="X365" s="102">
        <f t="shared" si="40"/>
        <v>0</v>
      </c>
      <c r="Y365" s="100" t="str">
        <f t="shared" si="41"/>
        <v xml:space="preserve"> </v>
      </c>
      <c r="Z365" s="100" t="str">
        <f t="shared" si="42"/>
        <v xml:space="preserve"> </v>
      </c>
    </row>
    <row r="366" spans="1:26">
      <c r="A366" s="100"/>
      <c r="B366" s="108" t="str">
        <f>IFERROR(VLOOKUP(Tablo517[[#This Row],[ÜRÜN KODU]],YMKODLARI!$A$1:$K$363,2,0)," ")</f>
        <v xml:space="preserve"> </v>
      </c>
      <c r="C366" s="99"/>
      <c r="D366" s="100"/>
      <c r="E366" s="101"/>
      <c r="F366" s="101"/>
      <c r="G366" s="100" t="str">
        <f>IFERROR(VLOOKUP(Tablo517[[#This Row],[ÜRÜN KODU]],YMKODLARI!$A$1:$K$363,3,0)," ")</f>
        <v xml:space="preserve"> </v>
      </c>
      <c r="H366" s="100" t="str">
        <f>IFERROR(VLOOKUP(Tablo517[[#This Row],[ÜRÜN KODU]],YMKODLARI!$A$1:$K$363,4,0)," ")</f>
        <v xml:space="preserve"> </v>
      </c>
      <c r="I366" s="100"/>
      <c r="J366" s="100" t="str">
        <f>IFERROR(VLOOKUP(Tablo517[[#This Row],[ÜRÜN KODU]],YMKODLARI!$A$1:$K$363,9,0)," ")</f>
        <v xml:space="preserve"> </v>
      </c>
      <c r="K366" s="100" t="str">
        <f>IFERROR(VLOOKUP(Tablo517[[#This Row],[BOYA KODU]],Tablo14[#All],4,0)," ")</f>
        <v xml:space="preserve"> </v>
      </c>
      <c r="L366" s="100" t="str">
        <f>IFERROR(VLOOKUP(Tablo517[[#This Row],[BOYA KODU]],Tablo14[#All],6,0)," ")</f>
        <v xml:space="preserve"> </v>
      </c>
      <c r="M366" s="100" t="str">
        <f t="shared" si="36"/>
        <v xml:space="preserve"> </v>
      </c>
      <c r="N366" s="100" t="str">
        <f>IFERROR(VLOOKUP(Tablo517[[#This Row],[ÜRÜN KODU]],YMKODLARI!$A$1:$K$363,8,0)," ")</f>
        <v xml:space="preserve"> </v>
      </c>
      <c r="O366" s="100" t="str">
        <f>IFERROR(VLOOKUP(Tablo517[[#This Row],[HAMMADDE KODU]],Tablo1[#All],3,0)," ")</f>
        <v xml:space="preserve"> </v>
      </c>
      <c r="P366" s="100" t="str">
        <f>IFERROR(VLOOKUP(Tablo517[[#This Row],[HAMMADDE KODU]],Tablo1[#All],4,0)," ")</f>
        <v xml:space="preserve"> </v>
      </c>
      <c r="Q366" s="100" t="str">
        <f>IFERROR(VLOOKUP(Tablo517[[#This Row],[ÜRÜN KODU]],YMKODLARI!$A$1:$K$363,5,0)," ")</f>
        <v xml:space="preserve"> </v>
      </c>
      <c r="R366" s="100" t="str">
        <f>IFERROR(VLOOKUP(Tablo517[[#This Row],[ÜRÜN KODU]],YMKODLARI!$A$1:$K$363,6,0)," ")</f>
        <v xml:space="preserve"> </v>
      </c>
      <c r="S366" s="100" t="str">
        <f>IFERROR(Tablo517[[#This Row],[YOLLUK HARİÇ BASKI GRAMI]]/Tablo517[[#This Row],[KALIP GÖZ ADEDİ]]," ")</f>
        <v xml:space="preserve"> </v>
      </c>
      <c r="T366" s="100" t="str">
        <f t="shared" si="38"/>
        <v xml:space="preserve"> </v>
      </c>
      <c r="U366" s="100"/>
      <c r="V366" s="100" t="str">
        <f t="shared" si="37"/>
        <v xml:space="preserve"> </v>
      </c>
      <c r="W366" s="101">
        <f t="shared" si="39"/>
        <v>24</v>
      </c>
      <c r="X366" s="102">
        <f t="shared" si="40"/>
        <v>0</v>
      </c>
      <c r="Y366" s="100" t="str">
        <f t="shared" si="41"/>
        <v xml:space="preserve"> </v>
      </c>
      <c r="Z366" s="100" t="str">
        <f t="shared" si="42"/>
        <v xml:space="preserve"> </v>
      </c>
    </row>
    <row r="367" spans="1:26">
      <c r="A367" s="100"/>
      <c r="B367" s="108" t="str">
        <f>IFERROR(VLOOKUP(Tablo517[[#This Row],[ÜRÜN KODU]],YMKODLARI!$A$1:$K$363,2,0)," ")</f>
        <v xml:space="preserve"> </v>
      </c>
      <c r="C367" s="99"/>
      <c r="D367" s="100"/>
      <c r="E367" s="101"/>
      <c r="F367" s="101"/>
      <c r="G367" s="100" t="str">
        <f>IFERROR(VLOOKUP(Tablo517[[#This Row],[ÜRÜN KODU]],YMKODLARI!$A$1:$K$363,3,0)," ")</f>
        <v xml:space="preserve"> </v>
      </c>
      <c r="H367" s="100" t="str">
        <f>IFERROR(VLOOKUP(Tablo517[[#This Row],[ÜRÜN KODU]],YMKODLARI!$A$1:$K$363,4,0)," ")</f>
        <v xml:space="preserve"> </v>
      </c>
      <c r="I367" s="100"/>
      <c r="J367" s="100" t="str">
        <f>IFERROR(VLOOKUP(Tablo517[[#This Row],[ÜRÜN KODU]],YMKODLARI!$A$1:$K$363,9,0)," ")</f>
        <v xml:space="preserve"> </v>
      </c>
      <c r="K367" s="100" t="str">
        <f>IFERROR(VLOOKUP(Tablo517[[#This Row],[BOYA KODU]],Tablo14[#All],4,0)," ")</f>
        <v xml:space="preserve"> </v>
      </c>
      <c r="L367" s="100" t="str">
        <f>IFERROR(VLOOKUP(Tablo517[[#This Row],[BOYA KODU]],Tablo14[#All],6,0)," ")</f>
        <v xml:space="preserve"> </v>
      </c>
      <c r="M367" s="100" t="str">
        <f t="shared" si="36"/>
        <v xml:space="preserve"> </v>
      </c>
      <c r="N367" s="100" t="str">
        <f>IFERROR(VLOOKUP(Tablo517[[#This Row],[ÜRÜN KODU]],YMKODLARI!$A$1:$K$363,8,0)," ")</f>
        <v xml:space="preserve"> </v>
      </c>
      <c r="O367" s="100" t="str">
        <f>IFERROR(VLOOKUP(Tablo517[[#This Row],[HAMMADDE KODU]],Tablo1[#All],3,0)," ")</f>
        <v xml:space="preserve"> </v>
      </c>
      <c r="P367" s="100" t="str">
        <f>IFERROR(VLOOKUP(Tablo517[[#This Row],[HAMMADDE KODU]],Tablo1[#All],4,0)," ")</f>
        <v xml:space="preserve"> </v>
      </c>
      <c r="Q367" s="100" t="str">
        <f>IFERROR(VLOOKUP(Tablo517[[#This Row],[ÜRÜN KODU]],YMKODLARI!$A$1:$K$363,5,0)," ")</f>
        <v xml:space="preserve"> </v>
      </c>
      <c r="R367" s="100" t="str">
        <f>IFERROR(VLOOKUP(Tablo517[[#This Row],[ÜRÜN KODU]],YMKODLARI!$A$1:$K$363,6,0)," ")</f>
        <v xml:space="preserve"> </v>
      </c>
      <c r="S367" s="100" t="str">
        <f>IFERROR(Tablo517[[#This Row],[YOLLUK HARİÇ BASKI GRAMI]]/Tablo517[[#This Row],[KALIP GÖZ ADEDİ]]," ")</f>
        <v xml:space="preserve"> </v>
      </c>
      <c r="T367" s="100" t="str">
        <f t="shared" si="38"/>
        <v xml:space="preserve"> </v>
      </c>
      <c r="U367" s="100"/>
      <c r="V367" s="100" t="str">
        <f t="shared" si="37"/>
        <v xml:space="preserve"> </v>
      </c>
      <c r="W367" s="101">
        <f t="shared" si="39"/>
        <v>24</v>
      </c>
      <c r="X367" s="102">
        <f t="shared" si="40"/>
        <v>0</v>
      </c>
      <c r="Y367" s="100" t="str">
        <f t="shared" si="41"/>
        <v xml:space="preserve"> </v>
      </c>
      <c r="Z367" s="100" t="str">
        <f t="shared" si="42"/>
        <v xml:space="preserve"> </v>
      </c>
    </row>
    <row r="368" spans="1:26">
      <c r="A368" s="100"/>
      <c r="B368" s="108" t="str">
        <f>IFERROR(VLOOKUP(Tablo517[[#This Row],[ÜRÜN KODU]],YMKODLARI!$A$1:$K$363,2,0)," ")</f>
        <v xml:space="preserve"> </v>
      </c>
      <c r="C368" s="99"/>
      <c r="D368" s="100"/>
      <c r="E368" s="101"/>
      <c r="F368" s="101"/>
      <c r="G368" s="100" t="str">
        <f>IFERROR(VLOOKUP(Tablo517[[#This Row],[ÜRÜN KODU]],YMKODLARI!$A$1:$K$363,3,0)," ")</f>
        <v xml:space="preserve"> </v>
      </c>
      <c r="H368" s="100" t="str">
        <f>IFERROR(VLOOKUP(Tablo517[[#This Row],[ÜRÜN KODU]],YMKODLARI!$A$1:$K$363,4,0)," ")</f>
        <v xml:space="preserve"> </v>
      </c>
      <c r="I368" s="100"/>
      <c r="J368" s="100" t="str">
        <f>IFERROR(VLOOKUP(Tablo517[[#This Row],[ÜRÜN KODU]],YMKODLARI!$A$1:$K$363,9,0)," ")</f>
        <v xml:space="preserve"> </v>
      </c>
      <c r="K368" s="100" t="str">
        <f>IFERROR(VLOOKUP(Tablo517[[#This Row],[BOYA KODU]],Tablo14[#All],4,0)," ")</f>
        <v xml:space="preserve"> </v>
      </c>
      <c r="L368" s="100" t="str">
        <f>IFERROR(VLOOKUP(Tablo517[[#This Row],[BOYA KODU]],Tablo14[#All],6,0)," ")</f>
        <v xml:space="preserve"> </v>
      </c>
      <c r="M368" s="100" t="str">
        <f t="shared" si="36"/>
        <v xml:space="preserve"> </v>
      </c>
      <c r="N368" s="100" t="str">
        <f>IFERROR(VLOOKUP(Tablo517[[#This Row],[ÜRÜN KODU]],YMKODLARI!$A$1:$K$363,8,0)," ")</f>
        <v xml:space="preserve"> </v>
      </c>
      <c r="O368" s="100" t="str">
        <f>IFERROR(VLOOKUP(Tablo517[[#This Row],[HAMMADDE KODU]],Tablo1[#All],3,0)," ")</f>
        <v xml:space="preserve"> </v>
      </c>
      <c r="P368" s="100" t="str">
        <f>IFERROR(VLOOKUP(Tablo517[[#This Row],[HAMMADDE KODU]],Tablo1[#All],4,0)," ")</f>
        <v xml:space="preserve"> </v>
      </c>
      <c r="Q368" s="100" t="str">
        <f>IFERROR(VLOOKUP(Tablo517[[#This Row],[ÜRÜN KODU]],YMKODLARI!$A$1:$K$363,5,0)," ")</f>
        <v xml:space="preserve"> </v>
      </c>
      <c r="R368" s="100" t="str">
        <f>IFERROR(VLOOKUP(Tablo517[[#This Row],[ÜRÜN KODU]],YMKODLARI!$A$1:$K$363,6,0)," ")</f>
        <v xml:space="preserve"> </v>
      </c>
      <c r="S368" s="100" t="str">
        <f>IFERROR(Tablo517[[#This Row],[YOLLUK HARİÇ BASKI GRAMI]]/Tablo517[[#This Row],[KALIP GÖZ ADEDİ]]," ")</f>
        <v xml:space="preserve"> </v>
      </c>
      <c r="T368" s="100" t="str">
        <f t="shared" si="38"/>
        <v xml:space="preserve"> </v>
      </c>
      <c r="U368" s="100"/>
      <c r="V368" s="100" t="str">
        <f t="shared" si="37"/>
        <v xml:space="preserve"> </v>
      </c>
      <c r="W368" s="101">
        <f t="shared" si="39"/>
        <v>24</v>
      </c>
      <c r="X368" s="102">
        <f t="shared" si="40"/>
        <v>0</v>
      </c>
      <c r="Y368" s="100" t="str">
        <f t="shared" si="41"/>
        <v xml:space="preserve"> </v>
      </c>
      <c r="Z368" s="100" t="str">
        <f t="shared" si="42"/>
        <v xml:space="preserve"> </v>
      </c>
    </row>
    <row r="369" spans="1:26">
      <c r="A369" s="100"/>
      <c r="B369" s="108" t="str">
        <f>IFERROR(VLOOKUP(Tablo517[[#This Row],[ÜRÜN KODU]],YMKODLARI!$A$1:$K$363,2,0)," ")</f>
        <v xml:space="preserve"> </v>
      </c>
      <c r="C369" s="99"/>
      <c r="D369" s="100"/>
      <c r="E369" s="101"/>
      <c r="F369" s="101"/>
      <c r="G369" s="100" t="str">
        <f>IFERROR(VLOOKUP(Tablo517[[#This Row],[ÜRÜN KODU]],YMKODLARI!$A$1:$K$363,3,0)," ")</f>
        <v xml:space="preserve"> </v>
      </c>
      <c r="H369" s="100" t="str">
        <f>IFERROR(VLOOKUP(Tablo517[[#This Row],[ÜRÜN KODU]],YMKODLARI!$A$1:$K$363,4,0)," ")</f>
        <v xml:space="preserve"> </v>
      </c>
      <c r="I369" s="100"/>
      <c r="J369" s="100" t="str">
        <f>IFERROR(VLOOKUP(Tablo517[[#This Row],[ÜRÜN KODU]],YMKODLARI!$A$1:$K$363,9,0)," ")</f>
        <v xml:space="preserve"> </v>
      </c>
      <c r="K369" s="100" t="str">
        <f>IFERROR(VLOOKUP(Tablo517[[#This Row],[BOYA KODU]],Tablo14[#All],4,0)," ")</f>
        <v xml:space="preserve"> </v>
      </c>
      <c r="L369" s="100" t="str">
        <f>IFERROR(VLOOKUP(Tablo517[[#This Row],[BOYA KODU]],Tablo14[#All],6,0)," ")</f>
        <v xml:space="preserve"> </v>
      </c>
      <c r="M369" s="100" t="str">
        <f t="shared" si="36"/>
        <v xml:space="preserve"> </v>
      </c>
      <c r="N369" s="100" t="str">
        <f>IFERROR(VLOOKUP(Tablo517[[#This Row],[ÜRÜN KODU]],YMKODLARI!$A$1:$K$363,8,0)," ")</f>
        <v xml:space="preserve"> </v>
      </c>
      <c r="O369" s="100" t="str">
        <f>IFERROR(VLOOKUP(Tablo517[[#This Row],[HAMMADDE KODU]],Tablo1[#All],3,0)," ")</f>
        <v xml:space="preserve"> </v>
      </c>
      <c r="P369" s="100" t="str">
        <f>IFERROR(VLOOKUP(Tablo517[[#This Row],[HAMMADDE KODU]],Tablo1[#All],4,0)," ")</f>
        <v xml:space="preserve"> </v>
      </c>
      <c r="Q369" s="100" t="str">
        <f>IFERROR(VLOOKUP(Tablo517[[#This Row],[ÜRÜN KODU]],YMKODLARI!$A$1:$K$363,5,0)," ")</f>
        <v xml:space="preserve"> </v>
      </c>
      <c r="R369" s="100" t="str">
        <f>IFERROR(VLOOKUP(Tablo517[[#This Row],[ÜRÜN KODU]],YMKODLARI!$A$1:$K$363,6,0)," ")</f>
        <v xml:space="preserve"> </v>
      </c>
      <c r="S369" s="100" t="str">
        <f>IFERROR(Tablo517[[#This Row],[YOLLUK HARİÇ BASKI GRAMI]]/Tablo517[[#This Row],[KALIP GÖZ ADEDİ]]," ")</f>
        <v xml:space="preserve"> </v>
      </c>
      <c r="T369" s="100" t="str">
        <f t="shared" si="38"/>
        <v xml:space="preserve"> </v>
      </c>
      <c r="U369" s="100"/>
      <c r="V369" s="100" t="str">
        <f t="shared" si="37"/>
        <v xml:space="preserve"> </v>
      </c>
      <c r="W369" s="101">
        <f t="shared" si="39"/>
        <v>24</v>
      </c>
      <c r="X369" s="102">
        <f t="shared" si="40"/>
        <v>0</v>
      </c>
      <c r="Y369" s="100" t="str">
        <f t="shared" si="41"/>
        <v xml:space="preserve"> </v>
      </c>
      <c r="Z369" s="100" t="str">
        <f t="shared" si="42"/>
        <v xml:space="preserve"> </v>
      </c>
    </row>
    <row r="370" spans="1:26">
      <c r="A370" s="100"/>
      <c r="B370" s="108" t="str">
        <f>IFERROR(VLOOKUP(Tablo517[[#This Row],[ÜRÜN KODU]],YMKODLARI!$A$1:$K$363,2,0)," ")</f>
        <v xml:space="preserve"> </v>
      </c>
      <c r="C370" s="99"/>
      <c r="D370" s="100"/>
      <c r="E370" s="101"/>
      <c r="F370" s="101"/>
      <c r="G370" s="100" t="str">
        <f>IFERROR(VLOOKUP(Tablo517[[#This Row],[ÜRÜN KODU]],YMKODLARI!$A$1:$K$363,3,0)," ")</f>
        <v xml:space="preserve"> </v>
      </c>
      <c r="H370" s="100" t="str">
        <f>IFERROR(VLOOKUP(Tablo517[[#This Row],[ÜRÜN KODU]],YMKODLARI!$A$1:$K$363,4,0)," ")</f>
        <v xml:space="preserve"> </v>
      </c>
      <c r="I370" s="100"/>
      <c r="J370" s="100" t="str">
        <f>IFERROR(VLOOKUP(Tablo517[[#This Row],[ÜRÜN KODU]],YMKODLARI!$A$1:$K$363,9,0)," ")</f>
        <v xml:space="preserve"> </v>
      </c>
      <c r="K370" s="100" t="str">
        <f>IFERROR(VLOOKUP(Tablo517[[#This Row],[BOYA KODU]],Tablo14[#All],4,0)," ")</f>
        <v xml:space="preserve"> </v>
      </c>
      <c r="L370" s="100" t="str">
        <f>IFERROR(VLOOKUP(Tablo517[[#This Row],[BOYA KODU]],Tablo14[#All],6,0)," ")</f>
        <v xml:space="preserve"> </v>
      </c>
      <c r="M370" s="100" t="str">
        <f t="shared" si="36"/>
        <v xml:space="preserve"> </v>
      </c>
      <c r="N370" s="100" t="str">
        <f>IFERROR(VLOOKUP(Tablo517[[#This Row],[ÜRÜN KODU]],YMKODLARI!$A$1:$K$363,8,0)," ")</f>
        <v xml:space="preserve"> </v>
      </c>
      <c r="O370" s="100" t="str">
        <f>IFERROR(VLOOKUP(Tablo517[[#This Row],[HAMMADDE KODU]],Tablo1[#All],3,0)," ")</f>
        <v xml:space="preserve"> </v>
      </c>
      <c r="P370" s="100" t="str">
        <f>IFERROR(VLOOKUP(Tablo517[[#This Row],[HAMMADDE KODU]],Tablo1[#All],4,0)," ")</f>
        <v xml:space="preserve"> </v>
      </c>
      <c r="Q370" s="100" t="str">
        <f>IFERROR(VLOOKUP(Tablo517[[#This Row],[ÜRÜN KODU]],YMKODLARI!$A$1:$K$363,5,0)," ")</f>
        <v xml:space="preserve"> </v>
      </c>
      <c r="R370" s="100" t="str">
        <f>IFERROR(VLOOKUP(Tablo517[[#This Row],[ÜRÜN KODU]],YMKODLARI!$A$1:$K$363,6,0)," ")</f>
        <v xml:space="preserve"> </v>
      </c>
      <c r="S370" s="100" t="str">
        <f>IFERROR(Tablo517[[#This Row],[YOLLUK HARİÇ BASKI GRAMI]]/Tablo517[[#This Row],[KALIP GÖZ ADEDİ]]," ")</f>
        <v xml:space="preserve"> </v>
      </c>
      <c r="T370" s="100" t="str">
        <f t="shared" si="38"/>
        <v xml:space="preserve"> </v>
      </c>
      <c r="U370" s="100"/>
      <c r="V370" s="100" t="str">
        <f t="shared" si="37"/>
        <v xml:space="preserve"> </v>
      </c>
      <c r="W370" s="101">
        <f t="shared" si="39"/>
        <v>24</v>
      </c>
      <c r="X370" s="102">
        <f t="shared" si="40"/>
        <v>0</v>
      </c>
      <c r="Y370" s="100" t="str">
        <f t="shared" si="41"/>
        <v xml:space="preserve"> </v>
      </c>
      <c r="Z370" s="100" t="str">
        <f t="shared" si="42"/>
        <v xml:space="preserve"> </v>
      </c>
    </row>
    <row r="371" spans="1:26">
      <c r="A371" s="100"/>
      <c r="B371" s="108" t="str">
        <f>IFERROR(VLOOKUP(Tablo517[[#This Row],[ÜRÜN KODU]],YMKODLARI!$A$1:$K$363,2,0)," ")</f>
        <v xml:space="preserve"> </v>
      </c>
      <c r="C371" s="99"/>
      <c r="D371" s="100"/>
      <c r="E371" s="101"/>
      <c r="F371" s="101"/>
      <c r="G371" s="100" t="str">
        <f>IFERROR(VLOOKUP(Tablo517[[#This Row],[ÜRÜN KODU]],YMKODLARI!$A$1:$K$363,3,0)," ")</f>
        <v xml:space="preserve"> </v>
      </c>
      <c r="H371" s="100" t="str">
        <f>IFERROR(VLOOKUP(Tablo517[[#This Row],[ÜRÜN KODU]],YMKODLARI!$A$1:$K$363,4,0)," ")</f>
        <v xml:space="preserve"> </v>
      </c>
      <c r="I371" s="100"/>
      <c r="J371" s="100" t="str">
        <f>IFERROR(VLOOKUP(Tablo517[[#This Row],[ÜRÜN KODU]],YMKODLARI!$A$1:$K$363,9,0)," ")</f>
        <v xml:space="preserve"> </v>
      </c>
      <c r="K371" s="100" t="str">
        <f>IFERROR(VLOOKUP(Tablo517[[#This Row],[BOYA KODU]],Tablo14[#All],4,0)," ")</f>
        <v xml:space="preserve"> </v>
      </c>
      <c r="L371" s="100" t="str">
        <f>IFERROR(VLOOKUP(Tablo517[[#This Row],[BOYA KODU]],Tablo14[#All],6,0)," ")</f>
        <v xml:space="preserve"> </v>
      </c>
      <c r="M371" s="100" t="str">
        <f t="shared" si="36"/>
        <v xml:space="preserve"> </v>
      </c>
      <c r="N371" s="100" t="str">
        <f>IFERROR(VLOOKUP(Tablo517[[#This Row],[ÜRÜN KODU]],YMKODLARI!$A$1:$K$363,8,0)," ")</f>
        <v xml:space="preserve"> </v>
      </c>
      <c r="O371" s="100" t="str">
        <f>IFERROR(VLOOKUP(Tablo517[[#This Row],[HAMMADDE KODU]],Tablo1[#All],3,0)," ")</f>
        <v xml:space="preserve"> </v>
      </c>
      <c r="P371" s="100" t="str">
        <f>IFERROR(VLOOKUP(Tablo517[[#This Row],[HAMMADDE KODU]],Tablo1[#All],4,0)," ")</f>
        <v xml:space="preserve"> </v>
      </c>
      <c r="Q371" s="100" t="str">
        <f>IFERROR(VLOOKUP(Tablo517[[#This Row],[ÜRÜN KODU]],YMKODLARI!$A$1:$K$363,5,0)," ")</f>
        <v xml:space="preserve"> </v>
      </c>
      <c r="R371" s="100" t="str">
        <f>IFERROR(VLOOKUP(Tablo517[[#This Row],[ÜRÜN KODU]],YMKODLARI!$A$1:$K$363,6,0)," ")</f>
        <v xml:space="preserve"> </v>
      </c>
      <c r="S371" s="100" t="str">
        <f>IFERROR(Tablo517[[#This Row],[YOLLUK HARİÇ BASKI GRAMI]]/Tablo517[[#This Row],[KALIP GÖZ ADEDİ]]," ")</f>
        <v xml:space="preserve"> </v>
      </c>
      <c r="T371" s="100" t="str">
        <f t="shared" si="38"/>
        <v xml:space="preserve"> </v>
      </c>
      <c r="U371" s="100"/>
      <c r="V371" s="100" t="str">
        <f t="shared" si="37"/>
        <v xml:space="preserve"> </v>
      </c>
      <c r="W371" s="101">
        <f t="shared" si="39"/>
        <v>24</v>
      </c>
      <c r="X371" s="102">
        <f t="shared" si="40"/>
        <v>0</v>
      </c>
      <c r="Y371" s="100" t="str">
        <f t="shared" si="41"/>
        <v xml:space="preserve"> </v>
      </c>
      <c r="Z371" s="100" t="str">
        <f t="shared" si="42"/>
        <v xml:space="preserve"> </v>
      </c>
    </row>
    <row r="372" spans="1:26">
      <c r="A372" s="100"/>
      <c r="B372" s="108" t="str">
        <f>IFERROR(VLOOKUP(Tablo517[[#This Row],[ÜRÜN KODU]],YMKODLARI!$A$1:$K$363,2,0)," ")</f>
        <v xml:space="preserve"> </v>
      </c>
      <c r="C372" s="99"/>
      <c r="D372" s="100"/>
      <c r="E372" s="101"/>
      <c r="F372" s="101"/>
      <c r="G372" s="100" t="str">
        <f>IFERROR(VLOOKUP(Tablo517[[#This Row],[ÜRÜN KODU]],YMKODLARI!$A$1:$K$363,3,0)," ")</f>
        <v xml:space="preserve"> </v>
      </c>
      <c r="H372" s="100" t="str">
        <f>IFERROR(VLOOKUP(Tablo517[[#This Row],[ÜRÜN KODU]],YMKODLARI!$A$1:$K$363,4,0)," ")</f>
        <v xml:space="preserve"> </v>
      </c>
      <c r="I372" s="100"/>
      <c r="J372" s="100" t="str">
        <f>IFERROR(VLOOKUP(Tablo517[[#This Row],[ÜRÜN KODU]],YMKODLARI!$A$1:$K$363,9,0)," ")</f>
        <v xml:space="preserve"> </v>
      </c>
      <c r="K372" s="100" t="str">
        <f>IFERROR(VLOOKUP(Tablo517[[#This Row],[BOYA KODU]],Tablo14[#All],4,0)," ")</f>
        <v xml:space="preserve"> </v>
      </c>
      <c r="L372" s="100" t="str">
        <f>IFERROR(VLOOKUP(Tablo517[[#This Row],[BOYA KODU]],Tablo14[#All],6,0)," ")</f>
        <v xml:space="preserve"> </v>
      </c>
      <c r="M372" s="100" t="str">
        <f t="shared" si="36"/>
        <v xml:space="preserve"> </v>
      </c>
      <c r="N372" s="100" t="str">
        <f>IFERROR(VLOOKUP(Tablo517[[#This Row],[ÜRÜN KODU]],YMKODLARI!$A$1:$K$363,8,0)," ")</f>
        <v xml:space="preserve"> </v>
      </c>
      <c r="O372" s="100" t="str">
        <f>IFERROR(VLOOKUP(Tablo517[[#This Row],[HAMMADDE KODU]],Tablo1[#All],3,0)," ")</f>
        <v xml:space="preserve"> </v>
      </c>
      <c r="P372" s="100" t="str">
        <f>IFERROR(VLOOKUP(Tablo517[[#This Row],[HAMMADDE KODU]],Tablo1[#All],4,0)," ")</f>
        <v xml:space="preserve"> </v>
      </c>
      <c r="Q372" s="100" t="str">
        <f>IFERROR(VLOOKUP(Tablo517[[#This Row],[ÜRÜN KODU]],YMKODLARI!$A$1:$K$363,5,0)," ")</f>
        <v xml:space="preserve"> </v>
      </c>
      <c r="R372" s="100" t="str">
        <f>IFERROR(VLOOKUP(Tablo517[[#This Row],[ÜRÜN KODU]],YMKODLARI!$A$1:$K$363,6,0)," ")</f>
        <v xml:space="preserve"> </v>
      </c>
      <c r="S372" s="100" t="str">
        <f>IFERROR(Tablo517[[#This Row],[YOLLUK HARİÇ BASKI GRAMI]]/Tablo517[[#This Row],[KALIP GÖZ ADEDİ]]," ")</f>
        <v xml:space="preserve"> </v>
      </c>
      <c r="T372" s="100" t="str">
        <f t="shared" si="38"/>
        <v xml:space="preserve"> </v>
      </c>
      <c r="U372" s="100"/>
      <c r="V372" s="100" t="str">
        <f t="shared" si="37"/>
        <v xml:space="preserve"> </v>
      </c>
      <c r="W372" s="101">
        <f t="shared" si="39"/>
        <v>24</v>
      </c>
      <c r="X372" s="102">
        <f t="shared" si="40"/>
        <v>0</v>
      </c>
      <c r="Y372" s="100" t="str">
        <f t="shared" si="41"/>
        <v xml:space="preserve"> </v>
      </c>
      <c r="Z372" s="100" t="str">
        <f t="shared" si="42"/>
        <v xml:space="preserve"> </v>
      </c>
    </row>
    <row r="373" spans="1:26">
      <c r="A373" s="100"/>
      <c r="B373" s="108" t="str">
        <f>IFERROR(VLOOKUP(Tablo517[[#This Row],[ÜRÜN KODU]],YMKODLARI!$A$1:$K$363,2,0)," ")</f>
        <v xml:space="preserve"> </v>
      </c>
      <c r="C373" s="99"/>
      <c r="D373" s="100"/>
      <c r="E373" s="101"/>
      <c r="F373" s="101"/>
      <c r="G373" s="100" t="str">
        <f>IFERROR(VLOOKUP(Tablo517[[#This Row],[ÜRÜN KODU]],YMKODLARI!$A$1:$K$363,3,0)," ")</f>
        <v xml:space="preserve"> </v>
      </c>
      <c r="H373" s="100" t="str">
        <f>IFERROR(VLOOKUP(Tablo517[[#This Row],[ÜRÜN KODU]],YMKODLARI!$A$1:$K$363,4,0)," ")</f>
        <v xml:space="preserve"> </v>
      </c>
      <c r="I373" s="100"/>
      <c r="J373" s="100" t="str">
        <f>IFERROR(VLOOKUP(Tablo517[[#This Row],[ÜRÜN KODU]],YMKODLARI!$A$1:$K$363,9,0)," ")</f>
        <v xml:space="preserve"> </v>
      </c>
      <c r="K373" s="100" t="str">
        <f>IFERROR(VLOOKUP(Tablo517[[#This Row],[BOYA KODU]],Tablo14[#All],4,0)," ")</f>
        <v xml:space="preserve"> </v>
      </c>
      <c r="L373" s="100" t="str">
        <f>IFERROR(VLOOKUP(Tablo517[[#This Row],[BOYA KODU]],Tablo14[#All],6,0)," ")</f>
        <v xml:space="preserve"> </v>
      </c>
      <c r="M373" s="100" t="str">
        <f t="shared" si="36"/>
        <v xml:space="preserve"> </v>
      </c>
      <c r="N373" s="100" t="str">
        <f>IFERROR(VLOOKUP(Tablo517[[#This Row],[ÜRÜN KODU]],YMKODLARI!$A$1:$K$363,8,0)," ")</f>
        <v xml:space="preserve"> </v>
      </c>
      <c r="O373" s="100" t="str">
        <f>IFERROR(VLOOKUP(Tablo517[[#This Row],[HAMMADDE KODU]],Tablo1[#All],3,0)," ")</f>
        <v xml:space="preserve"> </v>
      </c>
      <c r="P373" s="100" t="str">
        <f>IFERROR(VLOOKUP(Tablo517[[#This Row],[HAMMADDE KODU]],Tablo1[#All],4,0)," ")</f>
        <v xml:space="preserve"> </v>
      </c>
      <c r="Q373" s="100" t="str">
        <f>IFERROR(VLOOKUP(Tablo517[[#This Row],[ÜRÜN KODU]],YMKODLARI!$A$1:$K$363,5,0)," ")</f>
        <v xml:space="preserve"> </v>
      </c>
      <c r="R373" s="100" t="str">
        <f>IFERROR(VLOOKUP(Tablo517[[#This Row],[ÜRÜN KODU]],YMKODLARI!$A$1:$K$363,6,0)," ")</f>
        <v xml:space="preserve"> </v>
      </c>
      <c r="S373" s="100" t="str">
        <f>IFERROR(Tablo517[[#This Row],[YOLLUK HARİÇ BASKI GRAMI]]/Tablo517[[#This Row],[KALIP GÖZ ADEDİ]]," ")</f>
        <v xml:space="preserve"> </v>
      </c>
      <c r="T373" s="100" t="str">
        <f t="shared" si="38"/>
        <v xml:space="preserve"> </v>
      </c>
      <c r="U373" s="100"/>
      <c r="V373" s="100" t="str">
        <f t="shared" si="37"/>
        <v xml:space="preserve"> </v>
      </c>
      <c r="W373" s="101">
        <f t="shared" si="39"/>
        <v>24</v>
      </c>
      <c r="X373" s="102">
        <f t="shared" si="40"/>
        <v>0</v>
      </c>
      <c r="Y373" s="100" t="str">
        <f t="shared" si="41"/>
        <v xml:space="preserve"> </v>
      </c>
      <c r="Z373" s="100" t="str">
        <f t="shared" si="42"/>
        <v xml:space="preserve"> </v>
      </c>
    </row>
    <row r="374" spans="1:26">
      <c r="A374" s="100"/>
      <c r="B374" s="108" t="str">
        <f>IFERROR(VLOOKUP(Tablo517[[#This Row],[ÜRÜN KODU]],YMKODLARI!$A$1:$K$363,2,0)," ")</f>
        <v xml:space="preserve"> </v>
      </c>
      <c r="C374" s="99"/>
      <c r="D374" s="100"/>
      <c r="E374" s="101"/>
      <c r="F374" s="101"/>
      <c r="G374" s="100" t="str">
        <f>IFERROR(VLOOKUP(Tablo517[[#This Row],[ÜRÜN KODU]],YMKODLARI!$A$1:$K$363,3,0)," ")</f>
        <v xml:space="preserve"> </v>
      </c>
      <c r="H374" s="100" t="str">
        <f>IFERROR(VLOOKUP(Tablo517[[#This Row],[ÜRÜN KODU]],YMKODLARI!$A$1:$K$363,4,0)," ")</f>
        <v xml:space="preserve"> </v>
      </c>
      <c r="I374" s="100"/>
      <c r="J374" s="100" t="str">
        <f>IFERROR(VLOOKUP(Tablo517[[#This Row],[ÜRÜN KODU]],YMKODLARI!$A$1:$K$363,9,0)," ")</f>
        <v xml:space="preserve"> </v>
      </c>
      <c r="K374" s="100" t="str">
        <f>IFERROR(VLOOKUP(Tablo517[[#This Row],[BOYA KODU]],Tablo14[#All],4,0)," ")</f>
        <v xml:space="preserve"> </v>
      </c>
      <c r="L374" s="100" t="str">
        <f>IFERROR(VLOOKUP(Tablo517[[#This Row],[BOYA KODU]],Tablo14[#All],6,0)," ")</f>
        <v xml:space="preserve"> </v>
      </c>
      <c r="M374" s="100" t="str">
        <f t="shared" si="36"/>
        <v xml:space="preserve"> </v>
      </c>
      <c r="N374" s="100" t="str">
        <f>IFERROR(VLOOKUP(Tablo517[[#This Row],[ÜRÜN KODU]],YMKODLARI!$A$1:$K$363,8,0)," ")</f>
        <v xml:space="preserve"> </v>
      </c>
      <c r="O374" s="100" t="str">
        <f>IFERROR(VLOOKUP(Tablo517[[#This Row],[HAMMADDE KODU]],Tablo1[#All],3,0)," ")</f>
        <v xml:space="preserve"> </v>
      </c>
      <c r="P374" s="100" t="str">
        <f>IFERROR(VLOOKUP(Tablo517[[#This Row],[HAMMADDE KODU]],Tablo1[#All],4,0)," ")</f>
        <v xml:space="preserve"> </v>
      </c>
      <c r="Q374" s="100" t="str">
        <f>IFERROR(VLOOKUP(Tablo517[[#This Row],[ÜRÜN KODU]],YMKODLARI!$A$1:$K$363,5,0)," ")</f>
        <v xml:space="preserve"> </v>
      </c>
      <c r="R374" s="100" t="str">
        <f>IFERROR(VLOOKUP(Tablo517[[#This Row],[ÜRÜN KODU]],YMKODLARI!$A$1:$K$363,6,0)," ")</f>
        <v xml:space="preserve"> </v>
      </c>
      <c r="S374" s="100" t="str">
        <f>IFERROR(Tablo517[[#This Row],[YOLLUK HARİÇ BASKI GRAMI]]/Tablo517[[#This Row],[KALIP GÖZ ADEDİ]]," ")</f>
        <v xml:space="preserve"> </v>
      </c>
      <c r="T374" s="100" t="str">
        <f t="shared" si="38"/>
        <v xml:space="preserve"> </v>
      </c>
      <c r="U374" s="100"/>
      <c r="V374" s="100" t="str">
        <f t="shared" si="37"/>
        <v xml:space="preserve"> </v>
      </c>
      <c r="W374" s="101">
        <f t="shared" si="39"/>
        <v>24</v>
      </c>
      <c r="X374" s="102">
        <f t="shared" si="40"/>
        <v>0</v>
      </c>
      <c r="Y374" s="100" t="str">
        <f t="shared" si="41"/>
        <v xml:space="preserve"> </v>
      </c>
      <c r="Z374" s="100" t="str">
        <f t="shared" si="42"/>
        <v xml:space="preserve"> </v>
      </c>
    </row>
    <row r="375" spans="1:26">
      <c r="A375" s="100"/>
      <c r="B375" s="108" t="str">
        <f>IFERROR(VLOOKUP(Tablo517[[#This Row],[ÜRÜN KODU]],YMKODLARI!$A$1:$K$363,2,0)," ")</f>
        <v xml:space="preserve"> </v>
      </c>
      <c r="C375" s="99"/>
      <c r="D375" s="100"/>
      <c r="E375" s="101"/>
      <c r="F375" s="101"/>
      <c r="G375" s="100" t="str">
        <f>IFERROR(VLOOKUP(Tablo517[[#This Row],[ÜRÜN KODU]],YMKODLARI!$A$1:$K$363,3,0)," ")</f>
        <v xml:space="preserve"> </v>
      </c>
      <c r="H375" s="100" t="str">
        <f>IFERROR(VLOOKUP(Tablo517[[#This Row],[ÜRÜN KODU]],YMKODLARI!$A$1:$K$363,4,0)," ")</f>
        <v xml:space="preserve"> </v>
      </c>
      <c r="I375" s="100"/>
      <c r="J375" s="100" t="str">
        <f>IFERROR(VLOOKUP(Tablo517[[#This Row],[ÜRÜN KODU]],YMKODLARI!$A$1:$K$363,9,0)," ")</f>
        <v xml:space="preserve"> </v>
      </c>
      <c r="K375" s="100" t="str">
        <f>IFERROR(VLOOKUP(Tablo517[[#This Row],[BOYA KODU]],Tablo14[#All],4,0)," ")</f>
        <v xml:space="preserve"> </v>
      </c>
      <c r="L375" s="100" t="str">
        <f>IFERROR(VLOOKUP(Tablo517[[#This Row],[BOYA KODU]],Tablo14[#All],6,0)," ")</f>
        <v xml:space="preserve"> </v>
      </c>
      <c r="M375" s="100" t="str">
        <f t="shared" si="36"/>
        <v xml:space="preserve"> </v>
      </c>
      <c r="N375" s="100" t="str">
        <f>IFERROR(VLOOKUP(Tablo517[[#This Row],[ÜRÜN KODU]],YMKODLARI!$A$1:$K$363,8,0)," ")</f>
        <v xml:space="preserve"> </v>
      </c>
      <c r="O375" s="100" t="str">
        <f>IFERROR(VLOOKUP(Tablo517[[#This Row],[HAMMADDE KODU]],Tablo1[#All],3,0)," ")</f>
        <v xml:space="preserve"> </v>
      </c>
      <c r="P375" s="100" t="str">
        <f>IFERROR(VLOOKUP(Tablo517[[#This Row],[HAMMADDE KODU]],Tablo1[#All],4,0)," ")</f>
        <v xml:space="preserve"> </v>
      </c>
      <c r="Q375" s="100" t="str">
        <f>IFERROR(VLOOKUP(Tablo517[[#This Row],[ÜRÜN KODU]],YMKODLARI!$A$1:$K$363,5,0)," ")</f>
        <v xml:space="preserve"> </v>
      </c>
      <c r="R375" s="100" t="str">
        <f>IFERROR(VLOOKUP(Tablo517[[#This Row],[ÜRÜN KODU]],YMKODLARI!$A$1:$K$363,6,0)," ")</f>
        <v xml:space="preserve"> </v>
      </c>
      <c r="S375" s="100" t="str">
        <f>IFERROR(Tablo517[[#This Row],[YOLLUK HARİÇ BASKI GRAMI]]/Tablo517[[#This Row],[KALIP GÖZ ADEDİ]]," ")</f>
        <v xml:space="preserve"> </v>
      </c>
      <c r="T375" s="100" t="str">
        <f t="shared" si="38"/>
        <v xml:space="preserve"> </v>
      </c>
      <c r="U375" s="100"/>
      <c r="V375" s="100" t="str">
        <f t="shared" si="37"/>
        <v xml:space="preserve"> </v>
      </c>
      <c r="W375" s="101">
        <f t="shared" si="39"/>
        <v>24</v>
      </c>
      <c r="X375" s="102">
        <f t="shared" si="40"/>
        <v>0</v>
      </c>
      <c r="Y375" s="100" t="str">
        <f t="shared" si="41"/>
        <v xml:space="preserve"> </v>
      </c>
      <c r="Z375" s="100" t="str">
        <f t="shared" si="42"/>
        <v xml:space="preserve"> </v>
      </c>
    </row>
    <row r="376" spans="1:26">
      <c r="A376" s="100"/>
      <c r="B376" s="108" t="str">
        <f>IFERROR(VLOOKUP(Tablo517[[#This Row],[ÜRÜN KODU]],YMKODLARI!$A$1:$K$363,2,0)," ")</f>
        <v xml:space="preserve"> </v>
      </c>
      <c r="C376" s="99"/>
      <c r="D376" s="100"/>
      <c r="E376" s="101"/>
      <c r="F376" s="101"/>
      <c r="G376" s="100" t="str">
        <f>IFERROR(VLOOKUP(Tablo517[[#This Row],[ÜRÜN KODU]],YMKODLARI!$A$1:$K$363,3,0)," ")</f>
        <v xml:space="preserve"> </v>
      </c>
      <c r="H376" s="100" t="str">
        <f>IFERROR(VLOOKUP(Tablo517[[#This Row],[ÜRÜN KODU]],YMKODLARI!$A$1:$K$363,4,0)," ")</f>
        <v xml:space="preserve"> </v>
      </c>
      <c r="I376" s="100"/>
      <c r="J376" s="100" t="str">
        <f>IFERROR(VLOOKUP(Tablo517[[#This Row],[ÜRÜN KODU]],YMKODLARI!$A$1:$K$363,9,0)," ")</f>
        <v xml:space="preserve"> </v>
      </c>
      <c r="K376" s="100" t="str">
        <f>IFERROR(VLOOKUP(Tablo517[[#This Row],[BOYA KODU]],Tablo14[#All],4,0)," ")</f>
        <v xml:space="preserve"> </v>
      </c>
      <c r="L376" s="100" t="str">
        <f>IFERROR(VLOOKUP(Tablo517[[#This Row],[BOYA KODU]],Tablo14[#All],6,0)," ")</f>
        <v xml:space="preserve"> </v>
      </c>
      <c r="M376" s="100" t="str">
        <f t="shared" si="36"/>
        <v xml:space="preserve"> </v>
      </c>
      <c r="N376" s="100" t="str">
        <f>IFERROR(VLOOKUP(Tablo517[[#This Row],[ÜRÜN KODU]],YMKODLARI!$A$1:$K$363,8,0)," ")</f>
        <v xml:space="preserve"> </v>
      </c>
      <c r="O376" s="100" t="str">
        <f>IFERROR(VLOOKUP(Tablo517[[#This Row],[HAMMADDE KODU]],Tablo1[#All],3,0)," ")</f>
        <v xml:space="preserve"> </v>
      </c>
      <c r="P376" s="100" t="str">
        <f>IFERROR(VLOOKUP(Tablo517[[#This Row],[HAMMADDE KODU]],Tablo1[#All],4,0)," ")</f>
        <v xml:space="preserve"> </v>
      </c>
      <c r="Q376" s="100" t="str">
        <f>IFERROR(VLOOKUP(Tablo517[[#This Row],[ÜRÜN KODU]],YMKODLARI!$A$1:$K$363,5,0)," ")</f>
        <v xml:space="preserve"> </v>
      </c>
      <c r="R376" s="100" t="str">
        <f>IFERROR(VLOOKUP(Tablo517[[#This Row],[ÜRÜN KODU]],YMKODLARI!$A$1:$K$363,6,0)," ")</f>
        <v xml:space="preserve"> </v>
      </c>
      <c r="S376" s="100" t="str">
        <f>IFERROR(Tablo517[[#This Row],[YOLLUK HARİÇ BASKI GRAMI]]/Tablo517[[#This Row],[KALIP GÖZ ADEDİ]]," ")</f>
        <v xml:space="preserve"> </v>
      </c>
      <c r="T376" s="100" t="str">
        <f t="shared" si="38"/>
        <v xml:space="preserve"> </v>
      </c>
      <c r="U376" s="100"/>
      <c r="V376" s="100" t="str">
        <f t="shared" si="37"/>
        <v xml:space="preserve"> </v>
      </c>
      <c r="W376" s="101">
        <f t="shared" si="39"/>
        <v>24</v>
      </c>
      <c r="X376" s="102">
        <f t="shared" si="40"/>
        <v>0</v>
      </c>
      <c r="Y376" s="100" t="str">
        <f t="shared" si="41"/>
        <v xml:space="preserve"> </v>
      </c>
      <c r="Z376" s="100" t="str">
        <f t="shared" si="42"/>
        <v xml:space="preserve"> </v>
      </c>
    </row>
    <row r="377" spans="1:26">
      <c r="A377" s="100"/>
      <c r="B377" s="108" t="str">
        <f>IFERROR(VLOOKUP(Tablo517[[#This Row],[ÜRÜN KODU]],YMKODLARI!$A$1:$K$363,2,0)," ")</f>
        <v xml:space="preserve"> </v>
      </c>
      <c r="C377" s="99"/>
      <c r="D377" s="100"/>
      <c r="E377" s="101"/>
      <c r="F377" s="101"/>
      <c r="G377" s="100" t="str">
        <f>IFERROR(VLOOKUP(Tablo517[[#This Row],[ÜRÜN KODU]],YMKODLARI!$A$1:$K$363,3,0)," ")</f>
        <v xml:space="preserve"> </v>
      </c>
      <c r="H377" s="100" t="str">
        <f>IFERROR(VLOOKUP(Tablo517[[#This Row],[ÜRÜN KODU]],YMKODLARI!$A$1:$K$363,4,0)," ")</f>
        <v xml:space="preserve"> </v>
      </c>
      <c r="I377" s="100"/>
      <c r="J377" s="100" t="str">
        <f>IFERROR(VLOOKUP(Tablo517[[#This Row],[ÜRÜN KODU]],YMKODLARI!$A$1:$K$363,9,0)," ")</f>
        <v xml:space="preserve"> </v>
      </c>
      <c r="K377" s="100" t="str">
        <f>IFERROR(VLOOKUP(Tablo517[[#This Row],[BOYA KODU]],Tablo14[#All],4,0)," ")</f>
        <v xml:space="preserve"> </v>
      </c>
      <c r="L377" s="100" t="str">
        <f>IFERROR(VLOOKUP(Tablo517[[#This Row],[BOYA KODU]],Tablo14[#All],6,0)," ")</f>
        <v xml:space="preserve"> </v>
      </c>
      <c r="M377" s="100" t="str">
        <f t="shared" si="36"/>
        <v xml:space="preserve"> </v>
      </c>
      <c r="N377" s="100" t="str">
        <f>IFERROR(VLOOKUP(Tablo517[[#This Row],[ÜRÜN KODU]],YMKODLARI!$A$1:$K$363,8,0)," ")</f>
        <v xml:space="preserve"> </v>
      </c>
      <c r="O377" s="100" t="str">
        <f>IFERROR(VLOOKUP(Tablo517[[#This Row],[HAMMADDE KODU]],Tablo1[#All],3,0)," ")</f>
        <v xml:space="preserve"> </v>
      </c>
      <c r="P377" s="100" t="str">
        <f>IFERROR(VLOOKUP(Tablo517[[#This Row],[HAMMADDE KODU]],Tablo1[#All],4,0)," ")</f>
        <v xml:space="preserve"> </v>
      </c>
      <c r="Q377" s="100" t="str">
        <f>IFERROR(VLOOKUP(Tablo517[[#This Row],[ÜRÜN KODU]],YMKODLARI!$A$1:$K$363,5,0)," ")</f>
        <v xml:space="preserve"> </v>
      </c>
      <c r="R377" s="100" t="str">
        <f>IFERROR(VLOOKUP(Tablo517[[#This Row],[ÜRÜN KODU]],YMKODLARI!$A$1:$K$363,6,0)," ")</f>
        <v xml:space="preserve"> </v>
      </c>
      <c r="S377" s="100" t="str">
        <f>IFERROR(Tablo517[[#This Row],[YOLLUK HARİÇ BASKI GRAMI]]/Tablo517[[#This Row],[KALIP GÖZ ADEDİ]]," ")</f>
        <v xml:space="preserve"> </v>
      </c>
      <c r="T377" s="100" t="str">
        <f t="shared" si="38"/>
        <v xml:space="preserve"> </v>
      </c>
      <c r="U377" s="100"/>
      <c r="V377" s="100" t="str">
        <f t="shared" si="37"/>
        <v xml:space="preserve"> </v>
      </c>
      <c r="W377" s="101">
        <f t="shared" si="39"/>
        <v>24</v>
      </c>
      <c r="X377" s="102">
        <f t="shared" si="40"/>
        <v>0</v>
      </c>
      <c r="Y377" s="100" t="str">
        <f t="shared" si="41"/>
        <v xml:space="preserve"> </v>
      </c>
      <c r="Z377" s="100" t="str">
        <f t="shared" si="42"/>
        <v xml:space="preserve"> </v>
      </c>
    </row>
    <row r="378" spans="1:26">
      <c r="A378" s="100"/>
      <c r="B378" s="108" t="str">
        <f>IFERROR(VLOOKUP(Tablo517[[#This Row],[ÜRÜN KODU]],YMKODLARI!$A$1:$K$363,2,0)," ")</f>
        <v xml:space="preserve"> </v>
      </c>
      <c r="C378" s="99"/>
      <c r="D378" s="100"/>
      <c r="E378" s="101"/>
      <c r="F378" s="101"/>
      <c r="G378" s="100" t="str">
        <f>IFERROR(VLOOKUP(Tablo517[[#This Row],[ÜRÜN KODU]],YMKODLARI!$A$1:$K$363,3,0)," ")</f>
        <v xml:space="preserve"> </v>
      </c>
      <c r="H378" s="100" t="str">
        <f>IFERROR(VLOOKUP(Tablo517[[#This Row],[ÜRÜN KODU]],YMKODLARI!$A$1:$K$363,4,0)," ")</f>
        <v xml:space="preserve"> </v>
      </c>
      <c r="I378" s="100"/>
      <c r="J378" s="100" t="str">
        <f>IFERROR(VLOOKUP(Tablo517[[#This Row],[ÜRÜN KODU]],YMKODLARI!$A$1:$K$363,9,0)," ")</f>
        <v xml:space="preserve"> </v>
      </c>
      <c r="K378" s="100" t="str">
        <f>IFERROR(VLOOKUP(Tablo517[[#This Row],[BOYA KODU]],Tablo14[#All],4,0)," ")</f>
        <v xml:space="preserve"> </v>
      </c>
      <c r="L378" s="100" t="str">
        <f>IFERROR(VLOOKUP(Tablo517[[#This Row],[BOYA KODU]],Tablo14[#All],6,0)," ")</f>
        <v xml:space="preserve"> </v>
      </c>
      <c r="M378" s="100" t="str">
        <f t="shared" si="36"/>
        <v xml:space="preserve"> </v>
      </c>
      <c r="N378" s="100" t="str">
        <f>IFERROR(VLOOKUP(Tablo517[[#This Row],[ÜRÜN KODU]],YMKODLARI!$A$1:$K$363,8,0)," ")</f>
        <v xml:space="preserve"> </v>
      </c>
      <c r="O378" s="100" t="str">
        <f>IFERROR(VLOOKUP(Tablo517[[#This Row],[HAMMADDE KODU]],Tablo1[#All],3,0)," ")</f>
        <v xml:space="preserve"> </v>
      </c>
      <c r="P378" s="100" t="str">
        <f>IFERROR(VLOOKUP(Tablo517[[#This Row],[HAMMADDE KODU]],Tablo1[#All],4,0)," ")</f>
        <v xml:space="preserve"> </v>
      </c>
      <c r="Q378" s="100" t="str">
        <f>IFERROR(VLOOKUP(Tablo517[[#This Row],[ÜRÜN KODU]],YMKODLARI!$A$1:$K$363,5,0)," ")</f>
        <v xml:space="preserve"> </v>
      </c>
      <c r="R378" s="100" t="str">
        <f>IFERROR(VLOOKUP(Tablo517[[#This Row],[ÜRÜN KODU]],YMKODLARI!$A$1:$K$363,6,0)," ")</f>
        <v xml:space="preserve"> </v>
      </c>
      <c r="S378" s="100" t="str">
        <f>IFERROR(Tablo517[[#This Row],[YOLLUK HARİÇ BASKI GRAMI]]/Tablo517[[#This Row],[KALIP GÖZ ADEDİ]]," ")</f>
        <v xml:space="preserve"> </v>
      </c>
      <c r="T378" s="100" t="str">
        <f t="shared" si="38"/>
        <v xml:space="preserve"> </v>
      </c>
      <c r="U378" s="100"/>
      <c r="V378" s="100" t="str">
        <f t="shared" si="37"/>
        <v xml:space="preserve"> </v>
      </c>
      <c r="W378" s="101">
        <f t="shared" si="39"/>
        <v>24</v>
      </c>
      <c r="X378" s="102">
        <f t="shared" si="40"/>
        <v>0</v>
      </c>
      <c r="Y378" s="100" t="str">
        <f t="shared" si="41"/>
        <v xml:space="preserve"> </v>
      </c>
      <c r="Z378" s="100" t="str">
        <f t="shared" si="42"/>
        <v xml:space="preserve"> </v>
      </c>
    </row>
    <row r="379" spans="1:26">
      <c r="A379" s="100"/>
      <c r="B379" s="108" t="str">
        <f>IFERROR(VLOOKUP(Tablo517[[#This Row],[ÜRÜN KODU]],YMKODLARI!$A$1:$K$363,2,0)," ")</f>
        <v xml:space="preserve"> </v>
      </c>
      <c r="C379" s="99"/>
      <c r="D379" s="100"/>
      <c r="E379" s="101"/>
      <c r="F379" s="101"/>
      <c r="G379" s="100" t="str">
        <f>IFERROR(VLOOKUP(Tablo517[[#This Row],[ÜRÜN KODU]],YMKODLARI!$A$1:$K$363,3,0)," ")</f>
        <v xml:space="preserve"> </v>
      </c>
      <c r="H379" s="100" t="str">
        <f>IFERROR(VLOOKUP(Tablo517[[#This Row],[ÜRÜN KODU]],YMKODLARI!$A$1:$K$363,4,0)," ")</f>
        <v xml:space="preserve"> </v>
      </c>
      <c r="I379" s="100"/>
      <c r="J379" s="100" t="str">
        <f>IFERROR(VLOOKUP(Tablo517[[#This Row],[ÜRÜN KODU]],YMKODLARI!$A$1:$K$363,9,0)," ")</f>
        <v xml:space="preserve"> </v>
      </c>
      <c r="K379" s="100" t="str">
        <f>IFERROR(VLOOKUP(Tablo517[[#This Row],[BOYA KODU]],Tablo14[#All],4,0)," ")</f>
        <v xml:space="preserve"> </v>
      </c>
      <c r="L379" s="100" t="str">
        <f>IFERROR(VLOOKUP(Tablo517[[#This Row],[BOYA KODU]],Tablo14[#All],6,0)," ")</f>
        <v xml:space="preserve"> </v>
      </c>
      <c r="M379" s="100" t="str">
        <f t="shared" si="36"/>
        <v xml:space="preserve"> </v>
      </c>
      <c r="N379" s="100" t="str">
        <f>IFERROR(VLOOKUP(Tablo517[[#This Row],[ÜRÜN KODU]],YMKODLARI!$A$1:$K$363,8,0)," ")</f>
        <v xml:space="preserve"> </v>
      </c>
      <c r="O379" s="100" t="str">
        <f>IFERROR(VLOOKUP(Tablo517[[#This Row],[HAMMADDE KODU]],Tablo1[#All],3,0)," ")</f>
        <v xml:space="preserve"> </v>
      </c>
      <c r="P379" s="100" t="str">
        <f>IFERROR(VLOOKUP(Tablo517[[#This Row],[HAMMADDE KODU]],Tablo1[#All],4,0)," ")</f>
        <v xml:space="preserve"> </v>
      </c>
      <c r="Q379" s="100" t="str">
        <f>IFERROR(VLOOKUP(Tablo517[[#This Row],[ÜRÜN KODU]],YMKODLARI!$A$1:$K$363,5,0)," ")</f>
        <v xml:space="preserve"> </v>
      </c>
      <c r="R379" s="100" t="str">
        <f>IFERROR(VLOOKUP(Tablo517[[#This Row],[ÜRÜN KODU]],YMKODLARI!$A$1:$K$363,6,0)," ")</f>
        <v xml:space="preserve"> </v>
      </c>
      <c r="S379" s="100" t="str">
        <f>IFERROR(Tablo517[[#This Row],[YOLLUK HARİÇ BASKI GRAMI]]/Tablo517[[#This Row],[KALIP GÖZ ADEDİ]]," ")</f>
        <v xml:space="preserve"> </v>
      </c>
      <c r="T379" s="100" t="str">
        <f t="shared" si="38"/>
        <v xml:space="preserve"> </v>
      </c>
      <c r="U379" s="100"/>
      <c r="V379" s="100" t="str">
        <f t="shared" si="37"/>
        <v xml:space="preserve"> </v>
      </c>
      <c r="W379" s="101">
        <f t="shared" si="39"/>
        <v>24</v>
      </c>
      <c r="X379" s="102">
        <f t="shared" si="40"/>
        <v>0</v>
      </c>
      <c r="Y379" s="100" t="str">
        <f t="shared" si="41"/>
        <v xml:space="preserve"> </v>
      </c>
      <c r="Z379" s="100" t="str">
        <f t="shared" si="42"/>
        <v xml:space="preserve"> </v>
      </c>
    </row>
    <row r="380" spans="1:26">
      <c r="A380" s="100"/>
      <c r="B380" s="108" t="str">
        <f>IFERROR(VLOOKUP(Tablo517[[#This Row],[ÜRÜN KODU]],YMKODLARI!$A$1:$K$363,2,0)," ")</f>
        <v xml:space="preserve"> </v>
      </c>
      <c r="C380" s="99"/>
      <c r="D380" s="100"/>
      <c r="E380" s="101"/>
      <c r="F380" s="101"/>
      <c r="G380" s="100" t="str">
        <f>IFERROR(VLOOKUP(Tablo517[[#This Row],[ÜRÜN KODU]],YMKODLARI!$A$1:$K$363,3,0)," ")</f>
        <v xml:space="preserve"> </v>
      </c>
      <c r="H380" s="100" t="str">
        <f>IFERROR(VLOOKUP(Tablo517[[#This Row],[ÜRÜN KODU]],YMKODLARI!$A$1:$K$363,4,0)," ")</f>
        <v xml:space="preserve"> </v>
      </c>
      <c r="I380" s="100"/>
      <c r="J380" s="100" t="str">
        <f>IFERROR(VLOOKUP(Tablo517[[#This Row],[ÜRÜN KODU]],YMKODLARI!$A$1:$K$363,9,0)," ")</f>
        <v xml:space="preserve"> </v>
      </c>
      <c r="K380" s="100" t="str">
        <f>IFERROR(VLOOKUP(Tablo517[[#This Row],[BOYA KODU]],Tablo14[#All],4,0)," ")</f>
        <v xml:space="preserve"> </v>
      </c>
      <c r="L380" s="100" t="str">
        <f>IFERROR(VLOOKUP(Tablo517[[#This Row],[BOYA KODU]],Tablo14[#All],6,0)," ")</f>
        <v xml:space="preserve"> </v>
      </c>
      <c r="M380" s="100" t="str">
        <f t="shared" si="36"/>
        <v xml:space="preserve"> </v>
      </c>
      <c r="N380" s="100" t="str">
        <f>IFERROR(VLOOKUP(Tablo517[[#This Row],[ÜRÜN KODU]],YMKODLARI!$A$1:$K$363,8,0)," ")</f>
        <v xml:space="preserve"> </v>
      </c>
      <c r="O380" s="100" t="str">
        <f>IFERROR(VLOOKUP(Tablo517[[#This Row],[HAMMADDE KODU]],Tablo1[#All],3,0)," ")</f>
        <v xml:space="preserve"> </v>
      </c>
      <c r="P380" s="100" t="str">
        <f>IFERROR(VLOOKUP(Tablo517[[#This Row],[HAMMADDE KODU]],Tablo1[#All],4,0)," ")</f>
        <v xml:space="preserve"> </v>
      </c>
      <c r="Q380" s="100" t="str">
        <f>IFERROR(VLOOKUP(Tablo517[[#This Row],[ÜRÜN KODU]],YMKODLARI!$A$1:$K$363,5,0)," ")</f>
        <v xml:space="preserve"> </v>
      </c>
      <c r="R380" s="100" t="str">
        <f>IFERROR(VLOOKUP(Tablo517[[#This Row],[ÜRÜN KODU]],YMKODLARI!$A$1:$K$363,6,0)," ")</f>
        <v xml:space="preserve"> </v>
      </c>
      <c r="S380" s="100" t="str">
        <f>IFERROR(Tablo517[[#This Row],[YOLLUK HARİÇ BASKI GRAMI]]/Tablo517[[#This Row],[KALIP GÖZ ADEDİ]]," ")</f>
        <v xml:space="preserve"> </v>
      </c>
      <c r="T380" s="100" t="str">
        <f t="shared" si="38"/>
        <v xml:space="preserve"> </v>
      </c>
      <c r="U380" s="100"/>
      <c r="V380" s="100" t="str">
        <f t="shared" si="37"/>
        <v xml:space="preserve"> </v>
      </c>
      <c r="W380" s="101">
        <f t="shared" si="39"/>
        <v>24</v>
      </c>
      <c r="X380" s="102">
        <f t="shared" si="40"/>
        <v>0</v>
      </c>
      <c r="Y380" s="100" t="str">
        <f t="shared" si="41"/>
        <v xml:space="preserve"> </v>
      </c>
      <c r="Z380" s="100" t="str">
        <f t="shared" si="42"/>
        <v xml:space="preserve"> </v>
      </c>
    </row>
    <row r="381" spans="1:26">
      <c r="A381" s="100"/>
      <c r="B381" s="108" t="str">
        <f>IFERROR(VLOOKUP(Tablo517[[#This Row],[ÜRÜN KODU]],YMKODLARI!$A$1:$K$363,2,0)," ")</f>
        <v xml:space="preserve"> </v>
      </c>
      <c r="C381" s="99"/>
      <c r="D381" s="100"/>
      <c r="E381" s="101"/>
      <c r="F381" s="101"/>
      <c r="G381" s="100" t="str">
        <f>IFERROR(VLOOKUP(Tablo517[[#This Row],[ÜRÜN KODU]],YMKODLARI!$A$1:$K$363,3,0)," ")</f>
        <v xml:space="preserve"> </v>
      </c>
      <c r="H381" s="100" t="str">
        <f>IFERROR(VLOOKUP(Tablo517[[#This Row],[ÜRÜN KODU]],YMKODLARI!$A$1:$K$363,4,0)," ")</f>
        <v xml:space="preserve"> </v>
      </c>
      <c r="I381" s="100"/>
      <c r="J381" s="100" t="str">
        <f>IFERROR(VLOOKUP(Tablo517[[#This Row],[ÜRÜN KODU]],YMKODLARI!$A$1:$K$363,9,0)," ")</f>
        <v xml:space="preserve"> </v>
      </c>
      <c r="K381" s="100" t="str">
        <f>IFERROR(VLOOKUP(Tablo517[[#This Row],[BOYA KODU]],Tablo14[#All],4,0)," ")</f>
        <v xml:space="preserve"> </v>
      </c>
      <c r="L381" s="100" t="str">
        <f>IFERROR(VLOOKUP(Tablo517[[#This Row],[BOYA KODU]],Tablo14[#All],6,0)," ")</f>
        <v xml:space="preserve"> </v>
      </c>
      <c r="M381" s="100" t="str">
        <f t="shared" si="36"/>
        <v xml:space="preserve"> </v>
      </c>
      <c r="N381" s="100" t="str">
        <f>IFERROR(VLOOKUP(Tablo517[[#This Row],[ÜRÜN KODU]],YMKODLARI!$A$1:$K$363,8,0)," ")</f>
        <v xml:space="preserve"> </v>
      </c>
      <c r="O381" s="100" t="str">
        <f>IFERROR(VLOOKUP(Tablo517[[#This Row],[HAMMADDE KODU]],Tablo1[#All],3,0)," ")</f>
        <v xml:space="preserve"> </v>
      </c>
      <c r="P381" s="100" t="str">
        <f>IFERROR(VLOOKUP(Tablo517[[#This Row],[HAMMADDE KODU]],Tablo1[#All],4,0)," ")</f>
        <v xml:space="preserve"> </v>
      </c>
      <c r="Q381" s="100" t="str">
        <f>IFERROR(VLOOKUP(Tablo517[[#This Row],[ÜRÜN KODU]],YMKODLARI!$A$1:$K$363,5,0)," ")</f>
        <v xml:space="preserve"> </v>
      </c>
      <c r="R381" s="100" t="str">
        <f>IFERROR(VLOOKUP(Tablo517[[#This Row],[ÜRÜN KODU]],YMKODLARI!$A$1:$K$363,6,0)," ")</f>
        <v xml:space="preserve"> </v>
      </c>
      <c r="S381" s="100" t="str">
        <f>IFERROR(Tablo517[[#This Row],[YOLLUK HARİÇ BASKI GRAMI]]/Tablo517[[#This Row],[KALIP GÖZ ADEDİ]]," ")</f>
        <v xml:space="preserve"> </v>
      </c>
      <c r="T381" s="100" t="str">
        <f t="shared" si="38"/>
        <v xml:space="preserve"> </v>
      </c>
      <c r="U381" s="100"/>
      <c r="V381" s="100" t="str">
        <f t="shared" si="37"/>
        <v xml:space="preserve"> </v>
      </c>
      <c r="W381" s="101">
        <f t="shared" si="39"/>
        <v>24</v>
      </c>
      <c r="X381" s="102">
        <f t="shared" si="40"/>
        <v>0</v>
      </c>
      <c r="Y381" s="100" t="str">
        <f t="shared" si="41"/>
        <v xml:space="preserve"> </v>
      </c>
      <c r="Z381" s="100" t="str">
        <f t="shared" si="42"/>
        <v xml:space="preserve"> </v>
      </c>
    </row>
    <row r="382" spans="1:26">
      <c r="A382" s="100"/>
      <c r="B382" s="108" t="str">
        <f>IFERROR(VLOOKUP(Tablo517[[#This Row],[ÜRÜN KODU]],YMKODLARI!$A$1:$K$363,2,0)," ")</f>
        <v xml:space="preserve"> </v>
      </c>
      <c r="C382" s="99"/>
      <c r="D382" s="100"/>
      <c r="E382" s="101"/>
      <c r="F382" s="101"/>
      <c r="G382" s="100" t="str">
        <f>IFERROR(VLOOKUP(Tablo517[[#This Row],[ÜRÜN KODU]],YMKODLARI!$A$1:$K$363,3,0)," ")</f>
        <v xml:space="preserve"> </v>
      </c>
      <c r="H382" s="100" t="str">
        <f>IFERROR(VLOOKUP(Tablo517[[#This Row],[ÜRÜN KODU]],YMKODLARI!$A$1:$K$363,4,0)," ")</f>
        <v xml:space="preserve"> </v>
      </c>
      <c r="I382" s="100"/>
      <c r="J382" s="100" t="str">
        <f>IFERROR(VLOOKUP(Tablo517[[#This Row],[ÜRÜN KODU]],YMKODLARI!$A$1:$K$363,9,0)," ")</f>
        <v xml:space="preserve"> </v>
      </c>
      <c r="K382" s="100" t="str">
        <f>IFERROR(VLOOKUP(Tablo517[[#This Row],[BOYA KODU]],Tablo14[#All],4,0)," ")</f>
        <v xml:space="preserve"> </v>
      </c>
      <c r="L382" s="100" t="str">
        <f>IFERROR(VLOOKUP(Tablo517[[#This Row],[BOYA KODU]],Tablo14[#All],6,0)," ")</f>
        <v xml:space="preserve"> </v>
      </c>
      <c r="M382" s="100" t="str">
        <f t="shared" si="36"/>
        <v xml:space="preserve"> </v>
      </c>
      <c r="N382" s="100" t="str">
        <f>IFERROR(VLOOKUP(Tablo517[[#This Row],[ÜRÜN KODU]],YMKODLARI!$A$1:$K$363,8,0)," ")</f>
        <v xml:space="preserve"> </v>
      </c>
      <c r="O382" s="100" t="str">
        <f>IFERROR(VLOOKUP(Tablo517[[#This Row],[HAMMADDE KODU]],Tablo1[#All],3,0)," ")</f>
        <v xml:space="preserve"> </v>
      </c>
      <c r="P382" s="100" t="str">
        <f>IFERROR(VLOOKUP(Tablo517[[#This Row],[HAMMADDE KODU]],Tablo1[#All],4,0)," ")</f>
        <v xml:space="preserve"> </v>
      </c>
      <c r="Q382" s="100" t="str">
        <f>IFERROR(VLOOKUP(Tablo517[[#This Row],[ÜRÜN KODU]],YMKODLARI!$A$1:$K$363,5,0)," ")</f>
        <v xml:space="preserve"> </v>
      </c>
      <c r="R382" s="100" t="str">
        <f>IFERROR(VLOOKUP(Tablo517[[#This Row],[ÜRÜN KODU]],YMKODLARI!$A$1:$K$363,6,0)," ")</f>
        <v xml:space="preserve"> </v>
      </c>
      <c r="S382" s="100" t="str">
        <f>IFERROR(Tablo517[[#This Row],[YOLLUK HARİÇ BASKI GRAMI]]/Tablo517[[#This Row],[KALIP GÖZ ADEDİ]]," ")</f>
        <v xml:space="preserve"> </v>
      </c>
      <c r="T382" s="100" t="str">
        <f t="shared" si="38"/>
        <v xml:space="preserve"> </v>
      </c>
      <c r="U382" s="100"/>
      <c r="V382" s="100" t="str">
        <f t="shared" si="37"/>
        <v xml:space="preserve"> </v>
      </c>
      <c r="W382" s="101">
        <f t="shared" si="39"/>
        <v>24</v>
      </c>
      <c r="X382" s="102">
        <f t="shared" si="40"/>
        <v>0</v>
      </c>
      <c r="Y382" s="100" t="str">
        <f t="shared" si="41"/>
        <v xml:space="preserve"> </v>
      </c>
      <c r="Z382" s="100" t="str">
        <f t="shared" si="42"/>
        <v xml:space="preserve"> </v>
      </c>
    </row>
    <row r="383" spans="1:26">
      <c r="A383" s="100"/>
      <c r="B383" s="108" t="str">
        <f>IFERROR(VLOOKUP(Tablo517[[#This Row],[ÜRÜN KODU]],YMKODLARI!$A$1:$K$363,2,0)," ")</f>
        <v xml:space="preserve"> </v>
      </c>
      <c r="C383" s="99"/>
      <c r="D383" s="100"/>
      <c r="E383" s="101"/>
      <c r="F383" s="101"/>
      <c r="G383" s="100" t="str">
        <f>IFERROR(VLOOKUP(Tablo517[[#This Row],[ÜRÜN KODU]],YMKODLARI!$A$1:$K$363,3,0)," ")</f>
        <v xml:space="preserve"> </v>
      </c>
      <c r="H383" s="100" t="str">
        <f>IFERROR(VLOOKUP(Tablo517[[#This Row],[ÜRÜN KODU]],YMKODLARI!$A$1:$K$363,4,0)," ")</f>
        <v xml:space="preserve"> </v>
      </c>
      <c r="I383" s="100"/>
      <c r="J383" s="100" t="str">
        <f>IFERROR(VLOOKUP(Tablo517[[#This Row],[ÜRÜN KODU]],YMKODLARI!$A$1:$K$363,9,0)," ")</f>
        <v xml:space="preserve"> </v>
      </c>
      <c r="K383" s="100" t="str">
        <f>IFERROR(VLOOKUP(Tablo517[[#This Row],[BOYA KODU]],Tablo14[#All],4,0)," ")</f>
        <v xml:space="preserve"> </v>
      </c>
      <c r="L383" s="100" t="str">
        <f>IFERROR(VLOOKUP(Tablo517[[#This Row],[BOYA KODU]],Tablo14[#All],6,0)," ")</f>
        <v xml:space="preserve"> </v>
      </c>
      <c r="M383" s="100" t="str">
        <f t="shared" si="36"/>
        <v xml:space="preserve"> </v>
      </c>
      <c r="N383" s="100" t="str">
        <f>IFERROR(VLOOKUP(Tablo517[[#This Row],[ÜRÜN KODU]],YMKODLARI!$A$1:$K$363,8,0)," ")</f>
        <v xml:space="preserve"> </v>
      </c>
      <c r="O383" s="100" t="str">
        <f>IFERROR(VLOOKUP(Tablo517[[#This Row],[HAMMADDE KODU]],Tablo1[#All],3,0)," ")</f>
        <v xml:space="preserve"> </v>
      </c>
      <c r="P383" s="100" t="str">
        <f>IFERROR(VLOOKUP(Tablo517[[#This Row],[HAMMADDE KODU]],Tablo1[#All],4,0)," ")</f>
        <v xml:space="preserve"> </v>
      </c>
      <c r="Q383" s="100" t="str">
        <f>IFERROR(VLOOKUP(Tablo517[[#This Row],[ÜRÜN KODU]],YMKODLARI!$A$1:$K$363,5,0)," ")</f>
        <v xml:space="preserve"> </v>
      </c>
      <c r="R383" s="100" t="str">
        <f>IFERROR(VLOOKUP(Tablo517[[#This Row],[ÜRÜN KODU]],YMKODLARI!$A$1:$K$363,6,0)," ")</f>
        <v xml:space="preserve"> </v>
      </c>
      <c r="S383" s="100" t="str">
        <f>IFERROR(Tablo517[[#This Row],[YOLLUK HARİÇ BASKI GRAMI]]/Tablo517[[#This Row],[KALIP GÖZ ADEDİ]]," ")</f>
        <v xml:space="preserve"> </v>
      </c>
      <c r="T383" s="100" t="str">
        <f t="shared" si="38"/>
        <v xml:space="preserve"> </v>
      </c>
      <c r="U383" s="100"/>
      <c r="V383" s="100" t="str">
        <f t="shared" si="37"/>
        <v xml:space="preserve"> </v>
      </c>
      <c r="W383" s="101">
        <f t="shared" si="39"/>
        <v>24</v>
      </c>
      <c r="X383" s="102">
        <f t="shared" si="40"/>
        <v>0</v>
      </c>
      <c r="Y383" s="100" t="str">
        <f t="shared" si="41"/>
        <v xml:space="preserve"> </v>
      </c>
      <c r="Z383" s="100" t="str">
        <f t="shared" si="42"/>
        <v xml:space="preserve"> </v>
      </c>
    </row>
    <row r="384" spans="1:26">
      <c r="A384" s="100"/>
      <c r="B384" s="108" t="str">
        <f>IFERROR(VLOOKUP(Tablo517[[#This Row],[ÜRÜN KODU]],YMKODLARI!$A$1:$K$363,2,0)," ")</f>
        <v xml:space="preserve"> </v>
      </c>
      <c r="C384" s="99"/>
      <c r="D384" s="100"/>
      <c r="E384" s="101"/>
      <c r="F384" s="101"/>
      <c r="G384" s="100" t="str">
        <f>IFERROR(VLOOKUP(Tablo517[[#This Row],[ÜRÜN KODU]],YMKODLARI!$A$1:$K$363,3,0)," ")</f>
        <v xml:space="preserve"> </v>
      </c>
      <c r="H384" s="100" t="str">
        <f>IFERROR(VLOOKUP(Tablo517[[#This Row],[ÜRÜN KODU]],YMKODLARI!$A$1:$K$363,4,0)," ")</f>
        <v xml:space="preserve"> </v>
      </c>
      <c r="I384" s="100"/>
      <c r="J384" s="100" t="str">
        <f>IFERROR(VLOOKUP(Tablo517[[#This Row],[ÜRÜN KODU]],YMKODLARI!$A$1:$K$363,9,0)," ")</f>
        <v xml:space="preserve"> </v>
      </c>
      <c r="K384" s="100" t="str">
        <f>IFERROR(VLOOKUP(Tablo517[[#This Row],[BOYA KODU]],Tablo14[#All],4,0)," ")</f>
        <v xml:space="preserve"> </v>
      </c>
      <c r="L384" s="100" t="str">
        <f>IFERROR(VLOOKUP(Tablo517[[#This Row],[BOYA KODU]],Tablo14[#All],6,0)," ")</f>
        <v xml:space="preserve"> </v>
      </c>
      <c r="M384" s="100" t="str">
        <f t="shared" si="36"/>
        <v xml:space="preserve"> </v>
      </c>
      <c r="N384" s="100" t="str">
        <f>IFERROR(VLOOKUP(Tablo517[[#This Row],[ÜRÜN KODU]],YMKODLARI!$A$1:$K$363,8,0)," ")</f>
        <v xml:space="preserve"> </v>
      </c>
      <c r="O384" s="100" t="str">
        <f>IFERROR(VLOOKUP(Tablo517[[#This Row],[HAMMADDE KODU]],Tablo1[#All],3,0)," ")</f>
        <v xml:space="preserve"> </v>
      </c>
      <c r="P384" s="100" t="str">
        <f>IFERROR(VLOOKUP(Tablo517[[#This Row],[HAMMADDE KODU]],Tablo1[#All],4,0)," ")</f>
        <v xml:space="preserve"> </v>
      </c>
      <c r="Q384" s="100" t="str">
        <f>IFERROR(VLOOKUP(Tablo517[[#This Row],[ÜRÜN KODU]],YMKODLARI!$A$1:$K$363,5,0)," ")</f>
        <v xml:space="preserve"> </v>
      </c>
      <c r="R384" s="100" t="str">
        <f>IFERROR(VLOOKUP(Tablo517[[#This Row],[ÜRÜN KODU]],YMKODLARI!$A$1:$K$363,6,0)," ")</f>
        <v xml:space="preserve"> </v>
      </c>
      <c r="S384" s="100" t="str">
        <f>IFERROR(Tablo517[[#This Row],[YOLLUK HARİÇ BASKI GRAMI]]/Tablo517[[#This Row],[KALIP GÖZ ADEDİ]]," ")</f>
        <v xml:space="preserve"> </v>
      </c>
      <c r="T384" s="100" t="str">
        <f t="shared" si="38"/>
        <v xml:space="preserve"> </v>
      </c>
      <c r="U384" s="100"/>
      <c r="V384" s="100" t="str">
        <f t="shared" si="37"/>
        <v xml:space="preserve"> </v>
      </c>
      <c r="W384" s="101">
        <f t="shared" si="39"/>
        <v>24</v>
      </c>
      <c r="X384" s="102">
        <f t="shared" si="40"/>
        <v>0</v>
      </c>
      <c r="Y384" s="100" t="str">
        <f t="shared" si="41"/>
        <v xml:space="preserve"> </v>
      </c>
      <c r="Z384" s="100" t="str">
        <f t="shared" si="42"/>
        <v xml:space="preserve"> </v>
      </c>
    </row>
    <row r="385" spans="1:26">
      <c r="A385" s="100"/>
      <c r="B385" s="108" t="str">
        <f>IFERROR(VLOOKUP(Tablo517[[#This Row],[ÜRÜN KODU]],YMKODLARI!$A$1:$K$363,2,0)," ")</f>
        <v xml:space="preserve"> </v>
      </c>
      <c r="C385" s="99"/>
      <c r="D385" s="100"/>
      <c r="E385" s="101"/>
      <c r="F385" s="101"/>
      <c r="G385" s="100" t="str">
        <f>IFERROR(VLOOKUP(Tablo517[[#This Row],[ÜRÜN KODU]],YMKODLARI!$A$1:$K$363,3,0)," ")</f>
        <v xml:space="preserve"> </v>
      </c>
      <c r="H385" s="100" t="str">
        <f>IFERROR(VLOOKUP(Tablo517[[#This Row],[ÜRÜN KODU]],YMKODLARI!$A$1:$K$363,4,0)," ")</f>
        <v xml:space="preserve"> </v>
      </c>
      <c r="I385" s="100"/>
      <c r="J385" s="100" t="str">
        <f>IFERROR(VLOOKUP(Tablo517[[#This Row],[ÜRÜN KODU]],YMKODLARI!$A$1:$K$363,9,0)," ")</f>
        <v xml:space="preserve"> </v>
      </c>
      <c r="K385" s="100" t="str">
        <f>IFERROR(VLOOKUP(Tablo517[[#This Row],[BOYA KODU]],Tablo14[#All],4,0)," ")</f>
        <v xml:space="preserve"> </v>
      </c>
      <c r="L385" s="100" t="str">
        <f>IFERROR(VLOOKUP(Tablo517[[#This Row],[BOYA KODU]],Tablo14[#All],6,0)," ")</f>
        <v xml:space="preserve"> </v>
      </c>
      <c r="M385" s="100" t="str">
        <f t="shared" si="36"/>
        <v xml:space="preserve"> </v>
      </c>
      <c r="N385" s="100" t="str">
        <f>IFERROR(VLOOKUP(Tablo517[[#This Row],[ÜRÜN KODU]],YMKODLARI!$A$1:$K$363,8,0)," ")</f>
        <v xml:space="preserve"> </v>
      </c>
      <c r="O385" s="100" t="str">
        <f>IFERROR(VLOOKUP(Tablo517[[#This Row],[HAMMADDE KODU]],Tablo1[#All],3,0)," ")</f>
        <v xml:space="preserve"> </v>
      </c>
      <c r="P385" s="100" t="str">
        <f>IFERROR(VLOOKUP(Tablo517[[#This Row],[HAMMADDE KODU]],Tablo1[#All],4,0)," ")</f>
        <v xml:space="preserve"> </v>
      </c>
      <c r="Q385" s="100" t="str">
        <f>IFERROR(VLOOKUP(Tablo517[[#This Row],[ÜRÜN KODU]],YMKODLARI!$A$1:$K$363,5,0)," ")</f>
        <v xml:space="preserve"> </v>
      </c>
      <c r="R385" s="100" t="str">
        <f>IFERROR(VLOOKUP(Tablo517[[#This Row],[ÜRÜN KODU]],YMKODLARI!$A$1:$K$363,6,0)," ")</f>
        <v xml:space="preserve"> </v>
      </c>
      <c r="S385" s="100" t="str">
        <f>IFERROR(Tablo517[[#This Row],[YOLLUK HARİÇ BASKI GRAMI]]/Tablo517[[#This Row],[KALIP GÖZ ADEDİ]]," ")</f>
        <v xml:space="preserve"> </v>
      </c>
      <c r="T385" s="100" t="str">
        <f t="shared" si="38"/>
        <v xml:space="preserve"> </v>
      </c>
      <c r="U385" s="100"/>
      <c r="V385" s="100" t="str">
        <f t="shared" si="37"/>
        <v xml:space="preserve"> </v>
      </c>
      <c r="W385" s="101">
        <f t="shared" si="39"/>
        <v>24</v>
      </c>
      <c r="X385" s="102">
        <f t="shared" si="40"/>
        <v>0</v>
      </c>
      <c r="Y385" s="100" t="str">
        <f t="shared" si="41"/>
        <v xml:space="preserve"> </v>
      </c>
      <c r="Z385" s="100" t="str">
        <f t="shared" si="42"/>
        <v xml:space="preserve"> </v>
      </c>
    </row>
    <row r="386" spans="1:26">
      <c r="A386" s="100"/>
      <c r="B386" s="108" t="str">
        <f>IFERROR(VLOOKUP(Tablo517[[#This Row],[ÜRÜN KODU]],YMKODLARI!$A$1:$K$363,2,0)," ")</f>
        <v xml:space="preserve"> </v>
      </c>
      <c r="C386" s="99"/>
      <c r="D386" s="100"/>
      <c r="E386" s="101"/>
      <c r="F386" s="101"/>
      <c r="G386" s="100" t="str">
        <f>IFERROR(VLOOKUP(Tablo517[[#This Row],[ÜRÜN KODU]],YMKODLARI!$A$1:$K$363,3,0)," ")</f>
        <v xml:space="preserve"> </v>
      </c>
      <c r="H386" s="100" t="str">
        <f>IFERROR(VLOOKUP(Tablo517[[#This Row],[ÜRÜN KODU]],YMKODLARI!$A$1:$K$363,4,0)," ")</f>
        <v xml:space="preserve"> </v>
      </c>
      <c r="I386" s="100"/>
      <c r="J386" s="100" t="str">
        <f>IFERROR(VLOOKUP(Tablo517[[#This Row],[ÜRÜN KODU]],YMKODLARI!$A$1:$K$363,9,0)," ")</f>
        <v xml:space="preserve"> </v>
      </c>
      <c r="K386" s="100" t="str">
        <f>IFERROR(VLOOKUP(Tablo517[[#This Row],[BOYA KODU]],Tablo14[#All],4,0)," ")</f>
        <v xml:space="preserve"> </v>
      </c>
      <c r="L386" s="100" t="str">
        <f>IFERROR(VLOOKUP(Tablo517[[#This Row],[BOYA KODU]],Tablo14[#All],6,0)," ")</f>
        <v xml:space="preserve"> </v>
      </c>
      <c r="M386" s="100" t="str">
        <f t="shared" ref="M386:M449" si="43">IFERROR((I386*Q386)*L386," ")</f>
        <v xml:space="preserve"> </v>
      </c>
      <c r="N386" s="100" t="str">
        <f>IFERROR(VLOOKUP(Tablo517[[#This Row],[ÜRÜN KODU]],YMKODLARI!$A$1:$K$363,8,0)," ")</f>
        <v xml:space="preserve"> </v>
      </c>
      <c r="O386" s="100" t="str">
        <f>IFERROR(VLOOKUP(Tablo517[[#This Row],[HAMMADDE KODU]],Tablo1[#All],3,0)," ")</f>
        <v xml:space="preserve"> </v>
      </c>
      <c r="P386" s="100" t="str">
        <f>IFERROR(VLOOKUP(Tablo517[[#This Row],[HAMMADDE KODU]],Tablo1[#All],4,0)," ")</f>
        <v xml:space="preserve"> </v>
      </c>
      <c r="Q386" s="100" t="str">
        <f>IFERROR(VLOOKUP(Tablo517[[#This Row],[ÜRÜN KODU]],YMKODLARI!$A$1:$K$363,5,0)," ")</f>
        <v xml:space="preserve"> </v>
      </c>
      <c r="R386" s="100" t="str">
        <f>IFERROR(VLOOKUP(Tablo517[[#This Row],[ÜRÜN KODU]],YMKODLARI!$A$1:$K$363,6,0)," ")</f>
        <v xml:space="preserve"> </v>
      </c>
      <c r="S386" s="100" t="str">
        <f>IFERROR(Tablo517[[#This Row],[YOLLUK HARİÇ BASKI GRAMI]]/Tablo517[[#This Row],[KALIP GÖZ ADEDİ]]," ")</f>
        <v xml:space="preserve"> </v>
      </c>
      <c r="T386" s="100" t="str">
        <f t="shared" si="38"/>
        <v xml:space="preserve"> </v>
      </c>
      <c r="U386" s="100"/>
      <c r="V386" s="100" t="str">
        <f t="shared" ref="V386:V449" si="44">IFERROR(U386+(R386*I386) /1000," ")</f>
        <v xml:space="preserve"> </v>
      </c>
      <c r="W386" s="101">
        <f t="shared" si="39"/>
        <v>24</v>
      </c>
      <c r="X386" s="102">
        <f t="shared" si="40"/>
        <v>0</v>
      </c>
      <c r="Y386" s="100" t="str">
        <f t="shared" si="41"/>
        <v xml:space="preserve"> </v>
      </c>
      <c r="Z386" s="100" t="str">
        <f t="shared" si="42"/>
        <v xml:space="preserve"> </v>
      </c>
    </row>
    <row r="387" spans="1:26">
      <c r="A387" s="100"/>
      <c r="B387" s="108" t="str">
        <f>IFERROR(VLOOKUP(Tablo517[[#This Row],[ÜRÜN KODU]],YMKODLARI!$A$1:$K$363,2,0)," ")</f>
        <v xml:space="preserve"> </v>
      </c>
      <c r="C387" s="99"/>
      <c r="D387" s="100"/>
      <c r="E387" s="101"/>
      <c r="F387" s="101"/>
      <c r="G387" s="100" t="str">
        <f>IFERROR(VLOOKUP(Tablo517[[#This Row],[ÜRÜN KODU]],YMKODLARI!$A$1:$K$363,3,0)," ")</f>
        <v xml:space="preserve"> </v>
      </c>
      <c r="H387" s="100" t="str">
        <f>IFERROR(VLOOKUP(Tablo517[[#This Row],[ÜRÜN KODU]],YMKODLARI!$A$1:$K$363,4,0)," ")</f>
        <v xml:space="preserve"> </v>
      </c>
      <c r="I387" s="100"/>
      <c r="J387" s="100" t="str">
        <f>IFERROR(VLOOKUP(Tablo517[[#This Row],[ÜRÜN KODU]],YMKODLARI!$A$1:$K$363,9,0)," ")</f>
        <v xml:space="preserve"> </v>
      </c>
      <c r="K387" s="100" t="str">
        <f>IFERROR(VLOOKUP(Tablo517[[#This Row],[BOYA KODU]],Tablo14[#All],4,0)," ")</f>
        <v xml:space="preserve"> </v>
      </c>
      <c r="L387" s="100" t="str">
        <f>IFERROR(VLOOKUP(Tablo517[[#This Row],[BOYA KODU]],Tablo14[#All],6,0)," ")</f>
        <v xml:space="preserve"> </v>
      </c>
      <c r="M387" s="100" t="str">
        <f t="shared" si="43"/>
        <v xml:space="preserve"> </v>
      </c>
      <c r="N387" s="100" t="str">
        <f>IFERROR(VLOOKUP(Tablo517[[#This Row],[ÜRÜN KODU]],YMKODLARI!$A$1:$K$363,8,0)," ")</f>
        <v xml:space="preserve"> </v>
      </c>
      <c r="O387" s="100" t="str">
        <f>IFERROR(VLOOKUP(Tablo517[[#This Row],[HAMMADDE KODU]],Tablo1[#All],3,0)," ")</f>
        <v xml:space="preserve"> </v>
      </c>
      <c r="P387" s="100" t="str">
        <f>IFERROR(VLOOKUP(Tablo517[[#This Row],[HAMMADDE KODU]],Tablo1[#All],4,0)," ")</f>
        <v xml:space="preserve"> </v>
      </c>
      <c r="Q387" s="100" t="str">
        <f>IFERROR(VLOOKUP(Tablo517[[#This Row],[ÜRÜN KODU]],YMKODLARI!$A$1:$K$363,5,0)," ")</f>
        <v xml:space="preserve"> </v>
      </c>
      <c r="R387" s="100" t="str">
        <f>IFERROR(VLOOKUP(Tablo517[[#This Row],[ÜRÜN KODU]],YMKODLARI!$A$1:$K$363,6,0)," ")</f>
        <v xml:space="preserve"> </v>
      </c>
      <c r="S387" s="100" t="str">
        <f>IFERROR(Tablo517[[#This Row],[YOLLUK HARİÇ BASKI GRAMI]]/Tablo517[[#This Row],[KALIP GÖZ ADEDİ]]," ")</f>
        <v xml:space="preserve"> </v>
      </c>
      <c r="T387" s="100" t="str">
        <f t="shared" ref="T387:T450" si="45">IFERROR(Q387-R387," ")</f>
        <v xml:space="preserve"> </v>
      </c>
      <c r="U387" s="100"/>
      <c r="V387" s="100" t="str">
        <f t="shared" si="44"/>
        <v xml:space="preserve"> </v>
      </c>
      <c r="W387" s="101">
        <f t="shared" ref="W387:W450" si="46">IFERROR(24-(E387-F387)," ")</f>
        <v>24</v>
      </c>
      <c r="X387" s="102">
        <f t="shared" ref="X387:X450" si="47">IFERROR((W387-INT(W387))*24," ")</f>
        <v>0</v>
      </c>
      <c r="Y387" s="100" t="str">
        <f t="shared" ref="Y387:Y450" si="48">IFERROR(H387*I387/3600," ")</f>
        <v xml:space="preserve"> </v>
      </c>
      <c r="Z387" s="100" t="str">
        <f t="shared" ref="Z387:Z450" si="49">IFERROR(I387*G387," " )</f>
        <v xml:space="preserve"> </v>
      </c>
    </row>
    <row r="388" spans="1:26">
      <c r="A388" s="100"/>
      <c r="B388" s="108" t="str">
        <f>IFERROR(VLOOKUP(Tablo517[[#This Row],[ÜRÜN KODU]],YMKODLARI!$A$1:$K$363,2,0)," ")</f>
        <v xml:space="preserve"> </v>
      </c>
      <c r="C388" s="99"/>
      <c r="D388" s="100"/>
      <c r="E388" s="101"/>
      <c r="F388" s="101"/>
      <c r="G388" s="100" t="str">
        <f>IFERROR(VLOOKUP(Tablo517[[#This Row],[ÜRÜN KODU]],YMKODLARI!$A$1:$K$363,3,0)," ")</f>
        <v xml:space="preserve"> </v>
      </c>
      <c r="H388" s="100" t="str">
        <f>IFERROR(VLOOKUP(Tablo517[[#This Row],[ÜRÜN KODU]],YMKODLARI!$A$1:$K$363,4,0)," ")</f>
        <v xml:space="preserve"> </v>
      </c>
      <c r="I388" s="100"/>
      <c r="J388" s="100" t="str">
        <f>IFERROR(VLOOKUP(Tablo517[[#This Row],[ÜRÜN KODU]],YMKODLARI!$A$1:$K$363,9,0)," ")</f>
        <v xml:space="preserve"> </v>
      </c>
      <c r="K388" s="100" t="str">
        <f>IFERROR(VLOOKUP(Tablo517[[#This Row],[BOYA KODU]],Tablo14[#All],4,0)," ")</f>
        <v xml:space="preserve"> </v>
      </c>
      <c r="L388" s="100" t="str">
        <f>IFERROR(VLOOKUP(Tablo517[[#This Row],[BOYA KODU]],Tablo14[#All],6,0)," ")</f>
        <v xml:space="preserve"> </v>
      </c>
      <c r="M388" s="100" t="str">
        <f t="shared" si="43"/>
        <v xml:space="preserve"> </v>
      </c>
      <c r="N388" s="100" t="str">
        <f>IFERROR(VLOOKUP(Tablo517[[#This Row],[ÜRÜN KODU]],YMKODLARI!$A$1:$K$363,8,0)," ")</f>
        <v xml:space="preserve"> </v>
      </c>
      <c r="O388" s="100" t="str">
        <f>IFERROR(VLOOKUP(Tablo517[[#This Row],[HAMMADDE KODU]],Tablo1[#All],3,0)," ")</f>
        <v xml:space="preserve"> </v>
      </c>
      <c r="P388" s="100" t="str">
        <f>IFERROR(VLOOKUP(Tablo517[[#This Row],[HAMMADDE KODU]],Tablo1[#All],4,0)," ")</f>
        <v xml:space="preserve"> </v>
      </c>
      <c r="Q388" s="100" t="str">
        <f>IFERROR(VLOOKUP(Tablo517[[#This Row],[ÜRÜN KODU]],YMKODLARI!$A$1:$K$363,5,0)," ")</f>
        <v xml:space="preserve"> </v>
      </c>
      <c r="R388" s="100" t="str">
        <f>IFERROR(VLOOKUP(Tablo517[[#This Row],[ÜRÜN KODU]],YMKODLARI!$A$1:$K$363,6,0)," ")</f>
        <v xml:space="preserve"> </v>
      </c>
      <c r="S388" s="100" t="str">
        <f>IFERROR(Tablo517[[#This Row],[YOLLUK HARİÇ BASKI GRAMI]]/Tablo517[[#This Row],[KALIP GÖZ ADEDİ]]," ")</f>
        <v xml:space="preserve"> </v>
      </c>
      <c r="T388" s="100" t="str">
        <f t="shared" si="45"/>
        <v xml:space="preserve"> </v>
      </c>
      <c r="U388" s="100"/>
      <c r="V388" s="100" t="str">
        <f t="shared" si="44"/>
        <v xml:space="preserve"> </v>
      </c>
      <c r="W388" s="101">
        <f t="shared" si="46"/>
        <v>24</v>
      </c>
      <c r="X388" s="102">
        <f t="shared" si="47"/>
        <v>0</v>
      </c>
      <c r="Y388" s="100" t="str">
        <f t="shared" si="48"/>
        <v xml:space="preserve"> </v>
      </c>
      <c r="Z388" s="100" t="str">
        <f t="shared" si="49"/>
        <v xml:space="preserve"> </v>
      </c>
    </row>
    <row r="389" spans="1:26">
      <c r="A389" s="100"/>
      <c r="B389" s="108" t="str">
        <f>IFERROR(VLOOKUP(Tablo517[[#This Row],[ÜRÜN KODU]],YMKODLARI!$A$1:$K$363,2,0)," ")</f>
        <v xml:space="preserve"> </v>
      </c>
      <c r="C389" s="99"/>
      <c r="D389" s="100"/>
      <c r="E389" s="101"/>
      <c r="F389" s="101"/>
      <c r="G389" s="100" t="str">
        <f>IFERROR(VLOOKUP(Tablo517[[#This Row],[ÜRÜN KODU]],YMKODLARI!$A$1:$K$363,3,0)," ")</f>
        <v xml:space="preserve"> </v>
      </c>
      <c r="H389" s="100" t="str">
        <f>IFERROR(VLOOKUP(Tablo517[[#This Row],[ÜRÜN KODU]],YMKODLARI!$A$1:$K$363,4,0)," ")</f>
        <v xml:space="preserve"> </v>
      </c>
      <c r="I389" s="100"/>
      <c r="J389" s="100" t="str">
        <f>IFERROR(VLOOKUP(Tablo517[[#This Row],[ÜRÜN KODU]],YMKODLARI!$A$1:$K$363,9,0)," ")</f>
        <v xml:space="preserve"> </v>
      </c>
      <c r="K389" s="100" t="str">
        <f>IFERROR(VLOOKUP(Tablo517[[#This Row],[BOYA KODU]],Tablo14[#All],4,0)," ")</f>
        <v xml:space="preserve"> </v>
      </c>
      <c r="L389" s="100" t="str">
        <f>IFERROR(VLOOKUP(Tablo517[[#This Row],[BOYA KODU]],Tablo14[#All],6,0)," ")</f>
        <v xml:space="preserve"> </v>
      </c>
      <c r="M389" s="100" t="str">
        <f t="shared" si="43"/>
        <v xml:space="preserve"> </v>
      </c>
      <c r="N389" s="100" t="str">
        <f>IFERROR(VLOOKUP(Tablo517[[#This Row],[ÜRÜN KODU]],YMKODLARI!$A$1:$K$363,8,0)," ")</f>
        <v xml:space="preserve"> </v>
      </c>
      <c r="O389" s="100" t="str">
        <f>IFERROR(VLOOKUP(Tablo517[[#This Row],[HAMMADDE KODU]],Tablo1[#All],3,0)," ")</f>
        <v xml:space="preserve"> </v>
      </c>
      <c r="P389" s="100" t="str">
        <f>IFERROR(VLOOKUP(Tablo517[[#This Row],[HAMMADDE KODU]],Tablo1[#All],4,0)," ")</f>
        <v xml:space="preserve"> </v>
      </c>
      <c r="Q389" s="100" t="str">
        <f>IFERROR(VLOOKUP(Tablo517[[#This Row],[ÜRÜN KODU]],YMKODLARI!$A$1:$K$363,5,0)," ")</f>
        <v xml:space="preserve"> </v>
      </c>
      <c r="R389" s="100" t="str">
        <f>IFERROR(VLOOKUP(Tablo517[[#This Row],[ÜRÜN KODU]],YMKODLARI!$A$1:$K$363,6,0)," ")</f>
        <v xml:space="preserve"> </v>
      </c>
      <c r="S389" s="100" t="str">
        <f>IFERROR(Tablo517[[#This Row],[YOLLUK HARİÇ BASKI GRAMI]]/Tablo517[[#This Row],[KALIP GÖZ ADEDİ]]," ")</f>
        <v xml:space="preserve"> </v>
      </c>
      <c r="T389" s="100" t="str">
        <f t="shared" si="45"/>
        <v xml:space="preserve"> </v>
      </c>
      <c r="U389" s="100"/>
      <c r="V389" s="100" t="str">
        <f t="shared" si="44"/>
        <v xml:space="preserve"> </v>
      </c>
      <c r="W389" s="101">
        <f t="shared" si="46"/>
        <v>24</v>
      </c>
      <c r="X389" s="102">
        <f t="shared" si="47"/>
        <v>0</v>
      </c>
      <c r="Y389" s="100" t="str">
        <f t="shared" si="48"/>
        <v xml:space="preserve"> </v>
      </c>
      <c r="Z389" s="100" t="str">
        <f t="shared" si="49"/>
        <v xml:space="preserve"> </v>
      </c>
    </row>
    <row r="390" spans="1:26">
      <c r="A390" s="100"/>
      <c r="B390" s="108" t="str">
        <f>IFERROR(VLOOKUP(Tablo517[[#This Row],[ÜRÜN KODU]],YMKODLARI!$A$1:$K$363,2,0)," ")</f>
        <v xml:space="preserve"> </v>
      </c>
      <c r="C390" s="99"/>
      <c r="D390" s="100"/>
      <c r="E390" s="101"/>
      <c r="F390" s="101"/>
      <c r="G390" s="100" t="str">
        <f>IFERROR(VLOOKUP(Tablo517[[#This Row],[ÜRÜN KODU]],YMKODLARI!$A$1:$K$363,3,0)," ")</f>
        <v xml:space="preserve"> </v>
      </c>
      <c r="H390" s="100" t="str">
        <f>IFERROR(VLOOKUP(Tablo517[[#This Row],[ÜRÜN KODU]],YMKODLARI!$A$1:$K$363,4,0)," ")</f>
        <v xml:space="preserve"> </v>
      </c>
      <c r="I390" s="100"/>
      <c r="J390" s="100" t="str">
        <f>IFERROR(VLOOKUP(Tablo517[[#This Row],[ÜRÜN KODU]],YMKODLARI!$A$1:$K$363,9,0)," ")</f>
        <v xml:space="preserve"> </v>
      </c>
      <c r="K390" s="100" t="str">
        <f>IFERROR(VLOOKUP(Tablo517[[#This Row],[BOYA KODU]],Tablo14[#All],4,0)," ")</f>
        <v xml:space="preserve"> </v>
      </c>
      <c r="L390" s="100" t="str">
        <f>IFERROR(VLOOKUP(Tablo517[[#This Row],[BOYA KODU]],Tablo14[#All],6,0)," ")</f>
        <v xml:space="preserve"> </v>
      </c>
      <c r="M390" s="100" t="str">
        <f t="shared" si="43"/>
        <v xml:space="preserve"> </v>
      </c>
      <c r="N390" s="100" t="str">
        <f>IFERROR(VLOOKUP(Tablo517[[#This Row],[ÜRÜN KODU]],YMKODLARI!$A$1:$K$363,8,0)," ")</f>
        <v xml:space="preserve"> </v>
      </c>
      <c r="O390" s="100" t="str">
        <f>IFERROR(VLOOKUP(Tablo517[[#This Row],[HAMMADDE KODU]],Tablo1[#All],3,0)," ")</f>
        <v xml:space="preserve"> </v>
      </c>
      <c r="P390" s="100" t="str">
        <f>IFERROR(VLOOKUP(Tablo517[[#This Row],[HAMMADDE KODU]],Tablo1[#All],4,0)," ")</f>
        <v xml:space="preserve"> </v>
      </c>
      <c r="Q390" s="100" t="str">
        <f>IFERROR(VLOOKUP(Tablo517[[#This Row],[ÜRÜN KODU]],YMKODLARI!$A$1:$K$363,5,0)," ")</f>
        <v xml:space="preserve"> </v>
      </c>
      <c r="R390" s="100" t="str">
        <f>IFERROR(VLOOKUP(Tablo517[[#This Row],[ÜRÜN KODU]],YMKODLARI!$A$1:$K$363,6,0)," ")</f>
        <v xml:space="preserve"> </v>
      </c>
      <c r="S390" s="100" t="str">
        <f>IFERROR(Tablo517[[#This Row],[YOLLUK HARİÇ BASKI GRAMI]]/Tablo517[[#This Row],[KALIP GÖZ ADEDİ]]," ")</f>
        <v xml:space="preserve"> </v>
      </c>
      <c r="T390" s="100" t="str">
        <f t="shared" si="45"/>
        <v xml:space="preserve"> </v>
      </c>
      <c r="U390" s="100"/>
      <c r="V390" s="100" t="str">
        <f t="shared" si="44"/>
        <v xml:space="preserve"> </v>
      </c>
      <c r="W390" s="101">
        <f t="shared" si="46"/>
        <v>24</v>
      </c>
      <c r="X390" s="102">
        <f t="shared" si="47"/>
        <v>0</v>
      </c>
      <c r="Y390" s="100" t="str">
        <f t="shared" si="48"/>
        <v xml:space="preserve"> </v>
      </c>
      <c r="Z390" s="100" t="str">
        <f t="shared" si="49"/>
        <v xml:space="preserve"> </v>
      </c>
    </row>
    <row r="391" spans="1:26">
      <c r="A391" s="100"/>
      <c r="B391" s="108" t="str">
        <f>IFERROR(VLOOKUP(Tablo517[[#This Row],[ÜRÜN KODU]],YMKODLARI!$A$1:$K$363,2,0)," ")</f>
        <v xml:space="preserve"> </v>
      </c>
      <c r="C391" s="99"/>
      <c r="D391" s="100"/>
      <c r="E391" s="101"/>
      <c r="F391" s="101"/>
      <c r="G391" s="100" t="str">
        <f>IFERROR(VLOOKUP(Tablo517[[#This Row],[ÜRÜN KODU]],YMKODLARI!$A$1:$K$363,3,0)," ")</f>
        <v xml:space="preserve"> </v>
      </c>
      <c r="H391" s="100" t="str">
        <f>IFERROR(VLOOKUP(Tablo517[[#This Row],[ÜRÜN KODU]],YMKODLARI!$A$1:$K$363,4,0)," ")</f>
        <v xml:space="preserve"> </v>
      </c>
      <c r="I391" s="100"/>
      <c r="J391" s="100" t="str">
        <f>IFERROR(VLOOKUP(Tablo517[[#This Row],[ÜRÜN KODU]],YMKODLARI!$A$1:$K$363,9,0)," ")</f>
        <v xml:space="preserve"> </v>
      </c>
      <c r="K391" s="100" t="str">
        <f>IFERROR(VLOOKUP(Tablo517[[#This Row],[BOYA KODU]],Tablo14[#All],4,0)," ")</f>
        <v xml:space="preserve"> </v>
      </c>
      <c r="L391" s="100" t="str">
        <f>IFERROR(VLOOKUP(Tablo517[[#This Row],[BOYA KODU]],Tablo14[#All],6,0)," ")</f>
        <v xml:space="preserve"> </v>
      </c>
      <c r="M391" s="100" t="str">
        <f t="shared" si="43"/>
        <v xml:space="preserve"> </v>
      </c>
      <c r="N391" s="100" t="str">
        <f>IFERROR(VLOOKUP(Tablo517[[#This Row],[ÜRÜN KODU]],YMKODLARI!$A$1:$K$363,8,0)," ")</f>
        <v xml:space="preserve"> </v>
      </c>
      <c r="O391" s="100" t="str">
        <f>IFERROR(VLOOKUP(Tablo517[[#This Row],[HAMMADDE KODU]],Tablo1[#All],3,0)," ")</f>
        <v xml:space="preserve"> </v>
      </c>
      <c r="P391" s="100" t="str">
        <f>IFERROR(VLOOKUP(Tablo517[[#This Row],[HAMMADDE KODU]],Tablo1[#All],4,0)," ")</f>
        <v xml:space="preserve"> </v>
      </c>
      <c r="Q391" s="100" t="str">
        <f>IFERROR(VLOOKUP(Tablo517[[#This Row],[ÜRÜN KODU]],YMKODLARI!$A$1:$K$363,5,0)," ")</f>
        <v xml:space="preserve"> </v>
      </c>
      <c r="R391" s="100" t="str">
        <f>IFERROR(VLOOKUP(Tablo517[[#This Row],[ÜRÜN KODU]],YMKODLARI!$A$1:$K$363,6,0)," ")</f>
        <v xml:space="preserve"> </v>
      </c>
      <c r="S391" s="100" t="str">
        <f>IFERROR(Tablo517[[#This Row],[YOLLUK HARİÇ BASKI GRAMI]]/Tablo517[[#This Row],[KALIP GÖZ ADEDİ]]," ")</f>
        <v xml:space="preserve"> </v>
      </c>
      <c r="T391" s="100" t="str">
        <f t="shared" si="45"/>
        <v xml:space="preserve"> </v>
      </c>
      <c r="U391" s="100"/>
      <c r="V391" s="100" t="str">
        <f t="shared" si="44"/>
        <v xml:space="preserve"> </v>
      </c>
      <c r="W391" s="101">
        <f t="shared" si="46"/>
        <v>24</v>
      </c>
      <c r="X391" s="102">
        <f t="shared" si="47"/>
        <v>0</v>
      </c>
      <c r="Y391" s="100" t="str">
        <f t="shared" si="48"/>
        <v xml:space="preserve"> </v>
      </c>
      <c r="Z391" s="100" t="str">
        <f t="shared" si="49"/>
        <v xml:space="preserve"> </v>
      </c>
    </row>
    <row r="392" spans="1:26">
      <c r="A392" s="100"/>
      <c r="B392" s="108" t="str">
        <f>IFERROR(VLOOKUP(Tablo517[[#This Row],[ÜRÜN KODU]],YMKODLARI!$A$1:$K$363,2,0)," ")</f>
        <v xml:space="preserve"> </v>
      </c>
      <c r="C392" s="99"/>
      <c r="D392" s="100"/>
      <c r="E392" s="101"/>
      <c r="F392" s="101"/>
      <c r="G392" s="100" t="str">
        <f>IFERROR(VLOOKUP(Tablo517[[#This Row],[ÜRÜN KODU]],YMKODLARI!$A$1:$K$363,3,0)," ")</f>
        <v xml:space="preserve"> </v>
      </c>
      <c r="H392" s="100" t="str">
        <f>IFERROR(VLOOKUP(Tablo517[[#This Row],[ÜRÜN KODU]],YMKODLARI!$A$1:$K$363,4,0)," ")</f>
        <v xml:space="preserve"> </v>
      </c>
      <c r="I392" s="100"/>
      <c r="J392" s="100" t="str">
        <f>IFERROR(VLOOKUP(Tablo517[[#This Row],[ÜRÜN KODU]],YMKODLARI!$A$1:$K$363,9,0)," ")</f>
        <v xml:space="preserve"> </v>
      </c>
      <c r="K392" s="100" t="str">
        <f>IFERROR(VLOOKUP(Tablo517[[#This Row],[BOYA KODU]],Tablo14[#All],4,0)," ")</f>
        <v xml:space="preserve"> </v>
      </c>
      <c r="L392" s="100" t="str">
        <f>IFERROR(VLOOKUP(Tablo517[[#This Row],[BOYA KODU]],Tablo14[#All],6,0)," ")</f>
        <v xml:space="preserve"> </v>
      </c>
      <c r="M392" s="100" t="str">
        <f t="shared" si="43"/>
        <v xml:space="preserve"> </v>
      </c>
      <c r="N392" s="100" t="str">
        <f>IFERROR(VLOOKUP(Tablo517[[#This Row],[ÜRÜN KODU]],YMKODLARI!$A$1:$K$363,8,0)," ")</f>
        <v xml:space="preserve"> </v>
      </c>
      <c r="O392" s="100" t="str">
        <f>IFERROR(VLOOKUP(Tablo517[[#This Row],[HAMMADDE KODU]],Tablo1[#All],3,0)," ")</f>
        <v xml:space="preserve"> </v>
      </c>
      <c r="P392" s="100" t="str">
        <f>IFERROR(VLOOKUP(Tablo517[[#This Row],[HAMMADDE KODU]],Tablo1[#All],4,0)," ")</f>
        <v xml:space="preserve"> </v>
      </c>
      <c r="Q392" s="100" t="str">
        <f>IFERROR(VLOOKUP(Tablo517[[#This Row],[ÜRÜN KODU]],YMKODLARI!$A$1:$K$363,5,0)," ")</f>
        <v xml:space="preserve"> </v>
      </c>
      <c r="R392" s="100" t="str">
        <f>IFERROR(VLOOKUP(Tablo517[[#This Row],[ÜRÜN KODU]],YMKODLARI!$A$1:$K$363,6,0)," ")</f>
        <v xml:space="preserve"> </v>
      </c>
      <c r="S392" s="100" t="str">
        <f>IFERROR(Tablo517[[#This Row],[YOLLUK HARİÇ BASKI GRAMI]]/Tablo517[[#This Row],[KALIP GÖZ ADEDİ]]," ")</f>
        <v xml:space="preserve"> </v>
      </c>
      <c r="T392" s="100" t="str">
        <f t="shared" si="45"/>
        <v xml:space="preserve"> </v>
      </c>
      <c r="U392" s="100"/>
      <c r="V392" s="100" t="str">
        <f t="shared" si="44"/>
        <v xml:space="preserve"> </v>
      </c>
      <c r="W392" s="101">
        <f t="shared" si="46"/>
        <v>24</v>
      </c>
      <c r="X392" s="102">
        <f t="shared" si="47"/>
        <v>0</v>
      </c>
      <c r="Y392" s="100" t="str">
        <f t="shared" si="48"/>
        <v xml:space="preserve"> </v>
      </c>
      <c r="Z392" s="100" t="str">
        <f t="shared" si="49"/>
        <v xml:space="preserve"> </v>
      </c>
    </row>
    <row r="393" spans="1:26">
      <c r="A393" s="100"/>
      <c r="B393" s="108" t="str">
        <f>IFERROR(VLOOKUP(Tablo517[[#This Row],[ÜRÜN KODU]],YMKODLARI!$A$1:$K$363,2,0)," ")</f>
        <v xml:space="preserve"> </v>
      </c>
      <c r="C393" s="99"/>
      <c r="D393" s="100"/>
      <c r="E393" s="101"/>
      <c r="F393" s="101"/>
      <c r="G393" s="100" t="str">
        <f>IFERROR(VLOOKUP(Tablo517[[#This Row],[ÜRÜN KODU]],YMKODLARI!$A$1:$K$363,3,0)," ")</f>
        <v xml:space="preserve"> </v>
      </c>
      <c r="H393" s="100" t="str">
        <f>IFERROR(VLOOKUP(Tablo517[[#This Row],[ÜRÜN KODU]],YMKODLARI!$A$1:$K$363,4,0)," ")</f>
        <v xml:space="preserve"> </v>
      </c>
      <c r="I393" s="100"/>
      <c r="J393" s="100" t="str">
        <f>IFERROR(VLOOKUP(Tablo517[[#This Row],[ÜRÜN KODU]],YMKODLARI!$A$1:$K$363,9,0)," ")</f>
        <v xml:space="preserve"> </v>
      </c>
      <c r="K393" s="100" t="str">
        <f>IFERROR(VLOOKUP(Tablo517[[#This Row],[BOYA KODU]],Tablo14[#All],4,0)," ")</f>
        <v xml:space="preserve"> </v>
      </c>
      <c r="L393" s="100" t="str">
        <f>IFERROR(VLOOKUP(Tablo517[[#This Row],[BOYA KODU]],Tablo14[#All],6,0)," ")</f>
        <v xml:space="preserve"> </v>
      </c>
      <c r="M393" s="100" t="str">
        <f t="shared" si="43"/>
        <v xml:space="preserve"> </v>
      </c>
      <c r="N393" s="100" t="str">
        <f>IFERROR(VLOOKUP(Tablo517[[#This Row],[ÜRÜN KODU]],YMKODLARI!$A$1:$K$363,8,0)," ")</f>
        <v xml:space="preserve"> </v>
      </c>
      <c r="O393" s="100" t="str">
        <f>IFERROR(VLOOKUP(Tablo517[[#This Row],[HAMMADDE KODU]],Tablo1[#All],3,0)," ")</f>
        <v xml:space="preserve"> </v>
      </c>
      <c r="P393" s="100" t="str">
        <f>IFERROR(VLOOKUP(Tablo517[[#This Row],[HAMMADDE KODU]],Tablo1[#All],4,0)," ")</f>
        <v xml:space="preserve"> </v>
      </c>
      <c r="Q393" s="100" t="str">
        <f>IFERROR(VLOOKUP(Tablo517[[#This Row],[ÜRÜN KODU]],YMKODLARI!$A$1:$K$363,5,0)," ")</f>
        <v xml:space="preserve"> </v>
      </c>
      <c r="R393" s="100" t="str">
        <f>IFERROR(VLOOKUP(Tablo517[[#This Row],[ÜRÜN KODU]],YMKODLARI!$A$1:$K$363,6,0)," ")</f>
        <v xml:space="preserve"> </v>
      </c>
      <c r="S393" s="100" t="str">
        <f>IFERROR(Tablo517[[#This Row],[YOLLUK HARİÇ BASKI GRAMI]]/Tablo517[[#This Row],[KALIP GÖZ ADEDİ]]," ")</f>
        <v xml:space="preserve"> </v>
      </c>
      <c r="T393" s="100" t="str">
        <f t="shared" si="45"/>
        <v xml:space="preserve"> </v>
      </c>
      <c r="U393" s="100"/>
      <c r="V393" s="100" t="str">
        <f t="shared" si="44"/>
        <v xml:space="preserve"> </v>
      </c>
      <c r="W393" s="101">
        <f t="shared" si="46"/>
        <v>24</v>
      </c>
      <c r="X393" s="102">
        <f t="shared" si="47"/>
        <v>0</v>
      </c>
      <c r="Y393" s="100" t="str">
        <f t="shared" si="48"/>
        <v xml:space="preserve"> </v>
      </c>
      <c r="Z393" s="100" t="str">
        <f t="shared" si="49"/>
        <v xml:space="preserve"> </v>
      </c>
    </row>
    <row r="394" spans="1:26">
      <c r="A394" s="100"/>
      <c r="B394" s="108" t="str">
        <f>IFERROR(VLOOKUP(Tablo517[[#This Row],[ÜRÜN KODU]],YMKODLARI!$A$1:$K$363,2,0)," ")</f>
        <v xml:space="preserve"> </v>
      </c>
      <c r="C394" s="99"/>
      <c r="D394" s="100"/>
      <c r="E394" s="101"/>
      <c r="F394" s="101"/>
      <c r="G394" s="100" t="str">
        <f>IFERROR(VLOOKUP(Tablo517[[#This Row],[ÜRÜN KODU]],YMKODLARI!$A$1:$K$363,3,0)," ")</f>
        <v xml:space="preserve"> </v>
      </c>
      <c r="H394" s="100" t="str">
        <f>IFERROR(VLOOKUP(Tablo517[[#This Row],[ÜRÜN KODU]],YMKODLARI!$A$1:$K$363,4,0)," ")</f>
        <v xml:space="preserve"> </v>
      </c>
      <c r="I394" s="100"/>
      <c r="J394" s="100" t="str">
        <f>IFERROR(VLOOKUP(Tablo517[[#This Row],[ÜRÜN KODU]],YMKODLARI!$A$1:$K$363,9,0)," ")</f>
        <v xml:space="preserve"> </v>
      </c>
      <c r="K394" s="100" t="str">
        <f>IFERROR(VLOOKUP(Tablo517[[#This Row],[BOYA KODU]],Tablo14[#All],4,0)," ")</f>
        <v xml:space="preserve"> </v>
      </c>
      <c r="L394" s="100" t="str">
        <f>IFERROR(VLOOKUP(Tablo517[[#This Row],[BOYA KODU]],Tablo14[#All],6,0)," ")</f>
        <v xml:space="preserve"> </v>
      </c>
      <c r="M394" s="100" t="str">
        <f t="shared" si="43"/>
        <v xml:space="preserve"> </v>
      </c>
      <c r="N394" s="100" t="str">
        <f>IFERROR(VLOOKUP(Tablo517[[#This Row],[ÜRÜN KODU]],YMKODLARI!$A$1:$K$363,8,0)," ")</f>
        <v xml:space="preserve"> </v>
      </c>
      <c r="O394" s="100" t="str">
        <f>IFERROR(VLOOKUP(Tablo517[[#This Row],[HAMMADDE KODU]],Tablo1[#All],3,0)," ")</f>
        <v xml:space="preserve"> </v>
      </c>
      <c r="P394" s="100" t="str">
        <f>IFERROR(VLOOKUP(Tablo517[[#This Row],[HAMMADDE KODU]],Tablo1[#All],4,0)," ")</f>
        <v xml:space="preserve"> </v>
      </c>
      <c r="Q394" s="100" t="str">
        <f>IFERROR(VLOOKUP(Tablo517[[#This Row],[ÜRÜN KODU]],YMKODLARI!$A$1:$K$363,5,0)," ")</f>
        <v xml:space="preserve"> </v>
      </c>
      <c r="R394" s="100" t="str">
        <f>IFERROR(VLOOKUP(Tablo517[[#This Row],[ÜRÜN KODU]],YMKODLARI!$A$1:$K$363,6,0)," ")</f>
        <v xml:space="preserve"> </v>
      </c>
      <c r="S394" s="100" t="str">
        <f>IFERROR(Tablo517[[#This Row],[YOLLUK HARİÇ BASKI GRAMI]]/Tablo517[[#This Row],[KALIP GÖZ ADEDİ]]," ")</f>
        <v xml:space="preserve"> </v>
      </c>
      <c r="T394" s="100" t="str">
        <f t="shared" si="45"/>
        <v xml:space="preserve"> </v>
      </c>
      <c r="U394" s="100"/>
      <c r="V394" s="100" t="str">
        <f t="shared" si="44"/>
        <v xml:space="preserve"> </v>
      </c>
      <c r="W394" s="101">
        <f t="shared" si="46"/>
        <v>24</v>
      </c>
      <c r="X394" s="102">
        <f t="shared" si="47"/>
        <v>0</v>
      </c>
      <c r="Y394" s="100" t="str">
        <f t="shared" si="48"/>
        <v xml:space="preserve"> </v>
      </c>
      <c r="Z394" s="100" t="str">
        <f t="shared" si="49"/>
        <v xml:space="preserve"> </v>
      </c>
    </row>
    <row r="395" spans="1:26">
      <c r="A395" s="100"/>
      <c r="B395" s="108" t="str">
        <f>IFERROR(VLOOKUP(Tablo517[[#This Row],[ÜRÜN KODU]],YMKODLARI!$A$1:$K$363,2,0)," ")</f>
        <v xml:space="preserve"> </v>
      </c>
      <c r="C395" s="99"/>
      <c r="D395" s="100"/>
      <c r="E395" s="101"/>
      <c r="F395" s="101"/>
      <c r="G395" s="100" t="str">
        <f>IFERROR(VLOOKUP(Tablo517[[#This Row],[ÜRÜN KODU]],YMKODLARI!$A$1:$K$363,3,0)," ")</f>
        <v xml:space="preserve"> </v>
      </c>
      <c r="H395" s="100" t="str">
        <f>IFERROR(VLOOKUP(Tablo517[[#This Row],[ÜRÜN KODU]],YMKODLARI!$A$1:$K$363,4,0)," ")</f>
        <v xml:space="preserve"> </v>
      </c>
      <c r="I395" s="100"/>
      <c r="J395" s="100" t="str">
        <f>IFERROR(VLOOKUP(Tablo517[[#This Row],[ÜRÜN KODU]],YMKODLARI!$A$1:$K$363,9,0)," ")</f>
        <v xml:space="preserve"> </v>
      </c>
      <c r="K395" s="100" t="str">
        <f>IFERROR(VLOOKUP(Tablo517[[#This Row],[BOYA KODU]],Tablo14[#All],4,0)," ")</f>
        <v xml:space="preserve"> </v>
      </c>
      <c r="L395" s="100" t="str">
        <f>IFERROR(VLOOKUP(Tablo517[[#This Row],[BOYA KODU]],Tablo14[#All],6,0)," ")</f>
        <v xml:space="preserve"> </v>
      </c>
      <c r="M395" s="100" t="str">
        <f t="shared" si="43"/>
        <v xml:space="preserve"> </v>
      </c>
      <c r="N395" s="100" t="str">
        <f>IFERROR(VLOOKUP(Tablo517[[#This Row],[ÜRÜN KODU]],YMKODLARI!$A$1:$K$363,8,0)," ")</f>
        <v xml:space="preserve"> </v>
      </c>
      <c r="O395" s="100" t="str">
        <f>IFERROR(VLOOKUP(Tablo517[[#This Row],[HAMMADDE KODU]],Tablo1[#All],3,0)," ")</f>
        <v xml:space="preserve"> </v>
      </c>
      <c r="P395" s="100" t="str">
        <f>IFERROR(VLOOKUP(Tablo517[[#This Row],[HAMMADDE KODU]],Tablo1[#All],4,0)," ")</f>
        <v xml:space="preserve"> </v>
      </c>
      <c r="Q395" s="100" t="str">
        <f>IFERROR(VLOOKUP(Tablo517[[#This Row],[ÜRÜN KODU]],YMKODLARI!$A$1:$K$363,5,0)," ")</f>
        <v xml:space="preserve"> </v>
      </c>
      <c r="R395" s="100" t="str">
        <f>IFERROR(VLOOKUP(Tablo517[[#This Row],[ÜRÜN KODU]],YMKODLARI!$A$1:$K$363,6,0)," ")</f>
        <v xml:space="preserve"> </v>
      </c>
      <c r="S395" s="100" t="str">
        <f>IFERROR(Tablo517[[#This Row],[YOLLUK HARİÇ BASKI GRAMI]]/Tablo517[[#This Row],[KALIP GÖZ ADEDİ]]," ")</f>
        <v xml:space="preserve"> </v>
      </c>
      <c r="T395" s="100" t="str">
        <f t="shared" si="45"/>
        <v xml:space="preserve"> </v>
      </c>
      <c r="U395" s="100"/>
      <c r="V395" s="100" t="str">
        <f t="shared" si="44"/>
        <v xml:space="preserve"> </v>
      </c>
      <c r="W395" s="101">
        <f t="shared" si="46"/>
        <v>24</v>
      </c>
      <c r="X395" s="102">
        <f t="shared" si="47"/>
        <v>0</v>
      </c>
      <c r="Y395" s="100" t="str">
        <f t="shared" si="48"/>
        <v xml:space="preserve"> </v>
      </c>
      <c r="Z395" s="100" t="str">
        <f t="shared" si="49"/>
        <v xml:space="preserve"> </v>
      </c>
    </row>
    <row r="396" spans="1:26">
      <c r="A396" s="100"/>
      <c r="B396" s="108" t="str">
        <f>IFERROR(VLOOKUP(Tablo517[[#This Row],[ÜRÜN KODU]],YMKODLARI!$A$1:$K$363,2,0)," ")</f>
        <v xml:space="preserve"> </v>
      </c>
      <c r="C396" s="99"/>
      <c r="D396" s="100"/>
      <c r="E396" s="101"/>
      <c r="F396" s="101"/>
      <c r="G396" s="100" t="str">
        <f>IFERROR(VLOOKUP(Tablo517[[#This Row],[ÜRÜN KODU]],YMKODLARI!$A$1:$K$363,3,0)," ")</f>
        <v xml:space="preserve"> </v>
      </c>
      <c r="H396" s="100" t="str">
        <f>IFERROR(VLOOKUP(Tablo517[[#This Row],[ÜRÜN KODU]],YMKODLARI!$A$1:$K$363,4,0)," ")</f>
        <v xml:space="preserve"> </v>
      </c>
      <c r="I396" s="100"/>
      <c r="J396" s="100" t="str">
        <f>IFERROR(VLOOKUP(Tablo517[[#This Row],[ÜRÜN KODU]],YMKODLARI!$A$1:$K$363,9,0)," ")</f>
        <v xml:space="preserve"> </v>
      </c>
      <c r="K396" s="100" t="str">
        <f>IFERROR(VLOOKUP(Tablo517[[#This Row],[BOYA KODU]],Tablo14[#All],4,0)," ")</f>
        <v xml:space="preserve"> </v>
      </c>
      <c r="L396" s="100" t="str">
        <f>IFERROR(VLOOKUP(Tablo517[[#This Row],[BOYA KODU]],Tablo14[#All],6,0)," ")</f>
        <v xml:space="preserve"> </v>
      </c>
      <c r="M396" s="100" t="str">
        <f t="shared" si="43"/>
        <v xml:space="preserve"> </v>
      </c>
      <c r="N396" s="100" t="str">
        <f>IFERROR(VLOOKUP(Tablo517[[#This Row],[ÜRÜN KODU]],YMKODLARI!$A$1:$K$363,8,0)," ")</f>
        <v xml:space="preserve"> </v>
      </c>
      <c r="O396" s="100" t="str">
        <f>IFERROR(VLOOKUP(Tablo517[[#This Row],[HAMMADDE KODU]],Tablo1[#All],3,0)," ")</f>
        <v xml:space="preserve"> </v>
      </c>
      <c r="P396" s="100" t="str">
        <f>IFERROR(VLOOKUP(Tablo517[[#This Row],[HAMMADDE KODU]],Tablo1[#All],4,0)," ")</f>
        <v xml:space="preserve"> </v>
      </c>
      <c r="Q396" s="100" t="str">
        <f>IFERROR(VLOOKUP(Tablo517[[#This Row],[ÜRÜN KODU]],YMKODLARI!$A$1:$K$363,5,0)," ")</f>
        <v xml:space="preserve"> </v>
      </c>
      <c r="R396" s="100" t="str">
        <f>IFERROR(VLOOKUP(Tablo517[[#This Row],[ÜRÜN KODU]],YMKODLARI!$A$1:$K$363,6,0)," ")</f>
        <v xml:space="preserve"> </v>
      </c>
      <c r="S396" s="100" t="str">
        <f>IFERROR(Tablo517[[#This Row],[YOLLUK HARİÇ BASKI GRAMI]]/Tablo517[[#This Row],[KALIP GÖZ ADEDİ]]," ")</f>
        <v xml:space="preserve"> </v>
      </c>
      <c r="T396" s="100" t="str">
        <f t="shared" si="45"/>
        <v xml:space="preserve"> </v>
      </c>
      <c r="U396" s="100"/>
      <c r="V396" s="100" t="str">
        <f t="shared" si="44"/>
        <v xml:space="preserve"> </v>
      </c>
      <c r="W396" s="101">
        <f t="shared" si="46"/>
        <v>24</v>
      </c>
      <c r="X396" s="102">
        <f t="shared" si="47"/>
        <v>0</v>
      </c>
      <c r="Y396" s="100" t="str">
        <f t="shared" si="48"/>
        <v xml:space="preserve"> </v>
      </c>
      <c r="Z396" s="100" t="str">
        <f t="shared" si="49"/>
        <v xml:space="preserve"> </v>
      </c>
    </row>
    <row r="397" spans="1:26">
      <c r="A397" s="100"/>
      <c r="B397" s="108" t="str">
        <f>IFERROR(VLOOKUP(Tablo517[[#This Row],[ÜRÜN KODU]],YMKODLARI!$A$1:$K$363,2,0)," ")</f>
        <v xml:space="preserve"> </v>
      </c>
      <c r="C397" s="99"/>
      <c r="D397" s="100"/>
      <c r="E397" s="101"/>
      <c r="F397" s="101"/>
      <c r="G397" s="100" t="str">
        <f>IFERROR(VLOOKUP(Tablo517[[#This Row],[ÜRÜN KODU]],YMKODLARI!$A$1:$K$363,3,0)," ")</f>
        <v xml:space="preserve"> </v>
      </c>
      <c r="H397" s="100" t="str">
        <f>IFERROR(VLOOKUP(Tablo517[[#This Row],[ÜRÜN KODU]],YMKODLARI!$A$1:$K$363,4,0)," ")</f>
        <v xml:space="preserve"> </v>
      </c>
      <c r="I397" s="100"/>
      <c r="J397" s="100" t="str">
        <f>IFERROR(VLOOKUP(Tablo517[[#This Row],[ÜRÜN KODU]],YMKODLARI!$A$1:$K$363,9,0)," ")</f>
        <v xml:space="preserve"> </v>
      </c>
      <c r="K397" s="100" t="str">
        <f>IFERROR(VLOOKUP(Tablo517[[#This Row],[BOYA KODU]],Tablo14[#All],4,0)," ")</f>
        <v xml:space="preserve"> </v>
      </c>
      <c r="L397" s="100" t="str">
        <f>IFERROR(VLOOKUP(Tablo517[[#This Row],[BOYA KODU]],Tablo14[#All],6,0)," ")</f>
        <v xml:space="preserve"> </v>
      </c>
      <c r="M397" s="100" t="str">
        <f t="shared" si="43"/>
        <v xml:space="preserve"> </v>
      </c>
      <c r="N397" s="100" t="str">
        <f>IFERROR(VLOOKUP(Tablo517[[#This Row],[ÜRÜN KODU]],YMKODLARI!$A$1:$K$363,8,0)," ")</f>
        <v xml:space="preserve"> </v>
      </c>
      <c r="O397" s="100" t="str">
        <f>IFERROR(VLOOKUP(Tablo517[[#This Row],[HAMMADDE KODU]],Tablo1[#All],3,0)," ")</f>
        <v xml:space="preserve"> </v>
      </c>
      <c r="P397" s="100" t="str">
        <f>IFERROR(VLOOKUP(Tablo517[[#This Row],[HAMMADDE KODU]],Tablo1[#All],4,0)," ")</f>
        <v xml:space="preserve"> </v>
      </c>
      <c r="Q397" s="100" t="str">
        <f>IFERROR(VLOOKUP(Tablo517[[#This Row],[ÜRÜN KODU]],YMKODLARI!$A$1:$K$363,5,0)," ")</f>
        <v xml:space="preserve"> </v>
      </c>
      <c r="R397" s="100" t="str">
        <f>IFERROR(VLOOKUP(Tablo517[[#This Row],[ÜRÜN KODU]],YMKODLARI!$A$1:$K$363,6,0)," ")</f>
        <v xml:space="preserve"> </v>
      </c>
      <c r="S397" s="100" t="str">
        <f>IFERROR(Tablo517[[#This Row],[YOLLUK HARİÇ BASKI GRAMI]]/Tablo517[[#This Row],[KALIP GÖZ ADEDİ]]," ")</f>
        <v xml:space="preserve"> </v>
      </c>
      <c r="T397" s="100" t="str">
        <f t="shared" si="45"/>
        <v xml:space="preserve"> </v>
      </c>
      <c r="U397" s="100"/>
      <c r="V397" s="100" t="str">
        <f t="shared" si="44"/>
        <v xml:space="preserve"> </v>
      </c>
      <c r="W397" s="101">
        <f t="shared" si="46"/>
        <v>24</v>
      </c>
      <c r="X397" s="102">
        <f t="shared" si="47"/>
        <v>0</v>
      </c>
      <c r="Y397" s="100" t="str">
        <f t="shared" si="48"/>
        <v xml:space="preserve"> </v>
      </c>
      <c r="Z397" s="100" t="str">
        <f t="shared" si="49"/>
        <v xml:space="preserve"> </v>
      </c>
    </row>
    <row r="398" spans="1:26">
      <c r="A398" s="100"/>
      <c r="B398" s="108" t="str">
        <f>IFERROR(VLOOKUP(Tablo517[[#This Row],[ÜRÜN KODU]],YMKODLARI!$A$1:$K$363,2,0)," ")</f>
        <v xml:space="preserve"> </v>
      </c>
      <c r="C398" s="99"/>
      <c r="D398" s="100"/>
      <c r="E398" s="101"/>
      <c r="F398" s="101"/>
      <c r="G398" s="100" t="str">
        <f>IFERROR(VLOOKUP(Tablo517[[#This Row],[ÜRÜN KODU]],YMKODLARI!$A$1:$K$363,3,0)," ")</f>
        <v xml:space="preserve"> </v>
      </c>
      <c r="H398" s="100" t="str">
        <f>IFERROR(VLOOKUP(Tablo517[[#This Row],[ÜRÜN KODU]],YMKODLARI!$A$1:$K$363,4,0)," ")</f>
        <v xml:space="preserve"> </v>
      </c>
      <c r="I398" s="100"/>
      <c r="J398" s="100" t="str">
        <f>IFERROR(VLOOKUP(Tablo517[[#This Row],[ÜRÜN KODU]],YMKODLARI!$A$1:$K$363,9,0)," ")</f>
        <v xml:space="preserve"> </v>
      </c>
      <c r="K398" s="100" t="str">
        <f>IFERROR(VLOOKUP(Tablo517[[#This Row],[BOYA KODU]],Tablo14[#All],4,0)," ")</f>
        <v xml:space="preserve"> </v>
      </c>
      <c r="L398" s="100" t="str">
        <f>IFERROR(VLOOKUP(Tablo517[[#This Row],[BOYA KODU]],Tablo14[#All],6,0)," ")</f>
        <v xml:space="preserve"> </v>
      </c>
      <c r="M398" s="100" t="str">
        <f t="shared" si="43"/>
        <v xml:space="preserve"> </v>
      </c>
      <c r="N398" s="100" t="str">
        <f>IFERROR(VLOOKUP(Tablo517[[#This Row],[ÜRÜN KODU]],YMKODLARI!$A$1:$K$363,8,0)," ")</f>
        <v xml:space="preserve"> </v>
      </c>
      <c r="O398" s="100" t="str">
        <f>IFERROR(VLOOKUP(Tablo517[[#This Row],[HAMMADDE KODU]],Tablo1[#All],3,0)," ")</f>
        <v xml:space="preserve"> </v>
      </c>
      <c r="P398" s="100" t="str">
        <f>IFERROR(VLOOKUP(Tablo517[[#This Row],[HAMMADDE KODU]],Tablo1[#All],4,0)," ")</f>
        <v xml:space="preserve"> </v>
      </c>
      <c r="Q398" s="100" t="str">
        <f>IFERROR(VLOOKUP(Tablo517[[#This Row],[ÜRÜN KODU]],YMKODLARI!$A$1:$K$363,5,0)," ")</f>
        <v xml:space="preserve"> </v>
      </c>
      <c r="R398" s="100" t="str">
        <f>IFERROR(VLOOKUP(Tablo517[[#This Row],[ÜRÜN KODU]],YMKODLARI!$A$1:$K$363,6,0)," ")</f>
        <v xml:space="preserve"> </v>
      </c>
      <c r="S398" s="100" t="str">
        <f>IFERROR(Tablo517[[#This Row],[YOLLUK HARİÇ BASKI GRAMI]]/Tablo517[[#This Row],[KALIP GÖZ ADEDİ]]," ")</f>
        <v xml:space="preserve"> </v>
      </c>
      <c r="T398" s="100" t="str">
        <f t="shared" si="45"/>
        <v xml:space="preserve"> </v>
      </c>
      <c r="U398" s="100"/>
      <c r="V398" s="100" t="str">
        <f t="shared" si="44"/>
        <v xml:space="preserve"> </v>
      </c>
      <c r="W398" s="101">
        <f t="shared" si="46"/>
        <v>24</v>
      </c>
      <c r="X398" s="102">
        <f t="shared" si="47"/>
        <v>0</v>
      </c>
      <c r="Y398" s="100" t="str">
        <f t="shared" si="48"/>
        <v xml:space="preserve"> </v>
      </c>
      <c r="Z398" s="100" t="str">
        <f t="shared" si="49"/>
        <v xml:space="preserve"> </v>
      </c>
    </row>
    <row r="399" spans="1:26">
      <c r="A399" s="100"/>
      <c r="B399" s="108" t="str">
        <f>IFERROR(VLOOKUP(Tablo517[[#This Row],[ÜRÜN KODU]],YMKODLARI!$A$1:$K$363,2,0)," ")</f>
        <v xml:space="preserve"> </v>
      </c>
      <c r="C399" s="99"/>
      <c r="D399" s="100"/>
      <c r="E399" s="101"/>
      <c r="F399" s="101"/>
      <c r="G399" s="100" t="str">
        <f>IFERROR(VLOOKUP(Tablo517[[#This Row],[ÜRÜN KODU]],YMKODLARI!$A$1:$K$363,3,0)," ")</f>
        <v xml:space="preserve"> </v>
      </c>
      <c r="H399" s="100" t="str">
        <f>IFERROR(VLOOKUP(Tablo517[[#This Row],[ÜRÜN KODU]],YMKODLARI!$A$1:$K$363,4,0)," ")</f>
        <v xml:space="preserve"> </v>
      </c>
      <c r="I399" s="100"/>
      <c r="J399" s="100" t="str">
        <f>IFERROR(VLOOKUP(Tablo517[[#This Row],[ÜRÜN KODU]],YMKODLARI!$A$1:$K$363,9,0)," ")</f>
        <v xml:space="preserve"> </v>
      </c>
      <c r="K399" s="100" t="str">
        <f>IFERROR(VLOOKUP(Tablo517[[#This Row],[BOYA KODU]],Tablo14[#All],4,0)," ")</f>
        <v xml:space="preserve"> </v>
      </c>
      <c r="L399" s="100" t="str">
        <f>IFERROR(VLOOKUP(Tablo517[[#This Row],[BOYA KODU]],Tablo14[#All],6,0)," ")</f>
        <v xml:space="preserve"> </v>
      </c>
      <c r="M399" s="100" t="str">
        <f t="shared" si="43"/>
        <v xml:space="preserve"> </v>
      </c>
      <c r="N399" s="100" t="str">
        <f>IFERROR(VLOOKUP(Tablo517[[#This Row],[ÜRÜN KODU]],YMKODLARI!$A$1:$K$363,8,0)," ")</f>
        <v xml:space="preserve"> </v>
      </c>
      <c r="O399" s="100" t="str">
        <f>IFERROR(VLOOKUP(Tablo517[[#This Row],[HAMMADDE KODU]],Tablo1[#All],3,0)," ")</f>
        <v xml:space="preserve"> </v>
      </c>
      <c r="P399" s="100" t="str">
        <f>IFERROR(VLOOKUP(Tablo517[[#This Row],[HAMMADDE KODU]],Tablo1[#All],4,0)," ")</f>
        <v xml:space="preserve"> </v>
      </c>
      <c r="Q399" s="100" t="str">
        <f>IFERROR(VLOOKUP(Tablo517[[#This Row],[ÜRÜN KODU]],YMKODLARI!$A$1:$K$363,5,0)," ")</f>
        <v xml:space="preserve"> </v>
      </c>
      <c r="R399" s="100" t="str">
        <f>IFERROR(VLOOKUP(Tablo517[[#This Row],[ÜRÜN KODU]],YMKODLARI!$A$1:$K$363,6,0)," ")</f>
        <v xml:space="preserve"> </v>
      </c>
      <c r="S399" s="100" t="str">
        <f>IFERROR(Tablo517[[#This Row],[YOLLUK HARİÇ BASKI GRAMI]]/Tablo517[[#This Row],[KALIP GÖZ ADEDİ]]," ")</f>
        <v xml:space="preserve"> </v>
      </c>
      <c r="T399" s="100" t="str">
        <f t="shared" si="45"/>
        <v xml:space="preserve"> </v>
      </c>
      <c r="U399" s="100"/>
      <c r="V399" s="100" t="str">
        <f t="shared" si="44"/>
        <v xml:space="preserve"> </v>
      </c>
      <c r="W399" s="101">
        <f t="shared" si="46"/>
        <v>24</v>
      </c>
      <c r="X399" s="102">
        <f t="shared" si="47"/>
        <v>0</v>
      </c>
      <c r="Y399" s="100" t="str">
        <f t="shared" si="48"/>
        <v xml:space="preserve"> </v>
      </c>
      <c r="Z399" s="100" t="str">
        <f t="shared" si="49"/>
        <v xml:space="preserve"> </v>
      </c>
    </row>
    <row r="400" spans="1:26">
      <c r="A400" s="100"/>
      <c r="B400" s="108" t="str">
        <f>IFERROR(VLOOKUP(Tablo517[[#This Row],[ÜRÜN KODU]],YMKODLARI!$A$1:$K$363,2,0)," ")</f>
        <v xml:space="preserve"> </v>
      </c>
      <c r="C400" s="99"/>
      <c r="D400" s="100"/>
      <c r="E400" s="101"/>
      <c r="F400" s="101"/>
      <c r="G400" s="100" t="str">
        <f>IFERROR(VLOOKUP(Tablo517[[#This Row],[ÜRÜN KODU]],YMKODLARI!$A$1:$K$363,3,0)," ")</f>
        <v xml:space="preserve"> </v>
      </c>
      <c r="H400" s="100" t="str">
        <f>IFERROR(VLOOKUP(Tablo517[[#This Row],[ÜRÜN KODU]],YMKODLARI!$A$1:$K$363,4,0)," ")</f>
        <v xml:space="preserve"> </v>
      </c>
      <c r="I400" s="100"/>
      <c r="J400" s="100" t="str">
        <f>IFERROR(VLOOKUP(Tablo517[[#This Row],[ÜRÜN KODU]],YMKODLARI!$A$1:$K$363,9,0)," ")</f>
        <v xml:space="preserve"> </v>
      </c>
      <c r="K400" s="100" t="str">
        <f>IFERROR(VLOOKUP(Tablo517[[#This Row],[BOYA KODU]],Tablo14[#All],4,0)," ")</f>
        <v xml:space="preserve"> </v>
      </c>
      <c r="L400" s="100" t="str">
        <f>IFERROR(VLOOKUP(Tablo517[[#This Row],[BOYA KODU]],Tablo14[#All],6,0)," ")</f>
        <v xml:space="preserve"> </v>
      </c>
      <c r="M400" s="100" t="str">
        <f t="shared" si="43"/>
        <v xml:space="preserve"> </v>
      </c>
      <c r="N400" s="100" t="str">
        <f>IFERROR(VLOOKUP(Tablo517[[#This Row],[ÜRÜN KODU]],YMKODLARI!$A$1:$K$363,8,0)," ")</f>
        <v xml:space="preserve"> </v>
      </c>
      <c r="O400" s="100" t="str">
        <f>IFERROR(VLOOKUP(Tablo517[[#This Row],[HAMMADDE KODU]],Tablo1[#All],3,0)," ")</f>
        <v xml:space="preserve"> </v>
      </c>
      <c r="P400" s="100" t="str">
        <f>IFERROR(VLOOKUP(Tablo517[[#This Row],[HAMMADDE KODU]],Tablo1[#All],4,0)," ")</f>
        <v xml:space="preserve"> </v>
      </c>
      <c r="Q400" s="100" t="str">
        <f>IFERROR(VLOOKUP(Tablo517[[#This Row],[ÜRÜN KODU]],YMKODLARI!$A$1:$K$363,5,0)," ")</f>
        <v xml:space="preserve"> </v>
      </c>
      <c r="R400" s="100" t="str">
        <f>IFERROR(VLOOKUP(Tablo517[[#This Row],[ÜRÜN KODU]],YMKODLARI!$A$1:$K$363,6,0)," ")</f>
        <v xml:space="preserve"> </v>
      </c>
      <c r="S400" s="100" t="str">
        <f>IFERROR(Tablo517[[#This Row],[YOLLUK HARİÇ BASKI GRAMI]]/Tablo517[[#This Row],[KALIP GÖZ ADEDİ]]," ")</f>
        <v xml:space="preserve"> </v>
      </c>
      <c r="T400" s="100" t="str">
        <f t="shared" si="45"/>
        <v xml:space="preserve"> </v>
      </c>
      <c r="U400" s="100"/>
      <c r="V400" s="100" t="str">
        <f t="shared" si="44"/>
        <v xml:space="preserve"> </v>
      </c>
      <c r="W400" s="101">
        <f t="shared" si="46"/>
        <v>24</v>
      </c>
      <c r="X400" s="102">
        <f t="shared" si="47"/>
        <v>0</v>
      </c>
      <c r="Y400" s="100" t="str">
        <f t="shared" si="48"/>
        <v xml:space="preserve"> </v>
      </c>
      <c r="Z400" s="100" t="str">
        <f t="shared" si="49"/>
        <v xml:space="preserve"> </v>
      </c>
    </row>
    <row r="401" spans="1:26">
      <c r="A401" s="100"/>
      <c r="B401" s="108" t="str">
        <f>IFERROR(VLOOKUP(Tablo517[[#This Row],[ÜRÜN KODU]],YMKODLARI!$A$1:$K$363,2,0)," ")</f>
        <v xml:space="preserve"> </v>
      </c>
      <c r="C401" s="99"/>
      <c r="D401" s="100"/>
      <c r="E401" s="101"/>
      <c r="F401" s="101"/>
      <c r="G401" s="100" t="str">
        <f>IFERROR(VLOOKUP(Tablo517[[#This Row],[ÜRÜN KODU]],YMKODLARI!$A$1:$K$363,3,0)," ")</f>
        <v xml:space="preserve"> </v>
      </c>
      <c r="H401" s="100" t="str">
        <f>IFERROR(VLOOKUP(Tablo517[[#This Row],[ÜRÜN KODU]],YMKODLARI!$A$1:$K$363,4,0)," ")</f>
        <v xml:space="preserve"> </v>
      </c>
      <c r="I401" s="100"/>
      <c r="J401" s="100" t="str">
        <f>IFERROR(VLOOKUP(Tablo517[[#This Row],[ÜRÜN KODU]],YMKODLARI!$A$1:$K$363,9,0)," ")</f>
        <v xml:space="preserve"> </v>
      </c>
      <c r="K401" s="100" t="str">
        <f>IFERROR(VLOOKUP(Tablo517[[#This Row],[BOYA KODU]],Tablo14[#All],4,0)," ")</f>
        <v xml:space="preserve"> </v>
      </c>
      <c r="L401" s="100" t="str">
        <f>IFERROR(VLOOKUP(Tablo517[[#This Row],[BOYA KODU]],Tablo14[#All],6,0)," ")</f>
        <v xml:space="preserve"> </v>
      </c>
      <c r="M401" s="100" t="str">
        <f t="shared" si="43"/>
        <v xml:space="preserve"> </v>
      </c>
      <c r="N401" s="100" t="str">
        <f>IFERROR(VLOOKUP(Tablo517[[#This Row],[ÜRÜN KODU]],YMKODLARI!$A$1:$K$363,8,0)," ")</f>
        <v xml:space="preserve"> </v>
      </c>
      <c r="O401" s="100" t="str">
        <f>IFERROR(VLOOKUP(Tablo517[[#This Row],[HAMMADDE KODU]],Tablo1[#All],3,0)," ")</f>
        <v xml:space="preserve"> </v>
      </c>
      <c r="P401" s="100" t="str">
        <f>IFERROR(VLOOKUP(Tablo517[[#This Row],[HAMMADDE KODU]],Tablo1[#All],4,0)," ")</f>
        <v xml:space="preserve"> </v>
      </c>
      <c r="Q401" s="100" t="str">
        <f>IFERROR(VLOOKUP(Tablo517[[#This Row],[ÜRÜN KODU]],YMKODLARI!$A$1:$K$363,5,0)," ")</f>
        <v xml:space="preserve"> </v>
      </c>
      <c r="R401" s="100" t="str">
        <f>IFERROR(VLOOKUP(Tablo517[[#This Row],[ÜRÜN KODU]],YMKODLARI!$A$1:$K$363,6,0)," ")</f>
        <v xml:space="preserve"> </v>
      </c>
      <c r="S401" s="100" t="str">
        <f>IFERROR(Tablo517[[#This Row],[YOLLUK HARİÇ BASKI GRAMI]]/Tablo517[[#This Row],[KALIP GÖZ ADEDİ]]," ")</f>
        <v xml:space="preserve"> </v>
      </c>
      <c r="T401" s="100" t="str">
        <f t="shared" si="45"/>
        <v xml:space="preserve"> </v>
      </c>
      <c r="U401" s="100"/>
      <c r="V401" s="100" t="str">
        <f t="shared" si="44"/>
        <v xml:space="preserve"> </v>
      </c>
      <c r="W401" s="101">
        <f t="shared" si="46"/>
        <v>24</v>
      </c>
      <c r="X401" s="102">
        <f t="shared" si="47"/>
        <v>0</v>
      </c>
      <c r="Y401" s="100" t="str">
        <f t="shared" si="48"/>
        <v xml:space="preserve"> </v>
      </c>
      <c r="Z401" s="100" t="str">
        <f t="shared" si="49"/>
        <v xml:space="preserve"> </v>
      </c>
    </row>
    <row r="402" spans="1:26">
      <c r="A402" s="100"/>
      <c r="B402" s="108" t="str">
        <f>IFERROR(VLOOKUP(Tablo517[[#This Row],[ÜRÜN KODU]],YMKODLARI!$A$1:$K$363,2,0)," ")</f>
        <v xml:space="preserve"> </v>
      </c>
      <c r="C402" s="99"/>
      <c r="D402" s="100"/>
      <c r="E402" s="101"/>
      <c r="F402" s="101"/>
      <c r="G402" s="100" t="str">
        <f>IFERROR(VLOOKUP(Tablo517[[#This Row],[ÜRÜN KODU]],YMKODLARI!$A$1:$K$363,3,0)," ")</f>
        <v xml:space="preserve"> </v>
      </c>
      <c r="H402" s="100" t="str">
        <f>IFERROR(VLOOKUP(Tablo517[[#This Row],[ÜRÜN KODU]],YMKODLARI!$A$1:$K$363,4,0)," ")</f>
        <v xml:space="preserve"> </v>
      </c>
      <c r="I402" s="100"/>
      <c r="J402" s="100" t="str">
        <f>IFERROR(VLOOKUP(Tablo517[[#This Row],[ÜRÜN KODU]],YMKODLARI!$A$1:$K$363,9,0)," ")</f>
        <v xml:space="preserve"> </v>
      </c>
      <c r="K402" s="100" t="str">
        <f>IFERROR(VLOOKUP(Tablo517[[#This Row],[BOYA KODU]],Tablo14[#All],4,0)," ")</f>
        <v xml:space="preserve"> </v>
      </c>
      <c r="L402" s="100" t="str">
        <f>IFERROR(VLOOKUP(Tablo517[[#This Row],[BOYA KODU]],Tablo14[#All],6,0)," ")</f>
        <v xml:space="preserve"> </v>
      </c>
      <c r="M402" s="100" t="str">
        <f t="shared" si="43"/>
        <v xml:space="preserve"> </v>
      </c>
      <c r="N402" s="100" t="str">
        <f>IFERROR(VLOOKUP(Tablo517[[#This Row],[ÜRÜN KODU]],YMKODLARI!$A$1:$K$363,8,0)," ")</f>
        <v xml:space="preserve"> </v>
      </c>
      <c r="O402" s="100" t="str">
        <f>IFERROR(VLOOKUP(Tablo517[[#This Row],[HAMMADDE KODU]],Tablo1[#All],3,0)," ")</f>
        <v xml:space="preserve"> </v>
      </c>
      <c r="P402" s="100" t="str">
        <f>IFERROR(VLOOKUP(Tablo517[[#This Row],[HAMMADDE KODU]],Tablo1[#All],4,0)," ")</f>
        <v xml:space="preserve"> </v>
      </c>
      <c r="Q402" s="100" t="str">
        <f>IFERROR(VLOOKUP(Tablo517[[#This Row],[ÜRÜN KODU]],YMKODLARI!$A$1:$K$363,5,0)," ")</f>
        <v xml:space="preserve"> </v>
      </c>
      <c r="R402" s="100" t="str">
        <f>IFERROR(VLOOKUP(Tablo517[[#This Row],[ÜRÜN KODU]],YMKODLARI!$A$1:$K$363,6,0)," ")</f>
        <v xml:space="preserve"> </v>
      </c>
      <c r="S402" s="100" t="str">
        <f>IFERROR(Tablo517[[#This Row],[YOLLUK HARİÇ BASKI GRAMI]]/Tablo517[[#This Row],[KALIP GÖZ ADEDİ]]," ")</f>
        <v xml:space="preserve"> </v>
      </c>
      <c r="T402" s="100" t="str">
        <f t="shared" si="45"/>
        <v xml:space="preserve"> </v>
      </c>
      <c r="U402" s="100"/>
      <c r="V402" s="100" t="str">
        <f t="shared" si="44"/>
        <v xml:space="preserve"> </v>
      </c>
      <c r="W402" s="101">
        <f t="shared" si="46"/>
        <v>24</v>
      </c>
      <c r="X402" s="102">
        <f t="shared" si="47"/>
        <v>0</v>
      </c>
      <c r="Y402" s="100" t="str">
        <f t="shared" si="48"/>
        <v xml:space="preserve"> </v>
      </c>
      <c r="Z402" s="100" t="str">
        <f t="shared" si="49"/>
        <v xml:space="preserve"> </v>
      </c>
    </row>
    <row r="403" spans="1:26">
      <c r="A403" s="100"/>
      <c r="B403" s="108" t="str">
        <f>IFERROR(VLOOKUP(Tablo517[[#This Row],[ÜRÜN KODU]],YMKODLARI!$A$1:$K$363,2,0)," ")</f>
        <v xml:space="preserve"> </v>
      </c>
      <c r="C403" s="99"/>
      <c r="D403" s="100"/>
      <c r="E403" s="101"/>
      <c r="F403" s="101"/>
      <c r="G403" s="100" t="str">
        <f>IFERROR(VLOOKUP(Tablo517[[#This Row],[ÜRÜN KODU]],YMKODLARI!$A$1:$K$363,3,0)," ")</f>
        <v xml:space="preserve"> </v>
      </c>
      <c r="H403" s="100" t="str">
        <f>IFERROR(VLOOKUP(Tablo517[[#This Row],[ÜRÜN KODU]],YMKODLARI!$A$1:$K$363,4,0)," ")</f>
        <v xml:space="preserve"> </v>
      </c>
      <c r="I403" s="100"/>
      <c r="J403" s="100" t="str">
        <f>IFERROR(VLOOKUP(Tablo517[[#This Row],[ÜRÜN KODU]],YMKODLARI!$A$1:$K$363,9,0)," ")</f>
        <v xml:space="preserve"> </v>
      </c>
      <c r="K403" s="100" t="str">
        <f>IFERROR(VLOOKUP(Tablo517[[#This Row],[BOYA KODU]],Tablo14[#All],4,0)," ")</f>
        <v xml:space="preserve"> </v>
      </c>
      <c r="L403" s="100" t="str">
        <f>IFERROR(VLOOKUP(Tablo517[[#This Row],[BOYA KODU]],Tablo14[#All],6,0)," ")</f>
        <v xml:space="preserve"> </v>
      </c>
      <c r="M403" s="100" t="str">
        <f t="shared" si="43"/>
        <v xml:space="preserve"> </v>
      </c>
      <c r="N403" s="100" t="str">
        <f>IFERROR(VLOOKUP(Tablo517[[#This Row],[ÜRÜN KODU]],YMKODLARI!$A$1:$K$363,8,0)," ")</f>
        <v xml:space="preserve"> </v>
      </c>
      <c r="O403" s="100" t="str">
        <f>IFERROR(VLOOKUP(Tablo517[[#This Row],[HAMMADDE KODU]],Tablo1[#All],3,0)," ")</f>
        <v xml:space="preserve"> </v>
      </c>
      <c r="P403" s="100" t="str">
        <f>IFERROR(VLOOKUP(Tablo517[[#This Row],[HAMMADDE KODU]],Tablo1[#All],4,0)," ")</f>
        <v xml:space="preserve"> </v>
      </c>
      <c r="Q403" s="100" t="str">
        <f>IFERROR(VLOOKUP(Tablo517[[#This Row],[ÜRÜN KODU]],YMKODLARI!$A$1:$K$363,5,0)," ")</f>
        <v xml:space="preserve"> </v>
      </c>
      <c r="R403" s="100" t="str">
        <f>IFERROR(VLOOKUP(Tablo517[[#This Row],[ÜRÜN KODU]],YMKODLARI!$A$1:$K$363,6,0)," ")</f>
        <v xml:space="preserve"> </v>
      </c>
      <c r="S403" s="100" t="str">
        <f>IFERROR(Tablo517[[#This Row],[YOLLUK HARİÇ BASKI GRAMI]]/Tablo517[[#This Row],[KALIP GÖZ ADEDİ]]," ")</f>
        <v xml:space="preserve"> </v>
      </c>
      <c r="T403" s="100" t="str">
        <f t="shared" si="45"/>
        <v xml:space="preserve"> </v>
      </c>
      <c r="U403" s="100"/>
      <c r="V403" s="100" t="str">
        <f t="shared" si="44"/>
        <v xml:space="preserve"> </v>
      </c>
      <c r="W403" s="101">
        <f t="shared" si="46"/>
        <v>24</v>
      </c>
      <c r="X403" s="102">
        <f t="shared" si="47"/>
        <v>0</v>
      </c>
      <c r="Y403" s="100" t="str">
        <f t="shared" si="48"/>
        <v xml:space="preserve"> </v>
      </c>
      <c r="Z403" s="100" t="str">
        <f t="shared" si="49"/>
        <v xml:space="preserve"> </v>
      </c>
    </row>
    <row r="404" spans="1:26">
      <c r="A404" s="100"/>
      <c r="B404" s="108" t="str">
        <f>IFERROR(VLOOKUP(Tablo517[[#This Row],[ÜRÜN KODU]],YMKODLARI!$A$1:$K$363,2,0)," ")</f>
        <v xml:space="preserve"> </v>
      </c>
      <c r="C404" s="99"/>
      <c r="D404" s="100"/>
      <c r="E404" s="101"/>
      <c r="F404" s="101"/>
      <c r="G404" s="100" t="str">
        <f>IFERROR(VLOOKUP(Tablo517[[#This Row],[ÜRÜN KODU]],YMKODLARI!$A$1:$K$363,3,0)," ")</f>
        <v xml:space="preserve"> </v>
      </c>
      <c r="H404" s="100" t="str">
        <f>IFERROR(VLOOKUP(Tablo517[[#This Row],[ÜRÜN KODU]],YMKODLARI!$A$1:$K$363,4,0)," ")</f>
        <v xml:space="preserve"> </v>
      </c>
      <c r="I404" s="100"/>
      <c r="J404" s="100" t="str">
        <f>IFERROR(VLOOKUP(Tablo517[[#This Row],[ÜRÜN KODU]],YMKODLARI!$A$1:$K$363,9,0)," ")</f>
        <v xml:space="preserve"> </v>
      </c>
      <c r="K404" s="100" t="str">
        <f>IFERROR(VLOOKUP(Tablo517[[#This Row],[BOYA KODU]],Tablo14[#All],4,0)," ")</f>
        <v xml:space="preserve"> </v>
      </c>
      <c r="L404" s="100" t="str">
        <f>IFERROR(VLOOKUP(Tablo517[[#This Row],[BOYA KODU]],Tablo14[#All],6,0)," ")</f>
        <v xml:space="preserve"> </v>
      </c>
      <c r="M404" s="100" t="str">
        <f t="shared" si="43"/>
        <v xml:space="preserve"> </v>
      </c>
      <c r="N404" s="100" t="str">
        <f>IFERROR(VLOOKUP(Tablo517[[#This Row],[ÜRÜN KODU]],YMKODLARI!$A$1:$K$363,8,0)," ")</f>
        <v xml:space="preserve"> </v>
      </c>
      <c r="O404" s="100" t="str">
        <f>IFERROR(VLOOKUP(Tablo517[[#This Row],[HAMMADDE KODU]],Tablo1[#All],3,0)," ")</f>
        <v xml:space="preserve"> </v>
      </c>
      <c r="P404" s="100" t="str">
        <f>IFERROR(VLOOKUP(Tablo517[[#This Row],[HAMMADDE KODU]],Tablo1[#All],4,0)," ")</f>
        <v xml:space="preserve"> </v>
      </c>
      <c r="Q404" s="100" t="str">
        <f>IFERROR(VLOOKUP(Tablo517[[#This Row],[ÜRÜN KODU]],YMKODLARI!$A$1:$K$363,5,0)," ")</f>
        <v xml:space="preserve"> </v>
      </c>
      <c r="R404" s="100" t="str">
        <f>IFERROR(VLOOKUP(Tablo517[[#This Row],[ÜRÜN KODU]],YMKODLARI!$A$1:$K$363,6,0)," ")</f>
        <v xml:space="preserve"> </v>
      </c>
      <c r="S404" s="100" t="str">
        <f>IFERROR(Tablo517[[#This Row],[YOLLUK HARİÇ BASKI GRAMI]]/Tablo517[[#This Row],[KALIP GÖZ ADEDİ]]," ")</f>
        <v xml:space="preserve"> </v>
      </c>
      <c r="T404" s="100" t="str">
        <f t="shared" si="45"/>
        <v xml:space="preserve"> </v>
      </c>
      <c r="U404" s="100"/>
      <c r="V404" s="100" t="str">
        <f t="shared" si="44"/>
        <v xml:space="preserve"> </v>
      </c>
      <c r="W404" s="101">
        <f t="shared" si="46"/>
        <v>24</v>
      </c>
      <c r="X404" s="102">
        <f t="shared" si="47"/>
        <v>0</v>
      </c>
      <c r="Y404" s="100" t="str">
        <f t="shared" si="48"/>
        <v xml:space="preserve"> </v>
      </c>
      <c r="Z404" s="100" t="str">
        <f t="shared" si="49"/>
        <v xml:space="preserve"> </v>
      </c>
    </row>
    <row r="405" spans="1:26">
      <c r="A405" s="100"/>
      <c r="B405" s="108" t="str">
        <f>IFERROR(VLOOKUP(Tablo517[[#This Row],[ÜRÜN KODU]],YMKODLARI!$A$1:$K$363,2,0)," ")</f>
        <v xml:space="preserve"> </v>
      </c>
      <c r="C405" s="99"/>
      <c r="D405" s="100"/>
      <c r="E405" s="101"/>
      <c r="F405" s="101"/>
      <c r="G405" s="100" t="str">
        <f>IFERROR(VLOOKUP(Tablo517[[#This Row],[ÜRÜN KODU]],YMKODLARI!$A$1:$K$363,3,0)," ")</f>
        <v xml:space="preserve"> </v>
      </c>
      <c r="H405" s="100" t="str">
        <f>IFERROR(VLOOKUP(Tablo517[[#This Row],[ÜRÜN KODU]],YMKODLARI!$A$1:$K$363,4,0)," ")</f>
        <v xml:space="preserve"> </v>
      </c>
      <c r="I405" s="100"/>
      <c r="J405" s="100" t="str">
        <f>IFERROR(VLOOKUP(Tablo517[[#This Row],[ÜRÜN KODU]],YMKODLARI!$A$1:$K$363,9,0)," ")</f>
        <v xml:space="preserve"> </v>
      </c>
      <c r="K405" s="100" t="str">
        <f>IFERROR(VLOOKUP(Tablo517[[#This Row],[BOYA KODU]],Tablo14[#All],4,0)," ")</f>
        <v xml:space="preserve"> </v>
      </c>
      <c r="L405" s="100" t="str">
        <f>IFERROR(VLOOKUP(Tablo517[[#This Row],[BOYA KODU]],Tablo14[#All],6,0)," ")</f>
        <v xml:space="preserve"> </v>
      </c>
      <c r="M405" s="100" t="str">
        <f t="shared" si="43"/>
        <v xml:space="preserve"> </v>
      </c>
      <c r="N405" s="100" t="str">
        <f>IFERROR(VLOOKUP(Tablo517[[#This Row],[ÜRÜN KODU]],YMKODLARI!$A$1:$K$363,8,0)," ")</f>
        <v xml:space="preserve"> </v>
      </c>
      <c r="O405" s="100" t="str">
        <f>IFERROR(VLOOKUP(Tablo517[[#This Row],[HAMMADDE KODU]],Tablo1[#All],3,0)," ")</f>
        <v xml:space="preserve"> </v>
      </c>
      <c r="P405" s="100" t="str">
        <f>IFERROR(VLOOKUP(Tablo517[[#This Row],[HAMMADDE KODU]],Tablo1[#All],4,0)," ")</f>
        <v xml:space="preserve"> </v>
      </c>
      <c r="Q405" s="100" t="str">
        <f>IFERROR(VLOOKUP(Tablo517[[#This Row],[ÜRÜN KODU]],YMKODLARI!$A$1:$K$363,5,0)," ")</f>
        <v xml:space="preserve"> </v>
      </c>
      <c r="R405" s="100" t="str">
        <f>IFERROR(VLOOKUP(Tablo517[[#This Row],[ÜRÜN KODU]],YMKODLARI!$A$1:$K$363,6,0)," ")</f>
        <v xml:space="preserve"> </v>
      </c>
      <c r="S405" s="100" t="str">
        <f>IFERROR(Tablo517[[#This Row],[YOLLUK HARİÇ BASKI GRAMI]]/Tablo517[[#This Row],[KALIP GÖZ ADEDİ]]," ")</f>
        <v xml:space="preserve"> </v>
      </c>
      <c r="T405" s="100" t="str">
        <f t="shared" si="45"/>
        <v xml:space="preserve"> </v>
      </c>
      <c r="U405" s="100"/>
      <c r="V405" s="100" t="str">
        <f t="shared" si="44"/>
        <v xml:space="preserve"> </v>
      </c>
      <c r="W405" s="101">
        <f t="shared" si="46"/>
        <v>24</v>
      </c>
      <c r="X405" s="102">
        <f t="shared" si="47"/>
        <v>0</v>
      </c>
      <c r="Y405" s="100" t="str">
        <f t="shared" si="48"/>
        <v xml:space="preserve"> </v>
      </c>
      <c r="Z405" s="100" t="str">
        <f t="shared" si="49"/>
        <v xml:space="preserve"> </v>
      </c>
    </row>
    <row r="406" spans="1:26">
      <c r="A406" s="100"/>
      <c r="B406" s="108" t="str">
        <f>IFERROR(VLOOKUP(Tablo517[[#This Row],[ÜRÜN KODU]],YMKODLARI!$A$1:$K$363,2,0)," ")</f>
        <v xml:space="preserve"> </v>
      </c>
      <c r="C406" s="99"/>
      <c r="D406" s="100"/>
      <c r="E406" s="101"/>
      <c r="F406" s="101"/>
      <c r="G406" s="100" t="str">
        <f>IFERROR(VLOOKUP(Tablo517[[#This Row],[ÜRÜN KODU]],YMKODLARI!$A$1:$K$363,3,0)," ")</f>
        <v xml:space="preserve"> </v>
      </c>
      <c r="H406" s="100" t="str">
        <f>IFERROR(VLOOKUP(Tablo517[[#This Row],[ÜRÜN KODU]],YMKODLARI!$A$1:$K$363,4,0)," ")</f>
        <v xml:space="preserve"> </v>
      </c>
      <c r="I406" s="100"/>
      <c r="J406" s="100" t="str">
        <f>IFERROR(VLOOKUP(Tablo517[[#This Row],[ÜRÜN KODU]],YMKODLARI!$A$1:$K$363,9,0)," ")</f>
        <v xml:space="preserve"> </v>
      </c>
      <c r="K406" s="100" t="str">
        <f>IFERROR(VLOOKUP(Tablo517[[#This Row],[BOYA KODU]],Tablo14[#All],4,0)," ")</f>
        <v xml:space="preserve"> </v>
      </c>
      <c r="L406" s="100" t="str">
        <f>IFERROR(VLOOKUP(Tablo517[[#This Row],[BOYA KODU]],Tablo14[#All],6,0)," ")</f>
        <v xml:space="preserve"> </v>
      </c>
      <c r="M406" s="100" t="str">
        <f t="shared" si="43"/>
        <v xml:space="preserve"> </v>
      </c>
      <c r="N406" s="100" t="str">
        <f>IFERROR(VLOOKUP(Tablo517[[#This Row],[ÜRÜN KODU]],YMKODLARI!$A$1:$K$363,8,0)," ")</f>
        <v xml:space="preserve"> </v>
      </c>
      <c r="O406" s="100" t="str">
        <f>IFERROR(VLOOKUP(Tablo517[[#This Row],[HAMMADDE KODU]],Tablo1[#All],3,0)," ")</f>
        <v xml:space="preserve"> </v>
      </c>
      <c r="P406" s="100" t="str">
        <f>IFERROR(VLOOKUP(Tablo517[[#This Row],[HAMMADDE KODU]],Tablo1[#All],4,0)," ")</f>
        <v xml:space="preserve"> </v>
      </c>
      <c r="Q406" s="100" t="str">
        <f>IFERROR(VLOOKUP(Tablo517[[#This Row],[ÜRÜN KODU]],YMKODLARI!$A$1:$K$363,5,0)," ")</f>
        <v xml:space="preserve"> </v>
      </c>
      <c r="R406" s="100" t="str">
        <f>IFERROR(VLOOKUP(Tablo517[[#This Row],[ÜRÜN KODU]],YMKODLARI!$A$1:$K$363,6,0)," ")</f>
        <v xml:space="preserve"> </v>
      </c>
      <c r="S406" s="100" t="str">
        <f>IFERROR(Tablo517[[#This Row],[YOLLUK HARİÇ BASKI GRAMI]]/Tablo517[[#This Row],[KALIP GÖZ ADEDİ]]," ")</f>
        <v xml:space="preserve"> </v>
      </c>
      <c r="T406" s="100" t="str">
        <f t="shared" si="45"/>
        <v xml:space="preserve"> </v>
      </c>
      <c r="U406" s="100"/>
      <c r="V406" s="100" t="str">
        <f t="shared" si="44"/>
        <v xml:space="preserve"> </v>
      </c>
      <c r="W406" s="101">
        <f t="shared" si="46"/>
        <v>24</v>
      </c>
      <c r="X406" s="102">
        <f t="shared" si="47"/>
        <v>0</v>
      </c>
      <c r="Y406" s="100" t="str">
        <f t="shared" si="48"/>
        <v xml:space="preserve"> </v>
      </c>
      <c r="Z406" s="100" t="str">
        <f t="shared" si="49"/>
        <v xml:space="preserve"> </v>
      </c>
    </row>
    <row r="407" spans="1:26">
      <c r="A407" s="100"/>
      <c r="B407" s="108" t="str">
        <f>IFERROR(VLOOKUP(Tablo517[[#This Row],[ÜRÜN KODU]],YMKODLARI!$A$1:$K$363,2,0)," ")</f>
        <v xml:space="preserve"> </v>
      </c>
      <c r="C407" s="99"/>
      <c r="D407" s="100"/>
      <c r="E407" s="101"/>
      <c r="F407" s="101"/>
      <c r="G407" s="100" t="str">
        <f>IFERROR(VLOOKUP(Tablo517[[#This Row],[ÜRÜN KODU]],YMKODLARI!$A$1:$K$363,3,0)," ")</f>
        <v xml:space="preserve"> </v>
      </c>
      <c r="H407" s="100" t="str">
        <f>IFERROR(VLOOKUP(Tablo517[[#This Row],[ÜRÜN KODU]],YMKODLARI!$A$1:$K$363,4,0)," ")</f>
        <v xml:space="preserve"> </v>
      </c>
      <c r="I407" s="100"/>
      <c r="J407" s="100" t="str">
        <f>IFERROR(VLOOKUP(Tablo517[[#This Row],[ÜRÜN KODU]],YMKODLARI!$A$1:$K$363,9,0)," ")</f>
        <v xml:space="preserve"> </v>
      </c>
      <c r="K407" s="100" t="str">
        <f>IFERROR(VLOOKUP(Tablo517[[#This Row],[BOYA KODU]],Tablo14[#All],4,0)," ")</f>
        <v xml:space="preserve"> </v>
      </c>
      <c r="L407" s="100" t="str">
        <f>IFERROR(VLOOKUP(Tablo517[[#This Row],[BOYA KODU]],Tablo14[#All],6,0)," ")</f>
        <v xml:space="preserve"> </v>
      </c>
      <c r="M407" s="100" t="str">
        <f t="shared" si="43"/>
        <v xml:space="preserve"> </v>
      </c>
      <c r="N407" s="100" t="str">
        <f>IFERROR(VLOOKUP(Tablo517[[#This Row],[ÜRÜN KODU]],YMKODLARI!$A$1:$K$363,8,0)," ")</f>
        <v xml:space="preserve"> </v>
      </c>
      <c r="O407" s="100" t="str">
        <f>IFERROR(VLOOKUP(Tablo517[[#This Row],[HAMMADDE KODU]],Tablo1[#All],3,0)," ")</f>
        <v xml:space="preserve"> </v>
      </c>
      <c r="P407" s="100" t="str">
        <f>IFERROR(VLOOKUP(Tablo517[[#This Row],[HAMMADDE KODU]],Tablo1[#All],4,0)," ")</f>
        <v xml:space="preserve"> </v>
      </c>
      <c r="Q407" s="100" t="str">
        <f>IFERROR(VLOOKUP(Tablo517[[#This Row],[ÜRÜN KODU]],YMKODLARI!$A$1:$K$363,5,0)," ")</f>
        <v xml:space="preserve"> </v>
      </c>
      <c r="R407" s="100" t="str">
        <f>IFERROR(VLOOKUP(Tablo517[[#This Row],[ÜRÜN KODU]],YMKODLARI!$A$1:$K$363,6,0)," ")</f>
        <v xml:space="preserve"> </v>
      </c>
      <c r="S407" s="100" t="str">
        <f>IFERROR(Tablo517[[#This Row],[YOLLUK HARİÇ BASKI GRAMI]]/Tablo517[[#This Row],[KALIP GÖZ ADEDİ]]," ")</f>
        <v xml:space="preserve"> </v>
      </c>
      <c r="T407" s="100" t="str">
        <f t="shared" si="45"/>
        <v xml:space="preserve"> </v>
      </c>
      <c r="U407" s="100"/>
      <c r="V407" s="100" t="str">
        <f t="shared" si="44"/>
        <v xml:space="preserve"> </v>
      </c>
      <c r="W407" s="101">
        <f t="shared" si="46"/>
        <v>24</v>
      </c>
      <c r="X407" s="102">
        <f t="shared" si="47"/>
        <v>0</v>
      </c>
      <c r="Y407" s="100" t="str">
        <f t="shared" si="48"/>
        <v xml:space="preserve"> </v>
      </c>
      <c r="Z407" s="100" t="str">
        <f t="shared" si="49"/>
        <v xml:space="preserve"> </v>
      </c>
    </row>
    <row r="408" spans="1:26">
      <c r="A408" s="100"/>
      <c r="B408" s="108" t="str">
        <f>IFERROR(VLOOKUP(Tablo517[[#This Row],[ÜRÜN KODU]],YMKODLARI!$A$1:$K$363,2,0)," ")</f>
        <v xml:space="preserve"> </v>
      </c>
      <c r="C408" s="99"/>
      <c r="D408" s="100"/>
      <c r="E408" s="101"/>
      <c r="F408" s="101"/>
      <c r="G408" s="100" t="str">
        <f>IFERROR(VLOOKUP(Tablo517[[#This Row],[ÜRÜN KODU]],YMKODLARI!$A$1:$K$363,3,0)," ")</f>
        <v xml:space="preserve"> </v>
      </c>
      <c r="H408" s="100" t="str">
        <f>IFERROR(VLOOKUP(Tablo517[[#This Row],[ÜRÜN KODU]],YMKODLARI!$A$1:$K$363,4,0)," ")</f>
        <v xml:space="preserve"> </v>
      </c>
      <c r="I408" s="100"/>
      <c r="J408" s="100" t="str">
        <f>IFERROR(VLOOKUP(Tablo517[[#This Row],[ÜRÜN KODU]],YMKODLARI!$A$1:$K$363,9,0)," ")</f>
        <v xml:space="preserve"> </v>
      </c>
      <c r="K408" s="100" t="str">
        <f>IFERROR(VLOOKUP(Tablo517[[#This Row],[BOYA KODU]],Tablo14[#All],4,0)," ")</f>
        <v xml:space="preserve"> </v>
      </c>
      <c r="L408" s="100" t="str">
        <f>IFERROR(VLOOKUP(Tablo517[[#This Row],[BOYA KODU]],Tablo14[#All],6,0)," ")</f>
        <v xml:space="preserve"> </v>
      </c>
      <c r="M408" s="100" t="str">
        <f t="shared" si="43"/>
        <v xml:space="preserve"> </v>
      </c>
      <c r="N408" s="100" t="str">
        <f>IFERROR(VLOOKUP(Tablo517[[#This Row],[ÜRÜN KODU]],YMKODLARI!$A$1:$K$363,8,0)," ")</f>
        <v xml:space="preserve"> </v>
      </c>
      <c r="O408" s="100" t="str">
        <f>IFERROR(VLOOKUP(Tablo517[[#This Row],[HAMMADDE KODU]],Tablo1[#All],3,0)," ")</f>
        <v xml:space="preserve"> </v>
      </c>
      <c r="P408" s="100" t="str">
        <f>IFERROR(VLOOKUP(Tablo517[[#This Row],[HAMMADDE KODU]],Tablo1[#All],4,0)," ")</f>
        <v xml:space="preserve"> </v>
      </c>
      <c r="Q408" s="100" t="str">
        <f>IFERROR(VLOOKUP(Tablo517[[#This Row],[ÜRÜN KODU]],YMKODLARI!$A$1:$K$363,5,0)," ")</f>
        <v xml:space="preserve"> </v>
      </c>
      <c r="R408" s="100" t="str">
        <f>IFERROR(VLOOKUP(Tablo517[[#This Row],[ÜRÜN KODU]],YMKODLARI!$A$1:$K$363,6,0)," ")</f>
        <v xml:space="preserve"> </v>
      </c>
      <c r="S408" s="100" t="str">
        <f>IFERROR(Tablo517[[#This Row],[YOLLUK HARİÇ BASKI GRAMI]]/Tablo517[[#This Row],[KALIP GÖZ ADEDİ]]," ")</f>
        <v xml:space="preserve"> </v>
      </c>
      <c r="T408" s="100" t="str">
        <f t="shared" si="45"/>
        <v xml:space="preserve"> </v>
      </c>
      <c r="U408" s="100"/>
      <c r="V408" s="100" t="str">
        <f t="shared" si="44"/>
        <v xml:space="preserve"> </v>
      </c>
      <c r="W408" s="101">
        <f t="shared" si="46"/>
        <v>24</v>
      </c>
      <c r="X408" s="102">
        <f t="shared" si="47"/>
        <v>0</v>
      </c>
      <c r="Y408" s="100" t="str">
        <f t="shared" si="48"/>
        <v xml:space="preserve"> </v>
      </c>
      <c r="Z408" s="100" t="str">
        <f t="shared" si="49"/>
        <v xml:space="preserve"> </v>
      </c>
    </row>
    <row r="409" spans="1:26">
      <c r="A409" s="100"/>
      <c r="B409" s="108" t="str">
        <f>IFERROR(VLOOKUP(Tablo517[[#This Row],[ÜRÜN KODU]],YMKODLARI!$A$1:$K$363,2,0)," ")</f>
        <v xml:space="preserve"> </v>
      </c>
      <c r="C409" s="99"/>
      <c r="D409" s="100"/>
      <c r="E409" s="101"/>
      <c r="F409" s="101"/>
      <c r="G409" s="100" t="str">
        <f>IFERROR(VLOOKUP(Tablo517[[#This Row],[ÜRÜN KODU]],YMKODLARI!$A$1:$K$363,3,0)," ")</f>
        <v xml:space="preserve"> </v>
      </c>
      <c r="H409" s="100" t="str">
        <f>IFERROR(VLOOKUP(Tablo517[[#This Row],[ÜRÜN KODU]],YMKODLARI!$A$1:$K$363,4,0)," ")</f>
        <v xml:space="preserve"> </v>
      </c>
      <c r="I409" s="100"/>
      <c r="J409" s="100" t="str">
        <f>IFERROR(VLOOKUP(Tablo517[[#This Row],[ÜRÜN KODU]],YMKODLARI!$A$1:$K$363,9,0)," ")</f>
        <v xml:space="preserve"> </v>
      </c>
      <c r="K409" s="100" t="str">
        <f>IFERROR(VLOOKUP(Tablo517[[#This Row],[BOYA KODU]],Tablo14[#All],4,0)," ")</f>
        <v xml:space="preserve"> </v>
      </c>
      <c r="L409" s="100" t="str">
        <f>IFERROR(VLOOKUP(Tablo517[[#This Row],[BOYA KODU]],Tablo14[#All],6,0)," ")</f>
        <v xml:space="preserve"> </v>
      </c>
      <c r="M409" s="100" t="str">
        <f t="shared" si="43"/>
        <v xml:space="preserve"> </v>
      </c>
      <c r="N409" s="100" t="str">
        <f>IFERROR(VLOOKUP(Tablo517[[#This Row],[ÜRÜN KODU]],YMKODLARI!$A$1:$K$363,8,0)," ")</f>
        <v xml:space="preserve"> </v>
      </c>
      <c r="O409" s="100" t="str">
        <f>IFERROR(VLOOKUP(Tablo517[[#This Row],[HAMMADDE KODU]],Tablo1[#All],3,0)," ")</f>
        <v xml:space="preserve"> </v>
      </c>
      <c r="P409" s="100" t="str">
        <f>IFERROR(VLOOKUP(Tablo517[[#This Row],[HAMMADDE KODU]],Tablo1[#All],4,0)," ")</f>
        <v xml:space="preserve"> </v>
      </c>
      <c r="Q409" s="100" t="str">
        <f>IFERROR(VLOOKUP(Tablo517[[#This Row],[ÜRÜN KODU]],YMKODLARI!$A$1:$K$363,5,0)," ")</f>
        <v xml:space="preserve"> </v>
      </c>
      <c r="R409" s="100" t="str">
        <f>IFERROR(VLOOKUP(Tablo517[[#This Row],[ÜRÜN KODU]],YMKODLARI!$A$1:$K$363,6,0)," ")</f>
        <v xml:space="preserve"> </v>
      </c>
      <c r="S409" s="100" t="str">
        <f>IFERROR(Tablo517[[#This Row],[YOLLUK HARİÇ BASKI GRAMI]]/Tablo517[[#This Row],[KALIP GÖZ ADEDİ]]," ")</f>
        <v xml:space="preserve"> </v>
      </c>
      <c r="T409" s="100" t="str">
        <f t="shared" si="45"/>
        <v xml:space="preserve"> </v>
      </c>
      <c r="U409" s="100"/>
      <c r="V409" s="100" t="str">
        <f t="shared" si="44"/>
        <v xml:space="preserve"> </v>
      </c>
      <c r="W409" s="101">
        <f t="shared" si="46"/>
        <v>24</v>
      </c>
      <c r="X409" s="102">
        <f t="shared" si="47"/>
        <v>0</v>
      </c>
      <c r="Y409" s="100" t="str">
        <f t="shared" si="48"/>
        <v xml:space="preserve"> </v>
      </c>
      <c r="Z409" s="100" t="str">
        <f t="shared" si="49"/>
        <v xml:space="preserve"> </v>
      </c>
    </row>
    <row r="410" spans="1:26">
      <c r="A410" s="100"/>
      <c r="B410" s="108" t="str">
        <f>IFERROR(VLOOKUP(Tablo517[[#This Row],[ÜRÜN KODU]],YMKODLARI!$A$1:$K$363,2,0)," ")</f>
        <v xml:space="preserve"> </v>
      </c>
      <c r="C410" s="99"/>
      <c r="D410" s="100"/>
      <c r="E410" s="101"/>
      <c r="F410" s="101"/>
      <c r="G410" s="100" t="str">
        <f>IFERROR(VLOOKUP(Tablo517[[#This Row],[ÜRÜN KODU]],YMKODLARI!$A$1:$K$363,3,0)," ")</f>
        <v xml:space="preserve"> </v>
      </c>
      <c r="H410" s="100" t="str">
        <f>IFERROR(VLOOKUP(Tablo517[[#This Row],[ÜRÜN KODU]],YMKODLARI!$A$1:$K$363,4,0)," ")</f>
        <v xml:space="preserve"> </v>
      </c>
      <c r="I410" s="100"/>
      <c r="J410" s="100" t="str">
        <f>IFERROR(VLOOKUP(Tablo517[[#This Row],[ÜRÜN KODU]],YMKODLARI!$A$1:$K$363,9,0)," ")</f>
        <v xml:space="preserve"> </v>
      </c>
      <c r="K410" s="100" t="str">
        <f>IFERROR(VLOOKUP(Tablo517[[#This Row],[BOYA KODU]],Tablo14[#All],4,0)," ")</f>
        <v xml:space="preserve"> </v>
      </c>
      <c r="L410" s="100" t="str">
        <f>IFERROR(VLOOKUP(Tablo517[[#This Row],[BOYA KODU]],Tablo14[#All],6,0)," ")</f>
        <v xml:space="preserve"> </v>
      </c>
      <c r="M410" s="100" t="str">
        <f t="shared" si="43"/>
        <v xml:space="preserve"> </v>
      </c>
      <c r="N410" s="100" t="str">
        <f>IFERROR(VLOOKUP(Tablo517[[#This Row],[ÜRÜN KODU]],YMKODLARI!$A$1:$K$363,8,0)," ")</f>
        <v xml:space="preserve"> </v>
      </c>
      <c r="O410" s="100" t="str">
        <f>IFERROR(VLOOKUP(Tablo517[[#This Row],[HAMMADDE KODU]],Tablo1[#All],3,0)," ")</f>
        <v xml:space="preserve"> </v>
      </c>
      <c r="P410" s="100" t="str">
        <f>IFERROR(VLOOKUP(Tablo517[[#This Row],[HAMMADDE KODU]],Tablo1[#All],4,0)," ")</f>
        <v xml:space="preserve"> </v>
      </c>
      <c r="Q410" s="100" t="str">
        <f>IFERROR(VLOOKUP(Tablo517[[#This Row],[ÜRÜN KODU]],YMKODLARI!$A$1:$K$363,5,0)," ")</f>
        <v xml:space="preserve"> </v>
      </c>
      <c r="R410" s="100" t="str">
        <f>IFERROR(VLOOKUP(Tablo517[[#This Row],[ÜRÜN KODU]],YMKODLARI!$A$1:$K$363,6,0)," ")</f>
        <v xml:space="preserve"> </v>
      </c>
      <c r="S410" s="100" t="str">
        <f>IFERROR(Tablo517[[#This Row],[YOLLUK HARİÇ BASKI GRAMI]]/Tablo517[[#This Row],[KALIP GÖZ ADEDİ]]," ")</f>
        <v xml:space="preserve"> </v>
      </c>
      <c r="T410" s="100" t="str">
        <f t="shared" si="45"/>
        <v xml:space="preserve"> </v>
      </c>
      <c r="U410" s="100"/>
      <c r="V410" s="100" t="str">
        <f t="shared" si="44"/>
        <v xml:space="preserve"> </v>
      </c>
      <c r="W410" s="101">
        <f t="shared" si="46"/>
        <v>24</v>
      </c>
      <c r="X410" s="102">
        <f t="shared" si="47"/>
        <v>0</v>
      </c>
      <c r="Y410" s="100" t="str">
        <f t="shared" si="48"/>
        <v xml:space="preserve"> </v>
      </c>
      <c r="Z410" s="100" t="str">
        <f t="shared" si="49"/>
        <v xml:space="preserve"> </v>
      </c>
    </row>
    <row r="411" spans="1:26">
      <c r="A411" s="100"/>
      <c r="B411" s="108" t="str">
        <f>IFERROR(VLOOKUP(Tablo517[[#This Row],[ÜRÜN KODU]],YMKODLARI!$A$1:$K$363,2,0)," ")</f>
        <v xml:space="preserve"> </v>
      </c>
      <c r="C411" s="99"/>
      <c r="D411" s="100"/>
      <c r="E411" s="101"/>
      <c r="F411" s="101"/>
      <c r="G411" s="100" t="str">
        <f>IFERROR(VLOOKUP(Tablo517[[#This Row],[ÜRÜN KODU]],YMKODLARI!$A$1:$K$363,3,0)," ")</f>
        <v xml:space="preserve"> </v>
      </c>
      <c r="H411" s="100" t="str">
        <f>IFERROR(VLOOKUP(Tablo517[[#This Row],[ÜRÜN KODU]],YMKODLARI!$A$1:$K$363,4,0)," ")</f>
        <v xml:space="preserve"> </v>
      </c>
      <c r="I411" s="100"/>
      <c r="J411" s="100" t="str">
        <f>IFERROR(VLOOKUP(Tablo517[[#This Row],[ÜRÜN KODU]],YMKODLARI!$A$1:$K$363,9,0)," ")</f>
        <v xml:space="preserve"> </v>
      </c>
      <c r="K411" s="100" t="str">
        <f>IFERROR(VLOOKUP(Tablo517[[#This Row],[BOYA KODU]],Tablo14[#All],4,0)," ")</f>
        <v xml:space="preserve"> </v>
      </c>
      <c r="L411" s="100" t="str">
        <f>IFERROR(VLOOKUP(Tablo517[[#This Row],[BOYA KODU]],Tablo14[#All],6,0)," ")</f>
        <v xml:space="preserve"> </v>
      </c>
      <c r="M411" s="100" t="str">
        <f t="shared" si="43"/>
        <v xml:space="preserve"> </v>
      </c>
      <c r="N411" s="100" t="str">
        <f>IFERROR(VLOOKUP(Tablo517[[#This Row],[ÜRÜN KODU]],YMKODLARI!$A$1:$K$363,8,0)," ")</f>
        <v xml:space="preserve"> </v>
      </c>
      <c r="O411" s="100" t="str">
        <f>IFERROR(VLOOKUP(Tablo517[[#This Row],[HAMMADDE KODU]],Tablo1[#All],3,0)," ")</f>
        <v xml:space="preserve"> </v>
      </c>
      <c r="P411" s="100" t="str">
        <f>IFERROR(VLOOKUP(Tablo517[[#This Row],[HAMMADDE KODU]],Tablo1[#All],4,0)," ")</f>
        <v xml:space="preserve"> </v>
      </c>
      <c r="Q411" s="100" t="str">
        <f>IFERROR(VLOOKUP(Tablo517[[#This Row],[ÜRÜN KODU]],YMKODLARI!$A$1:$K$363,5,0)," ")</f>
        <v xml:space="preserve"> </v>
      </c>
      <c r="R411" s="100" t="str">
        <f>IFERROR(VLOOKUP(Tablo517[[#This Row],[ÜRÜN KODU]],YMKODLARI!$A$1:$K$363,6,0)," ")</f>
        <v xml:space="preserve"> </v>
      </c>
      <c r="S411" s="100" t="str">
        <f>IFERROR(Tablo517[[#This Row],[YOLLUK HARİÇ BASKI GRAMI]]/Tablo517[[#This Row],[KALIP GÖZ ADEDİ]]," ")</f>
        <v xml:space="preserve"> </v>
      </c>
      <c r="T411" s="100" t="str">
        <f t="shared" si="45"/>
        <v xml:space="preserve"> </v>
      </c>
      <c r="U411" s="100"/>
      <c r="V411" s="100" t="str">
        <f t="shared" si="44"/>
        <v xml:space="preserve"> </v>
      </c>
      <c r="W411" s="101">
        <f t="shared" si="46"/>
        <v>24</v>
      </c>
      <c r="X411" s="102">
        <f t="shared" si="47"/>
        <v>0</v>
      </c>
      <c r="Y411" s="100" t="str">
        <f t="shared" si="48"/>
        <v xml:space="preserve"> </v>
      </c>
      <c r="Z411" s="100" t="str">
        <f t="shared" si="49"/>
        <v xml:space="preserve"> </v>
      </c>
    </row>
    <row r="412" spans="1:26">
      <c r="A412" s="100"/>
      <c r="B412" s="108" t="str">
        <f>IFERROR(VLOOKUP(Tablo517[[#This Row],[ÜRÜN KODU]],YMKODLARI!$A$1:$K$363,2,0)," ")</f>
        <v xml:space="preserve"> </v>
      </c>
      <c r="C412" s="99"/>
      <c r="D412" s="100"/>
      <c r="E412" s="101"/>
      <c r="F412" s="101"/>
      <c r="G412" s="100" t="str">
        <f>IFERROR(VLOOKUP(Tablo517[[#This Row],[ÜRÜN KODU]],YMKODLARI!$A$1:$K$363,3,0)," ")</f>
        <v xml:space="preserve"> </v>
      </c>
      <c r="H412" s="100" t="str">
        <f>IFERROR(VLOOKUP(Tablo517[[#This Row],[ÜRÜN KODU]],YMKODLARI!$A$1:$K$363,4,0)," ")</f>
        <v xml:space="preserve"> </v>
      </c>
      <c r="I412" s="100"/>
      <c r="J412" s="100" t="str">
        <f>IFERROR(VLOOKUP(Tablo517[[#This Row],[ÜRÜN KODU]],YMKODLARI!$A$1:$K$363,9,0)," ")</f>
        <v xml:space="preserve"> </v>
      </c>
      <c r="K412" s="100" t="str">
        <f>IFERROR(VLOOKUP(Tablo517[[#This Row],[BOYA KODU]],Tablo14[#All],4,0)," ")</f>
        <v xml:space="preserve"> </v>
      </c>
      <c r="L412" s="100" t="str">
        <f>IFERROR(VLOOKUP(Tablo517[[#This Row],[BOYA KODU]],Tablo14[#All],6,0)," ")</f>
        <v xml:space="preserve"> </v>
      </c>
      <c r="M412" s="100" t="str">
        <f t="shared" si="43"/>
        <v xml:space="preserve"> </v>
      </c>
      <c r="N412" s="100" t="str">
        <f>IFERROR(VLOOKUP(Tablo517[[#This Row],[ÜRÜN KODU]],YMKODLARI!$A$1:$K$363,8,0)," ")</f>
        <v xml:space="preserve"> </v>
      </c>
      <c r="O412" s="100" t="str">
        <f>IFERROR(VLOOKUP(Tablo517[[#This Row],[HAMMADDE KODU]],Tablo1[#All],3,0)," ")</f>
        <v xml:space="preserve"> </v>
      </c>
      <c r="P412" s="100" t="str">
        <f>IFERROR(VLOOKUP(Tablo517[[#This Row],[HAMMADDE KODU]],Tablo1[#All],4,0)," ")</f>
        <v xml:space="preserve"> </v>
      </c>
      <c r="Q412" s="100" t="str">
        <f>IFERROR(VLOOKUP(Tablo517[[#This Row],[ÜRÜN KODU]],YMKODLARI!$A$1:$K$363,5,0)," ")</f>
        <v xml:space="preserve"> </v>
      </c>
      <c r="R412" s="100" t="str">
        <f>IFERROR(VLOOKUP(Tablo517[[#This Row],[ÜRÜN KODU]],YMKODLARI!$A$1:$K$363,6,0)," ")</f>
        <v xml:space="preserve"> </v>
      </c>
      <c r="S412" s="100" t="str">
        <f>IFERROR(Tablo517[[#This Row],[YOLLUK HARİÇ BASKI GRAMI]]/Tablo517[[#This Row],[KALIP GÖZ ADEDİ]]," ")</f>
        <v xml:space="preserve"> </v>
      </c>
      <c r="T412" s="100" t="str">
        <f t="shared" si="45"/>
        <v xml:space="preserve"> </v>
      </c>
      <c r="U412" s="100"/>
      <c r="V412" s="100" t="str">
        <f t="shared" si="44"/>
        <v xml:space="preserve"> </v>
      </c>
      <c r="W412" s="101">
        <f t="shared" si="46"/>
        <v>24</v>
      </c>
      <c r="X412" s="102">
        <f t="shared" si="47"/>
        <v>0</v>
      </c>
      <c r="Y412" s="100" t="str">
        <f t="shared" si="48"/>
        <v xml:space="preserve"> </v>
      </c>
      <c r="Z412" s="100" t="str">
        <f t="shared" si="49"/>
        <v xml:space="preserve"> </v>
      </c>
    </row>
    <row r="413" spans="1:26">
      <c r="A413" s="100"/>
      <c r="B413" s="108" t="str">
        <f>IFERROR(VLOOKUP(Tablo517[[#This Row],[ÜRÜN KODU]],YMKODLARI!$A$1:$K$363,2,0)," ")</f>
        <v xml:space="preserve"> </v>
      </c>
      <c r="C413" s="99"/>
      <c r="D413" s="100"/>
      <c r="E413" s="101"/>
      <c r="F413" s="101"/>
      <c r="G413" s="100" t="str">
        <f>IFERROR(VLOOKUP(Tablo517[[#This Row],[ÜRÜN KODU]],YMKODLARI!$A$1:$K$363,3,0)," ")</f>
        <v xml:space="preserve"> </v>
      </c>
      <c r="H413" s="100" t="str">
        <f>IFERROR(VLOOKUP(Tablo517[[#This Row],[ÜRÜN KODU]],YMKODLARI!$A$1:$K$363,4,0)," ")</f>
        <v xml:space="preserve"> </v>
      </c>
      <c r="I413" s="100"/>
      <c r="J413" s="100" t="str">
        <f>IFERROR(VLOOKUP(Tablo517[[#This Row],[ÜRÜN KODU]],YMKODLARI!$A$1:$K$363,9,0)," ")</f>
        <v xml:space="preserve"> </v>
      </c>
      <c r="K413" s="100" t="str">
        <f>IFERROR(VLOOKUP(Tablo517[[#This Row],[BOYA KODU]],Tablo14[#All],4,0)," ")</f>
        <v xml:space="preserve"> </v>
      </c>
      <c r="L413" s="100" t="str">
        <f>IFERROR(VLOOKUP(Tablo517[[#This Row],[BOYA KODU]],Tablo14[#All],6,0)," ")</f>
        <v xml:space="preserve"> </v>
      </c>
      <c r="M413" s="100" t="str">
        <f t="shared" si="43"/>
        <v xml:space="preserve"> </v>
      </c>
      <c r="N413" s="100" t="str">
        <f>IFERROR(VLOOKUP(Tablo517[[#This Row],[ÜRÜN KODU]],YMKODLARI!$A$1:$K$363,8,0)," ")</f>
        <v xml:space="preserve"> </v>
      </c>
      <c r="O413" s="100" t="str">
        <f>IFERROR(VLOOKUP(Tablo517[[#This Row],[HAMMADDE KODU]],Tablo1[#All],3,0)," ")</f>
        <v xml:space="preserve"> </v>
      </c>
      <c r="P413" s="100" t="str">
        <f>IFERROR(VLOOKUP(Tablo517[[#This Row],[HAMMADDE KODU]],Tablo1[#All],4,0)," ")</f>
        <v xml:space="preserve"> </v>
      </c>
      <c r="Q413" s="100" t="str">
        <f>IFERROR(VLOOKUP(Tablo517[[#This Row],[ÜRÜN KODU]],YMKODLARI!$A$1:$K$363,5,0)," ")</f>
        <v xml:space="preserve"> </v>
      </c>
      <c r="R413" s="100" t="str">
        <f>IFERROR(VLOOKUP(Tablo517[[#This Row],[ÜRÜN KODU]],YMKODLARI!$A$1:$K$363,6,0)," ")</f>
        <v xml:space="preserve"> </v>
      </c>
      <c r="S413" s="100" t="str">
        <f>IFERROR(Tablo517[[#This Row],[YOLLUK HARİÇ BASKI GRAMI]]/Tablo517[[#This Row],[KALIP GÖZ ADEDİ]]," ")</f>
        <v xml:space="preserve"> </v>
      </c>
      <c r="T413" s="100" t="str">
        <f t="shared" si="45"/>
        <v xml:space="preserve"> </v>
      </c>
      <c r="U413" s="100"/>
      <c r="V413" s="100" t="str">
        <f t="shared" si="44"/>
        <v xml:space="preserve"> </v>
      </c>
      <c r="W413" s="101">
        <f t="shared" si="46"/>
        <v>24</v>
      </c>
      <c r="X413" s="102">
        <f t="shared" si="47"/>
        <v>0</v>
      </c>
      <c r="Y413" s="100" t="str">
        <f t="shared" si="48"/>
        <v xml:space="preserve"> </v>
      </c>
      <c r="Z413" s="100" t="str">
        <f t="shared" si="49"/>
        <v xml:space="preserve"> </v>
      </c>
    </row>
    <row r="414" spans="1:26">
      <c r="A414" s="100"/>
      <c r="B414" s="108" t="str">
        <f>IFERROR(VLOOKUP(Tablo517[[#This Row],[ÜRÜN KODU]],YMKODLARI!$A$1:$K$363,2,0)," ")</f>
        <v xml:space="preserve"> </v>
      </c>
      <c r="C414" s="99"/>
      <c r="D414" s="100"/>
      <c r="E414" s="101"/>
      <c r="F414" s="101"/>
      <c r="G414" s="100" t="str">
        <f>IFERROR(VLOOKUP(Tablo517[[#This Row],[ÜRÜN KODU]],YMKODLARI!$A$1:$K$363,3,0)," ")</f>
        <v xml:space="preserve"> </v>
      </c>
      <c r="H414" s="100" t="str">
        <f>IFERROR(VLOOKUP(Tablo517[[#This Row],[ÜRÜN KODU]],YMKODLARI!$A$1:$K$363,4,0)," ")</f>
        <v xml:space="preserve"> </v>
      </c>
      <c r="I414" s="100"/>
      <c r="J414" s="100" t="str">
        <f>IFERROR(VLOOKUP(Tablo517[[#This Row],[ÜRÜN KODU]],YMKODLARI!$A$1:$K$363,9,0)," ")</f>
        <v xml:space="preserve"> </v>
      </c>
      <c r="K414" s="100" t="str">
        <f>IFERROR(VLOOKUP(Tablo517[[#This Row],[BOYA KODU]],Tablo14[#All],4,0)," ")</f>
        <v xml:space="preserve"> </v>
      </c>
      <c r="L414" s="100" t="str">
        <f>IFERROR(VLOOKUP(Tablo517[[#This Row],[BOYA KODU]],Tablo14[#All],6,0)," ")</f>
        <v xml:space="preserve"> </v>
      </c>
      <c r="M414" s="100" t="str">
        <f t="shared" si="43"/>
        <v xml:space="preserve"> </v>
      </c>
      <c r="N414" s="100" t="str">
        <f>IFERROR(VLOOKUP(Tablo517[[#This Row],[ÜRÜN KODU]],YMKODLARI!$A$1:$K$363,8,0)," ")</f>
        <v xml:space="preserve"> </v>
      </c>
      <c r="O414" s="100" t="str">
        <f>IFERROR(VLOOKUP(Tablo517[[#This Row],[HAMMADDE KODU]],Tablo1[#All],3,0)," ")</f>
        <v xml:space="preserve"> </v>
      </c>
      <c r="P414" s="100" t="str">
        <f>IFERROR(VLOOKUP(Tablo517[[#This Row],[HAMMADDE KODU]],Tablo1[#All],4,0)," ")</f>
        <v xml:space="preserve"> </v>
      </c>
      <c r="Q414" s="100" t="str">
        <f>IFERROR(VLOOKUP(Tablo517[[#This Row],[ÜRÜN KODU]],YMKODLARI!$A$1:$K$363,5,0)," ")</f>
        <v xml:space="preserve"> </v>
      </c>
      <c r="R414" s="100" t="str">
        <f>IFERROR(VLOOKUP(Tablo517[[#This Row],[ÜRÜN KODU]],YMKODLARI!$A$1:$K$363,6,0)," ")</f>
        <v xml:space="preserve"> </v>
      </c>
      <c r="S414" s="100" t="str">
        <f>IFERROR(Tablo517[[#This Row],[YOLLUK HARİÇ BASKI GRAMI]]/Tablo517[[#This Row],[KALIP GÖZ ADEDİ]]," ")</f>
        <v xml:space="preserve"> </v>
      </c>
      <c r="T414" s="100" t="str">
        <f t="shared" si="45"/>
        <v xml:space="preserve"> </v>
      </c>
      <c r="U414" s="100"/>
      <c r="V414" s="100" t="str">
        <f t="shared" si="44"/>
        <v xml:space="preserve"> </v>
      </c>
      <c r="W414" s="101">
        <f t="shared" si="46"/>
        <v>24</v>
      </c>
      <c r="X414" s="102">
        <f t="shared" si="47"/>
        <v>0</v>
      </c>
      <c r="Y414" s="100" t="str">
        <f t="shared" si="48"/>
        <v xml:space="preserve"> </v>
      </c>
      <c r="Z414" s="100" t="str">
        <f t="shared" si="49"/>
        <v xml:space="preserve"> </v>
      </c>
    </row>
    <row r="415" spans="1:26">
      <c r="A415" s="100"/>
      <c r="B415" s="108" t="str">
        <f>IFERROR(VLOOKUP(Tablo517[[#This Row],[ÜRÜN KODU]],YMKODLARI!$A$1:$K$363,2,0)," ")</f>
        <v xml:space="preserve"> </v>
      </c>
      <c r="C415" s="99"/>
      <c r="D415" s="100"/>
      <c r="E415" s="101"/>
      <c r="F415" s="101"/>
      <c r="G415" s="100" t="str">
        <f>IFERROR(VLOOKUP(Tablo517[[#This Row],[ÜRÜN KODU]],YMKODLARI!$A$1:$K$363,3,0)," ")</f>
        <v xml:space="preserve"> </v>
      </c>
      <c r="H415" s="100" t="str">
        <f>IFERROR(VLOOKUP(Tablo517[[#This Row],[ÜRÜN KODU]],YMKODLARI!$A$1:$K$363,4,0)," ")</f>
        <v xml:space="preserve"> </v>
      </c>
      <c r="I415" s="100"/>
      <c r="J415" s="100" t="str">
        <f>IFERROR(VLOOKUP(Tablo517[[#This Row],[ÜRÜN KODU]],YMKODLARI!$A$1:$K$363,9,0)," ")</f>
        <v xml:space="preserve"> </v>
      </c>
      <c r="K415" s="100" t="str">
        <f>IFERROR(VLOOKUP(Tablo517[[#This Row],[BOYA KODU]],Tablo14[#All],4,0)," ")</f>
        <v xml:space="preserve"> </v>
      </c>
      <c r="L415" s="100" t="str">
        <f>IFERROR(VLOOKUP(Tablo517[[#This Row],[BOYA KODU]],Tablo14[#All],6,0)," ")</f>
        <v xml:space="preserve"> </v>
      </c>
      <c r="M415" s="100" t="str">
        <f t="shared" si="43"/>
        <v xml:space="preserve"> </v>
      </c>
      <c r="N415" s="100" t="str">
        <f>IFERROR(VLOOKUP(Tablo517[[#This Row],[ÜRÜN KODU]],YMKODLARI!$A$1:$K$363,8,0)," ")</f>
        <v xml:space="preserve"> </v>
      </c>
      <c r="O415" s="100" t="str">
        <f>IFERROR(VLOOKUP(Tablo517[[#This Row],[HAMMADDE KODU]],Tablo1[#All],3,0)," ")</f>
        <v xml:space="preserve"> </v>
      </c>
      <c r="P415" s="100" t="str">
        <f>IFERROR(VLOOKUP(Tablo517[[#This Row],[HAMMADDE KODU]],Tablo1[#All],4,0)," ")</f>
        <v xml:space="preserve"> </v>
      </c>
      <c r="Q415" s="100" t="str">
        <f>IFERROR(VLOOKUP(Tablo517[[#This Row],[ÜRÜN KODU]],YMKODLARI!$A$1:$K$363,5,0)," ")</f>
        <v xml:space="preserve"> </v>
      </c>
      <c r="R415" s="100" t="str">
        <f>IFERROR(VLOOKUP(Tablo517[[#This Row],[ÜRÜN KODU]],YMKODLARI!$A$1:$K$363,6,0)," ")</f>
        <v xml:space="preserve"> </v>
      </c>
      <c r="S415" s="100" t="str">
        <f>IFERROR(Tablo517[[#This Row],[YOLLUK HARİÇ BASKI GRAMI]]/Tablo517[[#This Row],[KALIP GÖZ ADEDİ]]," ")</f>
        <v xml:space="preserve"> </v>
      </c>
      <c r="T415" s="100" t="str">
        <f t="shared" si="45"/>
        <v xml:space="preserve"> </v>
      </c>
      <c r="U415" s="100"/>
      <c r="V415" s="100" t="str">
        <f t="shared" si="44"/>
        <v xml:space="preserve"> </v>
      </c>
      <c r="W415" s="101">
        <f t="shared" si="46"/>
        <v>24</v>
      </c>
      <c r="X415" s="102">
        <f t="shared" si="47"/>
        <v>0</v>
      </c>
      <c r="Y415" s="100" t="str">
        <f t="shared" si="48"/>
        <v xml:space="preserve"> </v>
      </c>
      <c r="Z415" s="100" t="str">
        <f t="shared" si="49"/>
        <v xml:space="preserve"> </v>
      </c>
    </row>
    <row r="416" spans="1:26">
      <c r="A416" s="100"/>
      <c r="B416" s="108" t="str">
        <f>IFERROR(VLOOKUP(Tablo517[[#This Row],[ÜRÜN KODU]],YMKODLARI!$A$1:$K$363,2,0)," ")</f>
        <v xml:space="preserve"> </v>
      </c>
      <c r="C416" s="99"/>
      <c r="D416" s="100"/>
      <c r="E416" s="101"/>
      <c r="F416" s="101"/>
      <c r="G416" s="100" t="str">
        <f>IFERROR(VLOOKUP(Tablo517[[#This Row],[ÜRÜN KODU]],YMKODLARI!$A$1:$K$363,3,0)," ")</f>
        <v xml:space="preserve"> </v>
      </c>
      <c r="H416" s="100" t="str">
        <f>IFERROR(VLOOKUP(Tablo517[[#This Row],[ÜRÜN KODU]],YMKODLARI!$A$1:$K$363,4,0)," ")</f>
        <v xml:space="preserve"> </v>
      </c>
      <c r="I416" s="100"/>
      <c r="J416" s="100" t="str">
        <f>IFERROR(VLOOKUP(Tablo517[[#This Row],[ÜRÜN KODU]],YMKODLARI!$A$1:$K$363,9,0)," ")</f>
        <v xml:space="preserve"> </v>
      </c>
      <c r="K416" s="100" t="str">
        <f>IFERROR(VLOOKUP(Tablo517[[#This Row],[BOYA KODU]],Tablo14[#All],4,0)," ")</f>
        <v xml:space="preserve"> </v>
      </c>
      <c r="L416" s="100" t="str">
        <f>IFERROR(VLOOKUP(Tablo517[[#This Row],[BOYA KODU]],Tablo14[#All],6,0)," ")</f>
        <v xml:space="preserve"> </v>
      </c>
      <c r="M416" s="100" t="str">
        <f t="shared" si="43"/>
        <v xml:space="preserve"> </v>
      </c>
      <c r="N416" s="100" t="str">
        <f>IFERROR(VLOOKUP(Tablo517[[#This Row],[ÜRÜN KODU]],YMKODLARI!$A$1:$K$363,8,0)," ")</f>
        <v xml:space="preserve"> </v>
      </c>
      <c r="O416" s="100" t="str">
        <f>IFERROR(VLOOKUP(Tablo517[[#This Row],[HAMMADDE KODU]],Tablo1[#All],3,0)," ")</f>
        <v xml:space="preserve"> </v>
      </c>
      <c r="P416" s="100" t="str">
        <f>IFERROR(VLOOKUP(Tablo517[[#This Row],[HAMMADDE KODU]],Tablo1[#All],4,0)," ")</f>
        <v xml:space="preserve"> </v>
      </c>
      <c r="Q416" s="100" t="str">
        <f>IFERROR(VLOOKUP(Tablo517[[#This Row],[ÜRÜN KODU]],YMKODLARI!$A$1:$K$363,5,0)," ")</f>
        <v xml:space="preserve"> </v>
      </c>
      <c r="R416" s="100" t="str">
        <f>IFERROR(VLOOKUP(Tablo517[[#This Row],[ÜRÜN KODU]],YMKODLARI!$A$1:$K$363,6,0)," ")</f>
        <v xml:space="preserve"> </v>
      </c>
      <c r="S416" s="100" t="str">
        <f>IFERROR(Tablo517[[#This Row],[YOLLUK HARİÇ BASKI GRAMI]]/Tablo517[[#This Row],[KALIP GÖZ ADEDİ]]," ")</f>
        <v xml:space="preserve"> </v>
      </c>
      <c r="T416" s="100" t="str">
        <f t="shared" si="45"/>
        <v xml:space="preserve"> </v>
      </c>
      <c r="U416" s="100"/>
      <c r="V416" s="100" t="str">
        <f t="shared" si="44"/>
        <v xml:space="preserve"> </v>
      </c>
      <c r="W416" s="101">
        <f t="shared" si="46"/>
        <v>24</v>
      </c>
      <c r="X416" s="102">
        <f t="shared" si="47"/>
        <v>0</v>
      </c>
      <c r="Y416" s="100" t="str">
        <f t="shared" si="48"/>
        <v xml:space="preserve"> </v>
      </c>
      <c r="Z416" s="100" t="str">
        <f t="shared" si="49"/>
        <v xml:space="preserve"> </v>
      </c>
    </row>
    <row r="417" spans="1:26">
      <c r="A417" s="100"/>
      <c r="B417" s="108" t="str">
        <f>IFERROR(VLOOKUP(Tablo517[[#This Row],[ÜRÜN KODU]],YMKODLARI!$A$1:$K$363,2,0)," ")</f>
        <v xml:space="preserve"> </v>
      </c>
      <c r="C417" s="99"/>
      <c r="D417" s="100"/>
      <c r="E417" s="101"/>
      <c r="F417" s="101"/>
      <c r="G417" s="100" t="str">
        <f>IFERROR(VLOOKUP(Tablo517[[#This Row],[ÜRÜN KODU]],YMKODLARI!$A$1:$K$363,3,0)," ")</f>
        <v xml:space="preserve"> </v>
      </c>
      <c r="H417" s="100" t="str">
        <f>IFERROR(VLOOKUP(Tablo517[[#This Row],[ÜRÜN KODU]],YMKODLARI!$A$1:$K$363,4,0)," ")</f>
        <v xml:space="preserve"> </v>
      </c>
      <c r="I417" s="100"/>
      <c r="J417" s="100" t="str">
        <f>IFERROR(VLOOKUP(Tablo517[[#This Row],[ÜRÜN KODU]],YMKODLARI!$A$1:$K$363,9,0)," ")</f>
        <v xml:space="preserve"> </v>
      </c>
      <c r="K417" s="100" t="str">
        <f>IFERROR(VLOOKUP(Tablo517[[#This Row],[BOYA KODU]],Tablo14[#All],4,0)," ")</f>
        <v xml:space="preserve"> </v>
      </c>
      <c r="L417" s="100" t="str">
        <f>IFERROR(VLOOKUP(Tablo517[[#This Row],[BOYA KODU]],Tablo14[#All],6,0)," ")</f>
        <v xml:space="preserve"> </v>
      </c>
      <c r="M417" s="100" t="str">
        <f t="shared" si="43"/>
        <v xml:space="preserve"> </v>
      </c>
      <c r="N417" s="100" t="str">
        <f>IFERROR(VLOOKUP(Tablo517[[#This Row],[ÜRÜN KODU]],YMKODLARI!$A$1:$K$363,8,0)," ")</f>
        <v xml:space="preserve"> </v>
      </c>
      <c r="O417" s="100" t="str">
        <f>IFERROR(VLOOKUP(Tablo517[[#This Row],[HAMMADDE KODU]],Tablo1[#All],3,0)," ")</f>
        <v xml:space="preserve"> </v>
      </c>
      <c r="P417" s="100" t="str">
        <f>IFERROR(VLOOKUP(Tablo517[[#This Row],[HAMMADDE KODU]],Tablo1[#All],4,0)," ")</f>
        <v xml:space="preserve"> </v>
      </c>
      <c r="Q417" s="100" t="str">
        <f>IFERROR(VLOOKUP(Tablo517[[#This Row],[ÜRÜN KODU]],YMKODLARI!$A$1:$K$363,5,0)," ")</f>
        <v xml:space="preserve"> </v>
      </c>
      <c r="R417" s="100" t="str">
        <f>IFERROR(VLOOKUP(Tablo517[[#This Row],[ÜRÜN KODU]],YMKODLARI!$A$1:$K$363,6,0)," ")</f>
        <v xml:space="preserve"> </v>
      </c>
      <c r="S417" s="100" t="str">
        <f>IFERROR(Tablo517[[#This Row],[YOLLUK HARİÇ BASKI GRAMI]]/Tablo517[[#This Row],[KALIP GÖZ ADEDİ]]," ")</f>
        <v xml:space="preserve"> </v>
      </c>
      <c r="T417" s="100" t="str">
        <f t="shared" si="45"/>
        <v xml:space="preserve"> </v>
      </c>
      <c r="U417" s="100"/>
      <c r="V417" s="100" t="str">
        <f t="shared" si="44"/>
        <v xml:space="preserve"> </v>
      </c>
      <c r="W417" s="101">
        <f t="shared" si="46"/>
        <v>24</v>
      </c>
      <c r="X417" s="102">
        <f t="shared" si="47"/>
        <v>0</v>
      </c>
      <c r="Y417" s="100" t="str">
        <f t="shared" si="48"/>
        <v xml:space="preserve"> </v>
      </c>
      <c r="Z417" s="100" t="str">
        <f t="shared" si="49"/>
        <v xml:space="preserve"> </v>
      </c>
    </row>
    <row r="418" spans="1:26">
      <c r="A418" s="100"/>
      <c r="B418" s="108" t="str">
        <f>IFERROR(VLOOKUP(Tablo517[[#This Row],[ÜRÜN KODU]],YMKODLARI!$A$1:$K$363,2,0)," ")</f>
        <v xml:space="preserve"> </v>
      </c>
      <c r="C418" s="99"/>
      <c r="D418" s="100"/>
      <c r="E418" s="101"/>
      <c r="F418" s="101"/>
      <c r="G418" s="100" t="str">
        <f>IFERROR(VLOOKUP(Tablo517[[#This Row],[ÜRÜN KODU]],YMKODLARI!$A$1:$K$363,3,0)," ")</f>
        <v xml:space="preserve"> </v>
      </c>
      <c r="H418" s="100" t="str">
        <f>IFERROR(VLOOKUP(Tablo517[[#This Row],[ÜRÜN KODU]],YMKODLARI!$A$1:$K$363,4,0)," ")</f>
        <v xml:space="preserve"> </v>
      </c>
      <c r="I418" s="100"/>
      <c r="J418" s="100" t="str">
        <f>IFERROR(VLOOKUP(Tablo517[[#This Row],[ÜRÜN KODU]],YMKODLARI!$A$1:$K$363,9,0)," ")</f>
        <v xml:space="preserve"> </v>
      </c>
      <c r="K418" s="100" t="str">
        <f>IFERROR(VLOOKUP(Tablo517[[#This Row],[BOYA KODU]],Tablo14[#All],4,0)," ")</f>
        <v xml:space="preserve"> </v>
      </c>
      <c r="L418" s="100" t="str">
        <f>IFERROR(VLOOKUP(Tablo517[[#This Row],[BOYA KODU]],Tablo14[#All],6,0)," ")</f>
        <v xml:space="preserve"> </v>
      </c>
      <c r="M418" s="100" t="str">
        <f t="shared" si="43"/>
        <v xml:space="preserve"> </v>
      </c>
      <c r="N418" s="100" t="str">
        <f>IFERROR(VLOOKUP(Tablo517[[#This Row],[ÜRÜN KODU]],YMKODLARI!$A$1:$K$363,8,0)," ")</f>
        <v xml:space="preserve"> </v>
      </c>
      <c r="O418" s="100" t="str">
        <f>IFERROR(VLOOKUP(Tablo517[[#This Row],[HAMMADDE KODU]],Tablo1[#All],3,0)," ")</f>
        <v xml:space="preserve"> </v>
      </c>
      <c r="P418" s="100" t="str">
        <f>IFERROR(VLOOKUP(Tablo517[[#This Row],[HAMMADDE KODU]],Tablo1[#All],4,0)," ")</f>
        <v xml:space="preserve"> </v>
      </c>
      <c r="Q418" s="100" t="str">
        <f>IFERROR(VLOOKUP(Tablo517[[#This Row],[ÜRÜN KODU]],YMKODLARI!$A$1:$K$363,5,0)," ")</f>
        <v xml:space="preserve"> </v>
      </c>
      <c r="R418" s="100" t="str">
        <f>IFERROR(VLOOKUP(Tablo517[[#This Row],[ÜRÜN KODU]],YMKODLARI!$A$1:$K$363,6,0)," ")</f>
        <v xml:space="preserve"> </v>
      </c>
      <c r="S418" s="100" t="str">
        <f>IFERROR(Tablo517[[#This Row],[YOLLUK HARİÇ BASKI GRAMI]]/Tablo517[[#This Row],[KALIP GÖZ ADEDİ]]," ")</f>
        <v xml:space="preserve"> </v>
      </c>
      <c r="T418" s="100" t="str">
        <f t="shared" si="45"/>
        <v xml:space="preserve"> </v>
      </c>
      <c r="U418" s="100"/>
      <c r="V418" s="100" t="str">
        <f t="shared" si="44"/>
        <v xml:space="preserve"> </v>
      </c>
      <c r="W418" s="101">
        <f t="shared" si="46"/>
        <v>24</v>
      </c>
      <c r="X418" s="102">
        <f t="shared" si="47"/>
        <v>0</v>
      </c>
      <c r="Y418" s="100" t="str">
        <f t="shared" si="48"/>
        <v xml:space="preserve"> </v>
      </c>
      <c r="Z418" s="100" t="str">
        <f t="shared" si="49"/>
        <v xml:space="preserve"> </v>
      </c>
    </row>
    <row r="419" spans="1:26">
      <c r="A419" s="100"/>
      <c r="B419" s="108" t="str">
        <f>IFERROR(VLOOKUP(Tablo517[[#This Row],[ÜRÜN KODU]],YMKODLARI!$A$1:$K$363,2,0)," ")</f>
        <v xml:space="preserve"> </v>
      </c>
      <c r="C419" s="99"/>
      <c r="D419" s="100"/>
      <c r="E419" s="101"/>
      <c r="F419" s="101"/>
      <c r="G419" s="100" t="str">
        <f>IFERROR(VLOOKUP(Tablo517[[#This Row],[ÜRÜN KODU]],YMKODLARI!$A$1:$K$363,3,0)," ")</f>
        <v xml:space="preserve"> </v>
      </c>
      <c r="H419" s="100" t="str">
        <f>IFERROR(VLOOKUP(Tablo517[[#This Row],[ÜRÜN KODU]],YMKODLARI!$A$1:$K$363,4,0)," ")</f>
        <v xml:space="preserve"> </v>
      </c>
      <c r="I419" s="100"/>
      <c r="J419" s="100" t="str">
        <f>IFERROR(VLOOKUP(Tablo517[[#This Row],[ÜRÜN KODU]],YMKODLARI!$A$1:$K$363,9,0)," ")</f>
        <v xml:space="preserve"> </v>
      </c>
      <c r="K419" s="100" t="str">
        <f>IFERROR(VLOOKUP(Tablo517[[#This Row],[BOYA KODU]],Tablo14[#All],4,0)," ")</f>
        <v xml:space="preserve"> </v>
      </c>
      <c r="L419" s="100" t="str">
        <f>IFERROR(VLOOKUP(Tablo517[[#This Row],[BOYA KODU]],Tablo14[#All],6,0)," ")</f>
        <v xml:space="preserve"> </v>
      </c>
      <c r="M419" s="100" t="str">
        <f t="shared" si="43"/>
        <v xml:space="preserve"> </v>
      </c>
      <c r="N419" s="100" t="str">
        <f>IFERROR(VLOOKUP(Tablo517[[#This Row],[ÜRÜN KODU]],YMKODLARI!$A$1:$K$363,8,0)," ")</f>
        <v xml:space="preserve"> </v>
      </c>
      <c r="O419" s="100" t="str">
        <f>IFERROR(VLOOKUP(Tablo517[[#This Row],[HAMMADDE KODU]],Tablo1[#All],3,0)," ")</f>
        <v xml:space="preserve"> </v>
      </c>
      <c r="P419" s="100" t="str">
        <f>IFERROR(VLOOKUP(Tablo517[[#This Row],[HAMMADDE KODU]],Tablo1[#All],4,0)," ")</f>
        <v xml:space="preserve"> </v>
      </c>
      <c r="Q419" s="100" t="str">
        <f>IFERROR(VLOOKUP(Tablo517[[#This Row],[ÜRÜN KODU]],YMKODLARI!$A$1:$K$363,5,0)," ")</f>
        <v xml:space="preserve"> </v>
      </c>
      <c r="R419" s="100" t="str">
        <f>IFERROR(VLOOKUP(Tablo517[[#This Row],[ÜRÜN KODU]],YMKODLARI!$A$1:$K$363,6,0)," ")</f>
        <v xml:space="preserve"> </v>
      </c>
      <c r="S419" s="100" t="str">
        <f>IFERROR(Tablo517[[#This Row],[YOLLUK HARİÇ BASKI GRAMI]]/Tablo517[[#This Row],[KALIP GÖZ ADEDİ]]," ")</f>
        <v xml:space="preserve"> </v>
      </c>
      <c r="T419" s="100" t="str">
        <f t="shared" si="45"/>
        <v xml:space="preserve"> </v>
      </c>
      <c r="U419" s="100"/>
      <c r="V419" s="100" t="str">
        <f t="shared" si="44"/>
        <v xml:space="preserve"> </v>
      </c>
      <c r="W419" s="101">
        <f t="shared" si="46"/>
        <v>24</v>
      </c>
      <c r="X419" s="102">
        <f t="shared" si="47"/>
        <v>0</v>
      </c>
      <c r="Y419" s="100" t="str">
        <f t="shared" si="48"/>
        <v xml:space="preserve"> </v>
      </c>
      <c r="Z419" s="100" t="str">
        <f t="shared" si="49"/>
        <v xml:space="preserve"> </v>
      </c>
    </row>
    <row r="420" spans="1:26">
      <c r="A420" s="100"/>
      <c r="B420" s="108" t="str">
        <f>IFERROR(VLOOKUP(Tablo517[[#This Row],[ÜRÜN KODU]],YMKODLARI!$A$1:$K$363,2,0)," ")</f>
        <v xml:space="preserve"> </v>
      </c>
      <c r="C420" s="99"/>
      <c r="D420" s="100"/>
      <c r="E420" s="101"/>
      <c r="F420" s="101"/>
      <c r="G420" s="100" t="str">
        <f>IFERROR(VLOOKUP(Tablo517[[#This Row],[ÜRÜN KODU]],YMKODLARI!$A$1:$K$363,3,0)," ")</f>
        <v xml:space="preserve"> </v>
      </c>
      <c r="H420" s="100" t="str">
        <f>IFERROR(VLOOKUP(Tablo517[[#This Row],[ÜRÜN KODU]],YMKODLARI!$A$1:$K$363,4,0)," ")</f>
        <v xml:space="preserve"> </v>
      </c>
      <c r="I420" s="100"/>
      <c r="J420" s="100" t="str">
        <f>IFERROR(VLOOKUP(Tablo517[[#This Row],[ÜRÜN KODU]],YMKODLARI!$A$1:$K$363,9,0)," ")</f>
        <v xml:space="preserve"> </v>
      </c>
      <c r="K420" s="100" t="str">
        <f>IFERROR(VLOOKUP(Tablo517[[#This Row],[BOYA KODU]],Tablo14[#All],4,0)," ")</f>
        <v xml:space="preserve"> </v>
      </c>
      <c r="L420" s="100" t="str">
        <f>IFERROR(VLOOKUP(Tablo517[[#This Row],[BOYA KODU]],Tablo14[#All],6,0)," ")</f>
        <v xml:space="preserve"> </v>
      </c>
      <c r="M420" s="100" t="str">
        <f t="shared" si="43"/>
        <v xml:space="preserve"> </v>
      </c>
      <c r="N420" s="100" t="str">
        <f>IFERROR(VLOOKUP(Tablo517[[#This Row],[ÜRÜN KODU]],YMKODLARI!$A$1:$K$363,8,0)," ")</f>
        <v xml:space="preserve"> </v>
      </c>
      <c r="O420" s="100" t="str">
        <f>IFERROR(VLOOKUP(Tablo517[[#This Row],[HAMMADDE KODU]],Tablo1[#All],3,0)," ")</f>
        <v xml:space="preserve"> </v>
      </c>
      <c r="P420" s="100" t="str">
        <f>IFERROR(VLOOKUP(Tablo517[[#This Row],[HAMMADDE KODU]],Tablo1[#All],4,0)," ")</f>
        <v xml:space="preserve"> </v>
      </c>
      <c r="Q420" s="100" t="str">
        <f>IFERROR(VLOOKUP(Tablo517[[#This Row],[ÜRÜN KODU]],YMKODLARI!$A$1:$K$363,5,0)," ")</f>
        <v xml:space="preserve"> </v>
      </c>
      <c r="R420" s="100" t="str">
        <f>IFERROR(VLOOKUP(Tablo517[[#This Row],[ÜRÜN KODU]],YMKODLARI!$A$1:$K$363,6,0)," ")</f>
        <v xml:space="preserve"> </v>
      </c>
      <c r="S420" s="100" t="str">
        <f>IFERROR(Tablo517[[#This Row],[YOLLUK HARİÇ BASKI GRAMI]]/Tablo517[[#This Row],[KALIP GÖZ ADEDİ]]," ")</f>
        <v xml:space="preserve"> </v>
      </c>
      <c r="T420" s="100" t="str">
        <f t="shared" si="45"/>
        <v xml:space="preserve"> </v>
      </c>
      <c r="U420" s="100"/>
      <c r="V420" s="100" t="str">
        <f t="shared" si="44"/>
        <v xml:space="preserve"> </v>
      </c>
      <c r="W420" s="101">
        <f t="shared" si="46"/>
        <v>24</v>
      </c>
      <c r="X420" s="102">
        <f t="shared" si="47"/>
        <v>0</v>
      </c>
      <c r="Y420" s="100" t="str">
        <f t="shared" si="48"/>
        <v xml:space="preserve"> </v>
      </c>
      <c r="Z420" s="100" t="str">
        <f t="shared" si="49"/>
        <v xml:space="preserve"> </v>
      </c>
    </row>
    <row r="421" spans="1:26">
      <c r="A421" s="100"/>
      <c r="B421" s="108" t="str">
        <f>IFERROR(VLOOKUP(Tablo517[[#This Row],[ÜRÜN KODU]],YMKODLARI!$A$1:$K$363,2,0)," ")</f>
        <v xml:space="preserve"> </v>
      </c>
      <c r="C421" s="99"/>
      <c r="D421" s="100"/>
      <c r="E421" s="101"/>
      <c r="F421" s="101"/>
      <c r="G421" s="100" t="str">
        <f>IFERROR(VLOOKUP(Tablo517[[#This Row],[ÜRÜN KODU]],YMKODLARI!$A$1:$K$363,3,0)," ")</f>
        <v xml:space="preserve"> </v>
      </c>
      <c r="H421" s="100" t="str">
        <f>IFERROR(VLOOKUP(Tablo517[[#This Row],[ÜRÜN KODU]],YMKODLARI!$A$1:$K$363,4,0)," ")</f>
        <v xml:space="preserve"> </v>
      </c>
      <c r="I421" s="100"/>
      <c r="J421" s="100" t="str">
        <f>IFERROR(VLOOKUP(Tablo517[[#This Row],[ÜRÜN KODU]],YMKODLARI!$A$1:$K$363,9,0)," ")</f>
        <v xml:space="preserve"> </v>
      </c>
      <c r="K421" s="100" t="str">
        <f>IFERROR(VLOOKUP(Tablo517[[#This Row],[BOYA KODU]],Tablo14[#All],4,0)," ")</f>
        <v xml:space="preserve"> </v>
      </c>
      <c r="L421" s="100" t="str">
        <f>IFERROR(VLOOKUP(Tablo517[[#This Row],[BOYA KODU]],Tablo14[#All],6,0)," ")</f>
        <v xml:space="preserve"> </v>
      </c>
      <c r="M421" s="100" t="str">
        <f t="shared" si="43"/>
        <v xml:space="preserve"> </v>
      </c>
      <c r="N421" s="100" t="str">
        <f>IFERROR(VLOOKUP(Tablo517[[#This Row],[ÜRÜN KODU]],YMKODLARI!$A$1:$K$363,8,0)," ")</f>
        <v xml:space="preserve"> </v>
      </c>
      <c r="O421" s="100" t="str">
        <f>IFERROR(VLOOKUP(Tablo517[[#This Row],[HAMMADDE KODU]],Tablo1[#All],3,0)," ")</f>
        <v xml:space="preserve"> </v>
      </c>
      <c r="P421" s="100" t="str">
        <f>IFERROR(VLOOKUP(Tablo517[[#This Row],[HAMMADDE KODU]],Tablo1[#All],4,0)," ")</f>
        <v xml:space="preserve"> </v>
      </c>
      <c r="Q421" s="100" t="str">
        <f>IFERROR(VLOOKUP(Tablo517[[#This Row],[ÜRÜN KODU]],YMKODLARI!$A$1:$K$363,5,0)," ")</f>
        <v xml:space="preserve"> </v>
      </c>
      <c r="R421" s="100" t="str">
        <f>IFERROR(VLOOKUP(Tablo517[[#This Row],[ÜRÜN KODU]],YMKODLARI!$A$1:$K$363,6,0)," ")</f>
        <v xml:space="preserve"> </v>
      </c>
      <c r="S421" s="100" t="str">
        <f>IFERROR(Tablo517[[#This Row],[YOLLUK HARİÇ BASKI GRAMI]]/Tablo517[[#This Row],[KALIP GÖZ ADEDİ]]," ")</f>
        <v xml:space="preserve"> </v>
      </c>
      <c r="T421" s="100" t="str">
        <f t="shared" si="45"/>
        <v xml:space="preserve"> </v>
      </c>
      <c r="U421" s="100"/>
      <c r="V421" s="100" t="str">
        <f t="shared" si="44"/>
        <v xml:space="preserve"> </v>
      </c>
      <c r="W421" s="101">
        <f t="shared" si="46"/>
        <v>24</v>
      </c>
      <c r="X421" s="102">
        <f t="shared" si="47"/>
        <v>0</v>
      </c>
      <c r="Y421" s="100" t="str">
        <f t="shared" si="48"/>
        <v xml:space="preserve"> </v>
      </c>
      <c r="Z421" s="100" t="str">
        <f t="shared" si="49"/>
        <v xml:space="preserve"> </v>
      </c>
    </row>
    <row r="422" spans="1:26">
      <c r="A422" s="100"/>
      <c r="B422" s="108" t="str">
        <f>IFERROR(VLOOKUP(Tablo517[[#This Row],[ÜRÜN KODU]],YMKODLARI!$A$1:$K$363,2,0)," ")</f>
        <v xml:space="preserve"> </v>
      </c>
      <c r="C422" s="99"/>
      <c r="D422" s="100"/>
      <c r="E422" s="101"/>
      <c r="F422" s="101"/>
      <c r="G422" s="100" t="str">
        <f>IFERROR(VLOOKUP(Tablo517[[#This Row],[ÜRÜN KODU]],YMKODLARI!$A$1:$K$363,3,0)," ")</f>
        <v xml:space="preserve"> </v>
      </c>
      <c r="H422" s="100" t="str">
        <f>IFERROR(VLOOKUP(Tablo517[[#This Row],[ÜRÜN KODU]],YMKODLARI!$A$1:$K$363,4,0)," ")</f>
        <v xml:space="preserve"> </v>
      </c>
      <c r="I422" s="100"/>
      <c r="J422" s="100" t="str">
        <f>IFERROR(VLOOKUP(Tablo517[[#This Row],[ÜRÜN KODU]],YMKODLARI!$A$1:$K$363,9,0)," ")</f>
        <v xml:space="preserve"> </v>
      </c>
      <c r="K422" s="100" t="str">
        <f>IFERROR(VLOOKUP(Tablo517[[#This Row],[BOYA KODU]],Tablo14[#All],4,0)," ")</f>
        <v xml:space="preserve"> </v>
      </c>
      <c r="L422" s="100" t="str">
        <f>IFERROR(VLOOKUP(Tablo517[[#This Row],[BOYA KODU]],Tablo14[#All],6,0)," ")</f>
        <v xml:space="preserve"> </v>
      </c>
      <c r="M422" s="100" t="str">
        <f t="shared" si="43"/>
        <v xml:space="preserve"> </v>
      </c>
      <c r="N422" s="100" t="str">
        <f>IFERROR(VLOOKUP(Tablo517[[#This Row],[ÜRÜN KODU]],YMKODLARI!$A$1:$K$363,8,0)," ")</f>
        <v xml:space="preserve"> </v>
      </c>
      <c r="O422" s="100" t="str">
        <f>IFERROR(VLOOKUP(Tablo517[[#This Row],[HAMMADDE KODU]],Tablo1[#All],3,0)," ")</f>
        <v xml:space="preserve"> </v>
      </c>
      <c r="P422" s="100" t="str">
        <f>IFERROR(VLOOKUP(Tablo517[[#This Row],[HAMMADDE KODU]],Tablo1[#All],4,0)," ")</f>
        <v xml:space="preserve"> </v>
      </c>
      <c r="Q422" s="100" t="str">
        <f>IFERROR(VLOOKUP(Tablo517[[#This Row],[ÜRÜN KODU]],YMKODLARI!$A$1:$K$363,5,0)," ")</f>
        <v xml:space="preserve"> </v>
      </c>
      <c r="R422" s="100" t="str">
        <f>IFERROR(VLOOKUP(Tablo517[[#This Row],[ÜRÜN KODU]],YMKODLARI!$A$1:$K$363,6,0)," ")</f>
        <v xml:space="preserve"> </v>
      </c>
      <c r="S422" s="100" t="str">
        <f>IFERROR(Tablo517[[#This Row],[YOLLUK HARİÇ BASKI GRAMI]]/Tablo517[[#This Row],[KALIP GÖZ ADEDİ]]," ")</f>
        <v xml:space="preserve"> </v>
      </c>
      <c r="T422" s="100" t="str">
        <f t="shared" si="45"/>
        <v xml:space="preserve"> </v>
      </c>
      <c r="U422" s="100"/>
      <c r="V422" s="100" t="str">
        <f t="shared" si="44"/>
        <v xml:space="preserve"> </v>
      </c>
      <c r="W422" s="101">
        <f t="shared" si="46"/>
        <v>24</v>
      </c>
      <c r="X422" s="102">
        <f t="shared" si="47"/>
        <v>0</v>
      </c>
      <c r="Y422" s="100" t="str">
        <f t="shared" si="48"/>
        <v xml:space="preserve"> </v>
      </c>
      <c r="Z422" s="100" t="str">
        <f t="shared" si="49"/>
        <v xml:space="preserve"> </v>
      </c>
    </row>
    <row r="423" spans="1:26">
      <c r="A423" s="100"/>
      <c r="B423" s="108" t="str">
        <f>IFERROR(VLOOKUP(Tablo517[[#This Row],[ÜRÜN KODU]],YMKODLARI!$A$1:$K$363,2,0)," ")</f>
        <v xml:space="preserve"> </v>
      </c>
      <c r="C423" s="99"/>
      <c r="D423" s="100"/>
      <c r="E423" s="101"/>
      <c r="F423" s="101"/>
      <c r="G423" s="100" t="str">
        <f>IFERROR(VLOOKUP(Tablo517[[#This Row],[ÜRÜN KODU]],YMKODLARI!$A$1:$K$363,3,0)," ")</f>
        <v xml:space="preserve"> </v>
      </c>
      <c r="H423" s="100" t="str">
        <f>IFERROR(VLOOKUP(Tablo517[[#This Row],[ÜRÜN KODU]],YMKODLARI!$A$1:$K$363,4,0)," ")</f>
        <v xml:space="preserve"> </v>
      </c>
      <c r="I423" s="100"/>
      <c r="J423" s="100" t="str">
        <f>IFERROR(VLOOKUP(Tablo517[[#This Row],[ÜRÜN KODU]],YMKODLARI!$A$1:$K$363,9,0)," ")</f>
        <v xml:space="preserve"> </v>
      </c>
      <c r="K423" s="100" t="str">
        <f>IFERROR(VLOOKUP(Tablo517[[#This Row],[BOYA KODU]],Tablo14[#All],4,0)," ")</f>
        <v xml:space="preserve"> </v>
      </c>
      <c r="L423" s="100" t="str">
        <f>IFERROR(VLOOKUP(Tablo517[[#This Row],[BOYA KODU]],Tablo14[#All],6,0)," ")</f>
        <v xml:space="preserve"> </v>
      </c>
      <c r="M423" s="100" t="str">
        <f t="shared" si="43"/>
        <v xml:space="preserve"> </v>
      </c>
      <c r="N423" s="100" t="str">
        <f>IFERROR(VLOOKUP(Tablo517[[#This Row],[ÜRÜN KODU]],YMKODLARI!$A$1:$K$363,8,0)," ")</f>
        <v xml:space="preserve"> </v>
      </c>
      <c r="O423" s="100" t="str">
        <f>IFERROR(VLOOKUP(Tablo517[[#This Row],[HAMMADDE KODU]],Tablo1[#All],3,0)," ")</f>
        <v xml:space="preserve"> </v>
      </c>
      <c r="P423" s="100" t="str">
        <f>IFERROR(VLOOKUP(Tablo517[[#This Row],[HAMMADDE KODU]],Tablo1[#All],4,0)," ")</f>
        <v xml:space="preserve"> </v>
      </c>
      <c r="Q423" s="100" t="str">
        <f>IFERROR(VLOOKUP(Tablo517[[#This Row],[ÜRÜN KODU]],YMKODLARI!$A$1:$K$363,5,0)," ")</f>
        <v xml:space="preserve"> </v>
      </c>
      <c r="R423" s="100" t="str">
        <f>IFERROR(VLOOKUP(Tablo517[[#This Row],[ÜRÜN KODU]],YMKODLARI!$A$1:$K$363,6,0)," ")</f>
        <v xml:space="preserve"> </v>
      </c>
      <c r="S423" s="100" t="str">
        <f>IFERROR(Tablo517[[#This Row],[YOLLUK HARİÇ BASKI GRAMI]]/Tablo517[[#This Row],[KALIP GÖZ ADEDİ]]," ")</f>
        <v xml:space="preserve"> </v>
      </c>
      <c r="T423" s="100" t="str">
        <f t="shared" si="45"/>
        <v xml:space="preserve"> </v>
      </c>
      <c r="U423" s="100"/>
      <c r="V423" s="100" t="str">
        <f t="shared" si="44"/>
        <v xml:space="preserve"> </v>
      </c>
      <c r="W423" s="101">
        <f t="shared" si="46"/>
        <v>24</v>
      </c>
      <c r="X423" s="102">
        <f t="shared" si="47"/>
        <v>0</v>
      </c>
      <c r="Y423" s="100" t="str">
        <f t="shared" si="48"/>
        <v xml:space="preserve"> </v>
      </c>
      <c r="Z423" s="100" t="str">
        <f t="shared" si="49"/>
        <v xml:space="preserve"> </v>
      </c>
    </row>
    <row r="424" spans="1:26">
      <c r="A424" s="100"/>
      <c r="B424" s="108" t="str">
        <f>IFERROR(VLOOKUP(Tablo517[[#This Row],[ÜRÜN KODU]],YMKODLARI!$A$1:$K$363,2,0)," ")</f>
        <v xml:space="preserve"> </v>
      </c>
      <c r="C424" s="99"/>
      <c r="D424" s="100"/>
      <c r="E424" s="101"/>
      <c r="F424" s="101"/>
      <c r="G424" s="100" t="str">
        <f>IFERROR(VLOOKUP(Tablo517[[#This Row],[ÜRÜN KODU]],YMKODLARI!$A$1:$K$363,3,0)," ")</f>
        <v xml:space="preserve"> </v>
      </c>
      <c r="H424" s="100" t="str">
        <f>IFERROR(VLOOKUP(Tablo517[[#This Row],[ÜRÜN KODU]],YMKODLARI!$A$1:$K$363,4,0)," ")</f>
        <v xml:space="preserve"> </v>
      </c>
      <c r="I424" s="100"/>
      <c r="J424" s="100" t="str">
        <f>IFERROR(VLOOKUP(Tablo517[[#This Row],[ÜRÜN KODU]],YMKODLARI!$A$1:$K$363,9,0)," ")</f>
        <v xml:space="preserve"> </v>
      </c>
      <c r="K424" s="100" t="str">
        <f>IFERROR(VLOOKUP(Tablo517[[#This Row],[BOYA KODU]],Tablo14[#All],4,0)," ")</f>
        <v xml:space="preserve"> </v>
      </c>
      <c r="L424" s="100" t="str">
        <f>IFERROR(VLOOKUP(Tablo517[[#This Row],[BOYA KODU]],Tablo14[#All],6,0)," ")</f>
        <v xml:space="preserve"> </v>
      </c>
      <c r="M424" s="100" t="str">
        <f t="shared" si="43"/>
        <v xml:space="preserve"> </v>
      </c>
      <c r="N424" s="100" t="str">
        <f>IFERROR(VLOOKUP(Tablo517[[#This Row],[ÜRÜN KODU]],YMKODLARI!$A$1:$K$363,8,0)," ")</f>
        <v xml:space="preserve"> </v>
      </c>
      <c r="O424" s="100" t="str">
        <f>IFERROR(VLOOKUP(Tablo517[[#This Row],[HAMMADDE KODU]],Tablo1[#All],3,0)," ")</f>
        <v xml:space="preserve"> </v>
      </c>
      <c r="P424" s="100" t="str">
        <f>IFERROR(VLOOKUP(Tablo517[[#This Row],[HAMMADDE KODU]],Tablo1[#All],4,0)," ")</f>
        <v xml:space="preserve"> </v>
      </c>
      <c r="Q424" s="100" t="str">
        <f>IFERROR(VLOOKUP(Tablo517[[#This Row],[ÜRÜN KODU]],YMKODLARI!$A$1:$K$363,5,0)," ")</f>
        <v xml:space="preserve"> </v>
      </c>
      <c r="R424" s="100" t="str">
        <f>IFERROR(VLOOKUP(Tablo517[[#This Row],[ÜRÜN KODU]],YMKODLARI!$A$1:$K$363,6,0)," ")</f>
        <v xml:space="preserve"> </v>
      </c>
      <c r="S424" s="100" t="str">
        <f>IFERROR(Tablo517[[#This Row],[YOLLUK HARİÇ BASKI GRAMI]]/Tablo517[[#This Row],[KALIP GÖZ ADEDİ]]," ")</f>
        <v xml:space="preserve"> </v>
      </c>
      <c r="T424" s="100" t="str">
        <f t="shared" si="45"/>
        <v xml:space="preserve"> </v>
      </c>
      <c r="U424" s="100"/>
      <c r="V424" s="100" t="str">
        <f t="shared" si="44"/>
        <v xml:space="preserve"> </v>
      </c>
      <c r="W424" s="101">
        <f t="shared" si="46"/>
        <v>24</v>
      </c>
      <c r="X424" s="102">
        <f t="shared" si="47"/>
        <v>0</v>
      </c>
      <c r="Y424" s="100" t="str">
        <f t="shared" si="48"/>
        <v xml:space="preserve"> </v>
      </c>
      <c r="Z424" s="100" t="str">
        <f t="shared" si="49"/>
        <v xml:space="preserve"> </v>
      </c>
    </row>
    <row r="425" spans="1:26">
      <c r="A425" s="100"/>
      <c r="B425" s="108" t="str">
        <f>IFERROR(VLOOKUP(Tablo517[[#This Row],[ÜRÜN KODU]],YMKODLARI!$A$1:$K$363,2,0)," ")</f>
        <v xml:space="preserve"> </v>
      </c>
      <c r="C425" s="99"/>
      <c r="D425" s="100"/>
      <c r="E425" s="101"/>
      <c r="F425" s="101"/>
      <c r="G425" s="100" t="str">
        <f>IFERROR(VLOOKUP(Tablo517[[#This Row],[ÜRÜN KODU]],YMKODLARI!$A$1:$K$363,3,0)," ")</f>
        <v xml:space="preserve"> </v>
      </c>
      <c r="H425" s="100" t="str">
        <f>IFERROR(VLOOKUP(Tablo517[[#This Row],[ÜRÜN KODU]],YMKODLARI!$A$1:$K$363,4,0)," ")</f>
        <v xml:space="preserve"> </v>
      </c>
      <c r="I425" s="100"/>
      <c r="J425" s="100" t="str">
        <f>IFERROR(VLOOKUP(Tablo517[[#This Row],[ÜRÜN KODU]],YMKODLARI!$A$1:$K$363,9,0)," ")</f>
        <v xml:space="preserve"> </v>
      </c>
      <c r="K425" s="100" t="str">
        <f>IFERROR(VLOOKUP(Tablo517[[#This Row],[BOYA KODU]],Tablo14[#All],4,0)," ")</f>
        <v xml:space="preserve"> </v>
      </c>
      <c r="L425" s="100" t="str">
        <f>IFERROR(VLOOKUP(Tablo517[[#This Row],[BOYA KODU]],Tablo14[#All],6,0)," ")</f>
        <v xml:space="preserve"> </v>
      </c>
      <c r="M425" s="100" t="str">
        <f t="shared" si="43"/>
        <v xml:space="preserve"> </v>
      </c>
      <c r="N425" s="100" t="str">
        <f>IFERROR(VLOOKUP(Tablo517[[#This Row],[ÜRÜN KODU]],YMKODLARI!$A$1:$K$363,8,0)," ")</f>
        <v xml:space="preserve"> </v>
      </c>
      <c r="O425" s="100" t="str">
        <f>IFERROR(VLOOKUP(Tablo517[[#This Row],[HAMMADDE KODU]],Tablo1[#All],3,0)," ")</f>
        <v xml:space="preserve"> </v>
      </c>
      <c r="P425" s="100" t="str">
        <f>IFERROR(VLOOKUP(Tablo517[[#This Row],[HAMMADDE KODU]],Tablo1[#All],4,0)," ")</f>
        <v xml:space="preserve"> </v>
      </c>
      <c r="Q425" s="100" t="str">
        <f>IFERROR(VLOOKUP(Tablo517[[#This Row],[ÜRÜN KODU]],YMKODLARI!$A$1:$K$363,5,0)," ")</f>
        <v xml:space="preserve"> </v>
      </c>
      <c r="R425" s="100" t="str">
        <f>IFERROR(VLOOKUP(Tablo517[[#This Row],[ÜRÜN KODU]],YMKODLARI!$A$1:$K$363,6,0)," ")</f>
        <v xml:space="preserve"> </v>
      </c>
      <c r="S425" s="100" t="str">
        <f>IFERROR(Tablo517[[#This Row],[YOLLUK HARİÇ BASKI GRAMI]]/Tablo517[[#This Row],[KALIP GÖZ ADEDİ]]," ")</f>
        <v xml:space="preserve"> </v>
      </c>
      <c r="T425" s="100" t="str">
        <f t="shared" si="45"/>
        <v xml:space="preserve"> </v>
      </c>
      <c r="U425" s="100"/>
      <c r="V425" s="100" t="str">
        <f t="shared" si="44"/>
        <v xml:space="preserve"> </v>
      </c>
      <c r="W425" s="101">
        <f t="shared" si="46"/>
        <v>24</v>
      </c>
      <c r="X425" s="102">
        <f t="shared" si="47"/>
        <v>0</v>
      </c>
      <c r="Y425" s="100" t="str">
        <f t="shared" si="48"/>
        <v xml:space="preserve"> </v>
      </c>
      <c r="Z425" s="100" t="str">
        <f t="shared" si="49"/>
        <v xml:space="preserve"> </v>
      </c>
    </row>
    <row r="426" spans="1:26">
      <c r="A426" s="100"/>
      <c r="B426" s="108" t="str">
        <f>IFERROR(VLOOKUP(Tablo517[[#This Row],[ÜRÜN KODU]],YMKODLARI!$A$1:$K$363,2,0)," ")</f>
        <v xml:space="preserve"> </v>
      </c>
      <c r="C426" s="99"/>
      <c r="D426" s="100"/>
      <c r="E426" s="101"/>
      <c r="F426" s="101"/>
      <c r="G426" s="100" t="str">
        <f>IFERROR(VLOOKUP(Tablo517[[#This Row],[ÜRÜN KODU]],YMKODLARI!$A$1:$K$363,3,0)," ")</f>
        <v xml:space="preserve"> </v>
      </c>
      <c r="H426" s="100" t="str">
        <f>IFERROR(VLOOKUP(Tablo517[[#This Row],[ÜRÜN KODU]],YMKODLARI!$A$1:$K$363,4,0)," ")</f>
        <v xml:space="preserve"> </v>
      </c>
      <c r="I426" s="100"/>
      <c r="J426" s="100" t="str">
        <f>IFERROR(VLOOKUP(Tablo517[[#This Row],[ÜRÜN KODU]],YMKODLARI!$A$1:$K$363,9,0)," ")</f>
        <v xml:space="preserve"> </v>
      </c>
      <c r="K426" s="100" t="str">
        <f>IFERROR(VLOOKUP(Tablo517[[#This Row],[BOYA KODU]],Tablo14[#All],4,0)," ")</f>
        <v xml:space="preserve"> </v>
      </c>
      <c r="L426" s="100" t="str">
        <f>IFERROR(VLOOKUP(Tablo517[[#This Row],[BOYA KODU]],Tablo14[#All],6,0)," ")</f>
        <v xml:space="preserve"> </v>
      </c>
      <c r="M426" s="100" t="str">
        <f t="shared" si="43"/>
        <v xml:space="preserve"> </v>
      </c>
      <c r="N426" s="100" t="str">
        <f>IFERROR(VLOOKUP(Tablo517[[#This Row],[ÜRÜN KODU]],YMKODLARI!$A$1:$K$363,8,0)," ")</f>
        <v xml:space="preserve"> </v>
      </c>
      <c r="O426" s="100" t="str">
        <f>IFERROR(VLOOKUP(Tablo517[[#This Row],[HAMMADDE KODU]],Tablo1[#All],3,0)," ")</f>
        <v xml:space="preserve"> </v>
      </c>
      <c r="P426" s="100" t="str">
        <f>IFERROR(VLOOKUP(Tablo517[[#This Row],[HAMMADDE KODU]],Tablo1[#All],4,0)," ")</f>
        <v xml:space="preserve"> </v>
      </c>
      <c r="Q426" s="100" t="str">
        <f>IFERROR(VLOOKUP(Tablo517[[#This Row],[ÜRÜN KODU]],YMKODLARI!$A$1:$K$363,5,0)," ")</f>
        <v xml:space="preserve"> </v>
      </c>
      <c r="R426" s="100" t="str">
        <f>IFERROR(VLOOKUP(Tablo517[[#This Row],[ÜRÜN KODU]],YMKODLARI!$A$1:$K$363,6,0)," ")</f>
        <v xml:space="preserve"> </v>
      </c>
      <c r="S426" s="100" t="str">
        <f>IFERROR(Tablo517[[#This Row],[YOLLUK HARİÇ BASKI GRAMI]]/Tablo517[[#This Row],[KALIP GÖZ ADEDİ]]," ")</f>
        <v xml:space="preserve"> </v>
      </c>
      <c r="T426" s="100" t="str">
        <f t="shared" si="45"/>
        <v xml:space="preserve"> </v>
      </c>
      <c r="U426" s="100"/>
      <c r="V426" s="100" t="str">
        <f t="shared" si="44"/>
        <v xml:space="preserve"> </v>
      </c>
      <c r="W426" s="101">
        <f t="shared" si="46"/>
        <v>24</v>
      </c>
      <c r="X426" s="102">
        <f t="shared" si="47"/>
        <v>0</v>
      </c>
      <c r="Y426" s="100" t="str">
        <f t="shared" si="48"/>
        <v xml:space="preserve"> </v>
      </c>
      <c r="Z426" s="100" t="str">
        <f t="shared" si="49"/>
        <v xml:space="preserve"> </v>
      </c>
    </row>
    <row r="427" spans="1:26">
      <c r="A427" s="100"/>
      <c r="B427" s="108" t="str">
        <f>IFERROR(VLOOKUP(Tablo517[[#This Row],[ÜRÜN KODU]],YMKODLARI!$A$1:$K$363,2,0)," ")</f>
        <v xml:space="preserve"> </v>
      </c>
      <c r="C427" s="99"/>
      <c r="D427" s="100"/>
      <c r="E427" s="101"/>
      <c r="F427" s="101"/>
      <c r="G427" s="100" t="str">
        <f>IFERROR(VLOOKUP(Tablo517[[#This Row],[ÜRÜN KODU]],YMKODLARI!$A$1:$K$363,3,0)," ")</f>
        <v xml:space="preserve"> </v>
      </c>
      <c r="H427" s="100" t="str">
        <f>IFERROR(VLOOKUP(Tablo517[[#This Row],[ÜRÜN KODU]],YMKODLARI!$A$1:$K$363,4,0)," ")</f>
        <v xml:space="preserve"> </v>
      </c>
      <c r="I427" s="100"/>
      <c r="J427" s="100" t="str">
        <f>IFERROR(VLOOKUP(Tablo517[[#This Row],[ÜRÜN KODU]],YMKODLARI!$A$1:$K$363,9,0)," ")</f>
        <v xml:space="preserve"> </v>
      </c>
      <c r="K427" s="100" t="str">
        <f>IFERROR(VLOOKUP(Tablo517[[#This Row],[BOYA KODU]],Tablo14[#All],4,0)," ")</f>
        <v xml:space="preserve"> </v>
      </c>
      <c r="L427" s="100" t="str">
        <f>IFERROR(VLOOKUP(Tablo517[[#This Row],[BOYA KODU]],Tablo14[#All],6,0)," ")</f>
        <v xml:space="preserve"> </v>
      </c>
      <c r="M427" s="100" t="str">
        <f t="shared" si="43"/>
        <v xml:space="preserve"> </v>
      </c>
      <c r="N427" s="100" t="str">
        <f>IFERROR(VLOOKUP(Tablo517[[#This Row],[ÜRÜN KODU]],YMKODLARI!$A$1:$K$363,8,0)," ")</f>
        <v xml:space="preserve"> </v>
      </c>
      <c r="O427" s="100" t="str">
        <f>IFERROR(VLOOKUP(Tablo517[[#This Row],[HAMMADDE KODU]],Tablo1[#All],3,0)," ")</f>
        <v xml:space="preserve"> </v>
      </c>
      <c r="P427" s="100" t="str">
        <f>IFERROR(VLOOKUP(Tablo517[[#This Row],[HAMMADDE KODU]],Tablo1[#All],4,0)," ")</f>
        <v xml:space="preserve"> </v>
      </c>
      <c r="Q427" s="100" t="str">
        <f>IFERROR(VLOOKUP(Tablo517[[#This Row],[ÜRÜN KODU]],YMKODLARI!$A$1:$K$363,5,0)," ")</f>
        <v xml:space="preserve"> </v>
      </c>
      <c r="R427" s="100" t="str">
        <f>IFERROR(VLOOKUP(Tablo517[[#This Row],[ÜRÜN KODU]],YMKODLARI!$A$1:$K$363,6,0)," ")</f>
        <v xml:space="preserve"> </v>
      </c>
      <c r="S427" s="100" t="str">
        <f>IFERROR(Tablo517[[#This Row],[YOLLUK HARİÇ BASKI GRAMI]]/Tablo517[[#This Row],[KALIP GÖZ ADEDİ]]," ")</f>
        <v xml:space="preserve"> </v>
      </c>
      <c r="T427" s="100" t="str">
        <f t="shared" si="45"/>
        <v xml:space="preserve"> </v>
      </c>
      <c r="U427" s="100"/>
      <c r="V427" s="100" t="str">
        <f t="shared" si="44"/>
        <v xml:space="preserve"> </v>
      </c>
      <c r="W427" s="101">
        <f t="shared" si="46"/>
        <v>24</v>
      </c>
      <c r="X427" s="102">
        <f t="shared" si="47"/>
        <v>0</v>
      </c>
      <c r="Y427" s="100" t="str">
        <f t="shared" si="48"/>
        <v xml:space="preserve"> </v>
      </c>
      <c r="Z427" s="100" t="str">
        <f t="shared" si="49"/>
        <v xml:space="preserve"> </v>
      </c>
    </row>
    <row r="428" spans="1:26">
      <c r="A428" s="100"/>
      <c r="B428" s="108" t="str">
        <f>IFERROR(VLOOKUP(Tablo517[[#This Row],[ÜRÜN KODU]],YMKODLARI!$A$1:$K$363,2,0)," ")</f>
        <v xml:space="preserve"> </v>
      </c>
      <c r="C428" s="99"/>
      <c r="D428" s="100"/>
      <c r="E428" s="101"/>
      <c r="F428" s="101"/>
      <c r="G428" s="100" t="str">
        <f>IFERROR(VLOOKUP(Tablo517[[#This Row],[ÜRÜN KODU]],YMKODLARI!$A$1:$K$363,3,0)," ")</f>
        <v xml:space="preserve"> </v>
      </c>
      <c r="H428" s="100" t="str">
        <f>IFERROR(VLOOKUP(Tablo517[[#This Row],[ÜRÜN KODU]],YMKODLARI!$A$1:$K$363,4,0)," ")</f>
        <v xml:space="preserve"> </v>
      </c>
      <c r="I428" s="100"/>
      <c r="J428" s="100" t="str">
        <f>IFERROR(VLOOKUP(Tablo517[[#This Row],[ÜRÜN KODU]],YMKODLARI!$A$1:$K$363,9,0)," ")</f>
        <v xml:space="preserve"> </v>
      </c>
      <c r="K428" s="100" t="str">
        <f>IFERROR(VLOOKUP(Tablo517[[#This Row],[BOYA KODU]],Tablo14[#All],4,0)," ")</f>
        <v xml:space="preserve"> </v>
      </c>
      <c r="L428" s="100" t="str">
        <f>IFERROR(VLOOKUP(Tablo517[[#This Row],[BOYA KODU]],Tablo14[#All],6,0)," ")</f>
        <v xml:space="preserve"> </v>
      </c>
      <c r="M428" s="100" t="str">
        <f t="shared" si="43"/>
        <v xml:space="preserve"> </v>
      </c>
      <c r="N428" s="100" t="str">
        <f>IFERROR(VLOOKUP(Tablo517[[#This Row],[ÜRÜN KODU]],YMKODLARI!$A$1:$K$363,8,0)," ")</f>
        <v xml:space="preserve"> </v>
      </c>
      <c r="O428" s="100" t="str">
        <f>IFERROR(VLOOKUP(Tablo517[[#This Row],[HAMMADDE KODU]],Tablo1[#All],3,0)," ")</f>
        <v xml:space="preserve"> </v>
      </c>
      <c r="P428" s="100" t="str">
        <f>IFERROR(VLOOKUP(Tablo517[[#This Row],[HAMMADDE KODU]],Tablo1[#All],4,0)," ")</f>
        <v xml:space="preserve"> </v>
      </c>
      <c r="Q428" s="100" t="str">
        <f>IFERROR(VLOOKUP(Tablo517[[#This Row],[ÜRÜN KODU]],YMKODLARI!$A$1:$K$363,5,0)," ")</f>
        <v xml:space="preserve"> </v>
      </c>
      <c r="R428" s="100" t="str">
        <f>IFERROR(VLOOKUP(Tablo517[[#This Row],[ÜRÜN KODU]],YMKODLARI!$A$1:$K$363,6,0)," ")</f>
        <v xml:space="preserve"> </v>
      </c>
      <c r="S428" s="100" t="str">
        <f>IFERROR(Tablo517[[#This Row],[YOLLUK HARİÇ BASKI GRAMI]]/Tablo517[[#This Row],[KALIP GÖZ ADEDİ]]," ")</f>
        <v xml:space="preserve"> </v>
      </c>
      <c r="T428" s="100" t="str">
        <f t="shared" si="45"/>
        <v xml:space="preserve"> </v>
      </c>
      <c r="U428" s="100"/>
      <c r="V428" s="100" t="str">
        <f t="shared" si="44"/>
        <v xml:space="preserve"> </v>
      </c>
      <c r="W428" s="101">
        <f t="shared" si="46"/>
        <v>24</v>
      </c>
      <c r="X428" s="102">
        <f t="shared" si="47"/>
        <v>0</v>
      </c>
      <c r="Y428" s="100" t="str">
        <f t="shared" si="48"/>
        <v xml:space="preserve"> </v>
      </c>
      <c r="Z428" s="100" t="str">
        <f t="shared" si="49"/>
        <v xml:space="preserve"> </v>
      </c>
    </row>
    <row r="429" spans="1:26">
      <c r="A429" s="100"/>
      <c r="B429" s="108" t="str">
        <f>IFERROR(VLOOKUP(Tablo517[[#This Row],[ÜRÜN KODU]],YMKODLARI!$A$1:$K$363,2,0)," ")</f>
        <v xml:space="preserve"> </v>
      </c>
      <c r="C429" s="99"/>
      <c r="D429" s="100"/>
      <c r="E429" s="101"/>
      <c r="F429" s="101"/>
      <c r="G429" s="100" t="str">
        <f>IFERROR(VLOOKUP(Tablo517[[#This Row],[ÜRÜN KODU]],YMKODLARI!$A$1:$K$363,3,0)," ")</f>
        <v xml:space="preserve"> </v>
      </c>
      <c r="H429" s="100" t="str">
        <f>IFERROR(VLOOKUP(Tablo517[[#This Row],[ÜRÜN KODU]],YMKODLARI!$A$1:$K$363,4,0)," ")</f>
        <v xml:space="preserve"> </v>
      </c>
      <c r="I429" s="100"/>
      <c r="J429" s="100" t="str">
        <f>IFERROR(VLOOKUP(Tablo517[[#This Row],[ÜRÜN KODU]],YMKODLARI!$A$1:$K$363,9,0)," ")</f>
        <v xml:space="preserve"> </v>
      </c>
      <c r="K429" s="100" t="str">
        <f>IFERROR(VLOOKUP(Tablo517[[#This Row],[BOYA KODU]],Tablo14[#All],4,0)," ")</f>
        <v xml:space="preserve"> </v>
      </c>
      <c r="L429" s="100" t="str">
        <f>IFERROR(VLOOKUP(Tablo517[[#This Row],[BOYA KODU]],Tablo14[#All],6,0)," ")</f>
        <v xml:space="preserve"> </v>
      </c>
      <c r="M429" s="100" t="str">
        <f t="shared" si="43"/>
        <v xml:space="preserve"> </v>
      </c>
      <c r="N429" s="100" t="str">
        <f>IFERROR(VLOOKUP(Tablo517[[#This Row],[ÜRÜN KODU]],YMKODLARI!$A$1:$K$363,8,0)," ")</f>
        <v xml:space="preserve"> </v>
      </c>
      <c r="O429" s="100" t="str">
        <f>IFERROR(VLOOKUP(Tablo517[[#This Row],[HAMMADDE KODU]],Tablo1[#All],3,0)," ")</f>
        <v xml:space="preserve"> </v>
      </c>
      <c r="P429" s="100" t="str">
        <f>IFERROR(VLOOKUP(Tablo517[[#This Row],[HAMMADDE KODU]],Tablo1[#All],4,0)," ")</f>
        <v xml:space="preserve"> </v>
      </c>
      <c r="Q429" s="100" t="str">
        <f>IFERROR(VLOOKUP(Tablo517[[#This Row],[ÜRÜN KODU]],YMKODLARI!$A$1:$K$363,5,0)," ")</f>
        <v xml:space="preserve"> </v>
      </c>
      <c r="R429" s="100" t="str">
        <f>IFERROR(VLOOKUP(Tablo517[[#This Row],[ÜRÜN KODU]],YMKODLARI!$A$1:$K$363,6,0)," ")</f>
        <v xml:space="preserve"> </v>
      </c>
      <c r="S429" s="100" t="str">
        <f>IFERROR(Tablo517[[#This Row],[YOLLUK HARİÇ BASKI GRAMI]]/Tablo517[[#This Row],[KALIP GÖZ ADEDİ]]," ")</f>
        <v xml:space="preserve"> </v>
      </c>
      <c r="T429" s="100" t="str">
        <f t="shared" si="45"/>
        <v xml:space="preserve"> </v>
      </c>
      <c r="U429" s="100"/>
      <c r="V429" s="100" t="str">
        <f t="shared" si="44"/>
        <v xml:space="preserve"> </v>
      </c>
      <c r="W429" s="101">
        <f t="shared" si="46"/>
        <v>24</v>
      </c>
      <c r="X429" s="102">
        <f t="shared" si="47"/>
        <v>0</v>
      </c>
      <c r="Y429" s="100" t="str">
        <f t="shared" si="48"/>
        <v xml:space="preserve"> </v>
      </c>
      <c r="Z429" s="100" t="str">
        <f t="shared" si="49"/>
        <v xml:space="preserve"> </v>
      </c>
    </row>
    <row r="430" spans="1:26">
      <c r="A430" s="100"/>
      <c r="B430" s="108" t="str">
        <f>IFERROR(VLOOKUP(Tablo517[[#This Row],[ÜRÜN KODU]],YMKODLARI!$A$1:$K$363,2,0)," ")</f>
        <v xml:space="preserve"> </v>
      </c>
      <c r="C430" s="99"/>
      <c r="D430" s="100"/>
      <c r="E430" s="101"/>
      <c r="F430" s="101"/>
      <c r="G430" s="100" t="str">
        <f>IFERROR(VLOOKUP(Tablo517[[#This Row],[ÜRÜN KODU]],YMKODLARI!$A$1:$K$363,3,0)," ")</f>
        <v xml:space="preserve"> </v>
      </c>
      <c r="H430" s="100" t="str">
        <f>IFERROR(VLOOKUP(Tablo517[[#This Row],[ÜRÜN KODU]],YMKODLARI!$A$1:$K$363,4,0)," ")</f>
        <v xml:space="preserve"> </v>
      </c>
      <c r="I430" s="100"/>
      <c r="J430" s="100" t="str">
        <f>IFERROR(VLOOKUP(Tablo517[[#This Row],[ÜRÜN KODU]],YMKODLARI!$A$1:$K$363,9,0)," ")</f>
        <v xml:space="preserve"> </v>
      </c>
      <c r="K430" s="100" t="str">
        <f>IFERROR(VLOOKUP(Tablo517[[#This Row],[BOYA KODU]],Tablo14[#All],4,0)," ")</f>
        <v xml:space="preserve"> </v>
      </c>
      <c r="L430" s="100" t="str">
        <f>IFERROR(VLOOKUP(Tablo517[[#This Row],[BOYA KODU]],Tablo14[#All],6,0)," ")</f>
        <v xml:space="preserve"> </v>
      </c>
      <c r="M430" s="100" t="str">
        <f t="shared" si="43"/>
        <v xml:space="preserve"> </v>
      </c>
      <c r="N430" s="100" t="str">
        <f>IFERROR(VLOOKUP(Tablo517[[#This Row],[ÜRÜN KODU]],YMKODLARI!$A$1:$K$363,8,0)," ")</f>
        <v xml:space="preserve"> </v>
      </c>
      <c r="O430" s="100" t="str">
        <f>IFERROR(VLOOKUP(Tablo517[[#This Row],[HAMMADDE KODU]],Tablo1[#All],3,0)," ")</f>
        <v xml:space="preserve"> </v>
      </c>
      <c r="P430" s="100" t="str">
        <f>IFERROR(VLOOKUP(Tablo517[[#This Row],[HAMMADDE KODU]],Tablo1[#All],4,0)," ")</f>
        <v xml:space="preserve"> </v>
      </c>
      <c r="Q430" s="100" t="str">
        <f>IFERROR(VLOOKUP(Tablo517[[#This Row],[ÜRÜN KODU]],YMKODLARI!$A$1:$K$363,5,0)," ")</f>
        <v xml:space="preserve"> </v>
      </c>
      <c r="R430" s="100" t="str">
        <f>IFERROR(VLOOKUP(Tablo517[[#This Row],[ÜRÜN KODU]],YMKODLARI!$A$1:$K$363,6,0)," ")</f>
        <v xml:space="preserve"> </v>
      </c>
      <c r="S430" s="100" t="str">
        <f>IFERROR(Tablo517[[#This Row],[YOLLUK HARİÇ BASKI GRAMI]]/Tablo517[[#This Row],[KALIP GÖZ ADEDİ]]," ")</f>
        <v xml:space="preserve"> </v>
      </c>
      <c r="T430" s="100" t="str">
        <f t="shared" si="45"/>
        <v xml:space="preserve"> </v>
      </c>
      <c r="U430" s="100"/>
      <c r="V430" s="100" t="str">
        <f t="shared" si="44"/>
        <v xml:space="preserve"> </v>
      </c>
      <c r="W430" s="101">
        <f t="shared" si="46"/>
        <v>24</v>
      </c>
      <c r="X430" s="102">
        <f t="shared" si="47"/>
        <v>0</v>
      </c>
      <c r="Y430" s="100" t="str">
        <f t="shared" si="48"/>
        <v xml:space="preserve"> </v>
      </c>
      <c r="Z430" s="100" t="str">
        <f t="shared" si="49"/>
        <v xml:space="preserve"> </v>
      </c>
    </row>
    <row r="431" spans="1:26">
      <c r="A431" s="100"/>
      <c r="B431" s="108" t="str">
        <f>IFERROR(VLOOKUP(Tablo517[[#This Row],[ÜRÜN KODU]],YMKODLARI!$A$1:$K$363,2,0)," ")</f>
        <v xml:space="preserve"> </v>
      </c>
      <c r="C431" s="99"/>
      <c r="D431" s="100"/>
      <c r="E431" s="101"/>
      <c r="F431" s="101"/>
      <c r="G431" s="100" t="str">
        <f>IFERROR(VLOOKUP(Tablo517[[#This Row],[ÜRÜN KODU]],YMKODLARI!$A$1:$K$363,3,0)," ")</f>
        <v xml:space="preserve"> </v>
      </c>
      <c r="H431" s="100" t="str">
        <f>IFERROR(VLOOKUP(Tablo517[[#This Row],[ÜRÜN KODU]],YMKODLARI!$A$1:$K$363,4,0)," ")</f>
        <v xml:space="preserve"> </v>
      </c>
      <c r="I431" s="100"/>
      <c r="J431" s="100" t="str">
        <f>IFERROR(VLOOKUP(Tablo517[[#This Row],[ÜRÜN KODU]],YMKODLARI!$A$1:$K$363,9,0)," ")</f>
        <v xml:space="preserve"> </v>
      </c>
      <c r="K431" s="100" t="str">
        <f>IFERROR(VLOOKUP(Tablo517[[#This Row],[BOYA KODU]],Tablo14[#All],4,0)," ")</f>
        <v xml:space="preserve"> </v>
      </c>
      <c r="L431" s="100" t="str">
        <f>IFERROR(VLOOKUP(Tablo517[[#This Row],[BOYA KODU]],Tablo14[#All],6,0)," ")</f>
        <v xml:space="preserve"> </v>
      </c>
      <c r="M431" s="100" t="str">
        <f t="shared" si="43"/>
        <v xml:space="preserve"> </v>
      </c>
      <c r="N431" s="100" t="str">
        <f>IFERROR(VLOOKUP(Tablo517[[#This Row],[ÜRÜN KODU]],YMKODLARI!$A$1:$K$363,8,0)," ")</f>
        <v xml:space="preserve"> </v>
      </c>
      <c r="O431" s="100" t="str">
        <f>IFERROR(VLOOKUP(Tablo517[[#This Row],[HAMMADDE KODU]],Tablo1[#All],3,0)," ")</f>
        <v xml:space="preserve"> </v>
      </c>
      <c r="P431" s="100" t="str">
        <f>IFERROR(VLOOKUP(Tablo517[[#This Row],[HAMMADDE KODU]],Tablo1[#All],4,0)," ")</f>
        <v xml:space="preserve"> </v>
      </c>
      <c r="Q431" s="100" t="str">
        <f>IFERROR(VLOOKUP(Tablo517[[#This Row],[ÜRÜN KODU]],YMKODLARI!$A$1:$K$363,5,0)," ")</f>
        <v xml:space="preserve"> </v>
      </c>
      <c r="R431" s="100" t="str">
        <f>IFERROR(VLOOKUP(Tablo517[[#This Row],[ÜRÜN KODU]],YMKODLARI!$A$1:$K$363,6,0)," ")</f>
        <v xml:space="preserve"> </v>
      </c>
      <c r="S431" s="100" t="str">
        <f>IFERROR(Tablo517[[#This Row],[YOLLUK HARİÇ BASKI GRAMI]]/Tablo517[[#This Row],[KALIP GÖZ ADEDİ]]," ")</f>
        <v xml:space="preserve"> </v>
      </c>
      <c r="T431" s="100" t="str">
        <f t="shared" si="45"/>
        <v xml:space="preserve"> </v>
      </c>
      <c r="U431" s="100"/>
      <c r="V431" s="100" t="str">
        <f t="shared" si="44"/>
        <v xml:space="preserve"> </v>
      </c>
      <c r="W431" s="101">
        <f t="shared" si="46"/>
        <v>24</v>
      </c>
      <c r="X431" s="102">
        <f t="shared" si="47"/>
        <v>0</v>
      </c>
      <c r="Y431" s="100" t="str">
        <f t="shared" si="48"/>
        <v xml:space="preserve"> </v>
      </c>
      <c r="Z431" s="100" t="str">
        <f t="shared" si="49"/>
        <v xml:space="preserve"> </v>
      </c>
    </row>
    <row r="432" spans="1:26">
      <c r="A432" s="100"/>
      <c r="B432" s="108" t="str">
        <f>IFERROR(VLOOKUP(Tablo517[[#This Row],[ÜRÜN KODU]],YMKODLARI!$A$1:$K$363,2,0)," ")</f>
        <v xml:space="preserve"> </v>
      </c>
      <c r="C432" s="99"/>
      <c r="D432" s="100"/>
      <c r="E432" s="101"/>
      <c r="F432" s="101"/>
      <c r="G432" s="100" t="str">
        <f>IFERROR(VLOOKUP(Tablo517[[#This Row],[ÜRÜN KODU]],YMKODLARI!$A$1:$K$363,3,0)," ")</f>
        <v xml:space="preserve"> </v>
      </c>
      <c r="H432" s="100" t="str">
        <f>IFERROR(VLOOKUP(Tablo517[[#This Row],[ÜRÜN KODU]],YMKODLARI!$A$1:$K$363,4,0)," ")</f>
        <v xml:space="preserve"> </v>
      </c>
      <c r="I432" s="100"/>
      <c r="J432" s="100" t="str">
        <f>IFERROR(VLOOKUP(Tablo517[[#This Row],[ÜRÜN KODU]],YMKODLARI!$A$1:$K$363,9,0)," ")</f>
        <v xml:space="preserve"> </v>
      </c>
      <c r="K432" s="100" t="str">
        <f>IFERROR(VLOOKUP(Tablo517[[#This Row],[BOYA KODU]],Tablo14[#All],4,0)," ")</f>
        <v xml:space="preserve"> </v>
      </c>
      <c r="L432" s="100" t="str">
        <f>IFERROR(VLOOKUP(Tablo517[[#This Row],[BOYA KODU]],Tablo14[#All],6,0)," ")</f>
        <v xml:space="preserve"> </v>
      </c>
      <c r="M432" s="100" t="str">
        <f t="shared" si="43"/>
        <v xml:space="preserve"> </v>
      </c>
      <c r="N432" s="100" t="str">
        <f>IFERROR(VLOOKUP(Tablo517[[#This Row],[ÜRÜN KODU]],YMKODLARI!$A$1:$K$363,8,0)," ")</f>
        <v xml:space="preserve"> </v>
      </c>
      <c r="O432" s="100" t="str">
        <f>IFERROR(VLOOKUP(Tablo517[[#This Row],[HAMMADDE KODU]],Tablo1[#All],3,0)," ")</f>
        <v xml:space="preserve"> </v>
      </c>
      <c r="P432" s="100" t="str">
        <f>IFERROR(VLOOKUP(Tablo517[[#This Row],[HAMMADDE KODU]],Tablo1[#All],4,0)," ")</f>
        <v xml:space="preserve"> </v>
      </c>
      <c r="Q432" s="100" t="str">
        <f>IFERROR(VLOOKUP(Tablo517[[#This Row],[ÜRÜN KODU]],YMKODLARI!$A$1:$K$363,5,0)," ")</f>
        <v xml:space="preserve"> </v>
      </c>
      <c r="R432" s="100" t="str">
        <f>IFERROR(VLOOKUP(Tablo517[[#This Row],[ÜRÜN KODU]],YMKODLARI!$A$1:$K$363,6,0)," ")</f>
        <v xml:space="preserve"> </v>
      </c>
      <c r="S432" s="100" t="str">
        <f>IFERROR(Tablo517[[#This Row],[YOLLUK HARİÇ BASKI GRAMI]]/Tablo517[[#This Row],[KALIP GÖZ ADEDİ]]," ")</f>
        <v xml:space="preserve"> </v>
      </c>
      <c r="T432" s="100" t="str">
        <f t="shared" si="45"/>
        <v xml:space="preserve"> </v>
      </c>
      <c r="U432" s="100"/>
      <c r="V432" s="100" t="str">
        <f t="shared" si="44"/>
        <v xml:space="preserve"> </v>
      </c>
      <c r="W432" s="101">
        <f t="shared" si="46"/>
        <v>24</v>
      </c>
      <c r="X432" s="102">
        <f t="shared" si="47"/>
        <v>0</v>
      </c>
      <c r="Y432" s="100" t="str">
        <f t="shared" si="48"/>
        <v xml:space="preserve"> </v>
      </c>
      <c r="Z432" s="100" t="str">
        <f t="shared" si="49"/>
        <v xml:space="preserve"> </v>
      </c>
    </row>
    <row r="433" spans="1:26">
      <c r="A433" s="100"/>
      <c r="B433" s="108" t="str">
        <f>IFERROR(VLOOKUP(Tablo517[[#This Row],[ÜRÜN KODU]],YMKODLARI!$A$1:$K$363,2,0)," ")</f>
        <v xml:space="preserve"> </v>
      </c>
      <c r="C433" s="99"/>
      <c r="D433" s="100"/>
      <c r="E433" s="101"/>
      <c r="F433" s="101"/>
      <c r="G433" s="100" t="str">
        <f>IFERROR(VLOOKUP(Tablo517[[#This Row],[ÜRÜN KODU]],YMKODLARI!$A$1:$K$363,3,0)," ")</f>
        <v xml:space="preserve"> </v>
      </c>
      <c r="H433" s="100" t="str">
        <f>IFERROR(VLOOKUP(Tablo517[[#This Row],[ÜRÜN KODU]],YMKODLARI!$A$1:$K$363,4,0)," ")</f>
        <v xml:space="preserve"> </v>
      </c>
      <c r="I433" s="100"/>
      <c r="J433" s="100" t="str">
        <f>IFERROR(VLOOKUP(Tablo517[[#This Row],[ÜRÜN KODU]],YMKODLARI!$A$1:$K$363,9,0)," ")</f>
        <v xml:space="preserve"> </v>
      </c>
      <c r="K433" s="100" t="str">
        <f>IFERROR(VLOOKUP(Tablo517[[#This Row],[BOYA KODU]],Tablo14[#All],4,0)," ")</f>
        <v xml:space="preserve"> </v>
      </c>
      <c r="L433" s="100" t="str">
        <f>IFERROR(VLOOKUP(Tablo517[[#This Row],[BOYA KODU]],Tablo14[#All],6,0)," ")</f>
        <v xml:space="preserve"> </v>
      </c>
      <c r="M433" s="100" t="str">
        <f t="shared" si="43"/>
        <v xml:space="preserve"> </v>
      </c>
      <c r="N433" s="100" t="str">
        <f>IFERROR(VLOOKUP(Tablo517[[#This Row],[ÜRÜN KODU]],YMKODLARI!$A$1:$K$363,8,0)," ")</f>
        <v xml:space="preserve"> </v>
      </c>
      <c r="O433" s="100" t="str">
        <f>IFERROR(VLOOKUP(Tablo517[[#This Row],[HAMMADDE KODU]],Tablo1[#All],3,0)," ")</f>
        <v xml:space="preserve"> </v>
      </c>
      <c r="P433" s="100" t="str">
        <f>IFERROR(VLOOKUP(Tablo517[[#This Row],[HAMMADDE KODU]],Tablo1[#All],4,0)," ")</f>
        <v xml:space="preserve"> </v>
      </c>
      <c r="Q433" s="100" t="str">
        <f>IFERROR(VLOOKUP(Tablo517[[#This Row],[ÜRÜN KODU]],YMKODLARI!$A$1:$K$363,5,0)," ")</f>
        <v xml:space="preserve"> </v>
      </c>
      <c r="R433" s="100" t="str">
        <f>IFERROR(VLOOKUP(Tablo517[[#This Row],[ÜRÜN KODU]],YMKODLARI!$A$1:$K$363,6,0)," ")</f>
        <v xml:space="preserve"> </v>
      </c>
      <c r="S433" s="100" t="str">
        <f>IFERROR(Tablo517[[#This Row],[YOLLUK HARİÇ BASKI GRAMI]]/Tablo517[[#This Row],[KALIP GÖZ ADEDİ]]," ")</f>
        <v xml:space="preserve"> </v>
      </c>
      <c r="T433" s="100" t="str">
        <f t="shared" si="45"/>
        <v xml:space="preserve"> </v>
      </c>
      <c r="U433" s="100"/>
      <c r="V433" s="100" t="str">
        <f t="shared" si="44"/>
        <v xml:space="preserve"> </v>
      </c>
      <c r="W433" s="101">
        <f t="shared" si="46"/>
        <v>24</v>
      </c>
      <c r="X433" s="102">
        <f t="shared" si="47"/>
        <v>0</v>
      </c>
      <c r="Y433" s="100" t="str">
        <f t="shared" si="48"/>
        <v xml:space="preserve"> </v>
      </c>
      <c r="Z433" s="100" t="str">
        <f t="shared" si="49"/>
        <v xml:space="preserve"> </v>
      </c>
    </row>
    <row r="434" spans="1:26">
      <c r="A434" s="100"/>
      <c r="B434" s="108" t="str">
        <f>IFERROR(VLOOKUP(Tablo517[[#This Row],[ÜRÜN KODU]],YMKODLARI!$A$1:$K$363,2,0)," ")</f>
        <v xml:space="preserve"> </v>
      </c>
      <c r="C434" s="99"/>
      <c r="D434" s="100"/>
      <c r="E434" s="101"/>
      <c r="F434" s="101"/>
      <c r="G434" s="100" t="str">
        <f>IFERROR(VLOOKUP(Tablo517[[#This Row],[ÜRÜN KODU]],YMKODLARI!$A$1:$K$363,3,0)," ")</f>
        <v xml:space="preserve"> </v>
      </c>
      <c r="H434" s="100" t="str">
        <f>IFERROR(VLOOKUP(Tablo517[[#This Row],[ÜRÜN KODU]],YMKODLARI!$A$1:$K$363,4,0)," ")</f>
        <v xml:space="preserve"> </v>
      </c>
      <c r="I434" s="100"/>
      <c r="J434" s="100" t="str">
        <f>IFERROR(VLOOKUP(Tablo517[[#This Row],[ÜRÜN KODU]],YMKODLARI!$A$1:$K$363,9,0)," ")</f>
        <v xml:space="preserve"> </v>
      </c>
      <c r="K434" s="100" t="str">
        <f>IFERROR(VLOOKUP(Tablo517[[#This Row],[BOYA KODU]],Tablo14[#All],4,0)," ")</f>
        <v xml:space="preserve"> </v>
      </c>
      <c r="L434" s="100" t="str">
        <f>IFERROR(VLOOKUP(Tablo517[[#This Row],[BOYA KODU]],Tablo14[#All],6,0)," ")</f>
        <v xml:space="preserve"> </v>
      </c>
      <c r="M434" s="100" t="str">
        <f t="shared" si="43"/>
        <v xml:space="preserve"> </v>
      </c>
      <c r="N434" s="100" t="str">
        <f>IFERROR(VLOOKUP(Tablo517[[#This Row],[ÜRÜN KODU]],YMKODLARI!$A$1:$K$363,8,0)," ")</f>
        <v xml:space="preserve"> </v>
      </c>
      <c r="O434" s="100" t="str">
        <f>IFERROR(VLOOKUP(Tablo517[[#This Row],[HAMMADDE KODU]],Tablo1[#All],3,0)," ")</f>
        <v xml:space="preserve"> </v>
      </c>
      <c r="P434" s="100" t="str">
        <f>IFERROR(VLOOKUP(Tablo517[[#This Row],[HAMMADDE KODU]],Tablo1[#All],4,0)," ")</f>
        <v xml:space="preserve"> </v>
      </c>
      <c r="Q434" s="100" t="str">
        <f>IFERROR(VLOOKUP(Tablo517[[#This Row],[ÜRÜN KODU]],YMKODLARI!$A$1:$K$363,5,0)," ")</f>
        <v xml:space="preserve"> </v>
      </c>
      <c r="R434" s="100" t="str">
        <f>IFERROR(VLOOKUP(Tablo517[[#This Row],[ÜRÜN KODU]],YMKODLARI!$A$1:$K$363,6,0)," ")</f>
        <v xml:space="preserve"> </v>
      </c>
      <c r="S434" s="100" t="str">
        <f>IFERROR(Tablo517[[#This Row],[YOLLUK HARİÇ BASKI GRAMI]]/Tablo517[[#This Row],[KALIP GÖZ ADEDİ]]," ")</f>
        <v xml:space="preserve"> </v>
      </c>
      <c r="T434" s="100" t="str">
        <f t="shared" si="45"/>
        <v xml:space="preserve"> </v>
      </c>
      <c r="U434" s="100"/>
      <c r="V434" s="100" t="str">
        <f t="shared" si="44"/>
        <v xml:space="preserve"> </v>
      </c>
      <c r="W434" s="101">
        <f t="shared" si="46"/>
        <v>24</v>
      </c>
      <c r="X434" s="102">
        <f t="shared" si="47"/>
        <v>0</v>
      </c>
      <c r="Y434" s="100" t="str">
        <f t="shared" si="48"/>
        <v xml:space="preserve"> </v>
      </c>
      <c r="Z434" s="100" t="str">
        <f t="shared" si="49"/>
        <v xml:space="preserve"> </v>
      </c>
    </row>
    <row r="435" spans="1:26">
      <c r="A435" s="100"/>
      <c r="B435" s="108" t="str">
        <f>IFERROR(VLOOKUP(Tablo517[[#This Row],[ÜRÜN KODU]],YMKODLARI!$A$1:$K$363,2,0)," ")</f>
        <v xml:space="preserve"> </v>
      </c>
      <c r="C435" s="99"/>
      <c r="D435" s="100"/>
      <c r="E435" s="101"/>
      <c r="F435" s="101"/>
      <c r="G435" s="100" t="str">
        <f>IFERROR(VLOOKUP(Tablo517[[#This Row],[ÜRÜN KODU]],YMKODLARI!$A$1:$K$363,3,0)," ")</f>
        <v xml:space="preserve"> </v>
      </c>
      <c r="H435" s="100" t="str">
        <f>IFERROR(VLOOKUP(Tablo517[[#This Row],[ÜRÜN KODU]],YMKODLARI!$A$1:$K$363,4,0)," ")</f>
        <v xml:space="preserve"> </v>
      </c>
      <c r="I435" s="100"/>
      <c r="J435" s="100" t="str">
        <f>IFERROR(VLOOKUP(Tablo517[[#This Row],[ÜRÜN KODU]],YMKODLARI!$A$1:$K$363,9,0)," ")</f>
        <v xml:space="preserve"> </v>
      </c>
      <c r="K435" s="100" t="str">
        <f>IFERROR(VLOOKUP(Tablo517[[#This Row],[BOYA KODU]],Tablo14[#All],4,0)," ")</f>
        <v xml:space="preserve"> </v>
      </c>
      <c r="L435" s="100" t="str">
        <f>IFERROR(VLOOKUP(Tablo517[[#This Row],[BOYA KODU]],Tablo14[#All],6,0)," ")</f>
        <v xml:space="preserve"> </v>
      </c>
      <c r="M435" s="100" t="str">
        <f t="shared" si="43"/>
        <v xml:space="preserve"> </v>
      </c>
      <c r="N435" s="100" t="str">
        <f>IFERROR(VLOOKUP(Tablo517[[#This Row],[ÜRÜN KODU]],YMKODLARI!$A$1:$K$363,8,0)," ")</f>
        <v xml:space="preserve"> </v>
      </c>
      <c r="O435" s="100" t="str">
        <f>IFERROR(VLOOKUP(Tablo517[[#This Row],[HAMMADDE KODU]],Tablo1[#All],3,0)," ")</f>
        <v xml:space="preserve"> </v>
      </c>
      <c r="P435" s="100" t="str">
        <f>IFERROR(VLOOKUP(Tablo517[[#This Row],[HAMMADDE KODU]],Tablo1[#All],4,0)," ")</f>
        <v xml:space="preserve"> </v>
      </c>
      <c r="Q435" s="100" t="str">
        <f>IFERROR(VLOOKUP(Tablo517[[#This Row],[ÜRÜN KODU]],YMKODLARI!$A$1:$K$363,5,0)," ")</f>
        <v xml:space="preserve"> </v>
      </c>
      <c r="R435" s="100" t="str">
        <f>IFERROR(VLOOKUP(Tablo517[[#This Row],[ÜRÜN KODU]],YMKODLARI!$A$1:$K$363,6,0)," ")</f>
        <v xml:space="preserve"> </v>
      </c>
      <c r="S435" s="100" t="str">
        <f>IFERROR(Tablo517[[#This Row],[YOLLUK HARİÇ BASKI GRAMI]]/Tablo517[[#This Row],[KALIP GÖZ ADEDİ]]," ")</f>
        <v xml:space="preserve"> </v>
      </c>
      <c r="T435" s="100" t="str">
        <f t="shared" si="45"/>
        <v xml:space="preserve"> </v>
      </c>
      <c r="U435" s="100"/>
      <c r="V435" s="100" t="str">
        <f t="shared" si="44"/>
        <v xml:space="preserve"> </v>
      </c>
      <c r="W435" s="101">
        <f t="shared" si="46"/>
        <v>24</v>
      </c>
      <c r="X435" s="102">
        <f t="shared" si="47"/>
        <v>0</v>
      </c>
      <c r="Y435" s="100" t="str">
        <f t="shared" si="48"/>
        <v xml:space="preserve"> </v>
      </c>
      <c r="Z435" s="100" t="str">
        <f t="shared" si="49"/>
        <v xml:space="preserve"> </v>
      </c>
    </row>
    <row r="436" spans="1:26">
      <c r="A436" s="100"/>
      <c r="B436" s="108" t="str">
        <f>IFERROR(VLOOKUP(Tablo517[[#This Row],[ÜRÜN KODU]],YMKODLARI!$A$1:$K$363,2,0)," ")</f>
        <v xml:space="preserve"> </v>
      </c>
      <c r="C436" s="99"/>
      <c r="D436" s="100"/>
      <c r="E436" s="101"/>
      <c r="F436" s="101"/>
      <c r="G436" s="100" t="str">
        <f>IFERROR(VLOOKUP(Tablo517[[#This Row],[ÜRÜN KODU]],YMKODLARI!$A$1:$K$363,3,0)," ")</f>
        <v xml:space="preserve"> </v>
      </c>
      <c r="H436" s="100" t="str">
        <f>IFERROR(VLOOKUP(Tablo517[[#This Row],[ÜRÜN KODU]],YMKODLARI!$A$1:$K$363,4,0)," ")</f>
        <v xml:space="preserve"> </v>
      </c>
      <c r="I436" s="100"/>
      <c r="J436" s="100" t="str">
        <f>IFERROR(VLOOKUP(Tablo517[[#This Row],[ÜRÜN KODU]],YMKODLARI!$A$1:$K$363,9,0)," ")</f>
        <v xml:space="preserve"> </v>
      </c>
      <c r="K436" s="100" t="str">
        <f>IFERROR(VLOOKUP(Tablo517[[#This Row],[BOYA KODU]],Tablo14[#All],4,0)," ")</f>
        <v xml:space="preserve"> </v>
      </c>
      <c r="L436" s="100" t="str">
        <f>IFERROR(VLOOKUP(Tablo517[[#This Row],[BOYA KODU]],Tablo14[#All],6,0)," ")</f>
        <v xml:space="preserve"> </v>
      </c>
      <c r="M436" s="100" t="str">
        <f t="shared" si="43"/>
        <v xml:space="preserve"> </v>
      </c>
      <c r="N436" s="100" t="str">
        <f>IFERROR(VLOOKUP(Tablo517[[#This Row],[ÜRÜN KODU]],YMKODLARI!$A$1:$K$363,8,0)," ")</f>
        <v xml:space="preserve"> </v>
      </c>
      <c r="O436" s="100" t="str">
        <f>IFERROR(VLOOKUP(Tablo517[[#This Row],[HAMMADDE KODU]],Tablo1[#All],3,0)," ")</f>
        <v xml:space="preserve"> </v>
      </c>
      <c r="P436" s="100" t="str">
        <f>IFERROR(VLOOKUP(Tablo517[[#This Row],[HAMMADDE KODU]],Tablo1[#All],4,0)," ")</f>
        <v xml:space="preserve"> </v>
      </c>
      <c r="Q436" s="100" t="str">
        <f>IFERROR(VLOOKUP(Tablo517[[#This Row],[ÜRÜN KODU]],YMKODLARI!$A$1:$K$363,5,0)," ")</f>
        <v xml:space="preserve"> </v>
      </c>
      <c r="R436" s="100" t="str">
        <f>IFERROR(VLOOKUP(Tablo517[[#This Row],[ÜRÜN KODU]],YMKODLARI!$A$1:$K$363,6,0)," ")</f>
        <v xml:space="preserve"> </v>
      </c>
      <c r="S436" s="100" t="str">
        <f>IFERROR(Tablo517[[#This Row],[YOLLUK HARİÇ BASKI GRAMI]]/Tablo517[[#This Row],[KALIP GÖZ ADEDİ]]," ")</f>
        <v xml:space="preserve"> </v>
      </c>
      <c r="T436" s="100" t="str">
        <f t="shared" si="45"/>
        <v xml:space="preserve"> </v>
      </c>
      <c r="U436" s="100"/>
      <c r="V436" s="100" t="str">
        <f t="shared" si="44"/>
        <v xml:space="preserve"> </v>
      </c>
      <c r="W436" s="101">
        <f t="shared" si="46"/>
        <v>24</v>
      </c>
      <c r="X436" s="102">
        <f t="shared" si="47"/>
        <v>0</v>
      </c>
      <c r="Y436" s="100" t="str">
        <f t="shared" si="48"/>
        <v xml:space="preserve"> </v>
      </c>
      <c r="Z436" s="100" t="str">
        <f t="shared" si="49"/>
        <v xml:space="preserve"> </v>
      </c>
    </row>
    <row r="437" spans="1:26">
      <c r="A437" s="100"/>
      <c r="B437" s="108" t="str">
        <f>IFERROR(VLOOKUP(Tablo517[[#This Row],[ÜRÜN KODU]],YMKODLARI!$A$1:$K$363,2,0)," ")</f>
        <v xml:space="preserve"> </v>
      </c>
      <c r="C437" s="99"/>
      <c r="D437" s="100"/>
      <c r="E437" s="101"/>
      <c r="F437" s="101"/>
      <c r="G437" s="100" t="str">
        <f>IFERROR(VLOOKUP(Tablo517[[#This Row],[ÜRÜN KODU]],YMKODLARI!$A$1:$K$363,3,0)," ")</f>
        <v xml:space="preserve"> </v>
      </c>
      <c r="H437" s="100" t="str">
        <f>IFERROR(VLOOKUP(Tablo517[[#This Row],[ÜRÜN KODU]],YMKODLARI!$A$1:$K$363,4,0)," ")</f>
        <v xml:space="preserve"> </v>
      </c>
      <c r="I437" s="100"/>
      <c r="J437" s="100" t="str">
        <f>IFERROR(VLOOKUP(Tablo517[[#This Row],[ÜRÜN KODU]],YMKODLARI!$A$1:$K$363,9,0)," ")</f>
        <v xml:space="preserve"> </v>
      </c>
      <c r="K437" s="100" t="str">
        <f>IFERROR(VLOOKUP(Tablo517[[#This Row],[BOYA KODU]],Tablo14[#All],4,0)," ")</f>
        <v xml:space="preserve"> </v>
      </c>
      <c r="L437" s="100" t="str">
        <f>IFERROR(VLOOKUP(Tablo517[[#This Row],[BOYA KODU]],Tablo14[#All],6,0)," ")</f>
        <v xml:space="preserve"> </v>
      </c>
      <c r="M437" s="100" t="str">
        <f t="shared" si="43"/>
        <v xml:space="preserve"> </v>
      </c>
      <c r="N437" s="100" t="str">
        <f>IFERROR(VLOOKUP(Tablo517[[#This Row],[ÜRÜN KODU]],YMKODLARI!$A$1:$K$363,8,0)," ")</f>
        <v xml:space="preserve"> </v>
      </c>
      <c r="O437" s="100" t="str">
        <f>IFERROR(VLOOKUP(Tablo517[[#This Row],[HAMMADDE KODU]],Tablo1[#All],3,0)," ")</f>
        <v xml:space="preserve"> </v>
      </c>
      <c r="P437" s="100" t="str">
        <f>IFERROR(VLOOKUP(Tablo517[[#This Row],[HAMMADDE KODU]],Tablo1[#All],4,0)," ")</f>
        <v xml:space="preserve"> </v>
      </c>
      <c r="Q437" s="100" t="str">
        <f>IFERROR(VLOOKUP(Tablo517[[#This Row],[ÜRÜN KODU]],YMKODLARI!$A$1:$K$363,5,0)," ")</f>
        <v xml:space="preserve"> </v>
      </c>
      <c r="R437" s="100" t="str">
        <f>IFERROR(VLOOKUP(Tablo517[[#This Row],[ÜRÜN KODU]],YMKODLARI!$A$1:$K$363,6,0)," ")</f>
        <v xml:space="preserve"> </v>
      </c>
      <c r="S437" s="100" t="str">
        <f>IFERROR(Tablo517[[#This Row],[YOLLUK HARİÇ BASKI GRAMI]]/Tablo517[[#This Row],[KALIP GÖZ ADEDİ]]," ")</f>
        <v xml:space="preserve"> </v>
      </c>
      <c r="T437" s="100" t="str">
        <f t="shared" si="45"/>
        <v xml:space="preserve"> </v>
      </c>
      <c r="U437" s="100"/>
      <c r="V437" s="100" t="str">
        <f t="shared" si="44"/>
        <v xml:space="preserve"> </v>
      </c>
      <c r="W437" s="101">
        <f t="shared" si="46"/>
        <v>24</v>
      </c>
      <c r="X437" s="102">
        <f t="shared" si="47"/>
        <v>0</v>
      </c>
      <c r="Y437" s="100" t="str">
        <f t="shared" si="48"/>
        <v xml:space="preserve"> </v>
      </c>
      <c r="Z437" s="100" t="str">
        <f t="shared" si="49"/>
        <v xml:space="preserve"> </v>
      </c>
    </row>
    <row r="438" spans="1:26">
      <c r="A438" s="100"/>
      <c r="B438" s="108" t="str">
        <f>IFERROR(VLOOKUP(Tablo517[[#This Row],[ÜRÜN KODU]],YMKODLARI!$A$1:$K$363,2,0)," ")</f>
        <v xml:space="preserve"> </v>
      </c>
      <c r="C438" s="99"/>
      <c r="D438" s="100"/>
      <c r="E438" s="101"/>
      <c r="F438" s="101"/>
      <c r="G438" s="100" t="str">
        <f>IFERROR(VLOOKUP(Tablo517[[#This Row],[ÜRÜN KODU]],YMKODLARI!$A$1:$K$363,3,0)," ")</f>
        <v xml:space="preserve"> </v>
      </c>
      <c r="H438" s="100" t="str">
        <f>IFERROR(VLOOKUP(Tablo517[[#This Row],[ÜRÜN KODU]],YMKODLARI!$A$1:$K$363,4,0)," ")</f>
        <v xml:space="preserve"> </v>
      </c>
      <c r="I438" s="100"/>
      <c r="J438" s="100" t="str">
        <f>IFERROR(VLOOKUP(Tablo517[[#This Row],[ÜRÜN KODU]],YMKODLARI!$A$1:$K$363,9,0)," ")</f>
        <v xml:space="preserve"> </v>
      </c>
      <c r="K438" s="100" t="str">
        <f>IFERROR(VLOOKUP(Tablo517[[#This Row],[BOYA KODU]],Tablo14[#All],4,0)," ")</f>
        <v xml:space="preserve"> </v>
      </c>
      <c r="L438" s="100" t="str">
        <f>IFERROR(VLOOKUP(Tablo517[[#This Row],[BOYA KODU]],Tablo14[#All],6,0)," ")</f>
        <v xml:space="preserve"> </v>
      </c>
      <c r="M438" s="100" t="str">
        <f t="shared" si="43"/>
        <v xml:space="preserve"> </v>
      </c>
      <c r="N438" s="100" t="str">
        <f>IFERROR(VLOOKUP(Tablo517[[#This Row],[ÜRÜN KODU]],YMKODLARI!$A$1:$K$363,8,0)," ")</f>
        <v xml:space="preserve"> </v>
      </c>
      <c r="O438" s="100" t="str">
        <f>IFERROR(VLOOKUP(Tablo517[[#This Row],[HAMMADDE KODU]],Tablo1[#All],3,0)," ")</f>
        <v xml:space="preserve"> </v>
      </c>
      <c r="P438" s="100" t="str">
        <f>IFERROR(VLOOKUP(Tablo517[[#This Row],[HAMMADDE KODU]],Tablo1[#All],4,0)," ")</f>
        <v xml:space="preserve"> </v>
      </c>
      <c r="Q438" s="100" t="str">
        <f>IFERROR(VLOOKUP(Tablo517[[#This Row],[ÜRÜN KODU]],YMKODLARI!$A$1:$K$363,5,0)," ")</f>
        <v xml:space="preserve"> </v>
      </c>
      <c r="R438" s="100" t="str">
        <f>IFERROR(VLOOKUP(Tablo517[[#This Row],[ÜRÜN KODU]],YMKODLARI!$A$1:$K$363,6,0)," ")</f>
        <v xml:space="preserve"> </v>
      </c>
      <c r="S438" s="100" t="str">
        <f>IFERROR(Tablo517[[#This Row],[YOLLUK HARİÇ BASKI GRAMI]]/Tablo517[[#This Row],[KALIP GÖZ ADEDİ]]," ")</f>
        <v xml:space="preserve"> </v>
      </c>
      <c r="T438" s="100" t="str">
        <f t="shared" si="45"/>
        <v xml:space="preserve"> </v>
      </c>
      <c r="U438" s="100"/>
      <c r="V438" s="100" t="str">
        <f t="shared" si="44"/>
        <v xml:space="preserve"> </v>
      </c>
      <c r="W438" s="101">
        <f t="shared" si="46"/>
        <v>24</v>
      </c>
      <c r="X438" s="102">
        <f t="shared" si="47"/>
        <v>0</v>
      </c>
      <c r="Y438" s="100" t="str">
        <f t="shared" si="48"/>
        <v xml:space="preserve"> </v>
      </c>
      <c r="Z438" s="100" t="str">
        <f t="shared" si="49"/>
        <v xml:space="preserve"> </v>
      </c>
    </row>
    <row r="439" spans="1:26">
      <c r="A439" s="100"/>
      <c r="B439" s="108" t="str">
        <f>IFERROR(VLOOKUP(Tablo517[[#This Row],[ÜRÜN KODU]],YMKODLARI!$A$1:$K$363,2,0)," ")</f>
        <v xml:space="preserve"> </v>
      </c>
      <c r="C439" s="99"/>
      <c r="D439" s="100"/>
      <c r="E439" s="101"/>
      <c r="F439" s="101"/>
      <c r="G439" s="100" t="str">
        <f>IFERROR(VLOOKUP(Tablo517[[#This Row],[ÜRÜN KODU]],YMKODLARI!$A$1:$K$363,3,0)," ")</f>
        <v xml:space="preserve"> </v>
      </c>
      <c r="H439" s="100" t="str">
        <f>IFERROR(VLOOKUP(Tablo517[[#This Row],[ÜRÜN KODU]],YMKODLARI!$A$1:$K$363,4,0)," ")</f>
        <v xml:space="preserve"> </v>
      </c>
      <c r="I439" s="100"/>
      <c r="J439" s="100" t="str">
        <f>IFERROR(VLOOKUP(Tablo517[[#This Row],[ÜRÜN KODU]],YMKODLARI!$A$1:$K$363,9,0)," ")</f>
        <v xml:space="preserve"> </v>
      </c>
      <c r="K439" s="100" t="str">
        <f>IFERROR(VLOOKUP(Tablo517[[#This Row],[BOYA KODU]],Tablo14[#All],4,0)," ")</f>
        <v xml:space="preserve"> </v>
      </c>
      <c r="L439" s="100" t="str">
        <f>IFERROR(VLOOKUP(Tablo517[[#This Row],[BOYA KODU]],Tablo14[#All],6,0)," ")</f>
        <v xml:space="preserve"> </v>
      </c>
      <c r="M439" s="100" t="str">
        <f t="shared" si="43"/>
        <v xml:space="preserve"> </v>
      </c>
      <c r="N439" s="100" t="str">
        <f>IFERROR(VLOOKUP(Tablo517[[#This Row],[ÜRÜN KODU]],YMKODLARI!$A$1:$K$363,8,0)," ")</f>
        <v xml:space="preserve"> </v>
      </c>
      <c r="O439" s="100" t="str">
        <f>IFERROR(VLOOKUP(Tablo517[[#This Row],[HAMMADDE KODU]],Tablo1[#All],3,0)," ")</f>
        <v xml:space="preserve"> </v>
      </c>
      <c r="P439" s="100" t="str">
        <f>IFERROR(VLOOKUP(Tablo517[[#This Row],[HAMMADDE KODU]],Tablo1[#All],4,0)," ")</f>
        <v xml:space="preserve"> </v>
      </c>
      <c r="Q439" s="100" t="str">
        <f>IFERROR(VLOOKUP(Tablo517[[#This Row],[ÜRÜN KODU]],YMKODLARI!$A$1:$K$363,5,0)," ")</f>
        <v xml:space="preserve"> </v>
      </c>
      <c r="R439" s="100" t="str">
        <f>IFERROR(VLOOKUP(Tablo517[[#This Row],[ÜRÜN KODU]],YMKODLARI!$A$1:$K$363,6,0)," ")</f>
        <v xml:space="preserve"> </v>
      </c>
      <c r="S439" s="100" t="str">
        <f>IFERROR(Tablo517[[#This Row],[YOLLUK HARİÇ BASKI GRAMI]]/Tablo517[[#This Row],[KALIP GÖZ ADEDİ]]," ")</f>
        <v xml:space="preserve"> </v>
      </c>
      <c r="T439" s="100" t="str">
        <f t="shared" si="45"/>
        <v xml:space="preserve"> </v>
      </c>
      <c r="U439" s="100"/>
      <c r="V439" s="100" t="str">
        <f t="shared" si="44"/>
        <v xml:space="preserve"> </v>
      </c>
      <c r="W439" s="101">
        <f t="shared" si="46"/>
        <v>24</v>
      </c>
      <c r="X439" s="102">
        <f t="shared" si="47"/>
        <v>0</v>
      </c>
      <c r="Y439" s="100" t="str">
        <f t="shared" si="48"/>
        <v xml:space="preserve"> </v>
      </c>
      <c r="Z439" s="100" t="str">
        <f t="shared" si="49"/>
        <v xml:space="preserve"> </v>
      </c>
    </row>
    <row r="440" spans="1:26">
      <c r="A440" s="100"/>
      <c r="B440" s="108" t="str">
        <f>IFERROR(VLOOKUP(Tablo517[[#This Row],[ÜRÜN KODU]],YMKODLARI!$A$1:$K$363,2,0)," ")</f>
        <v xml:space="preserve"> </v>
      </c>
      <c r="C440" s="99"/>
      <c r="D440" s="100"/>
      <c r="E440" s="101"/>
      <c r="F440" s="101"/>
      <c r="G440" s="100" t="str">
        <f>IFERROR(VLOOKUP(Tablo517[[#This Row],[ÜRÜN KODU]],YMKODLARI!$A$1:$K$363,3,0)," ")</f>
        <v xml:space="preserve"> </v>
      </c>
      <c r="H440" s="100" t="str">
        <f>IFERROR(VLOOKUP(Tablo517[[#This Row],[ÜRÜN KODU]],YMKODLARI!$A$1:$K$363,4,0)," ")</f>
        <v xml:space="preserve"> </v>
      </c>
      <c r="I440" s="100"/>
      <c r="J440" s="100" t="str">
        <f>IFERROR(VLOOKUP(Tablo517[[#This Row],[ÜRÜN KODU]],YMKODLARI!$A$1:$K$363,9,0)," ")</f>
        <v xml:space="preserve"> </v>
      </c>
      <c r="K440" s="100" t="str">
        <f>IFERROR(VLOOKUP(Tablo517[[#This Row],[BOYA KODU]],Tablo14[#All],4,0)," ")</f>
        <v xml:space="preserve"> </v>
      </c>
      <c r="L440" s="100" t="str">
        <f>IFERROR(VLOOKUP(Tablo517[[#This Row],[BOYA KODU]],Tablo14[#All],6,0)," ")</f>
        <v xml:space="preserve"> </v>
      </c>
      <c r="M440" s="100" t="str">
        <f t="shared" si="43"/>
        <v xml:space="preserve"> </v>
      </c>
      <c r="N440" s="100" t="str">
        <f>IFERROR(VLOOKUP(Tablo517[[#This Row],[ÜRÜN KODU]],YMKODLARI!$A$1:$K$363,8,0)," ")</f>
        <v xml:space="preserve"> </v>
      </c>
      <c r="O440" s="100" t="str">
        <f>IFERROR(VLOOKUP(Tablo517[[#This Row],[HAMMADDE KODU]],Tablo1[#All],3,0)," ")</f>
        <v xml:space="preserve"> </v>
      </c>
      <c r="P440" s="100" t="str">
        <f>IFERROR(VLOOKUP(Tablo517[[#This Row],[HAMMADDE KODU]],Tablo1[#All],4,0)," ")</f>
        <v xml:space="preserve"> </v>
      </c>
      <c r="Q440" s="100" t="str">
        <f>IFERROR(VLOOKUP(Tablo517[[#This Row],[ÜRÜN KODU]],YMKODLARI!$A$1:$K$363,5,0)," ")</f>
        <v xml:space="preserve"> </v>
      </c>
      <c r="R440" s="100" t="str">
        <f>IFERROR(VLOOKUP(Tablo517[[#This Row],[ÜRÜN KODU]],YMKODLARI!$A$1:$K$363,6,0)," ")</f>
        <v xml:space="preserve"> </v>
      </c>
      <c r="S440" s="100" t="str">
        <f>IFERROR(Tablo517[[#This Row],[YOLLUK HARİÇ BASKI GRAMI]]/Tablo517[[#This Row],[KALIP GÖZ ADEDİ]]," ")</f>
        <v xml:space="preserve"> </v>
      </c>
      <c r="T440" s="100" t="str">
        <f t="shared" si="45"/>
        <v xml:space="preserve"> </v>
      </c>
      <c r="U440" s="100"/>
      <c r="V440" s="100" t="str">
        <f t="shared" si="44"/>
        <v xml:space="preserve"> </v>
      </c>
      <c r="W440" s="101">
        <f t="shared" si="46"/>
        <v>24</v>
      </c>
      <c r="X440" s="102">
        <f t="shared" si="47"/>
        <v>0</v>
      </c>
      <c r="Y440" s="100" t="str">
        <f t="shared" si="48"/>
        <v xml:space="preserve"> </v>
      </c>
      <c r="Z440" s="100" t="str">
        <f t="shared" si="49"/>
        <v xml:space="preserve"> </v>
      </c>
    </row>
    <row r="441" spans="1:26">
      <c r="A441" s="100"/>
      <c r="B441" s="108" t="str">
        <f>IFERROR(VLOOKUP(Tablo517[[#This Row],[ÜRÜN KODU]],YMKODLARI!$A$1:$K$363,2,0)," ")</f>
        <v xml:space="preserve"> </v>
      </c>
      <c r="C441" s="99"/>
      <c r="D441" s="100"/>
      <c r="E441" s="101"/>
      <c r="F441" s="101"/>
      <c r="G441" s="100" t="str">
        <f>IFERROR(VLOOKUP(Tablo517[[#This Row],[ÜRÜN KODU]],YMKODLARI!$A$1:$K$363,3,0)," ")</f>
        <v xml:space="preserve"> </v>
      </c>
      <c r="H441" s="100" t="str">
        <f>IFERROR(VLOOKUP(Tablo517[[#This Row],[ÜRÜN KODU]],YMKODLARI!$A$1:$K$363,4,0)," ")</f>
        <v xml:space="preserve"> </v>
      </c>
      <c r="I441" s="100"/>
      <c r="J441" s="100" t="str">
        <f>IFERROR(VLOOKUP(Tablo517[[#This Row],[ÜRÜN KODU]],YMKODLARI!$A$1:$K$363,9,0)," ")</f>
        <v xml:space="preserve"> </v>
      </c>
      <c r="K441" s="100" t="str">
        <f>IFERROR(VLOOKUP(Tablo517[[#This Row],[BOYA KODU]],Tablo14[#All],4,0)," ")</f>
        <v xml:space="preserve"> </v>
      </c>
      <c r="L441" s="100" t="str">
        <f>IFERROR(VLOOKUP(Tablo517[[#This Row],[BOYA KODU]],Tablo14[#All],6,0)," ")</f>
        <v xml:space="preserve"> </v>
      </c>
      <c r="M441" s="100" t="str">
        <f t="shared" si="43"/>
        <v xml:space="preserve"> </v>
      </c>
      <c r="N441" s="100" t="str">
        <f>IFERROR(VLOOKUP(Tablo517[[#This Row],[ÜRÜN KODU]],YMKODLARI!$A$1:$K$363,8,0)," ")</f>
        <v xml:space="preserve"> </v>
      </c>
      <c r="O441" s="100" t="str">
        <f>IFERROR(VLOOKUP(Tablo517[[#This Row],[HAMMADDE KODU]],Tablo1[#All],3,0)," ")</f>
        <v xml:space="preserve"> </v>
      </c>
      <c r="P441" s="100" t="str">
        <f>IFERROR(VLOOKUP(Tablo517[[#This Row],[HAMMADDE KODU]],Tablo1[#All],4,0)," ")</f>
        <v xml:space="preserve"> </v>
      </c>
      <c r="Q441" s="100" t="str">
        <f>IFERROR(VLOOKUP(Tablo517[[#This Row],[ÜRÜN KODU]],YMKODLARI!$A$1:$K$363,5,0)," ")</f>
        <v xml:space="preserve"> </v>
      </c>
      <c r="R441" s="100" t="str">
        <f>IFERROR(VLOOKUP(Tablo517[[#This Row],[ÜRÜN KODU]],YMKODLARI!$A$1:$K$363,6,0)," ")</f>
        <v xml:space="preserve"> </v>
      </c>
      <c r="S441" s="100" t="str">
        <f>IFERROR(Tablo517[[#This Row],[YOLLUK HARİÇ BASKI GRAMI]]/Tablo517[[#This Row],[KALIP GÖZ ADEDİ]]," ")</f>
        <v xml:space="preserve"> </v>
      </c>
      <c r="T441" s="100" t="str">
        <f t="shared" si="45"/>
        <v xml:space="preserve"> </v>
      </c>
      <c r="U441" s="100"/>
      <c r="V441" s="100" t="str">
        <f t="shared" si="44"/>
        <v xml:space="preserve"> </v>
      </c>
      <c r="W441" s="101">
        <f t="shared" si="46"/>
        <v>24</v>
      </c>
      <c r="X441" s="102">
        <f t="shared" si="47"/>
        <v>0</v>
      </c>
      <c r="Y441" s="100" t="str">
        <f t="shared" si="48"/>
        <v xml:space="preserve"> </v>
      </c>
      <c r="Z441" s="100" t="str">
        <f t="shared" si="49"/>
        <v xml:space="preserve"> </v>
      </c>
    </row>
    <row r="442" spans="1:26">
      <c r="A442" s="100"/>
      <c r="B442" s="108" t="str">
        <f>IFERROR(VLOOKUP(Tablo517[[#This Row],[ÜRÜN KODU]],YMKODLARI!$A$1:$K$363,2,0)," ")</f>
        <v xml:space="preserve"> </v>
      </c>
      <c r="C442" s="99"/>
      <c r="D442" s="100"/>
      <c r="E442" s="101"/>
      <c r="F442" s="101"/>
      <c r="G442" s="100" t="str">
        <f>IFERROR(VLOOKUP(Tablo517[[#This Row],[ÜRÜN KODU]],YMKODLARI!$A$1:$K$363,3,0)," ")</f>
        <v xml:space="preserve"> </v>
      </c>
      <c r="H442" s="100" t="str">
        <f>IFERROR(VLOOKUP(Tablo517[[#This Row],[ÜRÜN KODU]],YMKODLARI!$A$1:$K$363,4,0)," ")</f>
        <v xml:space="preserve"> </v>
      </c>
      <c r="I442" s="100"/>
      <c r="J442" s="100" t="str">
        <f>IFERROR(VLOOKUP(Tablo517[[#This Row],[ÜRÜN KODU]],YMKODLARI!$A$1:$K$363,9,0)," ")</f>
        <v xml:space="preserve"> </v>
      </c>
      <c r="K442" s="100" t="str">
        <f>IFERROR(VLOOKUP(Tablo517[[#This Row],[BOYA KODU]],Tablo14[#All],4,0)," ")</f>
        <v xml:space="preserve"> </v>
      </c>
      <c r="L442" s="100" t="str">
        <f>IFERROR(VLOOKUP(Tablo517[[#This Row],[BOYA KODU]],Tablo14[#All],6,0)," ")</f>
        <v xml:space="preserve"> </v>
      </c>
      <c r="M442" s="100" t="str">
        <f t="shared" si="43"/>
        <v xml:space="preserve"> </v>
      </c>
      <c r="N442" s="100" t="str">
        <f>IFERROR(VLOOKUP(Tablo517[[#This Row],[ÜRÜN KODU]],YMKODLARI!$A$1:$K$363,8,0)," ")</f>
        <v xml:space="preserve"> </v>
      </c>
      <c r="O442" s="100" t="str">
        <f>IFERROR(VLOOKUP(Tablo517[[#This Row],[HAMMADDE KODU]],Tablo1[#All],3,0)," ")</f>
        <v xml:space="preserve"> </v>
      </c>
      <c r="P442" s="100" t="str">
        <f>IFERROR(VLOOKUP(Tablo517[[#This Row],[HAMMADDE KODU]],Tablo1[#All],4,0)," ")</f>
        <v xml:space="preserve"> </v>
      </c>
      <c r="Q442" s="100" t="str">
        <f>IFERROR(VLOOKUP(Tablo517[[#This Row],[ÜRÜN KODU]],YMKODLARI!$A$1:$K$363,5,0)," ")</f>
        <v xml:space="preserve"> </v>
      </c>
      <c r="R442" s="100" t="str">
        <f>IFERROR(VLOOKUP(Tablo517[[#This Row],[ÜRÜN KODU]],YMKODLARI!$A$1:$K$363,6,0)," ")</f>
        <v xml:space="preserve"> </v>
      </c>
      <c r="S442" s="100" t="str">
        <f>IFERROR(Tablo517[[#This Row],[YOLLUK HARİÇ BASKI GRAMI]]/Tablo517[[#This Row],[KALIP GÖZ ADEDİ]]," ")</f>
        <v xml:space="preserve"> </v>
      </c>
      <c r="T442" s="100" t="str">
        <f t="shared" si="45"/>
        <v xml:space="preserve"> </v>
      </c>
      <c r="U442" s="100"/>
      <c r="V442" s="100" t="str">
        <f t="shared" si="44"/>
        <v xml:space="preserve"> </v>
      </c>
      <c r="W442" s="101">
        <f t="shared" si="46"/>
        <v>24</v>
      </c>
      <c r="X442" s="102">
        <f t="shared" si="47"/>
        <v>0</v>
      </c>
      <c r="Y442" s="100" t="str">
        <f t="shared" si="48"/>
        <v xml:space="preserve"> </v>
      </c>
      <c r="Z442" s="100" t="str">
        <f t="shared" si="49"/>
        <v xml:space="preserve"> </v>
      </c>
    </row>
    <row r="443" spans="1:26">
      <c r="A443" s="100"/>
      <c r="B443" s="108" t="str">
        <f>IFERROR(VLOOKUP(Tablo517[[#This Row],[ÜRÜN KODU]],YMKODLARI!$A$1:$K$363,2,0)," ")</f>
        <v xml:space="preserve"> </v>
      </c>
      <c r="C443" s="99"/>
      <c r="D443" s="100"/>
      <c r="E443" s="101"/>
      <c r="F443" s="101"/>
      <c r="G443" s="100" t="str">
        <f>IFERROR(VLOOKUP(Tablo517[[#This Row],[ÜRÜN KODU]],YMKODLARI!$A$1:$K$363,3,0)," ")</f>
        <v xml:space="preserve"> </v>
      </c>
      <c r="H443" s="100" t="str">
        <f>IFERROR(VLOOKUP(Tablo517[[#This Row],[ÜRÜN KODU]],YMKODLARI!$A$1:$K$363,4,0)," ")</f>
        <v xml:space="preserve"> </v>
      </c>
      <c r="I443" s="100"/>
      <c r="J443" s="100" t="str">
        <f>IFERROR(VLOOKUP(Tablo517[[#This Row],[ÜRÜN KODU]],YMKODLARI!$A$1:$K$363,9,0)," ")</f>
        <v xml:space="preserve"> </v>
      </c>
      <c r="K443" s="100" t="str">
        <f>IFERROR(VLOOKUP(Tablo517[[#This Row],[BOYA KODU]],Tablo14[#All],4,0)," ")</f>
        <v xml:space="preserve"> </v>
      </c>
      <c r="L443" s="100" t="str">
        <f>IFERROR(VLOOKUP(Tablo517[[#This Row],[BOYA KODU]],Tablo14[#All],6,0)," ")</f>
        <v xml:space="preserve"> </v>
      </c>
      <c r="M443" s="100" t="str">
        <f t="shared" si="43"/>
        <v xml:space="preserve"> </v>
      </c>
      <c r="N443" s="100" t="str">
        <f>IFERROR(VLOOKUP(Tablo517[[#This Row],[ÜRÜN KODU]],YMKODLARI!$A$1:$K$363,8,0)," ")</f>
        <v xml:space="preserve"> </v>
      </c>
      <c r="O443" s="100" t="str">
        <f>IFERROR(VLOOKUP(Tablo517[[#This Row],[HAMMADDE KODU]],Tablo1[#All],3,0)," ")</f>
        <v xml:space="preserve"> </v>
      </c>
      <c r="P443" s="100" t="str">
        <f>IFERROR(VLOOKUP(Tablo517[[#This Row],[HAMMADDE KODU]],Tablo1[#All],4,0)," ")</f>
        <v xml:space="preserve"> </v>
      </c>
      <c r="Q443" s="100" t="str">
        <f>IFERROR(VLOOKUP(Tablo517[[#This Row],[ÜRÜN KODU]],YMKODLARI!$A$1:$K$363,5,0)," ")</f>
        <v xml:space="preserve"> </v>
      </c>
      <c r="R443" s="100" t="str">
        <f>IFERROR(VLOOKUP(Tablo517[[#This Row],[ÜRÜN KODU]],YMKODLARI!$A$1:$K$363,6,0)," ")</f>
        <v xml:space="preserve"> </v>
      </c>
      <c r="S443" s="100" t="str">
        <f>IFERROR(Tablo517[[#This Row],[YOLLUK HARİÇ BASKI GRAMI]]/Tablo517[[#This Row],[KALIP GÖZ ADEDİ]]," ")</f>
        <v xml:space="preserve"> </v>
      </c>
      <c r="T443" s="100" t="str">
        <f t="shared" si="45"/>
        <v xml:space="preserve"> </v>
      </c>
      <c r="U443" s="100"/>
      <c r="V443" s="100" t="str">
        <f t="shared" si="44"/>
        <v xml:space="preserve"> </v>
      </c>
      <c r="W443" s="101">
        <f t="shared" si="46"/>
        <v>24</v>
      </c>
      <c r="X443" s="102">
        <f t="shared" si="47"/>
        <v>0</v>
      </c>
      <c r="Y443" s="100" t="str">
        <f t="shared" si="48"/>
        <v xml:space="preserve"> </v>
      </c>
      <c r="Z443" s="100" t="str">
        <f t="shared" si="49"/>
        <v xml:space="preserve"> </v>
      </c>
    </row>
    <row r="444" spans="1:26">
      <c r="A444" s="100"/>
      <c r="B444" s="108" t="str">
        <f>IFERROR(VLOOKUP(Tablo517[[#This Row],[ÜRÜN KODU]],YMKODLARI!$A$1:$K$363,2,0)," ")</f>
        <v xml:space="preserve"> </v>
      </c>
      <c r="C444" s="99"/>
      <c r="D444" s="100"/>
      <c r="E444" s="101"/>
      <c r="F444" s="101"/>
      <c r="G444" s="100" t="str">
        <f>IFERROR(VLOOKUP(Tablo517[[#This Row],[ÜRÜN KODU]],YMKODLARI!$A$1:$K$363,3,0)," ")</f>
        <v xml:space="preserve"> </v>
      </c>
      <c r="H444" s="100" t="str">
        <f>IFERROR(VLOOKUP(Tablo517[[#This Row],[ÜRÜN KODU]],YMKODLARI!$A$1:$K$363,4,0)," ")</f>
        <v xml:space="preserve"> </v>
      </c>
      <c r="I444" s="100"/>
      <c r="J444" s="100" t="str">
        <f>IFERROR(VLOOKUP(Tablo517[[#This Row],[ÜRÜN KODU]],YMKODLARI!$A$1:$K$363,9,0)," ")</f>
        <v xml:space="preserve"> </v>
      </c>
      <c r="K444" s="100" t="str">
        <f>IFERROR(VLOOKUP(Tablo517[[#This Row],[BOYA KODU]],Tablo14[#All],4,0)," ")</f>
        <v xml:space="preserve"> </v>
      </c>
      <c r="L444" s="100" t="str">
        <f>IFERROR(VLOOKUP(Tablo517[[#This Row],[BOYA KODU]],Tablo14[#All],6,0)," ")</f>
        <v xml:space="preserve"> </v>
      </c>
      <c r="M444" s="100" t="str">
        <f t="shared" si="43"/>
        <v xml:space="preserve"> </v>
      </c>
      <c r="N444" s="100" t="str">
        <f>IFERROR(VLOOKUP(Tablo517[[#This Row],[ÜRÜN KODU]],YMKODLARI!$A$1:$K$363,8,0)," ")</f>
        <v xml:space="preserve"> </v>
      </c>
      <c r="O444" s="100" t="str">
        <f>IFERROR(VLOOKUP(Tablo517[[#This Row],[HAMMADDE KODU]],Tablo1[#All],3,0)," ")</f>
        <v xml:space="preserve"> </v>
      </c>
      <c r="P444" s="100" t="str">
        <f>IFERROR(VLOOKUP(Tablo517[[#This Row],[HAMMADDE KODU]],Tablo1[#All],4,0)," ")</f>
        <v xml:space="preserve"> </v>
      </c>
      <c r="Q444" s="100" t="str">
        <f>IFERROR(VLOOKUP(Tablo517[[#This Row],[ÜRÜN KODU]],YMKODLARI!$A$1:$K$363,5,0)," ")</f>
        <v xml:space="preserve"> </v>
      </c>
      <c r="R444" s="100" t="str">
        <f>IFERROR(VLOOKUP(Tablo517[[#This Row],[ÜRÜN KODU]],YMKODLARI!$A$1:$K$363,6,0)," ")</f>
        <v xml:space="preserve"> </v>
      </c>
      <c r="S444" s="100" t="str">
        <f>IFERROR(Tablo517[[#This Row],[YOLLUK HARİÇ BASKI GRAMI]]/Tablo517[[#This Row],[KALIP GÖZ ADEDİ]]," ")</f>
        <v xml:space="preserve"> </v>
      </c>
      <c r="T444" s="100" t="str">
        <f t="shared" si="45"/>
        <v xml:space="preserve"> </v>
      </c>
      <c r="U444" s="100"/>
      <c r="V444" s="100" t="str">
        <f t="shared" si="44"/>
        <v xml:space="preserve"> </v>
      </c>
      <c r="W444" s="101">
        <f t="shared" si="46"/>
        <v>24</v>
      </c>
      <c r="X444" s="102">
        <f t="shared" si="47"/>
        <v>0</v>
      </c>
      <c r="Y444" s="100" t="str">
        <f t="shared" si="48"/>
        <v xml:space="preserve"> </v>
      </c>
      <c r="Z444" s="100" t="str">
        <f t="shared" si="49"/>
        <v xml:space="preserve"> </v>
      </c>
    </row>
    <row r="445" spans="1:26">
      <c r="A445" s="100"/>
      <c r="B445" s="108" t="str">
        <f>IFERROR(VLOOKUP(Tablo517[[#This Row],[ÜRÜN KODU]],YMKODLARI!$A$1:$K$363,2,0)," ")</f>
        <v xml:space="preserve"> </v>
      </c>
      <c r="C445" s="99"/>
      <c r="D445" s="100"/>
      <c r="E445" s="101"/>
      <c r="F445" s="101"/>
      <c r="G445" s="100" t="str">
        <f>IFERROR(VLOOKUP(Tablo517[[#This Row],[ÜRÜN KODU]],YMKODLARI!$A$1:$K$363,3,0)," ")</f>
        <v xml:space="preserve"> </v>
      </c>
      <c r="H445" s="100" t="str">
        <f>IFERROR(VLOOKUP(Tablo517[[#This Row],[ÜRÜN KODU]],YMKODLARI!$A$1:$K$363,4,0)," ")</f>
        <v xml:space="preserve"> </v>
      </c>
      <c r="I445" s="100"/>
      <c r="J445" s="100" t="str">
        <f>IFERROR(VLOOKUP(Tablo517[[#This Row],[ÜRÜN KODU]],YMKODLARI!$A$1:$K$363,9,0)," ")</f>
        <v xml:space="preserve"> </v>
      </c>
      <c r="K445" s="100" t="str">
        <f>IFERROR(VLOOKUP(Tablo517[[#This Row],[BOYA KODU]],Tablo14[#All],4,0)," ")</f>
        <v xml:space="preserve"> </v>
      </c>
      <c r="L445" s="100" t="str">
        <f>IFERROR(VLOOKUP(Tablo517[[#This Row],[BOYA KODU]],Tablo14[#All],6,0)," ")</f>
        <v xml:space="preserve"> </v>
      </c>
      <c r="M445" s="100" t="str">
        <f t="shared" si="43"/>
        <v xml:space="preserve"> </v>
      </c>
      <c r="N445" s="100" t="str">
        <f>IFERROR(VLOOKUP(Tablo517[[#This Row],[ÜRÜN KODU]],YMKODLARI!$A$1:$K$363,8,0)," ")</f>
        <v xml:space="preserve"> </v>
      </c>
      <c r="O445" s="100" t="str">
        <f>IFERROR(VLOOKUP(Tablo517[[#This Row],[HAMMADDE KODU]],Tablo1[#All],3,0)," ")</f>
        <v xml:space="preserve"> </v>
      </c>
      <c r="P445" s="100" t="str">
        <f>IFERROR(VLOOKUP(Tablo517[[#This Row],[HAMMADDE KODU]],Tablo1[#All],4,0)," ")</f>
        <v xml:space="preserve"> </v>
      </c>
      <c r="Q445" s="100" t="str">
        <f>IFERROR(VLOOKUP(Tablo517[[#This Row],[ÜRÜN KODU]],YMKODLARI!$A$1:$K$363,5,0)," ")</f>
        <v xml:space="preserve"> </v>
      </c>
      <c r="R445" s="100" t="str">
        <f>IFERROR(VLOOKUP(Tablo517[[#This Row],[ÜRÜN KODU]],YMKODLARI!$A$1:$K$363,6,0)," ")</f>
        <v xml:space="preserve"> </v>
      </c>
      <c r="S445" s="100" t="str">
        <f>IFERROR(Tablo517[[#This Row],[YOLLUK HARİÇ BASKI GRAMI]]/Tablo517[[#This Row],[KALIP GÖZ ADEDİ]]," ")</f>
        <v xml:space="preserve"> </v>
      </c>
      <c r="T445" s="100" t="str">
        <f t="shared" si="45"/>
        <v xml:space="preserve"> </v>
      </c>
      <c r="U445" s="100"/>
      <c r="V445" s="100" t="str">
        <f t="shared" si="44"/>
        <v xml:space="preserve"> </v>
      </c>
      <c r="W445" s="101">
        <f t="shared" si="46"/>
        <v>24</v>
      </c>
      <c r="X445" s="102">
        <f t="shared" si="47"/>
        <v>0</v>
      </c>
      <c r="Y445" s="100" t="str">
        <f t="shared" si="48"/>
        <v xml:space="preserve"> </v>
      </c>
      <c r="Z445" s="100" t="str">
        <f t="shared" si="49"/>
        <v xml:space="preserve"> </v>
      </c>
    </row>
    <row r="446" spans="1:26">
      <c r="A446" s="100"/>
      <c r="B446" s="108" t="str">
        <f>IFERROR(VLOOKUP(Tablo517[[#This Row],[ÜRÜN KODU]],YMKODLARI!$A$1:$K$363,2,0)," ")</f>
        <v xml:space="preserve"> </v>
      </c>
      <c r="C446" s="99"/>
      <c r="D446" s="100"/>
      <c r="E446" s="101"/>
      <c r="F446" s="101"/>
      <c r="G446" s="100" t="str">
        <f>IFERROR(VLOOKUP(Tablo517[[#This Row],[ÜRÜN KODU]],YMKODLARI!$A$1:$K$363,3,0)," ")</f>
        <v xml:space="preserve"> </v>
      </c>
      <c r="H446" s="100" t="str">
        <f>IFERROR(VLOOKUP(Tablo517[[#This Row],[ÜRÜN KODU]],YMKODLARI!$A$1:$K$363,4,0)," ")</f>
        <v xml:space="preserve"> </v>
      </c>
      <c r="I446" s="100"/>
      <c r="J446" s="100" t="str">
        <f>IFERROR(VLOOKUP(Tablo517[[#This Row],[ÜRÜN KODU]],YMKODLARI!$A$1:$K$363,9,0)," ")</f>
        <v xml:space="preserve"> </v>
      </c>
      <c r="K446" s="100" t="str">
        <f>IFERROR(VLOOKUP(Tablo517[[#This Row],[BOYA KODU]],Tablo14[#All],4,0)," ")</f>
        <v xml:space="preserve"> </v>
      </c>
      <c r="L446" s="100" t="str">
        <f>IFERROR(VLOOKUP(Tablo517[[#This Row],[BOYA KODU]],Tablo14[#All],6,0)," ")</f>
        <v xml:space="preserve"> </v>
      </c>
      <c r="M446" s="100" t="str">
        <f t="shared" si="43"/>
        <v xml:space="preserve"> </v>
      </c>
      <c r="N446" s="100" t="str">
        <f>IFERROR(VLOOKUP(Tablo517[[#This Row],[ÜRÜN KODU]],YMKODLARI!$A$1:$K$363,8,0)," ")</f>
        <v xml:space="preserve"> </v>
      </c>
      <c r="O446" s="100" t="str">
        <f>IFERROR(VLOOKUP(Tablo517[[#This Row],[HAMMADDE KODU]],Tablo1[#All],3,0)," ")</f>
        <v xml:space="preserve"> </v>
      </c>
      <c r="P446" s="100" t="str">
        <f>IFERROR(VLOOKUP(Tablo517[[#This Row],[HAMMADDE KODU]],Tablo1[#All],4,0)," ")</f>
        <v xml:space="preserve"> </v>
      </c>
      <c r="Q446" s="100" t="str">
        <f>IFERROR(VLOOKUP(Tablo517[[#This Row],[ÜRÜN KODU]],YMKODLARI!$A$1:$K$363,5,0)," ")</f>
        <v xml:space="preserve"> </v>
      </c>
      <c r="R446" s="100" t="str">
        <f>IFERROR(VLOOKUP(Tablo517[[#This Row],[ÜRÜN KODU]],YMKODLARI!$A$1:$K$363,6,0)," ")</f>
        <v xml:space="preserve"> </v>
      </c>
      <c r="S446" s="100" t="str">
        <f>IFERROR(Tablo517[[#This Row],[YOLLUK HARİÇ BASKI GRAMI]]/Tablo517[[#This Row],[KALIP GÖZ ADEDİ]]," ")</f>
        <v xml:space="preserve"> </v>
      </c>
      <c r="T446" s="100" t="str">
        <f t="shared" si="45"/>
        <v xml:space="preserve"> </v>
      </c>
      <c r="U446" s="100"/>
      <c r="V446" s="100" t="str">
        <f t="shared" si="44"/>
        <v xml:space="preserve"> </v>
      </c>
      <c r="W446" s="101">
        <f t="shared" si="46"/>
        <v>24</v>
      </c>
      <c r="X446" s="102">
        <f t="shared" si="47"/>
        <v>0</v>
      </c>
      <c r="Y446" s="100" t="str">
        <f t="shared" si="48"/>
        <v xml:space="preserve"> </v>
      </c>
      <c r="Z446" s="100" t="str">
        <f t="shared" si="49"/>
        <v xml:space="preserve"> </v>
      </c>
    </row>
    <row r="447" spans="1:26">
      <c r="A447" s="100"/>
      <c r="B447" s="108" t="str">
        <f>IFERROR(VLOOKUP(Tablo517[[#This Row],[ÜRÜN KODU]],YMKODLARI!$A$1:$K$363,2,0)," ")</f>
        <v xml:space="preserve"> </v>
      </c>
      <c r="C447" s="99"/>
      <c r="D447" s="100"/>
      <c r="E447" s="101"/>
      <c r="F447" s="101"/>
      <c r="G447" s="100" t="str">
        <f>IFERROR(VLOOKUP(Tablo517[[#This Row],[ÜRÜN KODU]],YMKODLARI!$A$1:$K$363,3,0)," ")</f>
        <v xml:space="preserve"> </v>
      </c>
      <c r="H447" s="100" t="str">
        <f>IFERROR(VLOOKUP(Tablo517[[#This Row],[ÜRÜN KODU]],YMKODLARI!$A$1:$K$363,4,0)," ")</f>
        <v xml:space="preserve"> </v>
      </c>
      <c r="I447" s="100"/>
      <c r="J447" s="100" t="str">
        <f>IFERROR(VLOOKUP(Tablo517[[#This Row],[ÜRÜN KODU]],YMKODLARI!$A$1:$K$363,9,0)," ")</f>
        <v xml:space="preserve"> </v>
      </c>
      <c r="K447" s="100" t="str">
        <f>IFERROR(VLOOKUP(Tablo517[[#This Row],[BOYA KODU]],Tablo14[#All],4,0)," ")</f>
        <v xml:space="preserve"> </v>
      </c>
      <c r="L447" s="100" t="str">
        <f>IFERROR(VLOOKUP(Tablo517[[#This Row],[BOYA KODU]],Tablo14[#All],6,0)," ")</f>
        <v xml:space="preserve"> </v>
      </c>
      <c r="M447" s="100" t="str">
        <f t="shared" si="43"/>
        <v xml:space="preserve"> </v>
      </c>
      <c r="N447" s="100" t="str">
        <f>IFERROR(VLOOKUP(Tablo517[[#This Row],[ÜRÜN KODU]],YMKODLARI!$A$1:$K$363,8,0)," ")</f>
        <v xml:space="preserve"> </v>
      </c>
      <c r="O447" s="100" t="str">
        <f>IFERROR(VLOOKUP(Tablo517[[#This Row],[HAMMADDE KODU]],Tablo1[#All],3,0)," ")</f>
        <v xml:space="preserve"> </v>
      </c>
      <c r="P447" s="100" t="str">
        <f>IFERROR(VLOOKUP(Tablo517[[#This Row],[HAMMADDE KODU]],Tablo1[#All],4,0)," ")</f>
        <v xml:space="preserve"> </v>
      </c>
      <c r="Q447" s="100" t="str">
        <f>IFERROR(VLOOKUP(Tablo517[[#This Row],[ÜRÜN KODU]],YMKODLARI!$A$1:$K$363,5,0)," ")</f>
        <v xml:space="preserve"> </v>
      </c>
      <c r="R447" s="100" t="str">
        <f>IFERROR(VLOOKUP(Tablo517[[#This Row],[ÜRÜN KODU]],YMKODLARI!$A$1:$K$363,6,0)," ")</f>
        <v xml:space="preserve"> </v>
      </c>
      <c r="S447" s="100" t="str">
        <f>IFERROR(Tablo517[[#This Row],[YOLLUK HARİÇ BASKI GRAMI]]/Tablo517[[#This Row],[KALIP GÖZ ADEDİ]]," ")</f>
        <v xml:space="preserve"> </v>
      </c>
      <c r="T447" s="100" t="str">
        <f t="shared" si="45"/>
        <v xml:space="preserve"> </v>
      </c>
      <c r="U447" s="100"/>
      <c r="V447" s="100" t="str">
        <f t="shared" si="44"/>
        <v xml:space="preserve"> </v>
      </c>
      <c r="W447" s="101">
        <f t="shared" si="46"/>
        <v>24</v>
      </c>
      <c r="X447" s="102">
        <f t="shared" si="47"/>
        <v>0</v>
      </c>
      <c r="Y447" s="100" t="str">
        <f t="shared" si="48"/>
        <v xml:space="preserve"> </v>
      </c>
      <c r="Z447" s="100" t="str">
        <f t="shared" si="49"/>
        <v xml:space="preserve"> </v>
      </c>
    </row>
    <row r="448" spans="1:26">
      <c r="A448" s="100"/>
      <c r="B448" s="108" t="str">
        <f>IFERROR(VLOOKUP(Tablo517[[#This Row],[ÜRÜN KODU]],YMKODLARI!$A$1:$K$363,2,0)," ")</f>
        <v xml:space="preserve"> </v>
      </c>
      <c r="C448" s="99"/>
      <c r="D448" s="100"/>
      <c r="E448" s="101"/>
      <c r="F448" s="101"/>
      <c r="G448" s="100" t="str">
        <f>IFERROR(VLOOKUP(Tablo517[[#This Row],[ÜRÜN KODU]],YMKODLARI!$A$1:$K$363,3,0)," ")</f>
        <v xml:space="preserve"> </v>
      </c>
      <c r="H448" s="100" t="str">
        <f>IFERROR(VLOOKUP(Tablo517[[#This Row],[ÜRÜN KODU]],YMKODLARI!$A$1:$K$363,4,0)," ")</f>
        <v xml:space="preserve"> </v>
      </c>
      <c r="I448" s="100"/>
      <c r="J448" s="100" t="str">
        <f>IFERROR(VLOOKUP(Tablo517[[#This Row],[ÜRÜN KODU]],YMKODLARI!$A$1:$K$363,9,0)," ")</f>
        <v xml:space="preserve"> </v>
      </c>
      <c r="K448" s="100" t="str">
        <f>IFERROR(VLOOKUP(Tablo517[[#This Row],[BOYA KODU]],Tablo14[#All],4,0)," ")</f>
        <v xml:space="preserve"> </v>
      </c>
      <c r="L448" s="100" t="str">
        <f>IFERROR(VLOOKUP(Tablo517[[#This Row],[BOYA KODU]],Tablo14[#All],6,0)," ")</f>
        <v xml:space="preserve"> </v>
      </c>
      <c r="M448" s="100" t="str">
        <f t="shared" si="43"/>
        <v xml:space="preserve"> </v>
      </c>
      <c r="N448" s="100" t="str">
        <f>IFERROR(VLOOKUP(Tablo517[[#This Row],[ÜRÜN KODU]],YMKODLARI!$A$1:$K$363,8,0)," ")</f>
        <v xml:space="preserve"> </v>
      </c>
      <c r="O448" s="100" t="str">
        <f>IFERROR(VLOOKUP(Tablo517[[#This Row],[HAMMADDE KODU]],Tablo1[#All],3,0)," ")</f>
        <v xml:space="preserve"> </v>
      </c>
      <c r="P448" s="100" t="str">
        <f>IFERROR(VLOOKUP(Tablo517[[#This Row],[HAMMADDE KODU]],Tablo1[#All],4,0)," ")</f>
        <v xml:space="preserve"> </v>
      </c>
      <c r="Q448" s="100" t="str">
        <f>IFERROR(VLOOKUP(Tablo517[[#This Row],[ÜRÜN KODU]],YMKODLARI!$A$1:$K$363,5,0)," ")</f>
        <v xml:space="preserve"> </v>
      </c>
      <c r="R448" s="100" t="str">
        <f>IFERROR(VLOOKUP(Tablo517[[#This Row],[ÜRÜN KODU]],YMKODLARI!$A$1:$K$363,6,0)," ")</f>
        <v xml:space="preserve"> </v>
      </c>
      <c r="S448" s="100" t="str">
        <f>IFERROR(Tablo517[[#This Row],[YOLLUK HARİÇ BASKI GRAMI]]/Tablo517[[#This Row],[KALIP GÖZ ADEDİ]]," ")</f>
        <v xml:space="preserve"> </v>
      </c>
      <c r="T448" s="100" t="str">
        <f t="shared" si="45"/>
        <v xml:space="preserve"> </v>
      </c>
      <c r="U448" s="100"/>
      <c r="V448" s="100" t="str">
        <f t="shared" si="44"/>
        <v xml:space="preserve"> </v>
      </c>
      <c r="W448" s="101">
        <f t="shared" si="46"/>
        <v>24</v>
      </c>
      <c r="X448" s="102">
        <f t="shared" si="47"/>
        <v>0</v>
      </c>
      <c r="Y448" s="100" t="str">
        <f t="shared" si="48"/>
        <v xml:space="preserve"> </v>
      </c>
      <c r="Z448" s="100" t="str">
        <f t="shared" si="49"/>
        <v xml:space="preserve"> </v>
      </c>
    </row>
    <row r="449" spans="1:26">
      <c r="A449" s="100"/>
      <c r="B449" s="108" t="str">
        <f>IFERROR(VLOOKUP(Tablo517[[#This Row],[ÜRÜN KODU]],YMKODLARI!$A$1:$K$363,2,0)," ")</f>
        <v xml:space="preserve"> </v>
      </c>
      <c r="C449" s="99"/>
      <c r="D449" s="100"/>
      <c r="E449" s="101"/>
      <c r="F449" s="101"/>
      <c r="G449" s="100" t="str">
        <f>IFERROR(VLOOKUP(Tablo517[[#This Row],[ÜRÜN KODU]],YMKODLARI!$A$1:$K$363,3,0)," ")</f>
        <v xml:space="preserve"> </v>
      </c>
      <c r="H449" s="100" t="str">
        <f>IFERROR(VLOOKUP(Tablo517[[#This Row],[ÜRÜN KODU]],YMKODLARI!$A$1:$K$363,4,0)," ")</f>
        <v xml:space="preserve"> </v>
      </c>
      <c r="I449" s="100"/>
      <c r="J449" s="100" t="str">
        <f>IFERROR(VLOOKUP(Tablo517[[#This Row],[ÜRÜN KODU]],YMKODLARI!$A$1:$K$363,9,0)," ")</f>
        <v xml:space="preserve"> </v>
      </c>
      <c r="K449" s="100" t="str">
        <f>IFERROR(VLOOKUP(Tablo517[[#This Row],[BOYA KODU]],Tablo14[#All],4,0)," ")</f>
        <v xml:space="preserve"> </v>
      </c>
      <c r="L449" s="100" t="str">
        <f>IFERROR(VLOOKUP(Tablo517[[#This Row],[BOYA KODU]],Tablo14[#All],6,0)," ")</f>
        <v xml:space="preserve"> </v>
      </c>
      <c r="M449" s="100" t="str">
        <f t="shared" si="43"/>
        <v xml:space="preserve"> </v>
      </c>
      <c r="N449" s="100" t="str">
        <f>IFERROR(VLOOKUP(Tablo517[[#This Row],[ÜRÜN KODU]],YMKODLARI!$A$1:$K$363,8,0)," ")</f>
        <v xml:space="preserve"> </v>
      </c>
      <c r="O449" s="100" t="str">
        <f>IFERROR(VLOOKUP(Tablo517[[#This Row],[HAMMADDE KODU]],Tablo1[#All],3,0)," ")</f>
        <v xml:space="preserve"> </v>
      </c>
      <c r="P449" s="100" t="str">
        <f>IFERROR(VLOOKUP(Tablo517[[#This Row],[HAMMADDE KODU]],Tablo1[#All],4,0)," ")</f>
        <v xml:space="preserve"> </v>
      </c>
      <c r="Q449" s="100" t="str">
        <f>IFERROR(VLOOKUP(Tablo517[[#This Row],[ÜRÜN KODU]],YMKODLARI!$A$1:$K$363,5,0)," ")</f>
        <v xml:space="preserve"> </v>
      </c>
      <c r="R449" s="100" t="str">
        <f>IFERROR(VLOOKUP(Tablo517[[#This Row],[ÜRÜN KODU]],YMKODLARI!$A$1:$K$363,6,0)," ")</f>
        <v xml:space="preserve"> </v>
      </c>
      <c r="S449" s="100" t="str">
        <f>IFERROR(Tablo517[[#This Row],[YOLLUK HARİÇ BASKI GRAMI]]/Tablo517[[#This Row],[KALIP GÖZ ADEDİ]]," ")</f>
        <v xml:space="preserve"> </v>
      </c>
      <c r="T449" s="100" t="str">
        <f t="shared" si="45"/>
        <v xml:space="preserve"> </v>
      </c>
      <c r="U449" s="100"/>
      <c r="V449" s="100" t="str">
        <f t="shared" si="44"/>
        <v xml:space="preserve"> </v>
      </c>
      <c r="W449" s="101">
        <f t="shared" si="46"/>
        <v>24</v>
      </c>
      <c r="X449" s="102">
        <f t="shared" si="47"/>
        <v>0</v>
      </c>
      <c r="Y449" s="100" t="str">
        <f t="shared" si="48"/>
        <v xml:space="preserve"> </v>
      </c>
      <c r="Z449" s="100" t="str">
        <f t="shared" si="49"/>
        <v xml:space="preserve"> </v>
      </c>
    </row>
    <row r="450" spans="1:26">
      <c r="A450" s="100"/>
      <c r="B450" s="108" t="str">
        <f>IFERROR(VLOOKUP(Tablo517[[#This Row],[ÜRÜN KODU]],YMKODLARI!$A$1:$K$363,2,0)," ")</f>
        <v xml:space="preserve"> </v>
      </c>
      <c r="C450" s="99"/>
      <c r="D450" s="100"/>
      <c r="E450" s="101"/>
      <c r="F450" s="101"/>
      <c r="G450" s="100" t="str">
        <f>IFERROR(VLOOKUP(Tablo517[[#This Row],[ÜRÜN KODU]],YMKODLARI!$A$1:$K$363,3,0)," ")</f>
        <v xml:space="preserve"> </v>
      </c>
      <c r="H450" s="100" t="str">
        <f>IFERROR(VLOOKUP(Tablo517[[#This Row],[ÜRÜN KODU]],YMKODLARI!$A$1:$K$363,4,0)," ")</f>
        <v xml:space="preserve"> </v>
      </c>
      <c r="I450" s="100"/>
      <c r="J450" s="100" t="str">
        <f>IFERROR(VLOOKUP(Tablo517[[#This Row],[ÜRÜN KODU]],YMKODLARI!$A$1:$K$363,9,0)," ")</f>
        <v xml:space="preserve"> </v>
      </c>
      <c r="K450" s="100" t="str">
        <f>IFERROR(VLOOKUP(Tablo517[[#This Row],[BOYA KODU]],Tablo14[#All],4,0)," ")</f>
        <v xml:space="preserve"> </v>
      </c>
      <c r="L450" s="100" t="str">
        <f>IFERROR(VLOOKUP(Tablo517[[#This Row],[BOYA KODU]],Tablo14[#All],6,0)," ")</f>
        <v xml:space="preserve"> </v>
      </c>
      <c r="M450" s="100" t="str">
        <f t="shared" ref="M450:M513" si="50">IFERROR((I450*Q450)*L450," ")</f>
        <v xml:space="preserve"> </v>
      </c>
      <c r="N450" s="100" t="str">
        <f>IFERROR(VLOOKUP(Tablo517[[#This Row],[ÜRÜN KODU]],YMKODLARI!$A$1:$K$363,8,0)," ")</f>
        <v xml:space="preserve"> </v>
      </c>
      <c r="O450" s="100" t="str">
        <f>IFERROR(VLOOKUP(Tablo517[[#This Row],[HAMMADDE KODU]],Tablo1[#All],3,0)," ")</f>
        <v xml:space="preserve"> </v>
      </c>
      <c r="P450" s="100" t="str">
        <f>IFERROR(VLOOKUP(Tablo517[[#This Row],[HAMMADDE KODU]],Tablo1[#All],4,0)," ")</f>
        <v xml:space="preserve"> </v>
      </c>
      <c r="Q450" s="100" t="str">
        <f>IFERROR(VLOOKUP(Tablo517[[#This Row],[ÜRÜN KODU]],YMKODLARI!$A$1:$K$363,5,0)," ")</f>
        <v xml:space="preserve"> </v>
      </c>
      <c r="R450" s="100" t="str">
        <f>IFERROR(VLOOKUP(Tablo517[[#This Row],[ÜRÜN KODU]],YMKODLARI!$A$1:$K$363,6,0)," ")</f>
        <v xml:space="preserve"> </v>
      </c>
      <c r="S450" s="100" t="str">
        <f>IFERROR(Tablo517[[#This Row],[YOLLUK HARİÇ BASKI GRAMI]]/Tablo517[[#This Row],[KALIP GÖZ ADEDİ]]," ")</f>
        <v xml:space="preserve"> </v>
      </c>
      <c r="T450" s="100" t="str">
        <f t="shared" si="45"/>
        <v xml:space="preserve"> </v>
      </c>
      <c r="U450" s="100"/>
      <c r="V450" s="100" t="str">
        <f t="shared" ref="V450:V513" si="51">IFERROR(U450+(R450*I450) /1000," ")</f>
        <v xml:space="preserve"> </v>
      </c>
      <c r="W450" s="101">
        <f t="shared" si="46"/>
        <v>24</v>
      </c>
      <c r="X450" s="102">
        <f t="shared" si="47"/>
        <v>0</v>
      </c>
      <c r="Y450" s="100" t="str">
        <f t="shared" si="48"/>
        <v xml:space="preserve"> </v>
      </c>
      <c r="Z450" s="100" t="str">
        <f t="shared" si="49"/>
        <v xml:space="preserve"> </v>
      </c>
    </row>
    <row r="451" spans="1:26">
      <c r="A451" s="100"/>
      <c r="B451" s="108" t="str">
        <f>IFERROR(VLOOKUP(Tablo517[[#This Row],[ÜRÜN KODU]],YMKODLARI!$A$1:$K$363,2,0)," ")</f>
        <v xml:space="preserve"> </v>
      </c>
      <c r="C451" s="99"/>
      <c r="D451" s="100"/>
      <c r="E451" s="101"/>
      <c r="F451" s="101"/>
      <c r="G451" s="100" t="str">
        <f>IFERROR(VLOOKUP(Tablo517[[#This Row],[ÜRÜN KODU]],YMKODLARI!$A$1:$K$363,3,0)," ")</f>
        <v xml:space="preserve"> </v>
      </c>
      <c r="H451" s="100" t="str">
        <f>IFERROR(VLOOKUP(Tablo517[[#This Row],[ÜRÜN KODU]],YMKODLARI!$A$1:$K$363,4,0)," ")</f>
        <v xml:space="preserve"> </v>
      </c>
      <c r="I451" s="100"/>
      <c r="J451" s="100" t="str">
        <f>IFERROR(VLOOKUP(Tablo517[[#This Row],[ÜRÜN KODU]],YMKODLARI!$A$1:$K$363,9,0)," ")</f>
        <v xml:space="preserve"> </v>
      </c>
      <c r="K451" s="100" t="str">
        <f>IFERROR(VLOOKUP(Tablo517[[#This Row],[BOYA KODU]],Tablo14[#All],4,0)," ")</f>
        <v xml:space="preserve"> </v>
      </c>
      <c r="L451" s="100" t="str">
        <f>IFERROR(VLOOKUP(Tablo517[[#This Row],[BOYA KODU]],Tablo14[#All],6,0)," ")</f>
        <v xml:space="preserve"> </v>
      </c>
      <c r="M451" s="100" t="str">
        <f t="shared" si="50"/>
        <v xml:space="preserve"> </v>
      </c>
      <c r="N451" s="100" t="str">
        <f>IFERROR(VLOOKUP(Tablo517[[#This Row],[ÜRÜN KODU]],YMKODLARI!$A$1:$K$363,8,0)," ")</f>
        <v xml:space="preserve"> </v>
      </c>
      <c r="O451" s="100" t="str">
        <f>IFERROR(VLOOKUP(Tablo517[[#This Row],[HAMMADDE KODU]],Tablo1[#All],3,0)," ")</f>
        <v xml:space="preserve"> </v>
      </c>
      <c r="P451" s="100" t="str">
        <f>IFERROR(VLOOKUP(Tablo517[[#This Row],[HAMMADDE KODU]],Tablo1[#All],4,0)," ")</f>
        <v xml:space="preserve"> </v>
      </c>
      <c r="Q451" s="100" t="str">
        <f>IFERROR(VLOOKUP(Tablo517[[#This Row],[ÜRÜN KODU]],YMKODLARI!$A$1:$K$363,5,0)," ")</f>
        <v xml:space="preserve"> </v>
      </c>
      <c r="R451" s="100" t="str">
        <f>IFERROR(VLOOKUP(Tablo517[[#This Row],[ÜRÜN KODU]],YMKODLARI!$A$1:$K$363,6,0)," ")</f>
        <v xml:space="preserve"> </v>
      </c>
      <c r="S451" s="100" t="str">
        <f>IFERROR(Tablo517[[#This Row],[YOLLUK HARİÇ BASKI GRAMI]]/Tablo517[[#This Row],[KALIP GÖZ ADEDİ]]," ")</f>
        <v xml:space="preserve"> </v>
      </c>
      <c r="T451" s="100" t="str">
        <f t="shared" ref="T451:T514" si="52">IFERROR(Q451-R451," ")</f>
        <v xml:space="preserve"> </v>
      </c>
      <c r="U451" s="100"/>
      <c r="V451" s="100" t="str">
        <f t="shared" si="51"/>
        <v xml:space="preserve"> </v>
      </c>
      <c r="W451" s="101">
        <f t="shared" ref="W451:W514" si="53">IFERROR(24-(E451-F451)," ")</f>
        <v>24</v>
      </c>
      <c r="X451" s="102">
        <f t="shared" ref="X451:X514" si="54">IFERROR((W451-INT(W451))*24," ")</f>
        <v>0</v>
      </c>
      <c r="Y451" s="100" t="str">
        <f t="shared" ref="Y451:Y514" si="55">IFERROR(H451*I451/3600," ")</f>
        <v xml:space="preserve"> </v>
      </c>
      <c r="Z451" s="100" t="str">
        <f t="shared" ref="Z451:Z514" si="56">IFERROR(I451*G451," " )</f>
        <v xml:space="preserve"> </v>
      </c>
    </row>
    <row r="452" spans="1:26">
      <c r="A452" s="100"/>
      <c r="B452" s="108" t="str">
        <f>IFERROR(VLOOKUP(Tablo517[[#This Row],[ÜRÜN KODU]],YMKODLARI!$A$1:$K$363,2,0)," ")</f>
        <v xml:space="preserve"> </v>
      </c>
      <c r="C452" s="99"/>
      <c r="D452" s="100"/>
      <c r="E452" s="101"/>
      <c r="F452" s="101"/>
      <c r="G452" s="100" t="str">
        <f>IFERROR(VLOOKUP(Tablo517[[#This Row],[ÜRÜN KODU]],YMKODLARI!$A$1:$K$363,3,0)," ")</f>
        <v xml:space="preserve"> </v>
      </c>
      <c r="H452" s="100" t="str">
        <f>IFERROR(VLOOKUP(Tablo517[[#This Row],[ÜRÜN KODU]],YMKODLARI!$A$1:$K$363,4,0)," ")</f>
        <v xml:space="preserve"> </v>
      </c>
      <c r="I452" s="100"/>
      <c r="J452" s="100" t="str">
        <f>IFERROR(VLOOKUP(Tablo517[[#This Row],[ÜRÜN KODU]],YMKODLARI!$A$1:$K$363,9,0)," ")</f>
        <v xml:space="preserve"> </v>
      </c>
      <c r="K452" s="100" t="str">
        <f>IFERROR(VLOOKUP(Tablo517[[#This Row],[BOYA KODU]],Tablo14[#All],4,0)," ")</f>
        <v xml:space="preserve"> </v>
      </c>
      <c r="L452" s="100" t="str">
        <f>IFERROR(VLOOKUP(Tablo517[[#This Row],[BOYA KODU]],Tablo14[#All],6,0)," ")</f>
        <v xml:space="preserve"> </v>
      </c>
      <c r="M452" s="100" t="str">
        <f t="shared" si="50"/>
        <v xml:space="preserve"> </v>
      </c>
      <c r="N452" s="100" t="str">
        <f>IFERROR(VLOOKUP(Tablo517[[#This Row],[ÜRÜN KODU]],YMKODLARI!$A$1:$K$363,8,0)," ")</f>
        <v xml:space="preserve"> </v>
      </c>
      <c r="O452" s="100" t="str">
        <f>IFERROR(VLOOKUP(Tablo517[[#This Row],[HAMMADDE KODU]],Tablo1[#All],3,0)," ")</f>
        <v xml:space="preserve"> </v>
      </c>
      <c r="P452" s="100" t="str">
        <f>IFERROR(VLOOKUP(Tablo517[[#This Row],[HAMMADDE KODU]],Tablo1[#All],4,0)," ")</f>
        <v xml:space="preserve"> </v>
      </c>
      <c r="Q452" s="100" t="str">
        <f>IFERROR(VLOOKUP(Tablo517[[#This Row],[ÜRÜN KODU]],YMKODLARI!$A$1:$K$363,5,0)," ")</f>
        <v xml:space="preserve"> </v>
      </c>
      <c r="R452" s="100" t="str">
        <f>IFERROR(VLOOKUP(Tablo517[[#This Row],[ÜRÜN KODU]],YMKODLARI!$A$1:$K$363,6,0)," ")</f>
        <v xml:space="preserve"> </v>
      </c>
      <c r="S452" s="100" t="str">
        <f>IFERROR(Tablo517[[#This Row],[YOLLUK HARİÇ BASKI GRAMI]]/Tablo517[[#This Row],[KALIP GÖZ ADEDİ]]," ")</f>
        <v xml:space="preserve"> </v>
      </c>
      <c r="T452" s="100" t="str">
        <f t="shared" si="52"/>
        <v xml:space="preserve"> </v>
      </c>
      <c r="U452" s="100"/>
      <c r="V452" s="100" t="str">
        <f t="shared" si="51"/>
        <v xml:space="preserve"> </v>
      </c>
      <c r="W452" s="101">
        <f t="shared" si="53"/>
        <v>24</v>
      </c>
      <c r="X452" s="102">
        <f t="shared" si="54"/>
        <v>0</v>
      </c>
      <c r="Y452" s="100" t="str">
        <f t="shared" si="55"/>
        <v xml:space="preserve"> </v>
      </c>
      <c r="Z452" s="100" t="str">
        <f t="shared" si="56"/>
        <v xml:space="preserve"> </v>
      </c>
    </row>
    <row r="453" spans="1:26">
      <c r="A453" s="100"/>
      <c r="B453" s="108" t="str">
        <f>IFERROR(VLOOKUP(Tablo517[[#This Row],[ÜRÜN KODU]],YMKODLARI!$A$1:$K$363,2,0)," ")</f>
        <v xml:space="preserve"> </v>
      </c>
      <c r="C453" s="99"/>
      <c r="D453" s="100"/>
      <c r="E453" s="101"/>
      <c r="F453" s="101"/>
      <c r="G453" s="100" t="str">
        <f>IFERROR(VLOOKUP(Tablo517[[#This Row],[ÜRÜN KODU]],YMKODLARI!$A$1:$K$363,3,0)," ")</f>
        <v xml:space="preserve"> </v>
      </c>
      <c r="H453" s="100" t="str">
        <f>IFERROR(VLOOKUP(Tablo517[[#This Row],[ÜRÜN KODU]],YMKODLARI!$A$1:$K$363,4,0)," ")</f>
        <v xml:space="preserve"> </v>
      </c>
      <c r="I453" s="100"/>
      <c r="J453" s="100" t="str">
        <f>IFERROR(VLOOKUP(Tablo517[[#This Row],[ÜRÜN KODU]],YMKODLARI!$A$1:$K$363,9,0)," ")</f>
        <v xml:space="preserve"> </v>
      </c>
      <c r="K453" s="100" t="str">
        <f>IFERROR(VLOOKUP(Tablo517[[#This Row],[BOYA KODU]],Tablo14[#All],4,0)," ")</f>
        <v xml:space="preserve"> </v>
      </c>
      <c r="L453" s="100" t="str">
        <f>IFERROR(VLOOKUP(Tablo517[[#This Row],[BOYA KODU]],Tablo14[#All],6,0)," ")</f>
        <v xml:space="preserve"> </v>
      </c>
      <c r="M453" s="100" t="str">
        <f t="shared" si="50"/>
        <v xml:space="preserve"> </v>
      </c>
      <c r="N453" s="100" t="str">
        <f>IFERROR(VLOOKUP(Tablo517[[#This Row],[ÜRÜN KODU]],YMKODLARI!$A$1:$K$363,8,0)," ")</f>
        <v xml:space="preserve"> </v>
      </c>
      <c r="O453" s="100" t="str">
        <f>IFERROR(VLOOKUP(Tablo517[[#This Row],[HAMMADDE KODU]],Tablo1[#All],3,0)," ")</f>
        <v xml:space="preserve"> </v>
      </c>
      <c r="P453" s="100" t="str">
        <f>IFERROR(VLOOKUP(Tablo517[[#This Row],[HAMMADDE KODU]],Tablo1[#All],4,0)," ")</f>
        <v xml:space="preserve"> </v>
      </c>
      <c r="Q453" s="100" t="str">
        <f>IFERROR(VLOOKUP(Tablo517[[#This Row],[ÜRÜN KODU]],YMKODLARI!$A$1:$K$363,5,0)," ")</f>
        <v xml:space="preserve"> </v>
      </c>
      <c r="R453" s="100" t="str">
        <f>IFERROR(VLOOKUP(Tablo517[[#This Row],[ÜRÜN KODU]],YMKODLARI!$A$1:$K$363,6,0)," ")</f>
        <v xml:space="preserve"> </v>
      </c>
      <c r="S453" s="100" t="str">
        <f>IFERROR(Tablo517[[#This Row],[YOLLUK HARİÇ BASKI GRAMI]]/Tablo517[[#This Row],[KALIP GÖZ ADEDİ]]," ")</f>
        <v xml:space="preserve"> </v>
      </c>
      <c r="T453" s="100" t="str">
        <f t="shared" si="52"/>
        <v xml:space="preserve"> </v>
      </c>
      <c r="U453" s="100"/>
      <c r="V453" s="100" t="str">
        <f t="shared" si="51"/>
        <v xml:space="preserve"> </v>
      </c>
      <c r="W453" s="101">
        <f t="shared" si="53"/>
        <v>24</v>
      </c>
      <c r="X453" s="102">
        <f t="shared" si="54"/>
        <v>0</v>
      </c>
      <c r="Y453" s="100" t="str">
        <f t="shared" si="55"/>
        <v xml:space="preserve"> </v>
      </c>
      <c r="Z453" s="100" t="str">
        <f t="shared" si="56"/>
        <v xml:space="preserve"> </v>
      </c>
    </row>
    <row r="454" spans="1:26">
      <c r="A454" s="100"/>
      <c r="B454" s="108" t="str">
        <f>IFERROR(VLOOKUP(Tablo517[[#This Row],[ÜRÜN KODU]],YMKODLARI!$A$1:$K$363,2,0)," ")</f>
        <v xml:space="preserve"> </v>
      </c>
      <c r="C454" s="99"/>
      <c r="D454" s="100"/>
      <c r="E454" s="101"/>
      <c r="F454" s="101"/>
      <c r="G454" s="100" t="str">
        <f>IFERROR(VLOOKUP(Tablo517[[#This Row],[ÜRÜN KODU]],YMKODLARI!$A$1:$K$363,3,0)," ")</f>
        <v xml:space="preserve"> </v>
      </c>
      <c r="H454" s="100" t="str">
        <f>IFERROR(VLOOKUP(Tablo517[[#This Row],[ÜRÜN KODU]],YMKODLARI!$A$1:$K$363,4,0)," ")</f>
        <v xml:space="preserve"> </v>
      </c>
      <c r="I454" s="100"/>
      <c r="J454" s="100" t="str">
        <f>IFERROR(VLOOKUP(Tablo517[[#This Row],[ÜRÜN KODU]],YMKODLARI!$A$1:$K$363,9,0)," ")</f>
        <v xml:space="preserve"> </v>
      </c>
      <c r="K454" s="100" t="str">
        <f>IFERROR(VLOOKUP(Tablo517[[#This Row],[BOYA KODU]],Tablo14[#All],4,0)," ")</f>
        <v xml:space="preserve"> </v>
      </c>
      <c r="L454" s="100" t="str">
        <f>IFERROR(VLOOKUP(Tablo517[[#This Row],[BOYA KODU]],Tablo14[#All],6,0)," ")</f>
        <v xml:space="preserve"> </v>
      </c>
      <c r="M454" s="100" t="str">
        <f t="shared" si="50"/>
        <v xml:space="preserve"> </v>
      </c>
      <c r="N454" s="100" t="str">
        <f>IFERROR(VLOOKUP(Tablo517[[#This Row],[ÜRÜN KODU]],YMKODLARI!$A$1:$K$363,8,0)," ")</f>
        <v xml:space="preserve"> </v>
      </c>
      <c r="O454" s="100" t="str">
        <f>IFERROR(VLOOKUP(Tablo517[[#This Row],[HAMMADDE KODU]],Tablo1[#All],3,0)," ")</f>
        <v xml:space="preserve"> </v>
      </c>
      <c r="P454" s="100" t="str">
        <f>IFERROR(VLOOKUP(Tablo517[[#This Row],[HAMMADDE KODU]],Tablo1[#All],4,0)," ")</f>
        <v xml:space="preserve"> </v>
      </c>
      <c r="Q454" s="100" t="str">
        <f>IFERROR(VLOOKUP(Tablo517[[#This Row],[ÜRÜN KODU]],YMKODLARI!$A$1:$K$363,5,0)," ")</f>
        <v xml:space="preserve"> </v>
      </c>
      <c r="R454" s="100" t="str">
        <f>IFERROR(VLOOKUP(Tablo517[[#This Row],[ÜRÜN KODU]],YMKODLARI!$A$1:$K$363,6,0)," ")</f>
        <v xml:space="preserve"> </v>
      </c>
      <c r="S454" s="100" t="str">
        <f>IFERROR(Tablo517[[#This Row],[YOLLUK HARİÇ BASKI GRAMI]]/Tablo517[[#This Row],[KALIP GÖZ ADEDİ]]," ")</f>
        <v xml:space="preserve"> </v>
      </c>
      <c r="T454" s="100" t="str">
        <f t="shared" si="52"/>
        <v xml:space="preserve"> </v>
      </c>
      <c r="U454" s="100"/>
      <c r="V454" s="100" t="str">
        <f t="shared" si="51"/>
        <v xml:space="preserve"> </v>
      </c>
      <c r="W454" s="101">
        <f t="shared" si="53"/>
        <v>24</v>
      </c>
      <c r="X454" s="102">
        <f t="shared" si="54"/>
        <v>0</v>
      </c>
      <c r="Y454" s="100" t="str">
        <f t="shared" si="55"/>
        <v xml:space="preserve"> </v>
      </c>
      <c r="Z454" s="100" t="str">
        <f t="shared" si="56"/>
        <v xml:space="preserve"> </v>
      </c>
    </row>
    <row r="455" spans="1:26">
      <c r="A455" s="100"/>
      <c r="B455" s="108" t="str">
        <f>IFERROR(VLOOKUP(Tablo517[[#This Row],[ÜRÜN KODU]],YMKODLARI!$A$1:$K$363,2,0)," ")</f>
        <v xml:space="preserve"> </v>
      </c>
      <c r="C455" s="99"/>
      <c r="D455" s="100"/>
      <c r="E455" s="101"/>
      <c r="F455" s="101"/>
      <c r="G455" s="100" t="str">
        <f>IFERROR(VLOOKUP(Tablo517[[#This Row],[ÜRÜN KODU]],YMKODLARI!$A$1:$K$363,3,0)," ")</f>
        <v xml:space="preserve"> </v>
      </c>
      <c r="H455" s="100" t="str">
        <f>IFERROR(VLOOKUP(Tablo517[[#This Row],[ÜRÜN KODU]],YMKODLARI!$A$1:$K$363,4,0)," ")</f>
        <v xml:space="preserve"> </v>
      </c>
      <c r="I455" s="100"/>
      <c r="J455" s="100" t="str">
        <f>IFERROR(VLOOKUP(Tablo517[[#This Row],[ÜRÜN KODU]],YMKODLARI!$A$1:$K$363,9,0)," ")</f>
        <v xml:space="preserve"> </v>
      </c>
      <c r="K455" s="100" t="str">
        <f>IFERROR(VLOOKUP(Tablo517[[#This Row],[BOYA KODU]],Tablo14[#All],4,0)," ")</f>
        <v xml:space="preserve"> </v>
      </c>
      <c r="L455" s="100" t="str">
        <f>IFERROR(VLOOKUP(Tablo517[[#This Row],[BOYA KODU]],Tablo14[#All],6,0)," ")</f>
        <v xml:space="preserve"> </v>
      </c>
      <c r="M455" s="100" t="str">
        <f t="shared" si="50"/>
        <v xml:space="preserve"> </v>
      </c>
      <c r="N455" s="100" t="str">
        <f>IFERROR(VLOOKUP(Tablo517[[#This Row],[ÜRÜN KODU]],YMKODLARI!$A$1:$K$363,8,0)," ")</f>
        <v xml:space="preserve"> </v>
      </c>
      <c r="O455" s="100" t="str">
        <f>IFERROR(VLOOKUP(Tablo517[[#This Row],[HAMMADDE KODU]],Tablo1[#All],3,0)," ")</f>
        <v xml:space="preserve"> </v>
      </c>
      <c r="P455" s="100" t="str">
        <f>IFERROR(VLOOKUP(Tablo517[[#This Row],[HAMMADDE KODU]],Tablo1[#All],4,0)," ")</f>
        <v xml:space="preserve"> </v>
      </c>
      <c r="Q455" s="100" t="str">
        <f>IFERROR(VLOOKUP(Tablo517[[#This Row],[ÜRÜN KODU]],YMKODLARI!$A$1:$K$363,5,0)," ")</f>
        <v xml:space="preserve"> </v>
      </c>
      <c r="R455" s="100" t="str">
        <f>IFERROR(VLOOKUP(Tablo517[[#This Row],[ÜRÜN KODU]],YMKODLARI!$A$1:$K$363,6,0)," ")</f>
        <v xml:space="preserve"> </v>
      </c>
      <c r="S455" s="100" t="str">
        <f>IFERROR(Tablo517[[#This Row],[YOLLUK HARİÇ BASKI GRAMI]]/Tablo517[[#This Row],[KALIP GÖZ ADEDİ]]," ")</f>
        <v xml:space="preserve"> </v>
      </c>
      <c r="T455" s="100" t="str">
        <f t="shared" si="52"/>
        <v xml:space="preserve"> </v>
      </c>
      <c r="U455" s="100"/>
      <c r="V455" s="100" t="str">
        <f t="shared" si="51"/>
        <v xml:space="preserve"> </v>
      </c>
      <c r="W455" s="101">
        <f t="shared" si="53"/>
        <v>24</v>
      </c>
      <c r="X455" s="102">
        <f t="shared" si="54"/>
        <v>0</v>
      </c>
      <c r="Y455" s="100" t="str">
        <f t="shared" si="55"/>
        <v xml:space="preserve"> </v>
      </c>
      <c r="Z455" s="100" t="str">
        <f t="shared" si="56"/>
        <v xml:space="preserve"> </v>
      </c>
    </row>
    <row r="456" spans="1:26">
      <c r="A456" s="100"/>
      <c r="B456" s="108" t="str">
        <f>IFERROR(VLOOKUP(Tablo517[[#This Row],[ÜRÜN KODU]],YMKODLARI!$A$1:$K$363,2,0)," ")</f>
        <v xml:space="preserve"> </v>
      </c>
      <c r="C456" s="99"/>
      <c r="D456" s="100"/>
      <c r="E456" s="101"/>
      <c r="F456" s="101"/>
      <c r="G456" s="100" t="str">
        <f>IFERROR(VLOOKUP(Tablo517[[#This Row],[ÜRÜN KODU]],YMKODLARI!$A$1:$K$363,3,0)," ")</f>
        <v xml:space="preserve"> </v>
      </c>
      <c r="H456" s="100" t="str">
        <f>IFERROR(VLOOKUP(Tablo517[[#This Row],[ÜRÜN KODU]],YMKODLARI!$A$1:$K$363,4,0)," ")</f>
        <v xml:space="preserve"> </v>
      </c>
      <c r="I456" s="100"/>
      <c r="J456" s="100" t="str">
        <f>IFERROR(VLOOKUP(Tablo517[[#This Row],[ÜRÜN KODU]],YMKODLARI!$A$1:$K$363,9,0)," ")</f>
        <v xml:space="preserve"> </v>
      </c>
      <c r="K456" s="100" t="str">
        <f>IFERROR(VLOOKUP(Tablo517[[#This Row],[BOYA KODU]],Tablo14[#All],4,0)," ")</f>
        <v xml:space="preserve"> </v>
      </c>
      <c r="L456" s="100" t="str">
        <f>IFERROR(VLOOKUP(Tablo517[[#This Row],[BOYA KODU]],Tablo14[#All],6,0)," ")</f>
        <v xml:space="preserve"> </v>
      </c>
      <c r="M456" s="100" t="str">
        <f t="shared" si="50"/>
        <v xml:space="preserve"> </v>
      </c>
      <c r="N456" s="100" t="str">
        <f>IFERROR(VLOOKUP(Tablo517[[#This Row],[ÜRÜN KODU]],YMKODLARI!$A$1:$K$363,8,0)," ")</f>
        <v xml:space="preserve"> </v>
      </c>
      <c r="O456" s="100" t="str">
        <f>IFERROR(VLOOKUP(Tablo517[[#This Row],[HAMMADDE KODU]],Tablo1[#All],3,0)," ")</f>
        <v xml:space="preserve"> </v>
      </c>
      <c r="P456" s="100" t="str">
        <f>IFERROR(VLOOKUP(Tablo517[[#This Row],[HAMMADDE KODU]],Tablo1[#All],4,0)," ")</f>
        <v xml:space="preserve"> </v>
      </c>
      <c r="Q456" s="100" t="str">
        <f>IFERROR(VLOOKUP(Tablo517[[#This Row],[ÜRÜN KODU]],YMKODLARI!$A$1:$K$363,5,0)," ")</f>
        <v xml:space="preserve"> </v>
      </c>
      <c r="R456" s="100" t="str">
        <f>IFERROR(VLOOKUP(Tablo517[[#This Row],[ÜRÜN KODU]],YMKODLARI!$A$1:$K$363,6,0)," ")</f>
        <v xml:space="preserve"> </v>
      </c>
      <c r="S456" s="100" t="str">
        <f>IFERROR(Tablo517[[#This Row],[YOLLUK HARİÇ BASKI GRAMI]]/Tablo517[[#This Row],[KALIP GÖZ ADEDİ]]," ")</f>
        <v xml:space="preserve"> </v>
      </c>
      <c r="T456" s="100" t="str">
        <f t="shared" si="52"/>
        <v xml:space="preserve"> </v>
      </c>
      <c r="U456" s="100"/>
      <c r="V456" s="100" t="str">
        <f t="shared" si="51"/>
        <v xml:space="preserve"> </v>
      </c>
      <c r="W456" s="101">
        <f t="shared" si="53"/>
        <v>24</v>
      </c>
      <c r="X456" s="102">
        <f t="shared" si="54"/>
        <v>0</v>
      </c>
      <c r="Y456" s="100" t="str">
        <f t="shared" si="55"/>
        <v xml:space="preserve"> </v>
      </c>
      <c r="Z456" s="100" t="str">
        <f t="shared" si="56"/>
        <v xml:space="preserve"> </v>
      </c>
    </row>
    <row r="457" spans="1:26">
      <c r="A457" s="100"/>
      <c r="B457" s="108" t="str">
        <f>IFERROR(VLOOKUP(Tablo517[[#This Row],[ÜRÜN KODU]],YMKODLARI!$A$1:$K$363,2,0)," ")</f>
        <v xml:space="preserve"> </v>
      </c>
      <c r="C457" s="99"/>
      <c r="D457" s="100"/>
      <c r="E457" s="101"/>
      <c r="F457" s="101"/>
      <c r="G457" s="100" t="str">
        <f>IFERROR(VLOOKUP(Tablo517[[#This Row],[ÜRÜN KODU]],YMKODLARI!$A$1:$K$363,3,0)," ")</f>
        <v xml:space="preserve"> </v>
      </c>
      <c r="H457" s="100" t="str">
        <f>IFERROR(VLOOKUP(Tablo517[[#This Row],[ÜRÜN KODU]],YMKODLARI!$A$1:$K$363,4,0)," ")</f>
        <v xml:space="preserve"> </v>
      </c>
      <c r="I457" s="100"/>
      <c r="J457" s="100" t="str">
        <f>IFERROR(VLOOKUP(Tablo517[[#This Row],[ÜRÜN KODU]],YMKODLARI!$A$1:$K$363,9,0)," ")</f>
        <v xml:space="preserve"> </v>
      </c>
      <c r="K457" s="100" t="str">
        <f>IFERROR(VLOOKUP(Tablo517[[#This Row],[BOYA KODU]],Tablo14[#All],4,0)," ")</f>
        <v xml:space="preserve"> </v>
      </c>
      <c r="L457" s="100" t="str">
        <f>IFERROR(VLOOKUP(Tablo517[[#This Row],[BOYA KODU]],Tablo14[#All],6,0)," ")</f>
        <v xml:space="preserve"> </v>
      </c>
      <c r="M457" s="100" t="str">
        <f t="shared" si="50"/>
        <v xml:space="preserve"> </v>
      </c>
      <c r="N457" s="100" t="str">
        <f>IFERROR(VLOOKUP(Tablo517[[#This Row],[ÜRÜN KODU]],YMKODLARI!$A$1:$K$363,8,0)," ")</f>
        <v xml:space="preserve"> </v>
      </c>
      <c r="O457" s="100" t="str">
        <f>IFERROR(VLOOKUP(Tablo517[[#This Row],[HAMMADDE KODU]],Tablo1[#All],3,0)," ")</f>
        <v xml:space="preserve"> </v>
      </c>
      <c r="P457" s="100" t="str">
        <f>IFERROR(VLOOKUP(Tablo517[[#This Row],[HAMMADDE KODU]],Tablo1[#All],4,0)," ")</f>
        <v xml:space="preserve"> </v>
      </c>
      <c r="Q457" s="100" t="str">
        <f>IFERROR(VLOOKUP(Tablo517[[#This Row],[ÜRÜN KODU]],YMKODLARI!$A$1:$K$363,5,0)," ")</f>
        <v xml:space="preserve"> </v>
      </c>
      <c r="R457" s="100" t="str">
        <f>IFERROR(VLOOKUP(Tablo517[[#This Row],[ÜRÜN KODU]],YMKODLARI!$A$1:$K$363,6,0)," ")</f>
        <v xml:space="preserve"> </v>
      </c>
      <c r="S457" s="100" t="str">
        <f>IFERROR(Tablo517[[#This Row],[YOLLUK HARİÇ BASKI GRAMI]]/Tablo517[[#This Row],[KALIP GÖZ ADEDİ]]," ")</f>
        <v xml:space="preserve"> </v>
      </c>
      <c r="T457" s="100" t="str">
        <f t="shared" si="52"/>
        <v xml:space="preserve"> </v>
      </c>
      <c r="U457" s="100"/>
      <c r="V457" s="100" t="str">
        <f t="shared" si="51"/>
        <v xml:space="preserve"> </v>
      </c>
      <c r="W457" s="101">
        <f t="shared" si="53"/>
        <v>24</v>
      </c>
      <c r="X457" s="102">
        <f t="shared" si="54"/>
        <v>0</v>
      </c>
      <c r="Y457" s="100" t="str">
        <f t="shared" si="55"/>
        <v xml:space="preserve"> </v>
      </c>
      <c r="Z457" s="100" t="str">
        <f t="shared" si="56"/>
        <v xml:space="preserve"> </v>
      </c>
    </row>
    <row r="458" spans="1:26">
      <c r="A458" s="100"/>
      <c r="B458" s="108" t="str">
        <f>IFERROR(VLOOKUP(Tablo517[[#This Row],[ÜRÜN KODU]],YMKODLARI!$A$1:$K$363,2,0)," ")</f>
        <v xml:space="preserve"> </v>
      </c>
      <c r="C458" s="99"/>
      <c r="D458" s="100"/>
      <c r="E458" s="101"/>
      <c r="F458" s="101"/>
      <c r="G458" s="100" t="str">
        <f>IFERROR(VLOOKUP(Tablo517[[#This Row],[ÜRÜN KODU]],YMKODLARI!$A$1:$K$363,3,0)," ")</f>
        <v xml:space="preserve"> </v>
      </c>
      <c r="H458" s="100" t="str">
        <f>IFERROR(VLOOKUP(Tablo517[[#This Row],[ÜRÜN KODU]],YMKODLARI!$A$1:$K$363,4,0)," ")</f>
        <v xml:space="preserve"> </v>
      </c>
      <c r="I458" s="100"/>
      <c r="J458" s="100" t="str">
        <f>IFERROR(VLOOKUP(Tablo517[[#This Row],[ÜRÜN KODU]],YMKODLARI!$A$1:$K$363,9,0)," ")</f>
        <v xml:space="preserve"> </v>
      </c>
      <c r="K458" s="100" t="str">
        <f>IFERROR(VLOOKUP(Tablo517[[#This Row],[BOYA KODU]],Tablo14[#All],4,0)," ")</f>
        <v xml:space="preserve"> </v>
      </c>
      <c r="L458" s="100" t="str">
        <f>IFERROR(VLOOKUP(Tablo517[[#This Row],[BOYA KODU]],Tablo14[#All],6,0)," ")</f>
        <v xml:space="preserve"> </v>
      </c>
      <c r="M458" s="100" t="str">
        <f t="shared" si="50"/>
        <v xml:space="preserve"> </v>
      </c>
      <c r="N458" s="100" t="str">
        <f>IFERROR(VLOOKUP(Tablo517[[#This Row],[ÜRÜN KODU]],YMKODLARI!$A$1:$K$363,8,0)," ")</f>
        <v xml:space="preserve"> </v>
      </c>
      <c r="O458" s="100" t="str">
        <f>IFERROR(VLOOKUP(Tablo517[[#This Row],[HAMMADDE KODU]],Tablo1[#All],3,0)," ")</f>
        <v xml:space="preserve"> </v>
      </c>
      <c r="P458" s="100" t="str">
        <f>IFERROR(VLOOKUP(Tablo517[[#This Row],[HAMMADDE KODU]],Tablo1[#All],4,0)," ")</f>
        <v xml:space="preserve"> </v>
      </c>
      <c r="Q458" s="100" t="str">
        <f>IFERROR(VLOOKUP(Tablo517[[#This Row],[ÜRÜN KODU]],YMKODLARI!$A$1:$K$363,5,0)," ")</f>
        <v xml:space="preserve"> </v>
      </c>
      <c r="R458" s="100" t="str">
        <f>IFERROR(VLOOKUP(Tablo517[[#This Row],[ÜRÜN KODU]],YMKODLARI!$A$1:$K$363,6,0)," ")</f>
        <v xml:space="preserve"> </v>
      </c>
      <c r="S458" s="100" t="str">
        <f>IFERROR(Tablo517[[#This Row],[YOLLUK HARİÇ BASKI GRAMI]]/Tablo517[[#This Row],[KALIP GÖZ ADEDİ]]," ")</f>
        <v xml:space="preserve"> </v>
      </c>
      <c r="T458" s="100" t="str">
        <f t="shared" si="52"/>
        <v xml:space="preserve"> </v>
      </c>
      <c r="U458" s="100"/>
      <c r="V458" s="100" t="str">
        <f t="shared" si="51"/>
        <v xml:space="preserve"> </v>
      </c>
      <c r="W458" s="101">
        <f t="shared" si="53"/>
        <v>24</v>
      </c>
      <c r="X458" s="102">
        <f t="shared" si="54"/>
        <v>0</v>
      </c>
      <c r="Y458" s="100" t="str">
        <f t="shared" si="55"/>
        <v xml:space="preserve"> </v>
      </c>
      <c r="Z458" s="100" t="str">
        <f t="shared" si="56"/>
        <v xml:space="preserve"> </v>
      </c>
    </row>
    <row r="459" spans="1:26">
      <c r="A459" s="100"/>
      <c r="B459" s="108" t="str">
        <f>IFERROR(VLOOKUP(Tablo517[[#This Row],[ÜRÜN KODU]],YMKODLARI!$A$1:$K$363,2,0)," ")</f>
        <v xml:space="preserve"> </v>
      </c>
      <c r="C459" s="99"/>
      <c r="D459" s="100"/>
      <c r="E459" s="101"/>
      <c r="F459" s="101"/>
      <c r="G459" s="100" t="str">
        <f>IFERROR(VLOOKUP(Tablo517[[#This Row],[ÜRÜN KODU]],YMKODLARI!$A$1:$K$363,3,0)," ")</f>
        <v xml:space="preserve"> </v>
      </c>
      <c r="H459" s="100" t="str">
        <f>IFERROR(VLOOKUP(Tablo517[[#This Row],[ÜRÜN KODU]],YMKODLARI!$A$1:$K$363,4,0)," ")</f>
        <v xml:space="preserve"> </v>
      </c>
      <c r="I459" s="100"/>
      <c r="J459" s="100" t="str">
        <f>IFERROR(VLOOKUP(Tablo517[[#This Row],[ÜRÜN KODU]],YMKODLARI!$A$1:$K$363,9,0)," ")</f>
        <v xml:space="preserve"> </v>
      </c>
      <c r="K459" s="100" t="str">
        <f>IFERROR(VLOOKUP(Tablo517[[#This Row],[BOYA KODU]],Tablo14[#All],4,0)," ")</f>
        <v xml:space="preserve"> </v>
      </c>
      <c r="L459" s="100" t="str">
        <f>IFERROR(VLOOKUP(Tablo517[[#This Row],[BOYA KODU]],Tablo14[#All],6,0)," ")</f>
        <v xml:space="preserve"> </v>
      </c>
      <c r="M459" s="100" t="str">
        <f t="shared" si="50"/>
        <v xml:space="preserve"> </v>
      </c>
      <c r="N459" s="100" t="str">
        <f>IFERROR(VLOOKUP(Tablo517[[#This Row],[ÜRÜN KODU]],YMKODLARI!$A$1:$K$363,8,0)," ")</f>
        <v xml:space="preserve"> </v>
      </c>
      <c r="O459" s="100" t="str">
        <f>IFERROR(VLOOKUP(Tablo517[[#This Row],[HAMMADDE KODU]],Tablo1[#All],3,0)," ")</f>
        <v xml:space="preserve"> </v>
      </c>
      <c r="P459" s="100" t="str">
        <f>IFERROR(VLOOKUP(Tablo517[[#This Row],[HAMMADDE KODU]],Tablo1[#All],4,0)," ")</f>
        <v xml:space="preserve"> </v>
      </c>
      <c r="Q459" s="100" t="str">
        <f>IFERROR(VLOOKUP(Tablo517[[#This Row],[ÜRÜN KODU]],YMKODLARI!$A$1:$K$363,5,0)," ")</f>
        <v xml:space="preserve"> </v>
      </c>
      <c r="R459" s="100" t="str">
        <f>IFERROR(VLOOKUP(Tablo517[[#This Row],[ÜRÜN KODU]],YMKODLARI!$A$1:$K$363,6,0)," ")</f>
        <v xml:space="preserve"> </v>
      </c>
      <c r="S459" s="100" t="str">
        <f>IFERROR(Tablo517[[#This Row],[YOLLUK HARİÇ BASKI GRAMI]]/Tablo517[[#This Row],[KALIP GÖZ ADEDİ]]," ")</f>
        <v xml:space="preserve"> </v>
      </c>
      <c r="T459" s="100" t="str">
        <f t="shared" si="52"/>
        <v xml:space="preserve"> </v>
      </c>
      <c r="U459" s="100"/>
      <c r="V459" s="100" t="str">
        <f t="shared" si="51"/>
        <v xml:space="preserve"> </v>
      </c>
      <c r="W459" s="101">
        <f t="shared" si="53"/>
        <v>24</v>
      </c>
      <c r="X459" s="102">
        <f t="shared" si="54"/>
        <v>0</v>
      </c>
      <c r="Y459" s="100" t="str">
        <f t="shared" si="55"/>
        <v xml:space="preserve"> </v>
      </c>
      <c r="Z459" s="100" t="str">
        <f t="shared" si="56"/>
        <v xml:space="preserve"> </v>
      </c>
    </row>
    <row r="460" spans="1:26">
      <c r="A460" s="100"/>
      <c r="B460" s="108" t="str">
        <f>IFERROR(VLOOKUP(Tablo517[[#This Row],[ÜRÜN KODU]],YMKODLARI!$A$1:$K$363,2,0)," ")</f>
        <v xml:space="preserve"> </v>
      </c>
      <c r="C460" s="99"/>
      <c r="D460" s="100"/>
      <c r="E460" s="101"/>
      <c r="F460" s="101"/>
      <c r="G460" s="100" t="str">
        <f>IFERROR(VLOOKUP(Tablo517[[#This Row],[ÜRÜN KODU]],YMKODLARI!$A$1:$K$363,3,0)," ")</f>
        <v xml:space="preserve"> </v>
      </c>
      <c r="H460" s="100" t="str">
        <f>IFERROR(VLOOKUP(Tablo517[[#This Row],[ÜRÜN KODU]],YMKODLARI!$A$1:$K$363,4,0)," ")</f>
        <v xml:space="preserve"> </v>
      </c>
      <c r="I460" s="100"/>
      <c r="J460" s="100" t="str">
        <f>IFERROR(VLOOKUP(Tablo517[[#This Row],[ÜRÜN KODU]],YMKODLARI!$A$1:$K$363,9,0)," ")</f>
        <v xml:space="preserve"> </v>
      </c>
      <c r="K460" s="100" t="str">
        <f>IFERROR(VLOOKUP(Tablo517[[#This Row],[BOYA KODU]],Tablo14[#All],4,0)," ")</f>
        <v xml:space="preserve"> </v>
      </c>
      <c r="L460" s="100" t="str">
        <f>IFERROR(VLOOKUP(Tablo517[[#This Row],[BOYA KODU]],Tablo14[#All],6,0)," ")</f>
        <v xml:space="preserve"> </v>
      </c>
      <c r="M460" s="100" t="str">
        <f t="shared" si="50"/>
        <v xml:space="preserve"> </v>
      </c>
      <c r="N460" s="100" t="str">
        <f>IFERROR(VLOOKUP(Tablo517[[#This Row],[ÜRÜN KODU]],YMKODLARI!$A$1:$K$363,8,0)," ")</f>
        <v xml:space="preserve"> </v>
      </c>
      <c r="O460" s="100" t="str">
        <f>IFERROR(VLOOKUP(Tablo517[[#This Row],[HAMMADDE KODU]],Tablo1[#All],3,0)," ")</f>
        <v xml:space="preserve"> </v>
      </c>
      <c r="P460" s="100" t="str">
        <f>IFERROR(VLOOKUP(Tablo517[[#This Row],[HAMMADDE KODU]],Tablo1[#All],4,0)," ")</f>
        <v xml:space="preserve"> </v>
      </c>
      <c r="Q460" s="100" t="str">
        <f>IFERROR(VLOOKUP(Tablo517[[#This Row],[ÜRÜN KODU]],YMKODLARI!$A$1:$K$363,5,0)," ")</f>
        <v xml:space="preserve"> </v>
      </c>
      <c r="R460" s="100" t="str">
        <f>IFERROR(VLOOKUP(Tablo517[[#This Row],[ÜRÜN KODU]],YMKODLARI!$A$1:$K$363,6,0)," ")</f>
        <v xml:space="preserve"> </v>
      </c>
      <c r="S460" s="100" t="str">
        <f>IFERROR(Tablo517[[#This Row],[YOLLUK HARİÇ BASKI GRAMI]]/Tablo517[[#This Row],[KALIP GÖZ ADEDİ]]," ")</f>
        <v xml:space="preserve"> </v>
      </c>
      <c r="T460" s="100" t="str">
        <f t="shared" si="52"/>
        <v xml:space="preserve"> </v>
      </c>
      <c r="U460" s="100"/>
      <c r="V460" s="100" t="str">
        <f t="shared" si="51"/>
        <v xml:space="preserve"> </v>
      </c>
      <c r="W460" s="101">
        <f t="shared" si="53"/>
        <v>24</v>
      </c>
      <c r="X460" s="102">
        <f t="shared" si="54"/>
        <v>0</v>
      </c>
      <c r="Y460" s="100" t="str">
        <f t="shared" si="55"/>
        <v xml:space="preserve"> </v>
      </c>
      <c r="Z460" s="100" t="str">
        <f t="shared" si="56"/>
        <v xml:space="preserve"> </v>
      </c>
    </row>
    <row r="461" spans="1:26">
      <c r="A461" s="100"/>
      <c r="B461" s="108" t="str">
        <f>IFERROR(VLOOKUP(Tablo517[[#This Row],[ÜRÜN KODU]],YMKODLARI!$A$1:$K$363,2,0)," ")</f>
        <v xml:space="preserve"> </v>
      </c>
      <c r="C461" s="99"/>
      <c r="D461" s="100"/>
      <c r="E461" s="101"/>
      <c r="F461" s="101"/>
      <c r="G461" s="100" t="str">
        <f>IFERROR(VLOOKUP(Tablo517[[#This Row],[ÜRÜN KODU]],YMKODLARI!$A$1:$K$363,3,0)," ")</f>
        <v xml:space="preserve"> </v>
      </c>
      <c r="H461" s="100" t="str">
        <f>IFERROR(VLOOKUP(Tablo517[[#This Row],[ÜRÜN KODU]],YMKODLARI!$A$1:$K$363,4,0)," ")</f>
        <v xml:space="preserve"> </v>
      </c>
      <c r="I461" s="100"/>
      <c r="J461" s="100" t="str">
        <f>IFERROR(VLOOKUP(Tablo517[[#This Row],[ÜRÜN KODU]],YMKODLARI!$A$1:$K$363,9,0)," ")</f>
        <v xml:space="preserve"> </v>
      </c>
      <c r="K461" s="100" t="str">
        <f>IFERROR(VLOOKUP(Tablo517[[#This Row],[BOYA KODU]],Tablo14[#All],4,0)," ")</f>
        <v xml:space="preserve"> </v>
      </c>
      <c r="L461" s="100" t="str">
        <f>IFERROR(VLOOKUP(Tablo517[[#This Row],[BOYA KODU]],Tablo14[#All],6,0)," ")</f>
        <v xml:space="preserve"> </v>
      </c>
      <c r="M461" s="100" t="str">
        <f t="shared" si="50"/>
        <v xml:space="preserve"> </v>
      </c>
      <c r="N461" s="100" t="str">
        <f>IFERROR(VLOOKUP(Tablo517[[#This Row],[ÜRÜN KODU]],YMKODLARI!$A$1:$K$363,8,0)," ")</f>
        <v xml:space="preserve"> </v>
      </c>
      <c r="O461" s="100" t="str">
        <f>IFERROR(VLOOKUP(Tablo517[[#This Row],[HAMMADDE KODU]],Tablo1[#All],3,0)," ")</f>
        <v xml:space="preserve"> </v>
      </c>
      <c r="P461" s="100" t="str">
        <f>IFERROR(VLOOKUP(Tablo517[[#This Row],[HAMMADDE KODU]],Tablo1[#All],4,0)," ")</f>
        <v xml:space="preserve"> </v>
      </c>
      <c r="Q461" s="100" t="str">
        <f>IFERROR(VLOOKUP(Tablo517[[#This Row],[ÜRÜN KODU]],YMKODLARI!$A$1:$K$363,5,0)," ")</f>
        <v xml:space="preserve"> </v>
      </c>
      <c r="R461" s="100" t="str">
        <f>IFERROR(VLOOKUP(Tablo517[[#This Row],[ÜRÜN KODU]],YMKODLARI!$A$1:$K$363,6,0)," ")</f>
        <v xml:space="preserve"> </v>
      </c>
      <c r="S461" s="100" t="str">
        <f>IFERROR(Tablo517[[#This Row],[YOLLUK HARİÇ BASKI GRAMI]]/Tablo517[[#This Row],[KALIP GÖZ ADEDİ]]," ")</f>
        <v xml:space="preserve"> </v>
      </c>
      <c r="T461" s="100" t="str">
        <f t="shared" si="52"/>
        <v xml:space="preserve"> </v>
      </c>
      <c r="U461" s="100"/>
      <c r="V461" s="100" t="str">
        <f t="shared" si="51"/>
        <v xml:space="preserve"> </v>
      </c>
      <c r="W461" s="101">
        <f t="shared" si="53"/>
        <v>24</v>
      </c>
      <c r="X461" s="102">
        <f t="shared" si="54"/>
        <v>0</v>
      </c>
      <c r="Y461" s="100" t="str">
        <f t="shared" si="55"/>
        <v xml:space="preserve"> </v>
      </c>
      <c r="Z461" s="100" t="str">
        <f t="shared" si="56"/>
        <v xml:space="preserve"> </v>
      </c>
    </row>
    <row r="462" spans="1:26">
      <c r="A462" s="100"/>
      <c r="B462" s="108" t="str">
        <f>IFERROR(VLOOKUP(Tablo517[[#This Row],[ÜRÜN KODU]],YMKODLARI!$A$1:$K$363,2,0)," ")</f>
        <v xml:space="preserve"> </v>
      </c>
      <c r="C462" s="99"/>
      <c r="D462" s="100"/>
      <c r="E462" s="101"/>
      <c r="F462" s="101"/>
      <c r="G462" s="100" t="str">
        <f>IFERROR(VLOOKUP(Tablo517[[#This Row],[ÜRÜN KODU]],YMKODLARI!$A$1:$K$363,3,0)," ")</f>
        <v xml:space="preserve"> </v>
      </c>
      <c r="H462" s="100" t="str">
        <f>IFERROR(VLOOKUP(Tablo517[[#This Row],[ÜRÜN KODU]],YMKODLARI!$A$1:$K$363,4,0)," ")</f>
        <v xml:space="preserve"> </v>
      </c>
      <c r="I462" s="100"/>
      <c r="J462" s="100" t="str">
        <f>IFERROR(VLOOKUP(Tablo517[[#This Row],[ÜRÜN KODU]],YMKODLARI!$A$1:$K$363,9,0)," ")</f>
        <v xml:space="preserve"> </v>
      </c>
      <c r="K462" s="100" t="str">
        <f>IFERROR(VLOOKUP(Tablo517[[#This Row],[BOYA KODU]],Tablo14[#All],4,0)," ")</f>
        <v xml:space="preserve"> </v>
      </c>
      <c r="L462" s="100" t="str">
        <f>IFERROR(VLOOKUP(Tablo517[[#This Row],[BOYA KODU]],Tablo14[#All],6,0)," ")</f>
        <v xml:space="preserve"> </v>
      </c>
      <c r="M462" s="100" t="str">
        <f t="shared" si="50"/>
        <v xml:space="preserve"> </v>
      </c>
      <c r="N462" s="100" t="str">
        <f>IFERROR(VLOOKUP(Tablo517[[#This Row],[ÜRÜN KODU]],YMKODLARI!$A$1:$K$363,8,0)," ")</f>
        <v xml:space="preserve"> </v>
      </c>
      <c r="O462" s="100" t="str">
        <f>IFERROR(VLOOKUP(Tablo517[[#This Row],[HAMMADDE KODU]],Tablo1[#All],3,0)," ")</f>
        <v xml:space="preserve"> </v>
      </c>
      <c r="P462" s="100" t="str">
        <f>IFERROR(VLOOKUP(Tablo517[[#This Row],[HAMMADDE KODU]],Tablo1[#All],4,0)," ")</f>
        <v xml:space="preserve"> </v>
      </c>
      <c r="Q462" s="100" t="str">
        <f>IFERROR(VLOOKUP(Tablo517[[#This Row],[ÜRÜN KODU]],YMKODLARI!$A$1:$K$363,5,0)," ")</f>
        <v xml:space="preserve"> </v>
      </c>
      <c r="R462" s="100" t="str">
        <f>IFERROR(VLOOKUP(Tablo517[[#This Row],[ÜRÜN KODU]],YMKODLARI!$A$1:$K$363,6,0)," ")</f>
        <v xml:space="preserve"> </v>
      </c>
      <c r="S462" s="100" t="str">
        <f>IFERROR(Tablo517[[#This Row],[YOLLUK HARİÇ BASKI GRAMI]]/Tablo517[[#This Row],[KALIP GÖZ ADEDİ]]," ")</f>
        <v xml:space="preserve"> </v>
      </c>
      <c r="T462" s="100" t="str">
        <f t="shared" si="52"/>
        <v xml:space="preserve"> </v>
      </c>
      <c r="U462" s="100"/>
      <c r="V462" s="100" t="str">
        <f t="shared" si="51"/>
        <v xml:space="preserve"> </v>
      </c>
      <c r="W462" s="101">
        <f t="shared" si="53"/>
        <v>24</v>
      </c>
      <c r="X462" s="102">
        <f t="shared" si="54"/>
        <v>0</v>
      </c>
      <c r="Y462" s="100" t="str">
        <f t="shared" si="55"/>
        <v xml:space="preserve"> </v>
      </c>
      <c r="Z462" s="100" t="str">
        <f t="shared" si="56"/>
        <v xml:space="preserve"> </v>
      </c>
    </row>
    <row r="463" spans="1:26">
      <c r="A463" s="100"/>
      <c r="B463" s="108" t="str">
        <f>IFERROR(VLOOKUP(Tablo517[[#This Row],[ÜRÜN KODU]],YMKODLARI!$A$1:$K$363,2,0)," ")</f>
        <v xml:space="preserve"> </v>
      </c>
      <c r="C463" s="99"/>
      <c r="D463" s="100"/>
      <c r="E463" s="101"/>
      <c r="F463" s="101"/>
      <c r="G463" s="100" t="str">
        <f>IFERROR(VLOOKUP(Tablo517[[#This Row],[ÜRÜN KODU]],YMKODLARI!$A$1:$K$363,3,0)," ")</f>
        <v xml:space="preserve"> </v>
      </c>
      <c r="H463" s="100" t="str">
        <f>IFERROR(VLOOKUP(Tablo517[[#This Row],[ÜRÜN KODU]],YMKODLARI!$A$1:$K$363,4,0)," ")</f>
        <v xml:space="preserve"> </v>
      </c>
      <c r="I463" s="100"/>
      <c r="J463" s="100" t="str">
        <f>IFERROR(VLOOKUP(Tablo517[[#This Row],[ÜRÜN KODU]],YMKODLARI!$A$1:$K$363,9,0)," ")</f>
        <v xml:space="preserve"> </v>
      </c>
      <c r="K463" s="100" t="str">
        <f>IFERROR(VLOOKUP(Tablo517[[#This Row],[BOYA KODU]],Tablo14[#All],4,0)," ")</f>
        <v xml:space="preserve"> </v>
      </c>
      <c r="L463" s="100" t="str">
        <f>IFERROR(VLOOKUP(Tablo517[[#This Row],[BOYA KODU]],Tablo14[#All],6,0)," ")</f>
        <v xml:space="preserve"> </v>
      </c>
      <c r="M463" s="100" t="str">
        <f t="shared" si="50"/>
        <v xml:space="preserve"> </v>
      </c>
      <c r="N463" s="100" t="str">
        <f>IFERROR(VLOOKUP(Tablo517[[#This Row],[ÜRÜN KODU]],YMKODLARI!$A$1:$K$363,8,0)," ")</f>
        <v xml:space="preserve"> </v>
      </c>
      <c r="O463" s="100" t="str">
        <f>IFERROR(VLOOKUP(Tablo517[[#This Row],[HAMMADDE KODU]],Tablo1[#All],3,0)," ")</f>
        <v xml:space="preserve"> </v>
      </c>
      <c r="P463" s="100" t="str">
        <f>IFERROR(VLOOKUP(Tablo517[[#This Row],[HAMMADDE KODU]],Tablo1[#All],4,0)," ")</f>
        <v xml:space="preserve"> </v>
      </c>
      <c r="Q463" s="100" t="str">
        <f>IFERROR(VLOOKUP(Tablo517[[#This Row],[ÜRÜN KODU]],YMKODLARI!$A$1:$K$363,5,0)," ")</f>
        <v xml:space="preserve"> </v>
      </c>
      <c r="R463" s="100" t="str">
        <f>IFERROR(VLOOKUP(Tablo517[[#This Row],[ÜRÜN KODU]],YMKODLARI!$A$1:$K$363,6,0)," ")</f>
        <v xml:space="preserve"> </v>
      </c>
      <c r="S463" s="100" t="str">
        <f>IFERROR(Tablo517[[#This Row],[YOLLUK HARİÇ BASKI GRAMI]]/Tablo517[[#This Row],[KALIP GÖZ ADEDİ]]," ")</f>
        <v xml:space="preserve"> </v>
      </c>
      <c r="T463" s="100" t="str">
        <f t="shared" si="52"/>
        <v xml:space="preserve"> </v>
      </c>
      <c r="U463" s="100"/>
      <c r="V463" s="100" t="str">
        <f t="shared" si="51"/>
        <v xml:space="preserve"> </v>
      </c>
      <c r="W463" s="101">
        <f t="shared" si="53"/>
        <v>24</v>
      </c>
      <c r="X463" s="102">
        <f t="shared" si="54"/>
        <v>0</v>
      </c>
      <c r="Y463" s="100" t="str">
        <f t="shared" si="55"/>
        <v xml:space="preserve"> </v>
      </c>
      <c r="Z463" s="100" t="str">
        <f t="shared" si="56"/>
        <v xml:space="preserve"> </v>
      </c>
    </row>
    <row r="464" spans="1:26">
      <c r="A464" s="100"/>
      <c r="B464" s="108" t="str">
        <f>IFERROR(VLOOKUP(Tablo517[[#This Row],[ÜRÜN KODU]],YMKODLARI!$A$1:$K$363,2,0)," ")</f>
        <v xml:space="preserve"> </v>
      </c>
      <c r="C464" s="99"/>
      <c r="D464" s="100"/>
      <c r="E464" s="101"/>
      <c r="F464" s="101"/>
      <c r="G464" s="100" t="str">
        <f>IFERROR(VLOOKUP(Tablo517[[#This Row],[ÜRÜN KODU]],YMKODLARI!$A$1:$K$363,3,0)," ")</f>
        <v xml:space="preserve"> </v>
      </c>
      <c r="H464" s="100" t="str">
        <f>IFERROR(VLOOKUP(Tablo517[[#This Row],[ÜRÜN KODU]],YMKODLARI!$A$1:$K$363,4,0)," ")</f>
        <v xml:space="preserve"> </v>
      </c>
      <c r="I464" s="100"/>
      <c r="J464" s="100" t="str">
        <f>IFERROR(VLOOKUP(Tablo517[[#This Row],[ÜRÜN KODU]],YMKODLARI!$A$1:$K$363,9,0)," ")</f>
        <v xml:space="preserve"> </v>
      </c>
      <c r="K464" s="100" t="str">
        <f>IFERROR(VLOOKUP(Tablo517[[#This Row],[BOYA KODU]],Tablo14[#All],4,0)," ")</f>
        <v xml:space="preserve"> </v>
      </c>
      <c r="L464" s="100" t="str">
        <f>IFERROR(VLOOKUP(Tablo517[[#This Row],[BOYA KODU]],Tablo14[#All],6,0)," ")</f>
        <v xml:space="preserve"> </v>
      </c>
      <c r="M464" s="100" t="str">
        <f t="shared" si="50"/>
        <v xml:space="preserve"> </v>
      </c>
      <c r="N464" s="100" t="str">
        <f>IFERROR(VLOOKUP(Tablo517[[#This Row],[ÜRÜN KODU]],YMKODLARI!$A$1:$K$363,8,0)," ")</f>
        <v xml:space="preserve"> </v>
      </c>
      <c r="O464" s="100" t="str">
        <f>IFERROR(VLOOKUP(Tablo517[[#This Row],[HAMMADDE KODU]],Tablo1[#All],3,0)," ")</f>
        <v xml:space="preserve"> </v>
      </c>
      <c r="P464" s="100" t="str">
        <f>IFERROR(VLOOKUP(Tablo517[[#This Row],[HAMMADDE KODU]],Tablo1[#All],4,0)," ")</f>
        <v xml:space="preserve"> </v>
      </c>
      <c r="Q464" s="100" t="str">
        <f>IFERROR(VLOOKUP(Tablo517[[#This Row],[ÜRÜN KODU]],YMKODLARI!$A$1:$K$363,5,0)," ")</f>
        <v xml:space="preserve"> </v>
      </c>
      <c r="R464" s="100" t="str">
        <f>IFERROR(VLOOKUP(Tablo517[[#This Row],[ÜRÜN KODU]],YMKODLARI!$A$1:$K$363,6,0)," ")</f>
        <v xml:space="preserve"> </v>
      </c>
      <c r="S464" s="100" t="str">
        <f>IFERROR(Tablo517[[#This Row],[YOLLUK HARİÇ BASKI GRAMI]]/Tablo517[[#This Row],[KALIP GÖZ ADEDİ]]," ")</f>
        <v xml:space="preserve"> </v>
      </c>
      <c r="T464" s="100" t="str">
        <f t="shared" si="52"/>
        <v xml:space="preserve"> </v>
      </c>
      <c r="U464" s="100"/>
      <c r="V464" s="100" t="str">
        <f t="shared" si="51"/>
        <v xml:space="preserve"> </v>
      </c>
      <c r="W464" s="101">
        <f t="shared" si="53"/>
        <v>24</v>
      </c>
      <c r="X464" s="102">
        <f t="shared" si="54"/>
        <v>0</v>
      </c>
      <c r="Y464" s="100" t="str">
        <f t="shared" si="55"/>
        <v xml:space="preserve"> </v>
      </c>
      <c r="Z464" s="100" t="str">
        <f t="shared" si="56"/>
        <v xml:space="preserve"> </v>
      </c>
    </row>
    <row r="465" spans="1:26">
      <c r="A465" s="100"/>
      <c r="B465" s="108" t="str">
        <f>IFERROR(VLOOKUP(Tablo517[[#This Row],[ÜRÜN KODU]],YMKODLARI!$A$1:$K$363,2,0)," ")</f>
        <v xml:space="preserve"> </v>
      </c>
      <c r="C465" s="99"/>
      <c r="D465" s="100"/>
      <c r="E465" s="101"/>
      <c r="F465" s="101"/>
      <c r="G465" s="100" t="str">
        <f>IFERROR(VLOOKUP(Tablo517[[#This Row],[ÜRÜN KODU]],YMKODLARI!$A$1:$K$363,3,0)," ")</f>
        <v xml:space="preserve"> </v>
      </c>
      <c r="H465" s="100" t="str">
        <f>IFERROR(VLOOKUP(Tablo517[[#This Row],[ÜRÜN KODU]],YMKODLARI!$A$1:$K$363,4,0)," ")</f>
        <v xml:space="preserve"> </v>
      </c>
      <c r="I465" s="100"/>
      <c r="J465" s="100" t="str">
        <f>IFERROR(VLOOKUP(Tablo517[[#This Row],[ÜRÜN KODU]],YMKODLARI!$A$1:$K$363,9,0)," ")</f>
        <v xml:space="preserve"> </v>
      </c>
      <c r="K465" s="100" t="str">
        <f>IFERROR(VLOOKUP(Tablo517[[#This Row],[BOYA KODU]],Tablo14[#All],4,0)," ")</f>
        <v xml:space="preserve"> </v>
      </c>
      <c r="L465" s="100" t="str">
        <f>IFERROR(VLOOKUP(Tablo517[[#This Row],[BOYA KODU]],Tablo14[#All],6,0)," ")</f>
        <v xml:space="preserve"> </v>
      </c>
      <c r="M465" s="100" t="str">
        <f t="shared" si="50"/>
        <v xml:space="preserve"> </v>
      </c>
      <c r="N465" s="100" t="str">
        <f>IFERROR(VLOOKUP(Tablo517[[#This Row],[ÜRÜN KODU]],YMKODLARI!$A$1:$K$363,8,0)," ")</f>
        <v xml:space="preserve"> </v>
      </c>
      <c r="O465" s="100" t="str">
        <f>IFERROR(VLOOKUP(Tablo517[[#This Row],[HAMMADDE KODU]],Tablo1[#All],3,0)," ")</f>
        <v xml:space="preserve"> </v>
      </c>
      <c r="P465" s="100" t="str">
        <f>IFERROR(VLOOKUP(Tablo517[[#This Row],[HAMMADDE KODU]],Tablo1[#All],4,0)," ")</f>
        <v xml:space="preserve"> </v>
      </c>
      <c r="Q465" s="100" t="str">
        <f>IFERROR(VLOOKUP(Tablo517[[#This Row],[ÜRÜN KODU]],YMKODLARI!$A$1:$K$363,5,0)," ")</f>
        <v xml:space="preserve"> </v>
      </c>
      <c r="R465" s="100" t="str">
        <f>IFERROR(VLOOKUP(Tablo517[[#This Row],[ÜRÜN KODU]],YMKODLARI!$A$1:$K$363,6,0)," ")</f>
        <v xml:space="preserve"> </v>
      </c>
      <c r="S465" s="100" t="str">
        <f>IFERROR(Tablo517[[#This Row],[YOLLUK HARİÇ BASKI GRAMI]]/Tablo517[[#This Row],[KALIP GÖZ ADEDİ]]," ")</f>
        <v xml:space="preserve"> </v>
      </c>
      <c r="T465" s="100" t="str">
        <f t="shared" si="52"/>
        <v xml:space="preserve"> </v>
      </c>
      <c r="U465" s="100"/>
      <c r="V465" s="100" t="str">
        <f t="shared" si="51"/>
        <v xml:space="preserve"> </v>
      </c>
      <c r="W465" s="101">
        <f t="shared" si="53"/>
        <v>24</v>
      </c>
      <c r="X465" s="102">
        <f t="shared" si="54"/>
        <v>0</v>
      </c>
      <c r="Y465" s="100" t="str">
        <f t="shared" si="55"/>
        <v xml:space="preserve"> </v>
      </c>
      <c r="Z465" s="100" t="str">
        <f t="shared" si="56"/>
        <v xml:space="preserve"> </v>
      </c>
    </row>
    <row r="466" spans="1:26">
      <c r="A466" s="100"/>
      <c r="B466" s="108" t="str">
        <f>IFERROR(VLOOKUP(Tablo517[[#This Row],[ÜRÜN KODU]],YMKODLARI!$A$1:$K$363,2,0)," ")</f>
        <v xml:space="preserve"> </v>
      </c>
      <c r="C466" s="99"/>
      <c r="D466" s="100"/>
      <c r="E466" s="101"/>
      <c r="F466" s="101"/>
      <c r="G466" s="100" t="str">
        <f>IFERROR(VLOOKUP(Tablo517[[#This Row],[ÜRÜN KODU]],YMKODLARI!$A$1:$K$363,3,0)," ")</f>
        <v xml:space="preserve"> </v>
      </c>
      <c r="H466" s="100" t="str">
        <f>IFERROR(VLOOKUP(Tablo517[[#This Row],[ÜRÜN KODU]],YMKODLARI!$A$1:$K$363,4,0)," ")</f>
        <v xml:space="preserve"> </v>
      </c>
      <c r="I466" s="100"/>
      <c r="J466" s="100" t="str">
        <f>IFERROR(VLOOKUP(Tablo517[[#This Row],[ÜRÜN KODU]],YMKODLARI!$A$1:$K$363,9,0)," ")</f>
        <v xml:space="preserve"> </v>
      </c>
      <c r="K466" s="100" t="str">
        <f>IFERROR(VLOOKUP(Tablo517[[#This Row],[BOYA KODU]],Tablo14[#All],4,0)," ")</f>
        <v xml:space="preserve"> </v>
      </c>
      <c r="L466" s="100" t="str">
        <f>IFERROR(VLOOKUP(Tablo517[[#This Row],[BOYA KODU]],Tablo14[#All],6,0)," ")</f>
        <v xml:space="preserve"> </v>
      </c>
      <c r="M466" s="100" t="str">
        <f t="shared" si="50"/>
        <v xml:space="preserve"> </v>
      </c>
      <c r="N466" s="100" t="str">
        <f>IFERROR(VLOOKUP(Tablo517[[#This Row],[ÜRÜN KODU]],YMKODLARI!$A$1:$K$363,8,0)," ")</f>
        <v xml:space="preserve"> </v>
      </c>
      <c r="O466" s="100" t="str">
        <f>IFERROR(VLOOKUP(Tablo517[[#This Row],[HAMMADDE KODU]],Tablo1[#All],3,0)," ")</f>
        <v xml:space="preserve"> </v>
      </c>
      <c r="P466" s="100" t="str">
        <f>IFERROR(VLOOKUP(Tablo517[[#This Row],[HAMMADDE KODU]],Tablo1[#All],4,0)," ")</f>
        <v xml:space="preserve"> </v>
      </c>
      <c r="Q466" s="100" t="str">
        <f>IFERROR(VLOOKUP(Tablo517[[#This Row],[ÜRÜN KODU]],YMKODLARI!$A$1:$K$363,5,0)," ")</f>
        <v xml:space="preserve"> </v>
      </c>
      <c r="R466" s="100" t="str">
        <f>IFERROR(VLOOKUP(Tablo517[[#This Row],[ÜRÜN KODU]],YMKODLARI!$A$1:$K$363,6,0)," ")</f>
        <v xml:space="preserve"> </v>
      </c>
      <c r="S466" s="100" t="str">
        <f>IFERROR(Tablo517[[#This Row],[YOLLUK HARİÇ BASKI GRAMI]]/Tablo517[[#This Row],[KALIP GÖZ ADEDİ]]," ")</f>
        <v xml:space="preserve"> </v>
      </c>
      <c r="T466" s="100" t="str">
        <f t="shared" si="52"/>
        <v xml:space="preserve"> </v>
      </c>
      <c r="U466" s="100"/>
      <c r="V466" s="100" t="str">
        <f t="shared" si="51"/>
        <v xml:space="preserve"> </v>
      </c>
      <c r="W466" s="101">
        <f t="shared" si="53"/>
        <v>24</v>
      </c>
      <c r="X466" s="102">
        <f t="shared" si="54"/>
        <v>0</v>
      </c>
      <c r="Y466" s="100" t="str">
        <f t="shared" si="55"/>
        <v xml:space="preserve"> </v>
      </c>
      <c r="Z466" s="100" t="str">
        <f t="shared" si="56"/>
        <v xml:space="preserve"> </v>
      </c>
    </row>
    <row r="467" spans="1:26">
      <c r="A467" s="100"/>
      <c r="B467" s="108" t="str">
        <f>IFERROR(VLOOKUP(Tablo517[[#This Row],[ÜRÜN KODU]],YMKODLARI!$A$1:$K$363,2,0)," ")</f>
        <v xml:space="preserve"> </v>
      </c>
      <c r="C467" s="99"/>
      <c r="D467" s="100"/>
      <c r="E467" s="101"/>
      <c r="F467" s="101"/>
      <c r="G467" s="100" t="str">
        <f>IFERROR(VLOOKUP(Tablo517[[#This Row],[ÜRÜN KODU]],YMKODLARI!$A$1:$K$363,3,0)," ")</f>
        <v xml:space="preserve"> </v>
      </c>
      <c r="H467" s="100" t="str">
        <f>IFERROR(VLOOKUP(Tablo517[[#This Row],[ÜRÜN KODU]],YMKODLARI!$A$1:$K$363,4,0)," ")</f>
        <v xml:space="preserve"> </v>
      </c>
      <c r="I467" s="100"/>
      <c r="J467" s="100" t="str">
        <f>IFERROR(VLOOKUP(Tablo517[[#This Row],[ÜRÜN KODU]],YMKODLARI!$A$1:$K$363,9,0)," ")</f>
        <v xml:space="preserve"> </v>
      </c>
      <c r="K467" s="100" t="str">
        <f>IFERROR(VLOOKUP(Tablo517[[#This Row],[BOYA KODU]],Tablo14[#All],4,0)," ")</f>
        <v xml:space="preserve"> </v>
      </c>
      <c r="L467" s="100" t="str">
        <f>IFERROR(VLOOKUP(Tablo517[[#This Row],[BOYA KODU]],Tablo14[#All],6,0)," ")</f>
        <v xml:space="preserve"> </v>
      </c>
      <c r="M467" s="100" t="str">
        <f t="shared" si="50"/>
        <v xml:space="preserve"> </v>
      </c>
      <c r="N467" s="100" t="str">
        <f>IFERROR(VLOOKUP(Tablo517[[#This Row],[ÜRÜN KODU]],YMKODLARI!$A$1:$K$363,8,0)," ")</f>
        <v xml:space="preserve"> </v>
      </c>
      <c r="O467" s="100" t="str">
        <f>IFERROR(VLOOKUP(Tablo517[[#This Row],[HAMMADDE KODU]],Tablo1[#All],3,0)," ")</f>
        <v xml:space="preserve"> </v>
      </c>
      <c r="P467" s="100" t="str">
        <f>IFERROR(VLOOKUP(Tablo517[[#This Row],[HAMMADDE KODU]],Tablo1[#All],4,0)," ")</f>
        <v xml:space="preserve"> </v>
      </c>
      <c r="Q467" s="100" t="str">
        <f>IFERROR(VLOOKUP(Tablo517[[#This Row],[ÜRÜN KODU]],YMKODLARI!$A$1:$K$363,5,0)," ")</f>
        <v xml:space="preserve"> </v>
      </c>
      <c r="R467" s="100" t="str">
        <f>IFERROR(VLOOKUP(Tablo517[[#This Row],[ÜRÜN KODU]],YMKODLARI!$A$1:$K$363,6,0)," ")</f>
        <v xml:space="preserve"> </v>
      </c>
      <c r="S467" s="100" t="str">
        <f>IFERROR(Tablo517[[#This Row],[YOLLUK HARİÇ BASKI GRAMI]]/Tablo517[[#This Row],[KALIP GÖZ ADEDİ]]," ")</f>
        <v xml:space="preserve"> </v>
      </c>
      <c r="T467" s="100" t="str">
        <f t="shared" si="52"/>
        <v xml:space="preserve"> </v>
      </c>
      <c r="U467" s="100"/>
      <c r="V467" s="100" t="str">
        <f t="shared" si="51"/>
        <v xml:space="preserve"> </v>
      </c>
      <c r="W467" s="101">
        <f t="shared" si="53"/>
        <v>24</v>
      </c>
      <c r="X467" s="102">
        <f t="shared" si="54"/>
        <v>0</v>
      </c>
      <c r="Y467" s="100" t="str">
        <f t="shared" si="55"/>
        <v xml:space="preserve"> </v>
      </c>
      <c r="Z467" s="100" t="str">
        <f t="shared" si="56"/>
        <v xml:space="preserve"> </v>
      </c>
    </row>
    <row r="468" spans="1:26">
      <c r="A468" s="100"/>
      <c r="B468" s="108" t="str">
        <f>IFERROR(VLOOKUP(Tablo517[[#This Row],[ÜRÜN KODU]],YMKODLARI!$A$1:$K$363,2,0)," ")</f>
        <v xml:space="preserve"> </v>
      </c>
      <c r="C468" s="99"/>
      <c r="D468" s="100"/>
      <c r="E468" s="101"/>
      <c r="F468" s="101"/>
      <c r="G468" s="100" t="str">
        <f>IFERROR(VLOOKUP(Tablo517[[#This Row],[ÜRÜN KODU]],YMKODLARI!$A$1:$K$363,3,0)," ")</f>
        <v xml:space="preserve"> </v>
      </c>
      <c r="H468" s="100" t="str">
        <f>IFERROR(VLOOKUP(Tablo517[[#This Row],[ÜRÜN KODU]],YMKODLARI!$A$1:$K$363,4,0)," ")</f>
        <v xml:space="preserve"> </v>
      </c>
      <c r="I468" s="100"/>
      <c r="J468" s="100" t="str">
        <f>IFERROR(VLOOKUP(Tablo517[[#This Row],[ÜRÜN KODU]],YMKODLARI!$A$1:$K$363,9,0)," ")</f>
        <v xml:space="preserve"> </v>
      </c>
      <c r="K468" s="100" t="str">
        <f>IFERROR(VLOOKUP(Tablo517[[#This Row],[BOYA KODU]],Tablo14[#All],4,0)," ")</f>
        <v xml:space="preserve"> </v>
      </c>
      <c r="L468" s="100" t="str">
        <f>IFERROR(VLOOKUP(Tablo517[[#This Row],[BOYA KODU]],Tablo14[#All],6,0)," ")</f>
        <v xml:space="preserve"> </v>
      </c>
      <c r="M468" s="100" t="str">
        <f t="shared" si="50"/>
        <v xml:space="preserve"> </v>
      </c>
      <c r="N468" s="100" t="str">
        <f>IFERROR(VLOOKUP(Tablo517[[#This Row],[ÜRÜN KODU]],YMKODLARI!$A$1:$K$363,8,0)," ")</f>
        <v xml:space="preserve"> </v>
      </c>
      <c r="O468" s="100" t="str">
        <f>IFERROR(VLOOKUP(Tablo517[[#This Row],[HAMMADDE KODU]],Tablo1[#All],3,0)," ")</f>
        <v xml:space="preserve"> </v>
      </c>
      <c r="P468" s="100" t="str">
        <f>IFERROR(VLOOKUP(Tablo517[[#This Row],[HAMMADDE KODU]],Tablo1[#All],4,0)," ")</f>
        <v xml:space="preserve"> </v>
      </c>
      <c r="Q468" s="100" t="str">
        <f>IFERROR(VLOOKUP(Tablo517[[#This Row],[ÜRÜN KODU]],YMKODLARI!$A$1:$K$363,5,0)," ")</f>
        <v xml:space="preserve"> </v>
      </c>
      <c r="R468" s="100" t="str">
        <f>IFERROR(VLOOKUP(Tablo517[[#This Row],[ÜRÜN KODU]],YMKODLARI!$A$1:$K$363,6,0)," ")</f>
        <v xml:space="preserve"> </v>
      </c>
      <c r="S468" s="100" t="str">
        <f>IFERROR(Tablo517[[#This Row],[YOLLUK HARİÇ BASKI GRAMI]]/Tablo517[[#This Row],[KALIP GÖZ ADEDİ]]," ")</f>
        <v xml:space="preserve"> </v>
      </c>
      <c r="T468" s="100" t="str">
        <f t="shared" si="52"/>
        <v xml:space="preserve"> </v>
      </c>
      <c r="U468" s="100"/>
      <c r="V468" s="100" t="str">
        <f t="shared" si="51"/>
        <v xml:space="preserve"> </v>
      </c>
      <c r="W468" s="101">
        <f t="shared" si="53"/>
        <v>24</v>
      </c>
      <c r="X468" s="102">
        <f t="shared" si="54"/>
        <v>0</v>
      </c>
      <c r="Y468" s="100" t="str">
        <f t="shared" si="55"/>
        <v xml:space="preserve"> </v>
      </c>
      <c r="Z468" s="100" t="str">
        <f t="shared" si="56"/>
        <v xml:space="preserve"> </v>
      </c>
    </row>
    <row r="469" spans="1:26">
      <c r="A469" s="100"/>
      <c r="B469" s="108" t="str">
        <f>IFERROR(VLOOKUP(Tablo517[[#This Row],[ÜRÜN KODU]],YMKODLARI!$A$1:$K$363,2,0)," ")</f>
        <v xml:space="preserve"> </v>
      </c>
      <c r="C469" s="99"/>
      <c r="D469" s="100"/>
      <c r="E469" s="101"/>
      <c r="F469" s="101"/>
      <c r="G469" s="100" t="str">
        <f>IFERROR(VLOOKUP(Tablo517[[#This Row],[ÜRÜN KODU]],YMKODLARI!$A$1:$K$363,3,0)," ")</f>
        <v xml:space="preserve"> </v>
      </c>
      <c r="H469" s="100" t="str">
        <f>IFERROR(VLOOKUP(Tablo517[[#This Row],[ÜRÜN KODU]],YMKODLARI!$A$1:$K$363,4,0)," ")</f>
        <v xml:space="preserve"> </v>
      </c>
      <c r="I469" s="100"/>
      <c r="J469" s="100" t="str">
        <f>IFERROR(VLOOKUP(Tablo517[[#This Row],[ÜRÜN KODU]],YMKODLARI!$A$1:$K$363,9,0)," ")</f>
        <v xml:space="preserve"> </v>
      </c>
      <c r="K469" s="100" t="str">
        <f>IFERROR(VLOOKUP(Tablo517[[#This Row],[BOYA KODU]],Tablo14[#All],4,0)," ")</f>
        <v xml:space="preserve"> </v>
      </c>
      <c r="L469" s="100" t="str">
        <f>IFERROR(VLOOKUP(Tablo517[[#This Row],[BOYA KODU]],Tablo14[#All],6,0)," ")</f>
        <v xml:space="preserve"> </v>
      </c>
      <c r="M469" s="100" t="str">
        <f t="shared" si="50"/>
        <v xml:space="preserve"> </v>
      </c>
      <c r="N469" s="100" t="str">
        <f>IFERROR(VLOOKUP(Tablo517[[#This Row],[ÜRÜN KODU]],YMKODLARI!$A$1:$K$363,8,0)," ")</f>
        <v xml:space="preserve"> </v>
      </c>
      <c r="O469" s="100" t="str">
        <f>IFERROR(VLOOKUP(Tablo517[[#This Row],[HAMMADDE KODU]],Tablo1[#All],3,0)," ")</f>
        <v xml:space="preserve"> </v>
      </c>
      <c r="P469" s="100" t="str">
        <f>IFERROR(VLOOKUP(Tablo517[[#This Row],[HAMMADDE KODU]],Tablo1[#All],4,0)," ")</f>
        <v xml:space="preserve"> </v>
      </c>
      <c r="Q469" s="100" t="str">
        <f>IFERROR(VLOOKUP(Tablo517[[#This Row],[ÜRÜN KODU]],YMKODLARI!$A$1:$K$363,5,0)," ")</f>
        <v xml:space="preserve"> </v>
      </c>
      <c r="R469" s="100" t="str">
        <f>IFERROR(VLOOKUP(Tablo517[[#This Row],[ÜRÜN KODU]],YMKODLARI!$A$1:$K$363,6,0)," ")</f>
        <v xml:space="preserve"> </v>
      </c>
      <c r="S469" s="100" t="str">
        <f>IFERROR(Tablo517[[#This Row],[YOLLUK HARİÇ BASKI GRAMI]]/Tablo517[[#This Row],[KALIP GÖZ ADEDİ]]," ")</f>
        <v xml:space="preserve"> </v>
      </c>
      <c r="T469" s="100" t="str">
        <f t="shared" si="52"/>
        <v xml:space="preserve"> </v>
      </c>
      <c r="U469" s="100"/>
      <c r="V469" s="100" t="str">
        <f t="shared" si="51"/>
        <v xml:space="preserve"> </v>
      </c>
      <c r="W469" s="101">
        <f t="shared" si="53"/>
        <v>24</v>
      </c>
      <c r="X469" s="102">
        <f t="shared" si="54"/>
        <v>0</v>
      </c>
      <c r="Y469" s="100" t="str">
        <f t="shared" si="55"/>
        <v xml:space="preserve"> </v>
      </c>
      <c r="Z469" s="100" t="str">
        <f t="shared" si="56"/>
        <v xml:space="preserve"> </v>
      </c>
    </row>
    <row r="470" spans="1:26">
      <c r="A470" s="100"/>
      <c r="B470" s="108" t="str">
        <f>IFERROR(VLOOKUP(Tablo517[[#This Row],[ÜRÜN KODU]],YMKODLARI!$A$1:$K$363,2,0)," ")</f>
        <v xml:space="preserve"> </v>
      </c>
      <c r="C470" s="99"/>
      <c r="D470" s="100"/>
      <c r="E470" s="101"/>
      <c r="F470" s="101"/>
      <c r="G470" s="100" t="str">
        <f>IFERROR(VLOOKUP(Tablo517[[#This Row],[ÜRÜN KODU]],YMKODLARI!$A$1:$K$363,3,0)," ")</f>
        <v xml:space="preserve"> </v>
      </c>
      <c r="H470" s="100" t="str">
        <f>IFERROR(VLOOKUP(Tablo517[[#This Row],[ÜRÜN KODU]],YMKODLARI!$A$1:$K$363,4,0)," ")</f>
        <v xml:space="preserve"> </v>
      </c>
      <c r="I470" s="100"/>
      <c r="J470" s="100" t="str">
        <f>IFERROR(VLOOKUP(Tablo517[[#This Row],[ÜRÜN KODU]],YMKODLARI!$A$1:$K$363,9,0)," ")</f>
        <v xml:space="preserve"> </v>
      </c>
      <c r="K470" s="100" t="str">
        <f>IFERROR(VLOOKUP(Tablo517[[#This Row],[BOYA KODU]],Tablo14[#All],4,0)," ")</f>
        <v xml:space="preserve"> </v>
      </c>
      <c r="L470" s="100" t="str">
        <f>IFERROR(VLOOKUP(Tablo517[[#This Row],[BOYA KODU]],Tablo14[#All],6,0)," ")</f>
        <v xml:space="preserve"> </v>
      </c>
      <c r="M470" s="100" t="str">
        <f t="shared" si="50"/>
        <v xml:space="preserve"> </v>
      </c>
      <c r="N470" s="100" t="str">
        <f>IFERROR(VLOOKUP(Tablo517[[#This Row],[ÜRÜN KODU]],YMKODLARI!$A$1:$K$363,8,0)," ")</f>
        <v xml:space="preserve"> </v>
      </c>
      <c r="O470" s="100" t="str">
        <f>IFERROR(VLOOKUP(Tablo517[[#This Row],[HAMMADDE KODU]],Tablo1[#All],3,0)," ")</f>
        <v xml:space="preserve"> </v>
      </c>
      <c r="P470" s="100" t="str">
        <f>IFERROR(VLOOKUP(Tablo517[[#This Row],[HAMMADDE KODU]],Tablo1[#All],4,0)," ")</f>
        <v xml:space="preserve"> </v>
      </c>
      <c r="Q470" s="100" t="str">
        <f>IFERROR(VLOOKUP(Tablo517[[#This Row],[ÜRÜN KODU]],YMKODLARI!$A$1:$K$363,5,0)," ")</f>
        <v xml:space="preserve"> </v>
      </c>
      <c r="R470" s="100" t="str">
        <f>IFERROR(VLOOKUP(Tablo517[[#This Row],[ÜRÜN KODU]],YMKODLARI!$A$1:$K$363,6,0)," ")</f>
        <v xml:space="preserve"> </v>
      </c>
      <c r="S470" s="100" t="str">
        <f>IFERROR(Tablo517[[#This Row],[YOLLUK HARİÇ BASKI GRAMI]]/Tablo517[[#This Row],[KALIP GÖZ ADEDİ]]," ")</f>
        <v xml:space="preserve"> </v>
      </c>
      <c r="T470" s="100" t="str">
        <f t="shared" si="52"/>
        <v xml:space="preserve"> </v>
      </c>
      <c r="U470" s="100"/>
      <c r="V470" s="100" t="str">
        <f t="shared" si="51"/>
        <v xml:space="preserve"> </v>
      </c>
      <c r="W470" s="101">
        <f t="shared" si="53"/>
        <v>24</v>
      </c>
      <c r="X470" s="102">
        <f t="shared" si="54"/>
        <v>0</v>
      </c>
      <c r="Y470" s="100" t="str">
        <f t="shared" si="55"/>
        <v xml:space="preserve"> </v>
      </c>
      <c r="Z470" s="100" t="str">
        <f t="shared" si="56"/>
        <v xml:space="preserve"> </v>
      </c>
    </row>
    <row r="471" spans="1:26">
      <c r="A471" s="100"/>
      <c r="B471" s="108" t="str">
        <f>IFERROR(VLOOKUP(Tablo517[[#This Row],[ÜRÜN KODU]],YMKODLARI!$A$1:$K$363,2,0)," ")</f>
        <v xml:space="preserve"> </v>
      </c>
      <c r="C471" s="99"/>
      <c r="D471" s="100"/>
      <c r="E471" s="101"/>
      <c r="F471" s="101"/>
      <c r="G471" s="100" t="str">
        <f>IFERROR(VLOOKUP(Tablo517[[#This Row],[ÜRÜN KODU]],YMKODLARI!$A$1:$K$363,3,0)," ")</f>
        <v xml:space="preserve"> </v>
      </c>
      <c r="H471" s="100" t="str">
        <f>IFERROR(VLOOKUP(Tablo517[[#This Row],[ÜRÜN KODU]],YMKODLARI!$A$1:$K$363,4,0)," ")</f>
        <v xml:space="preserve"> </v>
      </c>
      <c r="I471" s="100"/>
      <c r="J471" s="100" t="str">
        <f>IFERROR(VLOOKUP(Tablo517[[#This Row],[ÜRÜN KODU]],YMKODLARI!$A$1:$K$363,9,0)," ")</f>
        <v xml:space="preserve"> </v>
      </c>
      <c r="K471" s="100" t="str">
        <f>IFERROR(VLOOKUP(Tablo517[[#This Row],[BOYA KODU]],Tablo14[#All],4,0)," ")</f>
        <v xml:space="preserve"> </v>
      </c>
      <c r="L471" s="100" t="str">
        <f>IFERROR(VLOOKUP(Tablo517[[#This Row],[BOYA KODU]],Tablo14[#All],6,0)," ")</f>
        <v xml:space="preserve"> </v>
      </c>
      <c r="M471" s="100" t="str">
        <f t="shared" si="50"/>
        <v xml:space="preserve"> </v>
      </c>
      <c r="N471" s="100" t="str">
        <f>IFERROR(VLOOKUP(Tablo517[[#This Row],[ÜRÜN KODU]],YMKODLARI!$A$1:$K$363,8,0)," ")</f>
        <v xml:space="preserve"> </v>
      </c>
      <c r="O471" s="100" t="str">
        <f>IFERROR(VLOOKUP(Tablo517[[#This Row],[HAMMADDE KODU]],Tablo1[#All],3,0)," ")</f>
        <v xml:space="preserve"> </v>
      </c>
      <c r="P471" s="100" t="str">
        <f>IFERROR(VLOOKUP(Tablo517[[#This Row],[HAMMADDE KODU]],Tablo1[#All],4,0)," ")</f>
        <v xml:space="preserve"> </v>
      </c>
      <c r="Q471" s="100" t="str">
        <f>IFERROR(VLOOKUP(Tablo517[[#This Row],[ÜRÜN KODU]],YMKODLARI!$A$1:$K$363,5,0)," ")</f>
        <v xml:space="preserve"> </v>
      </c>
      <c r="R471" s="100" t="str">
        <f>IFERROR(VLOOKUP(Tablo517[[#This Row],[ÜRÜN KODU]],YMKODLARI!$A$1:$K$363,6,0)," ")</f>
        <v xml:space="preserve"> </v>
      </c>
      <c r="S471" s="100" t="str">
        <f>IFERROR(Tablo517[[#This Row],[YOLLUK HARİÇ BASKI GRAMI]]/Tablo517[[#This Row],[KALIP GÖZ ADEDİ]]," ")</f>
        <v xml:space="preserve"> </v>
      </c>
      <c r="T471" s="100" t="str">
        <f t="shared" si="52"/>
        <v xml:space="preserve"> </v>
      </c>
      <c r="U471" s="100"/>
      <c r="V471" s="100" t="str">
        <f t="shared" si="51"/>
        <v xml:space="preserve"> </v>
      </c>
      <c r="W471" s="101">
        <f t="shared" si="53"/>
        <v>24</v>
      </c>
      <c r="X471" s="102">
        <f t="shared" si="54"/>
        <v>0</v>
      </c>
      <c r="Y471" s="100" t="str">
        <f t="shared" si="55"/>
        <v xml:space="preserve"> </v>
      </c>
      <c r="Z471" s="100" t="str">
        <f t="shared" si="56"/>
        <v xml:space="preserve"> </v>
      </c>
    </row>
    <row r="472" spans="1:26">
      <c r="A472" s="100"/>
      <c r="B472" s="108" t="str">
        <f>IFERROR(VLOOKUP(Tablo517[[#This Row],[ÜRÜN KODU]],YMKODLARI!$A$1:$K$363,2,0)," ")</f>
        <v xml:space="preserve"> </v>
      </c>
      <c r="C472" s="99"/>
      <c r="D472" s="100"/>
      <c r="E472" s="101"/>
      <c r="F472" s="101"/>
      <c r="G472" s="100" t="str">
        <f>IFERROR(VLOOKUP(Tablo517[[#This Row],[ÜRÜN KODU]],YMKODLARI!$A$1:$K$363,3,0)," ")</f>
        <v xml:space="preserve"> </v>
      </c>
      <c r="H472" s="100" t="str">
        <f>IFERROR(VLOOKUP(Tablo517[[#This Row],[ÜRÜN KODU]],YMKODLARI!$A$1:$K$363,4,0)," ")</f>
        <v xml:space="preserve"> </v>
      </c>
      <c r="I472" s="100"/>
      <c r="J472" s="100" t="str">
        <f>IFERROR(VLOOKUP(Tablo517[[#This Row],[ÜRÜN KODU]],YMKODLARI!$A$1:$K$363,9,0)," ")</f>
        <v xml:space="preserve"> </v>
      </c>
      <c r="K472" s="100" t="str">
        <f>IFERROR(VLOOKUP(Tablo517[[#This Row],[BOYA KODU]],Tablo14[#All],4,0)," ")</f>
        <v xml:space="preserve"> </v>
      </c>
      <c r="L472" s="100" t="str">
        <f>IFERROR(VLOOKUP(Tablo517[[#This Row],[BOYA KODU]],Tablo14[#All],6,0)," ")</f>
        <v xml:space="preserve"> </v>
      </c>
      <c r="M472" s="100" t="str">
        <f t="shared" si="50"/>
        <v xml:space="preserve"> </v>
      </c>
      <c r="N472" s="100" t="str">
        <f>IFERROR(VLOOKUP(Tablo517[[#This Row],[ÜRÜN KODU]],YMKODLARI!$A$1:$K$363,8,0)," ")</f>
        <v xml:space="preserve"> </v>
      </c>
      <c r="O472" s="100" t="str">
        <f>IFERROR(VLOOKUP(Tablo517[[#This Row],[HAMMADDE KODU]],Tablo1[#All],3,0)," ")</f>
        <v xml:space="preserve"> </v>
      </c>
      <c r="P472" s="100" t="str">
        <f>IFERROR(VLOOKUP(Tablo517[[#This Row],[HAMMADDE KODU]],Tablo1[#All],4,0)," ")</f>
        <v xml:space="preserve"> </v>
      </c>
      <c r="Q472" s="100" t="str">
        <f>IFERROR(VLOOKUP(Tablo517[[#This Row],[ÜRÜN KODU]],YMKODLARI!$A$1:$K$363,5,0)," ")</f>
        <v xml:space="preserve"> </v>
      </c>
      <c r="R472" s="100" t="str">
        <f>IFERROR(VLOOKUP(Tablo517[[#This Row],[ÜRÜN KODU]],YMKODLARI!$A$1:$K$363,6,0)," ")</f>
        <v xml:space="preserve"> </v>
      </c>
      <c r="S472" s="100" t="str">
        <f>IFERROR(Tablo517[[#This Row],[YOLLUK HARİÇ BASKI GRAMI]]/Tablo517[[#This Row],[KALIP GÖZ ADEDİ]]," ")</f>
        <v xml:space="preserve"> </v>
      </c>
      <c r="T472" s="100" t="str">
        <f t="shared" si="52"/>
        <v xml:space="preserve"> </v>
      </c>
      <c r="U472" s="100"/>
      <c r="V472" s="100" t="str">
        <f t="shared" si="51"/>
        <v xml:space="preserve"> </v>
      </c>
      <c r="W472" s="101">
        <f t="shared" si="53"/>
        <v>24</v>
      </c>
      <c r="X472" s="102">
        <f t="shared" si="54"/>
        <v>0</v>
      </c>
      <c r="Y472" s="100" t="str">
        <f t="shared" si="55"/>
        <v xml:space="preserve"> </v>
      </c>
      <c r="Z472" s="100" t="str">
        <f t="shared" si="56"/>
        <v xml:space="preserve"> </v>
      </c>
    </row>
    <row r="473" spans="1:26">
      <c r="A473" s="100"/>
      <c r="B473" s="108" t="str">
        <f>IFERROR(VLOOKUP(Tablo517[[#This Row],[ÜRÜN KODU]],YMKODLARI!$A$1:$K$363,2,0)," ")</f>
        <v xml:space="preserve"> </v>
      </c>
      <c r="C473" s="99"/>
      <c r="D473" s="100"/>
      <c r="E473" s="101"/>
      <c r="F473" s="101"/>
      <c r="G473" s="100" t="str">
        <f>IFERROR(VLOOKUP(Tablo517[[#This Row],[ÜRÜN KODU]],YMKODLARI!$A$1:$K$363,3,0)," ")</f>
        <v xml:space="preserve"> </v>
      </c>
      <c r="H473" s="100" t="str">
        <f>IFERROR(VLOOKUP(Tablo517[[#This Row],[ÜRÜN KODU]],YMKODLARI!$A$1:$K$363,4,0)," ")</f>
        <v xml:space="preserve"> </v>
      </c>
      <c r="I473" s="100"/>
      <c r="J473" s="100" t="str">
        <f>IFERROR(VLOOKUP(Tablo517[[#This Row],[ÜRÜN KODU]],YMKODLARI!$A$1:$K$363,9,0)," ")</f>
        <v xml:space="preserve"> </v>
      </c>
      <c r="K473" s="100" t="str">
        <f>IFERROR(VLOOKUP(Tablo517[[#This Row],[BOYA KODU]],Tablo14[#All],4,0)," ")</f>
        <v xml:space="preserve"> </v>
      </c>
      <c r="L473" s="100" t="str">
        <f>IFERROR(VLOOKUP(Tablo517[[#This Row],[BOYA KODU]],Tablo14[#All],6,0)," ")</f>
        <v xml:space="preserve"> </v>
      </c>
      <c r="M473" s="100" t="str">
        <f t="shared" si="50"/>
        <v xml:space="preserve"> </v>
      </c>
      <c r="N473" s="100" t="str">
        <f>IFERROR(VLOOKUP(Tablo517[[#This Row],[ÜRÜN KODU]],YMKODLARI!$A$1:$K$363,8,0)," ")</f>
        <v xml:space="preserve"> </v>
      </c>
      <c r="O473" s="100" t="str">
        <f>IFERROR(VLOOKUP(Tablo517[[#This Row],[HAMMADDE KODU]],Tablo1[#All],3,0)," ")</f>
        <v xml:space="preserve"> </v>
      </c>
      <c r="P473" s="100" t="str">
        <f>IFERROR(VLOOKUP(Tablo517[[#This Row],[HAMMADDE KODU]],Tablo1[#All],4,0)," ")</f>
        <v xml:space="preserve"> </v>
      </c>
      <c r="Q473" s="100" t="str">
        <f>IFERROR(VLOOKUP(Tablo517[[#This Row],[ÜRÜN KODU]],YMKODLARI!$A$1:$K$363,5,0)," ")</f>
        <v xml:space="preserve"> </v>
      </c>
      <c r="R473" s="100" t="str">
        <f>IFERROR(VLOOKUP(Tablo517[[#This Row],[ÜRÜN KODU]],YMKODLARI!$A$1:$K$363,6,0)," ")</f>
        <v xml:space="preserve"> </v>
      </c>
      <c r="S473" s="100" t="str">
        <f>IFERROR(Tablo517[[#This Row],[YOLLUK HARİÇ BASKI GRAMI]]/Tablo517[[#This Row],[KALIP GÖZ ADEDİ]]," ")</f>
        <v xml:space="preserve"> </v>
      </c>
      <c r="T473" s="100" t="str">
        <f t="shared" si="52"/>
        <v xml:space="preserve"> </v>
      </c>
      <c r="U473" s="100"/>
      <c r="V473" s="100" t="str">
        <f t="shared" si="51"/>
        <v xml:space="preserve"> </v>
      </c>
      <c r="W473" s="101">
        <f t="shared" si="53"/>
        <v>24</v>
      </c>
      <c r="X473" s="102">
        <f t="shared" si="54"/>
        <v>0</v>
      </c>
      <c r="Y473" s="100" t="str">
        <f t="shared" si="55"/>
        <v xml:space="preserve"> </v>
      </c>
      <c r="Z473" s="100" t="str">
        <f t="shared" si="56"/>
        <v xml:space="preserve"> </v>
      </c>
    </row>
    <row r="474" spans="1:26">
      <c r="A474" s="100"/>
      <c r="B474" s="108" t="str">
        <f>IFERROR(VLOOKUP(Tablo517[[#This Row],[ÜRÜN KODU]],YMKODLARI!$A$1:$K$363,2,0)," ")</f>
        <v xml:space="preserve"> </v>
      </c>
      <c r="C474" s="99"/>
      <c r="D474" s="100"/>
      <c r="E474" s="101"/>
      <c r="F474" s="101"/>
      <c r="G474" s="100" t="str">
        <f>IFERROR(VLOOKUP(Tablo517[[#This Row],[ÜRÜN KODU]],YMKODLARI!$A$1:$K$363,3,0)," ")</f>
        <v xml:space="preserve"> </v>
      </c>
      <c r="H474" s="100" t="str">
        <f>IFERROR(VLOOKUP(Tablo517[[#This Row],[ÜRÜN KODU]],YMKODLARI!$A$1:$K$363,4,0)," ")</f>
        <v xml:space="preserve"> </v>
      </c>
      <c r="I474" s="100"/>
      <c r="J474" s="100" t="str">
        <f>IFERROR(VLOOKUP(Tablo517[[#This Row],[ÜRÜN KODU]],YMKODLARI!$A$1:$K$363,9,0)," ")</f>
        <v xml:space="preserve"> </v>
      </c>
      <c r="K474" s="100" t="str">
        <f>IFERROR(VLOOKUP(Tablo517[[#This Row],[BOYA KODU]],Tablo14[#All],4,0)," ")</f>
        <v xml:space="preserve"> </v>
      </c>
      <c r="L474" s="100" t="str">
        <f>IFERROR(VLOOKUP(Tablo517[[#This Row],[BOYA KODU]],Tablo14[#All],6,0)," ")</f>
        <v xml:space="preserve"> </v>
      </c>
      <c r="M474" s="100" t="str">
        <f t="shared" si="50"/>
        <v xml:space="preserve"> </v>
      </c>
      <c r="N474" s="100" t="str">
        <f>IFERROR(VLOOKUP(Tablo517[[#This Row],[ÜRÜN KODU]],YMKODLARI!$A$1:$K$363,8,0)," ")</f>
        <v xml:space="preserve"> </v>
      </c>
      <c r="O474" s="100" t="str">
        <f>IFERROR(VLOOKUP(Tablo517[[#This Row],[HAMMADDE KODU]],Tablo1[#All],3,0)," ")</f>
        <v xml:space="preserve"> </v>
      </c>
      <c r="P474" s="100" t="str">
        <f>IFERROR(VLOOKUP(Tablo517[[#This Row],[HAMMADDE KODU]],Tablo1[#All],4,0)," ")</f>
        <v xml:space="preserve"> </v>
      </c>
      <c r="Q474" s="100" t="str">
        <f>IFERROR(VLOOKUP(Tablo517[[#This Row],[ÜRÜN KODU]],YMKODLARI!$A$1:$K$363,5,0)," ")</f>
        <v xml:space="preserve"> </v>
      </c>
      <c r="R474" s="100" t="str">
        <f>IFERROR(VLOOKUP(Tablo517[[#This Row],[ÜRÜN KODU]],YMKODLARI!$A$1:$K$363,6,0)," ")</f>
        <v xml:space="preserve"> </v>
      </c>
      <c r="S474" s="100" t="str">
        <f>IFERROR(Tablo517[[#This Row],[YOLLUK HARİÇ BASKI GRAMI]]/Tablo517[[#This Row],[KALIP GÖZ ADEDİ]]," ")</f>
        <v xml:space="preserve"> </v>
      </c>
      <c r="T474" s="100" t="str">
        <f t="shared" si="52"/>
        <v xml:space="preserve"> </v>
      </c>
      <c r="U474" s="100"/>
      <c r="V474" s="100" t="str">
        <f t="shared" si="51"/>
        <v xml:space="preserve"> </v>
      </c>
      <c r="W474" s="101">
        <f t="shared" si="53"/>
        <v>24</v>
      </c>
      <c r="X474" s="102">
        <f t="shared" si="54"/>
        <v>0</v>
      </c>
      <c r="Y474" s="100" t="str">
        <f t="shared" si="55"/>
        <v xml:space="preserve"> </v>
      </c>
      <c r="Z474" s="100" t="str">
        <f t="shared" si="56"/>
        <v xml:space="preserve"> </v>
      </c>
    </row>
    <row r="475" spans="1:26">
      <c r="A475" s="100"/>
      <c r="B475" s="108" t="str">
        <f>IFERROR(VLOOKUP(Tablo517[[#This Row],[ÜRÜN KODU]],YMKODLARI!$A$1:$K$363,2,0)," ")</f>
        <v xml:space="preserve"> </v>
      </c>
      <c r="C475" s="99"/>
      <c r="D475" s="100"/>
      <c r="E475" s="101"/>
      <c r="F475" s="101"/>
      <c r="G475" s="100" t="str">
        <f>IFERROR(VLOOKUP(Tablo517[[#This Row],[ÜRÜN KODU]],YMKODLARI!$A$1:$K$363,3,0)," ")</f>
        <v xml:space="preserve"> </v>
      </c>
      <c r="H475" s="100" t="str">
        <f>IFERROR(VLOOKUP(Tablo517[[#This Row],[ÜRÜN KODU]],YMKODLARI!$A$1:$K$363,4,0)," ")</f>
        <v xml:space="preserve"> </v>
      </c>
      <c r="I475" s="100"/>
      <c r="J475" s="100" t="str">
        <f>IFERROR(VLOOKUP(Tablo517[[#This Row],[ÜRÜN KODU]],YMKODLARI!$A$1:$K$363,9,0)," ")</f>
        <v xml:space="preserve"> </v>
      </c>
      <c r="K475" s="100" t="str">
        <f>IFERROR(VLOOKUP(Tablo517[[#This Row],[BOYA KODU]],Tablo14[#All],4,0)," ")</f>
        <v xml:space="preserve"> </v>
      </c>
      <c r="L475" s="100" t="str">
        <f>IFERROR(VLOOKUP(Tablo517[[#This Row],[BOYA KODU]],Tablo14[#All],6,0)," ")</f>
        <v xml:space="preserve"> </v>
      </c>
      <c r="M475" s="100" t="str">
        <f t="shared" si="50"/>
        <v xml:space="preserve"> </v>
      </c>
      <c r="N475" s="100" t="str">
        <f>IFERROR(VLOOKUP(Tablo517[[#This Row],[ÜRÜN KODU]],YMKODLARI!$A$1:$K$363,8,0)," ")</f>
        <v xml:space="preserve"> </v>
      </c>
      <c r="O475" s="100" t="str">
        <f>IFERROR(VLOOKUP(Tablo517[[#This Row],[HAMMADDE KODU]],Tablo1[#All],3,0)," ")</f>
        <v xml:space="preserve"> </v>
      </c>
      <c r="P475" s="100" t="str">
        <f>IFERROR(VLOOKUP(Tablo517[[#This Row],[HAMMADDE KODU]],Tablo1[#All],4,0)," ")</f>
        <v xml:space="preserve"> </v>
      </c>
      <c r="Q475" s="100" t="str">
        <f>IFERROR(VLOOKUP(Tablo517[[#This Row],[ÜRÜN KODU]],YMKODLARI!$A$1:$K$363,5,0)," ")</f>
        <v xml:space="preserve"> </v>
      </c>
      <c r="R475" s="100" t="str">
        <f>IFERROR(VLOOKUP(Tablo517[[#This Row],[ÜRÜN KODU]],YMKODLARI!$A$1:$K$363,6,0)," ")</f>
        <v xml:space="preserve"> </v>
      </c>
      <c r="S475" s="100" t="str">
        <f>IFERROR(Tablo517[[#This Row],[YOLLUK HARİÇ BASKI GRAMI]]/Tablo517[[#This Row],[KALIP GÖZ ADEDİ]]," ")</f>
        <v xml:space="preserve"> </v>
      </c>
      <c r="T475" s="100" t="str">
        <f t="shared" si="52"/>
        <v xml:space="preserve"> </v>
      </c>
      <c r="U475" s="100"/>
      <c r="V475" s="100" t="str">
        <f t="shared" si="51"/>
        <v xml:space="preserve"> </v>
      </c>
      <c r="W475" s="101">
        <f t="shared" si="53"/>
        <v>24</v>
      </c>
      <c r="X475" s="102">
        <f t="shared" si="54"/>
        <v>0</v>
      </c>
      <c r="Y475" s="100" t="str">
        <f t="shared" si="55"/>
        <v xml:space="preserve"> </v>
      </c>
      <c r="Z475" s="100" t="str">
        <f t="shared" si="56"/>
        <v xml:space="preserve"> </v>
      </c>
    </row>
    <row r="476" spans="1:26">
      <c r="A476" s="100"/>
      <c r="B476" s="108" t="str">
        <f>IFERROR(VLOOKUP(Tablo517[[#This Row],[ÜRÜN KODU]],YMKODLARI!$A$1:$K$363,2,0)," ")</f>
        <v xml:space="preserve"> </v>
      </c>
      <c r="C476" s="99"/>
      <c r="D476" s="100"/>
      <c r="E476" s="101"/>
      <c r="F476" s="101"/>
      <c r="G476" s="100" t="str">
        <f>IFERROR(VLOOKUP(Tablo517[[#This Row],[ÜRÜN KODU]],YMKODLARI!$A$1:$K$363,3,0)," ")</f>
        <v xml:space="preserve"> </v>
      </c>
      <c r="H476" s="100" t="str">
        <f>IFERROR(VLOOKUP(Tablo517[[#This Row],[ÜRÜN KODU]],YMKODLARI!$A$1:$K$363,4,0)," ")</f>
        <v xml:space="preserve"> </v>
      </c>
      <c r="I476" s="100"/>
      <c r="J476" s="100" t="str">
        <f>IFERROR(VLOOKUP(Tablo517[[#This Row],[ÜRÜN KODU]],YMKODLARI!$A$1:$K$363,9,0)," ")</f>
        <v xml:space="preserve"> </v>
      </c>
      <c r="K476" s="100" t="str">
        <f>IFERROR(VLOOKUP(Tablo517[[#This Row],[BOYA KODU]],Tablo14[#All],4,0)," ")</f>
        <v xml:space="preserve"> </v>
      </c>
      <c r="L476" s="100" t="str">
        <f>IFERROR(VLOOKUP(Tablo517[[#This Row],[BOYA KODU]],Tablo14[#All],6,0)," ")</f>
        <v xml:space="preserve"> </v>
      </c>
      <c r="M476" s="100" t="str">
        <f t="shared" si="50"/>
        <v xml:space="preserve"> </v>
      </c>
      <c r="N476" s="100" t="str">
        <f>IFERROR(VLOOKUP(Tablo517[[#This Row],[ÜRÜN KODU]],YMKODLARI!$A$1:$K$363,8,0)," ")</f>
        <v xml:space="preserve"> </v>
      </c>
      <c r="O476" s="100" t="str">
        <f>IFERROR(VLOOKUP(Tablo517[[#This Row],[HAMMADDE KODU]],Tablo1[#All],3,0)," ")</f>
        <v xml:space="preserve"> </v>
      </c>
      <c r="P476" s="100" t="str">
        <f>IFERROR(VLOOKUP(Tablo517[[#This Row],[HAMMADDE KODU]],Tablo1[#All],4,0)," ")</f>
        <v xml:space="preserve"> </v>
      </c>
      <c r="Q476" s="100" t="str">
        <f>IFERROR(VLOOKUP(Tablo517[[#This Row],[ÜRÜN KODU]],YMKODLARI!$A$1:$K$363,5,0)," ")</f>
        <v xml:space="preserve"> </v>
      </c>
      <c r="R476" s="100" t="str">
        <f>IFERROR(VLOOKUP(Tablo517[[#This Row],[ÜRÜN KODU]],YMKODLARI!$A$1:$K$363,6,0)," ")</f>
        <v xml:space="preserve"> </v>
      </c>
      <c r="S476" s="100" t="str">
        <f>IFERROR(Tablo517[[#This Row],[YOLLUK HARİÇ BASKI GRAMI]]/Tablo517[[#This Row],[KALIP GÖZ ADEDİ]]," ")</f>
        <v xml:space="preserve"> </v>
      </c>
      <c r="T476" s="100" t="str">
        <f t="shared" si="52"/>
        <v xml:space="preserve"> </v>
      </c>
      <c r="U476" s="100"/>
      <c r="V476" s="100" t="str">
        <f t="shared" si="51"/>
        <v xml:space="preserve"> </v>
      </c>
      <c r="W476" s="101">
        <f t="shared" si="53"/>
        <v>24</v>
      </c>
      <c r="X476" s="102">
        <f t="shared" si="54"/>
        <v>0</v>
      </c>
      <c r="Y476" s="100" t="str">
        <f t="shared" si="55"/>
        <v xml:space="preserve"> </v>
      </c>
      <c r="Z476" s="100" t="str">
        <f t="shared" si="56"/>
        <v xml:space="preserve"> </v>
      </c>
    </row>
    <row r="477" spans="1:26">
      <c r="A477" s="100"/>
      <c r="B477" s="108" t="str">
        <f>IFERROR(VLOOKUP(Tablo517[[#This Row],[ÜRÜN KODU]],YMKODLARI!$A$1:$K$363,2,0)," ")</f>
        <v xml:space="preserve"> </v>
      </c>
      <c r="C477" s="99"/>
      <c r="D477" s="100"/>
      <c r="E477" s="101"/>
      <c r="F477" s="101"/>
      <c r="G477" s="100" t="str">
        <f>IFERROR(VLOOKUP(Tablo517[[#This Row],[ÜRÜN KODU]],YMKODLARI!$A$1:$K$363,3,0)," ")</f>
        <v xml:space="preserve"> </v>
      </c>
      <c r="H477" s="100" t="str">
        <f>IFERROR(VLOOKUP(Tablo517[[#This Row],[ÜRÜN KODU]],YMKODLARI!$A$1:$K$363,4,0)," ")</f>
        <v xml:space="preserve"> </v>
      </c>
      <c r="I477" s="100"/>
      <c r="J477" s="100" t="str">
        <f>IFERROR(VLOOKUP(Tablo517[[#This Row],[ÜRÜN KODU]],YMKODLARI!$A$1:$K$363,9,0)," ")</f>
        <v xml:space="preserve"> </v>
      </c>
      <c r="K477" s="100" t="str">
        <f>IFERROR(VLOOKUP(Tablo517[[#This Row],[BOYA KODU]],Tablo14[#All],4,0)," ")</f>
        <v xml:space="preserve"> </v>
      </c>
      <c r="L477" s="100" t="str">
        <f>IFERROR(VLOOKUP(Tablo517[[#This Row],[BOYA KODU]],Tablo14[#All],6,0)," ")</f>
        <v xml:space="preserve"> </v>
      </c>
      <c r="M477" s="100" t="str">
        <f t="shared" si="50"/>
        <v xml:space="preserve"> </v>
      </c>
      <c r="N477" s="100" t="str">
        <f>IFERROR(VLOOKUP(Tablo517[[#This Row],[ÜRÜN KODU]],YMKODLARI!$A$1:$K$363,8,0)," ")</f>
        <v xml:space="preserve"> </v>
      </c>
      <c r="O477" s="100" t="str">
        <f>IFERROR(VLOOKUP(Tablo517[[#This Row],[HAMMADDE KODU]],Tablo1[#All],3,0)," ")</f>
        <v xml:space="preserve"> </v>
      </c>
      <c r="P477" s="100" t="str">
        <f>IFERROR(VLOOKUP(Tablo517[[#This Row],[HAMMADDE KODU]],Tablo1[#All],4,0)," ")</f>
        <v xml:space="preserve"> </v>
      </c>
      <c r="Q477" s="100" t="str">
        <f>IFERROR(VLOOKUP(Tablo517[[#This Row],[ÜRÜN KODU]],YMKODLARI!$A$1:$K$363,5,0)," ")</f>
        <v xml:space="preserve"> </v>
      </c>
      <c r="R477" s="100" t="str">
        <f>IFERROR(VLOOKUP(Tablo517[[#This Row],[ÜRÜN KODU]],YMKODLARI!$A$1:$K$363,6,0)," ")</f>
        <v xml:space="preserve"> </v>
      </c>
      <c r="S477" s="100" t="str">
        <f>IFERROR(Tablo517[[#This Row],[YOLLUK HARİÇ BASKI GRAMI]]/Tablo517[[#This Row],[KALIP GÖZ ADEDİ]]," ")</f>
        <v xml:space="preserve"> </v>
      </c>
      <c r="T477" s="100" t="str">
        <f t="shared" si="52"/>
        <v xml:space="preserve"> </v>
      </c>
      <c r="U477" s="100"/>
      <c r="V477" s="100" t="str">
        <f t="shared" si="51"/>
        <v xml:space="preserve"> </v>
      </c>
      <c r="W477" s="101">
        <f t="shared" si="53"/>
        <v>24</v>
      </c>
      <c r="X477" s="102">
        <f t="shared" si="54"/>
        <v>0</v>
      </c>
      <c r="Y477" s="100" t="str">
        <f t="shared" si="55"/>
        <v xml:space="preserve"> </v>
      </c>
      <c r="Z477" s="100" t="str">
        <f t="shared" si="56"/>
        <v xml:space="preserve"> </v>
      </c>
    </row>
    <row r="478" spans="1:26">
      <c r="A478" s="100"/>
      <c r="B478" s="108" t="str">
        <f>IFERROR(VLOOKUP(Tablo517[[#This Row],[ÜRÜN KODU]],YMKODLARI!$A$1:$K$363,2,0)," ")</f>
        <v xml:space="preserve"> </v>
      </c>
      <c r="C478" s="99"/>
      <c r="D478" s="100"/>
      <c r="E478" s="101"/>
      <c r="F478" s="101"/>
      <c r="G478" s="100" t="str">
        <f>IFERROR(VLOOKUP(Tablo517[[#This Row],[ÜRÜN KODU]],YMKODLARI!$A$1:$K$363,3,0)," ")</f>
        <v xml:space="preserve"> </v>
      </c>
      <c r="H478" s="100" t="str">
        <f>IFERROR(VLOOKUP(Tablo517[[#This Row],[ÜRÜN KODU]],YMKODLARI!$A$1:$K$363,4,0)," ")</f>
        <v xml:space="preserve"> </v>
      </c>
      <c r="I478" s="100"/>
      <c r="J478" s="100" t="str">
        <f>IFERROR(VLOOKUP(Tablo517[[#This Row],[ÜRÜN KODU]],YMKODLARI!$A$1:$K$363,9,0)," ")</f>
        <v xml:space="preserve"> </v>
      </c>
      <c r="K478" s="100" t="str">
        <f>IFERROR(VLOOKUP(Tablo517[[#This Row],[BOYA KODU]],Tablo14[#All],4,0)," ")</f>
        <v xml:space="preserve"> </v>
      </c>
      <c r="L478" s="100" t="str">
        <f>IFERROR(VLOOKUP(Tablo517[[#This Row],[BOYA KODU]],Tablo14[#All],6,0)," ")</f>
        <v xml:space="preserve"> </v>
      </c>
      <c r="M478" s="100" t="str">
        <f t="shared" si="50"/>
        <v xml:space="preserve"> </v>
      </c>
      <c r="N478" s="100" t="str">
        <f>IFERROR(VLOOKUP(Tablo517[[#This Row],[ÜRÜN KODU]],YMKODLARI!$A$1:$K$363,8,0)," ")</f>
        <v xml:space="preserve"> </v>
      </c>
      <c r="O478" s="100" t="str">
        <f>IFERROR(VLOOKUP(Tablo517[[#This Row],[HAMMADDE KODU]],Tablo1[#All],3,0)," ")</f>
        <v xml:space="preserve"> </v>
      </c>
      <c r="P478" s="100" t="str">
        <f>IFERROR(VLOOKUP(Tablo517[[#This Row],[HAMMADDE KODU]],Tablo1[#All],4,0)," ")</f>
        <v xml:space="preserve"> </v>
      </c>
      <c r="Q478" s="100" t="str">
        <f>IFERROR(VLOOKUP(Tablo517[[#This Row],[ÜRÜN KODU]],YMKODLARI!$A$1:$K$363,5,0)," ")</f>
        <v xml:space="preserve"> </v>
      </c>
      <c r="R478" s="100" t="str">
        <f>IFERROR(VLOOKUP(Tablo517[[#This Row],[ÜRÜN KODU]],YMKODLARI!$A$1:$K$363,6,0)," ")</f>
        <v xml:space="preserve"> </v>
      </c>
      <c r="S478" s="100" t="str">
        <f>IFERROR(Tablo517[[#This Row],[YOLLUK HARİÇ BASKI GRAMI]]/Tablo517[[#This Row],[KALIP GÖZ ADEDİ]]," ")</f>
        <v xml:space="preserve"> </v>
      </c>
      <c r="T478" s="100" t="str">
        <f t="shared" si="52"/>
        <v xml:space="preserve"> </v>
      </c>
      <c r="U478" s="100"/>
      <c r="V478" s="100" t="str">
        <f t="shared" si="51"/>
        <v xml:space="preserve"> </v>
      </c>
      <c r="W478" s="101">
        <f t="shared" si="53"/>
        <v>24</v>
      </c>
      <c r="X478" s="102">
        <f t="shared" si="54"/>
        <v>0</v>
      </c>
      <c r="Y478" s="100" t="str">
        <f t="shared" si="55"/>
        <v xml:space="preserve"> </v>
      </c>
      <c r="Z478" s="100" t="str">
        <f t="shared" si="56"/>
        <v xml:space="preserve"> </v>
      </c>
    </row>
    <row r="479" spans="1:26">
      <c r="A479" s="100"/>
      <c r="B479" s="108" t="str">
        <f>IFERROR(VLOOKUP(Tablo517[[#This Row],[ÜRÜN KODU]],YMKODLARI!$A$1:$K$363,2,0)," ")</f>
        <v xml:space="preserve"> </v>
      </c>
      <c r="C479" s="99"/>
      <c r="D479" s="100"/>
      <c r="E479" s="101"/>
      <c r="F479" s="101"/>
      <c r="G479" s="100" t="str">
        <f>IFERROR(VLOOKUP(Tablo517[[#This Row],[ÜRÜN KODU]],YMKODLARI!$A$1:$K$363,3,0)," ")</f>
        <v xml:space="preserve"> </v>
      </c>
      <c r="H479" s="100" t="str">
        <f>IFERROR(VLOOKUP(Tablo517[[#This Row],[ÜRÜN KODU]],YMKODLARI!$A$1:$K$363,4,0)," ")</f>
        <v xml:space="preserve"> </v>
      </c>
      <c r="I479" s="100"/>
      <c r="J479" s="100" t="str">
        <f>IFERROR(VLOOKUP(Tablo517[[#This Row],[ÜRÜN KODU]],YMKODLARI!$A$1:$K$363,9,0)," ")</f>
        <v xml:space="preserve"> </v>
      </c>
      <c r="K479" s="100" t="str">
        <f>IFERROR(VLOOKUP(Tablo517[[#This Row],[BOYA KODU]],Tablo14[#All],4,0)," ")</f>
        <v xml:space="preserve"> </v>
      </c>
      <c r="L479" s="100" t="str">
        <f>IFERROR(VLOOKUP(Tablo517[[#This Row],[BOYA KODU]],Tablo14[#All],6,0)," ")</f>
        <v xml:space="preserve"> </v>
      </c>
      <c r="M479" s="100" t="str">
        <f t="shared" si="50"/>
        <v xml:space="preserve"> </v>
      </c>
      <c r="N479" s="100" t="str">
        <f>IFERROR(VLOOKUP(Tablo517[[#This Row],[ÜRÜN KODU]],YMKODLARI!$A$1:$K$363,8,0)," ")</f>
        <v xml:space="preserve"> </v>
      </c>
      <c r="O479" s="100" t="str">
        <f>IFERROR(VLOOKUP(Tablo517[[#This Row],[HAMMADDE KODU]],Tablo1[#All],3,0)," ")</f>
        <v xml:space="preserve"> </v>
      </c>
      <c r="P479" s="100" t="str">
        <f>IFERROR(VLOOKUP(Tablo517[[#This Row],[HAMMADDE KODU]],Tablo1[#All],4,0)," ")</f>
        <v xml:space="preserve"> </v>
      </c>
      <c r="Q479" s="100" t="str">
        <f>IFERROR(VLOOKUP(Tablo517[[#This Row],[ÜRÜN KODU]],YMKODLARI!$A$1:$K$363,5,0)," ")</f>
        <v xml:space="preserve"> </v>
      </c>
      <c r="R479" s="100" t="str">
        <f>IFERROR(VLOOKUP(Tablo517[[#This Row],[ÜRÜN KODU]],YMKODLARI!$A$1:$K$363,6,0)," ")</f>
        <v xml:space="preserve"> </v>
      </c>
      <c r="S479" s="100" t="str">
        <f>IFERROR(Tablo517[[#This Row],[YOLLUK HARİÇ BASKI GRAMI]]/Tablo517[[#This Row],[KALIP GÖZ ADEDİ]]," ")</f>
        <v xml:space="preserve"> </v>
      </c>
      <c r="T479" s="100" t="str">
        <f t="shared" si="52"/>
        <v xml:space="preserve"> </v>
      </c>
      <c r="U479" s="100"/>
      <c r="V479" s="100" t="str">
        <f t="shared" si="51"/>
        <v xml:space="preserve"> </v>
      </c>
      <c r="W479" s="101">
        <f t="shared" si="53"/>
        <v>24</v>
      </c>
      <c r="X479" s="102">
        <f t="shared" si="54"/>
        <v>0</v>
      </c>
      <c r="Y479" s="100" t="str">
        <f t="shared" si="55"/>
        <v xml:space="preserve"> </v>
      </c>
      <c r="Z479" s="100" t="str">
        <f t="shared" si="56"/>
        <v xml:space="preserve"> </v>
      </c>
    </row>
    <row r="480" spans="1:26">
      <c r="A480" s="100"/>
      <c r="B480" s="108" t="str">
        <f>IFERROR(VLOOKUP(Tablo517[[#This Row],[ÜRÜN KODU]],YMKODLARI!$A$1:$K$363,2,0)," ")</f>
        <v xml:space="preserve"> </v>
      </c>
      <c r="C480" s="99"/>
      <c r="D480" s="100"/>
      <c r="E480" s="101"/>
      <c r="F480" s="101"/>
      <c r="G480" s="100" t="str">
        <f>IFERROR(VLOOKUP(Tablo517[[#This Row],[ÜRÜN KODU]],YMKODLARI!$A$1:$K$363,3,0)," ")</f>
        <v xml:space="preserve"> </v>
      </c>
      <c r="H480" s="100" t="str">
        <f>IFERROR(VLOOKUP(Tablo517[[#This Row],[ÜRÜN KODU]],YMKODLARI!$A$1:$K$363,4,0)," ")</f>
        <v xml:space="preserve"> </v>
      </c>
      <c r="I480" s="100"/>
      <c r="J480" s="100" t="str">
        <f>IFERROR(VLOOKUP(Tablo517[[#This Row],[ÜRÜN KODU]],YMKODLARI!$A$1:$K$363,9,0)," ")</f>
        <v xml:space="preserve"> </v>
      </c>
      <c r="K480" s="100" t="str">
        <f>IFERROR(VLOOKUP(Tablo517[[#This Row],[BOYA KODU]],Tablo14[#All],4,0)," ")</f>
        <v xml:space="preserve"> </v>
      </c>
      <c r="L480" s="100" t="str">
        <f>IFERROR(VLOOKUP(Tablo517[[#This Row],[BOYA KODU]],Tablo14[#All],6,0)," ")</f>
        <v xml:space="preserve"> </v>
      </c>
      <c r="M480" s="100" t="str">
        <f t="shared" si="50"/>
        <v xml:space="preserve"> </v>
      </c>
      <c r="N480" s="100" t="str">
        <f>IFERROR(VLOOKUP(Tablo517[[#This Row],[ÜRÜN KODU]],YMKODLARI!$A$1:$K$363,8,0)," ")</f>
        <v xml:space="preserve"> </v>
      </c>
      <c r="O480" s="100" t="str">
        <f>IFERROR(VLOOKUP(Tablo517[[#This Row],[HAMMADDE KODU]],Tablo1[#All],3,0)," ")</f>
        <v xml:space="preserve"> </v>
      </c>
      <c r="P480" s="100" t="str">
        <f>IFERROR(VLOOKUP(Tablo517[[#This Row],[HAMMADDE KODU]],Tablo1[#All],4,0)," ")</f>
        <v xml:space="preserve"> </v>
      </c>
      <c r="Q480" s="100" t="str">
        <f>IFERROR(VLOOKUP(Tablo517[[#This Row],[ÜRÜN KODU]],YMKODLARI!$A$1:$K$363,5,0)," ")</f>
        <v xml:space="preserve"> </v>
      </c>
      <c r="R480" s="100" t="str">
        <f>IFERROR(VLOOKUP(Tablo517[[#This Row],[ÜRÜN KODU]],YMKODLARI!$A$1:$K$363,6,0)," ")</f>
        <v xml:space="preserve"> </v>
      </c>
      <c r="S480" s="100" t="str">
        <f>IFERROR(Tablo517[[#This Row],[YOLLUK HARİÇ BASKI GRAMI]]/Tablo517[[#This Row],[KALIP GÖZ ADEDİ]]," ")</f>
        <v xml:space="preserve"> </v>
      </c>
      <c r="T480" s="100" t="str">
        <f t="shared" si="52"/>
        <v xml:space="preserve"> </v>
      </c>
      <c r="U480" s="100"/>
      <c r="V480" s="100" t="str">
        <f t="shared" si="51"/>
        <v xml:space="preserve"> </v>
      </c>
      <c r="W480" s="101">
        <f t="shared" si="53"/>
        <v>24</v>
      </c>
      <c r="X480" s="102">
        <f t="shared" si="54"/>
        <v>0</v>
      </c>
      <c r="Y480" s="100" t="str">
        <f t="shared" si="55"/>
        <v xml:space="preserve"> </v>
      </c>
      <c r="Z480" s="100" t="str">
        <f t="shared" si="56"/>
        <v xml:space="preserve"> </v>
      </c>
    </row>
    <row r="481" spans="1:26">
      <c r="A481" s="100"/>
      <c r="B481" s="108" t="str">
        <f>IFERROR(VLOOKUP(Tablo517[[#This Row],[ÜRÜN KODU]],YMKODLARI!$A$1:$K$363,2,0)," ")</f>
        <v xml:space="preserve"> </v>
      </c>
      <c r="C481" s="99"/>
      <c r="D481" s="100"/>
      <c r="E481" s="101"/>
      <c r="F481" s="101"/>
      <c r="G481" s="100" t="str">
        <f>IFERROR(VLOOKUP(Tablo517[[#This Row],[ÜRÜN KODU]],YMKODLARI!$A$1:$K$363,3,0)," ")</f>
        <v xml:space="preserve"> </v>
      </c>
      <c r="H481" s="100" t="str">
        <f>IFERROR(VLOOKUP(Tablo517[[#This Row],[ÜRÜN KODU]],YMKODLARI!$A$1:$K$363,4,0)," ")</f>
        <v xml:space="preserve"> </v>
      </c>
      <c r="I481" s="100"/>
      <c r="J481" s="100" t="str">
        <f>IFERROR(VLOOKUP(Tablo517[[#This Row],[ÜRÜN KODU]],YMKODLARI!$A$1:$K$363,9,0)," ")</f>
        <v xml:space="preserve"> </v>
      </c>
      <c r="K481" s="100" t="str">
        <f>IFERROR(VLOOKUP(Tablo517[[#This Row],[BOYA KODU]],Tablo14[#All],4,0)," ")</f>
        <v xml:space="preserve"> </v>
      </c>
      <c r="L481" s="100" t="str">
        <f>IFERROR(VLOOKUP(Tablo517[[#This Row],[BOYA KODU]],Tablo14[#All],6,0)," ")</f>
        <v xml:space="preserve"> </v>
      </c>
      <c r="M481" s="100" t="str">
        <f t="shared" si="50"/>
        <v xml:space="preserve"> </v>
      </c>
      <c r="N481" s="100" t="str">
        <f>IFERROR(VLOOKUP(Tablo517[[#This Row],[ÜRÜN KODU]],YMKODLARI!$A$1:$K$363,8,0)," ")</f>
        <v xml:space="preserve"> </v>
      </c>
      <c r="O481" s="100" t="str">
        <f>IFERROR(VLOOKUP(Tablo517[[#This Row],[HAMMADDE KODU]],Tablo1[#All],3,0)," ")</f>
        <v xml:space="preserve"> </v>
      </c>
      <c r="P481" s="100" t="str">
        <f>IFERROR(VLOOKUP(Tablo517[[#This Row],[HAMMADDE KODU]],Tablo1[#All],4,0)," ")</f>
        <v xml:space="preserve"> </v>
      </c>
      <c r="Q481" s="100" t="str">
        <f>IFERROR(VLOOKUP(Tablo517[[#This Row],[ÜRÜN KODU]],YMKODLARI!$A$1:$K$363,5,0)," ")</f>
        <v xml:space="preserve"> </v>
      </c>
      <c r="R481" s="100" t="str">
        <f>IFERROR(VLOOKUP(Tablo517[[#This Row],[ÜRÜN KODU]],YMKODLARI!$A$1:$K$363,6,0)," ")</f>
        <v xml:space="preserve"> </v>
      </c>
      <c r="S481" s="100" t="str">
        <f>IFERROR(Tablo517[[#This Row],[YOLLUK HARİÇ BASKI GRAMI]]/Tablo517[[#This Row],[KALIP GÖZ ADEDİ]]," ")</f>
        <v xml:space="preserve"> </v>
      </c>
      <c r="T481" s="100" t="str">
        <f t="shared" si="52"/>
        <v xml:space="preserve"> </v>
      </c>
      <c r="U481" s="100"/>
      <c r="V481" s="100" t="str">
        <f t="shared" si="51"/>
        <v xml:space="preserve"> </v>
      </c>
      <c r="W481" s="101">
        <f t="shared" si="53"/>
        <v>24</v>
      </c>
      <c r="X481" s="102">
        <f t="shared" si="54"/>
        <v>0</v>
      </c>
      <c r="Y481" s="100" t="str">
        <f t="shared" si="55"/>
        <v xml:space="preserve"> </v>
      </c>
      <c r="Z481" s="100" t="str">
        <f t="shared" si="56"/>
        <v xml:space="preserve"> </v>
      </c>
    </row>
    <row r="482" spans="1:26">
      <c r="A482" s="100"/>
      <c r="B482" s="108" t="str">
        <f>IFERROR(VLOOKUP(Tablo517[[#This Row],[ÜRÜN KODU]],YMKODLARI!$A$1:$K$363,2,0)," ")</f>
        <v xml:space="preserve"> </v>
      </c>
      <c r="C482" s="99"/>
      <c r="D482" s="100"/>
      <c r="E482" s="101"/>
      <c r="F482" s="101"/>
      <c r="G482" s="100" t="str">
        <f>IFERROR(VLOOKUP(Tablo517[[#This Row],[ÜRÜN KODU]],YMKODLARI!$A$1:$K$363,3,0)," ")</f>
        <v xml:space="preserve"> </v>
      </c>
      <c r="H482" s="100" t="str">
        <f>IFERROR(VLOOKUP(Tablo517[[#This Row],[ÜRÜN KODU]],YMKODLARI!$A$1:$K$363,4,0)," ")</f>
        <v xml:space="preserve"> </v>
      </c>
      <c r="I482" s="100"/>
      <c r="J482" s="100" t="str">
        <f>IFERROR(VLOOKUP(Tablo517[[#This Row],[ÜRÜN KODU]],YMKODLARI!$A$1:$K$363,9,0)," ")</f>
        <v xml:space="preserve"> </v>
      </c>
      <c r="K482" s="100" t="str">
        <f>IFERROR(VLOOKUP(Tablo517[[#This Row],[BOYA KODU]],Tablo14[#All],4,0)," ")</f>
        <v xml:space="preserve"> </v>
      </c>
      <c r="L482" s="100" t="str">
        <f>IFERROR(VLOOKUP(Tablo517[[#This Row],[BOYA KODU]],Tablo14[#All],6,0)," ")</f>
        <v xml:space="preserve"> </v>
      </c>
      <c r="M482" s="100" t="str">
        <f t="shared" si="50"/>
        <v xml:space="preserve"> </v>
      </c>
      <c r="N482" s="100" t="str">
        <f>IFERROR(VLOOKUP(Tablo517[[#This Row],[ÜRÜN KODU]],YMKODLARI!$A$1:$K$363,8,0)," ")</f>
        <v xml:space="preserve"> </v>
      </c>
      <c r="O482" s="100" t="str">
        <f>IFERROR(VLOOKUP(Tablo517[[#This Row],[HAMMADDE KODU]],Tablo1[#All],3,0)," ")</f>
        <v xml:space="preserve"> </v>
      </c>
      <c r="P482" s="100" t="str">
        <f>IFERROR(VLOOKUP(Tablo517[[#This Row],[HAMMADDE KODU]],Tablo1[#All],4,0)," ")</f>
        <v xml:space="preserve"> </v>
      </c>
      <c r="Q482" s="100" t="str">
        <f>IFERROR(VLOOKUP(Tablo517[[#This Row],[ÜRÜN KODU]],YMKODLARI!$A$1:$K$363,5,0)," ")</f>
        <v xml:space="preserve"> </v>
      </c>
      <c r="R482" s="100" t="str">
        <f>IFERROR(VLOOKUP(Tablo517[[#This Row],[ÜRÜN KODU]],YMKODLARI!$A$1:$K$363,6,0)," ")</f>
        <v xml:space="preserve"> </v>
      </c>
      <c r="S482" s="100" t="str">
        <f>IFERROR(Tablo517[[#This Row],[YOLLUK HARİÇ BASKI GRAMI]]/Tablo517[[#This Row],[KALIP GÖZ ADEDİ]]," ")</f>
        <v xml:space="preserve"> </v>
      </c>
      <c r="T482" s="100" t="str">
        <f t="shared" si="52"/>
        <v xml:space="preserve"> </v>
      </c>
      <c r="U482" s="100"/>
      <c r="V482" s="100" t="str">
        <f t="shared" si="51"/>
        <v xml:space="preserve"> </v>
      </c>
      <c r="W482" s="101">
        <f t="shared" si="53"/>
        <v>24</v>
      </c>
      <c r="X482" s="102">
        <f t="shared" si="54"/>
        <v>0</v>
      </c>
      <c r="Y482" s="100" t="str">
        <f t="shared" si="55"/>
        <v xml:space="preserve"> </v>
      </c>
      <c r="Z482" s="100" t="str">
        <f t="shared" si="56"/>
        <v xml:space="preserve"> </v>
      </c>
    </row>
    <row r="483" spans="1:26">
      <c r="A483" s="100"/>
      <c r="B483" s="108" t="str">
        <f>IFERROR(VLOOKUP(Tablo517[[#This Row],[ÜRÜN KODU]],YMKODLARI!$A$1:$K$363,2,0)," ")</f>
        <v xml:space="preserve"> </v>
      </c>
      <c r="C483" s="99"/>
      <c r="D483" s="100"/>
      <c r="E483" s="101"/>
      <c r="F483" s="101"/>
      <c r="G483" s="100" t="str">
        <f>IFERROR(VLOOKUP(Tablo517[[#This Row],[ÜRÜN KODU]],YMKODLARI!$A$1:$K$363,3,0)," ")</f>
        <v xml:space="preserve"> </v>
      </c>
      <c r="H483" s="100" t="str">
        <f>IFERROR(VLOOKUP(Tablo517[[#This Row],[ÜRÜN KODU]],YMKODLARI!$A$1:$K$363,4,0)," ")</f>
        <v xml:space="preserve"> </v>
      </c>
      <c r="I483" s="100"/>
      <c r="J483" s="100" t="str">
        <f>IFERROR(VLOOKUP(Tablo517[[#This Row],[ÜRÜN KODU]],YMKODLARI!$A$1:$K$363,9,0)," ")</f>
        <v xml:space="preserve"> </v>
      </c>
      <c r="K483" s="100" t="str">
        <f>IFERROR(VLOOKUP(Tablo517[[#This Row],[BOYA KODU]],Tablo14[#All],4,0)," ")</f>
        <v xml:space="preserve"> </v>
      </c>
      <c r="L483" s="100" t="str">
        <f>IFERROR(VLOOKUP(Tablo517[[#This Row],[BOYA KODU]],Tablo14[#All],6,0)," ")</f>
        <v xml:space="preserve"> </v>
      </c>
      <c r="M483" s="100" t="str">
        <f t="shared" si="50"/>
        <v xml:space="preserve"> </v>
      </c>
      <c r="N483" s="100" t="str">
        <f>IFERROR(VLOOKUP(Tablo517[[#This Row],[ÜRÜN KODU]],YMKODLARI!$A$1:$K$363,8,0)," ")</f>
        <v xml:space="preserve"> </v>
      </c>
      <c r="O483" s="100" t="str">
        <f>IFERROR(VLOOKUP(Tablo517[[#This Row],[HAMMADDE KODU]],Tablo1[#All],3,0)," ")</f>
        <v xml:space="preserve"> </v>
      </c>
      <c r="P483" s="100" t="str">
        <f>IFERROR(VLOOKUP(Tablo517[[#This Row],[HAMMADDE KODU]],Tablo1[#All],4,0)," ")</f>
        <v xml:space="preserve"> </v>
      </c>
      <c r="Q483" s="100" t="str">
        <f>IFERROR(VLOOKUP(Tablo517[[#This Row],[ÜRÜN KODU]],YMKODLARI!$A$1:$K$363,5,0)," ")</f>
        <v xml:space="preserve"> </v>
      </c>
      <c r="R483" s="100" t="str">
        <f>IFERROR(VLOOKUP(Tablo517[[#This Row],[ÜRÜN KODU]],YMKODLARI!$A$1:$K$363,6,0)," ")</f>
        <v xml:space="preserve"> </v>
      </c>
      <c r="S483" s="100" t="str">
        <f>IFERROR(Tablo517[[#This Row],[YOLLUK HARİÇ BASKI GRAMI]]/Tablo517[[#This Row],[KALIP GÖZ ADEDİ]]," ")</f>
        <v xml:space="preserve"> </v>
      </c>
      <c r="T483" s="100" t="str">
        <f t="shared" si="52"/>
        <v xml:space="preserve"> </v>
      </c>
      <c r="U483" s="100"/>
      <c r="V483" s="100" t="str">
        <f t="shared" si="51"/>
        <v xml:space="preserve"> </v>
      </c>
      <c r="W483" s="101">
        <f t="shared" si="53"/>
        <v>24</v>
      </c>
      <c r="X483" s="102">
        <f t="shared" si="54"/>
        <v>0</v>
      </c>
      <c r="Y483" s="100" t="str">
        <f t="shared" si="55"/>
        <v xml:space="preserve"> </v>
      </c>
      <c r="Z483" s="100" t="str">
        <f t="shared" si="56"/>
        <v xml:space="preserve"> </v>
      </c>
    </row>
    <row r="484" spans="1:26">
      <c r="A484" s="100"/>
      <c r="B484" s="108" t="str">
        <f>IFERROR(VLOOKUP(Tablo517[[#This Row],[ÜRÜN KODU]],YMKODLARI!$A$1:$K$363,2,0)," ")</f>
        <v xml:space="preserve"> </v>
      </c>
      <c r="C484" s="99"/>
      <c r="D484" s="100"/>
      <c r="E484" s="101"/>
      <c r="F484" s="101"/>
      <c r="G484" s="100" t="str">
        <f>IFERROR(VLOOKUP(Tablo517[[#This Row],[ÜRÜN KODU]],YMKODLARI!$A$1:$K$363,3,0)," ")</f>
        <v xml:space="preserve"> </v>
      </c>
      <c r="H484" s="100" t="str">
        <f>IFERROR(VLOOKUP(Tablo517[[#This Row],[ÜRÜN KODU]],YMKODLARI!$A$1:$K$363,4,0)," ")</f>
        <v xml:space="preserve"> </v>
      </c>
      <c r="I484" s="100"/>
      <c r="J484" s="100" t="str">
        <f>IFERROR(VLOOKUP(Tablo517[[#This Row],[ÜRÜN KODU]],YMKODLARI!$A$1:$K$363,9,0)," ")</f>
        <v xml:space="preserve"> </v>
      </c>
      <c r="K484" s="100" t="str">
        <f>IFERROR(VLOOKUP(Tablo517[[#This Row],[BOYA KODU]],Tablo14[#All],4,0)," ")</f>
        <v xml:space="preserve"> </v>
      </c>
      <c r="L484" s="100" t="str">
        <f>IFERROR(VLOOKUP(Tablo517[[#This Row],[BOYA KODU]],Tablo14[#All],6,0)," ")</f>
        <v xml:space="preserve"> </v>
      </c>
      <c r="M484" s="100" t="str">
        <f t="shared" si="50"/>
        <v xml:space="preserve"> </v>
      </c>
      <c r="N484" s="100" t="str">
        <f>IFERROR(VLOOKUP(Tablo517[[#This Row],[ÜRÜN KODU]],YMKODLARI!$A$1:$K$363,8,0)," ")</f>
        <v xml:space="preserve"> </v>
      </c>
      <c r="O484" s="100" t="str">
        <f>IFERROR(VLOOKUP(Tablo517[[#This Row],[HAMMADDE KODU]],Tablo1[#All],3,0)," ")</f>
        <v xml:space="preserve"> </v>
      </c>
      <c r="P484" s="100" t="str">
        <f>IFERROR(VLOOKUP(Tablo517[[#This Row],[HAMMADDE KODU]],Tablo1[#All],4,0)," ")</f>
        <v xml:space="preserve"> </v>
      </c>
      <c r="Q484" s="100" t="str">
        <f>IFERROR(VLOOKUP(Tablo517[[#This Row],[ÜRÜN KODU]],YMKODLARI!$A$1:$K$363,5,0)," ")</f>
        <v xml:space="preserve"> </v>
      </c>
      <c r="R484" s="100" t="str">
        <f>IFERROR(VLOOKUP(Tablo517[[#This Row],[ÜRÜN KODU]],YMKODLARI!$A$1:$K$363,6,0)," ")</f>
        <v xml:space="preserve"> </v>
      </c>
      <c r="S484" s="100" t="str">
        <f>IFERROR(Tablo517[[#This Row],[YOLLUK HARİÇ BASKI GRAMI]]/Tablo517[[#This Row],[KALIP GÖZ ADEDİ]]," ")</f>
        <v xml:space="preserve"> </v>
      </c>
      <c r="T484" s="100" t="str">
        <f t="shared" si="52"/>
        <v xml:space="preserve"> </v>
      </c>
      <c r="U484" s="100"/>
      <c r="V484" s="100" t="str">
        <f t="shared" si="51"/>
        <v xml:space="preserve"> </v>
      </c>
      <c r="W484" s="101">
        <f t="shared" si="53"/>
        <v>24</v>
      </c>
      <c r="X484" s="102">
        <f t="shared" si="54"/>
        <v>0</v>
      </c>
      <c r="Y484" s="100" t="str">
        <f t="shared" si="55"/>
        <v xml:space="preserve"> </v>
      </c>
      <c r="Z484" s="100" t="str">
        <f t="shared" si="56"/>
        <v xml:space="preserve"> </v>
      </c>
    </row>
    <row r="485" spans="1:26">
      <c r="A485" s="100"/>
      <c r="B485" s="108" t="str">
        <f>IFERROR(VLOOKUP(Tablo517[[#This Row],[ÜRÜN KODU]],YMKODLARI!$A$1:$K$363,2,0)," ")</f>
        <v xml:space="preserve"> </v>
      </c>
      <c r="C485" s="99"/>
      <c r="D485" s="100"/>
      <c r="E485" s="101"/>
      <c r="F485" s="101"/>
      <c r="G485" s="100" t="str">
        <f>IFERROR(VLOOKUP(Tablo517[[#This Row],[ÜRÜN KODU]],YMKODLARI!$A$1:$K$363,3,0)," ")</f>
        <v xml:space="preserve"> </v>
      </c>
      <c r="H485" s="100" t="str">
        <f>IFERROR(VLOOKUP(Tablo517[[#This Row],[ÜRÜN KODU]],YMKODLARI!$A$1:$K$363,4,0)," ")</f>
        <v xml:space="preserve"> </v>
      </c>
      <c r="I485" s="100"/>
      <c r="J485" s="100" t="str">
        <f>IFERROR(VLOOKUP(Tablo517[[#This Row],[ÜRÜN KODU]],YMKODLARI!$A$1:$K$363,9,0)," ")</f>
        <v xml:space="preserve"> </v>
      </c>
      <c r="K485" s="100" t="str">
        <f>IFERROR(VLOOKUP(Tablo517[[#This Row],[BOYA KODU]],Tablo14[#All],4,0)," ")</f>
        <v xml:space="preserve"> </v>
      </c>
      <c r="L485" s="100" t="str">
        <f>IFERROR(VLOOKUP(Tablo517[[#This Row],[BOYA KODU]],Tablo14[#All],6,0)," ")</f>
        <v xml:space="preserve"> </v>
      </c>
      <c r="M485" s="100" t="str">
        <f t="shared" si="50"/>
        <v xml:space="preserve"> </v>
      </c>
      <c r="N485" s="100" t="str">
        <f>IFERROR(VLOOKUP(Tablo517[[#This Row],[ÜRÜN KODU]],YMKODLARI!$A$1:$K$363,8,0)," ")</f>
        <v xml:space="preserve"> </v>
      </c>
      <c r="O485" s="100" t="str">
        <f>IFERROR(VLOOKUP(Tablo517[[#This Row],[HAMMADDE KODU]],Tablo1[#All],3,0)," ")</f>
        <v xml:space="preserve"> </v>
      </c>
      <c r="P485" s="100" t="str">
        <f>IFERROR(VLOOKUP(Tablo517[[#This Row],[HAMMADDE KODU]],Tablo1[#All],4,0)," ")</f>
        <v xml:space="preserve"> </v>
      </c>
      <c r="Q485" s="100" t="str">
        <f>IFERROR(VLOOKUP(Tablo517[[#This Row],[ÜRÜN KODU]],YMKODLARI!$A$1:$K$363,5,0)," ")</f>
        <v xml:space="preserve"> </v>
      </c>
      <c r="R485" s="100" t="str">
        <f>IFERROR(VLOOKUP(Tablo517[[#This Row],[ÜRÜN KODU]],YMKODLARI!$A$1:$K$363,6,0)," ")</f>
        <v xml:space="preserve"> </v>
      </c>
      <c r="S485" s="100" t="str">
        <f>IFERROR(Tablo517[[#This Row],[YOLLUK HARİÇ BASKI GRAMI]]/Tablo517[[#This Row],[KALIP GÖZ ADEDİ]]," ")</f>
        <v xml:space="preserve"> </v>
      </c>
      <c r="T485" s="100" t="str">
        <f t="shared" si="52"/>
        <v xml:space="preserve"> </v>
      </c>
      <c r="U485" s="100"/>
      <c r="V485" s="100" t="str">
        <f t="shared" si="51"/>
        <v xml:space="preserve"> </v>
      </c>
      <c r="W485" s="101">
        <f t="shared" si="53"/>
        <v>24</v>
      </c>
      <c r="X485" s="102">
        <f t="shared" si="54"/>
        <v>0</v>
      </c>
      <c r="Y485" s="100" t="str">
        <f t="shared" si="55"/>
        <v xml:space="preserve"> </v>
      </c>
      <c r="Z485" s="100" t="str">
        <f t="shared" si="56"/>
        <v xml:space="preserve"> </v>
      </c>
    </row>
    <row r="486" spans="1:26">
      <c r="A486" s="100"/>
      <c r="B486" s="108" t="str">
        <f>IFERROR(VLOOKUP(Tablo517[[#This Row],[ÜRÜN KODU]],YMKODLARI!$A$1:$K$363,2,0)," ")</f>
        <v xml:space="preserve"> </v>
      </c>
      <c r="C486" s="99"/>
      <c r="D486" s="100"/>
      <c r="E486" s="101"/>
      <c r="F486" s="101"/>
      <c r="G486" s="100" t="str">
        <f>IFERROR(VLOOKUP(Tablo517[[#This Row],[ÜRÜN KODU]],YMKODLARI!$A$1:$K$363,3,0)," ")</f>
        <v xml:space="preserve"> </v>
      </c>
      <c r="H486" s="100" t="str">
        <f>IFERROR(VLOOKUP(Tablo517[[#This Row],[ÜRÜN KODU]],YMKODLARI!$A$1:$K$363,4,0)," ")</f>
        <v xml:space="preserve"> </v>
      </c>
      <c r="I486" s="100"/>
      <c r="J486" s="100" t="str">
        <f>IFERROR(VLOOKUP(Tablo517[[#This Row],[ÜRÜN KODU]],YMKODLARI!$A$1:$K$363,9,0)," ")</f>
        <v xml:space="preserve"> </v>
      </c>
      <c r="K486" s="100" t="str">
        <f>IFERROR(VLOOKUP(Tablo517[[#This Row],[BOYA KODU]],Tablo14[#All],4,0)," ")</f>
        <v xml:space="preserve"> </v>
      </c>
      <c r="L486" s="100" t="str">
        <f>IFERROR(VLOOKUP(Tablo517[[#This Row],[BOYA KODU]],Tablo14[#All],6,0)," ")</f>
        <v xml:space="preserve"> </v>
      </c>
      <c r="M486" s="100" t="str">
        <f t="shared" si="50"/>
        <v xml:space="preserve"> </v>
      </c>
      <c r="N486" s="100" t="str">
        <f>IFERROR(VLOOKUP(Tablo517[[#This Row],[ÜRÜN KODU]],YMKODLARI!$A$1:$K$363,8,0)," ")</f>
        <v xml:space="preserve"> </v>
      </c>
      <c r="O486" s="100" t="str">
        <f>IFERROR(VLOOKUP(Tablo517[[#This Row],[HAMMADDE KODU]],Tablo1[#All],3,0)," ")</f>
        <v xml:space="preserve"> </v>
      </c>
      <c r="P486" s="100" t="str">
        <f>IFERROR(VLOOKUP(Tablo517[[#This Row],[HAMMADDE KODU]],Tablo1[#All],4,0)," ")</f>
        <v xml:space="preserve"> </v>
      </c>
      <c r="Q486" s="100" t="str">
        <f>IFERROR(VLOOKUP(Tablo517[[#This Row],[ÜRÜN KODU]],YMKODLARI!$A$1:$K$363,5,0)," ")</f>
        <v xml:space="preserve"> </v>
      </c>
      <c r="R486" s="100" t="str">
        <f>IFERROR(VLOOKUP(Tablo517[[#This Row],[ÜRÜN KODU]],YMKODLARI!$A$1:$K$363,6,0)," ")</f>
        <v xml:space="preserve"> </v>
      </c>
      <c r="S486" s="100" t="str">
        <f>IFERROR(Tablo517[[#This Row],[YOLLUK HARİÇ BASKI GRAMI]]/Tablo517[[#This Row],[KALIP GÖZ ADEDİ]]," ")</f>
        <v xml:space="preserve"> </v>
      </c>
      <c r="T486" s="100" t="str">
        <f t="shared" si="52"/>
        <v xml:space="preserve"> </v>
      </c>
      <c r="U486" s="100"/>
      <c r="V486" s="100" t="str">
        <f t="shared" si="51"/>
        <v xml:space="preserve"> </v>
      </c>
      <c r="W486" s="101">
        <f t="shared" si="53"/>
        <v>24</v>
      </c>
      <c r="X486" s="102">
        <f t="shared" si="54"/>
        <v>0</v>
      </c>
      <c r="Y486" s="100" t="str">
        <f t="shared" si="55"/>
        <v xml:space="preserve"> </v>
      </c>
      <c r="Z486" s="100" t="str">
        <f t="shared" si="56"/>
        <v xml:space="preserve"> </v>
      </c>
    </row>
    <row r="487" spans="1:26">
      <c r="A487" s="100"/>
      <c r="B487" s="108" t="str">
        <f>IFERROR(VLOOKUP(Tablo517[[#This Row],[ÜRÜN KODU]],YMKODLARI!$A$1:$K$363,2,0)," ")</f>
        <v xml:space="preserve"> </v>
      </c>
      <c r="C487" s="99"/>
      <c r="D487" s="100"/>
      <c r="E487" s="101"/>
      <c r="F487" s="101"/>
      <c r="G487" s="100" t="str">
        <f>IFERROR(VLOOKUP(Tablo517[[#This Row],[ÜRÜN KODU]],YMKODLARI!$A$1:$K$363,3,0)," ")</f>
        <v xml:space="preserve"> </v>
      </c>
      <c r="H487" s="100" t="str">
        <f>IFERROR(VLOOKUP(Tablo517[[#This Row],[ÜRÜN KODU]],YMKODLARI!$A$1:$K$363,4,0)," ")</f>
        <v xml:space="preserve"> </v>
      </c>
      <c r="I487" s="100"/>
      <c r="J487" s="100" t="str">
        <f>IFERROR(VLOOKUP(Tablo517[[#This Row],[ÜRÜN KODU]],YMKODLARI!$A$1:$K$363,9,0)," ")</f>
        <v xml:space="preserve"> </v>
      </c>
      <c r="K487" s="100" t="str">
        <f>IFERROR(VLOOKUP(Tablo517[[#This Row],[BOYA KODU]],Tablo14[#All],4,0)," ")</f>
        <v xml:space="preserve"> </v>
      </c>
      <c r="L487" s="100" t="str">
        <f>IFERROR(VLOOKUP(Tablo517[[#This Row],[BOYA KODU]],Tablo14[#All],6,0)," ")</f>
        <v xml:space="preserve"> </v>
      </c>
      <c r="M487" s="100" t="str">
        <f t="shared" si="50"/>
        <v xml:space="preserve"> </v>
      </c>
      <c r="N487" s="100" t="str">
        <f>IFERROR(VLOOKUP(Tablo517[[#This Row],[ÜRÜN KODU]],YMKODLARI!$A$1:$K$363,8,0)," ")</f>
        <v xml:space="preserve"> </v>
      </c>
      <c r="O487" s="100" t="str">
        <f>IFERROR(VLOOKUP(Tablo517[[#This Row],[HAMMADDE KODU]],Tablo1[#All],3,0)," ")</f>
        <v xml:space="preserve"> </v>
      </c>
      <c r="P487" s="100" t="str">
        <f>IFERROR(VLOOKUP(Tablo517[[#This Row],[HAMMADDE KODU]],Tablo1[#All],4,0)," ")</f>
        <v xml:space="preserve"> </v>
      </c>
      <c r="Q487" s="100" t="str">
        <f>IFERROR(VLOOKUP(Tablo517[[#This Row],[ÜRÜN KODU]],YMKODLARI!$A$1:$K$363,5,0)," ")</f>
        <v xml:space="preserve"> </v>
      </c>
      <c r="R487" s="100" t="str">
        <f>IFERROR(VLOOKUP(Tablo517[[#This Row],[ÜRÜN KODU]],YMKODLARI!$A$1:$K$363,6,0)," ")</f>
        <v xml:space="preserve"> </v>
      </c>
      <c r="S487" s="100" t="str">
        <f>IFERROR(Tablo517[[#This Row],[YOLLUK HARİÇ BASKI GRAMI]]/Tablo517[[#This Row],[KALIP GÖZ ADEDİ]]," ")</f>
        <v xml:space="preserve"> </v>
      </c>
      <c r="T487" s="100" t="str">
        <f t="shared" si="52"/>
        <v xml:space="preserve"> </v>
      </c>
      <c r="U487" s="100"/>
      <c r="V487" s="100" t="str">
        <f t="shared" si="51"/>
        <v xml:space="preserve"> </v>
      </c>
      <c r="W487" s="101">
        <f t="shared" si="53"/>
        <v>24</v>
      </c>
      <c r="X487" s="102">
        <f t="shared" si="54"/>
        <v>0</v>
      </c>
      <c r="Y487" s="100" t="str">
        <f t="shared" si="55"/>
        <v xml:space="preserve"> </v>
      </c>
      <c r="Z487" s="100" t="str">
        <f t="shared" si="56"/>
        <v xml:space="preserve"> </v>
      </c>
    </row>
    <row r="488" spans="1:26">
      <c r="A488" s="100"/>
      <c r="B488" s="108" t="str">
        <f>IFERROR(VLOOKUP(Tablo517[[#This Row],[ÜRÜN KODU]],YMKODLARI!$A$1:$K$363,2,0)," ")</f>
        <v xml:space="preserve"> </v>
      </c>
      <c r="C488" s="99"/>
      <c r="D488" s="100"/>
      <c r="E488" s="101"/>
      <c r="F488" s="101"/>
      <c r="G488" s="100" t="str">
        <f>IFERROR(VLOOKUP(Tablo517[[#This Row],[ÜRÜN KODU]],YMKODLARI!$A$1:$K$363,3,0)," ")</f>
        <v xml:space="preserve"> </v>
      </c>
      <c r="H488" s="100" t="str">
        <f>IFERROR(VLOOKUP(Tablo517[[#This Row],[ÜRÜN KODU]],YMKODLARI!$A$1:$K$363,4,0)," ")</f>
        <v xml:space="preserve"> </v>
      </c>
      <c r="I488" s="100"/>
      <c r="J488" s="100" t="str">
        <f>IFERROR(VLOOKUP(Tablo517[[#This Row],[ÜRÜN KODU]],YMKODLARI!$A$1:$K$363,9,0)," ")</f>
        <v xml:space="preserve"> </v>
      </c>
      <c r="K488" s="100" t="str">
        <f>IFERROR(VLOOKUP(Tablo517[[#This Row],[BOYA KODU]],Tablo14[#All],4,0)," ")</f>
        <v xml:space="preserve"> </v>
      </c>
      <c r="L488" s="100" t="str">
        <f>IFERROR(VLOOKUP(Tablo517[[#This Row],[BOYA KODU]],Tablo14[#All],6,0)," ")</f>
        <v xml:space="preserve"> </v>
      </c>
      <c r="M488" s="100" t="str">
        <f t="shared" si="50"/>
        <v xml:space="preserve"> </v>
      </c>
      <c r="N488" s="100" t="str">
        <f>IFERROR(VLOOKUP(Tablo517[[#This Row],[ÜRÜN KODU]],YMKODLARI!$A$1:$K$363,8,0)," ")</f>
        <v xml:space="preserve"> </v>
      </c>
      <c r="O488" s="100" t="str">
        <f>IFERROR(VLOOKUP(Tablo517[[#This Row],[HAMMADDE KODU]],Tablo1[#All],3,0)," ")</f>
        <v xml:space="preserve"> </v>
      </c>
      <c r="P488" s="100" t="str">
        <f>IFERROR(VLOOKUP(Tablo517[[#This Row],[HAMMADDE KODU]],Tablo1[#All],4,0)," ")</f>
        <v xml:space="preserve"> </v>
      </c>
      <c r="Q488" s="100" t="str">
        <f>IFERROR(VLOOKUP(Tablo517[[#This Row],[ÜRÜN KODU]],YMKODLARI!$A$1:$K$363,5,0)," ")</f>
        <v xml:space="preserve"> </v>
      </c>
      <c r="R488" s="100" t="str">
        <f>IFERROR(VLOOKUP(Tablo517[[#This Row],[ÜRÜN KODU]],YMKODLARI!$A$1:$K$363,6,0)," ")</f>
        <v xml:space="preserve"> </v>
      </c>
      <c r="S488" s="100" t="str">
        <f>IFERROR(Tablo517[[#This Row],[YOLLUK HARİÇ BASKI GRAMI]]/Tablo517[[#This Row],[KALIP GÖZ ADEDİ]]," ")</f>
        <v xml:space="preserve"> </v>
      </c>
      <c r="T488" s="100" t="str">
        <f t="shared" si="52"/>
        <v xml:space="preserve"> </v>
      </c>
      <c r="U488" s="100"/>
      <c r="V488" s="100" t="str">
        <f t="shared" si="51"/>
        <v xml:space="preserve"> </v>
      </c>
      <c r="W488" s="101">
        <f t="shared" si="53"/>
        <v>24</v>
      </c>
      <c r="X488" s="102">
        <f t="shared" si="54"/>
        <v>0</v>
      </c>
      <c r="Y488" s="100" t="str">
        <f t="shared" si="55"/>
        <v xml:space="preserve"> </v>
      </c>
      <c r="Z488" s="100" t="str">
        <f t="shared" si="56"/>
        <v xml:space="preserve"> </v>
      </c>
    </row>
    <row r="489" spans="1:26">
      <c r="A489" s="100"/>
      <c r="B489" s="108" t="str">
        <f>IFERROR(VLOOKUP(Tablo517[[#This Row],[ÜRÜN KODU]],YMKODLARI!$A$1:$K$363,2,0)," ")</f>
        <v xml:space="preserve"> </v>
      </c>
      <c r="C489" s="99"/>
      <c r="D489" s="100"/>
      <c r="E489" s="101"/>
      <c r="F489" s="101"/>
      <c r="G489" s="100" t="str">
        <f>IFERROR(VLOOKUP(Tablo517[[#This Row],[ÜRÜN KODU]],YMKODLARI!$A$1:$K$363,3,0)," ")</f>
        <v xml:space="preserve"> </v>
      </c>
      <c r="H489" s="100" t="str">
        <f>IFERROR(VLOOKUP(Tablo517[[#This Row],[ÜRÜN KODU]],YMKODLARI!$A$1:$K$363,4,0)," ")</f>
        <v xml:space="preserve"> </v>
      </c>
      <c r="I489" s="100"/>
      <c r="J489" s="100" t="str">
        <f>IFERROR(VLOOKUP(Tablo517[[#This Row],[ÜRÜN KODU]],YMKODLARI!$A$1:$K$363,9,0)," ")</f>
        <v xml:space="preserve"> </v>
      </c>
      <c r="K489" s="100" t="str">
        <f>IFERROR(VLOOKUP(Tablo517[[#This Row],[BOYA KODU]],Tablo14[#All],4,0)," ")</f>
        <v xml:space="preserve"> </v>
      </c>
      <c r="L489" s="100" t="str">
        <f>IFERROR(VLOOKUP(Tablo517[[#This Row],[BOYA KODU]],Tablo14[#All],6,0)," ")</f>
        <v xml:space="preserve"> </v>
      </c>
      <c r="M489" s="100" t="str">
        <f t="shared" si="50"/>
        <v xml:space="preserve"> </v>
      </c>
      <c r="N489" s="100" t="str">
        <f>IFERROR(VLOOKUP(Tablo517[[#This Row],[ÜRÜN KODU]],YMKODLARI!$A$1:$K$363,8,0)," ")</f>
        <v xml:space="preserve"> </v>
      </c>
      <c r="O489" s="100" t="str">
        <f>IFERROR(VLOOKUP(Tablo517[[#This Row],[HAMMADDE KODU]],Tablo1[#All],3,0)," ")</f>
        <v xml:space="preserve"> </v>
      </c>
      <c r="P489" s="100" t="str">
        <f>IFERROR(VLOOKUP(Tablo517[[#This Row],[HAMMADDE KODU]],Tablo1[#All],4,0)," ")</f>
        <v xml:space="preserve"> </v>
      </c>
      <c r="Q489" s="100" t="str">
        <f>IFERROR(VLOOKUP(Tablo517[[#This Row],[ÜRÜN KODU]],YMKODLARI!$A$1:$K$363,5,0)," ")</f>
        <v xml:space="preserve"> </v>
      </c>
      <c r="R489" s="100" t="str">
        <f>IFERROR(VLOOKUP(Tablo517[[#This Row],[ÜRÜN KODU]],YMKODLARI!$A$1:$K$363,6,0)," ")</f>
        <v xml:space="preserve"> </v>
      </c>
      <c r="S489" s="100" t="str">
        <f>IFERROR(Tablo517[[#This Row],[YOLLUK HARİÇ BASKI GRAMI]]/Tablo517[[#This Row],[KALIP GÖZ ADEDİ]]," ")</f>
        <v xml:space="preserve"> </v>
      </c>
      <c r="T489" s="100" t="str">
        <f t="shared" si="52"/>
        <v xml:space="preserve"> </v>
      </c>
      <c r="U489" s="100"/>
      <c r="V489" s="100" t="str">
        <f t="shared" si="51"/>
        <v xml:space="preserve"> </v>
      </c>
      <c r="W489" s="101">
        <f t="shared" si="53"/>
        <v>24</v>
      </c>
      <c r="X489" s="102">
        <f t="shared" si="54"/>
        <v>0</v>
      </c>
      <c r="Y489" s="100" t="str">
        <f t="shared" si="55"/>
        <v xml:space="preserve"> </v>
      </c>
      <c r="Z489" s="100" t="str">
        <f t="shared" si="56"/>
        <v xml:space="preserve"> </v>
      </c>
    </row>
    <row r="490" spans="1:26">
      <c r="A490" s="100"/>
      <c r="B490" s="108" t="str">
        <f>IFERROR(VLOOKUP(Tablo517[[#This Row],[ÜRÜN KODU]],YMKODLARI!$A$1:$K$363,2,0)," ")</f>
        <v xml:space="preserve"> </v>
      </c>
      <c r="C490" s="99"/>
      <c r="D490" s="100"/>
      <c r="E490" s="101"/>
      <c r="F490" s="101"/>
      <c r="G490" s="100" t="str">
        <f>IFERROR(VLOOKUP(Tablo517[[#This Row],[ÜRÜN KODU]],YMKODLARI!$A$1:$K$363,3,0)," ")</f>
        <v xml:space="preserve"> </v>
      </c>
      <c r="H490" s="100" t="str">
        <f>IFERROR(VLOOKUP(Tablo517[[#This Row],[ÜRÜN KODU]],YMKODLARI!$A$1:$K$363,4,0)," ")</f>
        <v xml:space="preserve"> </v>
      </c>
      <c r="I490" s="100"/>
      <c r="J490" s="100" t="str">
        <f>IFERROR(VLOOKUP(Tablo517[[#This Row],[ÜRÜN KODU]],YMKODLARI!$A$1:$K$363,9,0)," ")</f>
        <v xml:space="preserve"> </v>
      </c>
      <c r="K490" s="100" t="str">
        <f>IFERROR(VLOOKUP(Tablo517[[#This Row],[BOYA KODU]],Tablo14[#All],4,0)," ")</f>
        <v xml:space="preserve"> </v>
      </c>
      <c r="L490" s="100" t="str">
        <f>IFERROR(VLOOKUP(Tablo517[[#This Row],[BOYA KODU]],Tablo14[#All],6,0)," ")</f>
        <v xml:space="preserve"> </v>
      </c>
      <c r="M490" s="100" t="str">
        <f t="shared" si="50"/>
        <v xml:space="preserve"> </v>
      </c>
      <c r="N490" s="100" t="str">
        <f>IFERROR(VLOOKUP(Tablo517[[#This Row],[ÜRÜN KODU]],YMKODLARI!$A$1:$K$363,8,0)," ")</f>
        <v xml:space="preserve"> </v>
      </c>
      <c r="O490" s="100" t="str">
        <f>IFERROR(VLOOKUP(Tablo517[[#This Row],[HAMMADDE KODU]],Tablo1[#All],3,0)," ")</f>
        <v xml:space="preserve"> </v>
      </c>
      <c r="P490" s="100" t="str">
        <f>IFERROR(VLOOKUP(Tablo517[[#This Row],[HAMMADDE KODU]],Tablo1[#All],4,0)," ")</f>
        <v xml:space="preserve"> </v>
      </c>
      <c r="Q490" s="100" t="str">
        <f>IFERROR(VLOOKUP(Tablo517[[#This Row],[ÜRÜN KODU]],YMKODLARI!$A$1:$K$363,5,0)," ")</f>
        <v xml:space="preserve"> </v>
      </c>
      <c r="R490" s="100" t="str">
        <f>IFERROR(VLOOKUP(Tablo517[[#This Row],[ÜRÜN KODU]],YMKODLARI!$A$1:$K$363,6,0)," ")</f>
        <v xml:space="preserve"> </v>
      </c>
      <c r="S490" s="100" t="str">
        <f>IFERROR(Tablo517[[#This Row],[YOLLUK HARİÇ BASKI GRAMI]]/Tablo517[[#This Row],[KALIP GÖZ ADEDİ]]," ")</f>
        <v xml:space="preserve"> </v>
      </c>
      <c r="T490" s="100" t="str">
        <f t="shared" si="52"/>
        <v xml:space="preserve"> </v>
      </c>
      <c r="U490" s="100"/>
      <c r="V490" s="100" t="str">
        <f t="shared" si="51"/>
        <v xml:space="preserve"> </v>
      </c>
      <c r="W490" s="101">
        <f t="shared" si="53"/>
        <v>24</v>
      </c>
      <c r="X490" s="102">
        <f t="shared" si="54"/>
        <v>0</v>
      </c>
      <c r="Y490" s="100" t="str">
        <f t="shared" si="55"/>
        <v xml:space="preserve"> </v>
      </c>
      <c r="Z490" s="100" t="str">
        <f t="shared" si="56"/>
        <v xml:space="preserve"> </v>
      </c>
    </row>
    <row r="491" spans="1:26">
      <c r="A491" s="100"/>
      <c r="B491" s="108" t="str">
        <f>IFERROR(VLOOKUP(Tablo517[[#This Row],[ÜRÜN KODU]],YMKODLARI!$A$1:$K$363,2,0)," ")</f>
        <v xml:space="preserve"> </v>
      </c>
      <c r="C491" s="99"/>
      <c r="D491" s="100"/>
      <c r="E491" s="101"/>
      <c r="F491" s="101"/>
      <c r="G491" s="100" t="str">
        <f>IFERROR(VLOOKUP(Tablo517[[#This Row],[ÜRÜN KODU]],YMKODLARI!$A$1:$K$363,3,0)," ")</f>
        <v xml:space="preserve"> </v>
      </c>
      <c r="H491" s="100" t="str">
        <f>IFERROR(VLOOKUP(Tablo517[[#This Row],[ÜRÜN KODU]],YMKODLARI!$A$1:$K$363,4,0)," ")</f>
        <v xml:space="preserve"> </v>
      </c>
      <c r="I491" s="100"/>
      <c r="J491" s="100" t="str">
        <f>IFERROR(VLOOKUP(Tablo517[[#This Row],[ÜRÜN KODU]],YMKODLARI!$A$1:$K$363,9,0)," ")</f>
        <v xml:space="preserve"> </v>
      </c>
      <c r="K491" s="100" t="str">
        <f>IFERROR(VLOOKUP(Tablo517[[#This Row],[BOYA KODU]],Tablo14[#All],4,0)," ")</f>
        <v xml:space="preserve"> </v>
      </c>
      <c r="L491" s="100" t="str">
        <f>IFERROR(VLOOKUP(Tablo517[[#This Row],[BOYA KODU]],Tablo14[#All],6,0)," ")</f>
        <v xml:space="preserve"> </v>
      </c>
      <c r="M491" s="100" t="str">
        <f t="shared" si="50"/>
        <v xml:space="preserve"> </v>
      </c>
      <c r="N491" s="100" t="str">
        <f>IFERROR(VLOOKUP(Tablo517[[#This Row],[ÜRÜN KODU]],YMKODLARI!$A$1:$K$363,8,0)," ")</f>
        <v xml:space="preserve"> </v>
      </c>
      <c r="O491" s="100" t="str">
        <f>IFERROR(VLOOKUP(Tablo517[[#This Row],[HAMMADDE KODU]],Tablo1[#All],3,0)," ")</f>
        <v xml:space="preserve"> </v>
      </c>
      <c r="P491" s="100" t="str">
        <f>IFERROR(VLOOKUP(Tablo517[[#This Row],[HAMMADDE KODU]],Tablo1[#All],4,0)," ")</f>
        <v xml:space="preserve"> </v>
      </c>
      <c r="Q491" s="100" t="str">
        <f>IFERROR(VLOOKUP(Tablo517[[#This Row],[ÜRÜN KODU]],YMKODLARI!$A$1:$K$363,5,0)," ")</f>
        <v xml:space="preserve"> </v>
      </c>
      <c r="R491" s="100" t="str">
        <f>IFERROR(VLOOKUP(Tablo517[[#This Row],[ÜRÜN KODU]],YMKODLARI!$A$1:$K$363,6,0)," ")</f>
        <v xml:space="preserve"> </v>
      </c>
      <c r="S491" s="100" t="str">
        <f>IFERROR(Tablo517[[#This Row],[YOLLUK HARİÇ BASKI GRAMI]]/Tablo517[[#This Row],[KALIP GÖZ ADEDİ]]," ")</f>
        <v xml:space="preserve"> </v>
      </c>
      <c r="T491" s="100" t="str">
        <f t="shared" si="52"/>
        <v xml:space="preserve"> </v>
      </c>
      <c r="U491" s="100"/>
      <c r="V491" s="100" t="str">
        <f t="shared" si="51"/>
        <v xml:space="preserve"> </v>
      </c>
      <c r="W491" s="101">
        <f t="shared" si="53"/>
        <v>24</v>
      </c>
      <c r="X491" s="102">
        <f t="shared" si="54"/>
        <v>0</v>
      </c>
      <c r="Y491" s="100" t="str">
        <f t="shared" si="55"/>
        <v xml:space="preserve"> </v>
      </c>
      <c r="Z491" s="100" t="str">
        <f t="shared" si="56"/>
        <v xml:space="preserve"> </v>
      </c>
    </row>
    <row r="492" spans="1:26">
      <c r="A492" s="100"/>
      <c r="B492" s="108" t="str">
        <f>IFERROR(VLOOKUP(Tablo517[[#This Row],[ÜRÜN KODU]],YMKODLARI!$A$1:$K$363,2,0)," ")</f>
        <v xml:space="preserve"> </v>
      </c>
      <c r="C492" s="99"/>
      <c r="D492" s="100"/>
      <c r="E492" s="101"/>
      <c r="F492" s="101"/>
      <c r="G492" s="100" t="str">
        <f>IFERROR(VLOOKUP(Tablo517[[#This Row],[ÜRÜN KODU]],YMKODLARI!$A$1:$K$363,3,0)," ")</f>
        <v xml:space="preserve"> </v>
      </c>
      <c r="H492" s="100" t="str">
        <f>IFERROR(VLOOKUP(Tablo517[[#This Row],[ÜRÜN KODU]],YMKODLARI!$A$1:$K$363,4,0)," ")</f>
        <v xml:space="preserve"> </v>
      </c>
      <c r="I492" s="100"/>
      <c r="J492" s="100" t="str">
        <f>IFERROR(VLOOKUP(Tablo517[[#This Row],[ÜRÜN KODU]],YMKODLARI!$A$1:$K$363,9,0)," ")</f>
        <v xml:space="preserve"> </v>
      </c>
      <c r="K492" s="100" t="str">
        <f>IFERROR(VLOOKUP(Tablo517[[#This Row],[BOYA KODU]],Tablo14[#All],4,0)," ")</f>
        <v xml:space="preserve"> </v>
      </c>
      <c r="L492" s="100" t="str">
        <f>IFERROR(VLOOKUP(Tablo517[[#This Row],[BOYA KODU]],Tablo14[#All],6,0)," ")</f>
        <v xml:space="preserve"> </v>
      </c>
      <c r="M492" s="100" t="str">
        <f t="shared" si="50"/>
        <v xml:space="preserve"> </v>
      </c>
      <c r="N492" s="100" t="str">
        <f>IFERROR(VLOOKUP(Tablo517[[#This Row],[ÜRÜN KODU]],YMKODLARI!$A$1:$K$363,8,0)," ")</f>
        <v xml:space="preserve"> </v>
      </c>
      <c r="O492" s="100" t="str">
        <f>IFERROR(VLOOKUP(Tablo517[[#This Row],[HAMMADDE KODU]],Tablo1[#All],3,0)," ")</f>
        <v xml:space="preserve"> </v>
      </c>
      <c r="P492" s="100" t="str">
        <f>IFERROR(VLOOKUP(Tablo517[[#This Row],[HAMMADDE KODU]],Tablo1[#All],4,0)," ")</f>
        <v xml:space="preserve"> </v>
      </c>
      <c r="Q492" s="100" t="str">
        <f>IFERROR(VLOOKUP(Tablo517[[#This Row],[ÜRÜN KODU]],YMKODLARI!$A$1:$K$363,5,0)," ")</f>
        <v xml:space="preserve"> </v>
      </c>
      <c r="R492" s="100" t="str">
        <f>IFERROR(VLOOKUP(Tablo517[[#This Row],[ÜRÜN KODU]],YMKODLARI!$A$1:$K$363,6,0)," ")</f>
        <v xml:space="preserve"> </v>
      </c>
      <c r="S492" s="100" t="str">
        <f>IFERROR(Tablo517[[#This Row],[YOLLUK HARİÇ BASKI GRAMI]]/Tablo517[[#This Row],[KALIP GÖZ ADEDİ]]," ")</f>
        <v xml:space="preserve"> </v>
      </c>
      <c r="T492" s="100" t="str">
        <f t="shared" si="52"/>
        <v xml:space="preserve"> </v>
      </c>
      <c r="U492" s="100"/>
      <c r="V492" s="100" t="str">
        <f t="shared" si="51"/>
        <v xml:space="preserve"> </v>
      </c>
      <c r="W492" s="101">
        <f t="shared" si="53"/>
        <v>24</v>
      </c>
      <c r="X492" s="102">
        <f t="shared" si="54"/>
        <v>0</v>
      </c>
      <c r="Y492" s="100" t="str">
        <f t="shared" si="55"/>
        <v xml:space="preserve"> </v>
      </c>
      <c r="Z492" s="100" t="str">
        <f t="shared" si="56"/>
        <v xml:space="preserve"> </v>
      </c>
    </row>
    <row r="493" spans="1:26">
      <c r="A493" s="100"/>
      <c r="B493" s="108" t="str">
        <f>IFERROR(VLOOKUP(Tablo517[[#This Row],[ÜRÜN KODU]],YMKODLARI!$A$1:$K$363,2,0)," ")</f>
        <v xml:space="preserve"> </v>
      </c>
      <c r="C493" s="99"/>
      <c r="D493" s="100"/>
      <c r="E493" s="101"/>
      <c r="F493" s="101"/>
      <c r="G493" s="100" t="str">
        <f>IFERROR(VLOOKUP(Tablo517[[#This Row],[ÜRÜN KODU]],YMKODLARI!$A$1:$K$363,3,0)," ")</f>
        <v xml:space="preserve"> </v>
      </c>
      <c r="H493" s="100" t="str">
        <f>IFERROR(VLOOKUP(Tablo517[[#This Row],[ÜRÜN KODU]],YMKODLARI!$A$1:$K$363,4,0)," ")</f>
        <v xml:space="preserve"> </v>
      </c>
      <c r="I493" s="100"/>
      <c r="J493" s="100" t="str">
        <f>IFERROR(VLOOKUP(Tablo517[[#This Row],[ÜRÜN KODU]],YMKODLARI!$A$1:$K$363,9,0)," ")</f>
        <v xml:space="preserve"> </v>
      </c>
      <c r="K493" s="100" t="str">
        <f>IFERROR(VLOOKUP(Tablo517[[#This Row],[BOYA KODU]],Tablo14[#All],4,0)," ")</f>
        <v xml:space="preserve"> </v>
      </c>
      <c r="L493" s="100" t="str">
        <f>IFERROR(VLOOKUP(Tablo517[[#This Row],[BOYA KODU]],Tablo14[#All],6,0)," ")</f>
        <v xml:space="preserve"> </v>
      </c>
      <c r="M493" s="100" t="str">
        <f t="shared" si="50"/>
        <v xml:space="preserve"> </v>
      </c>
      <c r="N493" s="100" t="str">
        <f>IFERROR(VLOOKUP(Tablo517[[#This Row],[ÜRÜN KODU]],YMKODLARI!$A$1:$K$363,8,0)," ")</f>
        <v xml:space="preserve"> </v>
      </c>
      <c r="O493" s="100" t="str">
        <f>IFERROR(VLOOKUP(Tablo517[[#This Row],[HAMMADDE KODU]],Tablo1[#All],3,0)," ")</f>
        <v xml:space="preserve"> </v>
      </c>
      <c r="P493" s="100" t="str">
        <f>IFERROR(VLOOKUP(Tablo517[[#This Row],[HAMMADDE KODU]],Tablo1[#All],4,0)," ")</f>
        <v xml:space="preserve"> </v>
      </c>
      <c r="Q493" s="100" t="str">
        <f>IFERROR(VLOOKUP(Tablo517[[#This Row],[ÜRÜN KODU]],YMKODLARI!$A$1:$K$363,5,0)," ")</f>
        <v xml:space="preserve"> </v>
      </c>
      <c r="R493" s="100" t="str">
        <f>IFERROR(VLOOKUP(Tablo517[[#This Row],[ÜRÜN KODU]],YMKODLARI!$A$1:$K$363,6,0)," ")</f>
        <v xml:space="preserve"> </v>
      </c>
      <c r="S493" s="100" t="str">
        <f>IFERROR(Tablo517[[#This Row],[YOLLUK HARİÇ BASKI GRAMI]]/Tablo517[[#This Row],[KALIP GÖZ ADEDİ]]," ")</f>
        <v xml:space="preserve"> </v>
      </c>
      <c r="T493" s="100" t="str">
        <f t="shared" si="52"/>
        <v xml:space="preserve"> </v>
      </c>
      <c r="U493" s="100"/>
      <c r="V493" s="100" t="str">
        <f t="shared" si="51"/>
        <v xml:space="preserve"> </v>
      </c>
      <c r="W493" s="101">
        <f t="shared" si="53"/>
        <v>24</v>
      </c>
      <c r="X493" s="102">
        <f t="shared" si="54"/>
        <v>0</v>
      </c>
      <c r="Y493" s="100" t="str">
        <f t="shared" si="55"/>
        <v xml:space="preserve"> </v>
      </c>
      <c r="Z493" s="100" t="str">
        <f t="shared" si="56"/>
        <v xml:space="preserve"> </v>
      </c>
    </row>
    <row r="494" spans="1:26">
      <c r="A494" s="100"/>
      <c r="B494" s="108" t="str">
        <f>IFERROR(VLOOKUP(Tablo517[[#This Row],[ÜRÜN KODU]],YMKODLARI!$A$1:$K$363,2,0)," ")</f>
        <v xml:space="preserve"> </v>
      </c>
      <c r="C494" s="99"/>
      <c r="D494" s="100"/>
      <c r="E494" s="101"/>
      <c r="F494" s="101"/>
      <c r="G494" s="100" t="str">
        <f>IFERROR(VLOOKUP(Tablo517[[#This Row],[ÜRÜN KODU]],YMKODLARI!$A$1:$K$363,3,0)," ")</f>
        <v xml:space="preserve"> </v>
      </c>
      <c r="H494" s="100" t="str">
        <f>IFERROR(VLOOKUP(Tablo517[[#This Row],[ÜRÜN KODU]],YMKODLARI!$A$1:$K$363,4,0)," ")</f>
        <v xml:space="preserve"> </v>
      </c>
      <c r="I494" s="100"/>
      <c r="J494" s="100" t="str">
        <f>IFERROR(VLOOKUP(Tablo517[[#This Row],[ÜRÜN KODU]],YMKODLARI!$A$1:$K$363,9,0)," ")</f>
        <v xml:space="preserve"> </v>
      </c>
      <c r="K494" s="100" t="str">
        <f>IFERROR(VLOOKUP(Tablo517[[#This Row],[BOYA KODU]],Tablo14[#All],4,0)," ")</f>
        <v xml:space="preserve"> </v>
      </c>
      <c r="L494" s="100" t="str">
        <f>IFERROR(VLOOKUP(Tablo517[[#This Row],[BOYA KODU]],Tablo14[#All],6,0)," ")</f>
        <v xml:space="preserve"> </v>
      </c>
      <c r="M494" s="100" t="str">
        <f t="shared" si="50"/>
        <v xml:space="preserve"> </v>
      </c>
      <c r="N494" s="100" t="str">
        <f>IFERROR(VLOOKUP(Tablo517[[#This Row],[ÜRÜN KODU]],YMKODLARI!$A$1:$K$363,8,0)," ")</f>
        <v xml:space="preserve"> </v>
      </c>
      <c r="O494" s="100" t="str">
        <f>IFERROR(VLOOKUP(Tablo517[[#This Row],[HAMMADDE KODU]],Tablo1[#All],3,0)," ")</f>
        <v xml:space="preserve"> </v>
      </c>
      <c r="P494" s="100" t="str">
        <f>IFERROR(VLOOKUP(Tablo517[[#This Row],[HAMMADDE KODU]],Tablo1[#All],4,0)," ")</f>
        <v xml:space="preserve"> </v>
      </c>
      <c r="Q494" s="100" t="str">
        <f>IFERROR(VLOOKUP(Tablo517[[#This Row],[ÜRÜN KODU]],YMKODLARI!$A$1:$K$363,5,0)," ")</f>
        <v xml:space="preserve"> </v>
      </c>
      <c r="R494" s="100" t="str">
        <f>IFERROR(VLOOKUP(Tablo517[[#This Row],[ÜRÜN KODU]],YMKODLARI!$A$1:$K$363,6,0)," ")</f>
        <v xml:space="preserve"> </v>
      </c>
      <c r="S494" s="100" t="str">
        <f>IFERROR(Tablo517[[#This Row],[YOLLUK HARİÇ BASKI GRAMI]]/Tablo517[[#This Row],[KALIP GÖZ ADEDİ]]," ")</f>
        <v xml:space="preserve"> </v>
      </c>
      <c r="T494" s="100" t="str">
        <f t="shared" si="52"/>
        <v xml:space="preserve"> </v>
      </c>
      <c r="U494" s="100"/>
      <c r="V494" s="100" t="str">
        <f t="shared" si="51"/>
        <v xml:space="preserve"> </v>
      </c>
      <c r="W494" s="101">
        <f t="shared" si="53"/>
        <v>24</v>
      </c>
      <c r="X494" s="102">
        <f t="shared" si="54"/>
        <v>0</v>
      </c>
      <c r="Y494" s="100" t="str">
        <f t="shared" si="55"/>
        <v xml:space="preserve"> </v>
      </c>
      <c r="Z494" s="100" t="str">
        <f t="shared" si="56"/>
        <v xml:space="preserve"> </v>
      </c>
    </row>
    <row r="495" spans="1:26">
      <c r="A495" s="100"/>
      <c r="B495" s="108" t="str">
        <f>IFERROR(VLOOKUP(Tablo517[[#This Row],[ÜRÜN KODU]],YMKODLARI!$A$1:$K$363,2,0)," ")</f>
        <v xml:space="preserve"> </v>
      </c>
      <c r="C495" s="99"/>
      <c r="D495" s="100"/>
      <c r="E495" s="101"/>
      <c r="F495" s="101"/>
      <c r="G495" s="100" t="str">
        <f>IFERROR(VLOOKUP(Tablo517[[#This Row],[ÜRÜN KODU]],YMKODLARI!$A$1:$K$363,3,0)," ")</f>
        <v xml:space="preserve"> </v>
      </c>
      <c r="H495" s="100" t="str">
        <f>IFERROR(VLOOKUP(Tablo517[[#This Row],[ÜRÜN KODU]],YMKODLARI!$A$1:$K$363,4,0)," ")</f>
        <v xml:space="preserve"> </v>
      </c>
      <c r="I495" s="100"/>
      <c r="J495" s="100" t="str">
        <f>IFERROR(VLOOKUP(Tablo517[[#This Row],[ÜRÜN KODU]],YMKODLARI!$A$1:$K$363,9,0)," ")</f>
        <v xml:space="preserve"> </v>
      </c>
      <c r="K495" s="100" t="str">
        <f>IFERROR(VLOOKUP(Tablo517[[#This Row],[BOYA KODU]],Tablo14[#All],4,0)," ")</f>
        <v xml:space="preserve"> </v>
      </c>
      <c r="L495" s="100" t="str">
        <f>IFERROR(VLOOKUP(Tablo517[[#This Row],[BOYA KODU]],Tablo14[#All],6,0)," ")</f>
        <v xml:space="preserve"> </v>
      </c>
      <c r="M495" s="100" t="str">
        <f t="shared" si="50"/>
        <v xml:space="preserve"> </v>
      </c>
      <c r="N495" s="100" t="str">
        <f>IFERROR(VLOOKUP(Tablo517[[#This Row],[ÜRÜN KODU]],YMKODLARI!$A$1:$K$363,8,0)," ")</f>
        <v xml:space="preserve"> </v>
      </c>
      <c r="O495" s="100" t="str">
        <f>IFERROR(VLOOKUP(Tablo517[[#This Row],[HAMMADDE KODU]],Tablo1[#All],3,0)," ")</f>
        <v xml:space="preserve"> </v>
      </c>
      <c r="P495" s="100" t="str">
        <f>IFERROR(VLOOKUP(Tablo517[[#This Row],[HAMMADDE KODU]],Tablo1[#All],4,0)," ")</f>
        <v xml:space="preserve"> </v>
      </c>
      <c r="Q495" s="100" t="str">
        <f>IFERROR(VLOOKUP(Tablo517[[#This Row],[ÜRÜN KODU]],YMKODLARI!$A$1:$K$363,5,0)," ")</f>
        <v xml:space="preserve"> </v>
      </c>
      <c r="R495" s="100" t="str">
        <f>IFERROR(VLOOKUP(Tablo517[[#This Row],[ÜRÜN KODU]],YMKODLARI!$A$1:$K$363,6,0)," ")</f>
        <v xml:space="preserve"> </v>
      </c>
      <c r="S495" s="100" t="str">
        <f>IFERROR(Tablo517[[#This Row],[YOLLUK HARİÇ BASKI GRAMI]]/Tablo517[[#This Row],[KALIP GÖZ ADEDİ]]," ")</f>
        <v xml:space="preserve"> </v>
      </c>
      <c r="T495" s="100" t="str">
        <f t="shared" si="52"/>
        <v xml:space="preserve"> </v>
      </c>
      <c r="U495" s="100"/>
      <c r="V495" s="100" t="str">
        <f t="shared" si="51"/>
        <v xml:space="preserve"> </v>
      </c>
      <c r="W495" s="101">
        <f t="shared" si="53"/>
        <v>24</v>
      </c>
      <c r="X495" s="102">
        <f t="shared" si="54"/>
        <v>0</v>
      </c>
      <c r="Y495" s="100" t="str">
        <f t="shared" si="55"/>
        <v xml:space="preserve"> </v>
      </c>
      <c r="Z495" s="100" t="str">
        <f t="shared" si="56"/>
        <v xml:space="preserve"> </v>
      </c>
    </row>
    <row r="496" spans="1:26">
      <c r="A496" s="100"/>
      <c r="B496" s="108" t="str">
        <f>IFERROR(VLOOKUP(Tablo517[[#This Row],[ÜRÜN KODU]],YMKODLARI!$A$1:$K$363,2,0)," ")</f>
        <v xml:space="preserve"> </v>
      </c>
      <c r="C496" s="99"/>
      <c r="D496" s="100"/>
      <c r="E496" s="101"/>
      <c r="F496" s="101"/>
      <c r="G496" s="100" t="str">
        <f>IFERROR(VLOOKUP(Tablo517[[#This Row],[ÜRÜN KODU]],YMKODLARI!$A$1:$K$363,3,0)," ")</f>
        <v xml:space="preserve"> </v>
      </c>
      <c r="H496" s="100" t="str">
        <f>IFERROR(VLOOKUP(Tablo517[[#This Row],[ÜRÜN KODU]],YMKODLARI!$A$1:$K$363,4,0)," ")</f>
        <v xml:space="preserve"> </v>
      </c>
      <c r="I496" s="100"/>
      <c r="J496" s="100" t="str">
        <f>IFERROR(VLOOKUP(Tablo517[[#This Row],[ÜRÜN KODU]],YMKODLARI!$A$1:$K$363,9,0)," ")</f>
        <v xml:space="preserve"> </v>
      </c>
      <c r="K496" s="100" t="str">
        <f>IFERROR(VLOOKUP(Tablo517[[#This Row],[BOYA KODU]],Tablo14[#All],4,0)," ")</f>
        <v xml:space="preserve"> </v>
      </c>
      <c r="L496" s="100" t="str">
        <f>IFERROR(VLOOKUP(Tablo517[[#This Row],[BOYA KODU]],Tablo14[#All],6,0)," ")</f>
        <v xml:space="preserve"> </v>
      </c>
      <c r="M496" s="100" t="str">
        <f t="shared" si="50"/>
        <v xml:space="preserve"> </v>
      </c>
      <c r="N496" s="100" t="str">
        <f>IFERROR(VLOOKUP(Tablo517[[#This Row],[ÜRÜN KODU]],YMKODLARI!$A$1:$K$363,8,0)," ")</f>
        <v xml:space="preserve"> </v>
      </c>
      <c r="O496" s="100" t="str">
        <f>IFERROR(VLOOKUP(Tablo517[[#This Row],[HAMMADDE KODU]],Tablo1[#All],3,0)," ")</f>
        <v xml:space="preserve"> </v>
      </c>
      <c r="P496" s="100" t="str">
        <f>IFERROR(VLOOKUP(Tablo517[[#This Row],[HAMMADDE KODU]],Tablo1[#All],4,0)," ")</f>
        <v xml:space="preserve"> </v>
      </c>
      <c r="Q496" s="100" t="str">
        <f>IFERROR(VLOOKUP(Tablo517[[#This Row],[ÜRÜN KODU]],YMKODLARI!$A$1:$K$363,5,0)," ")</f>
        <v xml:space="preserve"> </v>
      </c>
      <c r="R496" s="100" t="str">
        <f>IFERROR(VLOOKUP(Tablo517[[#This Row],[ÜRÜN KODU]],YMKODLARI!$A$1:$K$363,6,0)," ")</f>
        <v xml:space="preserve"> </v>
      </c>
      <c r="S496" s="100" t="str">
        <f>IFERROR(Tablo517[[#This Row],[YOLLUK HARİÇ BASKI GRAMI]]/Tablo517[[#This Row],[KALIP GÖZ ADEDİ]]," ")</f>
        <v xml:space="preserve"> </v>
      </c>
      <c r="T496" s="100" t="str">
        <f t="shared" si="52"/>
        <v xml:space="preserve"> </v>
      </c>
      <c r="U496" s="100"/>
      <c r="V496" s="100" t="str">
        <f t="shared" si="51"/>
        <v xml:space="preserve"> </v>
      </c>
      <c r="W496" s="101">
        <f t="shared" si="53"/>
        <v>24</v>
      </c>
      <c r="X496" s="102">
        <f t="shared" si="54"/>
        <v>0</v>
      </c>
      <c r="Y496" s="100" t="str">
        <f t="shared" si="55"/>
        <v xml:space="preserve"> </v>
      </c>
      <c r="Z496" s="100" t="str">
        <f t="shared" si="56"/>
        <v xml:space="preserve"> </v>
      </c>
    </row>
    <row r="497" spans="1:26">
      <c r="A497" s="100"/>
      <c r="B497" s="108" t="str">
        <f>IFERROR(VLOOKUP(Tablo517[[#This Row],[ÜRÜN KODU]],YMKODLARI!$A$1:$K$363,2,0)," ")</f>
        <v xml:space="preserve"> </v>
      </c>
      <c r="C497" s="99"/>
      <c r="D497" s="100"/>
      <c r="E497" s="101"/>
      <c r="F497" s="101"/>
      <c r="G497" s="100" t="str">
        <f>IFERROR(VLOOKUP(Tablo517[[#This Row],[ÜRÜN KODU]],YMKODLARI!$A$1:$K$363,3,0)," ")</f>
        <v xml:space="preserve"> </v>
      </c>
      <c r="H497" s="100" t="str">
        <f>IFERROR(VLOOKUP(Tablo517[[#This Row],[ÜRÜN KODU]],YMKODLARI!$A$1:$K$363,4,0)," ")</f>
        <v xml:space="preserve"> </v>
      </c>
      <c r="I497" s="100"/>
      <c r="J497" s="100" t="str">
        <f>IFERROR(VLOOKUP(Tablo517[[#This Row],[ÜRÜN KODU]],YMKODLARI!$A$1:$K$363,9,0)," ")</f>
        <v xml:space="preserve"> </v>
      </c>
      <c r="K497" s="100" t="str">
        <f>IFERROR(VLOOKUP(Tablo517[[#This Row],[BOYA KODU]],Tablo14[#All],4,0)," ")</f>
        <v xml:space="preserve"> </v>
      </c>
      <c r="L497" s="100" t="str">
        <f>IFERROR(VLOOKUP(Tablo517[[#This Row],[BOYA KODU]],Tablo14[#All],6,0)," ")</f>
        <v xml:space="preserve"> </v>
      </c>
      <c r="M497" s="100" t="str">
        <f t="shared" si="50"/>
        <v xml:space="preserve"> </v>
      </c>
      <c r="N497" s="100" t="str">
        <f>IFERROR(VLOOKUP(Tablo517[[#This Row],[ÜRÜN KODU]],YMKODLARI!$A$1:$K$363,8,0)," ")</f>
        <v xml:space="preserve"> </v>
      </c>
      <c r="O497" s="100" t="str">
        <f>IFERROR(VLOOKUP(Tablo517[[#This Row],[HAMMADDE KODU]],Tablo1[#All],3,0)," ")</f>
        <v xml:space="preserve"> </v>
      </c>
      <c r="P497" s="100" t="str">
        <f>IFERROR(VLOOKUP(Tablo517[[#This Row],[HAMMADDE KODU]],Tablo1[#All],4,0)," ")</f>
        <v xml:space="preserve"> </v>
      </c>
      <c r="Q497" s="100" t="str">
        <f>IFERROR(VLOOKUP(Tablo517[[#This Row],[ÜRÜN KODU]],YMKODLARI!$A$1:$K$363,5,0)," ")</f>
        <v xml:space="preserve"> </v>
      </c>
      <c r="R497" s="100" t="str">
        <f>IFERROR(VLOOKUP(Tablo517[[#This Row],[ÜRÜN KODU]],YMKODLARI!$A$1:$K$363,6,0)," ")</f>
        <v xml:space="preserve"> </v>
      </c>
      <c r="S497" s="100" t="str">
        <f>IFERROR(Tablo517[[#This Row],[YOLLUK HARİÇ BASKI GRAMI]]/Tablo517[[#This Row],[KALIP GÖZ ADEDİ]]," ")</f>
        <v xml:space="preserve"> </v>
      </c>
      <c r="T497" s="100" t="str">
        <f t="shared" si="52"/>
        <v xml:space="preserve"> </v>
      </c>
      <c r="U497" s="100"/>
      <c r="V497" s="100" t="str">
        <f t="shared" si="51"/>
        <v xml:space="preserve"> </v>
      </c>
      <c r="W497" s="101">
        <f t="shared" si="53"/>
        <v>24</v>
      </c>
      <c r="X497" s="102">
        <f t="shared" si="54"/>
        <v>0</v>
      </c>
      <c r="Y497" s="100" t="str">
        <f t="shared" si="55"/>
        <v xml:space="preserve"> </v>
      </c>
      <c r="Z497" s="100" t="str">
        <f t="shared" si="56"/>
        <v xml:space="preserve"> </v>
      </c>
    </row>
    <row r="498" spans="1:26">
      <c r="A498" s="100"/>
      <c r="B498" s="108" t="str">
        <f>IFERROR(VLOOKUP(Tablo517[[#This Row],[ÜRÜN KODU]],YMKODLARI!$A$1:$K$363,2,0)," ")</f>
        <v xml:space="preserve"> </v>
      </c>
      <c r="C498" s="99"/>
      <c r="D498" s="100"/>
      <c r="E498" s="101"/>
      <c r="F498" s="101"/>
      <c r="G498" s="100" t="str">
        <f>IFERROR(VLOOKUP(Tablo517[[#This Row],[ÜRÜN KODU]],YMKODLARI!$A$1:$K$363,3,0)," ")</f>
        <v xml:space="preserve"> </v>
      </c>
      <c r="H498" s="100" t="str">
        <f>IFERROR(VLOOKUP(Tablo517[[#This Row],[ÜRÜN KODU]],YMKODLARI!$A$1:$K$363,4,0)," ")</f>
        <v xml:space="preserve"> </v>
      </c>
      <c r="I498" s="100"/>
      <c r="J498" s="100" t="str">
        <f>IFERROR(VLOOKUP(Tablo517[[#This Row],[ÜRÜN KODU]],YMKODLARI!$A$1:$K$363,9,0)," ")</f>
        <v xml:space="preserve"> </v>
      </c>
      <c r="K498" s="100" t="str">
        <f>IFERROR(VLOOKUP(Tablo517[[#This Row],[BOYA KODU]],Tablo14[#All],4,0)," ")</f>
        <v xml:space="preserve"> </v>
      </c>
      <c r="L498" s="100" t="str">
        <f>IFERROR(VLOOKUP(Tablo517[[#This Row],[BOYA KODU]],Tablo14[#All],6,0)," ")</f>
        <v xml:space="preserve"> </v>
      </c>
      <c r="M498" s="100" t="str">
        <f t="shared" si="50"/>
        <v xml:space="preserve"> </v>
      </c>
      <c r="N498" s="100" t="str">
        <f>IFERROR(VLOOKUP(Tablo517[[#This Row],[ÜRÜN KODU]],YMKODLARI!$A$1:$K$363,8,0)," ")</f>
        <v xml:space="preserve"> </v>
      </c>
      <c r="O498" s="100" t="str">
        <f>IFERROR(VLOOKUP(Tablo517[[#This Row],[HAMMADDE KODU]],Tablo1[#All],3,0)," ")</f>
        <v xml:space="preserve"> </v>
      </c>
      <c r="P498" s="100" t="str">
        <f>IFERROR(VLOOKUP(Tablo517[[#This Row],[HAMMADDE KODU]],Tablo1[#All],4,0)," ")</f>
        <v xml:space="preserve"> </v>
      </c>
      <c r="Q498" s="100" t="str">
        <f>IFERROR(VLOOKUP(Tablo517[[#This Row],[ÜRÜN KODU]],YMKODLARI!$A$1:$K$363,5,0)," ")</f>
        <v xml:space="preserve"> </v>
      </c>
      <c r="R498" s="100" t="str">
        <f>IFERROR(VLOOKUP(Tablo517[[#This Row],[ÜRÜN KODU]],YMKODLARI!$A$1:$K$363,6,0)," ")</f>
        <v xml:space="preserve"> </v>
      </c>
      <c r="S498" s="100" t="str">
        <f>IFERROR(Tablo517[[#This Row],[YOLLUK HARİÇ BASKI GRAMI]]/Tablo517[[#This Row],[KALIP GÖZ ADEDİ]]," ")</f>
        <v xml:space="preserve"> </v>
      </c>
      <c r="T498" s="100" t="str">
        <f t="shared" si="52"/>
        <v xml:space="preserve"> </v>
      </c>
      <c r="U498" s="100"/>
      <c r="V498" s="100" t="str">
        <f t="shared" si="51"/>
        <v xml:space="preserve"> </v>
      </c>
      <c r="W498" s="101">
        <f t="shared" si="53"/>
        <v>24</v>
      </c>
      <c r="X498" s="102">
        <f t="shared" si="54"/>
        <v>0</v>
      </c>
      <c r="Y498" s="100" t="str">
        <f t="shared" si="55"/>
        <v xml:space="preserve"> </v>
      </c>
      <c r="Z498" s="100" t="str">
        <f t="shared" si="56"/>
        <v xml:space="preserve"> </v>
      </c>
    </row>
    <row r="499" spans="1:26">
      <c r="A499" s="100"/>
      <c r="B499" s="108" t="str">
        <f>IFERROR(VLOOKUP(Tablo517[[#This Row],[ÜRÜN KODU]],YMKODLARI!$A$1:$K$363,2,0)," ")</f>
        <v xml:space="preserve"> </v>
      </c>
      <c r="C499" s="99"/>
      <c r="D499" s="100"/>
      <c r="E499" s="101"/>
      <c r="F499" s="101"/>
      <c r="G499" s="100" t="str">
        <f>IFERROR(VLOOKUP(Tablo517[[#This Row],[ÜRÜN KODU]],YMKODLARI!$A$1:$K$363,3,0)," ")</f>
        <v xml:space="preserve"> </v>
      </c>
      <c r="H499" s="100" t="str">
        <f>IFERROR(VLOOKUP(Tablo517[[#This Row],[ÜRÜN KODU]],YMKODLARI!$A$1:$K$363,4,0)," ")</f>
        <v xml:space="preserve"> </v>
      </c>
      <c r="I499" s="100"/>
      <c r="J499" s="100" t="str">
        <f>IFERROR(VLOOKUP(Tablo517[[#This Row],[ÜRÜN KODU]],YMKODLARI!$A$1:$K$363,9,0)," ")</f>
        <v xml:space="preserve"> </v>
      </c>
      <c r="K499" s="100" t="str">
        <f>IFERROR(VLOOKUP(Tablo517[[#This Row],[BOYA KODU]],Tablo14[#All],4,0)," ")</f>
        <v xml:space="preserve"> </v>
      </c>
      <c r="L499" s="100" t="str">
        <f>IFERROR(VLOOKUP(Tablo517[[#This Row],[BOYA KODU]],Tablo14[#All],6,0)," ")</f>
        <v xml:space="preserve"> </v>
      </c>
      <c r="M499" s="100" t="str">
        <f t="shared" si="50"/>
        <v xml:space="preserve"> </v>
      </c>
      <c r="N499" s="100" t="str">
        <f>IFERROR(VLOOKUP(Tablo517[[#This Row],[ÜRÜN KODU]],YMKODLARI!$A$1:$K$363,8,0)," ")</f>
        <v xml:space="preserve"> </v>
      </c>
      <c r="O499" s="100" t="str">
        <f>IFERROR(VLOOKUP(Tablo517[[#This Row],[HAMMADDE KODU]],Tablo1[#All],3,0)," ")</f>
        <v xml:space="preserve"> </v>
      </c>
      <c r="P499" s="100" t="str">
        <f>IFERROR(VLOOKUP(Tablo517[[#This Row],[HAMMADDE KODU]],Tablo1[#All],4,0)," ")</f>
        <v xml:space="preserve"> </v>
      </c>
      <c r="Q499" s="100" t="str">
        <f>IFERROR(VLOOKUP(Tablo517[[#This Row],[ÜRÜN KODU]],YMKODLARI!$A$1:$K$363,5,0)," ")</f>
        <v xml:space="preserve"> </v>
      </c>
      <c r="R499" s="100" t="str">
        <f>IFERROR(VLOOKUP(Tablo517[[#This Row],[ÜRÜN KODU]],YMKODLARI!$A$1:$K$363,6,0)," ")</f>
        <v xml:space="preserve"> </v>
      </c>
      <c r="S499" s="100" t="str">
        <f>IFERROR(Tablo517[[#This Row],[YOLLUK HARİÇ BASKI GRAMI]]/Tablo517[[#This Row],[KALIP GÖZ ADEDİ]]," ")</f>
        <v xml:space="preserve"> </v>
      </c>
      <c r="T499" s="100" t="str">
        <f t="shared" si="52"/>
        <v xml:space="preserve"> </v>
      </c>
      <c r="U499" s="100"/>
      <c r="V499" s="100" t="str">
        <f t="shared" si="51"/>
        <v xml:space="preserve"> </v>
      </c>
      <c r="W499" s="101">
        <f t="shared" si="53"/>
        <v>24</v>
      </c>
      <c r="X499" s="102">
        <f t="shared" si="54"/>
        <v>0</v>
      </c>
      <c r="Y499" s="100" t="str">
        <f t="shared" si="55"/>
        <v xml:space="preserve"> </v>
      </c>
      <c r="Z499" s="100" t="str">
        <f t="shared" si="56"/>
        <v xml:space="preserve"> </v>
      </c>
    </row>
    <row r="500" spans="1:26">
      <c r="A500" s="100"/>
      <c r="B500" s="108" t="str">
        <f>IFERROR(VLOOKUP(Tablo517[[#This Row],[ÜRÜN KODU]],YMKODLARI!$A$1:$K$363,2,0)," ")</f>
        <v xml:space="preserve"> </v>
      </c>
      <c r="C500" s="99"/>
      <c r="D500" s="100"/>
      <c r="E500" s="101"/>
      <c r="F500" s="101"/>
      <c r="G500" s="100" t="str">
        <f>IFERROR(VLOOKUP(Tablo517[[#This Row],[ÜRÜN KODU]],YMKODLARI!$A$1:$K$363,3,0)," ")</f>
        <v xml:space="preserve"> </v>
      </c>
      <c r="H500" s="100" t="str">
        <f>IFERROR(VLOOKUP(Tablo517[[#This Row],[ÜRÜN KODU]],YMKODLARI!$A$1:$K$363,4,0)," ")</f>
        <v xml:space="preserve"> </v>
      </c>
      <c r="I500" s="100"/>
      <c r="J500" s="100" t="str">
        <f>IFERROR(VLOOKUP(Tablo517[[#This Row],[ÜRÜN KODU]],YMKODLARI!$A$1:$K$363,9,0)," ")</f>
        <v xml:space="preserve"> </v>
      </c>
      <c r="K500" s="100" t="str">
        <f>IFERROR(VLOOKUP(Tablo517[[#This Row],[BOYA KODU]],Tablo14[#All],4,0)," ")</f>
        <v xml:space="preserve"> </v>
      </c>
      <c r="L500" s="100" t="str">
        <f>IFERROR(VLOOKUP(Tablo517[[#This Row],[BOYA KODU]],Tablo14[#All],6,0)," ")</f>
        <v xml:space="preserve"> </v>
      </c>
      <c r="M500" s="100" t="str">
        <f t="shared" si="50"/>
        <v xml:space="preserve"> </v>
      </c>
      <c r="N500" s="100" t="str">
        <f>IFERROR(VLOOKUP(Tablo517[[#This Row],[ÜRÜN KODU]],YMKODLARI!$A$1:$K$363,8,0)," ")</f>
        <v xml:space="preserve"> </v>
      </c>
      <c r="O500" s="100" t="str">
        <f>IFERROR(VLOOKUP(Tablo517[[#This Row],[HAMMADDE KODU]],Tablo1[#All],3,0)," ")</f>
        <v xml:space="preserve"> </v>
      </c>
      <c r="P500" s="100" t="str">
        <f>IFERROR(VLOOKUP(Tablo517[[#This Row],[HAMMADDE KODU]],Tablo1[#All],4,0)," ")</f>
        <v xml:space="preserve"> </v>
      </c>
      <c r="Q500" s="100" t="str">
        <f>IFERROR(VLOOKUP(Tablo517[[#This Row],[ÜRÜN KODU]],YMKODLARI!$A$1:$K$363,5,0)," ")</f>
        <v xml:space="preserve"> </v>
      </c>
      <c r="R500" s="100" t="str">
        <f>IFERROR(VLOOKUP(Tablo517[[#This Row],[ÜRÜN KODU]],YMKODLARI!$A$1:$K$363,6,0)," ")</f>
        <v xml:space="preserve"> </v>
      </c>
      <c r="S500" s="100" t="str">
        <f>IFERROR(Tablo517[[#This Row],[YOLLUK HARİÇ BASKI GRAMI]]/Tablo517[[#This Row],[KALIP GÖZ ADEDİ]]," ")</f>
        <v xml:space="preserve"> </v>
      </c>
      <c r="T500" s="100" t="str">
        <f t="shared" si="52"/>
        <v xml:space="preserve"> </v>
      </c>
      <c r="U500" s="100"/>
      <c r="V500" s="100" t="str">
        <f t="shared" si="51"/>
        <v xml:space="preserve"> </v>
      </c>
      <c r="W500" s="101">
        <f t="shared" si="53"/>
        <v>24</v>
      </c>
      <c r="X500" s="102">
        <f t="shared" si="54"/>
        <v>0</v>
      </c>
      <c r="Y500" s="100" t="str">
        <f t="shared" si="55"/>
        <v xml:space="preserve"> </v>
      </c>
      <c r="Z500" s="100" t="str">
        <f t="shared" si="56"/>
        <v xml:space="preserve"> </v>
      </c>
    </row>
    <row r="501" spans="1:26">
      <c r="A501" s="100"/>
      <c r="B501" s="108" t="str">
        <f>IFERROR(VLOOKUP(Tablo517[[#This Row],[ÜRÜN KODU]],YMKODLARI!$A$1:$K$363,2,0)," ")</f>
        <v xml:space="preserve"> </v>
      </c>
      <c r="C501" s="99"/>
      <c r="D501" s="100"/>
      <c r="E501" s="101"/>
      <c r="F501" s="101"/>
      <c r="G501" s="100" t="str">
        <f>IFERROR(VLOOKUP(Tablo517[[#This Row],[ÜRÜN KODU]],YMKODLARI!$A$1:$K$363,3,0)," ")</f>
        <v xml:space="preserve"> </v>
      </c>
      <c r="H501" s="100" t="str">
        <f>IFERROR(VLOOKUP(Tablo517[[#This Row],[ÜRÜN KODU]],YMKODLARI!$A$1:$K$363,4,0)," ")</f>
        <v xml:space="preserve"> </v>
      </c>
      <c r="I501" s="100"/>
      <c r="J501" s="100" t="str">
        <f>IFERROR(VLOOKUP(Tablo517[[#This Row],[ÜRÜN KODU]],YMKODLARI!$A$1:$K$363,9,0)," ")</f>
        <v xml:space="preserve"> </v>
      </c>
      <c r="K501" s="100" t="str">
        <f>IFERROR(VLOOKUP(Tablo517[[#This Row],[BOYA KODU]],Tablo14[#All],4,0)," ")</f>
        <v xml:space="preserve"> </v>
      </c>
      <c r="L501" s="100" t="str">
        <f>IFERROR(VLOOKUP(Tablo517[[#This Row],[BOYA KODU]],Tablo14[#All],6,0)," ")</f>
        <v xml:space="preserve"> </v>
      </c>
      <c r="M501" s="100" t="str">
        <f t="shared" si="50"/>
        <v xml:space="preserve"> </v>
      </c>
      <c r="N501" s="100" t="str">
        <f>IFERROR(VLOOKUP(Tablo517[[#This Row],[ÜRÜN KODU]],YMKODLARI!$A$1:$K$363,8,0)," ")</f>
        <v xml:space="preserve"> </v>
      </c>
      <c r="O501" s="100" t="str">
        <f>IFERROR(VLOOKUP(Tablo517[[#This Row],[HAMMADDE KODU]],Tablo1[#All],3,0)," ")</f>
        <v xml:space="preserve"> </v>
      </c>
      <c r="P501" s="100" t="str">
        <f>IFERROR(VLOOKUP(Tablo517[[#This Row],[HAMMADDE KODU]],Tablo1[#All],4,0)," ")</f>
        <v xml:space="preserve"> </v>
      </c>
      <c r="Q501" s="100" t="str">
        <f>IFERROR(VLOOKUP(Tablo517[[#This Row],[ÜRÜN KODU]],YMKODLARI!$A$1:$K$363,5,0)," ")</f>
        <v xml:space="preserve"> </v>
      </c>
      <c r="R501" s="100" t="str">
        <f>IFERROR(VLOOKUP(Tablo517[[#This Row],[ÜRÜN KODU]],YMKODLARI!$A$1:$K$363,6,0)," ")</f>
        <v xml:space="preserve"> </v>
      </c>
      <c r="S501" s="100" t="str">
        <f>IFERROR(Tablo517[[#This Row],[YOLLUK HARİÇ BASKI GRAMI]]/Tablo517[[#This Row],[KALIP GÖZ ADEDİ]]," ")</f>
        <v xml:space="preserve"> </v>
      </c>
      <c r="T501" s="100" t="str">
        <f t="shared" si="52"/>
        <v xml:space="preserve"> </v>
      </c>
      <c r="U501" s="100"/>
      <c r="V501" s="100" t="str">
        <f t="shared" si="51"/>
        <v xml:space="preserve"> </v>
      </c>
      <c r="W501" s="101">
        <f t="shared" si="53"/>
        <v>24</v>
      </c>
      <c r="X501" s="102">
        <f t="shared" si="54"/>
        <v>0</v>
      </c>
      <c r="Y501" s="100" t="str">
        <f t="shared" si="55"/>
        <v xml:space="preserve"> </v>
      </c>
      <c r="Z501" s="100" t="str">
        <f t="shared" si="56"/>
        <v xml:space="preserve"> </v>
      </c>
    </row>
    <row r="502" spans="1:26">
      <c r="A502" s="100"/>
      <c r="B502" s="108" t="str">
        <f>IFERROR(VLOOKUP(Tablo517[[#This Row],[ÜRÜN KODU]],YMKODLARI!$A$1:$K$363,2,0)," ")</f>
        <v xml:space="preserve"> </v>
      </c>
      <c r="C502" s="99"/>
      <c r="D502" s="100"/>
      <c r="E502" s="101"/>
      <c r="F502" s="101"/>
      <c r="G502" s="100" t="str">
        <f>IFERROR(VLOOKUP(Tablo517[[#This Row],[ÜRÜN KODU]],YMKODLARI!$A$1:$K$363,3,0)," ")</f>
        <v xml:space="preserve"> </v>
      </c>
      <c r="H502" s="100" t="str">
        <f>IFERROR(VLOOKUP(Tablo517[[#This Row],[ÜRÜN KODU]],YMKODLARI!$A$1:$K$363,4,0)," ")</f>
        <v xml:space="preserve"> </v>
      </c>
      <c r="I502" s="100"/>
      <c r="J502" s="100" t="str">
        <f>IFERROR(VLOOKUP(Tablo517[[#This Row],[ÜRÜN KODU]],YMKODLARI!$A$1:$K$363,9,0)," ")</f>
        <v xml:space="preserve"> </v>
      </c>
      <c r="K502" s="100" t="str">
        <f>IFERROR(VLOOKUP(Tablo517[[#This Row],[BOYA KODU]],Tablo14[#All],4,0)," ")</f>
        <v xml:space="preserve"> </v>
      </c>
      <c r="L502" s="100" t="str">
        <f>IFERROR(VLOOKUP(Tablo517[[#This Row],[BOYA KODU]],Tablo14[#All],6,0)," ")</f>
        <v xml:space="preserve"> </v>
      </c>
      <c r="M502" s="100" t="str">
        <f t="shared" si="50"/>
        <v xml:space="preserve"> </v>
      </c>
      <c r="N502" s="100" t="str">
        <f>IFERROR(VLOOKUP(Tablo517[[#This Row],[ÜRÜN KODU]],YMKODLARI!$A$1:$K$363,8,0)," ")</f>
        <v xml:space="preserve"> </v>
      </c>
      <c r="O502" s="100" t="str">
        <f>IFERROR(VLOOKUP(Tablo517[[#This Row],[HAMMADDE KODU]],Tablo1[#All],3,0)," ")</f>
        <v xml:space="preserve"> </v>
      </c>
      <c r="P502" s="100" t="str">
        <f>IFERROR(VLOOKUP(Tablo517[[#This Row],[HAMMADDE KODU]],Tablo1[#All],4,0)," ")</f>
        <v xml:space="preserve"> </v>
      </c>
      <c r="Q502" s="100" t="str">
        <f>IFERROR(VLOOKUP(Tablo517[[#This Row],[ÜRÜN KODU]],YMKODLARI!$A$1:$K$363,5,0)," ")</f>
        <v xml:space="preserve"> </v>
      </c>
      <c r="R502" s="100" t="str">
        <f>IFERROR(VLOOKUP(Tablo517[[#This Row],[ÜRÜN KODU]],YMKODLARI!$A$1:$K$363,6,0)," ")</f>
        <v xml:space="preserve"> </v>
      </c>
      <c r="S502" s="100" t="str">
        <f>IFERROR(Tablo517[[#This Row],[YOLLUK HARİÇ BASKI GRAMI]]/Tablo517[[#This Row],[KALIP GÖZ ADEDİ]]," ")</f>
        <v xml:space="preserve"> </v>
      </c>
      <c r="T502" s="100" t="str">
        <f t="shared" si="52"/>
        <v xml:space="preserve"> </v>
      </c>
      <c r="U502" s="100"/>
      <c r="V502" s="100" t="str">
        <f t="shared" si="51"/>
        <v xml:space="preserve"> </v>
      </c>
      <c r="W502" s="101">
        <f t="shared" si="53"/>
        <v>24</v>
      </c>
      <c r="X502" s="102">
        <f t="shared" si="54"/>
        <v>0</v>
      </c>
      <c r="Y502" s="100" t="str">
        <f t="shared" si="55"/>
        <v xml:space="preserve"> </v>
      </c>
      <c r="Z502" s="100" t="str">
        <f t="shared" si="56"/>
        <v xml:space="preserve"> </v>
      </c>
    </row>
    <row r="503" spans="1:26">
      <c r="A503" s="100"/>
      <c r="B503" s="108" t="str">
        <f>IFERROR(VLOOKUP(Tablo517[[#This Row],[ÜRÜN KODU]],YMKODLARI!$A$1:$K$363,2,0)," ")</f>
        <v xml:space="preserve"> </v>
      </c>
      <c r="C503" s="99"/>
      <c r="D503" s="100"/>
      <c r="E503" s="101"/>
      <c r="F503" s="101"/>
      <c r="G503" s="100" t="str">
        <f>IFERROR(VLOOKUP(Tablo517[[#This Row],[ÜRÜN KODU]],YMKODLARI!$A$1:$K$363,3,0)," ")</f>
        <v xml:space="preserve"> </v>
      </c>
      <c r="H503" s="100" t="str">
        <f>IFERROR(VLOOKUP(Tablo517[[#This Row],[ÜRÜN KODU]],YMKODLARI!$A$1:$K$363,4,0)," ")</f>
        <v xml:space="preserve"> </v>
      </c>
      <c r="I503" s="100"/>
      <c r="J503" s="100" t="str">
        <f>IFERROR(VLOOKUP(Tablo517[[#This Row],[ÜRÜN KODU]],YMKODLARI!$A$1:$K$363,9,0)," ")</f>
        <v xml:space="preserve"> </v>
      </c>
      <c r="K503" s="100" t="str">
        <f>IFERROR(VLOOKUP(Tablo517[[#This Row],[BOYA KODU]],Tablo14[#All],4,0)," ")</f>
        <v xml:space="preserve"> </v>
      </c>
      <c r="L503" s="100" t="str">
        <f>IFERROR(VLOOKUP(Tablo517[[#This Row],[BOYA KODU]],Tablo14[#All],6,0)," ")</f>
        <v xml:space="preserve"> </v>
      </c>
      <c r="M503" s="100" t="str">
        <f t="shared" si="50"/>
        <v xml:space="preserve"> </v>
      </c>
      <c r="N503" s="100" t="str">
        <f>IFERROR(VLOOKUP(Tablo517[[#This Row],[ÜRÜN KODU]],YMKODLARI!$A$1:$K$363,8,0)," ")</f>
        <v xml:space="preserve"> </v>
      </c>
      <c r="O503" s="100" t="str">
        <f>IFERROR(VLOOKUP(Tablo517[[#This Row],[HAMMADDE KODU]],Tablo1[#All],3,0)," ")</f>
        <v xml:space="preserve"> </v>
      </c>
      <c r="P503" s="100" t="str">
        <f>IFERROR(VLOOKUP(Tablo517[[#This Row],[HAMMADDE KODU]],Tablo1[#All],4,0)," ")</f>
        <v xml:space="preserve"> </v>
      </c>
      <c r="Q503" s="100" t="str">
        <f>IFERROR(VLOOKUP(Tablo517[[#This Row],[ÜRÜN KODU]],YMKODLARI!$A$1:$K$363,5,0)," ")</f>
        <v xml:space="preserve"> </v>
      </c>
      <c r="R503" s="100" t="str">
        <f>IFERROR(VLOOKUP(Tablo517[[#This Row],[ÜRÜN KODU]],YMKODLARI!$A$1:$K$363,6,0)," ")</f>
        <v xml:space="preserve"> </v>
      </c>
      <c r="S503" s="100" t="str">
        <f>IFERROR(Tablo517[[#This Row],[YOLLUK HARİÇ BASKI GRAMI]]/Tablo517[[#This Row],[KALIP GÖZ ADEDİ]]," ")</f>
        <v xml:space="preserve"> </v>
      </c>
      <c r="T503" s="100" t="str">
        <f t="shared" si="52"/>
        <v xml:space="preserve"> </v>
      </c>
      <c r="U503" s="100"/>
      <c r="V503" s="100" t="str">
        <f t="shared" si="51"/>
        <v xml:space="preserve"> </v>
      </c>
      <c r="W503" s="101">
        <f t="shared" si="53"/>
        <v>24</v>
      </c>
      <c r="X503" s="102">
        <f t="shared" si="54"/>
        <v>0</v>
      </c>
      <c r="Y503" s="100" t="str">
        <f t="shared" si="55"/>
        <v xml:space="preserve"> </v>
      </c>
      <c r="Z503" s="100" t="str">
        <f t="shared" si="56"/>
        <v xml:space="preserve"> </v>
      </c>
    </row>
    <row r="504" spans="1:26">
      <c r="A504" s="100"/>
      <c r="B504" s="108" t="str">
        <f>IFERROR(VLOOKUP(Tablo517[[#This Row],[ÜRÜN KODU]],YMKODLARI!$A$1:$K$363,2,0)," ")</f>
        <v xml:space="preserve"> </v>
      </c>
      <c r="C504" s="99"/>
      <c r="D504" s="100"/>
      <c r="E504" s="101"/>
      <c r="F504" s="101"/>
      <c r="G504" s="100" t="str">
        <f>IFERROR(VLOOKUP(Tablo517[[#This Row],[ÜRÜN KODU]],YMKODLARI!$A$1:$K$363,3,0)," ")</f>
        <v xml:space="preserve"> </v>
      </c>
      <c r="H504" s="100" t="str">
        <f>IFERROR(VLOOKUP(Tablo517[[#This Row],[ÜRÜN KODU]],YMKODLARI!$A$1:$K$363,4,0)," ")</f>
        <v xml:space="preserve"> </v>
      </c>
      <c r="I504" s="100"/>
      <c r="J504" s="100" t="str">
        <f>IFERROR(VLOOKUP(Tablo517[[#This Row],[ÜRÜN KODU]],YMKODLARI!$A$1:$K$363,9,0)," ")</f>
        <v xml:space="preserve"> </v>
      </c>
      <c r="K504" s="100" t="str">
        <f>IFERROR(VLOOKUP(Tablo517[[#This Row],[BOYA KODU]],Tablo14[#All],4,0)," ")</f>
        <v xml:space="preserve"> </v>
      </c>
      <c r="L504" s="100" t="str">
        <f>IFERROR(VLOOKUP(Tablo517[[#This Row],[BOYA KODU]],Tablo14[#All],6,0)," ")</f>
        <v xml:space="preserve"> </v>
      </c>
      <c r="M504" s="100" t="str">
        <f t="shared" si="50"/>
        <v xml:space="preserve"> </v>
      </c>
      <c r="N504" s="100" t="str">
        <f>IFERROR(VLOOKUP(Tablo517[[#This Row],[ÜRÜN KODU]],YMKODLARI!$A$1:$K$363,8,0)," ")</f>
        <v xml:space="preserve"> </v>
      </c>
      <c r="O504" s="100" t="str">
        <f>IFERROR(VLOOKUP(Tablo517[[#This Row],[HAMMADDE KODU]],Tablo1[#All],3,0)," ")</f>
        <v xml:space="preserve"> </v>
      </c>
      <c r="P504" s="100" t="str">
        <f>IFERROR(VLOOKUP(Tablo517[[#This Row],[HAMMADDE KODU]],Tablo1[#All],4,0)," ")</f>
        <v xml:space="preserve"> </v>
      </c>
      <c r="Q504" s="100" t="str">
        <f>IFERROR(VLOOKUP(Tablo517[[#This Row],[ÜRÜN KODU]],YMKODLARI!$A$1:$K$363,5,0)," ")</f>
        <v xml:space="preserve"> </v>
      </c>
      <c r="R504" s="100" t="str">
        <f>IFERROR(VLOOKUP(Tablo517[[#This Row],[ÜRÜN KODU]],YMKODLARI!$A$1:$K$363,6,0)," ")</f>
        <v xml:space="preserve"> </v>
      </c>
      <c r="S504" s="100" t="str">
        <f>IFERROR(Tablo517[[#This Row],[YOLLUK HARİÇ BASKI GRAMI]]/Tablo517[[#This Row],[KALIP GÖZ ADEDİ]]," ")</f>
        <v xml:space="preserve"> </v>
      </c>
      <c r="T504" s="100" t="str">
        <f t="shared" si="52"/>
        <v xml:space="preserve"> </v>
      </c>
      <c r="U504" s="100"/>
      <c r="V504" s="100" t="str">
        <f t="shared" si="51"/>
        <v xml:space="preserve"> </v>
      </c>
      <c r="W504" s="101">
        <f t="shared" si="53"/>
        <v>24</v>
      </c>
      <c r="X504" s="102">
        <f t="shared" si="54"/>
        <v>0</v>
      </c>
      <c r="Y504" s="100" t="str">
        <f t="shared" si="55"/>
        <v xml:space="preserve"> </v>
      </c>
      <c r="Z504" s="100" t="str">
        <f t="shared" si="56"/>
        <v xml:space="preserve"> </v>
      </c>
    </row>
    <row r="505" spans="1:26">
      <c r="A505" s="100"/>
      <c r="B505" s="108" t="str">
        <f>IFERROR(VLOOKUP(Tablo517[[#This Row],[ÜRÜN KODU]],YMKODLARI!$A$1:$K$363,2,0)," ")</f>
        <v xml:space="preserve"> </v>
      </c>
      <c r="C505" s="99"/>
      <c r="D505" s="100"/>
      <c r="E505" s="101"/>
      <c r="F505" s="101"/>
      <c r="G505" s="100" t="str">
        <f>IFERROR(VLOOKUP(Tablo517[[#This Row],[ÜRÜN KODU]],YMKODLARI!$A$1:$K$363,3,0)," ")</f>
        <v xml:space="preserve"> </v>
      </c>
      <c r="H505" s="100" t="str">
        <f>IFERROR(VLOOKUP(Tablo517[[#This Row],[ÜRÜN KODU]],YMKODLARI!$A$1:$K$363,4,0)," ")</f>
        <v xml:space="preserve"> </v>
      </c>
      <c r="I505" s="100"/>
      <c r="J505" s="100" t="str">
        <f>IFERROR(VLOOKUP(Tablo517[[#This Row],[ÜRÜN KODU]],YMKODLARI!$A$1:$K$363,9,0)," ")</f>
        <v xml:space="preserve"> </v>
      </c>
      <c r="K505" s="100" t="str">
        <f>IFERROR(VLOOKUP(Tablo517[[#This Row],[BOYA KODU]],Tablo14[#All],4,0)," ")</f>
        <v xml:space="preserve"> </v>
      </c>
      <c r="L505" s="100" t="str">
        <f>IFERROR(VLOOKUP(Tablo517[[#This Row],[BOYA KODU]],Tablo14[#All],6,0)," ")</f>
        <v xml:space="preserve"> </v>
      </c>
      <c r="M505" s="100" t="str">
        <f t="shared" si="50"/>
        <v xml:space="preserve"> </v>
      </c>
      <c r="N505" s="100" t="str">
        <f>IFERROR(VLOOKUP(Tablo517[[#This Row],[ÜRÜN KODU]],YMKODLARI!$A$1:$K$363,8,0)," ")</f>
        <v xml:space="preserve"> </v>
      </c>
      <c r="O505" s="100" t="str">
        <f>IFERROR(VLOOKUP(Tablo517[[#This Row],[HAMMADDE KODU]],Tablo1[#All],3,0)," ")</f>
        <v xml:space="preserve"> </v>
      </c>
      <c r="P505" s="100" t="str">
        <f>IFERROR(VLOOKUP(Tablo517[[#This Row],[HAMMADDE KODU]],Tablo1[#All],4,0)," ")</f>
        <v xml:space="preserve"> </v>
      </c>
      <c r="Q505" s="100" t="str">
        <f>IFERROR(VLOOKUP(Tablo517[[#This Row],[ÜRÜN KODU]],YMKODLARI!$A$1:$K$363,5,0)," ")</f>
        <v xml:space="preserve"> </v>
      </c>
      <c r="R505" s="100" t="str">
        <f>IFERROR(VLOOKUP(Tablo517[[#This Row],[ÜRÜN KODU]],YMKODLARI!$A$1:$K$363,6,0)," ")</f>
        <v xml:space="preserve"> </v>
      </c>
      <c r="S505" s="100" t="str">
        <f>IFERROR(Tablo517[[#This Row],[YOLLUK HARİÇ BASKI GRAMI]]/Tablo517[[#This Row],[KALIP GÖZ ADEDİ]]," ")</f>
        <v xml:space="preserve"> </v>
      </c>
      <c r="T505" s="100" t="str">
        <f t="shared" si="52"/>
        <v xml:space="preserve"> </v>
      </c>
      <c r="U505" s="100"/>
      <c r="V505" s="100" t="str">
        <f t="shared" si="51"/>
        <v xml:space="preserve"> </v>
      </c>
      <c r="W505" s="101">
        <f t="shared" si="53"/>
        <v>24</v>
      </c>
      <c r="X505" s="102">
        <f t="shared" si="54"/>
        <v>0</v>
      </c>
      <c r="Y505" s="100" t="str">
        <f t="shared" si="55"/>
        <v xml:space="preserve"> </v>
      </c>
      <c r="Z505" s="100" t="str">
        <f t="shared" si="56"/>
        <v xml:space="preserve"> </v>
      </c>
    </row>
    <row r="506" spans="1:26">
      <c r="A506" s="100"/>
      <c r="B506" s="108" t="str">
        <f>IFERROR(VLOOKUP(Tablo517[[#This Row],[ÜRÜN KODU]],YMKODLARI!$A$1:$K$363,2,0)," ")</f>
        <v xml:space="preserve"> </v>
      </c>
      <c r="C506" s="99"/>
      <c r="D506" s="100"/>
      <c r="E506" s="101"/>
      <c r="F506" s="101"/>
      <c r="G506" s="100" t="str">
        <f>IFERROR(VLOOKUP(Tablo517[[#This Row],[ÜRÜN KODU]],YMKODLARI!$A$1:$K$363,3,0)," ")</f>
        <v xml:space="preserve"> </v>
      </c>
      <c r="H506" s="100" t="str">
        <f>IFERROR(VLOOKUP(Tablo517[[#This Row],[ÜRÜN KODU]],YMKODLARI!$A$1:$K$363,4,0)," ")</f>
        <v xml:space="preserve"> </v>
      </c>
      <c r="I506" s="100"/>
      <c r="J506" s="100" t="str">
        <f>IFERROR(VLOOKUP(Tablo517[[#This Row],[ÜRÜN KODU]],YMKODLARI!$A$1:$K$363,9,0)," ")</f>
        <v xml:space="preserve"> </v>
      </c>
      <c r="K506" s="100" t="str">
        <f>IFERROR(VLOOKUP(Tablo517[[#This Row],[BOYA KODU]],Tablo14[#All],4,0)," ")</f>
        <v xml:space="preserve"> </v>
      </c>
      <c r="L506" s="100" t="str">
        <f>IFERROR(VLOOKUP(Tablo517[[#This Row],[BOYA KODU]],Tablo14[#All],6,0)," ")</f>
        <v xml:space="preserve"> </v>
      </c>
      <c r="M506" s="100" t="str">
        <f t="shared" si="50"/>
        <v xml:space="preserve"> </v>
      </c>
      <c r="N506" s="100" t="str">
        <f>IFERROR(VLOOKUP(Tablo517[[#This Row],[ÜRÜN KODU]],YMKODLARI!$A$1:$K$363,8,0)," ")</f>
        <v xml:space="preserve"> </v>
      </c>
      <c r="O506" s="100" t="str">
        <f>IFERROR(VLOOKUP(Tablo517[[#This Row],[HAMMADDE KODU]],Tablo1[#All],3,0)," ")</f>
        <v xml:space="preserve"> </v>
      </c>
      <c r="P506" s="100" t="str">
        <f>IFERROR(VLOOKUP(Tablo517[[#This Row],[HAMMADDE KODU]],Tablo1[#All],4,0)," ")</f>
        <v xml:space="preserve"> </v>
      </c>
      <c r="Q506" s="100" t="str">
        <f>IFERROR(VLOOKUP(Tablo517[[#This Row],[ÜRÜN KODU]],YMKODLARI!$A$1:$K$363,5,0)," ")</f>
        <v xml:space="preserve"> </v>
      </c>
      <c r="R506" s="100" t="str">
        <f>IFERROR(VLOOKUP(Tablo517[[#This Row],[ÜRÜN KODU]],YMKODLARI!$A$1:$K$363,6,0)," ")</f>
        <v xml:space="preserve"> </v>
      </c>
      <c r="S506" s="100" t="str">
        <f>IFERROR(Tablo517[[#This Row],[YOLLUK HARİÇ BASKI GRAMI]]/Tablo517[[#This Row],[KALIP GÖZ ADEDİ]]," ")</f>
        <v xml:space="preserve"> </v>
      </c>
      <c r="T506" s="100" t="str">
        <f t="shared" si="52"/>
        <v xml:space="preserve"> </v>
      </c>
      <c r="U506" s="100"/>
      <c r="V506" s="100" t="str">
        <f t="shared" si="51"/>
        <v xml:space="preserve"> </v>
      </c>
      <c r="W506" s="101">
        <f t="shared" si="53"/>
        <v>24</v>
      </c>
      <c r="X506" s="102">
        <f t="shared" si="54"/>
        <v>0</v>
      </c>
      <c r="Y506" s="100" t="str">
        <f t="shared" si="55"/>
        <v xml:space="preserve"> </v>
      </c>
      <c r="Z506" s="100" t="str">
        <f t="shared" si="56"/>
        <v xml:space="preserve"> </v>
      </c>
    </row>
    <row r="507" spans="1:26">
      <c r="A507" s="100"/>
      <c r="B507" s="108" t="str">
        <f>IFERROR(VLOOKUP(Tablo517[[#This Row],[ÜRÜN KODU]],YMKODLARI!$A$1:$K$363,2,0)," ")</f>
        <v xml:space="preserve"> </v>
      </c>
      <c r="C507" s="99"/>
      <c r="D507" s="100"/>
      <c r="E507" s="101"/>
      <c r="F507" s="101"/>
      <c r="G507" s="100" t="str">
        <f>IFERROR(VLOOKUP(Tablo517[[#This Row],[ÜRÜN KODU]],YMKODLARI!$A$1:$K$363,3,0)," ")</f>
        <v xml:space="preserve"> </v>
      </c>
      <c r="H507" s="100" t="str">
        <f>IFERROR(VLOOKUP(Tablo517[[#This Row],[ÜRÜN KODU]],YMKODLARI!$A$1:$K$363,4,0)," ")</f>
        <v xml:space="preserve"> </v>
      </c>
      <c r="I507" s="100"/>
      <c r="J507" s="100" t="str">
        <f>IFERROR(VLOOKUP(Tablo517[[#This Row],[ÜRÜN KODU]],YMKODLARI!$A$1:$K$363,9,0)," ")</f>
        <v xml:space="preserve"> </v>
      </c>
      <c r="K507" s="100" t="str">
        <f>IFERROR(VLOOKUP(Tablo517[[#This Row],[BOYA KODU]],Tablo14[#All],4,0)," ")</f>
        <v xml:space="preserve"> </v>
      </c>
      <c r="L507" s="100" t="str">
        <f>IFERROR(VLOOKUP(Tablo517[[#This Row],[BOYA KODU]],Tablo14[#All],6,0)," ")</f>
        <v xml:space="preserve"> </v>
      </c>
      <c r="M507" s="100" t="str">
        <f t="shared" si="50"/>
        <v xml:space="preserve"> </v>
      </c>
      <c r="N507" s="100" t="str">
        <f>IFERROR(VLOOKUP(Tablo517[[#This Row],[ÜRÜN KODU]],YMKODLARI!$A$1:$K$363,8,0)," ")</f>
        <v xml:space="preserve"> </v>
      </c>
      <c r="O507" s="100" t="str">
        <f>IFERROR(VLOOKUP(Tablo517[[#This Row],[HAMMADDE KODU]],Tablo1[#All],3,0)," ")</f>
        <v xml:space="preserve"> </v>
      </c>
      <c r="P507" s="100" t="str">
        <f>IFERROR(VLOOKUP(Tablo517[[#This Row],[HAMMADDE KODU]],Tablo1[#All],4,0)," ")</f>
        <v xml:space="preserve"> </v>
      </c>
      <c r="Q507" s="100" t="str">
        <f>IFERROR(VLOOKUP(Tablo517[[#This Row],[ÜRÜN KODU]],YMKODLARI!$A$1:$K$363,5,0)," ")</f>
        <v xml:space="preserve"> </v>
      </c>
      <c r="R507" s="100" t="str">
        <f>IFERROR(VLOOKUP(Tablo517[[#This Row],[ÜRÜN KODU]],YMKODLARI!$A$1:$K$363,6,0)," ")</f>
        <v xml:space="preserve"> </v>
      </c>
      <c r="S507" s="100" t="str">
        <f>IFERROR(Tablo517[[#This Row],[YOLLUK HARİÇ BASKI GRAMI]]/Tablo517[[#This Row],[KALIP GÖZ ADEDİ]]," ")</f>
        <v xml:space="preserve"> </v>
      </c>
      <c r="T507" s="100" t="str">
        <f t="shared" si="52"/>
        <v xml:space="preserve"> </v>
      </c>
      <c r="U507" s="100"/>
      <c r="V507" s="100" t="str">
        <f t="shared" si="51"/>
        <v xml:space="preserve"> </v>
      </c>
      <c r="W507" s="101">
        <f t="shared" si="53"/>
        <v>24</v>
      </c>
      <c r="X507" s="102">
        <f t="shared" si="54"/>
        <v>0</v>
      </c>
      <c r="Y507" s="100" t="str">
        <f t="shared" si="55"/>
        <v xml:space="preserve"> </v>
      </c>
      <c r="Z507" s="100" t="str">
        <f t="shared" si="56"/>
        <v xml:space="preserve"> </v>
      </c>
    </row>
    <row r="508" spans="1:26">
      <c r="A508" s="100"/>
      <c r="B508" s="108" t="str">
        <f>IFERROR(VLOOKUP(Tablo517[[#This Row],[ÜRÜN KODU]],YMKODLARI!$A$1:$K$363,2,0)," ")</f>
        <v xml:space="preserve"> </v>
      </c>
      <c r="C508" s="99"/>
      <c r="D508" s="100"/>
      <c r="E508" s="101"/>
      <c r="F508" s="101"/>
      <c r="G508" s="100" t="str">
        <f>IFERROR(VLOOKUP(Tablo517[[#This Row],[ÜRÜN KODU]],YMKODLARI!$A$1:$K$363,3,0)," ")</f>
        <v xml:space="preserve"> </v>
      </c>
      <c r="H508" s="100" t="str">
        <f>IFERROR(VLOOKUP(Tablo517[[#This Row],[ÜRÜN KODU]],YMKODLARI!$A$1:$K$363,4,0)," ")</f>
        <v xml:space="preserve"> </v>
      </c>
      <c r="I508" s="100"/>
      <c r="J508" s="100" t="str">
        <f>IFERROR(VLOOKUP(Tablo517[[#This Row],[ÜRÜN KODU]],YMKODLARI!$A$1:$K$363,9,0)," ")</f>
        <v xml:space="preserve"> </v>
      </c>
      <c r="K508" s="100" t="str">
        <f>IFERROR(VLOOKUP(Tablo517[[#This Row],[BOYA KODU]],Tablo14[#All],4,0)," ")</f>
        <v xml:space="preserve"> </v>
      </c>
      <c r="L508" s="100" t="str">
        <f>IFERROR(VLOOKUP(Tablo517[[#This Row],[BOYA KODU]],Tablo14[#All],6,0)," ")</f>
        <v xml:space="preserve"> </v>
      </c>
      <c r="M508" s="100" t="str">
        <f t="shared" si="50"/>
        <v xml:space="preserve"> </v>
      </c>
      <c r="N508" s="100" t="str">
        <f>IFERROR(VLOOKUP(Tablo517[[#This Row],[ÜRÜN KODU]],YMKODLARI!$A$1:$K$363,8,0)," ")</f>
        <v xml:space="preserve"> </v>
      </c>
      <c r="O508" s="100" t="str">
        <f>IFERROR(VLOOKUP(Tablo517[[#This Row],[HAMMADDE KODU]],Tablo1[#All],3,0)," ")</f>
        <v xml:space="preserve"> </v>
      </c>
      <c r="P508" s="100" t="str">
        <f>IFERROR(VLOOKUP(Tablo517[[#This Row],[HAMMADDE KODU]],Tablo1[#All],4,0)," ")</f>
        <v xml:space="preserve"> </v>
      </c>
      <c r="Q508" s="100" t="str">
        <f>IFERROR(VLOOKUP(Tablo517[[#This Row],[ÜRÜN KODU]],YMKODLARI!$A$1:$K$363,5,0)," ")</f>
        <v xml:space="preserve"> </v>
      </c>
      <c r="R508" s="100" t="str">
        <f>IFERROR(VLOOKUP(Tablo517[[#This Row],[ÜRÜN KODU]],YMKODLARI!$A$1:$K$363,6,0)," ")</f>
        <v xml:space="preserve"> </v>
      </c>
      <c r="S508" s="100" t="str">
        <f>IFERROR(Tablo517[[#This Row],[YOLLUK HARİÇ BASKI GRAMI]]/Tablo517[[#This Row],[KALIP GÖZ ADEDİ]]," ")</f>
        <v xml:space="preserve"> </v>
      </c>
      <c r="T508" s="100" t="str">
        <f t="shared" si="52"/>
        <v xml:space="preserve"> </v>
      </c>
      <c r="U508" s="100"/>
      <c r="V508" s="100" t="str">
        <f t="shared" si="51"/>
        <v xml:space="preserve"> </v>
      </c>
      <c r="W508" s="101">
        <f t="shared" si="53"/>
        <v>24</v>
      </c>
      <c r="X508" s="102">
        <f t="shared" si="54"/>
        <v>0</v>
      </c>
      <c r="Y508" s="100" t="str">
        <f t="shared" si="55"/>
        <v xml:space="preserve"> </v>
      </c>
      <c r="Z508" s="100" t="str">
        <f t="shared" si="56"/>
        <v xml:space="preserve"> </v>
      </c>
    </row>
    <row r="509" spans="1:26">
      <c r="A509" s="100"/>
      <c r="B509" s="108" t="str">
        <f>IFERROR(VLOOKUP(Tablo517[[#This Row],[ÜRÜN KODU]],YMKODLARI!$A$1:$K$363,2,0)," ")</f>
        <v xml:space="preserve"> </v>
      </c>
      <c r="C509" s="99"/>
      <c r="D509" s="100"/>
      <c r="E509" s="101"/>
      <c r="F509" s="101"/>
      <c r="G509" s="100" t="str">
        <f>IFERROR(VLOOKUP(Tablo517[[#This Row],[ÜRÜN KODU]],YMKODLARI!$A$1:$K$363,3,0)," ")</f>
        <v xml:space="preserve"> </v>
      </c>
      <c r="H509" s="100" t="str">
        <f>IFERROR(VLOOKUP(Tablo517[[#This Row],[ÜRÜN KODU]],YMKODLARI!$A$1:$K$363,4,0)," ")</f>
        <v xml:space="preserve"> </v>
      </c>
      <c r="I509" s="100"/>
      <c r="J509" s="100" t="str">
        <f>IFERROR(VLOOKUP(Tablo517[[#This Row],[ÜRÜN KODU]],YMKODLARI!$A$1:$K$363,9,0)," ")</f>
        <v xml:space="preserve"> </v>
      </c>
      <c r="K509" s="100" t="str">
        <f>IFERROR(VLOOKUP(Tablo517[[#This Row],[BOYA KODU]],Tablo14[#All],4,0)," ")</f>
        <v xml:space="preserve"> </v>
      </c>
      <c r="L509" s="100" t="str">
        <f>IFERROR(VLOOKUP(Tablo517[[#This Row],[BOYA KODU]],Tablo14[#All],6,0)," ")</f>
        <v xml:space="preserve"> </v>
      </c>
      <c r="M509" s="100" t="str">
        <f t="shared" si="50"/>
        <v xml:space="preserve"> </v>
      </c>
      <c r="N509" s="100" t="str">
        <f>IFERROR(VLOOKUP(Tablo517[[#This Row],[ÜRÜN KODU]],YMKODLARI!$A$1:$K$363,8,0)," ")</f>
        <v xml:space="preserve"> </v>
      </c>
      <c r="O509" s="100" t="str">
        <f>IFERROR(VLOOKUP(Tablo517[[#This Row],[HAMMADDE KODU]],Tablo1[#All],3,0)," ")</f>
        <v xml:space="preserve"> </v>
      </c>
      <c r="P509" s="100" t="str">
        <f>IFERROR(VLOOKUP(Tablo517[[#This Row],[HAMMADDE KODU]],Tablo1[#All],4,0)," ")</f>
        <v xml:space="preserve"> </v>
      </c>
      <c r="Q509" s="100" t="str">
        <f>IFERROR(VLOOKUP(Tablo517[[#This Row],[ÜRÜN KODU]],YMKODLARI!$A$1:$K$363,5,0)," ")</f>
        <v xml:space="preserve"> </v>
      </c>
      <c r="R509" s="100" t="str">
        <f>IFERROR(VLOOKUP(Tablo517[[#This Row],[ÜRÜN KODU]],YMKODLARI!$A$1:$K$363,6,0)," ")</f>
        <v xml:space="preserve"> </v>
      </c>
      <c r="S509" s="100" t="str">
        <f>IFERROR(Tablo517[[#This Row],[YOLLUK HARİÇ BASKI GRAMI]]/Tablo517[[#This Row],[KALIP GÖZ ADEDİ]]," ")</f>
        <v xml:space="preserve"> </v>
      </c>
      <c r="T509" s="100" t="str">
        <f t="shared" si="52"/>
        <v xml:space="preserve"> </v>
      </c>
      <c r="U509" s="100"/>
      <c r="V509" s="100" t="str">
        <f t="shared" si="51"/>
        <v xml:space="preserve"> </v>
      </c>
      <c r="W509" s="101">
        <f t="shared" si="53"/>
        <v>24</v>
      </c>
      <c r="X509" s="102">
        <f t="shared" si="54"/>
        <v>0</v>
      </c>
      <c r="Y509" s="100" t="str">
        <f t="shared" si="55"/>
        <v xml:space="preserve"> </v>
      </c>
      <c r="Z509" s="100" t="str">
        <f t="shared" si="56"/>
        <v xml:space="preserve"> </v>
      </c>
    </row>
    <row r="510" spans="1:26">
      <c r="A510" s="100"/>
      <c r="B510" s="108" t="str">
        <f>IFERROR(VLOOKUP(Tablo517[[#This Row],[ÜRÜN KODU]],YMKODLARI!$A$1:$K$363,2,0)," ")</f>
        <v xml:space="preserve"> </v>
      </c>
      <c r="C510" s="99"/>
      <c r="D510" s="100"/>
      <c r="E510" s="101"/>
      <c r="F510" s="101"/>
      <c r="G510" s="100" t="str">
        <f>IFERROR(VLOOKUP(Tablo517[[#This Row],[ÜRÜN KODU]],YMKODLARI!$A$1:$K$363,3,0)," ")</f>
        <v xml:space="preserve"> </v>
      </c>
      <c r="H510" s="100" t="str">
        <f>IFERROR(VLOOKUP(Tablo517[[#This Row],[ÜRÜN KODU]],YMKODLARI!$A$1:$K$363,4,0)," ")</f>
        <v xml:space="preserve"> </v>
      </c>
      <c r="I510" s="100"/>
      <c r="J510" s="100" t="str">
        <f>IFERROR(VLOOKUP(Tablo517[[#This Row],[ÜRÜN KODU]],YMKODLARI!$A$1:$K$363,9,0)," ")</f>
        <v xml:space="preserve"> </v>
      </c>
      <c r="K510" s="100" t="str">
        <f>IFERROR(VLOOKUP(Tablo517[[#This Row],[BOYA KODU]],Tablo14[#All],4,0)," ")</f>
        <v xml:space="preserve"> </v>
      </c>
      <c r="L510" s="100" t="str">
        <f>IFERROR(VLOOKUP(Tablo517[[#This Row],[BOYA KODU]],Tablo14[#All],6,0)," ")</f>
        <v xml:space="preserve"> </v>
      </c>
      <c r="M510" s="100" t="str">
        <f t="shared" si="50"/>
        <v xml:space="preserve"> </v>
      </c>
      <c r="N510" s="100" t="str">
        <f>IFERROR(VLOOKUP(Tablo517[[#This Row],[ÜRÜN KODU]],YMKODLARI!$A$1:$K$363,8,0)," ")</f>
        <v xml:space="preserve"> </v>
      </c>
      <c r="O510" s="100" t="str">
        <f>IFERROR(VLOOKUP(Tablo517[[#This Row],[HAMMADDE KODU]],Tablo1[#All],3,0)," ")</f>
        <v xml:space="preserve"> </v>
      </c>
      <c r="P510" s="100" t="str">
        <f>IFERROR(VLOOKUP(Tablo517[[#This Row],[HAMMADDE KODU]],Tablo1[#All],4,0)," ")</f>
        <v xml:space="preserve"> </v>
      </c>
      <c r="Q510" s="100" t="str">
        <f>IFERROR(VLOOKUP(Tablo517[[#This Row],[ÜRÜN KODU]],YMKODLARI!$A$1:$K$363,5,0)," ")</f>
        <v xml:space="preserve"> </v>
      </c>
      <c r="R510" s="100" t="str">
        <f>IFERROR(VLOOKUP(Tablo517[[#This Row],[ÜRÜN KODU]],YMKODLARI!$A$1:$K$363,6,0)," ")</f>
        <v xml:space="preserve"> </v>
      </c>
      <c r="S510" s="100" t="str">
        <f>IFERROR(Tablo517[[#This Row],[YOLLUK HARİÇ BASKI GRAMI]]/Tablo517[[#This Row],[KALIP GÖZ ADEDİ]]," ")</f>
        <v xml:space="preserve"> </v>
      </c>
      <c r="T510" s="100" t="str">
        <f t="shared" si="52"/>
        <v xml:space="preserve"> </v>
      </c>
      <c r="U510" s="100"/>
      <c r="V510" s="100" t="str">
        <f t="shared" si="51"/>
        <v xml:space="preserve"> </v>
      </c>
      <c r="W510" s="101">
        <f t="shared" si="53"/>
        <v>24</v>
      </c>
      <c r="X510" s="102">
        <f t="shared" si="54"/>
        <v>0</v>
      </c>
      <c r="Y510" s="100" t="str">
        <f t="shared" si="55"/>
        <v xml:space="preserve"> </v>
      </c>
      <c r="Z510" s="100" t="str">
        <f t="shared" si="56"/>
        <v xml:space="preserve"> </v>
      </c>
    </row>
    <row r="511" spans="1:26">
      <c r="A511" s="100"/>
      <c r="B511" s="108" t="str">
        <f>IFERROR(VLOOKUP(Tablo517[[#This Row],[ÜRÜN KODU]],YMKODLARI!$A$1:$K$363,2,0)," ")</f>
        <v xml:space="preserve"> </v>
      </c>
      <c r="C511" s="99"/>
      <c r="D511" s="100"/>
      <c r="E511" s="101"/>
      <c r="F511" s="101"/>
      <c r="G511" s="100" t="str">
        <f>IFERROR(VLOOKUP(Tablo517[[#This Row],[ÜRÜN KODU]],YMKODLARI!$A$1:$K$363,3,0)," ")</f>
        <v xml:space="preserve"> </v>
      </c>
      <c r="H511" s="100" t="str">
        <f>IFERROR(VLOOKUP(Tablo517[[#This Row],[ÜRÜN KODU]],YMKODLARI!$A$1:$K$363,4,0)," ")</f>
        <v xml:space="preserve"> </v>
      </c>
      <c r="I511" s="100"/>
      <c r="J511" s="100" t="str">
        <f>IFERROR(VLOOKUP(Tablo517[[#This Row],[ÜRÜN KODU]],YMKODLARI!$A$1:$K$363,9,0)," ")</f>
        <v xml:space="preserve"> </v>
      </c>
      <c r="K511" s="100" t="str">
        <f>IFERROR(VLOOKUP(Tablo517[[#This Row],[BOYA KODU]],Tablo14[#All],4,0)," ")</f>
        <v xml:space="preserve"> </v>
      </c>
      <c r="L511" s="100" t="str">
        <f>IFERROR(VLOOKUP(Tablo517[[#This Row],[BOYA KODU]],Tablo14[#All],6,0)," ")</f>
        <v xml:space="preserve"> </v>
      </c>
      <c r="M511" s="100" t="str">
        <f t="shared" si="50"/>
        <v xml:space="preserve"> </v>
      </c>
      <c r="N511" s="100" t="str">
        <f>IFERROR(VLOOKUP(Tablo517[[#This Row],[ÜRÜN KODU]],YMKODLARI!$A$1:$K$363,8,0)," ")</f>
        <v xml:space="preserve"> </v>
      </c>
      <c r="O511" s="100" t="str">
        <f>IFERROR(VLOOKUP(Tablo517[[#This Row],[HAMMADDE KODU]],Tablo1[#All],3,0)," ")</f>
        <v xml:space="preserve"> </v>
      </c>
      <c r="P511" s="100" t="str">
        <f>IFERROR(VLOOKUP(Tablo517[[#This Row],[HAMMADDE KODU]],Tablo1[#All],4,0)," ")</f>
        <v xml:space="preserve"> </v>
      </c>
      <c r="Q511" s="100" t="str">
        <f>IFERROR(VLOOKUP(Tablo517[[#This Row],[ÜRÜN KODU]],YMKODLARI!$A$1:$K$363,5,0)," ")</f>
        <v xml:space="preserve"> </v>
      </c>
      <c r="R511" s="100" t="str">
        <f>IFERROR(VLOOKUP(Tablo517[[#This Row],[ÜRÜN KODU]],YMKODLARI!$A$1:$K$363,6,0)," ")</f>
        <v xml:space="preserve"> </v>
      </c>
      <c r="S511" s="100" t="str">
        <f>IFERROR(Tablo517[[#This Row],[YOLLUK HARİÇ BASKI GRAMI]]/Tablo517[[#This Row],[KALIP GÖZ ADEDİ]]," ")</f>
        <v xml:space="preserve"> </v>
      </c>
      <c r="T511" s="100" t="str">
        <f t="shared" si="52"/>
        <v xml:space="preserve"> </v>
      </c>
      <c r="U511" s="100"/>
      <c r="V511" s="100" t="str">
        <f t="shared" si="51"/>
        <v xml:space="preserve"> </v>
      </c>
      <c r="W511" s="101">
        <f t="shared" si="53"/>
        <v>24</v>
      </c>
      <c r="X511" s="102">
        <f t="shared" si="54"/>
        <v>0</v>
      </c>
      <c r="Y511" s="100" t="str">
        <f t="shared" si="55"/>
        <v xml:space="preserve"> </v>
      </c>
      <c r="Z511" s="100" t="str">
        <f t="shared" si="56"/>
        <v xml:space="preserve"> </v>
      </c>
    </row>
    <row r="512" spans="1:26">
      <c r="A512" s="100"/>
      <c r="B512" s="108" t="str">
        <f>IFERROR(VLOOKUP(Tablo517[[#This Row],[ÜRÜN KODU]],YMKODLARI!$A$1:$K$363,2,0)," ")</f>
        <v xml:space="preserve"> </v>
      </c>
      <c r="C512" s="99"/>
      <c r="D512" s="100"/>
      <c r="E512" s="101"/>
      <c r="F512" s="101"/>
      <c r="G512" s="100" t="str">
        <f>IFERROR(VLOOKUP(Tablo517[[#This Row],[ÜRÜN KODU]],YMKODLARI!$A$1:$K$363,3,0)," ")</f>
        <v xml:space="preserve"> </v>
      </c>
      <c r="H512" s="100" t="str">
        <f>IFERROR(VLOOKUP(Tablo517[[#This Row],[ÜRÜN KODU]],YMKODLARI!$A$1:$K$363,4,0)," ")</f>
        <v xml:space="preserve"> </v>
      </c>
      <c r="I512" s="100"/>
      <c r="J512" s="100" t="str">
        <f>IFERROR(VLOOKUP(Tablo517[[#This Row],[ÜRÜN KODU]],YMKODLARI!$A$1:$K$363,9,0)," ")</f>
        <v xml:space="preserve"> </v>
      </c>
      <c r="K512" s="100" t="str">
        <f>IFERROR(VLOOKUP(Tablo517[[#This Row],[BOYA KODU]],Tablo14[#All],4,0)," ")</f>
        <v xml:space="preserve"> </v>
      </c>
      <c r="L512" s="100" t="str">
        <f>IFERROR(VLOOKUP(Tablo517[[#This Row],[BOYA KODU]],Tablo14[#All],6,0)," ")</f>
        <v xml:space="preserve"> </v>
      </c>
      <c r="M512" s="100" t="str">
        <f t="shared" si="50"/>
        <v xml:space="preserve"> </v>
      </c>
      <c r="N512" s="100" t="str">
        <f>IFERROR(VLOOKUP(Tablo517[[#This Row],[ÜRÜN KODU]],YMKODLARI!$A$1:$K$363,8,0)," ")</f>
        <v xml:space="preserve"> </v>
      </c>
      <c r="O512" s="100" t="str">
        <f>IFERROR(VLOOKUP(Tablo517[[#This Row],[HAMMADDE KODU]],Tablo1[#All],3,0)," ")</f>
        <v xml:space="preserve"> </v>
      </c>
      <c r="P512" s="100" t="str">
        <f>IFERROR(VLOOKUP(Tablo517[[#This Row],[HAMMADDE KODU]],Tablo1[#All],4,0)," ")</f>
        <v xml:space="preserve"> </v>
      </c>
      <c r="Q512" s="100" t="str">
        <f>IFERROR(VLOOKUP(Tablo517[[#This Row],[ÜRÜN KODU]],YMKODLARI!$A$1:$K$363,5,0)," ")</f>
        <v xml:space="preserve"> </v>
      </c>
      <c r="R512" s="100" t="str">
        <f>IFERROR(VLOOKUP(Tablo517[[#This Row],[ÜRÜN KODU]],YMKODLARI!$A$1:$K$363,6,0)," ")</f>
        <v xml:space="preserve"> </v>
      </c>
      <c r="S512" s="100" t="str">
        <f>IFERROR(Tablo517[[#This Row],[YOLLUK HARİÇ BASKI GRAMI]]/Tablo517[[#This Row],[KALIP GÖZ ADEDİ]]," ")</f>
        <v xml:space="preserve"> </v>
      </c>
      <c r="T512" s="100" t="str">
        <f t="shared" si="52"/>
        <v xml:space="preserve"> </v>
      </c>
      <c r="U512" s="100"/>
      <c r="V512" s="100" t="str">
        <f t="shared" si="51"/>
        <v xml:space="preserve"> </v>
      </c>
      <c r="W512" s="101">
        <f t="shared" si="53"/>
        <v>24</v>
      </c>
      <c r="X512" s="102">
        <f t="shared" si="54"/>
        <v>0</v>
      </c>
      <c r="Y512" s="100" t="str">
        <f t="shared" si="55"/>
        <v xml:space="preserve"> </v>
      </c>
      <c r="Z512" s="100" t="str">
        <f t="shared" si="56"/>
        <v xml:space="preserve"> </v>
      </c>
    </row>
    <row r="513" spans="1:26">
      <c r="A513" s="100"/>
      <c r="B513" s="108" t="str">
        <f>IFERROR(VLOOKUP(Tablo517[[#This Row],[ÜRÜN KODU]],YMKODLARI!$A$1:$K$363,2,0)," ")</f>
        <v xml:space="preserve"> </v>
      </c>
      <c r="C513" s="99"/>
      <c r="D513" s="100"/>
      <c r="E513" s="101"/>
      <c r="F513" s="101"/>
      <c r="G513" s="100" t="str">
        <f>IFERROR(VLOOKUP(Tablo517[[#This Row],[ÜRÜN KODU]],YMKODLARI!$A$1:$K$363,3,0)," ")</f>
        <v xml:space="preserve"> </v>
      </c>
      <c r="H513" s="100" t="str">
        <f>IFERROR(VLOOKUP(Tablo517[[#This Row],[ÜRÜN KODU]],YMKODLARI!$A$1:$K$363,4,0)," ")</f>
        <v xml:space="preserve"> </v>
      </c>
      <c r="I513" s="100"/>
      <c r="J513" s="100" t="str">
        <f>IFERROR(VLOOKUP(Tablo517[[#This Row],[ÜRÜN KODU]],YMKODLARI!$A$1:$K$363,9,0)," ")</f>
        <v xml:space="preserve"> </v>
      </c>
      <c r="K513" s="100" t="str">
        <f>IFERROR(VLOOKUP(Tablo517[[#This Row],[BOYA KODU]],Tablo14[#All],4,0)," ")</f>
        <v xml:space="preserve"> </v>
      </c>
      <c r="L513" s="100" t="str">
        <f>IFERROR(VLOOKUP(Tablo517[[#This Row],[BOYA KODU]],Tablo14[#All],6,0)," ")</f>
        <v xml:space="preserve"> </v>
      </c>
      <c r="M513" s="100" t="str">
        <f t="shared" si="50"/>
        <v xml:space="preserve"> </v>
      </c>
      <c r="N513" s="100" t="str">
        <f>IFERROR(VLOOKUP(Tablo517[[#This Row],[ÜRÜN KODU]],YMKODLARI!$A$1:$K$363,8,0)," ")</f>
        <v xml:space="preserve"> </v>
      </c>
      <c r="O513" s="100" t="str">
        <f>IFERROR(VLOOKUP(Tablo517[[#This Row],[HAMMADDE KODU]],Tablo1[#All],3,0)," ")</f>
        <v xml:space="preserve"> </v>
      </c>
      <c r="P513" s="100" t="str">
        <f>IFERROR(VLOOKUP(Tablo517[[#This Row],[HAMMADDE KODU]],Tablo1[#All],4,0)," ")</f>
        <v xml:space="preserve"> </v>
      </c>
      <c r="Q513" s="100" t="str">
        <f>IFERROR(VLOOKUP(Tablo517[[#This Row],[ÜRÜN KODU]],YMKODLARI!$A$1:$K$363,5,0)," ")</f>
        <v xml:space="preserve"> </v>
      </c>
      <c r="R513" s="100" t="str">
        <f>IFERROR(VLOOKUP(Tablo517[[#This Row],[ÜRÜN KODU]],YMKODLARI!$A$1:$K$363,6,0)," ")</f>
        <v xml:space="preserve"> </v>
      </c>
      <c r="S513" s="100" t="str">
        <f>IFERROR(Tablo517[[#This Row],[YOLLUK HARİÇ BASKI GRAMI]]/Tablo517[[#This Row],[KALIP GÖZ ADEDİ]]," ")</f>
        <v xml:space="preserve"> </v>
      </c>
      <c r="T513" s="100" t="str">
        <f t="shared" si="52"/>
        <v xml:space="preserve"> </v>
      </c>
      <c r="U513" s="100"/>
      <c r="V513" s="100" t="str">
        <f t="shared" si="51"/>
        <v xml:space="preserve"> </v>
      </c>
      <c r="W513" s="101">
        <f t="shared" si="53"/>
        <v>24</v>
      </c>
      <c r="X513" s="102">
        <f t="shared" si="54"/>
        <v>0</v>
      </c>
      <c r="Y513" s="100" t="str">
        <f t="shared" si="55"/>
        <v xml:space="preserve"> </v>
      </c>
      <c r="Z513" s="100" t="str">
        <f t="shared" si="56"/>
        <v xml:space="preserve"> </v>
      </c>
    </row>
    <row r="514" spans="1:26">
      <c r="A514" s="100"/>
      <c r="B514" s="108" t="str">
        <f>IFERROR(VLOOKUP(Tablo517[[#This Row],[ÜRÜN KODU]],YMKODLARI!$A$1:$K$363,2,0)," ")</f>
        <v xml:space="preserve"> </v>
      </c>
      <c r="C514" s="99"/>
      <c r="D514" s="100"/>
      <c r="E514" s="101"/>
      <c r="F514" s="101"/>
      <c r="G514" s="100" t="str">
        <f>IFERROR(VLOOKUP(Tablo517[[#This Row],[ÜRÜN KODU]],YMKODLARI!$A$1:$K$363,3,0)," ")</f>
        <v xml:space="preserve"> </v>
      </c>
      <c r="H514" s="100" t="str">
        <f>IFERROR(VLOOKUP(Tablo517[[#This Row],[ÜRÜN KODU]],YMKODLARI!$A$1:$K$363,4,0)," ")</f>
        <v xml:space="preserve"> </v>
      </c>
      <c r="I514" s="100"/>
      <c r="J514" s="100" t="str">
        <f>IFERROR(VLOOKUP(Tablo517[[#This Row],[ÜRÜN KODU]],YMKODLARI!$A$1:$K$363,9,0)," ")</f>
        <v xml:space="preserve"> </v>
      </c>
      <c r="K514" s="100" t="str">
        <f>IFERROR(VLOOKUP(Tablo517[[#This Row],[BOYA KODU]],Tablo14[#All],4,0)," ")</f>
        <v xml:space="preserve"> </v>
      </c>
      <c r="L514" s="100" t="str">
        <f>IFERROR(VLOOKUP(Tablo517[[#This Row],[BOYA KODU]],Tablo14[#All],6,0)," ")</f>
        <v xml:space="preserve"> </v>
      </c>
      <c r="M514" s="100" t="str">
        <f t="shared" ref="M514:M571" si="57">IFERROR((I514*Q514)*L514," ")</f>
        <v xml:space="preserve"> </v>
      </c>
      <c r="N514" s="100" t="str">
        <f>IFERROR(VLOOKUP(Tablo517[[#This Row],[ÜRÜN KODU]],YMKODLARI!$A$1:$K$363,8,0)," ")</f>
        <v xml:space="preserve"> </v>
      </c>
      <c r="O514" s="100" t="str">
        <f>IFERROR(VLOOKUP(Tablo517[[#This Row],[HAMMADDE KODU]],Tablo1[#All],3,0)," ")</f>
        <v xml:space="preserve"> </v>
      </c>
      <c r="P514" s="100" t="str">
        <f>IFERROR(VLOOKUP(Tablo517[[#This Row],[HAMMADDE KODU]],Tablo1[#All],4,0)," ")</f>
        <v xml:space="preserve"> </v>
      </c>
      <c r="Q514" s="100" t="str">
        <f>IFERROR(VLOOKUP(Tablo517[[#This Row],[ÜRÜN KODU]],YMKODLARI!$A$1:$K$363,5,0)," ")</f>
        <v xml:space="preserve"> </v>
      </c>
      <c r="R514" s="100" t="str">
        <f>IFERROR(VLOOKUP(Tablo517[[#This Row],[ÜRÜN KODU]],YMKODLARI!$A$1:$K$363,6,0)," ")</f>
        <v xml:space="preserve"> </v>
      </c>
      <c r="S514" s="100" t="str">
        <f>IFERROR(Tablo517[[#This Row],[YOLLUK HARİÇ BASKI GRAMI]]/Tablo517[[#This Row],[KALIP GÖZ ADEDİ]]," ")</f>
        <v xml:space="preserve"> </v>
      </c>
      <c r="T514" s="100" t="str">
        <f t="shared" si="52"/>
        <v xml:space="preserve"> </v>
      </c>
      <c r="U514" s="100"/>
      <c r="V514" s="100" t="str">
        <f t="shared" ref="V514:V571" si="58">IFERROR(U514+(R514*I514) /1000," ")</f>
        <v xml:space="preserve"> </v>
      </c>
      <c r="W514" s="101">
        <f t="shared" si="53"/>
        <v>24</v>
      </c>
      <c r="X514" s="102">
        <f t="shared" si="54"/>
        <v>0</v>
      </c>
      <c r="Y514" s="100" t="str">
        <f t="shared" si="55"/>
        <v xml:space="preserve"> </v>
      </c>
      <c r="Z514" s="100" t="str">
        <f t="shared" si="56"/>
        <v xml:space="preserve"> </v>
      </c>
    </row>
    <row r="515" spans="1:26">
      <c r="A515" s="100"/>
      <c r="B515" s="108" t="str">
        <f>IFERROR(VLOOKUP(Tablo517[[#This Row],[ÜRÜN KODU]],YMKODLARI!$A$1:$K$363,2,0)," ")</f>
        <v xml:space="preserve"> </v>
      </c>
      <c r="C515" s="99"/>
      <c r="D515" s="100"/>
      <c r="E515" s="101"/>
      <c r="F515" s="101"/>
      <c r="G515" s="100" t="str">
        <f>IFERROR(VLOOKUP(Tablo517[[#This Row],[ÜRÜN KODU]],YMKODLARI!$A$1:$K$363,3,0)," ")</f>
        <v xml:space="preserve"> </v>
      </c>
      <c r="H515" s="100" t="str">
        <f>IFERROR(VLOOKUP(Tablo517[[#This Row],[ÜRÜN KODU]],YMKODLARI!$A$1:$K$363,4,0)," ")</f>
        <v xml:space="preserve"> </v>
      </c>
      <c r="I515" s="100"/>
      <c r="J515" s="100" t="str">
        <f>IFERROR(VLOOKUP(Tablo517[[#This Row],[ÜRÜN KODU]],YMKODLARI!$A$1:$K$363,9,0)," ")</f>
        <v xml:space="preserve"> </v>
      </c>
      <c r="K515" s="100" t="str">
        <f>IFERROR(VLOOKUP(Tablo517[[#This Row],[BOYA KODU]],Tablo14[#All],4,0)," ")</f>
        <v xml:space="preserve"> </v>
      </c>
      <c r="L515" s="100" t="str">
        <f>IFERROR(VLOOKUP(Tablo517[[#This Row],[BOYA KODU]],Tablo14[#All],6,0)," ")</f>
        <v xml:space="preserve"> </v>
      </c>
      <c r="M515" s="100" t="str">
        <f t="shared" si="57"/>
        <v xml:space="preserve"> </v>
      </c>
      <c r="N515" s="100" t="str">
        <f>IFERROR(VLOOKUP(Tablo517[[#This Row],[ÜRÜN KODU]],YMKODLARI!$A$1:$K$363,8,0)," ")</f>
        <v xml:space="preserve"> </v>
      </c>
      <c r="O515" s="100" t="str">
        <f>IFERROR(VLOOKUP(Tablo517[[#This Row],[HAMMADDE KODU]],Tablo1[#All],3,0)," ")</f>
        <v xml:space="preserve"> </v>
      </c>
      <c r="P515" s="100" t="str">
        <f>IFERROR(VLOOKUP(Tablo517[[#This Row],[HAMMADDE KODU]],Tablo1[#All],4,0)," ")</f>
        <v xml:space="preserve"> </v>
      </c>
      <c r="Q515" s="100" t="str">
        <f>IFERROR(VLOOKUP(Tablo517[[#This Row],[ÜRÜN KODU]],YMKODLARI!$A$1:$K$363,5,0)," ")</f>
        <v xml:space="preserve"> </v>
      </c>
      <c r="R515" s="100" t="str">
        <f>IFERROR(VLOOKUP(Tablo517[[#This Row],[ÜRÜN KODU]],YMKODLARI!$A$1:$K$363,6,0)," ")</f>
        <v xml:space="preserve"> </v>
      </c>
      <c r="S515" s="100" t="str">
        <f>IFERROR(Tablo517[[#This Row],[YOLLUK HARİÇ BASKI GRAMI]]/Tablo517[[#This Row],[KALIP GÖZ ADEDİ]]," ")</f>
        <v xml:space="preserve"> </v>
      </c>
      <c r="T515" s="100" t="str">
        <f t="shared" ref="T515:T571" si="59">IFERROR(Q515-R515," ")</f>
        <v xml:space="preserve"> </v>
      </c>
      <c r="U515" s="100"/>
      <c r="V515" s="100" t="str">
        <f t="shared" si="58"/>
        <v xml:space="preserve"> </v>
      </c>
      <c r="W515" s="101">
        <f t="shared" ref="W515:W571" si="60">IFERROR(24-(E515-F515)," ")</f>
        <v>24</v>
      </c>
      <c r="X515" s="102">
        <f t="shared" ref="X515:X571" si="61">IFERROR((W515-INT(W515))*24," ")</f>
        <v>0</v>
      </c>
      <c r="Y515" s="100" t="str">
        <f t="shared" ref="Y515:Y571" si="62">IFERROR(H515*I515/3600," ")</f>
        <v xml:space="preserve"> </v>
      </c>
      <c r="Z515" s="100" t="str">
        <f t="shared" ref="Z515:Z571" si="63">IFERROR(I515*G515," " )</f>
        <v xml:space="preserve"> </v>
      </c>
    </row>
    <row r="516" spans="1:26">
      <c r="A516" s="100"/>
      <c r="B516" s="108" t="str">
        <f>IFERROR(VLOOKUP(Tablo517[[#This Row],[ÜRÜN KODU]],YMKODLARI!$A$1:$K$363,2,0)," ")</f>
        <v xml:space="preserve"> </v>
      </c>
      <c r="C516" s="99"/>
      <c r="D516" s="100"/>
      <c r="E516" s="101"/>
      <c r="F516" s="101"/>
      <c r="G516" s="100" t="str">
        <f>IFERROR(VLOOKUP(Tablo517[[#This Row],[ÜRÜN KODU]],YMKODLARI!$A$1:$K$363,3,0)," ")</f>
        <v xml:space="preserve"> </v>
      </c>
      <c r="H516" s="100" t="str">
        <f>IFERROR(VLOOKUP(Tablo517[[#This Row],[ÜRÜN KODU]],YMKODLARI!$A$1:$K$363,4,0)," ")</f>
        <v xml:space="preserve"> </v>
      </c>
      <c r="I516" s="100"/>
      <c r="J516" s="100" t="str">
        <f>IFERROR(VLOOKUP(Tablo517[[#This Row],[ÜRÜN KODU]],YMKODLARI!$A$1:$K$363,9,0)," ")</f>
        <v xml:space="preserve"> </v>
      </c>
      <c r="K516" s="100" t="str">
        <f>IFERROR(VLOOKUP(Tablo517[[#This Row],[BOYA KODU]],Tablo14[#All],4,0)," ")</f>
        <v xml:space="preserve"> </v>
      </c>
      <c r="L516" s="100" t="str">
        <f>IFERROR(VLOOKUP(Tablo517[[#This Row],[BOYA KODU]],Tablo14[#All],6,0)," ")</f>
        <v xml:space="preserve"> </v>
      </c>
      <c r="M516" s="100" t="str">
        <f t="shared" si="57"/>
        <v xml:space="preserve"> </v>
      </c>
      <c r="N516" s="100" t="str">
        <f>IFERROR(VLOOKUP(Tablo517[[#This Row],[ÜRÜN KODU]],YMKODLARI!$A$1:$K$363,8,0)," ")</f>
        <v xml:space="preserve"> </v>
      </c>
      <c r="O516" s="100" t="str">
        <f>IFERROR(VLOOKUP(Tablo517[[#This Row],[HAMMADDE KODU]],Tablo1[#All],3,0)," ")</f>
        <v xml:space="preserve"> </v>
      </c>
      <c r="P516" s="100" t="str">
        <f>IFERROR(VLOOKUP(Tablo517[[#This Row],[HAMMADDE KODU]],Tablo1[#All],4,0)," ")</f>
        <v xml:space="preserve"> </v>
      </c>
      <c r="Q516" s="100" t="str">
        <f>IFERROR(VLOOKUP(Tablo517[[#This Row],[ÜRÜN KODU]],YMKODLARI!$A$1:$K$363,5,0)," ")</f>
        <v xml:space="preserve"> </v>
      </c>
      <c r="R516" s="100" t="str">
        <f>IFERROR(VLOOKUP(Tablo517[[#This Row],[ÜRÜN KODU]],YMKODLARI!$A$1:$K$363,6,0)," ")</f>
        <v xml:space="preserve"> </v>
      </c>
      <c r="S516" s="100" t="str">
        <f>IFERROR(Tablo517[[#This Row],[YOLLUK HARİÇ BASKI GRAMI]]/Tablo517[[#This Row],[KALIP GÖZ ADEDİ]]," ")</f>
        <v xml:space="preserve"> </v>
      </c>
      <c r="T516" s="100" t="str">
        <f t="shared" si="59"/>
        <v xml:space="preserve"> </v>
      </c>
      <c r="U516" s="100"/>
      <c r="V516" s="100" t="str">
        <f t="shared" si="58"/>
        <v xml:space="preserve"> </v>
      </c>
      <c r="W516" s="101">
        <f t="shared" si="60"/>
        <v>24</v>
      </c>
      <c r="X516" s="102">
        <f t="shared" si="61"/>
        <v>0</v>
      </c>
      <c r="Y516" s="100" t="str">
        <f t="shared" si="62"/>
        <v xml:space="preserve"> </v>
      </c>
      <c r="Z516" s="100" t="str">
        <f t="shared" si="63"/>
        <v xml:space="preserve"> </v>
      </c>
    </row>
    <row r="517" spans="1:26">
      <c r="A517" s="100"/>
      <c r="B517" s="108" t="str">
        <f>IFERROR(VLOOKUP(Tablo517[[#This Row],[ÜRÜN KODU]],YMKODLARI!$A$1:$K$363,2,0)," ")</f>
        <v xml:space="preserve"> </v>
      </c>
      <c r="C517" s="99"/>
      <c r="D517" s="100"/>
      <c r="E517" s="101"/>
      <c r="F517" s="101"/>
      <c r="G517" s="100" t="str">
        <f>IFERROR(VLOOKUP(Tablo517[[#This Row],[ÜRÜN KODU]],YMKODLARI!$A$1:$K$363,3,0)," ")</f>
        <v xml:space="preserve"> </v>
      </c>
      <c r="H517" s="100" t="str">
        <f>IFERROR(VLOOKUP(Tablo517[[#This Row],[ÜRÜN KODU]],YMKODLARI!$A$1:$K$363,4,0)," ")</f>
        <v xml:space="preserve"> </v>
      </c>
      <c r="I517" s="100"/>
      <c r="J517" s="100" t="str">
        <f>IFERROR(VLOOKUP(Tablo517[[#This Row],[ÜRÜN KODU]],YMKODLARI!$A$1:$K$363,9,0)," ")</f>
        <v xml:space="preserve"> </v>
      </c>
      <c r="K517" s="100" t="str">
        <f>IFERROR(VLOOKUP(Tablo517[[#This Row],[BOYA KODU]],Tablo14[#All],4,0)," ")</f>
        <v xml:space="preserve"> </v>
      </c>
      <c r="L517" s="100" t="str">
        <f>IFERROR(VLOOKUP(Tablo517[[#This Row],[BOYA KODU]],Tablo14[#All],6,0)," ")</f>
        <v xml:space="preserve"> </v>
      </c>
      <c r="M517" s="100" t="str">
        <f t="shared" si="57"/>
        <v xml:space="preserve"> </v>
      </c>
      <c r="N517" s="100" t="str">
        <f>IFERROR(VLOOKUP(Tablo517[[#This Row],[ÜRÜN KODU]],YMKODLARI!$A$1:$K$363,8,0)," ")</f>
        <v xml:space="preserve"> </v>
      </c>
      <c r="O517" s="100" t="str">
        <f>IFERROR(VLOOKUP(Tablo517[[#This Row],[HAMMADDE KODU]],Tablo1[#All],3,0)," ")</f>
        <v xml:space="preserve"> </v>
      </c>
      <c r="P517" s="100" t="str">
        <f>IFERROR(VLOOKUP(Tablo517[[#This Row],[HAMMADDE KODU]],Tablo1[#All],4,0)," ")</f>
        <v xml:space="preserve"> </v>
      </c>
      <c r="Q517" s="100" t="str">
        <f>IFERROR(VLOOKUP(Tablo517[[#This Row],[ÜRÜN KODU]],YMKODLARI!$A$1:$K$363,5,0)," ")</f>
        <v xml:space="preserve"> </v>
      </c>
      <c r="R517" s="100" t="str">
        <f>IFERROR(VLOOKUP(Tablo517[[#This Row],[ÜRÜN KODU]],YMKODLARI!$A$1:$K$363,6,0)," ")</f>
        <v xml:space="preserve"> </v>
      </c>
      <c r="S517" s="100" t="str">
        <f>IFERROR(Tablo517[[#This Row],[YOLLUK HARİÇ BASKI GRAMI]]/Tablo517[[#This Row],[KALIP GÖZ ADEDİ]]," ")</f>
        <v xml:space="preserve"> </v>
      </c>
      <c r="T517" s="100" t="str">
        <f t="shared" si="59"/>
        <v xml:space="preserve"> </v>
      </c>
      <c r="U517" s="100"/>
      <c r="V517" s="100" t="str">
        <f t="shared" si="58"/>
        <v xml:space="preserve"> </v>
      </c>
      <c r="W517" s="101">
        <f t="shared" si="60"/>
        <v>24</v>
      </c>
      <c r="X517" s="102">
        <f t="shared" si="61"/>
        <v>0</v>
      </c>
      <c r="Y517" s="100" t="str">
        <f t="shared" si="62"/>
        <v xml:space="preserve"> </v>
      </c>
      <c r="Z517" s="100" t="str">
        <f t="shared" si="63"/>
        <v xml:space="preserve"> </v>
      </c>
    </row>
    <row r="518" spans="1:26">
      <c r="A518" s="100"/>
      <c r="B518" s="108" t="str">
        <f>IFERROR(VLOOKUP(Tablo517[[#This Row],[ÜRÜN KODU]],YMKODLARI!$A$1:$K$363,2,0)," ")</f>
        <v xml:space="preserve"> </v>
      </c>
      <c r="C518" s="99"/>
      <c r="D518" s="100"/>
      <c r="E518" s="101"/>
      <c r="F518" s="101"/>
      <c r="G518" s="100" t="str">
        <f>IFERROR(VLOOKUP(Tablo517[[#This Row],[ÜRÜN KODU]],YMKODLARI!$A$1:$K$363,3,0)," ")</f>
        <v xml:space="preserve"> </v>
      </c>
      <c r="H518" s="100" t="str">
        <f>IFERROR(VLOOKUP(Tablo517[[#This Row],[ÜRÜN KODU]],YMKODLARI!$A$1:$K$363,4,0)," ")</f>
        <v xml:space="preserve"> </v>
      </c>
      <c r="I518" s="100"/>
      <c r="J518" s="100" t="str">
        <f>IFERROR(VLOOKUP(Tablo517[[#This Row],[ÜRÜN KODU]],YMKODLARI!$A$1:$K$363,9,0)," ")</f>
        <v xml:space="preserve"> </v>
      </c>
      <c r="K518" s="100" t="str">
        <f>IFERROR(VLOOKUP(Tablo517[[#This Row],[BOYA KODU]],Tablo14[#All],4,0)," ")</f>
        <v xml:space="preserve"> </v>
      </c>
      <c r="L518" s="100" t="str">
        <f>IFERROR(VLOOKUP(Tablo517[[#This Row],[BOYA KODU]],Tablo14[#All],6,0)," ")</f>
        <v xml:space="preserve"> </v>
      </c>
      <c r="M518" s="100" t="str">
        <f t="shared" si="57"/>
        <v xml:space="preserve"> </v>
      </c>
      <c r="N518" s="100" t="str">
        <f>IFERROR(VLOOKUP(Tablo517[[#This Row],[ÜRÜN KODU]],YMKODLARI!$A$1:$K$363,8,0)," ")</f>
        <v xml:space="preserve"> </v>
      </c>
      <c r="O518" s="100" t="str">
        <f>IFERROR(VLOOKUP(Tablo517[[#This Row],[HAMMADDE KODU]],Tablo1[#All],3,0)," ")</f>
        <v xml:space="preserve"> </v>
      </c>
      <c r="P518" s="100" t="str">
        <f>IFERROR(VLOOKUP(Tablo517[[#This Row],[HAMMADDE KODU]],Tablo1[#All],4,0)," ")</f>
        <v xml:space="preserve"> </v>
      </c>
      <c r="Q518" s="100" t="str">
        <f>IFERROR(VLOOKUP(Tablo517[[#This Row],[ÜRÜN KODU]],YMKODLARI!$A$1:$K$363,5,0)," ")</f>
        <v xml:space="preserve"> </v>
      </c>
      <c r="R518" s="100" t="str">
        <f>IFERROR(VLOOKUP(Tablo517[[#This Row],[ÜRÜN KODU]],YMKODLARI!$A$1:$K$363,6,0)," ")</f>
        <v xml:space="preserve"> </v>
      </c>
      <c r="S518" s="100" t="str">
        <f>IFERROR(Tablo517[[#This Row],[YOLLUK HARİÇ BASKI GRAMI]]/Tablo517[[#This Row],[KALIP GÖZ ADEDİ]]," ")</f>
        <v xml:space="preserve"> </v>
      </c>
      <c r="T518" s="100" t="str">
        <f t="shared" si="59"/>
        <v xml:space="preserve"> </v>
      </c>
      <c r="U518" s="100"/>
      <c r="V518" s="100" t="str">
        <f t="shared" si="58"/>
        <v xml:space="preserve"> </v>
      </c>
      <c r="W518" s="101">
        <f t="shared" si="60"/>
        <v>24</v>
      </c>
      <c r="X518" s="102">
        <f t="shared" si="61"/>
        <v>0</v>
      </c>
      <c r="Y518" s="100" t="str">
        <f t="shared" si="62"/>
        <v xml:space="preserve"> </v>
      </c>
      <c r="Z518" s="100" t="str">
        <f t="shared" si="63"/>
        <v xml:space="preserve"> </v>
      </c>
    </row>
    <row r="519" spans="1:26">
      <c r="A519" s="100"/>
      <c r="B519" s="108" t="str">
        <f>IFERROR(VLOOKUP(Tablo517[[#This Row],[ÜRÜN KODU]],YMKODLARI!$A$1:$K$363,2,0)," ")</f>
        <v xml:space="preserve"> </v>
      </c>
      <c r="C519" s="99"/>
      <c r="D519" s="100"/>
      <c r="E519" s="101"/>
      <c r="F519" s="101"/>
      <c r="G519" s="100" t="str">
        <f>IFERROR(VLOOKUP(Tablo517[[#This Row],[ÜRÜN KODU]],YMKODLARI!$A$1:$K$363,3,0)," ")</f>
        <v xml:space="preserve"> </v>
      </c>
      <c r="H519" s="100" t="str">
        <f>IFERROR(VLOOKUP(Tablo517[[#This Row],[ÜRÜN KODU]],YMKODLARI!$A$1:$K$363,4,0)," ")</f>
        <v xml:space="preserve"> </v>
      </c>
      <c r="I519" s="100"/>
      <c r="J519" s="100" t="str">
        <f>IFERROR(VLOOKUP(Tablo517[[#This Row],[ÜRÜN KODU]],YMKODLARI!$A$1:$K$363,9,0)," ")</f>
        <v xml:space="preserve"> </v>
      </c>
      <c r="K519" s="100" t="str">
        <f>IFERROR(VLOOKUP(Tablo517[[#This Row],[BOYA KODU]],Tablo14[#All],4,0)," ")</f>
        <v xml:space="preserve"> </v>
      </c>
      <c r="L519" s="100" t="str">
        <f>IFERROR(VLOOKUP(Tablo517[[#This Row],[BOYA KODU]],Tablo14[#All],6,0)," ")</f>
        <v xml:space="preserve"> </v>
      </c>
      <c r="M519" s="100" t="str">
        <f t="shared" si="57"/>
        <v xml:space="preserve"> </v>
      </c>
      <c r="N519" s="100" t="str">
        <f>IFERROR(VLOOKUP(Tablo517[[#This Row],[ÜRÜN KODU]],YMKODLARI!$A$1:$K$363,8,0)," ")</f>
        <v xml:space="preserve"> </v>
      </c>
      <c r="O519" s="100" t="str">
        <f>IFERROR(VLOOKUP(Tablo517[[#This Row],[HAMMADDE KODU]],Tablo1[#All],3,0)," ")</f>
        <v xml:space="preserve"> </v>
      </c>
      <c r="P519" s="100" t="str">
        <f>IFERROR(VLOOKUP(Tablo517[[#This Row],[HAMMADDE KODU]],Tablo1[#All],4,0)," ")</f>
        <v xml:space="preserve"> </v>
      </c>
      <c r="Q519" s="100" t="str">
        <f>IFERROR(VLOOKUP(Tablo517[[#This Row],[ÜRÜN KODU]],YMKODLARI!$A$1:$K$363,5,0)," ")</f>
        <v xml:space="preserve"> </v>
      </c>
      <c r="R519" s="100" t="str">
        <f>IFERROR(VLOOKUP(Tablo517[[#This Row],[ÜRÜN KODU]],YMKODLARI!$A$1:$K$363,6,0)," ")</f>
        <v xml:space="preserve"> </v>
      </c>
      <c r="S519" s="100" t="str">
        <f>IFERROR(Tablo517[[#This Row],[YOLLUK HARİÇ BASKI GRAMI]]/Tablo517[[#This Row],[KALIP GÖZ ADEDİ]]," ")</f>
        <v xml:space="preserve"> </v>
      </c>
      <c r="T519" s="100" t="str">
        <f t="shared" si="59"/>
        <v xml:space="preserve"> </v>
      </c>
      <c r="U519" s="100"/>
      <c r="V519" s="100" t="str">
        <f t="shared" si="58"/>
        <v xml:space="preserve"> </v>
      </c>
      <c r="W519" s="101">
        <f t="shared" si="60"/>
        <v>24</v>
      </c>
      <c r="X519" s="102">
        <f t="shared" si="61"/>
        <v>0</v>
      </c>
      <c r="Y519" s="100" t="str">
        <f t="shared" si="62"/>
        <v xml:space="preserve"> </v>
      </c>
      <c r="Z519" s="100" t="str">
        <f t="shared" si="63"/>
        <v xml:space="preserve"> </v>
      </c>
    </row>
    <row r="520" spans="1:26">
      <c r="A520" s="100"/>
      <c r="B520" s="108" t="str">
        <f>IFERROR(VLOOKUP(Tablo517[[#This Row],[ÜRÜN KODU]],YMKODLARI!$A$1:$K$363,2,0)," ")</f>
        <v xml:space="preserve"> </v>
      </c>
      <c r="C520" s="99"/>
      <c r="D520" s="100"/>
      <c r="E520" s="101"/>
      <c r="F520" s="101"/>
      <c r="G520" s="100" t="str">
        <f>IFERROR(VLOOKUP(Tablo517[[#This Row],[ÜRÜN KODU]],YMKODLARI!$A$1:$K$363,3,0)," ")</f>
        <v xml:space="preserve"> </v>
      </c>
      <c r="H520" s="100" t="str">
        <f>IFERROR(VLOOKUP(Tablo517[[#This Row],[ÜRÜN KODU]],YMKODLARI!$A$1:$K$363,4,0)," ")</f>
        <v xml:space="preserve"> </v>
      </c>
      <c r="I520" s="100"/>
      <c r="J520" s="100" t="str">
        <f>IFERROR(VLOOKUP(Tablo517[[#This Row],[ÜRÜN KODU]],YMKODLARI!$A$1:$K$363,9,0)," ")</f>
        <v xml:space="preserve"> </v>
      </c>
      <c r="K520" s="100" t="str">
        <f>IFERROR(VLOOKUP(Tablo517[[#This Row],[BOYA KODU]],Tablo14[#All],4,0)," ")</f>
        <v xml:space="preserve"> </v>
      </c>
      <c r="L520" s="100" t="str">
        <f>IFERROR(VLOOKUP(Tablo517[[#This Row],[BOYA KODU]],Tablo14[#All],6,0)," ")</f>
        <v xml:space="preserve"> </v>
      </c>
      <c r="M520" s="100" t="str">
        <f t="shared" si="57"/>
        <v xml:space="preserve"> </v>
      </c>
      <c r="N520" s="100" t="str">
        <f>IFERROR(VLOOKUP(Tablo517[[#This Row],[ÜRÜN KODU]],YMKODLARI!$A$1:$K$363,8,0)," ")</f>
        <v xml:space="preserve"> </v>
      </c>
      <c r="O520" s="100" t="str">
        <f>IFERROR(VLOOKUP(Tablo517[[#This Row],[HAMMADDE KODU]],Tablo1[#All],3,0)," ")</f>
        <v xml:space="preserve"> </v>
      </c>
      <c r="P520" s="100" t="str">
        <f>IFERROR(VLOOKUP(Tablo517[[#This Row],[HAMMADDE KODU]],Tablo1[#All],4,0)," ")</f>
        <v xml:space="preserve"> </v>
      </c>
      <c r="Q520" s="100" t="str">
        <f>IFERROR(VLOOKUP(Tablo517[[#This Row],[ÜRÜN KODU]],YMKODLARI!$A$1:$K$363,5,0)," ")</f>
        <v xml:space="preserve"> </v>
      </c>
      <c r="R520" s="100" t="str">
        <f>IFERROR(VLOOKUP(Tablo517[[#This Row],[ÜRÜN KODU]],YMKODLARI!$A$1:$K$363,6,0)," ")</f>
        <v xml:space="preserve"> </v>
      </c>
      <c r="S520" s="100" t="str">
        <f>IFERROR(Tablo517[[#This Row],[YOLLUK HARİÇ BASKI GRAMI]]/Tablo517[[#This Row],[KALIP GÖZ ADEDİ]]," ")</f>
        <v xml:space="preserve"> </v>
      </c>
      <c r="T520" s="100" t="str">
        <f t="shared" si="59"/>
        <v xml:space="preserve"> </v>
      </c>
      <c r="U520" s="100"/>
      <c r="V520" s="100" t="str">
        <f t="shared" si="58"/>
        <v xml:space="preserve"> </v>
      </c>
      <c r="W520" s="101">
        <f t="shared" si="60"/>
        <v>24</v>
      </c>
      <c r="X520" s="102">
        <f t="shared" si="61"/>
        <v>0</v>
      </c>
      <c r="Y520" s="100" t="str">
        <f t="shared" si="62"/>
        <v xml:space="preserve"> </v>
      </c>
      <c r="Z520" s="100" t="str">
        <f t="shared" si="63"/>
        <v xml:space="preserve"> </v>
      </c>
    </row>
    <row r="521" spans="1:26">
      <c r="A521" s="100"/>
      <c r="B521" s="108" t="str">
        <f>IFERROR(VLOOKUP(Tablo517[[#This Row],[ÜRÜN KODU]],YMKODLARI!$A$1:$K$363,2,0)," ")</f>
        <v xml:space="preserve"> </v>
      </c>
      <c r="C521" s="99"/>
      <c r="D521" s="100"/>
      <c r="E521" s="101"/>
      <c r="F521" s="101"/>
      <c r="G521" s="100" t="str">
        <f>IFERROR(VLOOKUP(Tablo517[[#This Row],[ÜRÜN KODU]],YMKODLARI!$A$1:$K$363,3,0)," ")</f>
        <v xml:space="preserve"> </v>
      </c>
      <c r="H521" s="100" t="str">
        <f>IFERROR(VLOOKUP(Tablo517[[#This Row],[ÜRÜN KODU]],YMKODLARI!$A$1:$K$363,4,0)," ")</f>
        <v xml:space="preserve"> </v>
      </c>
      <c r="I521" s="100"/>
      <c r="J521" s="100" t="str">
        <f>IFERROR(VLOOKUP(Tablo517[[#This Row],[ÜRÜN KODU]],YMKODLARI!$A$1:$K$363,9,0)," ")</f>
        <v xml:space="preserve"> </v>
      </c>
      <c r="K521" s="100" t="str">
        <f>IFERROR(VLOOKUP(Tablo517[[#This Row],[BOYA KODU]],Tablo14[#All],4,0)," ")</f>
        <v xml:space="preserve"> </v>
      </c>
      <c r="L521" s="100" t="str">
        <f>IFERROR(VLOOKUP(Tablo517[[#This Row],[BOYA KODU]],Tablo14[#All],6,0)," ")</f>
        <v xml:space="preserve"> </v>
      </c>
      <c r="M521" s="100" t="str">
        <f t="shared" si="57"/>
        <v xml:space="preserve"> </v>
      </c>
      <c r="N521" s="100" t="str">
        <f>IFERROR(VLOOKUP(Tablo517[[#This Row],[ÜRÜN KODU]],YMKODLARI!$A$1:$K$363,8,0)," ")</f>
        <v xml:space="preserve"> </v>
      </c>
      <c r="O521" s="100" t="str">
        <f>IFERROR(VLOOKUP(Tablo517[[#This Row],[HAMMADDE KODU]],Tablo1[#All],3,0)," ")</f>
        <v xml:space="preserve"> </v>
      </c>
      <c r="P521" s="100" t="str">
        <f>IFERROR(VLOOKUP(Tablo517[[#This Row],[HAMMADDE KODU]],Tablo1[#All],4,0)," ")</f>
        <v xml:space="preserve"> </v>
      </c>
      <c r="Q521" s="100" t="str">
        <f>IFERROR(VLOOKUP(Tablo517[[#This Row],[ÜRÜN KODU]],YMKODLARI!$A$1:$K$363,5,0)," ")</f>
        <v xml:space="preserve"> </v>
      </c>
      <c r="R521" s="100" t="str">
        <f>IFERROR(VLOOKUP(Tablo517[[#This Row],[ÜRÜN KODU]],YMKODLARI!$A$1:$K$363,6,0)," ")</f>
        <v xml:space="preserve"> </v>
      </c>
      <c r="S521" s="100" t="str">
        <f>IFERROR(Tablo517[[#This Row],[YOLLUK HARİÇ BASKI GRAMI]]/Tablo517[[#This Row],[KALIP GÖZ ADEDİ]]," ")</f>
        <v xml:space="preserve"> </v>
      </c>
      <c r="T521" s="100" t="str">
        <f t="shared" si="59"/>
        <v xml:space="preserve"> </v>
      </c>
      <c r="U521" s="100"/>
      <c r="V521" s="100" t="str">
        <f t="shared" si="58"/>
        <v xml:space="preserve"> </v>
      </c>
      <c r="W521" s="101">
        <f t="shared" si="60"/>
        <v>24</v>
      </c>
      <c r="X521" s="102">
        <f t="shared" si="61"/>
        <v>0</v>
      </c>
      <c r="Y521" s="100" t="str">
        <f t="shared" si="62"/>
        <v xml:space="preserve"> </v>
      </c>
      <c r="Z521" s="100" t="str">
        <f t="shared" si="63"/>
        <v xml:space="preserve"> </v>
      </c>
    </row>
    <row r="522" spans="1:26">
      <c r="A522" s="100"/>
      <c r="B522" s="108" t="str">
        <f>IFERROR(VLOOKUP(Tablo517[[#This Row],[ÜRÜN KODU]],YMKODLARI!$A$1:$K$363,2,0)," ")</f>
        <v xml:space="preserve"> </v>
      </c>
      <c r="C522" s="99"/>
      <c r="D522" s="100"/>
      <c r="E522" s="101"/>
      <c r="F522" s="101"/>
      <c r="G522" s="100" t="str">
        <f>IFERROR(VLOOKUP(Tablo517[[#This Row],[ÜRÜN KODU]],YMKODLARI!$A$1:$K$363,3,0)," ")</f>
        <v xml:space="preserve"> </v>
      </c>
      <c r="H522" s="100" t="str">
        <f>IFERROR(VLOOKUP(Tablo517[[#This Row],[ÜRÜN KODU]],YMKODLARI!$A$1:$K$363,4,0)," ")</f>
        <v xml:space="preserve"> </v>
      </c>
      <c r="I522" s="100"/>
      <c r="J522" s="100" t="str">
        <f>IFERROR(VLOOKUP(Tablo517[[#This Row],[ÜRÜN KODU]],YMKODLARI!$A$1:$K$363,9,0)," ")</f>
        <v xml:space="preserve"> </v>
      </c>
      <c r="K522" s="100" t="str">
        <f>IFERROR(VLOOKUP(Tablo517[[#This Row],[BOYA KODU]],Tablo14[#All],4,0)," ")</f>
        <v xml:space="preserve"> </v>
      </c>
      <c r="L522" s="100" t="str">
        <f>IFERROR(VLOOKUP(Tablo517[[#This Row],[BOYA KODU]],Tablo14[#All],6,0)," ")</f>
        <v xml:space="preserve"> </v>
      </c>
      <c r="M522" s="100" t="str">
        <f t="shared" si="57"/>
        <v xml:space="preserve"> </v>
      </c>
      <c r="N522" s="100" t="str">
        <f>IFERROR(VLOOKUP(Tablo517[[#This Row],[ÜRÜN KODU]],YMKODLARI!$A$1:$K$363,8,0)," ")</f>
        <v xml:space="preserve"> </v>
      </c>
      <c r="O522" s="100" t="str">
        <f>IFERROR(VLOOKUP(Tablo517[[#This Row],[HAMMADDE KODU]],Tablo1[#All],3,0)," ")</f>
        <v xml:space="preserve"> </v>
      </c>
      <c r="P522" s="100" t="str">
        <f>IFERROR(VLOOKUP(Tablo517[[#This Row],[HAMMADDE KODU]],Tablo1[#All],4,0)," ")</f>
        <v xml:space="preserve"> </v>
      </c>
      <c r="Q522" s="100" t="str">
        <f>IFERROR(VLOOKUP(Tablo517[[#This Row],[ÜRÜN KODU]],YMKODLARI!$A$1:$K$363,5,0)," ")</f>
        <v xml:space="preserve"> </v>
      </c>
      <c r="R522" s="100" t="str">
        <f>IFERROR(VLOOKUP(Tablo517[[#This Row],[ÜRÜN KODU]],YMKODLARI!$A$1:$K$363,6,0)," ")</f>
        <v xml:space="preserve"> </v>
      </c>
      <c r="S522" s="100" t="str">
        <f>IFERROR(Tablo517[[#This Row],[YOLLUK HARİÇ BASKI GRAMI]]/Tablo517[[#This Row],[KALIP GÖZ ADEDİ]]," ")</f>
        <v xml:space="preserve"> </v>
      </c>
      <c r="T522" s="100" t="str">
        <f t="shared" si="59"/>
        <v xml:space="preserve"> </v>
      </c>
      <c r="U522" s="100"/>
      <c r="V522" s="100" t="str">
        <f t="shared" si="58"/>
        <v xml:space="preserve"> </v>
      </c>
      <c r="W522" s="101">
        <f t="shared" si="60"/>
        <v>24</v>
      </c>
      <c r="X522" s="102">
        <f t="shared" si="61"/>
        <v>0</v>
      </c>
      <c r="Y522" s="100" t="str">
        <f t="shared" si="62"/>
        <v xml:space="preserve"> </v>
      </c>
      <c r="Z522" s="100" t="str">
        <f t="shared" si="63"/>
        <v xml:space="preserve"> </v>
      </c>
    </row>
    <row r="523" spans="1:26">
      <c r="A523" s="100"/>
      <c r="B523" s="108" t="str">
        <f>IFERROR(VLOOKUP(Tablo517[[#This Row],[ÜRÜN KODU]],YMKODLARI!$A$1:$K$363,2,0)," ")</f>
        <v xml:space="preserve"> </v>
      </c>
      <c r="C523" s="99"/>
      <c r="D523" s="100"/>
      <c r="E523" s="101"/>
      <c r="F523" s="101"/>
      <c r="G523" s="100" t="str">
        <f>IFERROR(VLOOKUP(Tablo517[[#This Row],[ÜRÜN KODU]],YMKODLARI!$A$1:$K$363,3,0)," ")</f>
        <v xml:space="preserve"> </v>
      </c>
      <c r="H523" s="100" t="str">
        <f>IFERROR(VLOOKUP(Tablo517[[#This Row],[ÜRÜN KODU]],YMKODLARI!$A$1:$K$363,4,0)," ")</f>
        <v xml:space="preserve"> </v>
      </c>
      <c r="I523" s="100"/>
      <c r="J523" s="100" t="str">
        <f>IFERROR(VLOOKUP(Tablo517[[#This Row],[ÜRÜN KODU]],YMKODLARI!$A$1:$K$363,9,0)," ")</f>
        <v xml:space="preserve"> </v>
      </c>
      <c r="K523" s="100" t="str">
        <f>IFERROR(VLOOKUP(Tablo517[[#This Row],[BOYA KODU]],Tablo14[#All],4,0)," ")</f>
        <v xml:space="preserve"> </v>
      </c>
      <c r="L523" s="100" t="str">
        <f>IFERROR(VLOOKUP(Tablo517[[#This Row],[BOYA KODU]],Tablo14[#All],6,0)," ")</f>
        <v xml:space="preserve"> </v>
      </c>
      <c r="M523" s="100" t="str">
        <f t="shared" si="57"/>
        <v xml:space="preserve"> </v>
      </c>
      <c r="N523" s="100" t="str">
        <f>IFERROR(VLOOKUP(Tablo517[[#This Row],[ÜRÜN KODU]],YMKODLARI!$A$1:$K$363,8,0)," ")</f>
        <v xml:space="preserve"> </v>
      </c>
      <c r="O523" s="100" t="str">
        <f>IFERROR(VLOOKUP(Tablo517[[#This Row],[HAMMADDE KODU]],Tablo1[#All],3,0)," ")</f>
        <v xml:space="preserve"> </v>
      </c>
      <c r="P523" s="100" t="str">
        <f>IFERROR(VLOOKUP(Tablo517[[#This Row],[HAMMADDE KODU]],Tablo1[#All],4,0)," ")</f>
        <v xml:space="preserve"> </v>
      </c>
      <c r="Q523" s="100" t="str">
        <f>IFERROR(VLOOKUP(Tablo517[[#This Row],[ÜRÜN KODU]],YMKODLARI!$A$1:$K$363,5,0)," ")</f>
        <v xml:space="preserve"> </v>
      </c>
      <c r="R523" s="100" t="str">
        <f>IFERROR(VLOOKUP(Tablo517[[#This Row],[ÜRÜN KODU]],YMKODLARI!$A$1:$K$363,6,0)," ")</f>
        <v xml:space="preserve"> </v>
      </c>
      <c r="S523" s="100" t="str">
        <f>IFERROR(Tablo517[[#This Row],[YOLLUK HARİÇ BASKI GRAMI]]/Tablo517[[#This Row],[KALIP GÖZ ADEDİ]]," ")</f>
        <v xml:space="preserve"> </v>
      </c>
      <c r="T523" s="100" t="str">
        <f t="shared" si="59"/>
        <v xml:space="preserve"> </v>
      </c>
      <c r="U523" s="100"/>
      <c r="V523" s="100" t="str">
        <f t="shared" si="58"/>
        <v xml:space="preserve"> </v>
      </c>
      <c r="W523" s="101">
        <f t="shared" si="60"/>
        <v>24</v>
      </c>
      <c r="X523" s="102">
        <f t="shared" si="61"/>
        <v>0</v>
      </c>
      <c r="Y523" s="100" t="str">
        <f t="shared" si="62"/>
        <v xml:space="preserve"> </v>
      </c>
      <c r="Z523" s="100" t="str">
        <f t="shared" si="63"/>
        <v xml:space="preserve"> </v>
      </c>
    </row>
    <row r="524" spans="1:26">
      <c r="A524" s="100"/>
      <c r="B524" s="108" t="str">
        <f>IFERROR(VLOOKUP(Tablo517[[#This Row],[ÜRÜN KODU]],YMKODLARI!$A$1:$K$363,2,0)," ")</f>
        <v xml:space="preserve"> </v>
      </c>
      <c r="C524" s="99"/>
      <c r="D524" s="100"/>
      <c r="E524" s="101"/>
      <c r="F524" s="101"/>
      <c r="G524" s="100" t="str">
        <f>IFERROR(VLOOKUP(Tablo517[[#This Row],[ÜRÜN KODU]],YMKODLARI!$A$1:$K$363,3,0)," ")</f>
        <v xml:space="preserve"> </v>
      </c>
      <c r="H524" s="100" t="str">
        <f>IFERROR(VLOOKUP(Tablo517[[#This Row],[ÜRÜN KODU]],YMKODLARI!$A$1:$K$363,4,0)," ")</f>
        <v xml:space="preserve"> </v>
      </c>
      <c r="I524" s="100"/>
      <c r="J524" s="100" t="str">
        <f>IFERROR(VLOOKUP(Tablo517[[#This Row],[ÜRÜN KODU]],YMKODLARI!$A$1:$K$363,9,0)," ")</f>
        <v xml:space="preserve"> </v>
      </c>
      <c r="K524" s="100" t="str">
        <f>IFERROR(VLOOKUP(Tablo517[[#This Row],[BOYA KODU]],Tablo14[#All],4,0)," ")</f>
        <v xml:space="preserve"> </v>
      </c>
      <c r="L524" s="100" t="str">
        <f>IFERROR(VLOOKUP(Tablo517[[#This Row],[BOYA KODU]],Tablo14[#All],6,0)," ")</f>
        <v xml:space="preserve"> </v>
      </c>
      <c r="M524" s="100" t="str">
        <f t="shared" si="57"/>
        <v xml:space="preserve"> </v>
      </c>
      <c r="N524" s="100" t="str">
        <f>IFERROR(VLOOKUP(Tablo517[[#This Row],[ÜRÜN KODU]],YMKODLARI!$A$1:$K$363,8,0)," ")</f>
        <v xml:space="preserve"> </v>
      </c>
      <c r="O524" s="100" t="str">
        <f>IFERROR(VLOOKUP(Tablo517[[#This Row],[HAMMADDE KODU]],Tablo1[#All],3,0)," ")</f>
        <v xml:space="preserve"> </v>
      </c>
      <c r="P524" s="100" t="str">
        <f>IFERROR(VLOOKUP(Tablo517[[#This Row],[HAMMADDE KODU]],Tablo1[#All],4,0)," ")</f>
        <v xml:space="preserve"> </v>
      </c>
      <c r="Q524" s="100" t="str">
        <f>IFERROR(VLOOKUP(Tablo517[[#This Row],[ÜRÜN KODU]],YMKODLARI!$A$1:$K$363,5,0)," ")</f>
        <v xml:space="preserve"> </v>
      </c>
      <c r="R524" s="100" t="str">
        <f>IFERROR(VLOOKUP(Tablo517[[#This Row],[ÜRÜN KODU]],YMKODLARI!$A$1:$K$363,6,0)," ")</f>
        <v xml:space="preserve"> </v>
      </c>
      <c r="S524" s="100" t="str">
        <f>IFERROR(Tablo517[[#This Row],[YOLLUK HARİÇ BASKI GRAMI]]/Tablo517[[#This Row],[KALIP GÖZ ADEDİ]]," ")</f>
        <v xml:space="preserve"> </v>
      </c>
      <c r="T524" s="100" t="str">
        <f t="shared" si="59"/>
        <v xml:space="preserve"> </v>
      </c>
      <c r="U524" s="100"/>
      <c r="V524" s="100" t="str">
        <f t="shared" si="58"/>
        <v xml:space="preserve"> </v>
      </c>
      <c r="W524" s="101">
        <f t="shared" si="60"/>
        <v>24</v>
      </c>
      <c r="X524" s="102">
        <f t="shared" si="61"/>
        <v>0</v>
      </c>
      <c r="Y524" s="100" t="str">
        <f t="shared" si="62"/>
        <v xml:space="preserve"> </v>
      </c>
      <c r="Z524" s="100" t="str">
        <f t="shared" si="63"/>
        <v xml:space="preserve"> </v>
      </c>
    </row>
    <row r="525" spans="1:26">
      <c r="A525" s="100"/>
      <c r="B525" s="108" t="str">
        <f>IFERROR(VLOOKUP(Tablo517[[#This Row],[ÜRÜN KODU]],YMKODLARI!$A$1:$K$363,2,0)," ")</f>
        <v xml:space="preserve"> </v>
      </c>
      <c r="C525" s="99"/>
      <c r="D525" s="100"/>
      <c r="E525" s="101"/>
      <c r="F525" s="101"/>
      <c r="G525" s="100" t="str">
        <f>IFERROR(VLOOKUP(Tablo517[[#This Row],[ÜRÜN KODU]],YMKODLARI!$A$1:$K$363,3,0)," ")</f>
        <v xml:space="preserve"> </v>
      </c>
      <c r="H525" s="100" t="str">
        <f>IFERROR(VLOOKUP(Tablo517[[#This Row],[ÜRÜN KODU]],YMKODLARI!$A$1:$K$363,4,0)," ")</f>
        <v xml:space="preserve"> </v>
      </c>
      <c r="I525" s="100"/>
      <c r="J525" s="100" t="str">
        <f>IFERROR(VLOOKUP(Tablo517[[#This Row],[ÜRÜN KODU]],YMKODLARI!$A$1:$K$363,9,0)," ")</f>
        <v xml:space="preserve"> </v>
      </c>
      <c r="K525" s="100" t="str">
        <f>IFERROR(VLOOKUP(Tablo517[[#This Row],[BOYA KODU]],Tablo14[#All],4,0)," ")</f>
        <v xml:space="preserve"> </v>
      </c>
      <c r="L525" s="100" t="str">
        <f>IFERROR(VLOOKUP(Tablo517[[#This Row],[BOYA KODU]],Tablo14[#All],6,0)," ")</f>
        <v xml:space="preserve"> </v>
      </c>
      <c r="M525" s="100" t="str">
        <f t="shared" si="57"/>
        <v xml:space="preserve"> </v>
      </c>
      <c r="N525" s="100" t="str">
        <f>IFERROR(VLOOKUP(Tablo517[[#This Row],[ÜRÜN KODU]],YMKODLARI!$A$1:$K$363,8,0)," ")</f>
        <v xml:space="preserve"> </v>
      </c>
      <c r="O525" s="100" t="str">
        <f>IFERROR(VLOOKUP(Tablo517[[#This Row],[HAMMADDE KODU]],Tablo1[#All],3,0)," ")</f>
        <v xml:space="preserve"> </v>
      </c>
      <c r="P525" s="100" t="str">
        <f>IFERROR(VLOOKUP(Tablo517[[#This Row],[HAMMADDE KODU]],Tablo1[#All],4,0)," ")</f>
        <v xml:space="preserve"> </v>
      </c>
      <c r="Q525" s="100" t="str">
        <f>IFERROR(VLOOKUP(Tablo517[[#This Row],[ÜRÜN KODU]],YMKODLARI!$A$1:$K$363,5,0)," ")</f>
        <v xml:space="preserve"> </v>
      </c>
      <c r="R525" s="100" t="str">
        <f>IFERROR(VLOOKUP(Tablo517[[#This Row],[ÜRÜN KODU]],YMKODLARI!$A$1:$K$363,6,0)," ")</f>
        <v xml:space="preserve"> </v>
      </c>
      <c r="S525" s="100" t="str">
        <f>IFERROR(Tablo517[[#This Row],[YOLLUK HARİÇ BASKI GRAMI]]/Tablo517[[#This Row],[KALIP GÖZ ADEDİ]]," ")</f>
        <v xml:space="preserve"> </v>
      </c>
      <c r="T525" s="100" t="str">
        <f t="shared" si="59"/>
        <v xml:space="preserve"> </v>
      </c>
      <c r="U525" s="100"/>
      <c r="V525" s="100" t="str">
        <f t="shared" si="58"/>
        <v xml:space="preserve"> </v>
      </c>
      <c r="W525" s="101">
        <f t="shared" si="60"/>
        <v>24</v>
      </c>
      <c r="X525" s="102">
        <f t="shared" si="61"/>
        <v>0</v>
      </c>
      <c r="Y525" s="100" t="str">
        <f t="shared" si="62"/>
        <v xml:space="preserve"> </v>
      </c>
      <c r="Z525" s="100" t="str">
        <f t="shared" si="63"/>
        <v xml:space="preserve"> </v>
      </c>
    </row>
    <row r="526" spans="1:26">
      <c r="A526" s="100"/>
      <c r="B526" s="108" t="str">
        <f>IFERROR(VLOOKUP(Tablo517[[#This Row],[ÜRÜN KODU]],YMKODLARI!$A$1:$K$363,2,0)," ")</f>
        <v xml:space="preserve"> </v>
      </c>
      <c r="C526" s="99"/>
      <c r="D526" s="100"/>
      <c r="E526" s="101"/>
      <c r="F526" s="101"/>
      <c r="G526" s="100" t="str">
        <f>IFERROR(VLOOKUP(Tablo517[[#This Row],[ÜRÜN KODU]],YMKODLARI!$A$1:$K$363,3,0)," ")</f>
        <v xml:space="preserve"> </v>
      </c>
      <c r="H526" s="100" t="str">
        <f>IFERROR(VLOOKUP(Tablo517[[#This Row],[ÜRÜN KODU]],YMKODLARI!$A$1:$K$363,4,0)," ")</f>
        <v xml:space="preserve"> </v>
      </c>
      <c r="I526" s="100"/>
      <c r="J526" s="100" t="str">
        <f>IFERROR(VLOOKUP(Tablo517[[#This Row],[ÜRÜN KODU]],YMKODLARI!$A$1:$K$363,9,0)," ")</f>
        <v xml:space="preserve"> </v>
      </c>
      <c r="K526" s="100" t="str">
        <f>IFERROR(VLOOKUP(Tablo517[[#This Row],[BOYA KODU]],Tablo14[#All],4,0)," ")</f>
        <v xml:space="preserve"> </v>
      </c>
      <c r="L526" s="100" t="str">
        <f>IFERROR(VLOOKUP(Tablo517[[#This Row],[BOYA KODU]],Tablo14[#All],6,0)," ")</f>
        <v xml:space="preserve"> </v>
      </c>
      <c r="M526" s="100" t="str">
        <f t="shared" si="57"/>
        <v xml:space="preserve"> </v>
      </c>
      <c r="N526" s="100" t="str">
        <f>IFERROR(VLOOKUP(Tablo517[[#This Row],[ÜRÜN KODU]],YMKODLARI!$A$1:$K$363,8,0)," ")</f>
        <v xml:space="preserve"> </v>
      </c>
      <c r="O526" s="100" t="str">
        <f>IFERROR(VLOOKUP(Tablo517[[#This Row],[HAMMADDE KODU]],Tablo1[#All],3,0)," ")</f>
        <v xml:space="preserve"> </v>
      </c>
      <c r="P526" s="100" t="str">
        <f>IFERROR(VLOOKUP(Tablo517[[#This Row],[HAMMADDE KODU]],Tablo1[#All],4,0)," ")</f>
        <v xml:space="preserve"> </v>
      </c>
      <c r="Q526" s="100" t="str">
        <f>IFERROR(VLOOKUP(Tablo517[[#This Row],[ÜRÜN KODU]],YMKODLARI!$A$1:$K$363,5,0)," ")</f>
        <v xml:space="preserve"> </v>
      </c>
      <c r="R526" s="100" t="str">
        <f>IFERROR(VLOOKUP(Tablo517[[#This Row],[ÜRÜN KODU]],YMKODLARI!$A$1:$K$363,6,0)," ")</f>
        <v xml:space="preserve"> </v>
      </c>
      <c r="S526" s="100" t="str">
        <f>IFERROR(Tablo517[[#This Row],[YOLLUK HARİÇ BASKI GRAMI]]/Tablo517[[#This Row],[KALIP GÖZ ADEDİ]]," ")</f>
        <v xml:space="preserve"> </v>
      </c>
      <c r="T526" s="100" t="str">
        <f t="shared" si="59"/>
        <v xml:space="preserve"> </v>
      </c>
      <c r="U526" s="100"/>
      <c r="V526" s="100" t="str">
        <f t="shared" si="58"/>
        <v xml:space="preserve"> </v>
      </c>
      <c r="W526" s="101">
        <f t="shared" si="60"/>
        <v>24</v>
      </c>
      <c r="X526" s="102">
        <f t="shared" si="61"/>
        <v>0</v>
      </c>
      <c r="Y526" s="100" t="str">
        <f t="shared" si="62"/>
        <v xml:space="preserve"> </v>
      </c>
      <c r="Z526" s="100" t="str">
        <f t="shared" si="63"/>
        <v xml:space="preserve"> </v>
      </c>
    </row>
    <row r="527" spans="1:26">
      <c r="A527" s="100"/>
      <c r="B527" s="108" t="str">
        <f>IFERROR(VLOOKUP(Tablo517[[#This Row],[ÜRÜN KODU]],YMKODLARI!$A$1:$K$363,2,0)," ")</f>
        <v xml:space="preserve"> </v>
      </c>
      <c r="C527" s="99"/>
      <c r="D527" s="100"/>
      <c r="E527" s="101"/>
      <c r="F527" s="101"/>
      <c r="G527" s="100" t="str">
        <f>IFERROR(VLOOKUP(Tablo517[[#This Row],[ÜRÜN KODU]],YMKODLARI!$A$1:$K$363,3,0)," ")</f>
        <v xml:space="preserve"> </v>
      </c>
      <c r="H527" s="100" t="str">
        <f>IFERROR(VLOOKUP(Tablo517[[#This Row],[ÜRÜN KODU]],YMKODLARI!$A$1:$K$363,4,0)," ")</f>
        <v xml:space="preserve"> </v>
      </c>
      <c r="I527" s="100"/>
      <c r="J527" s="100" t="str">
        <f>IFERROR(VLOOKUP(Tablo517[[#This Row],[ÜRÜN KODU]],YMKODLARI!$A$1:$K$363,9,0)," ")</f>
        <v xml:space="preserve"> </v>
      </c>
      <c r="K527" s="100" t="str">
        <f>IFERROR(VLOOKUP(Tablo517[[#This Row],[BOYA KODU]],Tablo14[#All],4,0)," ")</f>
        <v xml:space="preserve"> </v>
      </c>
      <c r="L527" s="100" t="str">
        <f>IFERROR(VLOOKUP(Tablo517[[#This Row],[BOYA KODU]],Tablo14[#All],6,0)," ")</f>
        <v xml:space="preserve"> </v>
      </c>
      <c r="M527" s="100" t="str">
        <f t="shared" si="57"/>
        <v xml:space="preserve"> </v>
      </c>
      <c r="N527" s="100" t="str">
        <f>IFERROR(VLOOKUP(Tablo517[[#This Row],[ÜRÜN KODU]],YMKODLARI!$A$1:$K$363,8,0)," ")</f>
        <v xml:space="preserve"> </v>
      </c>
      <c r="O527" s="100" t="str">
        <f>IFERROR(VLOOKUP(Tablo517[[#This Row],[HAMMADDE KODU]],Tablo1[#All],3,0)," ")</f>
        <v xml:space="preserve"> </v>
      </c>
      <c r="P527" s="100" t="str">
        <f>IFERROR(VLOOKUP(Tablo517[[#This Row],[HAMMADDE KODU]],Tablo1[#All],4,0)," ")</f>
        <v xml:space="preserve"> </v>
      </c>
      <c r="Q527" s="100" t="str">
        <f>IFERROR(VLOOKUP(Tablo517[[#This Row],[ÜRÜN KODU]],YMKODLARI!$A$1:$K$363,5,0)," ")</f>
        <v xml:space="preserve"> </v>
      </c>
      <c r="R527" s="100" t="str">
        <f>IFERROR(VLOOKUP(Tablo517[[#This Row],[ÜRÜN KODU]],YMKODLARI!$A$1:$K$363,6,0)," ")</f>
        <v xml:space="preserve"> </v>
      </c>
      <c r="S527" s="100" t="str">
        <f>IFERROR(Tablo517[[#This Row],[YOLLUK HARİÇ BASKI GRAMI]]/Tablo517[[#This Row],[KALIP GÖZ ADEDİ]]," ")</f>
        <v xml:space="preserve"> </v>
      </c>
      <c r="T527" s="100" t="str">
        <f t="shared" si="59"/>
        <v xml:space="preserve"> </v>
      </c>
      <c r="U527" s="100"/>
      <c r="V527" s="100" t="str">
        <f t="shared" si="58"/>
        <v xml:space="preserve"> </v>
      </c>
      <c r="W527" s="101">
        <f t="shared" si="60"/>
        <v>24</v>
      </c>
      <c r="X527" s="102">
        <f t="shared" si="61"/>
        <v>0</v>
      </c>
      <c r="Y527" s="100" t="str">
        <f t="shared" si="62"/>
        <v xml:space="preserve"> </v>
      </c>
      <c r="Z527" s="100" t="str">
        <f t="shared" si="63"/>
        <v xml:space="preserve"> </v>
      </c>
    </row>
    <row r="528" spans="1:26">
      <c r="A528" s="100"/>
      <c r="B528" s="108" t="str">
        <f>IFERROR(VLOOKUP(Tablo517[[#This Row],[ÜRÜN KODU]],YMKODLARI!$A$1:$K$363,2,0)," ")</f>
        <v xml:space="preserve"> </v>
      </c>
      <c r="C528" s="99"/>
      <c r="D528" s="100"/>
      <c r="E528" s="101"/>
      <c r="F528" s="101"/>
      <c r="G528" s="100" t="str">
        <f>IFERROR(VLOOKUP(Tablo517[[#This Row],[ÜRÜN KODU]],YMKODLARI!$A$1:$K$363,3,0)," ")</f>
        <v xml:space="preserve"> </v>
      </c>
      <c r="H528" s="100" t="str">
        <f>IFERROR(VLOOKUP(Tablo517[[#This Row],[ÜRÜN KODU]],YMKODLARI!$A$1:$K$363,4,0)," ")</f>
        <v xml:space="preserve"> </v>
      </c>
      <c r="I528" s="100"/>
      <c r="J528" s="100" t="str">
        <f>IFERROR(VLOOKUP(Tablo517[[#This Row],[ÜRÜN KODU]],YMKODLARI!$A$1:$K$363,9,0)," ")</f>
        <v xml:space="preserve"> </v>
      </c>
      <c r="K528" s="100" t="str">
        <f>IFERROR(VLOOKUP(Tablo517[[#This Row],[BOYA KODU]],Tablo14[#All],4,0)," ")</f>
        <v xml:space="preserve"> </v>
      </c>
      <c r="L528" s="100" t="str">
        <f>IFERROR(VLOOKUP(Tablo517[[#This Row],[BOYA KODU]],Tablo14[#All],6,0)," ")</f>
        <v xml:space="preserve"> </v>
      </c>
      <c r="M528" s="100" t="str">
        <f t="shared" si="57"/>
        <v xml:space="preserve"> </v>
      </c>
      <c r="N528" s="100" t="str">
        <f>IFERROR(VLOOKUP(Tablo517[[#This Row],[ÜRÜN KODU]],YMKODLARI!$A$1:$K$363,8,0)," ")</f>
        <v xml:space="preserve"> </v>
      </c>
      <c r="O528" s="100" t="str">
        <f>IFERROR(VLOOKUP(Tablo517[[#This Row],[HAMMADDE KODU]],Tablo1[#All],3,0)," ")</f>
        <v xml:space="preserve"> </v>
      </c>
      <c r="P528" s="100" t="str">
        <f>IFERROR(VLOOKUP(Tablo517[[#This Row],[HAMMADDE KODU]],Tablo1[#All],4,0)," ")</f>
        <v xml:space="preserve"> </v>
      </c>
      <c r="Q528" s="100" t="str">
        <f>IFERROR(VLOOKUP(Tablo517[[#This Row],[ÜRÜN KODU]],YMKODLARI!$A$1:$K$363,5,0)," ")</f>
        <v xml:space="preserve"> </v>
      </c>
      <c r="R528" s="100" t="str">
        <f>IFERROR(VLOOKUP(Tablo517[[#This Row],[ÜRÜN KODU]],YMKODLARI!$A$1:$K$363,6,0)," ")</f>
        <v xml:space="preserve"> </v>
      </c>
      <c r="S528" s="100" t="str">
        <f>IFERROR(Tablo517[[#This Row],[YOLLUK HARİÇ BASKI GRAMI]]/Tablo517[[#This Row],[KALIP GÖZ ADEDİ]]," ")</f>
        <v xml:space="preserve"> </v>
      </c>
      <c r="T528" s="100" t="str">
        <f t="shared" si="59"/>
        <v xml:space="preserve"> </v>
      </c>
      <c r="U528" s="100"/>
      <c r="V528" s="100" t="str">
        <f t="shared" si="58"/>
        <v xml:space="preserve"> </v>
      </c>
      <c r="W528" s="101">
        <f t="shared" si="60"/>
        <v>24</v>
      </c>
      <c r="X528" s="102">
        <f t="shared" si="61"/>
        <v>0</v>
      </c>
      <c r="Y528" s="100" t="str">
        <f t="shared" si="62"/>
        <v xml:space="preserve"> </v>
      </c>
      <c r="Z528" s="100" t="str">
        <f t="shared" si="63"/>
        <v xml:space="preserve"> </v>
      </c>
    </row>
    <row r="529" spans="1:26">
      <c r="A529" s="100"/>
      <c r="B529" s="108" t="str">
        <f>IFERROR(VLOOKUP(Tablo517[[#This Row],[ÜRÜN KODU]],YMKODLARI!$A$1:$K$363,2,0)," ")</f>
        <v xml:space="preserve"> </v>
      </c>
      <c r="C529" s="99"/>
      <c r="D529" s="100"/>
      <c r="E529" s="101"/>
      <c r="F529" s="101"/>
      <c r="G529" s="100" t="str">
        <f>IFERROR(VLOOKUP(Tablo517[[#This Row],[ÜRÜN KODU]],YMKODLARI!$A$1:$K$363,3,0)," ")</f>
        <v xml:space="preserve"> </v>
      </c>
      <c r="H529" s="100" t="str">
        <f>IFERROR(VLOOKUP(Tablo517[[#This Row],[ÜRÜN KODU]],YMKODLARI!$A$1:$K$363,4,0)," ")</f>
        <v xml:space="preserve"> </v>
      </c>
      <c r="I529" s="100"/>
      <c r="J529" s="100" t="str">
        <f>IFERROR(VLOOKUP(Tablo517[[#This Row],[ÜRÜN KODU]],YMKODLARI!$A$1:$K$363,9,0)," ")</f>
        <v xml:space="preserve"> </v>
      </c>
      <c r="K529" s="100" t="str">
        <f>IFERROR(VLOOKUP(Tablo517[[#This Row],[BOYA KODU]],Tablo14[#All],4,0)," ")</f>
        <v xml:space="preserve"> </v>
      </c>
      <c r="L529" s="100" t="str">
        <f>IFERROR(VLOOKUP(Tablo517[[#This Row],[BOYA KODU]],Tablo14[#All],6,0)," ")</f>
        <v xml:space="preserve"> </v>
      </c>
      <c r="M529" s="100" t="str">
        <f t="shared" si="57"/>
        <v xml:space="preserve"> </v>
      </c>
      <c r="N529" s="100" t="str">
        <f>IFERROR(VLOOKUP(Tablo517[[#This Row],[ÜRÜN KODU]],YMKODLARI!$A$1:$K$363,8,0)," ")</f>
        <v xml:space="preserve"> </v>
      </c>
      <c r="O529" s="100" t="str">
        <f>IFERROR(VLOOKUP(Tablo517[[#This Row],[HAMMADDE KODU]],Tablo1[#All],3,0)," ")</f>
        <v xml:space="preserve"> </v>
      </c>
      <c r="P529" s="100" t="str">
        <f>IFERROR(VLOOKUP(Tablo517[[#This Row],[HAMMADDE KODU]],Tablo1[#All],4,0)," ")</f>
        <v xml:space="preserve"> </v>
      </c>
      <c r="Q529" s="100" t="str">
        <f>IFERROR(VLOOKUP(Tablo517[[#This Row],[ÜRÜN KODU]],YMKODLARI!$A$1:$K$363,5,0)," ")</f>
        <v xml:space="preserve"> </v>
      </c>
      <c r="R529" s="100" t="str">
        <f>IFERROR(VLOOKUP(Tablo517[[#This Row],[ÜRÜN KODU]],YMKODLARI!$A$1:$K$363,6,0)," ")</f>
        <v xml:space="preserve"> </v>
      </c>
      <c r="S529" s="100" t="str">
        <f>IFERROR(Tablo517[[#This Row],[YOLLUK HARİÇ BASKI GRAMI]]/Tablo517[[#This Row],[KALIP GÖZ ADEDİ]]," ")</f>
        <v xml:space="preserve"> </v>
      </c>
      <c r="T529" s="100" t="str">
        <f t="shared" si="59"/>
        <v xml:space="preserve"> </v>
      </c>
      <c r="U529" s="100"/>
      <c r="V529" s="100" t="str">
        <f t="shared" si="58"/>
        <v xml:space="preserve"> </v>
      </c>
      <c r="W529" s="101">
        <f t="shared" si="60"/>
        <v>24</v>
      </c>
      <c r="X529" s="102">
        <f t="shared" si="61"/>
        <v>0</v>
      </c>
      <c r="Y529" s="100" t="str">
        <f t="shared" si="62"/>
        <v xml:space="preserve"> </v>
      </c>
      <c r="Z529" s="100" t="str">
        <f t="shared" si="63"/>
        <v xml:space="preserve"> </v>
      </c>
    </row>
    <row r="530" spans="1:26">
      <c r="A530" s="100"/>
      <c r="B530" s="108" t="str">
        <f>IFERROR(VLOOKUP(Tablo517[[#This Row],[ÜRÜN KODU]],YMKODLARI!$A$1:$K$363,2,0)," ")</f>
        <v xml:space="preserve"> </v>
      </c>
      <c r="C530" s="99"/>
      <c r="D530" s="100"/>
      <c r="E530" s="101"/>
      <c r="F530" s="101"/>
      <c r="G530" s="100" t="str">
        <f>IFERROR(VLOOKUP(Tablo517[[#This Row],[ÜRÜN KODU]],YMKODLARI!$A$1:$K$363,3,0)," ")</f>
        <v xml:space="preserve"> </v>
      </c>
      <c r="H530" s="100" t="str">
        <f>IFERROR(VLOOKUP(Tablo517[[#This Row],[ÜRÜN KODU]],YMKODLARI!$A$1:$K$363,4,0)," ")</f>
        <v xml:space="preserve"> </v>
      </c>
      <c r="I530" s="100"/>
      <c r="J530" s="100" t="str">
        <f>IFERROR(VLOOKUP(Tablo517[[#This Row],[ÜRÜN KODU]],YMKODLARI!$A$1:$K$363,9,0)," ")</f>
        <v xml:space="preserve"> </v>
      </c>
      <c r="K530" s="100" t="str">
        <f>IFERROR(VLOOKUP(Tablo517[[#This Row],[BOYA KODU]],Tablo14[#All],4,0)," ")</f>
        <v xml:space="preserve"> </v>
      </c>
      <c r="L530" s="100" t="str">
        <f>IFERROR(VLOOKUP(Tablo517[[#This Row],[BOYA KODU]],Tablo14[#All],6,0)," ")</f>
        <v xml:space="preserve"> </v>
      </c>
      <c r="M530" s="100" t="str">
        <f t="shared" si="57"/>
        <v xml:space="preserve"> </v>
      </c>
      <c r="N530" s="100" t="str">
        <f>IFERROR(VLOOKUP(Tablo517[[#This Row],[ÜRÜN KODU]],YMKODLARI!$A$1:$K$363,8,0)," ")</f>
        <v xml:space="preserve"> </v>
      </c>
      <c r="O530" s="100" t="str">
        <f>IFERROR(VLOOKUP(Tablo517[[#This Row],[HAMMADDE KODU]],Tablo1[#All],3,0)," ")</f>
        <v xml:space="preserve"> </v>
      </c>
      <c r="P530" s="100" t="str">
        <f>IFERROR(VLOOKUP(Tablo517[[#This Row],[HAMMADDE KODU]],Tablo1[#All],4,0)," ")</f>
        <v xml:space="preserve"> </v>
      </c>
      <c r="Q530" s="100" t="str">
        <f>IFERROR(VLOOKUP(Tablo517[[#This Row],[ÜRÜN KODU]],YMKODLARI!$A$1:$K$363,5,0)," ")</f>
        <v xml:space="preserve"> </v>
      </c>
      <c r="R530" s="100" t="str">
        <f>IFERROR(VLOOKUP(Tablo517[[#This Row],[ÜRÜN KODU]],YMKODLARI!$A$1:$K$363,6,0)," ")</f>
        <v xml:space="preserve"> </v>
      </c>
      <c r="S530" s="100" t="str">
        <f>IFERROR(Tablo517[[#This Row],[YOLLUK HARİÇ BASKI GRAMI]]/Tablo517[[#This Row],[KALIP GÖZ ADEDİ]]," ")</f>
        <v xml:space="preserve"> </v>
      </c>
      <c r="T530" s="100" t="str">
        <f t="shared" si="59"/>
        <v xml:space="preserve"> </v>
      </c>
      <c r="U530" s="100"/>
      <c r="V530" s="100" t="str">
        <f t="shared" si="58"/>
        <v xml:space="preserve"> </v>
      </c>
      <c r="W530" s="101">
        <f t="shared" si="60"/>
        <v>24</v>
      </c>
      <c r="X530" s="102">
        <f t="shared" si="61"/>
        <v>0</v>
      </c>
      <c r="Y530" s="100" t="str">
        <f t="shared" si="62"/>
        <v xml:space="preserve"> </v>
      </c>
      <c r="Z530" s="100" t="str">
        <f t="shared" si="63"/>
        <v xml:space="preserve"> </v>
      </c>
    </row>
    <row r="531" spans="1:26">
      <c r="A531" s="100"/>
      <c r="B531" s="108" t="str">
        <f>IFERROR(VLOOKUP(Tablo517[[#This Row],[ÜRÜN KODU]],YMKODLARI!$A$1:$K$363,2,0)," ")</f>
        <v xml:space="preserve"> </v>
      </c>
      <c r="C531" s="99"/>
      <c r="D531" s="100"/>
      <c r="E531" s="101"/>
      <c r="F531" s="101"/>
      <c r="G531" s="100" t="str">
        <f>IFERROR(VLOOKUP(Tablo517[[#This Row],[ÜRÜN KODU]],YMKODLARI!$A$1:$K$363,3,0)," ")</f>
        <v xml:space="preserve"> </v>
      </c>
      <c r="H531" s="100" t="str">
        <f>IFERROR(VLOOKUP(Tablo517[[#This Row],[ÜRÜN KODU]],YMKODLARI!$A$1:$K$363,4,0)," ")</f>
        <v xml:space="preserve"> </v>
      </c>
      <c r="I531" s="100"/>
      <c r="J531" s="100" t="str">
        <f>IFERROR(VLOOKUP(Tablo517[[#This Row],[ÜRÜN KODU]],YMKODLARI!$A$1:$K$363,9,0)," ")</f>
        <v xml:space="preserve"> </v>
      </c>
      <c r="K531" s="100" t="str">
        <f>IFERROR(VLOOKUP(Tablo517[[#This Row],[BOYA KODU]],Tablo14[#All],4,0)," ")</f>
        <v xml:space="preserve"> </v>
      </c>
      <c r="L531" s="100" t="str">
        <f>IFERROR(VLOOKUP(Tablo517[[#This Row],[BOYA KODU]],Tablo14[#All],6,0)," ")</f>
        <v xml:space="preserve"> </v>
      </c>
      <c r="M531" s="100" t="str">
        <f t="shared" si="57"/>
        <v xml:space="preserve"> </v>
      </c>
      <c r="N531" s="100" t="str">
        <f>IFERROR(VLOOKUP(Tablo517[[#This Row],[ÜRÜN KODU]],YMKODLARI!$A$1:$K$363,8,0)," ")</f>
        <v xml:space="preserve"> </v>
      </c>
      <c r="O531" s="100" t="str">
        <f>IFERROR(VLOOKUP(Tablo517[[#This Row],[HAMMADDE KODU]],Tablo1[#All],3,0)," ")</f>
        <v xml:space="preserve"> </v>
      </c>
      <c r="P531" s="100" t="str">
        <f>IFERROR(VLOOKUP(Tablo517[[#This Row],[HAMMADDE KODU]],Tablo1[#All],4,0)," ")</f>
        <v xml:space="preserve"> </v>
      </c>
      <c r="Q531" s="100" t="str">
        <f>IFERROR(VLOOKUP(Tablo517[[#This Row],[ÜRÜN KODU]],YMKODLARI!$A$1:$K$363,5,0)," ")</f>
        <v xml:space="preserve"> </v>
      </c>
      <c r="R531" s="100" t="str">
        <f>IFERROR(VLOOKUP(Tablo517[[#This Row],[ÜRÜN KODU]],YMKODLARI!$A$1:$K$363,6,0)," ")</f>
        <v xml:space="preserve"> </v>
      </c>
      <c r="S531" s="100" t="str">
        <f>IFERROR(Tablo517[[#This Row],[YOLLUK HARİÇ BASKI GRAMI]]/Tablo517[[#This Row],[KALIP GÖZ ADEDİ]]," ")</f>
        <v xml:space="preserve"> </v>
      </c>
      <c r="T531" s="100" t="str">
        <f t="shared" si="59"/>
        <v xml:space="preserve"> </v>
      </c>
      <c r="U531" s="100"/>
      <c r="V531" s="100" t="str">
        <f t="shared" si="58"/>
        <v xml:space="preserve"> </v>
      </c>
      <c r="W531" s="101">
        <f t="shared" si="60"/>
        <v>24</v>
      </c>
      <c r="X531" s="102">
        <f t="shared" si="61"/>
        <v>0</v>
      </c>
      <c r="Y531" s="100" t="str">
        <f t="shared" si="62"/>
        <v xml:space="preserve"> </v>
      </c>
      <c r="Z531" s="100" t="str">
        <f t="shared" si="63"/>
        <v xml:space="preserve"> </v>
      </c>
    </row>
    <row r="532" spans="1:26">
      <c r="A532" s="100"/>
      <c r="B532" s="108" t="str">
        <f>IFERROR(VLOOKUP(Tablo517[[#This Row],[ÜRÜN KODU]],YMKODLARI!$A$1:$K$363,2,0)," ")</f>
        <v xml:space="preserve"> </v>
      </c>
      <c r="C532" s="99"/>
      <c r="D532" s="100"/>
      <c r="E532" s="101"/>
      <c r="F532" s="101"/>
      <c r="G532" s="100" t="str">
        <f>IFERROR(VLOOKUP(Tablo517[[#This Row],[ÜRÜN KODU]],YMKODLARI!$A$1:$K$363,3,0)," ")</f>
        <v xml:space="preserve"> </v>
      </c>
      <c r="H532" s="100" t="str">
        <f>IFERROR(VLOOKUP(Tablo517[[#This Row],[ÜRÜN KODU]],YMKODLARI!$A$1:$K$363,4,0)," ")</f>
        <v xml:space="preserve"> </v>
      </c>
      <c r="I532" s="100"/>
      <c r="J532" s="100" t="str">
        <f>IFERROR(VLOOKUP(Tablo517[[#This Row],[ÜRÜN KODU]],YMKODLARI!$A$1:$K$363,9,0)," ")</f>
        <v xml:space="preserve"> </v>
      </c>
      <c r="K532" s="100" t="str">
        <f>IFERROR(VLOOKUP(Tablo517[[#This Row],[BOYA KODU]],Tablo14[#All],4,0)," ")</f>
        <v xml:space="preserve"> </v>
      </c>
      <c r="L532" s="100" t="str">
        <f>IFERROR(VLOOKUP(Tablo517[[#This Row],[BOYA KODU]],Tablo14[#All],6,0)," ")</f>
        <v xml:space="preserve"> </v>
      </c>
      <c r="M532" s="100" t="str">
        <f t="shared" si="57"/>
        <v xml:space="preserve"> </v>
      </c>
      <c r="N532" s="100" t="str">
        <f>IFERROR(VLOOKUP(Tablo517[[#This Row],[ÜRÜN KODU]],YMKODLARI!$A$1:$K$363,8,0)," ")</f>
        <v xml:space="preserve"> </v>
      </c>
      <c r="O532" s="100" t="str">
        <f>IFERROR(VLOOKUP(Tablo517[[#This Row],[HAMMADDE KODU]],Tablo1[#All],3,0)," ")</f>
        <v xml:space="preserve"> </v>
      </c>
      <c r="P532" s="100" t="str">
        <f>IFERROR(VLOOKUP(Tablo517[[#This Row],[HAMMADDE KODU]],Tablo1[#All],4,0)," ")</f>
        <v xml:space="preserve"> </v>
      </c>
      <c r="Q532" s="100" t="str">
        <f>IFERROR(VLOOKUP(Tablo517[[#This Row],[ÜRÜN KODU]],YMKODLARI!$A$1:$K$363,5,0)," ")</f>
        <v xml:space="preserve"> </v>
      </c>
      <c r="R532" s="100" t="str">
        <f>IFERROR(VLOOKUP(Tablo517[[#This Row],[ÜRÜN KODU]],YMKODLARI!$A$1:$K$363,6,0)," ")</f>
        <v xml:space="preserve"> </v>
      </c>
      <c r="S532" s="100" t="str">
        <f>IFERROR(Tablo517[[#This Row],[YOLLUK HARİÇ BASKI GRAMI]]/Tablo517[[#This Row],[KALIP GÖZ ADEDİ]]," ")</f>
        <v xml:space="preserve"> </v>
      </c>
      <c r="T532" s="100" t="str">
        <f t="shared" si="59"/>
        <v xml:space="preserve"> </v>
      </c>
      <c r="U532" s="100"/>
      <c r="V532" s="100" t="str">
        <f t="shared" si="58"/>
        <v xml:space="preserve"> </v>
      </c>
      <c r="W532" s="101">
        <f t="shared" si="60"/>
        <v>24</v>
      </c>
      <c r="X532" s="102">
        <f t="shared" si="61"/>
        <v>0</v>
      </c>
      <c r="Y532" s="100" t="str">
        <f t="shared" si="62"/>
        <v xml:space="preserve"> </v>
      </c>
      <c r="Z532" s="100" t="str">
        <f t="shared" si="63"/>
        <v xml:space="preserve"> </v>
      </c>
    </row>
    <row r="533" spans="1:26">
      <c r="A533" s="100"/>
      <c r="B533" s="108" t="str">
        <f>IFERROR(VLOOKUP(Tablo517[[#This Row],[ÜRÜN KODU]],YMKODLARI!$A$1:$K$363,2,0)," ")</f>
        <v xml:space="preserve"> </v>
      </c>
      <c r="C533" s="99"/>
      <c r="D533" s="100"/>
      <c r="E533" s="101"/>
      <c r="F533" s="101"/>
      <c r="G533" s="100" t="str">
        <f>IFERROR(VLOOKUP(Tablo517[[#This Row],[ÜRÜN KODU]],YMKODLARI!$A$1:$K$363,3,0)," ")</f>
        <v xml:space="preserve"> </v>
      </c>
      <c r="H533" s="100" t="str">
        <f>IFERROR(VLOOKUP(Tablo517[[#This Row],[ÜRÜN KODU]],YMKODLARI!$A$1:$K$363,4,0)," ")</f>
        <v xml:space="preserve"> </v>
      </c>
      <c r="I533" s="100"/>
      <c r="J533" s="100" t="str">
        <f>IFERROR(VLOOKUP(Tablo517[[#This Row],[ÜRÜN KODU]],YMKODLARI!$A$1:$K$363,9,0)," ")</f>
        <v xml:space="preserve"> </v>
      </c>
      <c r="K533" s="100" t="str">
        <f>IFERROR(VLOOKUP(Tablo517[[#This Row],[BOYA KODU]],Tablo14[#All],4,0)," ")</f>
        <v xml:space="preserve"> </v>
      </c>
      <c r="L533" s="100" t="str">
        <f>IFERROR(VLOOKUP(Tablo517[[#This Row],[BOYA KODU]],Tablo14[#All],6,0)," ")</f>
        <v xml:space="preserve"> </v>
      </c>
      <c r="M533" s="100" t="str">
        <f t="shared" si="57"/>
        <v xml:space="preserve"> </v>
      </c>
      <c r="N533" s="100" t="str">
        <f>IFERROR(VLOOKUP(Tablo517[[#This Row],[ÜRÜN KODU]],YMKODLARI!$A$1:$K$363,8,0)," ")</f>
        <v xml:space="preserve"> </v>
      </c>
      <c r="O533" s="100" t="str">
        <f>IFERROR(VLOOKUP(Tablo517[[#This Row],[HAMMADDE KODU]],Tablo1[#All],3,0)," ")</f>
        <v xml:space="preserve"> </v>
      </c>
      <c r="P533" s="100" t="str">
        <f>IFERROR(VLOOKUP(Tablo517[[#This Row],[HAMMADDE KODU]],Tablo1[#All],4,0)," ")</f>
        <v xml:space="preserve"> </v>
      </c>
      <c r="Q533" s="100" t="str">
        <f>IFERROR(VLOOKUP(Tablo517[[#This Row],[ÜRÜN KODU]],YMKODLARI!$A$1:$K$363,5,0)," ")</f>
        <v xml:space="preserve"> </v>
      </c>
      <c r="R533" s="100" t="str">
        <f>IFERROR(VLOOKUP(Tablo517[[#This Row],[ÜRÜN KODU]],YMKODLARI!$A$1:$K$363,6,0)," ")</f>
        <v xml:space="preserve"> </v>
      </c>
      <c r="S533" s="100" t="str">
        <f>IFERROR(Tablo517[[#This Row],[YOLLUK HARİÇ BASKI GRAMI]]/Tablo517[[#This Row],[KALIP GÖZ ADEDİ]]," ")</f>
        <v xml:space="preserve"> </v>
      </c>
      <c r="T533" s="100" t="str">
        <f t="shared" si="59"/>
        <v xml:space="preserve"> </v>
      </c>
      <c r="U533" s="100"/>
      <c r="V533" s="100" t="str">
        <f t="shared" si="58"/>
        <v xml:space="preserve"> </v>
      </c>
      <c r="W533" s="101">
        <f t="shared" si="60"/>
        <v>24</v>
      </c>
      <c r="X533" s="102">
        <f t="shared" si="61"/>
        <v>0</v>
      </c>
      <c r="Y533" s="100" t="str">
        <f t="shared" si="62"/>
        <v xml:space="preserve"> </v>
      </c>
      <c r="Z533" s="100" t="str">
        <f t="shared" si="63"/>
        <v xml:space="preserve"> </v>
      </c>
    </row>
    <row r="534" spans="1:26">
      <c r="A534" s="100"/>
      <c r="B534" s="108" t="str">
        <f>IFERROR(VLOOKUP(Tablo517[[#This Row],[ÜRÜN KODU]],YMKODLARI!$A$1:$K$363,2,0)," ")</f>
        <v xml:space="preserve"> </v>
      </c>
      <c r="C534" s="99"/>
      <c r="D534" s="100"/>
      <c r="E534" s="101"/>
      <c r="F534" s="101"/>
      <c r="G534" s="100" t="str">
        <f>IFERROR(VLOOKUP(Tablo517[[#This Row],[ÜRÜN KODU]],YMKODLARI!$A$1:$K$363,3,0)," ")</f>
        <v xml:space="preserve"> </v>
      </c>
      <c r="H534" s="100" t="str">
        <f>IFERROR(VLOOKUP(Tablo517[[#This Row],[ÜRÜN KODU]],YMKODLARI!$A$1:$K$363,4,0)," ")</f>
        <v xml:space="preserve"> </v>
      </c>
      <c r="I534" s="100"/>
      <c r="J534" s="100" t="str">
        <f>IFERROR(VLOOKUP(Tablo517[[#This Row],[ÜRÜN KODU]],YMKODLARI!$A$1:$K$363,9,0)," ")</f>
        <v xml:space="preserve"> </v>
      </c>
      <c r="K534" s="100" t="str">
        <f>IFERROR(VLOOKUP(Tablo517[[#This Row],[BOYA KODU]],Tablo14[#All],4,0)," ")</f>
        <v xml:space="preserve"> </v>
      </c>
      <c r="L534" s="100" t="str">
        <f>IFERROR(VLOOKUP(Tablo517[[#This Row],[BOYA KODU]],Tablo14[#All],6,0)," ")</f>
        <v xml:space="preserve"> </v>
      </c>
      <c r="M534" s="100" t="str">
        <f t="shared" si="57"/>
        <v xml:space="preserve"> </v>
      </c>
      <c r="N534" s="100" t="str">
        <f>IFERROR(VLOOKUP(Tablo517[[#This Row],[ÜRÜN KODU]],YMKODLARI!$A$1:$K$363,8,0)," ")</f>
        <v xml:space="preserve"> </v>
      </c>
      <c r="O534" s="100" t="str">
        <f>IFERROR(VLOOKUP(Tablo517[[#This Row],[HAMMADDE KODU]],Tablo1[#All],3,0)," ")</f>
        <v xml:space="preserve"> </v>
      </c>
      <c r="P534" s="100" t="str">
        <f>IFERROR(VLOOKUP(Tablo517[[#This Row],[HAMMADDE KODU]],Tablo1[#All],4,0)," ")</f>
        <v xml:space="preserve"> </v>
      </c>
      <c r="Q534" s="100" t="str">
        <f>IFERROR(VLOOKUP(Tablo517[[#This Row],[ÜRÜN KODU]],YMKODLARI!$A$1:$K$363,5,0)," ")</f>
        <v xml:space="preserve"> </v>
      </c>
      <c r="R534" s="100" t="str">
        <f>IFERROR(VLOOKUP(Tablo517[[#This Row],[ÜRÜN KODU]],YMKODLARI!$A$1:$K$363,6,0)," ")</f>
        <v xml:space="preserve"> </v>
      </c>
      <c r="S534" s="100" t="str">
        <f>IFERROR(Tablo517[[#This Row],[YOLLUK HARİÇ BASKI GRAMI]]/Tablo517[[#This Row],[KALIP GÖZ ADEDİ]]," ")</f>
        <v xml:space="preserve"> </v>
      </c>
      <c r="T534" s="100" t="str">
        <f t="shared" si="59"/>
        <v xml:space="preserve"> </v>
      </c>
      <c r="U534" s="100"/>
      <c r="V534" s="100" t="str">
        <f t="shared" si="58"/>
        <v xml:space="preserve"> </v>
      </c>
      <c r="W534" s="101">
        <f t="shared" si="60"/>
        <v>24</v>
      </c>
      <c r="X534" s="102">
        <f t="shared" si="61"/>
        <v>0</v>
      </c>
      <c r="Y534" s="100" t="str">
        <f t="shared" si="62"/>
        <v xml:space="preserve"> </v>
      </c>
      <c r="Z534" s="100" t="str">
        <f t="shared" si="63"/>
        <v xml:space="preserve"> </v>
      </c>
    </row>
    <row r="535" spans="1:26">
      <c r="A535" s="100"/>
      <c r="B535" s="108" t="str">
        <f>IFERROR(VLOOKUP(Tablo517[[#This Row],[ÜRÜN KODU]],YMKODLARI!$A$1:$K$363,2,0)," ")</f>
        <v xml:space="preserve"> </v>
      </c>
      <c r="C535" s="99"/>
      <c r="D535" s="100"/>
      <c r="E535" s="101"/>
      <c r="F535" s="101"/>
      <c r="G535" s="100" t="str">
        <f>IFERROR(VLOOKUP(Tablo517[[#This Row],[ÜRÜN KODU]],YMKODLARI!$A$1:$K$363,3,0)," ")</f>
        <v xml:space="preserve"> </v>
      </c>
      <c r="H535" s="100" t="str">
        <f>IFERROR(VLOOKUP(Tablo517[[#This Row],[ÜRÜN KODU]],YMKODLARI!$A$1:$K$363,4,0)," ")</f>
        <v xml:space="preserve"> </v>
      </c>
      <c r="I535" s="100"/>
      <c r="J535" s="100" t="str">
        <f>IFERROR(VLOOKUP(Tablo517[[#This Row],[ÜRÜN KODU]],YMKODLARI!$A$1:$K$363,9,0)," ")</f>
        <v xml:space="preserve"> </v>
      </c>
      <c r="K535" s="100" t="str">
        <f>IFERROR(VLOOKUP(Tablo517[[#This Row],[BOYA KODU]],Tablo14[#All],4,0)," ")</f>
        <v xml:space="preserve"> </v>
      </c>
      <c r="L535" s="100" t="str">
        <f>IFERROR(VLOOKUP(Tablo517[[#This Row],[BOYA KODU]],Tablo14[#All],6,0)," ")</f>
        <v xml:space="preserve"> </v>
      </c>
      <c r="M535" s="100" t="str">
        <f t="shared" si="57"/>
        <v xml:space="preserve"> </v>
      </c>
      <c r="N535" s="100" t="str">
        <f>IFERROR(VLOOKUP(Tablo517[[#This Row],[ÜRÜN KODU]],YMKODLARI!$A$1:$K$363,8,0)," ")</f>
        <v xml:space="preserve"> </v>
      </c>
      <c r="O535" s="100" t="str">
        <f>IFERROR(VLOOKUP(Tablo517[[#This Row],[HAMMADDE KODU]],Tablo1[#All],3,0)," ")</f>
        <v xml:space="preserve"> </v>
      </c>
      <c r="P535" s="100" t="str">
        <f>IFERROR(VLOOKUP(Tablo517[[#This Row],[HAMMADDE KODU]],Tablo1[#All],4,0)," ")</f>
        <v xml:space="preserve"> </v>
      </c>
      <c r="Q535" s="100" t="str">
        <f>IFERROR(VLOOKUP(Tablo517[[#This Row],[ÜRÜN KODU]],YMKODLARI!$A$1:$K$363,5,0)," ")</f>
        <v xml:space="preserve"> </v>
      </c>
      <c r="R535" s="100" t="str">
        <f>IFERROR(VLOOKUP(Tablo517[[#This Row],[ÜRÜN KODU]],YMKODLARI!$A$1:$K$363,6,0)," ")</f>
        <v xml:space="preserve"> </v>
      </c>
      <c r="S535" s="100" t="str">
        <f>IFERROR(Tablo517[[#This Row],[YOLLUK HARİÇ BASKI GRAMI]]/Tablo517[[#This Row],[KALIP GÖZ ADEDİ]]," ")</f>
        <v xml:space="preserve"> </v>
      </c>
      <c r="T535" s="100" t="str">
        <f t="shared" si="59"/>
        <v xml:space="preserve"> </v>
      </c>
      <c r="U535" s="100"/>
      <c r="V535" s="100" t="str">
        <f t="shared" si="58"/>
        <v xml:space="preserve"> </v>
      </c>
      <c r="W535" s="101">
        <f t="shared" si="60"/>
        <v>24</v>
      </c>
      <c r="X535" s="102">
        <f t="shared" si="61"/>
        <v>0</v>
      </c>
      <c r="Y535" s="100" t="str">
        <f t="shared" si="62"/>
        <v xml:space="preserve"> </v>
      </c>
      <c r="Z535" s="100" t="str">
        <f t="shared" si="63"/>
        <v xml:space="preserve"> </v>
      </c>
    </row>
    <row r="536" spans="1:26">
      <c r="A536" s="100"/>
      <c r="B536" s="108" t="str">
        <f>IFERROR(VLOOKUP(Tablo517[[#This Row],[ÜRÜN KODU]],YMKODLARI!$A$1:$K$363,2,0)," ")</f>
        <v xml:space="preserve"> </v>
      </c>
      <c r="C536" s="99"/>
      <c r="D536" s="100"/>
      <c r="E536" s="101"/>
      <c r="F536" s="101"/>
      <c r="G536" s="100" t="str">
        <f>IFERROR(VLOOKUP(Tablo517[[#This Row],[ÜRÜN KODU]],YMKODLARI!$A$1:$K$363,3,0)," ")</f>
        <v xml:space="preserve"> </v>
      </c>
      <c r="H536" s="100" t="str">
        <f>IFERROR(VLOOKUP(Tablo517[[#This Row],[ÜRÜN KODU]],YMKODLARI!$A$1:$K$363,4,0)," ")</f>
        <v xml:space="preserve"> </v>
      </c>
      <c r="I536" s="100"/>
      <c r="J536" s="100" t="str">
        <f>IFERROR(VLOOKUP(Tablo517[[#This Row],[ÜRÜN KODU]],YMKODLARI!$A$1:$K$363,9,0)," ")</f>
        <v xml:space="preserve"> </v>
      </c>
      <c r="K536" s="100" t="str">
        <f>IFERROR(VLOOKUP(Tablo517[[#This Row],[BOYA KODU]],Tablo14[#All],4,0)," ")</f>
        <v xml:space="preserve"> </v>
      </c>
      <c r="L536" s="100" t="str">
        <f>IFERROR(VLOOKUP(Tablo517[[#This Row],[BOYA KODU]],Tablo14[#All],6,0)," ")</f>
        <v xml:space="preserve"> </v>
      </c>
      <c r="M536" s="100" t="str">
        <f t="shared" si="57"/>
        <v xml:space="preserve"> </v>
      </c>
      <c r="N536" s="100" t="str">
        <f>IFERROR(VLOOKUP(Tablo517[[#This Row],[ÜRÜN KODU]],YMKODLARI!$A$1:$K$363,8,0)," ")</f>
        <v xml:space="preserve"> </v>
      </c>
      <c r="O536" s="100" t="str">
        <f>IFERROR(VLOOKUP(Tablo517[[#This Row],[HAMMADDE KODU]],Tablo1[#All],3,0)," ")</f>
        <v xml:space="preserve"> </v>
      </c>
      <c r="P536" s="100" t="str">
        <f>IFERROR(VLOOKUP(Tablo517[[#This Row],[HAMMADDE KODU]],Tablo1[#All],4,0)," ")</f>
        <v xml:space="preserve"> </v>
      </c>
      <c r="Q536" s="100" t="str">
        <f>IFERROR(VLOOKUP(Tablo517[[#This Row],[ÜRÜN KODU]],YMKODLARI!$A$1:$K$363,5,0)," ")</f>
        <v xml:space="preserve"> </v>
      </c>
      <c r="R536" s="100" t="str">
        <f>IFERROR(VLOOKUP(Tablo517[[#This Row],[ÜRÜN KODU]],YMKODLARI!$A$1:$K$363,6,0)," ")</f>
        <v xml:space="preserve"> </v>
      </c>
      <c r="S536" s="100" t="str">
        <f>IFERROR(Tablo517[[#This Row],[YOLLUK HARİÇ BASKI GRAMI]]/Tablo517[[#This Row],[KALIP GÖZ ADEDİ]]," ")</f>
        <v xml:space="preserve"> </v>
      </c>
      <c r="T536" s="100" t="str">
        <f t="shared" si="59"/>
        <v xml:space="preserve"> </v>
      </c>
      <c r="U536" s="100"/>
      <c r="V536" s="100" t="str">
        <f t="shared" si="58"/>
        <v xml:space="preserve"> </v>
      </c>
      <c r="W536" s="101">
        <f t="shared" si="60"/>
        <v>24</v>
      </c>
      <c r="X536" s="102">
        <f t="shared" si="61"/>
        <v>0</v>
      </c>
      <c r="Y536" s="100" t="str">
        <f t="shared" si="62"/>
        <v xml:space="preserve"> </v>
      </c>
      <c r="Z536" s="100" t="str">
        <f t="shared" si="63"/>
        <v xml:space="preserve"> </v>
      </c>
    </row>
    <row r="537" spans="1:26">
      <c r="A537" s="100"/>
      <c r="B537" s="108" t="str">
        <f>IFERROR(VLOOKUP(Tablo517[[#This Row],[ÜRÜN KODU]],YMKODLARI!$A$1:$K$363,2,0)," ")</f>
        <v xml:space="preserve"> </v>
      </c>
      <c r="C537" s="99"/>
      <c r="D537" s="100"/>
      <c r="E537" s="101"/>
      <c r="F537" s="101"/>
      <c r="G537" s="100" t="str">
        <f>IFERROR(VLOOKUP(Tablo517[[#This Row],[ÜRÜN KODU]],YMKODLARI!$A$1:$K$363,3,0)," ")</f>
        <v xml:space="preserve"> </v>
      </c>
      <c r="H537" s="100" t="str">
        <f>IFERROR(VLOOKUP(Tablo517[[#This Row],[ÜRÜN KODU]],YMKODLARI!$A$1:$K$363,4,0)," ")</f>
        <v xml:space="preserve"> </v>
      </c>
      <c r="I537" s="100"/>
      <c r="J537" s="100" t="str">
        <f>IFERROR(VLOOKUP(Tablo517[[#This Row],[ÜRÜN KODU]],YMKODLARI!$A$1:$K$363,9,0)," ")</f>
        <v xml:space="preserve"> </v>
      </c>
      <c r="K537" s="100" t="str">
        <f>IFERROR(VLOOKUP(Tablo517[[#This Row],[BOYA KODU]],Tablo14[#All],4,0)," ")</f>
        <v xml:space="preserve"> </v>
      </c>
      <c r="L537" s="100" t="str">
        <f>IFERROR(VLOOKUP(Tablo517[[#This Row],[BOYA KODU]],Tablo14[#All],6,0)," ")</f>
        <v xml:space="preserve"> </v>
      </c>
      <c r="M537" s="100" t="str">
        <f t="shared" si="57"/>
        <v xml:space="preserve"> </v>
      </c>
      <c r="N537" s="100" t="str">
        <f>IFERROR(VLOOKUP(Tablo517[[#This Row],[ÜRÜN KODU]],YMKODLARI!$A$1:$K$363,8,0)," ")</f>
        <v xml:space="preserve"> </v>
      </c>
      <c r="O537" s="100" t="str">
        <f>IFERROR(VLOOKUP(Tablo517[[#This Row],[HAMMADDE KODU]],Tablo1[#All],3,0)," ")</f>
        <v xml:space="preserve"> </v>
      </c>
      <c r="P537" s="100" t="str">
        <f>IFERROR(VLOOKUP(Tablo517[[#This Row],[HAMMADDE KODU]],Tablo1[#All],4,0)," ")</f>
        <v xml:space="preserve"> </v>
      </c>
      <c r="Q537" s="100" t="str">
        <f>IFERROR(VLOOKUP(Tablo517[[#This Row],[ÜRÜN KODU]],YMKODLARI!$A$1:$K$363,5,0)," ")</f>
        <v xml:space="preserve"> </v>
      </c>
      <c r="R537" s="100" t="str">
        <f>IFERROR(VLOOKUP(Tablo517[[#This Row],[ÜRÜN KODU]],YMKODLARI!$A$1:$K$363,6,0)," ")</f>
        <v xml:space="preserve"> </v>
      </c>
      <c r="S537" s="100" t="str">
        <f>IFERROR(Tablo517[[#This Row],[YOLLUK HARİÇ BASKI GRAMI]]/Tablo517[[#This Row],[KALIP GÖZ ADEDİ]]," ")</f>
        <v xml:space="preserve"> </v>
      </c>
      <c r="T537" s="100" t="str">
        <f t="shared" si="59"/>
        <v xml:space="preserve"> </v>
      </c>
      <c r="U537" s="100"/>
      <c r="V537" s="100" t="str">
        <f t="shared" si="58"/>
        <v xml:space="preserve"> </v>
      </c>
      <c r="W537" s="101">
        <f t="shared" si="60"/>
        <v>24</v>
      </c>
      <c r="X537" s="102">
        <f t="shared" si="61"/>
        <v>0</v>
      </c>
      <c r="Y537" s="100" t="str">
        <f t="shared" si="62"/>
        <v xml:space="preserve"> </v>
      </c>
      <c r="Z537" s="100" t="str">
        <f t="shared" si="63"/>
        <v xml:space="preserve"> </v>
      </c>
    </row>
    <row r="538" spans="1:26">
      <c r="A538" s="100"/>
      <c r="B538" s="108" t="str">
        <f>IFERROR(VLOOKUP(Tablo517[[#This Row],[ÜRÜN KODU]],YMKODLARI!$A$1:$K$363,2,0)," ")</f>
        <v xml:space="preserve"> </v>
      </c>
      <c r="C538" s="99"/>
      <c r="D538" s="100"/>
      <c r="E538" s="101"/>
      <c r="F538" s="101"/>
      <c r="G538" s="100" t="str">
        <f>IFERROR(VLOOKUP(Tablo517[[#This Row],[ÜRÜN KODU]],YMKODLARI!$A$1:$K$363,3,0)," ")</f>
        <v xml:space="preserve"> </v>
      </c>
      <c r="H538" s="100" t="str">
        <f>IFERROR(VLOOKUP(Tablo517[[#This Row],[ÜRÜN KODU]],YMKODLARI!$A$1:$K$363,4,0)," ")</f>
        <v xml:space="preserve"> </v>
      </c>
      <c r="I538" s="100"/>
      <c r="J538" s="100" t="str">
        <f>IFERROR(VLOOKUP(Tablo517[[#This Row],[ÜRÜN KODU]],YMKODLARI!$A$1:$K$363,9,0)," ")</f>
        <v xml:space="preserve"> </v>
      </c>
      <c r="K538" s="100" t="str">
        <f>IFERROR(VLOOKUP(Tablo517[[#This Row],[BOYA KODU]],Tablo14[#All],4,0)," ")</f>
        <v xml:space="preserve"> </v>
      </c>
      <c r="L538" s="100" t="str">
        <f>IFERROR(VLOOKUP(Tablo517[[#This Row],[BOYA KODU]],Tablo14[#All],6,0)," ")</f>
        <v xml:space="preserve"> </v>
      </c>
      <c r="M538" s="100" t="str">
        <f t="shared" si="57"/>
        <v xml:space="preserve"> </v>
      </c>
      <c r="N538" s="100" t="str">
        <f>IFERROR(VLOOKUP(Tablo517[[#This Row],[ÜRÜN KODU]],YMKODLARI!$A$1:$K$363,8,0)," ")</f>
        <v xml:space="preserve"> </v>
      </c>
      <c r="O538" s="100" t="str">
        <f>IFERROR(VLOOKUP(Tablo517[[#This Row],[HAMMADDE KODU]],Tablo1[#All],3,0)," ")</f>
        <v xml:space="preserve"> </v>
      </c>
      <c r="P538" s="100" t="str">
        <f>IFERROR(VLOOKUP(Tablo517[[#This Row],[HAMMADDE KODU]],Tablo1[#All],4,0)," ")</f>
        <v xml:space="preserve"> </v>
      </c>
      <c r="Q538" s="100" t="str">
        <f>IFERROR(VLOOKUP(Tablo517[[#This Row],[ÜRÜN KODU]],YMKODLARI!$A$1:$K$363,5,0)," ")</f>
        <v xml:space="preserve"> </v>
      </c>
      <c r="R538" s="100" t="str">
        <f>IFERROR(VLOOKUP(Tablo517[[#This Row],[ÜRÜN KODU]],YMKODLARI!$A$1:$K$363,6,0)," ")</f>
        <v xml:space="preserve"> </v>
      </c>
      <c r="S538" s="100" t="str">
        <f>IFERROR(Tablo517[[#This Row],[YOLLUK HARİÇ BASKI GRAMI]]/Tablo517[[#This Row],[KALIP GÖZ ADEDİ]]," ")</f>
        <v xml:space="preserve"> </v>
      </c>
      <c r="T538" s="100" t="str">
        <f t="shared" si="59"/>
        <v xml:space="preserve"> </v>
      </c>
      <c r="U538" s="100"/>
      <c r="V538" s="100" t="str">
        <f t="shared" si="58"/>
        <v xml:space="preserve"> </v>
      </c>
      <c r="W538" s="101">
        <f t="shared" si="60"/>
        <v>24</v>
      </c>
      <c r="X538" s="102">
        <f t="shared" si="61"/>
        <v>0</v>
      </c>
      <c r="Y538" s="100" t="str">
        <f t="shared" si="62"/>
        <v xml:space="preserve"> </v>
      </c>
      <c r="Z538" s="100" t="str">
        <f t="shared" si="63"/>
        <v xml:space="preserve"> </v>
      </c>
    </row>
    <row r="539" spans="1:26">
      <c r="A539" s="100"/>
      <c r="B539" s="108" t="str">
        <f>IFERROR(VLOOKUP(Tablo517[[#This Row],[ÜRÜN KODU]],YMKODLARI!$A$1:$K$363,2,0)," ")</f>
        <v xml:space="preserve"> </v>
      </c>
      <c r="C539" s="99"/>
      <c r="D539" s="100"/>
      <c r="E539" s="101"/>
      <c r="F539" s="101"/>
      <c r="G539" s="100" t="str">
        <f>IFERROR(VLOOKUP(Tablo517[[#This Row],[ÜRÜN KODU]],YMKODLARI!$A$1:$K$363,3,0)," ")</f>
        <v xml:space="preserve"> </v>
      </c>
      <c r="H539" s="100" t="str">
        <f>IFERROR(VLOOKUP(Tablo517[[#This Row],[ÜRÜN KODU]],YMKODLARI!$A$1:$K$363,4,0)," ")</f>
        <v xml:space="preserve"> </v>
      </c>
      <c r="I539" s="100"/>
      <c r="J539" s="100" t="str">
        <f>IFERROR(VLOOKUP(Tablo517[[#This Row],[ÜRÜN KODU]],YMKODLARI!$A$1:$K$363,9,0)," ")</f>
        <v xml:space="preserve"> </v>
      </c>
      <c r="K539" s="100" t="str">
        <f>IFERROR(VLOOKUP(Tablo517[[#This Row],[BOYA KODU]],Tablo14[#All],4,0)," ")</f>
        <v xml:space="preserve"> </v>
      </c>
      <c r="L539" s="100" t="str">
        <f>IFERROR(VLOOKUP(Tablo517[[#This Row],[BOYA KODU]],Tablo14[#All],6,0)," ")</f>
        <v xml:space="preserve"> </v>
      </c>
      <c r="M539" s="100" t="str">
        <f t="shared" si="57"/>
        <v xml:space="preserve"> </v>
      </c>
      <c r="N539" s="100" t="str">
        <f>IFERROR(VLOOKUP(Tablo517[[#This Row],[ÜRÜN KODU]],YMKODLARI!$A$1:$K$363,8,0)," ")</f>
        <v xml:space="preserve"> </v>
      </c>
      <c r="O539" s="100" t="str">
        <f>IFERROR(VLOOKUP(Tablo517[[#This Row],[HAMMADDE KODU]],Tablo1[#All],3,0)," ")</f>
        <v xml:space="preserve"> </v>
      </c>
      <c r="P539" s="100" t="str">
        <f>IFERROR(VLOOKUP(Tablo517[[#This Row],[HAMMADDE KODU]],Tablo1[#All],4,0)," ")</f>
        <v xml:space="preserve"> </v>
      </c>
      <c r="Q539" s="100" t="str">
        <f>IFERROR(VLOOKUP(Tablo517[[#This Row],[ÜRÜN KODU]],YMKODLARI!$A$1:$K$363,5,0)," ")</f>
        <v xml:space="preserve"> </v>
      </c>
      <c r="R539" s="100" t="str">
        <f>IFERROR(VLOOKUP(Tablo517[[#This Row],[ÜRÜN KODU]],YMKODLARI!$A$1:$K$363,6,0)," ")</f>
        <v xml:space="preserve"> </v>
      </c>
      <c r="S539" s="100" t="str">
        <f>IFERROR(Tablo517[[#This Row],[YOLLUK HARİÇ BASKI GRAMI]]/Tablo517[[#This Row],[KALIP GÖZ ADEDİ]]," ")</f>
        <v xml:space="preserve"> </v>
      </c>
      <c r="T539" s="100" t="str">
        <f t="shared" si="59"/>
        <v xml:space="preserve"> </v>
      </c>
      <c r="U539" s="100"/>
      <c r="V539" s="100" t="str">
        <f t="shared" si="58"/>
        <v xml:space="preserve"> </v>
      </c>
      <c r="W539" s="101">
        <f t="shared" si="60"/>
        <v>24</v>
      </c>
      <c r="X539" s="102">
        <f t="shared" si="61"/>
        <v>0</v>
      </c>
      <c r="Y539" s="100" t="str">
        <f t="shared" si="62"/>
        <v xml:space="preserve"> </v>
      </c>
      <c r="Z539" s="100" t="str">
        <f t="shared" si="63"/>
        <v xml:space="preserve"> </v>
      </c>
    </row>
    <row r="540" spans="1:26">
      <c r="A540" s="100"/>
      <c r="B540" s="108" t="str">
        <f>IFERROR(VLOOKUP(Tablo517[[#This Row],[ÜRÜN KODU]],YMKODLARI!$A$1:$K$363,2,0)," ")</f>
        <v xml:space="preserve"> </v>
      </c>
      <c r="C540" s="99"/>
      <c r="D540" s="100"/>
      <c r="E540" s="101"/>
      <c r="F540" s="101"/>
      <c r="G540" s="100" t="str">
        <f>IFERROR(VLOOKUP(Tablo517[[#This Row],[ÜRÜN KODU]],YMKODLARI!$A$1:$K$363,3,0)," ")</f>
        <v xml:space="preserve"> </v>
      </c>
      <c r="H540" s="100" t="str">
        <f>IFERROR(VLOOKUP(Tablo517[[#This Row],[ÜRÜN KODU]],YMKODLARI!$A$1:$K$363,4,0)," ")</f>
        <v xml:space="preserve"> </v>
      </c>
      <c r="I540" s="100"/>
      <c r="J540" s="100" t="str">
        <f>IFERROR(VLOOKUP(Tablo517[[#This Row],[ÜRÜN KODU]],YMKODLARI!$A$1:$K$363,9,0)," ")</f>
        <v xml:space="preserve"> </v>
      </c>
      <c r="K540" s="100" t="str">
        <f>IFERROR(VLOOKUP(Tablo517[[#This Row],[BOYA KODU]],Tablo14[#All],4,0)," ")</f>
        <v xml:space="preserve"> </v>
      </c>
      <c r="L540" s="100" t="str">
        <f>IFERROR(VLOOKUP(Tablo517[[#This Row],[BOYA KODU]],Tablo14[#All],6,0)," ")</f>
        <v xml:space="preserve"> </v>
      </c>
      <c r="M540" s="100" t="str">
        <f t="shared" si="57"/>
        <v xml:space="preserve"> </v>
      </c>
      <c r="N540" s="100" t="str">
        <f>IFERROR(VLOOKUP(Tablo517[[#This Row],[ÜRÜN KODU]],YMKODLARI!$A$1:$K$363,8,0)," ")</f>
        <v xml:space="preserve"> </v>
      </c>
      <c r="O540" s="100" t="str">
        <f>IFERROR(VLOOKUP(Tablo517[[#This Row],[HAMMADDE KODU]],Tablo1[#All],3,0)," ")</f>
        <v xml:space="preserve"> </v>
      </c>
      <c r="P540" s="100" t="str">
        <f>IFERROR(VLOOKUP(Tablo517[[#This Row],[HAMMADDE KODU]],Tablo1[#All],4,0)," ")</f>
        <v xml:space="preserve"> </v>
      </c>
      <c r="Q540" s="100" t="str">
        <f>IFERROR(VLOOKUP(Tablo517[[#This Row],[ÜRÜN KODU]],YMKODLARI!$A$1:$K$363,5,0)," ")</f>
        <v xml:space="preserve"> </v>
      </c>
      <c r="R540" s="100" t="str">
        <f>IFERROR(VLOOKUP(Tablo517[[#This Row],[ÜRÜN KODU]],YMKODLARI!$A$1:$K$363,6,0)," ")</f>
        <v xml:space="preserve"> </v>
      </c>
      <c r="S540" s="100" t="str">
        <f>IFERROR(Tablo517[[#This Row],[YOLLUK HARİÇ BASKI GRAMI]]/Tablo517[[#This Row],[KALIP GÖZ ADEDİ]]," ")</f>
        <v xml:space="preserve"> </v>
      </c>
      <c r="T540" s="100" t="str">
        <f t="shared" si="59"/>
        <v xml:space="preserve"> </v>
      </c>
      <c r="U540" s="100"/>
      <c r="V540" s="100" t="str">
        <f t="shared" si="58"/>
        <v xml:space="preserve"> </v>
      </c>
      <c r="W540" s="101">
        <f t="shared" si="60"/>
        <v>24</v>
      </c>
      <c r="X540" s="102">
        <f t="shared" si="61"/>
        <v>0</v>
      </c>
      <c r="Y540" s="100" t="str">
        <f t="shared" si="62"/>
        <v xml:space="preserve"> </v>
      </c>
      <c r="Z540" s="100" t="str">
        <f t="shared" si="63"/>
        <v xml:space="preserve"> </v>
      </c>
    </row>
    <row r="541" spans="1:26">
      <c r="A541" s="100"/>
      <c r="B541" s="108" t="str">
        <f>IFERROR(VLOOKUP(Tablo517[[#This Row],[ÜRÜN KODU]],YMKODLARI!$A$1:$K$363,2,0)," ")</f>
        <v xml:space="preserve"> </v>
      </c>
      <c r="C541" s="99"/>
      <c r="D541" s="100"/>
      <c r="E541" s="101"/>
      <c r="F541" s="101"/>
      <c r="G541" s="100" t="str">
        <f>IFERROR(VLOOKUP(Tablo517[[#This Row],[ÜRÜN KODU]],YMKODLARI!$A$1:$K$363,3,0)," ")</f>
        <v xml:space="preserve"> </v>
      </c>
      <c r="H541" s="100" t="str">
        <f>IFERROR(VLOOKUP(Tablo517[[#This Row],[ÜRÜN KODU]],YMKODLARI!$A$1:$K$363,4,0)," ")</f>
        <v xml:space="preserve"> </v>
      </c>
      <c r="I541" s="100"/>
      <c r="J541" s="100" t="str">
        <f>IFERROR(VLOOKUP(Tablo517[[#This Row],[ÜRÜN KODU]],YMKODLARI!$A$1:$K$363,9,0)," ")</f>
        <v xml:space="preserve"> </v>
      </c>
      <c r="K541" s="100" t="str">
        <f>IFERROR(VLOOKUP(Tablo517[[#This Row],[BOYA KODU]],Tablo14[#All],4,0)," ")</f>
        <v xml:space="preserve"> </v>
      </c>
      <c r="L541" s="100" t="str">
        <f>IFERROR(VLOOKUP(Tablo517[[#This Row],[BOYA KODU]],Tablo14[#All],6,0)," ")</f>
        <v xml:space="preserve"> </v>
      </c>
      <c r="M541" s="100" t="str">
        <f t="shared" si="57"/>
        <v xml:space="preserve"> </v>
      </c>
      <c r="N541" s="100" t="str">
        <f>IFERROR(VLOOKUP(Tablo517[[#This Row],[ÜRÜN KODU]],YMKODLARI!$A$1:$K$363,8,0)," ")</f>
        <v xml:space="preserve"> </v>
      </c>
      <c r="O541" s="100" t="str">
        <f>IFERROR(VLOOKUP(Tablo517[[#This Row],[HAMMADDE KODU]],Tablo1[#All],3,0)," ")</f>
        <v xml:space="preserve"> </v>
      </c>
      <c r="P541" s="100" t="str">
        <f>IFERROR(VLOOKUP(Tablo517[[#This Row],[HAMMADDE KODU]],Tablo1[#All],4,0)," ")</f>
        <v xml:space="preserve"> </v>
      </c>
      <c r="Q541" s="100" t="str">
        <f>IFERROR(VLOOKUP(Tablo517[[#This Row],[ÜRÜN KODU]],YMKODLARI!$A$1:$K$363,5,0)," ")</f>
        <v xml:space="preserve"> </v>
      </c>
      <c r="R541" s="100" t="str">
        <f>IFERROR(VLOOKUP(Tablo517[[#This Row],[ÜRÜN KODU]],YMKODLARI!$A$1:$K$363,6,0)," ")</f>
        <v xml:space="preserve"> </v>
      </c>
      <c r="S541" s="100" t="str">
        <f>IFERROR(Tablo517[[#This Row],[YOLLUK HARİÇ BASKI GRAMI]]/Tablo517[[#This Row],[KALIP GÖZ ADEDİ]]," ")</f>
        <v xml:space="preserve"> </v>
      </c>
      <c r="T541" s="100" t="str">
        <f t="shared" si="59"/>
        <v xml:space="preserve"> </v>
      </c>
      <c r="U541" s="100"/>
      <c r="V541" s="100" t="str">
        <f t="shared" si="58"/>
        <v xml:space="preserve"> </v>
      </c>
      <c r="W541" s="101">
        <f t="shared" si="60"/>
        <v>24</v>
      </c>
      <c r="X541" s="102">
        <f t="shared" si="61"/>
        <v>0</v>
      </c>
      <c r="Y541" s="100" t="str">
        <f t="shared" si="62"/>
        <v xml:space="preserve"> </v>
      </c>
      <c r="Z541" s="100" t="str">
        <f t="shared" si="63"/>
        <v xml:space="preserve"> </v>
      </c>
    </row>
    <row r="542" spans="1:26">
      <c r="A542" s="100"/>
      <c r="B542" s="108" t="str">
        <f>IFERROR(VLOOKUP(Tablo517[[#This Row],[ÜRÜN KODU]],YMKODLARI!$A$1:$K$363,2,0)," ")</f>
        <v xml:space="preserve"> </v>
      </c>
      <c r="C542" s="99"/>
      <c r="D542" s="100"/>
      <c r="E542" s="101"/>
      <c r="F542" s="101"/>
      <c r="G542" s="100" t="str">
        <f>IFERROR(VLOOKUP(Tablo517[[#This Row],[ÜRÜN KODU]],YMKODLARI!$A$1:$K$363,3,0)," ")</f>
        <v xml:space="preserve"> </v>
      </c>
      <c r="H542" s="100" t="str">
        <f>IFERROR(VLOOKUP(Tablo517[[#This Row],[ÜRÜN KODU]],YMKODLARI!$A$1:$K$363,4,0)," ")</f>
        <v xml:space="preserve"> </v>
      </c>
      <c r="I542" s="100"/>
      <c r="J542" s="100" t="str">
        <f>IFERROR(VLOOKUP(Tablo517[[#This Row],[ÜRÜN KODU]],YMKODLARI!$A$1:$K$363,9,0)," ")</f>
        <v xml:space="preserve"> </v>
      </c>
      <c r="K542" s="100" t="str">
        <f>IFERROR(VLOOKUP(Tablo517[[#This Row],[BOYA KODU]],Tablo14[#All],4,0)," ")</f>
        <v xml:space="preserve"> </v>
      </c>
      <c r="L542" s="100" t="str">
        <f>IFERROR(VLOOKUP(Tablo517[[#This Row],[BOYA KODU]],Tablo14[#All],6,0)," ")</f>
        <v xml:space="preserve"> </v>
      </c>
      <c r="M542" s="100" t="str">
        <f t="shared" si="57"/>
        <v xml:space="preserve"> </v>
      </c>
      <c r="N542" s="100" t="str">
        <f>IFERROR(VLOOKUP(Tablo517[[#This Row],[ÜRÜN KODU]],YMKODLARI!$A$1:$K$363,8,0)," ")</f>
        <v xml:space="preserve"> </v>
      </c>
      <c r="O542" s="100" t="str">
        <f>IFERROR(VLOOKUP(Tablo517[[#This Row],[HAMMADDE KODU]],Tablo1[#All],3,0)," ")</f>
        <v xml:space="preserve"> </v>
      </c>
      <c r="P542" s="100" t="str">
        <f>IFERROR(VLOOKUP(Tablo517[[#This Row],[HAMMADDE KODU]],Tablo1[#All],4,0)," ")</f>
        <v xml:space="preserve"> </v>
      </c>
      <c r="Q542" s="100" t="str">
        <f>IFERROR(VLOOKUP(Tablo517[[#This Row],[ÜRÜN KODU]],YMKODLARI!$A$1:$K$363,5,0)," ")</f>
        <v xml:space="preserve"> </v>
      </c>
      <c r="R542" s="100" t="str">
        <f>IFERROR(VLOOKUP(Tablo517[[#This Row],[ÜRÜN KODU]],YMKODLARI!$A$1:$K$363,6,0)," ")</f>
        <v xml:space="preserve"> </v>
      </c>
      <c r="S542" s="100" t="str">
        <f>IFERROR(Tablo517[[#This Row],[YOLLUK HARİÇ BASKI GRAMI]]/Tablo517[[#This Row],[KALIP GÖZ ADEDİ]]," ")</f>
        <v xml:space="preserve"> </v>
      </c>
      <c r="T542" s="100" t="str">
        <f t="shared" si="59"/>
        <v xml:space="preserve"> </v>
      </c>
      <c r="U542" s="100"/>
      <c r="V542" s="100" t="str">
        <f t="shared" si="58"/>
        <v xml:space="preserve"> </v>
      </c>
      <c r="W542" s="101">
        <f t="shared" si="60"/>
        <v>24</v>
      </c>
      <c r="X542" s="102">
        <f t="shared" si="61"/>
        <v>0</v>
      </c>
      <c r="Y542" s="100" t="str">
        <f t="shared" si="62"/>
        <v xml:space="preserve"> </v>
      </c>
      <c r="Z542" s="100" t="str">
        <f t="shared" si="63"/>
        <v xml:space="preserve"> </v>
      </c>
    </row>
    <row r="543" spans="1:26">
      <c r="A543" s="100"/>
      <c r="B543" s="108" t="str">
        <f>IFERROR(VLOOKUP(Tablo517[[#This Row],[ÜRÜN KODU]],YMKODLARI!$A$1:$K$363,2,0)," ")</f>
        <v xml:space="preserve"> </v>
      </c>
      <c r="C543" s="99"/>
      <c r="D543" s="100"/>
      <c r="E543" s="101"/>
      <c r="F543" s="101"/>
      <c r="G543" s="100" t="str">
        <f>IFERROR(VLOOKUP(Tablo517[[#This Row],[ÜRÜN KODU]],YMKODLARI!$A$1:$K$363,3,0)," ")</f>
        <v xml:space="preserve"> </v>
      </c>
      <c r="H543" s="100" t="str">
        <f>IFERROR(VLOOKUP(Tablo517[[#This Row],[ÜRÜN KODU]],YMKODLARI!$A$1:$K$363,4,0)," ")</f>
        <v xml:space="preserve"> </v>
      </c>
      <c r="I543" s="100"/>
      <c r="J543" s="100" t="str">
        <f>IFERROR(VLOOKUP(Tablo517[[#This Row],[ÜRÜN KODU]],YMKODLARI!$A$1:$K$363,9,0)," ")</f>
        <v xml:space="preserve"> </v>
      </c>
      <c r="K543" s="100" t="str">
        <f>IFERROR(VLOOKUP(Tablo517[[#This Row],[BOYA KODU]],Tablo14[#All],4,0)," ")</f>
        <v xml:space="preserve"> </v>
      </c>
      <c r="L543" s="100" t="str">
        <f>IFERROR(VLOOKUP(Tablo517[[#This Row],[BOYA KODU]],Tablo14[#All],6,0)," ")</f>
        <v xml:space="preserve"> </v>
      </c>
      <c r="M543" s="100" t="str">
        <f t="shared" si="57"/>
        <v xml:space="preserve"> </v>
      </c>
      <c r="N543" s="100" t="str">
        <f>IFERROR(VLOOKUP(Tablo517[[#This Row],[ÜRÜN KODU]],YMKODLARI!$A$1:$K$363,8,0)," ")</f>
        <v xml:space="preserve"> </v>
      </c>
      <c r="O543" s="100" t="str">
        <f>IFERROR(VLOOKUP(Tablo517[[#This Row],[HAMMADDE KODU]],Tablo1[#All],3,0)," ")</f>
        <v xml:space="preserve"> </v>
      </c>
      <c r="P543" s="100" t="str">
        <f>IFERROR(VLOOKUP(Tablo517[[#This Row],[HAMMADDE KODU]],Tablo1[#All],4,0)," ")</f>
        <v xml:space="preserve"> </v>
      </c>
      <c r="Q543" s="100" t="str">
        <f>IFERROR(VLOOKUP(Tablo517[[#This Row],[ÜRÜN KODU]],YMKODLARI!$A$1:$K$363,5,0)," ")</f>
        <v xml:space="preserve"> </v>
      </c>
      <c r="R543" s="100" t="str">
        <f>IFERROR(VLOOKUP(Tablo517[[#This Row],[ÜRÜN KODU]],YMKODLARI!$A$1:$K$363,6,0)," ")</f>
        <v xml:space="preserve"> </v>
      </c>
      <c r="S543" s="100" t="str">
        <f>IFERROR(Tablo517[[#This Row],[YOLLUK HARİÇ BASKI GRAMI]]/Tablo517[[#This Row],[KALIP GÖZ ADEDİ]]," ")</f>
        <v xml:space="preserve"> </v>
      </c>
      <c r="T543" s="100" t="str">
        <f t="shared" si="59"/>
        <v xml:space="preserve"> </v>
      </c>
      <c r="U543" s="100"/>
      <c r="V543" s="100" t="str">
        <f t="shared" si="58"/>
        <v xml:space="preserve"> </v>
      </c>
      <c r="W543" s="101">
        <f t="shared" si="60"/>
        <v>24</v>
      </c>
      <c r="X543" s="102">
        <f t="shared" si="61"/>
        <v>0</v>
      </c>
      <c r="Y543" s="100" t="str">
        <f t="shared" si="62"/>
        <v xml:space="preserve"> </v>
      </c>
      <c r="Z543" s="100" t="str">
        <f t="shared" si="63"/>
        <v xml:space="preserve"> </v>
      </c>
    </row>
    <row r="544" spans="1:26">
      <c r="A544" s="100"/>
      <c r="B544" s="108" t="str">
        <f>IFERROR(VLOOKUP(Tablo517[[#This Row],[ÜRÜN KODU]],YMKODLARI!$A$1:$K$363,2,0)," ")</f>
        <v xml:space="preserve"> </v>
      </c>
      <c r="C544" s="99"/>
      <c r="D544" s="100"/>
      <c r="E544" s="101"/>
      <c r="F544" s="101"/>
      <c r="G544" s="100" t="str">
        <f>IFERROR(VLOOKUP(Tablo517[[#This Row],[ÜRÜN KODU]],YMKODLARI!$A$1:$K$363,3,0)," ")</f>
        <v xml:space="preserve"> </v>
      </c>
      <c r="H544" s="100" t="str">
        <f>IFERROR(VLOOKUP(Tablo517[[#This Row],[ÜRÜN KODU]],YMKODLARI!$A$1:$K$363,4,0)," ")</f>
        <v xml:space="preserve"> </v>
      </c>
      <c r="I544" s="100"/>
      <c r="J544" s="100" t="str">
        <f>IFERROR(VLOOKUP(Tablo517[[#This Row],[ÜRÜN KODU]],YMKODLARI!$A$1:$K$363,9,0)," ")</f>
        <v xml:space="preserve"> </v>
      </c>
      <c r="K544" s="100" t="str">
        <f>IFERROR(VLOOKUP(Tablo517[[#This Row],[BOYA KODU]],Tablo14[#All],4,0)," ")</f>
        <v xml:space="preserve"> </v>
      </c>
      <c r="L544" s="100" t="str">
        <f>IFERROR(VLOOKUP(Tablo517[[#This Row],[BOYA KODU]],Tablo14[#All],6,0)," ")</f>
        <v xml:space="preserve"> </v>
      </c>
      <c r="M544" s="100" t="str">
        <f t="shared" si="57"/>
        <v xml:space="preserve"> </v>
      </c>
      <c r="N544" s="100" t="str">
        <f>IFERROR(VLOOKUP(Tablo517[[#This Row],[ÜRÜN KODU]],YMKODLARI!$A$1:$K$363,8,0)," ")</f>
        <v xml:space="preserve"> </v>
      </c>
      <c r="O544" s="100" t="str">
        <f>IFERROR(VLOOKUP(Tablo517[[#This Row],[HAMMADDE KODU]],Tablo1[#All],3,0)," ")</f>
        <v xml:space="preserve"> </v>
      </c>
      <c r="P544" s="100" t="str">
        <f>IFERROR(VLOOKUP(Tablo517[[#This Row],[HAMMADDE KODU]],Tablo1[#All],4,0)," ")</f>
        <v xml:space="preserve"> </v>
      </c>
      <c r="Q544" s="100" t="str">
        <f>IFERROR(VLOOKUP(Tablo517[[#This Row],[ÜRÜN KODU]],YMKODLARI!$A$1:$K$363,5,0)," ")</f>
        <v xml:space="preserve"> </v>
      </c>
      <c r="R544" s="100" t="str">
        <f>IFERROR(VLOOKUP(Tablo517[[#This Row],[ÜRÜN KODU]],YMKODLARI!$A$1:$K$363,6,0)," ")</f>
        <v xml:space="preserve"> </v>
      </c>
      <c r="S544" s="100" t="str">
        <f>IFERROR(Tablo517[[#This Row],[YOLLUK HARİÇ BASKI GRAMI]]/Tablo517[[#This Row],[KALIP GÖZ ADEDİ]]," ")</f>
        <v xml:space="preserve"> </v>
      </c>
      <c r="T544" s="100" t="str">
        <f t="shared" si="59"/>
        <v xml:space="preserve"> </v>
      </c>
      <c r="U544" s="100"/>
      <c r="V544" s="100" t="str">
        <f t="shared" si="58"/>
        <v xml:space="preserve"> </v>
      </c>
      <c r="W544" s="101">
        <f t="shared" si="60"/>
        <v>24</v>
      </c>
      <c r="X544" s="102">
        <f t="shared" si="61"/>
        <v>0</v>
      </c>
      <c r="Y544" s="100" t="str">
        <f t="shared" si="62"/>
        <v xml:space="preserve"> </v>
      </c>
      <c r="Z544" s="100" t="str">
        <f t="shared" si="63"/>
        <v xml:space="preserve"> </v>
      </c>
    </row>
    <row r="545" spans="1:26">
      <c r="A545" s="100"/>
      <c r="B545" s="108" t="str">
        <f>IFERROR(VLOOKUP(Tablo517[[#This Row],[ÜRÜN KODU]],YMKODLARI!$A$1:$K$363,2,0)," ")</f>
        <v xml:space="preserve"> </v>
      </c>
      <c r="C545" s="99"/>
      <c r="D545" s="100"/>
      <c r="E545" s="101"/>
      <c r="F545" s="101"/>
      <c r="G545" s="100" t="str">
        <f>IFERROR(VLOOKUP(Tablo517[[#This Row],[ÜRÜN KODU]],YMKODLARI!$A$1:$K$363,3,0)," ")</f>
        <v xml:space="preserve"> </v>
      </c>
      <c r="H545" s="100" t="str">
        <f>IFERROR(VLOOKUP(Tablo517[[#This Row],[ÜRÜN KODU]],YMKODLARI!$A$1:$K$363,4,0)," ")</f>
        <v xml:space="preserve"> </v>
      </c>
      <c r="I545" s="100"/>
      <c r="J545" s="100" t="str">
        <f>IFERROR(VLOOKUP(Tablo517[[#This Row],[ÜRÜN KODU]],YMKODLARI!$A$1:$K$363,9,0)," ")</f>
        <v xml:space="preserve"> </v>
      </c>
      <c r="K545" s="100" t="str">
        <f>IFERROR(VLOOKUP(Tablo517[[#This Row],[BOYA KODU]],Tablo14[#All],4,0)," ")</f>
        <v xml:space="preserve"> </v>
      </c>
      <c r="L545" s="100" t="str">
        <f>IFERROR(VLOOKUP(Tablo517[[#This Row],[BOYA KODU]],Tablo14[#All],6,0)," ")</f>
        <v xml:space="preserve"> </v>
      </c>
      <c r="M545" s="100" t="str">
        <f t="shared" si="57"/>
        <v xml:space="preserve"> </v>
      </c>
      <c r="N545" s="100" t="str">
        <f>IFERROR(VLOOKUP(Tablo517[[#This Row],[ÜRÜN KODU]],YMKODLARI!$A$1:$K$363,8,0)," ")</f>
        <v xml:space="preserve"> </v>
      </c>
      <c r="O545" s="100" t="str">
        <f>IFERROR(VLOOKUP(Tablo517[[#This Row],[HAMMADDE KODU]],Tablo1[#All],3,0)," ")</f>
        <v xml:space="preserve"> </v>
      </c>
      <c r="P545" s="100" t="str">
        <f>IFERROR(VLOOKUP(Tablo517[[#This Row],[HAMMADDE KODU]],Tablo1[#All],4,0)," ")</f>
        <v xml:space="preserve"> </v>
      </c>
      <c r="Q545" s="100" t="str">
        <f>IFERROR(VLOOKUP(Tablo517[[#This Row],[ÜRÜN KODU]],YMKODLARI!$A$1:$K$363,5,0)," ")</f>
        <v xml:space="preserve"> </v>
      </c>
      <c r="R545" s="100" t="str">
        <f>IFERROR(VLOOKUP(Tablo517[[#This Row],[ÜRÜN KODU]],YMKODLARI!$A$1:$K$363,6,0)," ")</f>
        <v xml:space="preserve"> </v>
      </c>
      <c r="S545" s="100" t="str">
        <f>IFERROR(Tablo517[[#This Row],[YOLLUK HARİÇ BASKI GRAMI]]/Tablo517[[#This Row],[KALIP GÖZ ADEDİ]]," ")</f>
        <v xml:space="preserve"> </v>
      </c>
      <c r="T545" s="100" t="str">
        <f t="shared" si="59"/>
        <v xml:space="preserve"> </v>
      </c>
      <c r="U545" s="100"/>
      <c r="V545" s="100" t="str">
        <f t="shared" si="58"/>
        <v xml:space="preserve"> </v>
      </c>
      <c r="W545" s="101">
        <f t="shared" si="60"/>
        <v>24</v>
      </c>
      <c r="X545" s="102">
        <f t="shared" si="61"/>
        <v>0</v>
      </c>
      <c r="Y545" s="100" t="str">
        <f t="shared" si="62"/>
        <v xml:space="preserve"> </v>
      </c>
      <c r="Z545" s="100" t="str">
        <f t="shared" si="63"/>
        <v xml:space="preserve"> </v>
      </c>
    </row>
    <row r="546" spans="1:26">
      <c r="A546" s="100"/>
      <c r="B546" s="108" t="str">
        <f>IFERROR(VLOOKUP(Tablo517[[#This Row],[ÜRÜN KODU]],YMKODLARI!$A$1:$K$363,2,0)," ")</f>
        <v xml:space="preserve"> </v>
      </c>
      <c r="C546" s="99"/>
      <c r="D546" s="100"/>
      <c r="E546" s="101"/>
      <c r="F546" s="101"/>
      <c r="G546" s="100" t="str">
        <f>IFERROR(VLOOKUP(Tablo517[[#This Row],[ÜRÜN KODU]],YMKODLARI!$A$1:$K$363,3,0)," ")</f>
        <v xml:space="preserve"> </v>
      </c>
      <c r="H546" s="100" t="str">
        <f>IFERROR(VLOOKUP(Tablo517[[#This Row],[ÜRÜN KODU]],YMKODLARI!$A$1:$K$363,4,0)," ")</f>
        <v xml:space="preserve"> </v>
      </c>
      <c r="I546" s="100"/>
      <c r="J546" s="100" t="str">
        <f>IFERROR(VLOOKUP(Tablo517[[#This Row],[ÜRÜN KODU]],YMKODLARI!$A$1:$K$363,9,0)," ")</f>
        <v xml:space="preserve"> </v>
      </c>
      <c r="K546" s="100" t="str">
        <f>IFERROR(VLOOKUP(Tablo517[[#This Row],[BOYA KODU]],Tablo14[#All],4,0)," ")</f>
        <v xml:space="preserve"> </v>
      </c>
      <c r="L546" s="100" t="str">
        <f>IFERROR(VLOOKUP(Tablo517[[#This Row],[BOYA KODU]],Tablo14[#All],6,0)," ")</f>
        <v xml:space="preserve"> </v>
      </c>
      <c r="M546" s="100" t="str">
        <f t="shared" si="57"/>
        <v xml:space="preserve"> </v>
      </c>
      <c r="N546" s="100" t="str">
        <f>IFERROR(VLOOKUP(Tablo517[[#This Row],[ÜRÜN KODU]],YMKODLARI!$A$1:$K$363,8,0)," ")</f>
        <v xml:space="preserve"> </v>
      </c>
      <c r="O546" s="100" t="str">
        <f>IFERROR(VLOOKUP(Tablo517[[#This Row],[HAMMADDE KODU]],Tablo1[#All],3,0)," ")</f>
        <v xml:space="preserve"> </v>
      </c>
      <c r="P546" s="100" t="str">
        <f>IFERROR(VLOOKUP(Tablo517[[#This Row],[HAMMADDE KODU]],Tablo1[#All],4,0)," ")</f>
        <v xml:space="preserve"> </v>
      </c>
      <c r="Q546" s="100" t="str">
        <f>IFERROR(VLOOKUP(Tablo517[[#This Row],[ÜRÜN KODU]],YMKODLARI!$A$1:$K$363,5,0)," ")</f>
        <v xml:space="preserve"> </v>
      </c>
      <c r="R546" s="100" t="str">
        <f>IFERROR(VLOOKUP(Tablo517[[#This Row],[ÜRÜN KODU]],YMKODLARI!$A$1:$K$363,6,0)," ")</f>
        <v xml:space="preserve"> </v>
      </c>
      <c r="S546" s="100" t="str">
        <f>IFERROR(Tablo517[[#This Row],[YOLLUK HARİÇ BASKI GRAMI]]/Tablo517[[#This Row],[KALIP GÖZ ADEDİ]]," ")</f>
        <v xml:space="preserve"> </v>
      </c>
      <c r="T546" s="100" t="str">
        <f t="shared" si="59"/>
        <v xml:space="preserve"> </v>
      </c>
      <c r="U546" s="100"/>
      <c r="V546" s="100" t="str">
        <f t="shared" si="58"/>
        <v xml:space="preserve"> </v>
      </c>
      <c r="W546" s="101">
        <f t="shared" si="60"/>
        <v>24</v>
      </c>
      <c r="X546" s="102">
        <f t="shared" si="61"/>
        <v>0</v>
      </c>
      <c r="Y546" s="100" t="str">
        <f t="shared" si="62"/>
        <v xml:space="preserve"> </v>
      </c>
      <c r="Z546" s="100" t="str">
        <f t="shared" si="63"/>
        <v xml:space="preserve"> </v>
      </c>
    </row>
    <row r="547" spans="1:26">
      <c r="A547" s="100"/>
      <c r="B547" s="108" t="str">
        <f>IFERROR(VLOOKUP(Tablo517[[#This Row],[ÜRÜN KODU]],YMKODLARI!$A$1:$K$363,2,0)," ")</f>
        <v xml:space="preserve"> </v>
      </c>
      <c r="C547" s="99"/>
      <c r="D547" s="100"/>
      <c r="E547" s="101"/>
      <c r="F547" s="101"/>
      <c r="G547" s="100" t="str">
        <f>IFERROR(VLOOKUP(Tablo517[[#This Row],[ÜRÜN KODU]],YMKODLARI!$A$1:$K$363,3,0)," ")</f>
        <v xml:space="preserve"> </v>
      </c>
      <c r="H547" s="100" t="str">
        <f>IFERROR(VLOOKUP(Tablo517[[#This Row],[ÜRÜN KODU]],YMKODLARI!$A$1:$K$363,4,0)," ")</f>
        <v xml:space="preserve"> </v>
      </c>
      <c r="I547" s="100"/>
      <c r="J547" s="100" t="str">
        <f>IFERROR(VLOOKUP(Tablo517[[#This Row],[ÜRÜN KODU]],YMKODLARI!$A$1:$K$363,9,0)," ")</f>
        <v xml:space="preserve"> </v>
      </c>
      <c r="K547" s="100" t="str">
        <f>IFERROR(VLOOKUP(Tablo517[[#This Row],[BOYA KODU]],Tablo14[#All],4,0)," ")</f>
        <v xml:space="preserve"> </v>
      </c>
      <c r="L547" s="100" t="str">
        <f>IFERROR(VLOOKUP(Tablo517[[#This Row],[BOYA KODU]],Tablo14[#All],6,0)," ")</f>
        <v xml:space="preserve"> </v>
      </c>
      <c r="M547" s="100" t="str">
        <f t="shared" si="57"/>
        <v xml:space="preserve"> </v>
      </c>
      <c r="N547" s="100" t="str">
        <f>IFERROR(VLOOKUP(Tablo517[[#This Row],[ÜRÜN KODU]],YMKODLARI!$A$1:$K$363,8,0)," ")</f>
        <v xml:space="preserve"> </v>
      </c>
      <c r="O547" s="100" t="str">
        <f>IFERROR(VLOOKUP(Tablo517[[#This Row],[HAMMADDE KODU]],Tablo1[#All],3,0)," ")</f>
        <v xml:space="preserve"> </v>
      </c>
      <c r="P547" s="100" t="str">
        <f>IFERROR(VLOOKUP(Tablo517[[#This Row],[HAMMADDE KODU]],Tablo1[#All],4,0)," ")</f>
        <v xml:space="preserve"> </v>
      </c>
      <c r="Q547" s="100" t="str">
        <f>IFERROR(VLOOKUP(Tablo517[[#This Row],[ÜRÜN KODU]],YMKODLARI!$A$1:$K$363,5,0)," ")</f>
        <v xml:space="preserve"> </v>
      </c>
      <c r="R547" s="100" t="str">
        <f>IFERROR(VLOOKUP(Tablo517[[#This Row],[ÜRÜN KODU]],YMKODLARI!$A$1:$K$363,6,0)," ")</f>
        <v xml:space="preserve"> </v>
      </c>
      <c r="S547" s="100" t="str">
        <f>IFERROR(Tablo517[[#This Row],[YOLLUK HARİÇ BASKI GRAMI]]/Tablo517[[#This Row],[KALIP GÖZ ADEDİ]]," ")</f>
        <v xml:space="preserve"> </v>
      </c>
      <c r="T547" s="100" t="str">
        <f t="shared" si="59"/>
        <v xml:space="preserve"> </v>
      </c>
      <c r="U547" s="100"/>
      <c r="V547" s="100" t="str">
        <f t="shared" si="58"/>
        <v xml:space="preserve"> </v>
      </c>
      <c r="W547" s="101">
        <f t="shared" si="60"/>
        <v>24</v>
      </c>
      <c r="X547" s="102">
        <f t="shared" si="61"/>
        <v>0</v>
      </c>
      <c r="Y547" s="100" t="str">
        <f t="shared" si="62"/>
        <v xml:space="preserve"> </v>
      </c>
      <c r="Z547" s="100" t="str">
        <f t="shared" si="63"/>
        <v xml:space="preserve"> </v>
      </c>
    </row>
    <row r="548" spans="1:26">
      <c r="A548" s="100"/>
      <c r="B548" s="108" t="str">
        <f>IFERROR(VLOOKUP(Tablo517[[#This Row],[ÜRÜN KODU]],YMKODLARI!$A$1:$K$363,2,0)," ")</f>
        <v xml:space="preserve"> </v>
      </c>
      <c r="C548" s="99"/>
      <c r="D548" s="100"/>
      <c r="E548" s="101"/>
      <c r="F548" s="101"/>
      <c r="G548" s="100" t="str">
        <f>IFERROR(VLOOKUP(Tablo517[[#This Row],[ÜRÜN KODU]],YMKODLARI!$A$1:$K$363,3,0)," ")</f>
        <v xml:space="preserve"> </v>
      </c>
      <c r="H548" s="100" t="str">
        <f>IFERROR(VLOOKUP(Tablo517[[#This Row],[ÜRÜN KODU]],YMKODLARI!$A$1:$K$363,4,0)," ")</f>
        <v xml:space="preserve"> </v>
      </c>
      <c r="I548" s="100"/>
      <c r="J548" s="100" t="str">
        <f>IFERROR(VLOOKUP(Tablo517[[#This Row],[ÜRÜN KODU]],YMKODLARI!$A$1:$K$363,9,0)," ")</f>
        <v xml:space="preserve"> </v>
      </c>
      <c r="K548" s="100" t="str">
        <f>IFERROR(VLOOKUP(Tablo517[[#This Row],[BOYA KODU]],Tablo14[#All],4,0)," ")</f>
        <v xml:space="preserve"> </v>
      </c>
      <c r="L548" s="100" t="str">
        <f>IFERROR(VLOOKUP(Tablo517[[#This Row],[BOYA KODU]],Tablo14[#All],6,0)," ")</f>
        <v xml:space="preserve"> </v>
      </c>
      <c r="M548" s="100" t="str">
        <f t="shared" si="57"/>
        <v xml:space="preserve"> </v>
      </c>
      <c r="N548" s="100" t="str">
        <f>IFERROR(VLOOKUP(Tablo517[[#This Row],[ÜRÜN KODU]],YMKODLARI!$A$1:$K$363,8,0)," ")</f>
        <v xml:space="preserve"> </v>
      </c>
      <c r="O548" s="100" t="str">
        <f>IFERROR(VLOOKUP(Tablo517[[#This Row],[HAMMADDE KODU]],Tablo1[#All],3,0)," ")</f>
        <v xml:space="preserve"> </v>
      </c>
      <c r="P548" s="100" t="str">
        <f>IFERROR(VLOOKUP(Tablo517[[#This Row],[HAMMADDE KODU]],Tablo1[#All],4,0)," ")</f>
        <v xml:space="preserve"> </v>
      </c>
      <c r="Q548" s="100" t="str">
        <f>IFERROR(VLOOKUP(Tablo517[[#This Row],[ÜRÜN KODU]],YMKODLARI!$A$1:$K$363,5,0)," ")</f>
        <v xml:space="preserve"> </v>
      </c>
      <c r="R548" s="100" t="str">
        <f>IFERROR(VLOOKUP(Tablo517[[#This Row],[ÜRÜN KODU]],YMKODLARI!$A$1:$K$363,6,0)," ")</f>
        <v xml:space="preserve"> </v>
      </c>
      <c r="S548" s="100" t="str">
        <f>IFERROR(Tablo517[[#This Row],[YOLLUK HARİÇ BASKI GRAMI]]/Tablo517[[#This Row],[KALIP GÖZ ADEDİ]]," ")</f>
        <v xml:space="preserve"> </v>
      </c>
      <c r="T548" s="100" t="str">
        <f t="shared" si="59"/>
        <v xml:space="preserve"> </v>
      </c>
      <c r="U548" s="100"/>
      <c r="V548" s="100" t="str">
        <f t="shared" si="58"/>
        <v xml:space="preserve"> </v>
      </c>
      <c r="W548" s="101">
        <f t="shared" si="60"/>
        <v>24</v>
      </c>
      <c r="X548" s="102">
        <f t="shared" si="61"/>
        <v>0</v>
      </c>
      <c r="Y548" s="100" t="str">
        <f t="shared" si="62"/>
        <v xml:space="preserve"> </v>
      </c>
      <c r="Z548" s="100" t="str">
        <f t="shared" si="63"/>
        <v xml:space="preserve"> </v>
      </c>
    </row>
    <row r="549" spans="1:26">
      <c r="A549" s="100"/>
      <c r="B549" s="108" t="str">
        <f>IFERROR(VLOOKUP(Tablo517[[#This Row],[ÜRÜN KODU]],YMKODLARI!$A$1:$K$363,2,0)," ")</f>
        <v xml:space="preserve"> </v>
      </c>
      <c r="C549" s="99"/>
      <c r="D549" s="100"/>
      <c r="E549" s="101"/>
      <c r="F549" s="101"/>
      <c r="G549" s="100" t="str">
        <f>IFERROR(VLOOKUP(Tablo517[[#This Row],[ÜRÜN KODU]],YMKODLARI!$A$1:$K$363,3,0)," ")</f>
        <v xml:space="preserve"> </v>
      </c>
      <c r="H549" s="100" t="str">
        <f>IFERROR(VLOOKUP(Tablo517[[#This Row],[ÜRÜN KODU]],YMKODLARI!$A$1:$K$363,4,0)," ")</f>
        <v xml:space="preserve"> </v>
      </c>
      <c r="I549" s="100"/>
      <c r="J549" s="100" t="str">
        <f>IFERROR(VLOOKUP(Tablo517[[#This Row],[ÜRÜN KODU]],YMKODLARI!$A$1:$K$363,9,0)," ")</f>
        <v xml:space="preserve"> </v>
      </c>
      <c r="K549" s="100" t="str">
        <f>IFERROR(VLOOKUP(Tablo517[[#This Row],[BOYA KODU]],Tablo14[#All],4,0)," ")</f>
        <v xml:space="preserve"> </v>
      </c>
      <c r="L549" s="100" t="str">
        <f>IFERROR(VLOOKUP(Tablo517[[#This Row],[BOYA KODU]],Tablo14[#All],6,0)," ")</f>
        <v xml:space="preserve"> </v>
      </c>
      <c r="M549" s="100" t="str">
        <f t="shared" si="57"/>
        <v xml:space="preserve"> </v>
      </c>
      <c r="N549" s="100" t="str">
        <f>IFERROR(VLOOKUP(Tablo517[[#This Row],[ÜRÜN KODU]],YMKODLARI!$A$1:$K$363,8,0)," ")</f>
        <v xml:space="preserve"> </v>
      </c>
      <c r="O549" s="100" t="str">
        <f>IFERROR(VLOOKUP(Tablo517[[#This Row],[HAMMADDE KODU]],Tablo1[#All],3,0)," ")</f>
        <v xml:space="preserve"> </v>
      </c>
      <c r="P549" s="100" t="str">
        <f>IFERROR(VLOOKUP(Tablo517[[#This Row],[HAMMADDE KODU]],Tablo1[#All],4,0)," ")</f>
        <v xml:space="preserve"> </v>
      </c>
      <c r="Q549" s="100" t="str">
        <f>IFERROR(VLOOKUP(Tablo517[[#This Row],[ÜRÜN KODU]],YMKODLARI!$A$1:$K$363,5,0)," ")</f>
        <v xml:space="preserve"> </v>
      </c>
      <c r="R549" s="100" t="str">
        <f>IFERROR(VLOOKUP(Tablo517[[#This Row],[ÜRÜN KODU]],YMKODLARI!$A$1:$K$363,6,0)," ")</f>
        <v xml:space="preserve"> </v>
      </c>
      <c r="S549" s="100" t="str">
        <f>IFERROR(Tablo517[[#This Row],[YOLLUK HARİÇ BASKI GRAMI]]/Tablo517[[#This Row],[KALIP GÖZ ADEDİ]]," ")</f>
        <v xml:space="preserve"> </v>
      </c>
      <c r="T549" s="100" t="str">
        <f t="shared" si="59"/>
        <v xml:space="preserve"> </v>
      </c>
      <c r="U549" s="100"/>
      <c r="V549" s="100" t="str">
        <f t="shared" si="58"/>
        <v xml:space="preserve"> </v>
      </c>
      <c r="W549" s="101">
        <f t="shared" si="60"/>
        <v>24</v>
      </c>
      <c r="X549" s="102">
        <f t="shared" si="61"/>
        <v>0</v>
      </c>
      <c r="Y549" s="100" t="str">
        <f t="shared" si="62"/>
        <v xml:space="preserve"> </v>
      </c>
      <c r="Z549" s="100" t="str">
        <f t="shared" si="63"/>
        <v xml:space="preserve"> </v>
      </c>
    </row>
    <row r="550" spans="1:26">
      <c r="A550" s="100"/>
      <c r="B550" s="108" t="str">
        <f>IFERROR(VLOOKUP(Tablo517[[#This Row],[ÜRÜN KODU]],YMKODLARI!$A$1:$K$363,2,0)," ")</f>
        <v xml:space="preserve"> </v>
      </c>
      <c r="C550" s="99"/>
      <c r="D550" s="100"/>
      <c r="E550" s="101"/>
      <c r="F550" s="101"/>
      <c r="G550" s="100" t="str">
        <f>IFERROR(VLOOKUP(Tablo517[[#This Row],[ÜRÜN KODU]],YMKODLARI!$A$1:$K$363,3,0)," ")</f>
        <v xml:space="preserve"> </v>
      </c>
      <c r="H550" s="100" t="str">
        <f>IFERROR(VLOOKUP(Tablo517[[#This Row],[ÜRÜN KODU]],YMKODLARI!$A$1:$K$363,4,0)," ")</f>
        <v xml:space="preserve"> </v>
      </c>
      <c r="I550" s="100"/>
      <c r="J550" s="100" t="str">
        <f>IFERROR(VLOOKUP(Tablo517[[#This Row],[ÜRÜN KODU]],YMKODLARI!$A$1:$K$363,9,0)," ")</f>
        <v xml:space="preserve"> </v>
      </c>
      <c r="K550" s="100" t="str">
        <f>IFERROR(VLOOKUP(Tablo517[[#This Row],[BOYA KODU]],Tablo14[#All],4,0)," ")</f>
        <v xml:space="preserve"> </v>
      </c>
      <c r="L550" s="100" t="str">
        <f>IFERROR(VLOOKUP(Tablo517[[#This Row],[BOYA KODU]],Tablo14[#All],6,0)," ")</f>
        <v xml:space="preserve"> </v>
      </c>
      <c r="M550" s="100" t="str">
        <f t="shared" si="57"/>
        <v xml:space="preserve"> </v>
      </c>
      <c r="N550" s="100" t="str">
        <f>IFERROR(VLOOKUP(Tablo517[[#This Row],[ÜRÜN KODU]],YMKODLARI!$A$1:$K$363,8,0)," ")</f>
        <v xml:space="preserve"> </v>
      </c>
      <c r="O550" s="100" t="str">
        <f>IFERROR(VLOOKUP(Tablo517[[#This Row],[HAMMADDE KODU]],Tablo1[#All],3,0)," ")</f>
        <v xml:space="preserve"> </v>
      </c>
      <c r="P550" s="100" t="str">
        <f>IFERROR(VLOOKUP(Tablo517[[#This Row],[HAMMADDE KODU]],Tablo1[#All],4,0)," ")</f>
        <v xml:space="preserve"> </v>
      </c>
      <c r="Q550" s="100" t="str">
        <f>IFERROR(VLOOKUP(Tablo517[[#This Row],[ÜRÜN KODU]],YMKODLARI!$A$1:$K$363,5,0)," ")</f>
        <v xml:space="preserve"> </v>
      </c>
      <c r="R550" s="100" t="str">
        <f>IFERROR(VLOOKUP(Tablo517[[#This Row],[ÜRÜN KODU]],YMKODLARI!$A$1:$K$363,6,0)," ")</f>
        <v xml:space="preserve"> </v>
      </c>
      <c r="S550" s="100" t="str">
        <f>IFERROR(Tablo517[[#This Row],[YOLLUK HARİÇ BASKI GRAMI]]/Tablo517[[#This Row],[KALIP GÖZ ADEDİ]]," ")</f>
        <v xml:space="preserve"> </v>
      </c>
      <c r="T550" s="100" t="str">
        <f t="shared" si="59"/>
        <v xml:space="preserve"> </v>
      </c>
      <c r="U550" s="100"/>
      <c r="V550" s="100" t="str">
        <f t="shared" si="58"/>
        <v xml:space="preserve"> </v>
      </c>
      <c r="W550" s="101">
        <f t="shared" si="60"/>
        <v>24</v>
      </c>
      <c r="X550" s="102">
        <f t="shared" si="61"/>
        <v>0</v>
      </c>
      <c r="Y550" s="100" t="str">
        <f t="shared" si="62"/>
        <v xml:space="preserve"> </v>
      </c>
      <c r="Z550" s="100" t="str">
        <f t="shared" si="63"/>
        <v xml:space="preserve"> </v>
      </c>
    </row>
    <row r="551" spans="1:26">
      <c r="A551" s="100"/>
      <c r="B551" s="108" t="str">
        <f>IFERROR(VLOOKUP(Tablo517[[#This Row],[ÜRÜN KODU]],YMKODLARI!$A$1:$K$363,2,0)," ")</f>
        <v xml:space="preserve"> </v>
      </c>
      <c r="C551" s="99"/>
      <c r="D551" s="100"/>
      <c r="E551" s="101"/>
      <c r="F551" s="101"/>
      <c r="G551" s="100" t="str">
        <f>IFERROR(VLOOKUP(Tablo517[[#This Row],[ÜRÜN KODU]],YMKODLARI!$A$1:$K$363,3,0)," ")</f>
        <v xml:space="preserve"> </v>
      </c>
      <c r="H551" s="100" t="str">
        <f>IFERROR(VLOOKUP(Tablo517[[#This Row],[ÜRÜN KODU]],YMKODLARI!$A$1:$K$363,4,0)," ")</f>
        <v xml:space="preserve"> </v>
      </c>
      <c r="I551" s="100"/>
      <c r="J551" s="100" t="str">
        <f>IFERROR(VLOOKUP(Tablo517[[#This Row],[ÜRÜN KODU]],YMKODLARI!$A$1:$K$363,9,0)," ")</f>
        <v xml:space="preserve"> </v>
      </c>
      <c r="K551" s="100" t="str">
        <f>IFERROR(VLOOKUP(Tablo517[[#This Row],[BOYA KODU]],Tablo14[#All],4,0)," ")</f>
        <v xml:space="preserve"> </v>
      </c>
      <c r="L551" s="100" t="str">
        <f>IFERROR(VLOOKUP(Tablo517[[#This Row],[BOYA KODU]],Tablo14[#All],6,0)," ")</f>
        <v xml:space="preserve"> </v>
      </c>
      <c r="M551" s="100" t="str">
        <f t="shared" si="57"/>
        <v xml:space="preserve"> </v>
      </c>
      <c r="N551" s="100" t="str">
        <f>IFERROR(VLOOKUP(Tablo517[[#This Row],[ÜRÜN KODU]],YMKODLARI!$A$1:$K$363,8,0)," ")</f>
        <v xml:space="preserve"> </v>
      </c>
      <c r="O551" s="100" t="str">
        <f>IFERROR(VLOOKUP(Tablo517[[#This Row],[HAMMADDE KODU]],Tablo1[#All],3,0)," ")</f>
        <v xml:space="preserve"> </v>
      </c>
      <c r="P551" s="100" t="str">
        <f>IFERROR(VLOOKUP(Tablo517[[#This Row],[HAMMADDE KODU]],Tablo1[#All],4,0)," ")</f>
        <v xml:space="preserve"> </v>
      </c>
      <c r="Q551" s="100" t="str">
        <f>IFERROR(VLOOKUP(Tablo517[[#This Row],[ÜRÜN KODU]],YMKODLARI!$A$1:$K$363,5,0)," ")</f>
        <v xml:space="preserve"> </v>
      </c>
      <c r="R551" s="100" t="str">
        <f>IFERROR(VLOOKUP(Tablo517[[#This Row],[ÜRÜN KODU]],YMKODLARI!$A$1:$K$363,6,0)," ")</f>
        <v xml:space="preserve"> </v>
      </c>
      <c r="S551" s="100" t="str">
        <f>IFERROR(Tablo517[[#This Row],[YOLLUK HARİÇ BASKI GRAMI]]/Tablo517[[#This Row],[KALIP GÖZ ADEDİ]]," ")</f>
        <v xml:space="preserve"> </v>
      </c>
      <c r="T551" s="100" t="str">
        <f t="shared" si="59"/>
        <v xml:space="preserve"> </v>
      </c>
      <c r="U551" s="100"/>
      <c r="V551" s="100" t="str">
        <f t="shared" si="58"/>
        <v xml:space="preserve"> </v>
      </c>
      <c r="W551" s="101">
        <f t="shared" si="60"/>
        <v>24</v>
      </c>
      <c r="X551" s="102">
        <f t="shared" si="61"/>
        <v>0</v>
      </c>
      <c r="Y551" s="100" t="str">
        <f t="shared" si="62"/>
        <v xml:space="preserve"> </v>
      </c>
      <c r="Z551" s="100" t="str">
        <f t="shared" si="63"/>
        <v xml:space="preserve"> </v>
      </c>
    </row>
    <row r="552" spans="1:26">
      <c r="A552" s="100"/>
      <c r="B552" s="108" t="str">
        <f>IFERROR(VLOOKUP(Tablo517[[#This Row],[ÜRÜN KODU]],YMKODLARI!$A$1:$K$363,2,0)," ")</f>
        <v xml:space="preserve"> </v>
      </c>
      <c r="C552" s="99"/>
      <c r="D552" s="100"/>
      <c r="E552" s="101"/>
      <c r="F552" s="101"/>
      <c r="G552" s="100" t="str">
        <f>IFERROR(VLOOKUP(Tablo517[[#This Row],[ÜRÜN KODU]],YMKODLARI!$A$1:$K$363,3,0)," ")</f>
        <v xml:space="preserve"> </v>
      </c>
      <c r="H552" s="100" t="str">
        <f>IFERROR(VLOOKUP(Tablo517[[#This Row],[ÜRÜN KODU]],YMKODLARI!$A$1:$K$363,4,0)," ")</f>
        <v xml:space="preserve"> </v>
      </c>
      <c r="I552" s="100"/>
      <c r="J552" s="100" t="str">
        <f>IFERROR(VLOOKUP(Tablo517[[#This Row],[ÜRÜN KODU]],YMKODLARI!$A$1:$K$363,9,0)," ")</f>
        <v xml:space="preserve"> </v>
      </c>
      <c r="K552" s="100" t="str">
        <f>IFERROR(VLOOKUP(Tablo517[[#This Row],[BOYA KODU]],Tablo14[#All],4,0)," ")</f>
        <v xml:space="preserve"> </v>
      </c>
      <c r="L552" s="100" t="str">
        <f>IFERROR(VLOOKUP(Tablo517[[#This Row],[BOYA KODU]],Tablo14[#All],6,0)," ")</f>
        <v xml:space="preserve"> </v>
      </c>
      <c r="M552" s="100" t="str">
        <f t="shared" si="57"/>
        <v xml:space="preserve"> </v>
      </c>
      <c r="N552" s="100" t="str">
        <f>IFERROR(VLOOKUP(Tablo517[[#This Row],[ÜRÜN KODU]],YMKODLARI!$A$1:$K$363,8,0)," ")</f>
        <v xml:space="preserve"> </v>
      </c>
      <c r="O552" s="100" t="str">
        <f>IFERROR(VLOOKUP(Tablo517[[#This Row],[HAMMADDE KODU]],Tablo1[#All],3,0)," ")</f>
        <v xml:space="preserve"> </v>
      </c>
      <c r="P552" s="100" t="str">
        <f>IFERROR(VLOOKUP(Tablo517[[#This Row],[HAMMADDE KODU]],Tablo1[#All],4,0)," ")</f>
        <v xml:space="preserve"> </v>
      </c>
      <c r="Q552" s="100" t="str">
        <f>IFERROR(VLOOKUP(Tablo517[[#This Row],[ÜRÜN KODU]],YMKODLARI!$A$1:$K$363,5,0)," ")</f>
        <v xml:space="preserve"> </v>
      </c>
      <c r="R552" s="100" t="str">
        <f>IFERROR(VLOOKUP(Tablo517[[#This Row],[ÜRÜN KODU]],YMKODLARI!$A$1:$K$363,6,0)," ")</f>
        <v xml:space="preserve"> </v>
      </c>
      <c r="S552" s="100" t="str">
        <f>IFERROR(Tablo517[[#This Row],[YOLLUK HARİÇ BASKI GRAMI]]/Tablo517[[#This Row],[KALIP GÖZ ADEDİ]]," ")</f>
        <v xml:space="preserve"> </v>
      </c>
      <c r="T552" s="100" t="str">
        <f t="shared" si="59"/>
        <v xml:space="preserve"> </v>
      </c>
      <c r="U552" s="100"/>
      <c r="V552" s="100" t="str">
        <f t="shared" si="58"/>
        <v xml:space="preserve"> </v>
      </c>
      <c r="W552" s="101">
        <f t="shared" si="60"/>
        <v>24</v>
      </c>
      <c r="X552" s="102">
        <f t="shared" si="61"/>
        <v>0</v>
      </c>
      <c r="Y552" s="100" t="str">
        <f t="shared" si="62"/>
        <v xml:space="preserve"> </v>
      </c>
      <c r="Z552" s="100" t="str">
        <f t="shared" si="63"/>
        <v xml:space="preserve"> </v>
      </c>
    </row>
    <row r="553" spans="1:26">
      <c r="A553" s="100"/>
      <c r="B553" s="108" t="str">
        <f>IFERROR(VLOOKUP(Tablo517[[#This Row],[ÜRÜN KODU]],YMKODLARI!$A$1:$K$363,2,0)," ")</f>
        <v xml:space="preserve"> </v>
      </c>
      <c r="C553" s="99"/>
      <c r="D553" s="100"/>
      <c r="E553" s="101"/>
      <c r="F553" s="101"/>
      <c r="G553" s="100" t="str">
        <f>IFERROR(VLOOKUP(Tablo517[[#This Row],[ÜRÜN KODU]],YMKODLARI!$A$1:$K$363,3,0)," ")</f>
        <v xml:space="preserve"> </v>
      </c>
      <c r="H553" s="100" t="str">
        <f>IFERROR(VLOOKUP(Tablo517[[#This Row],[ÜRÜN KODU]],YMKODLARI!$A$1:$K$363,4,0)," ")</f>
        <v xml:space="preserve"> </v>
      </c>
      <c r="I553" s="100"/>
      <c r="J553" s="100" t="str">
        <f>IFERROR(VLOOKUP(Tablo517[[#This Row],[ÜRÜN KODU]],YMKODLARI!$A$1:$K$363,9,0)," ")</f>
        <v xml:space="preserve"> </v>
      </c>
      <c r="K553" s="100" t="str">
        <f>IFERROR(VLOOKUP(Tablo517[[#This Row],[BOYA KODU]],Tablo14[#All],4,0)," ")</f>
        <v xml:space="preserve"> </v>
      </c>
      <c r="L553" s="100" t="str">
        <f>IFERROR(VLOOKUP(Tablo517[[#This Row],[BOYA KODU]],Tablo14[#All],6,0)," ")</f>
        <v xml:space="preserve"> </v>
      </c>
      <c r="M553" s="100" t="str">
        <f t="shared" si="57"/>
        <v xml:space="preserve"> </v>
      </c>
      <c r="N553" s="100" t="str">
        <f>IFERROR(VLOOKUP(Tablo517[[#This Row],[ÜRÜN KODU]],YMKODLARI!$A$1:$K$363,8,0)," ")</f>
        <v xml:space="preserve"> </v>
      </c>
      <c r="O553" s="100" t="str">
        <f>IFERROR(VLOOKUP(Tablo517[[#This Row],[HAMMADDE KODU]],Tablo1[#All],3,0)," ")</f>
        <v xml:space="preserve"> </v>
      </c>
      <c r="P553" s="100" t="str">
        <f>IFERROR(VLOOKUP(Tablo517[[#This Row],[HAMMADDE KODU]],Tablo1[#All],4,0)," ")</f>
        <v xml:space="preserve"> </v>
      </c>
      <c r="Q553" s="100" t="str">
        <f>IFERROR(VLOOKUP(Tablo517[[#This Row],[ÜRÜN KODU]],YMKODLARI!$A$1:$K$363,5,0)," ")</f>
        <v xml:space="preserve"> </v>
      </c>
      <c r="R553" s="100" t="str">
        <f>IFERROR(VLOOKUP(Tablo517[[#This Row],[ÜRÜN KODU]],YMKODLARI!$A$1:$K$363,6,0)," ")</f>
        <v xml:space="preserve"> </v>
      </c>
      <c r="S553" s="100" t="str">
        <f>IFERROR(Tablo517[[#This Row],[YOLLUK HARİÇ BASKI GRAMI]]/Tablo517[[#This Row],[KALIP GÖZ ADEDİ]]," ")</f>
        <v xml:space="preserve"> </v>
      </c>
      <c r="T553" s="100" t="str">
        <f t="shared" si="59"/>
        <v xml:space="preserve"> </v>
      </c>
      <c r="U553" s="100"/>
      <c r="V553" s="100" t="str">
        <f t="shared" si="58"/>
        <v xml:space="preserve"> </v>
      </c>
      <c r="W553" s="101">
        <f t="shared" si="60"/>
        <v>24</v>
      </c>
      <c r="X553" s="102">
        <f t="shared" si="61"/>
        <v>0</v>
      </c>
      <c r="Y553" s="100" t="str">
        <f t="shared" si="62"/>
        <v xml:space="preserve"> </v>
      </c>
      <c r="Z553" s="100" t="str">
        <f t="shared" si="63"/>
        <v xml:space="preserve"> </v>
      </c>
    </row>
    <row r="554" spans="1:26">
      <c r="A554" s="100"/>
      <c r="B554" s="108" t="str">
        <f>IFERROR(VLOOKUP(Tablo517[[#This Row],[ÜRÜN KODU]],YMKODLARI!$A$1:$K$363,2,0)," ")</f>
        <v xml:space="preserve"> </v>
      </c>
      <c r="C554" s="99"/>
      <c r="D554" s="100"/>
      <c r="E554" s="101"/>
      <c r="F554" s="101"/>
      <c r="G554" s="100" t="str">
        <f>IFERROR(VLOOKUP(Tablo517[[#This Row],[ÜRÜN KODU]],YMKODLARI!$A$1:$K$363,3,0)," ")</f>
        <v xml:space="preserve"> </v>
      </c>
      <c r="H554" s="100" t="str">
        <f>IFERROR(VLOOKUP(Tablo517[[#This Row],[ÜRÜN KODU]],YMKODLARI!$A$1:$K$363,4,0)," ")</f>
        <v xml:space="preserve"> </v>
      </c>
      <c r="I554" s="100"/>
      <c r="J554" s="100" t="str">
        <f>IFERROR(VLOOKUP(Tablo517[[#This Row],[ÜRÜN KODU]],YMKODLARI!$A$1:$K$363,9,0)," ")</f>
        <v xml:space="preserve"> </v>
      </c>
      <c r="K554" s="100" t="str">
        <f>IFERROR(VLOOKUP(Tablo517[[#This Row],[BOYA KODU]],Tablo14[#All],4,0)," ")</f>
        <v xml:space="preserve"> </v>
      </c>
      <c r="L554" s="100" t="str">
        <f>IFERROR(VLOOKUP(Tablo517[[#This Row],[BOYA KODU]],Tablo14[#All],6,0)," ")</f>
        <v xml:space="preserve"> </v>
      </c>
      <c r="M554" s="100" t="str">
        <f t="shared" si="57"/>
        <v xml:space="preserve"> </v>
      </c>
      <c r="N554" s="100" t="str">
        <f>IFERROR(VLOOKUP(Tablo517[[#This Row],[ÜRÜN KODU]],YMKODLARI!$A$1:$K$363,8,0)," ")</f>
        <v xml:space="preserve"> </v>
      </c>
      <c r="O554" s="100" t="str">
        <f>IFERROR(VLOOKUP(Tablo517[[#This Row],[HAMMADDE KODU]],Tablo1[#All],3,0)," ")</f>
        <v xml:space="preserve"> </v>
      </c>
      <c r="P554" s="100" t="str">
        <f>IFERROR(VLOOKUP(Tablo517[[#This Row],[HAMMADDE KODU]],Tablo1[#All],4,0)," ")</f>
        <v xml:space="preserve"> </v>
      </c>
      <c r="Q554" s="100" t="str">
        <f>IFERROR(VLOOKUP(Tablo517[[#This Row],[ÜRÜN KODU]],YMKODLARI!$A$1:$K$363,5,0)," ")</f>
        <v xml:space="preserve"> </v>
      </c>
      <c r="R554" s="100" t="str">
        <f>IFERROR(VLOOKUP(Tablo517[[#This Row],[ÜRÜN KODU]],YMKODLARI!$A$1:$K$363,6,0)," ")</f>
        <v xml:space="preserve"> </v>
      </c>
      <c r="S554" s="100" t="str">
        <f>IFERROR(Tablo517[[#This Row],[YOLLUK HARİÇ BASKI GRAMI]]/Tablo517[[#This Row],[KALIP GÖZ ADEDİ]]," ")</f>
        <v xml:space="preserve"> </v>
      </c>
      <c r="T554" s="100" t="str">
        <f t="shared" si="59"/>
        <v xml:space="preserve"> </v>
      </c>
      <c r="U554" s="100"/>
      <c r="V554" s="100" t="str">
        <f t="shared" si="58"/>
        <v xml:space="preserve"> </v>
      </c>
      <c r="W554" s="101">
        <f t="shared" si="60"/>
        <v>24</v>
      </c>
      <c r="X554" s="102">
        <f t="shared" si="61"/>
        <v>0</v>
      </c>
      <c r="Y554" s="100" t="str">
        <f t="shared" si="62"/>
        <v xml:space="preserve"> </v>
      </c>
      <c r="Z554" s="100" t="str">
        <f t="shared" si="63"/>
        <v xml:space="preserve"> </v>
      </c>
    </row>
    <row r="555" spans="1:26">
      <c r="A555" s="100"/>
      <c r="B555" s="108" t="str">
        <f>IFERROR(VLOOKUP(Tablo517[[#This Row],[ÜRÜN KODU]],YMKODLARI!$A$1:$K$363,2,0)," ")</f>
        <v xml:space="preserve"> </v>
      </c>
      <c r="C555" s="99"/>
      <c r="D555" s="100"/>
      <c r="E555" s="101"/>
      <c r="F555" s="101"/>
      <c r="G555" s="100" t="str">
        <f>IFERROR(VLOOKUP(Tablo517[[#This Row],[ÜRÜN KODU]],YMKODLARI!$A$1:$K$363,3,0)," ")</f>
        <v xml:space="preserve"> </v>
      </c>
      <c r="H555" s="100" t="str">
        <f>IFERROR(VLOOKUP(Tablo517[[#This Row],[ÜRÜN KODU]],YMKODLARI!$A$1:$K$363,4,0)," ")</f>
        <v xml:space="preserve"> </v>
      </c>
      <c r="I555" s="100"/>
      <c r="J555" s="100" t="str">
        <f>IFERROR(VLOOKUP(Tablo517[[#This Row],[ÜRÜN KODU]],YMKODLARI!$A$1:$K$363,9,0)," ")</f>
        <v xml:space="preserve"> </v>
      </c>
      <c r="K555" s="100" t="str">
        <f>IFERROR(VLOOKUP(Tablo517[[#This Row],[BOYA KODU]],Tablo14[#All],4,0)," ")</f>
        <v xml:space="preserve"> </v>
      </c>
      <c r="L555" s="100" t="str">
        <f>IFERROR(VLOOKUP(Tablo517[[#This Row],[BOYA KODU]],Tablo14[#All],6,0)," ")</f>
        <v xml:space="preserve"> </v>
      </c>
      <c r="M555" s="100" t="str">
        <f t="shared" si="57"/>
        <v xml:space="preserve"> </v>
      </c>
      <c r="N555" s="100" t="str">
        <f>IFERROR(VLOOKUP(Tablo517[[#This Row],[ÜRÜN KODU]],YMKODLARI!$A$1:$K$363,8,0)," ")</f>
        <v xml:space="preserve"> </v>
      </c>
      <c r="O555" s="100" t="str">
        <f>IFERROR(VLOOKUP(Tablo517[[#This Row],[HAMMADDE KODU]],Tablo1[#All],3,0)," ")</f>
        <v xml:space="preserve"> </v>
      </c>
      <c r="P555" s="100" t="str">
        <f>IFERROR(VLOOKUP(Tablo517[[#This Row],[HAMMADDE KODU]],Tablo1[#All],4,0)," ")</f>
        <v xml:space="preserve"> </v>
      </c>
      <c r="Q555" s="100" t="str">
        <f>IFERROR(VLOOKUP(Tablo517[[#This Row],[ÜRÜN KODU]],YMKODLARI!$A$1:$K$363,5,0)," ")</f>
        <v xml:space="preserve"> </v>
      </c>
      <c r="R555" s="100" t="str">
        <f>IFERROR(VLOOKUP(Tablo517[[#This Row],[ÜRÜN KODU]],YMKODLARI!$A$1:$K$363,6,0)," ")</f>
        <v xml:space="preserve"> </v>
      </c>
      <c r="S555" s="100" t="str">
        <f>IFERROR(Tablo517[[#This Row],[YOLLUK HARİÇ BASKI GRAMI]]/Tablo517[[#This Row],[KALIP GÖZ ADEDİ]]," ")</f>
        <v xml:space="preserve"> </v>
      </c>
      <c r="T555" s="100" t="str">
        <f t="shared" si="59"/>
        <v xml:space="preserve"> </v>
      </c>
      <c r="U555" s="100"/>
      <c r="V555" s="100" t="str">
        <f t="shared" si="58"/>
        <v xml:space="preserve"> </v>
      </c>
      <c r="W555" s="101">
        <f t="shared" si="60"/>
        <v>24</v>
      </c>
      <c r="X555" s="102">
        <f t="shared" si="61"/>
        <v>0</v>
      </c>
      <c r="Y555" s="100" t="str">
        <f t="shared" si="62"/>
        <v xml:space="preserve"> </v>
      </c>
      <c r="Z555" s="100" t="str">
        <f t="shared" si="63"/>
        <v xml:space="preserve"> </v>
      </c>
    </row>
    <row r="556" spans="1:26">
      <c r="A556" s="100"/>
      <c r="B556" s="108" t="str">
        <f>IFERROR(VLOOKUP(Tablo517[[#This Row],[ÜRÜN KODU]],YMKODLARI!$A$1:$K$363,2,0)," ")</f>
        <v xml:space="preserve"> </v>
      </c>
      <c r="C556" s="99"/>
      <c r="D556" s="100"/>
      <c r="E556" s="101"/>
      <c r="F556" s="101"/>
      <c r="G556" s="100" t="str">
        <f>IFERROR(VLOOKUP(Tablo517[[#This Row],[ÜRÜN KODU]],YMKODLARI!$A$1:$K$363,3,0)," ")</f>
        <v xml:space="preserve"> </v>
      </c>
      <c r="H556" s="100" t="str">
        <f>IFERROR(VLOOKUP(Tablo517[[#This Row],[ÜRÜN KODU]],YMKODLARI!$A$1:$K$363,4,0)," ")</f>
        <v xml:space="preserve"> </v>
      </c>
      <c r="I556" s="100"/>
      <c r="J556" s="100" t="str">
        <f>IFERROR(VLOOKUP(Tablo517[[#This Row],[ÜRÜN KODU]],YMKODLARI!$A$1:$K$363,9,0)," ")</f>
        <v xml:space="preserve"> </v>
      </c>
      <c r="K556" s="100" t="str">
        <f>IFERROR(VLOOKUP(Tablo517[[#This Row],[BOYA KODU]],Tablo14[#All],4,0)," ")</f>
        <v xml:space="preserve"> </v>
      </c>
      <c r="L556" s="100" t="str">
        <f>IFERROR(VLOOKUP(Tablo517[[#This Row],[BOYA KODU]],Tablo14[#All],6,0)," ")</f>
        <v xml:space="preserve"> </v>
      </c>
      <c r="M556" s="100" t="str">
        <f t="shared" si="57"/>
        <v xml:space="preserve"> </v>
      </c>
      <c r="N556" s="100" t="str">
        <f>IFERROR(VLOOKUP(Tablo517[[#This Row],[ÜRÜN KODU]],YMKODLARI!$A$1:$K$363,8,0)," ")</f>
        <v xml:space="preserve"> </v>
      </c>
      <c r="O556" s="100" t="str">
        <f>IFERROR(VLOOKUP(Tablo517[[#This Row],[HAMMADDE KODU]],Tablo1[#All],3,0)," ")</f>
        <v xml:space="preserve"> </v>
      </c>
      <c r="P556" s="100" t="str">
        <f>IFERROR(VLOOKUP(Tablo517[[#This Row],[HAMMADDE KODU]],Tablo1[#All],4,0)," ")</f>
        <v xml:space="preserve"> </v>
      </c>
      <c r="Q556" s="100" t="str">
        <f>IFERROR(VLOOKUP(Tablo517[[#This Row],[ÜRÜN KODU]],YMKODLARI!$A$1:$K$363,5,0)," ")</f>
        <v xml:space="preserve"> </v>
      </c>
      <c r="R556" s="100" t="str">
        <f>IFERROR(VLOOKUP(Tablo517[[#This Row],[ÜRÜN KODU]],YMKODLARI!$A$1:$K$363,6,0)," ")</f>
        <v xml:space="preserve"> </v>
      </c>
      <c r="S556" s="100" t="str">
        <f>IFERROR(Tablo517[[#This Row],[YOLLUK HARİÇ BASKI GRAMI]]/Tablo517[[#This Row],[KALIP GÖZ ADEDİ]]," ")</f>
        <v xml:space="preserve"> </v>
      </c>
      <c r="T556" s="100" t="str">
        <f t="shared" si="59"/>
        <v xml:space="preserve"> </v>
      </c>
      <c r="U556" s="100"/>
      <c r="V556" s="100" t="str">
        <f t="shared" si="58"/>
        <v xml:space="preserve"> </v>
      </c>
      <c r="W556" s="101">
        <f t="shared" si="60"/>
        <v>24</v>
      </c>
      <c r="X556" s="102">
        <f t="shared" si="61"/>
        <v>0</v>
      </c>
      <c r="Y556" s="100" t="str">
        <f t="shared" si="62"/>
        <v xml:space="preserve"> </v>
      </c>
      <c r="Z556" s="100" t="str">
        <f t="shared" si="63"/>
        <v xml:space="preserve"> </v>
      </c>
    </row>
    <row r="557" spans="1:26">
      <c r="A557" s="100"/>
      <c r="B557" s="108" t="str">
        <f>IFERROR(VLOOKUP(Tablo517[[#This Row],[ÜRÜN KODU]],YMKODLARI!$A$1:$K$363,2,0)," ")</f>
        <v xml:space="preserve"> </v>
      </c>
      <c r="C557" s="99"/>
      <c r="D557" s="100"/>
      <c r="E557" s="101"/>
      <c r="F557" s="101"/>
      <c r="G557" s="100" t="str">
        <f>IFERROR(VLOOKUP(Tablo517[[#This Row],[ÜRÜN KODU]],YMKODLARI!$A$1:$K$363,3,0)," ")</f>
        <v xml:space="preserve"> </v>
      </c>
      <c r="H557" s="100" t="str">
        <f>IFERROR(VLOOKUP(Tablo517[[#This Row],[ÜRÜN KODU]],YMKODLARI!$A$1:$K$363,4,0)," ")</f>
        <v xml:space="preserve"> </v>
      </c>
      <c r="I557" s="100"/>
      <c r="J557" s="100" t="str">
        <f>IFERROR(VLOOKUP(Tablo517[[#This Row],[ÜRÜN KODU]],YMKODLARI!$A$1:$K$363,9,0)," ")</f>
        <v xml:space="preserve"> </v>
      </c>
      <c r="K557" s="100" t="str">
        <f>IFERROR(VLOOKUP(Tablo517[[#This Row],[BOYA KODU]],Tablo14[#All],4,0)," ")</f>
        <v xml:space="preserve"> </v>
      </c>
      <c r="L557" s="100" t="str">
        <f>IFERROR(VLOOKUP(Tablo517[[#This Row],[BOYA KODU]],Tablo14[#All],6,0)," ")</f>
        <v xml:space="preserve"> </v>
      </c>
      <c r="M557" s="100" t="str">
        <f t="shared" si="57"/>
        <v xml:space="preserve"> </v>
      </c>
      <c r="N557" s="100" t="str">
        <f>IFERROR(VLOOKUP(Tablo517[[#This Row],[ÜRÜN KODU]],YMKODLARI!$A$1:$K$363,8,0)," ")</f>
        <v xml:space="preserve"> </v>
      </c>
      <c r="O557" s="100" t="str">
        <f>IFERROR(VLOOKUP(Tablo517[[#This Row],[HAMMADDE KODU]],Tablo1[#All],3,0)," ")</f>
        <v xml:space="preserve"> </v>
      </c>
      <c r="P557" s="100" t="str">
        <f>IFERROR(VLOOKUP(Tablo517[[#This Row],[HAMMADDE KODU]],Tablo1[#All],4,0)," ")</f>
        <v xml:space="preserve"> </v>
      </c>
      <c r="Q557" s="100" t="str">
        <f>IFERROR(VLOOKUP(Tablo517[[#This Row],[ÜRÜN KODU]],YMKODLARI!$A$1:$K$363,5,0)," ")</f>
        <v xml:space="preserve"> </v>
      </c>
      <c r="R557" s="100" t="str">
        <f>IFERROR(VLOOKUP(Tablo517[[#This Row],[ÜRÜN KODU]],YMKODLARI!$A$1:$K$363,6,0)," ")</f>
        <v xml:space="preserve"> </v>
      </c>
      <c r="S557" s="100" t="str">
        <f>IFERROR(Tablo517[[#This Row],[YOLLUK HARİÇ BASKI GRAMI]]/Tablo517[[#This Row],[KALIP GÖZ ADEDİ]]," ")</f>
        <v xml:space="preserve"> </v>
      </c>
      <c r="T557" s="100" t="str">
        <f t="shared" si="59"/>
        <v xml:space="preserve"> </v>
      </c>
      <c r="U557" s="100"/>
      <c r="V557" s="100" t="str">
        <f t="shared" si="58"/>
        <v xml:space="preserve"> </v>
      </c>
      <c r="W557" s="101">
        <f t="shared" si="60"/>
        <v>24</v>
      </c>
      <c r="X557" s="102">
        <f t="shared" si="61"/>
        <v>0</v>
      </c>
      <c r="Y557" s="100" t="str">
        <f t="shared" si="62"/>
        <v xml:space="preserve"> </v>
      </c>
      <c r="Z557" s="100" t="str">
        <f t="shared" si="63"/>
        <v xml:space="preserve"> </v>
      </c>
    </row>
    <row r="558" spans="1:26">
      <c r="A558" s="100"/>
      <c r="B558" s="108" t="str">
        <f>IFERROR(VLOOKUP(Tablo517[[#This Row],[ÜRÜN KODU]],YMKODLARI!$A$1:$K$363,2,0)," ")</f>
        <v xml:space="preserve"> </v>
      </c>
      <c r="C558" s="99"/>
      <c r="D558" s="100"/>
      <c r="E558" s="101"/>
      <c r="F558" s="101"/>
      <c r="G558" s="100" t="str">
        <f>IFERROR(VLOOKUP(Tablo517[[#This Row],[ÜRÜN KODU]],YMKODLARI!$A$1:$K$363,3,0)," ")</f>
        <v xml:space="preserve"> </v>
      </c>
      <c r="H558" s="100" t="str">
        <f>IFERROR(VLOOKUP(Tablo517[[#This Row],[ÜRÜN KODU]],YMKODLARI!$A$1:$K$363,4,0)," ")</f>
        <v xml:space="preserve"> </v>
      </c>
      <c r="I558" s="100"/>
      <c r="J558" s="100" t="str">
        <f>IFERROR(VLOOKUP(Tablo517[[#This Row],[ÜRÜN KODU]],YMKODLARI!$A$1:$K$363,9,0)," ")</f>
        <v xml:space="preserve"> </v>
      </c>
      <c r="K558" s="100" t="str">
        <f>IFERROR(VLOOKUP(Tablo517[[#This Row],[BOYA KODU]],Tablo14[#All],4,0)," ")</f>
        <v xml:space="preserve"> </v>
      </c>
      <c r="L558" s="100" t="str">
        <f>IFERROR(VLOOKUP(Tablo517[[#This Row],[BOYA KODU]],Tablo14[#All],6,0)," ")</f>
        <v xml:space="preserve"> </v>
      </c>
      <c r="M558" s="100" t="str">
        <f t="shared" si="57"/>
        <v xml:space="preserve"> </v>
      </c>
      <c r="N558" s="100" t="str">
        <f>IFERROR(VLOOKUP(Tablo517[[#This Row],[ÜRÜN KODU]],YMKODLARI!$A$1:$K$363,8,0)," ")</f>
        <v xml:space="preserve"> </v>
      </c>
      <c r="O558" s="100" t="str">
        <f>IFERROR(VLOOKUP(Tablo517[[#This Row],[HAMMADDE KODU]],Tablo1[#All],3,0)," ")</f>
        <v xml:space="preserve"> </v>
      </c>
      <c r="P558" s="100" t="str">
        <f>IFERROR(VLOOKUP(Tablo517[[#This Row],[HAMMADDE KODU]],Tablo1[#All],4,0)," ")</f>
        <v xml:space="preserve"> </v>
      </c>
      <c r="Q558" s="100" t="str">
        <f>IFERROR(VLOOKUP(Tablo517[[#This Row],[ÜRÜN KODU]],YMKODLARI!$A$1:$K$363,5,0)," ")</f>
        <v xml:space="preserve"> </v>
      </c>
      <c r="R558" s="100" t="str">
        <f>IFERROR(VLOOKUP(Tablo517[[#This Row],[ÜRÜN KODU]],YMKODLARI!$A$1:$K$363,6,0)," ")</f>
        <v xml:space="preserve"> </v>
      </c>
      <c r="S558" s="100" t="str">
        <f>IFERROR(Tablo517[[#This Row],[YOLLUK HARİÇ BASKI GRAMI]]/Tablo517[[#This Row],[KALIP GÖZ ADEDİ]]," ")</f>
        <v xml:space="preserve"> </v>
      </c>
      <c r="T558" s="100" t="str">
        <f t="shared" si="59"/>
        <v xml:space="preserve"> </v>
      </c>
      <c r="U558" s="100"/>
      <c r="V558" s="100" t="str">
        <f t="shared" si="58"/>
        <v xml:space="preserve"> </v>
      </c>
      <c r="W558" s="101">
        <f t="shared" si="60"/>
        <v>24</v>
      </c>
      <c r="X558" s="102">
        <f t="shared" si="61"/>
        <v>0</v>
      </c>
      <c r="Y558" s="100" t="str">
        <f t="shared" si="62"/>
        <v xml:space="preserve"> </v>
      </c>
      <c r="Z558" s="100" t="str">
        <f t="shared" si="63"/>
        <v xml:space="preserve"> </v>
      </c>
    </row>
    <row r="559" spans="1:26">
      <c r="A559" s="100"/>
      <c r="B559" s="108" t="str">
        <f>IFERROR(VLOOKUP(Tablo517[[#This Row],[ÜRÜN KODU]],YMKODLARI!$A$1:$K$363,2,0)," ")</f>
        <v xml:space="preserve"> </v>
      </c>
      <c r="C559" s="99"/>
      <c r="D559" s="100"/>
      <c r="E559" s="101"/>
      <c r="F559" s="101"/>
      <c r="G559" s="100" t="str">
        <f>IFERROR(VLOOKUP(Tablo517[[#This Row],[ÜRÜN KODU]],YMKODLARI!$A$1:$K$363,3,0)," ")</f>
        <v xml:space="preserve"> </v>
      </c>
      <c r="H559" s="100" t="str">
        <f>IFERROR(VLOOKUP(Tablo517[[#This Row],[ÜRÜN KODU]],YMKODLARI!$A$1:$K$363,4,0)," ")</f>
        <v xml:space="preserve"> </v>
      </c>
      <c r="I559" s="100"/>
      <c r="J559" s="100" t="str">
        <f>IFERROR(VLOOKUP(Tablo517[[#This Row],[ÜRÜN KODU]],YMKODLARI!$A$1:$K$363,9,0)," ")</f>
        <v xml:space="preserve"> </v>
      </c>
      <c r="K559" s="100" t="str">
        <f>IFERROR(VLOOKUP(Tablo517[[#This Row],[BOYA KODU]],Tablo14[#All],4,0)," ")</f>
        <v xml:space="preserve"> </v>
      </c>
      <c r="L559" s="100" t="str">
        <f>IFERROR(VLOOKUP(Tablo517[[#This Row],[BOYA KODU]],Tablo14[#All],6,0)," ")</f>
        <v xml:space="preserve"> </v>
      </c>
      <c r="M559" s="100" t="str">
        <f t="shared" si="57"/>
        <v xml:space="preserve"> </v>
      </c>
      <c r="N559" s="100" t="str">
        <f>IFERROR(VLOOKUP(Tablo517[[#This Row],[ÜRÜN KODU]],YMKODLARI!$A$1:$K$363,8,0)," ")</f>
        <v xml:space="preserve"> </v>
      </c>
      <c r="O559" s="100" t="str">
        <f>IFERROR(VLOOKUP(Tablo517[[#This Row],[HAMMADDE KODU]],Tablo1[#All],3,0)," ")</f>
        <v xml:space="preserve"> </v>
      </c>
      <c r="P559" s="100" t="str">
        <f>IFERROR(VLOOKUP(Tablo517[[#This Row],[HAMMADDE KODU]],Tablo1[#All],4,0)," ")</f>
        <v xml:space="preserve"> </v>
      </c>
      <c r="Q559" s="100" t="str">
        <f>IFERROR(VLOOKUP(Tablo517[[#This Row],[ÜRÜN KODU]],YMKODLARI!$A$1:$K$363,5,0)," ")</f>
        <v xml:space="preserve"> </v>
      </c>
      <c r="R559" s="100" t="str">
        <f>IFERROR(VLOOKUP(Tablo517[[#This Row],[ÜRÜN KODU]],YMKODLARI!$A$1:$K$363,6,0)," ")</f>
        <v xml:space="preserve"> </v>
      </c>
      <c r="S559" s="100" t="str">
        <f>IFERROR(Tablo517[[#This Row],[YOLLUK HARİÇ BASKI GRAMI]]/Tablo517[[#This Row],[KALIP GÖZ ADEDİ]]," ")</f>
        <v xml:space="preserve"> </v>
      </c>
      <c r="T559" s="100" t="str">
        <f t="shared" si="59"/>
        <v xml:space="preserve"> </v>
      </c>
      <c r="U559" s="100"/>
      <c r="V559" s="100" t="str">
        <f t="shared" si="58"/>
        <v xml:space="preserve"> </v>
      </c>
      <c r="W559" s="101">
        <f t="shared" si="60"/>
        <v>24</v>
      </c>
      <c r="X559" s="102">
        <f t="shared" si="61"/>
        <v>0</v>
      </c>
      <c r="Y559" s="100" t="str">
        <f t="shared" si="62"/>
        <v xml:space="preserve"> </v>
      </c>
      <c r="Z559" s="100" t="str">
        <f t="shared" si="63"/>
        <v xml:space="preserve"> </v>
      </c>
    </row>
    <row r="560" spans="1:26">
      <c r="A560" s="100"/>
      <c r="B560" s="108" t="str">
        <f>IFERROR(VLOOKUP(Tablo517[[#This Row],[ÜRÜN KODU]],YMKODLARI!$A$1:$K$363,2,0)," ")</f>
        <v xml:space="preserve"> </v>
      </c>
      <c r="C560" s="99"/>
      <c r="D560" s="100"/>
      <c r="E560" s="101"/>
      <c r="F560" s="101"/>
      <c r="G560" s="100" t="str">
        <f>IFERROR(VLOOKUP(Tablo517[[#This Row],[ÜRÜN KODU]],YMKODLARI!$A$1:$K$363,3,0)," ")</f>
        <v xml:space="preserve"> </v>
      </c>
      <c r="H560" s="100" t="str">
        <f>IFERROR(VLOOKUP(Tablo517[[#This Row],[ÜRÜN KODU]],YMKODLARI!$A$1:$K$363,4,0)," ")</f>
        <v xml:space="preserve"> </v>
      </c>
      <c r="I560" s="100"/>
      <c r="J560" s="100" t="str">
        <f>IFERROR(VLOOKUP(Tablo517[[#This Row],[ÜRÜN KODU]],YMKODLARI!$A$1:$K$363,9,0)," ")</f>
        <v xml:space="preserve"> </v>
      </c>
      <c r="K560" s="100" t="str">
        <f>IFERROR(VLOOKUP(Tablo517[[#This Row],[BOYA KODU]],Tablo14[#All],4,0)," ")</f>
        <v xml:space="preserve"> </v>
      </c>
      <c r="L560" s="100" t="str">
        <f>IFERROR(VLOOKUP(Tablo517[[#This Row],[BOYA KODU]],Tablo14[#All],6,0)," ")</f>
        <v xml:space="preserve"> </v>
      </c>
      <c r="M560" s="100" t="str">
        <f t="shared" si="57"/>
        <v xml:space="preserve"> </v>
      </c>
      <c r="N560" s="100" t="str">
        <f>IFERROR(VLOOKUP(Tablo517[[#This Row],[ÜRÜN KODU]],YMKODLARI!$A$1:$K$363,8,0)," ")</f>
        <v xml:space="preserve"> </v>
      </c>
      <c r="O560" s="100" t="str">
        <f>IFERROR(VLOOKUP(Tablo517[[#This Row],[HAMMADDE KODU]],Tablo1[#All],3,0)," ")</f>
        <v xml:space="preserve"> </v>
      </c>
      <c r="P560" s="100" t="str">
        <f>IFERROR(VLOOKUP(Tablo517[[#This Row],[HAMMADDE KODU]],Tablo1[#All],4,0)," ")</f>
        <v xml:space="preserve"> </v>
      </c>
      <c r="Q560" s="100" t="str">
        <f>IFERROR(VLOOKUP(Tablo517[[#This Row],[ÜRÜN KODU]],YMKODLARI!$A$1:$K$363,5,0)," ")</f>
        <v xml:space="preserve"> </v>
      </c>
      <c r="R560" s="100" t="str">
        <f>IFERROR(VLOOKUP(Tablo517[[#This Row],[ÜRÜN KODU]],YMKODLARI!$A$1:$K$363,6,0)," ")</f>
        <v xml:space="preserve"> </v>
      </c>
      <c r="S560" s="100" t="str">
        <f>IFERROR(Tablo517[[#This Row],[YOLLUK HARİÇ BASKI GRAMI]]/Tablo517[[#This Row],[KALIP GÖZ ADEDİ]]," ")</f>
        <v xml:space="preserve"> </v>
      </c>
      <c r="T560" s="100" t="str">
        <f t="shared" si="59"/>
        <v xml:space="preserve"> </v>
      </c>
      <c r="U560" s="100"/>
      <c r="V560" s="100" t="str">
        <f t="shared" si="58"/>
        <v xml:space="preserve"> </v>
      </c>
      <c r="W560" s="101">
        <f t="shared" si="60"/>
        <v>24</v>
      </c>
      <c r="X560" s="102">
        <f t="shared" si="61"/>
        <v>0</v>
      </c>
      <c r="Y560" s="100" t="str">
        <f t="shared" si="62"/>
        <v xml:space="preserve"> </v>
      </c>
      <c r="Z560" s="100" t="str">
        <f t="shared" si="63"/>
        <v xml:space="preserve"> </v>
      </c>
    </row>
    <row r="561" spans="1:26">
      <c r="A561" s="100"/>
      <c r="B561" s="108" t="str">
        <f>IFERROR(VLOOKUP(Tablo517[[#This Row],[ÜRÜN KODU]],YMKODLARI!$A$1:$K$363,2,0)," ")</f>
        <v xml:space="preserve"> </v>
      </c>
      <c r="C561" s="99"/>
      <c r="D561" s="100"/>
      <c r="E561" s="101"/>
      <c r="F561" s="101"/>
      <c r="G561" s="100" t="str">
        <f>IFERROR(VLOOKUP(Tablo517[[#This Row],[ÜRÜN KODU]],YMKODLARI!$A$1:$K$363,3,0)," ")</f>
        <v xml:space="preserve"> </v>
      </c>
      <c r="H561" s="100" t="str">
        <f>IFERROR(VLOOKUP(Tablo517[[#This Row],[ÜRÜN KODU]],YMKODLARI!$A$1:$K$363,4,0)," ")</f>
        <v xml:space="preserve"> </v>
      </c>
      <c r="I561" s="100"/>
      <c r="J561" s="100" t="str">
        <f>IFERROR(VLOOKUP(Tablo517[[#This Row],[ÜRÜN KODU]],YMKODLARI!$A$1:$K$363,9,0)," ")</f>
        <v xml:space="preserve"> </v>
      </c>
      <c r="K561" s="100" t="str">
        <f>IFERROR(VLOOKUP(Tablo517[[#This Row],[BOYA KODU]],Tablo14[#All],4,0)," ")</f>
        <v xml:space="preserve"> </v>
      </c>
      <c r="L561" s="100" t="str">
        <f>IFERROR(VLOOKUP(Tablo517[[#This Row],[BOYA KODU]],Tablo14[#All],6,0)," ")</f>
        <v xml:space="preserve"> </v>
      </c>
      <c r="M561" s="100" t="str">
        <f t="shared" si="57"/>
        <v xml:space="preserve"> </v>
      </c>
      <c r="N561" s="100" t="str">
        <f>IFERROR(VLOOKUP(Tablo517[[#This Row],[ÜRÜN KODU]],YMKODLARI!$A$1:$K$363,8,0)," ")</f>
        <v xml:space="preserve"> </v>
      </c>
      <c r="O561" s="100" t="str">
        <f>IFERROR(VLOOKUP(Tablo517[[#This Row],[HAMMADDE KODU]],Tablo1[#All],3,0)," ")</f>
        <v xml:space="preserve"> </v>
      </c>
      <c r="P561" s="100" t="str">
        <f>IFERROR(VLOOKUP(Tablo517[[#This Row],[HAMMADDE KODU]],Tablo1[#All],4,0)," ")</f>
        <v xml:space="preserve"> </v>
      </c>
      <c r="Q561" s="100" t="str">
        <f>IFERROR(VLOOKUP(Tablo517[[#This Row],[ÜRÜN KODU]],YMKODLARI!$A$1:$K$363,5,0)," ")</f>
        <v xml:space="preserve"> </v>
      </c>
      <c r="R561" s="100" t="str">
        <f>IFERROR(VLOOKUP(Tablo517[[#This Row],[ÜRÜN KODU]],YMKODLARI!$A$1:$K$363,6,0)," ")</f>
        <v xml:space="preserve"> </v>
      </c>
      <c r="S561" s="100" t="str">
        <f>IFERROR(Tablo517[[#This Row],[YOLLUK HARİÇ BASKI GRAMI]]/Tablo517[[#This Row],[KALIP GÖZ ADEDİ]]," ")</f>
        <v xml:space="preserve"> </v>
      </c>
      <c r="T561" s="100" t="str">
        <f t="shared" si="59"/>
        <v xml:space="preserve"> </v>
      </c>
      <c r="U561" s="100"/>
      <c r="V561" s="100" t="str">
        <f t="shared" si="58"/>
        <v xml:space="preserve"> </v>
      </c>
      <c r="W561" s="101">
        <f t="shared" si="60"/>
        <v>24</v>
      </c>
      <c r="X561" s="102">
        <f t="shared" si="61"/>
        <v>0</v>
      </c>
      <c r="Y561" s="100" t="str">
        <f t="shared" si="62"/>
        <v xml:space="preserve"> </v>
      </c>
      <c r="Z561" s="100" t="str">
        <f t="shared" si="63"/>
        <v xml:space="preserve"> </v>
      </c>
    </row>
    <row r="562" spans="1:26">
      <c r="A562" s="100"/>
      <c r="B562" s="108" t="str">
        <f>IFERROR(VLOOKUP(Tablo517[[#This Row],[ÜRÜN KODU]],YMKODLARI!$A$1:$K$363,2,0)," ")</f>
        <v xml:space="preserve"> </v>
      </c>
      <c r="C562" s="99"/>
      <c r="D562" s="100"/>
      <c r="E562" s="101"/>
      <c r="F562" s="101"/>
      <c r="G562" s="100" t="str">
        <f>IFERROR(VLOOKUP(Tablo517[[#This Row],[ÜRÜN KODU]],YMKODLARI!$A$1:$K$363,3,0)," ")</f>
        <v xml:space="preserve"> </v>
      </c>
      <c r="H562" s="100" t="str">
        <f>IFERROR(VLOOKUP(Tablo517[[#This Row],[ÜRÜN KODU]],YMKODLARI!$A$1:$K$363,4,0)," ")</f>
        <v xml:space="preserve"> </v>
      </c>
      <c r="I562" s="100"/>
      <c r="J562" s="100" t="str">
        <f>IFERROR(VLOOKUP(Tablo517[[#This Row],[ÜRÜN KODU]],YMKODLARI!$A$1:$K$363,9,0)," ")</f>
        <v xml:space="preserve"> </v>
      </c>
      <c r="K562" s="100" t="str">
        <f>IFERROR(VLOOKUP(Tablo517[[#This Row],[BOYA KODU]],Tablo14[#All],4,0)," ")</f>
        <v xml:space="preserve"> </v>
      </c>
      <c r="L562" s="100" t="str">
        <f>IFERROR(VLOOKUP(Tablo517[[#This Row],[BOYA KODU]],Tablo14[#All],6,0)," ")</f>
        <v xml:space="preserve"> </v>
      </c>
      <c r="M562" s="100" t="str">
        <f t="shared" si="57"/>
        <v xml:space="preserve"> </v>
      </c>
      <c r="N562" s="100" t="str">
        <f>IFERROR(VLOOKUP(Tablo517[[#This Row],[ÜRÜN KODU]],YMKODLARI!$A$1:$K$363,8,0)," ")</f>
        <v xml:space="preserve"> </v>
      </c>
      <c r="O562" s="100" t="str">
        <f>IFERROR(VLOOKUP(Tablo517[[#This Row],[HAMMADDE KODU]],Tablo1[#All],3,0)," ")</f>
        <v xml:space="preserve"> </v>
      </c>
      <c r="P562" s="100" t="str">
        <f>IFERROR(VLOOKUP(Tablo517[[#This Row],[HAMMADDE KODU]],Tablo1[#All],4,0)," ")</f>
        <v xml:space="preserve"> </v>
      </c>
      <c r="Q562" s="100" t="str">
        <f>IFERROR(VLOOKUP(Tablo517[[#This Row],[ÜRÜN KODU]],YMKODLARI!$A$1:$K$363,5,0)," ")</f>
        <v xml:space="preserve"> </v>
      </c>
      <c r="R562" s="100" t="str">
        <f>IFERROR(VLOOKUP(Tablo517[[#This Row],[ÜRÜN KODU]],YMKODLARI!$A$1:$K$363,6,0)," ")</f>
        <v xml:space="preserve"> </v>
      </c>
      <c r="S562" s="100" t="str">
        <f>IFERROR(Tablo517[[#This Row],[YOLLUK HARİÇ BASKI GRAMI]]/Tablo517[[#This Row],[KALIP GÖZ ADEDİ]]," ")</f>
        <v xml:space="preserve"> </v>
      </c>
      <c r="T562" s="100" t="str">
        <f t="shared" si="59"/>
        <v xml:space="preserve"> </v>
      </c>
      <c r="U562" s="100"/>
      <c r="V562" s="100" t="str">
        <f t="shared" si="58"/>
        <v xml:space="preserve"> </v>
      </c>
      <c r="W562" s="101">
        <f t="shared" si="60"/>
        <v>24</v>
      </c>
      <c r="X562" s="102">
        <f t="shared" si="61"/>
        <v>0</v>
      </c>
      <c r="Y562" s="100" t="str">
        <f t="shared" si="62"/>
        <v xml:space="preserve"> </v>
      </c>
      <c r="Z562" s="100" t="str">
        <f t="shared" si="63"/>
        <v xml:space="preserve"> </v>
      </c>
    </row>
    <row r="563" spans="1:26">
      <c r="A563" s="100"/>
      <c r="B563" s="108" t="str">
        <f>IFERROR(VLOOKUP(Tablo517[[#This Row],[ÜRÜN KODU]],YMKODLARI!$A$1:$K$363,2,0)," ")</f>
        <v xml:space="preserve"> </v>
      </c>
      <c r="C563" s="99"/>
      <c r="D563" s="100"/>
      <c r="E563" s="101"/>
      <c r="F563" s="101"/>
      <c r="G563" s="100" t="str">
        <f>IFERROR(VLOOKUP(Tablo517[[#This Row],[ÜRÜN KODU]],YMKODLARI!$A$1:$K$363,3,0)," ")</f>
        <v xml:space="preserve"> </v>
      </c>
      <c r="H563" s="100" t="str">
        <f>IFERROR(VLOOKUP(Tablo517[[#This Row],[ÜRÜN KODU]],YMKODLARI!$A$1:$K$363,4,0)," ")</f>
        <v xml:space="preserve"> </v>
      </c>
      <c r="I563" s="100"/>
      <c r="J563" s="100" t="str">
        <f>IFERROR(VLOOKUP(Tablo517[[#This Row],[ÜRÜN KODU]],YMKODLARI!$A$1:$K$363,9,0)," ")</f>
        <v xml:space="preserve"> </v>
      </c>
      <c r="K563" s="100" t="str">
        <f>IFERROR(VLOOKUP(Tablo517[[#This Row],[BOYA KODU]],Tablo14[#All],4,0)," ")</f>
        <v xml:space="preserve"> </v>
      </c>
      <c r="L563" s="100" t="str">
        <f>IFERROR(VLOOKUP(Tablo517[[#This Row],[BOYA KODU]],Tablo14[#All],6,0)," ")</f>
        <v xml:space="preserve"> </v>
      </c>
      <c r="M563" s="100" t="str">
        <f t="shared" si="57"/>
        <v xml:space="preserve"> </v>
      </c>
      <c r="N563" s="100" t="str">
        <f>IFERROR(VLOOKUP(Tablo517[[#This Row],[ÜRÜN KODU]],YMKODLARI!$A$1:$K$363,8,0)," ")</f>
        <v xml:space="preserve"> </v>
      </c>
      <c r="O563" s="100" t="str">
        <f>IFERROR(VLOOKUP(Tablo517[[#This Row],[HAMMADDE KODU]],Tablo1[#All],3,0)," ")</f>
        <v xml:space="preserve"> </v>
      </c>
      <c r="P563" s="100" t="str">
        <f>IFERROR(VLOOKUP(Tablo517[[#This Row],[HAMMADDE KODU]],Tablo1[#All],4,0)," ")</f>
        <v xml:space="preserve"> </v>
      </c>
      <c r="Q563" s="100" t="str">
        <f>IFERROR(VLOOKUP(Tablo517[[#This Row],[ÜRÜN KODU]],YMKODLARI!$A$1:$K$363,5,0)," ")</f>
        <v xml:space="preserve"> </v>
      </c>
      <c r="R563" s="100" t="str">
        <f>IFERROR(VLOOKUP(Tablo517[[#This Row],[ÜRÜN KODU]],YMKODLARI!$A$1:$K$363,6,0)," ")</f>
        <v xml:space="preserve"> </v>
      </c>
      <c r="S563" s="100" t="str">
        <f>IFERROR(Tablo517[[#This Row],[YOLLUK HARİÇ BASKI GRAMI]]/Tablo517[[#This Row],[KALIP GÖZ ADEDİ]]," ")</f>
        <v xml:space="preserve"> </v>
      </c>
      <c r="T563" s="100" t="str">
        <f t="shared" si="59"/>
        <v xml:space="preserve"> </v>
      </c>
      <c r="U563" s="100"/>
      <c r="V563" s="100" t="str">
        <f t="shared" si="58"/>
        <v xml:space="preserve"> </v>
      </c>
      <c r="W563" s="101">
        <f t="shared" si="60"/>
        <v>24</v>
      </c>
      <c r="X563" s="102">
        <f t="shared" si="61"/>
        <v>0</v>
      </c>
      <c r="Y563" s="100" t="str">
        <f t="shared" si="62"/>
        <v xml:space="preserve"> </v>
      </c>
      <c r="Z563" s="100" t="str">
        <f t="shared" si="63"/>
        <v xml:space="preserve"> </v>
      </c>
    </row>
    <row r="564" spans="1:26">
      <c r="A564" s="100"/>
      <c r="B564" s="108" t="str">
        <f>IFERROR(VLOOKUP(Tablo517[[#This Row],[ÜRÜN KODU]],YMKODLARI!$A$1:$K$363,2,0)," ")</f>
        <v xml:space="preserve"> </v>
      </c>
      <c r="C564" s="99"/>
      <c r="D564" s="100"/>
      <c r="E564" s="101"/>
      <c r="F564" s="101"/>
      <c r="G564" s="100" t="str">
        <f>IFERROR(VLOOKUP(Tablo517[[#This Row],[ÜRÜN KODU]],YMKODLARI!$A$1:$K$363,3,0)," ")</f>
        <v xml:space="preserve"> </v>
      </c>
      <c r="H564" s="100" t="str">
        <f>IFERROR(VLOOKUP(Tablo517[[#This Row],[ÜRÜN KODU]],YMKODLARI!$A$1:$K$363,4,0)," ")</f>
        <v xml:space="preserve"> </v>
      </c>
      <c r="I564" s="100"/>
      <c r="J564" s="100" t="str">
        <f>IFERROR(VLOOKUP(Tablo517[[#This Row],[ÜRÜN KODU]],YMKODLARI!$A$1:$K$363,9,0)," ")</f>
        <v xml:space="preserve"> </v>
      </c>
      <c r="K564" s="100" t="str">
        <f>IFERROR(VLOOKUP(Tablo517[[#This Row],[BOYA KODU]],Tablo14[#All],4,0)," ")</f>
        <v xml:space="preserve"> </v>
      </c>
      <c r="L564" s="100" t="str">
        <f>IFERROR(VLOOKUP(Tablo517[[#This Row],[BOYA KODU]],Tablo14[#All],6,0)," ")</f>
        <v xml:space="preserve"> </v>
      </c>
      <c r="M564" s="100" t="str">
        <f t="shared" si="57"/>
        <v xml:space="preserve"> </v>
      </c>
      <c r="N564" s="100" t="str">
        <f>IFERROR(VLOOKUP(Tablo517[[#This Row],[ÜRÜN KODU]],YMKODLARI!$A$1:$K$363,8,0)," ")</f>
        <v xml:space="preserve"> </v>
      </c>
      <c r="O564" s="100" t="str">
        <f>IFERROR(VLOOKUP(Tablo517[[#This Row],[HAMMADDE KODU]],Tablo1[#All],3,0)," ")</f>
        <v xml:space="preserve"> </v>
      </c>
      <c r="P564" s="100" t="str">
        <f>IFERROR(VLOOKUP(Tablo517[[#This Row],[HAMMADDE KODU]],Tablo1[#All],4,0)," ")</f>
        <v xml:space="preserve"> </v>
      </c>
      <c r="Q564" s="100" t="str">
        <f>IFERROR(VLOOKUP(Tablo517[[#This Row],[ÜRÜN KODU]],YMKODLARI!$A$1:$K$363,5,0)," ")</f>
        <v xml:space="preserve"> </v>
      </c>
      <c r="R564" s="100" t="str">
        <f>IFERROR(VLOOKUP(Tablo517[[#This Row],[ÜRÜN KODU]],YMKODLARI!$A$1:$K$363,6,0)," ")</f>
        <v xml:space="preserve"> </v>
      </c>
      <c r="S564" s="100" t="str">
        <f>IFERROR(Tablo517[[#This Row],[YOLLUK HARİÇ BASKI GRAMI]]/Tablo517[[#This Row],[KALIP GÖZ ADEDİ]]," ")</f>
        <v xml:space="preserve"> </v>
      </c>
      <c r="T564" s="100" t="str">
        <f t="shared" si="59"/>
        <v xml:space="preserve"> </v>
      </c>
      <c r="U564" s="100"/>
      <c r="V564" s="100" t="str">
        <f t="shared" si="58"/>
        <v xml:space="preserve"> </v>
      </c>
      <c r="W564" s="101">
        <f t="shared" si="60"/>
        <v>24</v>
      </c>
      <c r="X564" s="102">
        <f t="shared" si="61"/>
        <v>0</v>
      </c>
      <c r="Y564" s="100" t="str">
        <f t="shared" si="62"/>
        <v xml:space="preserve"> </v>
      </c>
      <c r="Z564" s="100" t="str">
        <f t="shared" si="63"/>
        <v xml:space="preserve"> </v>
      </c>
    </row>
    <row r="565" spans="1:26">
      <c r="A565" s="100"/>
      <c r="B565" s="108" t="str">
        <f>IFERROR(VLOOKUP(Tablo517[[#This Row],[ÜRÜN KODU]],YMKODLARI!$A$1:$K$363,2,0)," ")</f>
        <v xml:space="preserve"> </v>
      </c>
      <c r="C565" s="99"/>
      <c r="D565" s="100"/>
      <c r="E565" s="101"/>
      <c r="F565" s="101"/>
      <c r="G565" s="100" t="str">
        <f>IFERROR(VLOOKUP(Tablo517[[#This Row],[ÜRÜN KODU]],YMKODLARI!$A$1:$K$363,3,0)," ")</f>
        <v xml:space="preserve"> </v>
      </c>
      <c r="H565" s="100" t="str">
        <f>IFERROR(VLOOKUP(Tablo517[[#This Row],[ÜRÜN KODU]],YMKODLARI!$A$1:$K$363,4,0)," ")</f>
        <v xml:space="preserve"> </v>
      </c>
      <c r="I565" s="100"/>
      <c r="J565" s="100" t="str">
        <f>IFERROR(VLOOKUP(Tablo517[[#This Row],[ÜRÜN KODU]],YMKODLARI!$A$1:$K$363,9,0)," ")</f>
        <v xml:space="preserve"> </v>
      </c>
      <c r="K565" s="100" t="str">
        <f>IFERROR(VLOOKUP(Tablo517[[#This Row],[BOYA KODU]],Tablo14[#All],4,0)," ")</f>
        <v xml:space="preserve"> </v>
      </c>
      <c r="L565" s="100" t="str">
        <f>IFERROR(VLOOKUP(Tablo517[[#This Row],[BOYA KODU]],Tablo14[#All],6,0)," ")</f>
        <v xml:space="preserve"> </v>
      </c>
      <c r="M565" s="100" t="str">
        <f t="shared" si="57"/>
        <v xml:space="preserve"> </v>
      </c>
      <c r="N565" s="100" t="str">
        <f>IFERROR(VLOOKUP(Tablo517[[#This Row],[ÜRÜN KODU]],YMKODLARI!$A$1:$K$363,8,0)," ")</f>
        <v xml:space="preserve"> </v>
      </c>
      <c r="O565" s="100" t="str">
        <f>IFERROR(VLOOKUP(Tablo517[[#This Row],[HAMMADDE KODU]],Tablo1[#All],3,0)," ")</f>
        <v xml:space="preserve"> </v>
      </c>
      <c r="P565" s="100" t="str">
        <f>IFERROR(VLOOKUP(Tablo517[[#This Row],[HAMMADDE KODU]],Tablo1[#All],4,0)," ")</f>
        <v xml:space="preserve"> </v>
      </c>
      <c r="Q565" s="100" t="str">
        <f>IFERROR(VLOOKUP(Tablo517[[#This Row],[ÜRÜN KODU]],YMKODLARI!$A$1:$K$363,5,0)," ")</f>
        <v xml:space="preserve"> </v>
      </c>
      <c r="R565" s="100" t="str">
        <f>IFERROR(VLOOKUP(Tablo517[[#This Row],[ÜRÜN KODU]],YMKODLARI!$A$1:$K$363,6,0)," ")</f>
        <v xml:space="preserve"> </v>
      </c>
      <c r="S565" s="100" t="str">
        <f>IFERROR(Tablo517[[#This Row],[YOLLUK HARİÇ BASKI GRAMI]]/Tablo517[[#This Row],[KALIP GÖZ ADEDİ]]," ")</f>
        <v xml:space="preserve"> </v>
      </c>
      <c r="T565" s="100" t="str">
        <f t="shared" si="59"/>
        <v xml:space="preserve"> </v>
      </c>
      <c r="U565" s="100"/>
      <c r="V565" s="100" t="str">
        <f t="shared" si="58"/>
        <v xml:space="preserve"> </v>
      </c>
      <c r="W565" s="101">
        <f t="shared" si="60"/>
        <v>24</v>
      </c>
      <c r="X565" s="102">
        <f t="shared" si="61"/>
        <v>0</v>
      </c>
      <c r="Y565" s="100" t="str">
        <f t="shared" si="62"/>
        <v xml:space="preserve"> </v>
      </c>
      <c r="Z565" s="100" t="str">
        <f t="shared" si="63"/>
        <v xml:space="preserve"> </v>
      </c>
    </row>
    <row r="566" spans="1:26">
      <c r="A566" s="100"/>
      <c r="B566" s="108" t="str">
        <f>IFERROR(VLOOKUP(Tablo517[[#This Row],[ÜRÜN KODU]],YMKODLARI!$A$1:$K$363,2,0)," ")</f>
        <v xml:space="preserve"> </v>
      </c>
      <c r="C566" s="99"/>
      <c r="D566" s="100"/>
      <c r="E566" s="101"/>
      <c r="F566" s="101"/>
      <c r="G566" s="100" t="str">
        <f>IFERROR(VLOOKUP(Tablo517[[#This Row],[ÜRÜN KODU]],YMKODLARI!$A$1:$K$363,3,0)," ")</f>
        <v xml:space="preserve"> </v>
      </c>
      <c r="H566" s="100" t="str">
        <f>IFERROR(VLOOKUP(Tablo517[[#This Row],[ÜRÜN KODU]],YMKODLARI!$A$1:$K$363,4,0)," ")</f>
        <v xml:space="preserve"> </v>
      </c>
      <c r="I566" s="100"/>
      <c r="J566" s="100" t="str">
        <f>IFERROR(VLOOKUP(Tablo517[[#This Row],[ÜRÜN KODU]],YMKODLARI!$A$1:$K$363,9,0)," ")</f>
        <v xml:space="preserve"> </v>
      </c>
      <c r="K566" s="100" t="str">
        <f>IFERROR(VLOOKUP(Tablo517[[#This Row],[BOYA KODU]],Tablo14[#All],4,0)," ")</f>
        <v xml:space="preserve"> </v>
      </c>
      <c r="L566" s="100" t="str">
        <f>IFERROR(VLOOKUP(Tablo517[[#This Row],[BOYA KODU]],Tablo14[#All],6,0)," ")</f>
        <v xml:space="preserve"> </v>
      </c>
      <c r="M566" s="100" t="str">
        <f t="shared" si="57"/>
        <v xml:space="preserve"> </v>
      </c>
      <c r="N566" s="100" t="str">
        <f>IFERROR(VLOOKUP(Tablo517[[#This Row],[ÜRÜN KODU]],YMKODLARI!$A$1:$K$363,8,0)," ")</f>
        <v xml:space="preserve"> </v>
      </c>
      <c r="O566" s="100" t="str">
        <f>IFERROR(VLOOKUP(Tablo517[[#This Row],[HAMMADDE KODU]],Tablo1[#All],3,0)," ")</f>
        <v xml:space="preserve"> </v>
      </c>
      <c r="P566" s="100" t="str">
        <f>IFERROR(VLOOKUP(Tablo517[[#This Row],[HAMMADDE KODU]],Tablo1[#All],4,0)," ")</f>
        <v xml:space="preserve"> </v>
      </c>
      <c r="Q566" s="100" t="str">
        <f>IFERROR(VLOOKUP(Tablo517[[#This Row],[ÜRÜN KODU]],YMKODLARI!$A$1:$K$363,5,0)," ")</f>
        <v xml:space="preserve"> </v>
      </c>
      <c r="R566" s="100" t="str">
        <f>IFERROR(VLOOKUP(Tablo517[[#This Row],[ÜRÜN KODU]],YMKODLARI!$A$1:$K$363,6,0)," ")</f>
        <v xml:space="preserve"> </v>
      </c>
      <c r="S566" s="100" t="str">
        <f>IFERROR(Tablo517[[#This Row],[YOLLUK HARİÇ BASKI GRAMI]]/Tablo517[[#This Row],[KALIP GÖZ ADEDİ]]," ")</f>
        <v xml:space="preserve"> </v>
      </c>
      <c r="T566" s="100" t="str">
        <f t="shared" si="59"/>
        <v xml:space="preserve"> </v>
      </c>
      <c r="U566" s="100"/>
      <c r="V566" s="100" t="str">
        <f t="shared" si="58"/>
        <v xml:space="preserve"> </v>
      </c>
      <c r="W566" s="101">
        <f t="shared" si="60"/>
        <v>24</v>
      </c>
      <c r="X566" s="102">
        <f t="shared" si="61"/>
        <v>0</v>
      </c>
      <c r="Y566" s="100" t="str">
        <f t="shared" si="62"/>
        <v xml:space="preserve"> </v>
      </c>
      <c r="Z566" s="100" t="str">
        <f t="shared" si="63"/>
        <v xml:space="preserve"> </v>
      </c>
    </row>
    <row r="567" spans="1:26">
      <c r="A567" s="100"/>
      <c r="B567" s="108" t="str">
        <f>IFERROR(VLOOKUP(Tablo517[[#This Row],[ÜRÜN KODU]],YMKODLARI!$A$1:$K$363,2,0)," ")</f>
        <v xml:space="preserve"> </v>
      </c>
      <c r="C567" s="99"/>
      <c r="D567" s="100"/>
      <c r="E567" s="101"/>
      <c r="F567" s="101"/>
      <c r="G567" s="100" t="str">
        <f>IFERROR(VLOOKUP(Tablo517[[#This Row],[ÜRÜN KODU]],YMKODLARI!$A$1:$K$363,3,0)," ")</f>
        <v xml:space="preserve"> </v>
      </c>
      <c r="H567" s="100" t="str">
        <f>IFERROR(VLOOKUP(Tablo517[[#This Row],[ÜRÜN KODU]],YMKODLARI!$A$1:$K$363,4,0)," ")</f>
        <v xml:space="preserve"> </v>
      </c>
      <c r="I567" s="100"/>
      <c r="J567" s="100" t="str">
        <f>IFERROR(VLOOKUP(Tablo517[[#This Row],[ÜRÜN KODU]],YMKODLARI!$A$1:$K$363,9,0)," ")</f>
        <v xml:space="preserve"> </v>
      </c>
      <c r="K567" s="100" t="str">
        <f>IFERROR(VLOOKUP(Tablo517[[#This Row],[BOYA KODU]],Tablo14[#All],4,0)," ")</f>
        <v xml:space="preserve"> </v>
      </c>
      <c r="L567" s="100" t="str">
        <f>IFERROR(VLOOKUP(Tablo517[[#This Row],[BOYA KODU]],Tablo14[#All],6,0)," ")</f>
        <v xml:space="preserve"> </v>
      </c>
      <c r="M567" s="100" t="str">
        <f t="shared" si="57"/>
        <v xml:space="preserve"> </v>
      </c>
      <c r="N567" s="100" t="str">
        <f>IFERROR(VLOOKUP(Tablo517[[#This Row],[ÜRÜN KODU]],YMKODLARI!$A$1:$K$363,8,0)," ")</f>
        <v xml:space="preserve"> </v>
      </c>
      <c r="O567" s="100" t="str">
        <f>IFERROR(VLOOKUP(Tablo517[[#This Row],[HAMMADDE KODU]],Tablo1[#All],3,0)," ")</f>
        <v xml:space="preserve"> </v>
      </c>
      <c r="P567" s="100" t="str">
        <f>IFERROR(VLOOKUP(Tablo517[[#This Row],[HAMMADDE KODU]],Tablo1[#All],4,0)," ")</f>
        <v xml:space="preserve"> </v>
      </c>
      <c r="Q567" s="100" t="str">
        <f>IFERROR(VLOOKUP(Tablo517[[#This Row],[ÜRÜN KODU]],YMKODLARI!$A$1:$K$363,5,0)," ")</f>
        <v xml:space="preserve"> </v>
      </c>
      <c r="R567" s="100" t="str">
        <f>IFERROR(VLOOKUP(Tablo517[[#This Row],[ÜRÜN KODU]],YMKODLARI!$A$1:$K$363,6,0)," ")</f>
        <v xml:space="preserve"> </v>
      </c>
      <c r="S567" s="100" t="str">
        <f>IFERROR(Tablo517[[#This Row],[YOLLUK HARİÇ BASKI GRAMI]]/Tablo517[[#This Row],[KALIP GÖZ ADEDİ]]," ")</f>
        <v xml:space="preserve"> </v>
      </c>
      <c r="T567" s="100" t="str">
        <f t="shared" si="59"/>
        <v xml:space="preserve"> </v>
      </c>
      <c r="U567" s="100"/>
      <c r="V567" s="100" t="str">
        <f t="shared" si="58"/>
        <v xml:space="preserve"> </v>
      </c>
      <c r="W567" s="101">
        <f t="shared" si="60"/>
        <v>24</v>
      </c>
      <c r="X567" s="102">
        <f t="shared" si="61"/>
        <v>0</v>
      </c>
      <c r="Y567" s="100" t="str">
        <f t="shared" si="62"/>
        <v xml:space="preserve"> </v>
      </c>
      <c r="Z567" s="100" t="str">
        <f t="shared" si="63"/>
        <v xml:space="preserve"> </v>
      </c>
    </row>
    <row r="568" spans="1:26">
      <c r="A568" s="100"/>
      <c r="B568" s="108" t="str">
        <f>IFERROR(VLOOKUP(Tablo517[[#This Row],[ÜRÜN KODU]],YMKODLARI!$A$1:$K$363,2,0)," ")</f>
        <v xml:space="preserve"> </v>
      </c>
      <c r="C568" s="99"/>
      <c r="D568" s="100"/>
      <c r="E568" s="101"/>
      <c r="F568" s="101"/>
      <c r="G568" s="100" t="str">
        <f>IFERROR(VLOOKUP(Tablo517[[#This Row],[ÜRÜN KODU]],YMKODLARI!$A$1:$K$363,3,0)," ")</f>
        <v xml:space="preserve"> </v>
      </c>
      <c r="H568" s="100" t="str">
        <f>IFERROR(VLOOKUP(Tablo517[[#This Row],[ÜRÜN KODU]],YMKODLARI!$A$1:$K$363,4,0)," ")</f>
        <v xml:space="preserve"> </v>
      </c>
      <c r="I568" s="100"/>
      <c r="J568" s="100" t="str">
        <f>IFERROR(VLOOKUP(Tablo517[[#This Row],[ÜRÜN KODU]],YMKODLARI!$A$1:$K$363,9,0)," ")</f>
        <v xml:space="preserve"> </v>
      </c>
      <c r="K568" s="100" t="str">
        <f>IFERROR(VLOOKUP(Tablo517[[#This Row],[BOYA KODU]],Tablo14[#All],4,0)," ")</f>
        <v xml:space="preserve"> </v>
      </c>
      <c r="L568" s="100" t="str">
        <f>IFERROR(VLOOKUP(Tablo517[[#This Row],[BOYA KODU]],Tablo14[#All],6,0)," ")</f>
        <v xml:space="preserve"> </v>
      </c>
      <c r="M568" s="100" t="str">
        <f t="shared" si="57"/>
        <v xml:space="preserve"> </v>
      </c>
      <c r="N568" s="100" t="str">
        <f>IFERROR(VLOOKUP(Tablo517[[#This Row],[ÜRÜN KODU]],YMKODLARI!$A$1:$K$363,8,0)," ")</f>
        <v xml:space="preserve"> </v>
      </c>
      <c r="O568" s="100" t="str">
        <f>IFERROR(VLOOKUP(Tablo517[[#This Row],[HAMMADDE KODU]],Tablo1[#All],3,0)," ")</f>
        <v xml:space="preserve"> </v>
      </c>
      <c r="P568" s="100" t="str">
        <f>IFERROR(VLOOKUP(Tablo517[[#This Row],[HAMMADDE KODU]],Tablo1[#All],4,0)," ")</f>
        <v xml:space="preserve"> </v>
      </c>
      <c r="Q568" s="100" t="str">
        <f>IFERROR(VLOOKUP(Tablo517[[#This Row],[ÜRÜN KODU]],YMKODLARI!$A$1:$K$363,5,0)," ")</f>
        <v xml:space="preserve"> </v>
      </c>
      <c r="R568" s="100" t="str">
        <f>IFERROR(VLOOKUP(Tablo517[[#This Row],[ÜRÜN KODU]],YMKODLARI!$A$1:$K$363,6,0)," ")</f>
        <v xml:space="preserve"> </v>
      </c>
      <c r="S568" s="100" t="str">
        <f>IFERROR(Tablo517[[#This Row],[YOLLUK HARİÇ BASKI GRAMI]]/Tablo517[[#This Row],[KALIP GÖZ ADEDİ]]," ")</f>
        <v xml:space="preserve"> </v>
      </c>
      <c r="T568" s="100" t="str">
        <f t="shared" si="59"/>
        <v xml:space="preserve"> </v>
      </c>
      <c r="U568" s="100"/>
      <c r="V568" s="100" t="str">
        <f t="shared" si="58"/>
        <v xml:space="preserve"> </v>
      </c>
      <c r="W568" s="101">
        <f t="shared" si="60"/>
        <v>24</v>
      </c>
      <c r="X568" s="102">
        <f t="shared" si="61"/>
        <v>0</v>
      </c>
      <c r="Y568" s="100" t="str">
        <f t="shared" si="62"/>
        <v xml:space="preserve"> </v>
      </c>
      <c r="Z568" s="100" t="str">
        <f t="shared" si="63"/>
        <v xml:space="preserve"> </v>
      </c>
    </row>
    <row r="569" spans="1:26">
      <c r="A569" s="100"/>
      <c r="B569" s="108" t="str">
        <f>IFERROR(VLOOKUP(Tablo517[[#This Row],[ÜRÜN KODU]],YMKODLARI!$A$1:$K$363,2,0)," ")</f>
        <v xml:space="preserve"> </v>
      </c>
      <c r="C569" s="99"/>
      <c r="D569" s="100"/>
      <c r="E569" s="101"/>
      <c r="F569" s="101"/>
      <c r="G569" s="100" t="str">
        <f>IFERROR(VLOOKUP(Tablo517[[#This Row],[ÜRÜN KODU]],YMKODLARI!$A$1:$K$363,3,0)," ")</f>
        <v xml:space="preserve"> </v>
      </c>
      <c r="H569" s="100" t="str">
        <f>IFERROR(VLOOKUP(Tablo517[[#This Row],[ÜRÜN KODU]],YMKODLARI!$A$1:$K$363,4,0)," ")</f>
        <v xml:space="preserve"> </v>
      </c>
      <c r="I569" s="100"/>
      <c r="J569" s="100" t="str">
        <f>IFERROR(VLOOKUP(Tablo517[[#This Row],[ÜRÜN KODU]],YMKODLARI!$A$1:$K$363,9,0)," ")</f>
        <v xml:space="preserve"> </v>
      </c>
      <c r="K569" s="100" t="str">
        <f>IFERROR(VLOOKUP(Tablo517[[#This Row],[BOYA KODU]],Tablo14[#All],4,0)," ")</f>
        <v xml:space="preserve"> </v>
      </c>
      <c r="L569" s="100" t="str">
        <f>IFERROR(VLOOKUP(Tablo517[[#This Row],[BOYA KODU]],Tablo14[#All],6,0)," ")</f>
        <v xml:space="preserve"> </v>
      </c>
      <c r="M569" s="100" t="str">
        <f t="shared" si="57"/>
        <v xml:space="preserve"> </v>
      </c>
      <c r="N569" s="100" t="str">
        <f>IFERROR(VLOOKUP(Tablo517[[#This Row],[ÜRÜN KODU]],YMKODLARI!$A$1:$K$363,8,0)," ")</f>
        <v xml:space="preserve"> </v>
      </c>
      <c r="O569" s="100" t="str">
        <f>IFERROR(VLOOKUP(Tablo517[[#This Row],[HAMMADDE KODU]],Tablo1[#All],3,0)," ")</f>
        <v xml:space="preserve"> </v>
      </c>
      <c r="P569" s="100" t="str">
        <f>IFERROR(VLOOKUP(Tablo517[[#This Row],[HAMMADDE KODU]],Tablo1[#All],4,0)," ")</f>
        <v xml:space="preserve"> </v>
      </c>
      <c r="Q569" s="100" t="str">
        <f>IFERROR(VLOOKUP(Tablo517[[#This Row],[ÜRÜN KODU]],YMKODLARI!$A$1:$K$363,5,0)," ")</f>
        <v xml:space="preserve"> </v>
      </c>
      <c r="R569" s="100" t="str">
        <f>IFERROR(VLOOKUP(Tablo517[[#This Row],[ÜRÜN KODU]],YMKODLARI!$A$1:$K$363,6,0)," ")</f>
        <v xml:space="preserve"> </v>
      </c>
      <c r="S569" s="100" t="str">
        <f>IFERROR(Tablo517[[#This Row],[YOLLUK HARİÇ BASKI GRAMI]]/Tablo517[[#This Row],[KALIP GÖZ ADEDİ]]," ")</f>
        <v xml:space="preserve"> </v>
      </c>
      <c r="T569" s="100" t="str">
        <f t="shared" si="59"/>
        <v xml:space="preserve"> </v>
      </c>
      <c r="U569" s="100"/>
      <c r="V569" s="100" t="str">
        <f t="shared" si="58"/>
        <v xml:space="preserve"> </v>
      </c>
      <c r="W569" s="101">
        <f t="shared" si="60"/>
        <v>24</v>
      </c>
      <c r="X569" s="102">
        <f t="shared" si="61"/>
        <v>0</v>
      </c>
      <c r="Y569" s="100" t="str">
        <f t="shared" si="62"/>
        <v xml:space="preserve"> </v>
      </c>
      <c r="Z569" s="100" t="str">
        <f t="shared" si="63"/>
        <v xml:space="preserve"> </v>
      </c>
    </row>
    <row r="570" spans="1:26">
      <c r="A570" s="100"/>
      <c r="B570" s="108" t="str">
        <f>IFERROR(VLOOKUP(Tablo517[[#This Row],[ÜRÜN KODU]],YMKODLARI!$A$1:$K$363,2,0)," ")</f>
        <v xml:space="preserve"> </v>
      </c>
      <c r="C570" s="99"/>
      <c r="D570" s="100"/>
      <c r="E570" s="101"/>
      <c r="F570" s="101"/>
      <c r="G570" s="100" t="str">
        <f>IFERROR(VLOOKUP(Tablo517[[#This Row],[ÜRÜN KODU]],YMKODLARI!$A$1:$K$363,3,0)," ")</f>
        <v xml:space="preserve"> </v>
      </c>
      <c r="H570" s="100" t="str">
        <f>IFERROR(VLOOKUP(Tablo517[[#This Row],[ÜRÜN KODU]],YMKODLARI!$A$1:$K$363,4,0)," ")</f>
        <v xml:space="preserve"> </v>
      </c>
      <c r="I570" s="100"/>
      <c r="J570" s="100" t="str">
        <f>IFERROR(VLOOKUP(Tablo517[[#This Row],[ÜRÜN KODU]],YMKODLARI!$A$1:$K$363,9,0)," ")</f>
        <v xml:space="preserve"> </v>
      </c>
      <c r="K570" s="100" t="str">
        <f>IFERROR(VLOOKUP(Tablo517[[#This Row],[BOYA KODU]],Tablo14[#All],4,0)," ")</f>
        <v xml:space="preserve"> </v>
      </c>
      <c r="L570" s="100" t="str">
        <f>IFERROR(VLOOKUP(Tablo517[[#This Row],[BOYA KODU]],Tablo14[#All],6,0)," ")</f>
        <v xml:space="preserve"> </v>
      </c>
      <c r="M570" s="100" t="str">
        <f t="shared" si="57"/>
        <v xml:space="preserve"> </v>
      </c>
      <c r="N570" s="100" t="str">
        <f>IFERROR(VLOOKUP(Tablo517[[#This Row],[ÜRÜN KODU]],YMKODLARI!$A$1:$K$363,8,0)," ")</f>
        <v xml:space="preserve"> </v>
      </c>
      <c r="O570" s="100" t="str">
        <f>IFERROR(VLOOKUP(Tablo517[[#This Row],[HAMMADDE KODU]],Tablo1[#All],3,0)," ")</f>
        <v xml:space="preserve"> </v>
      </c>
      <c r="P570" s="100" t="str">
        <f>IFERROR(VLOOKUP(Tablo517[[#This Row],[HAMMADDE KODU]],Tablo1[#All],4,0)," ")</f>
        <v xml:space="preserve"> </v>
      </c>
      <c r="Q570" s="100" t="str">
        <f>IFERROR(VLOOKUP(Tablo517[[#This Row],[ÜRÜN KODU]],YMKODLARI!$A$1:$K$363,5,0)," ")</f>
        <v xml:space="preserve"> </v>
      </c>
      <c r="R570" s="100" t="str">
        <f>IFERROR(VLOOKUP(Tablo517[[#This Row],[ÜRÜN KODU]],YMKODLARI!$A$1:$K$363,6,0)," ")</f>
        <v xml:space="preserve"> </v>
      </c>
      <c r="S570" s="100" t="str">
        <f>IFERROR(Tablo517[[#This Row],[YOLLUK HARİÇ BASKI GRAMI]]/Tablo517[[#This Row],[KALIP GÖZ ADEDİ]]," ")</f>
        <v xml:space="preserve"> </v>
      </c>
      <c r="T570" s="100" t="str">
        <f t="shared" si="59"/>
        <v xml:space="preserve"> </v>
      </c>
      <c r="U570" s="100"/>
      <c r="V570" s="100" t="str">
        <f t="shared" si="58"/>
        <v xml:space="preserve"> </v>
      </c>
      <c r="W570" s="101">
        <f t="shared" si="60"/>
        <v>24</v>
      </c>
      <c r="X570" s="102">
        <f t="shared" si="61"/>
        <v>0</v>
      </c>
      <c r="Y570" s="100" t="str">
        <f t="shared" si="62"/>
        <v xml:space="preserve"> </v>
      </c>
      <c r="Z570" s="100" t="str">
        <f t="shared" si="63"/>
        <v xml:space="preserve"> </v>
      </c>
    </row>
    <row r="571" spans="1:26">
      <c r="A571" s="100"/>
      <c r="B571" s="108" t="str">
        <f>IFERROR(VLOOKUP(Tablo517[[#This Row],[ÜRÜN KODU]],YMKODLARI!$A$1:$K$363,2,0)," ")</f>
        <v xml:space="preserve"> </v>
      </c>
      <c r="C571" s="99"/>
      <c r="D571" s="100"/>
      <c r="E571" s="101"/>
      <c r="F571" s="101"/>
      <c r="G571" s="100" t="str">
        <f>IFERROR(VLOOKUP(Tablo517[[#This Row],[ÜRÜN KODU]],YMKODLARI!$A$1:$K$363,3,0)," ")</f>
        <v xml:space="preserve"> </v>
      </c>
      <c r="H571" s="100" t="str">
        <f>IFERROR(VLOOKUP(Tablo517[[#This Row],[ÜRÜN KODU]],YMKODLARI!$A$1:$K$363,4,0)," ")</f>
        <v xml:space="preserve"> </v>
      </c>
      <c r="I571" s="100"/>
      <c r="J571" s="100" t="str">
        <f>IFERROR(VLOOKUP(Tablo517[[#This Row],[ÜRÜN KODU]],YMKODLARI!$A$1:$K$363,9,0)," ")</f>
        <v xml:space="preserve"> </v>
      </c>
      <c r="K571" s="100" t="str">
        <f>IFERROR(VLOOKUP(Tablo517[[#This Row],[BOYA KODU]],Tablo14[#All],4,0)," ")</f>
        <v xml:space="preserve"> </v>
      </c>
      <c r="L571" s="100" t="str">
        <f>IFERROR(VLOOKUP(Tablo517[[#This Row],[BOYA KODU]],Tablo14[#All],6,0)," ")</f>
        <v xml:space="preserve"> </v>
      </c>
      <c r="M571" s="100" t="str">
        <f t="shared" si="57"/>
        <v xml:space="preserve"> </v>
      </c>
      <c r="N571" s="100" t="str">
        <f>IFERROR(VLOOKUP(Tablo517[[#This Row],[ÜRÜN KODU]],YMKODLARI!$A$1:$K$363,8,0)," ")</f>
        <v xml:space="preserve"> </v>
      </c>
      <c r="O571" s="100" t="str">
        <f>IFERROR(VLOOKUP(Tablo517[[#This Row],[HAMMADDE KODU]],Tablo1[#All],3,0)," ")</f>
        <v xml:space="preserve"> </v>
      </c>
      <c r="P571" s="100" t="str">
        <f>IFERROR(VLOOKUP(Tablo517[[#This Row],[HAMMADDE KODU]],Tablo1[#All],4,0)," ")</f>
        <v xml:space="preserve"> </v>
      </c>
      <c r="Q571" s="100" t="str">
        <f>IFERROR(VLOOKUP(Tablo517[[#This Row],[ÜRÜN KODU]],YMKODLARI!$A$1:$K$363,5,0)," ")</f>
        <v xml:space="preserve"> </v>
      </c>
      <c r="R571" s="100" t="str">
        <f>IFERROR(VLOOKUP(Tablo517[[#This Row],[ÜRÜN KODU]],YMKODLARI!$A$1:$K$363,6,0)," ")</f>
        <v xml:space="preserve"> </v>
      </c>
      <c r="S571" s="100" t="str">
        <f>IFERROR(Tablo517[[#This Row],[YOLLUK HARİÇ BASKI GRAMI]]/Tablo517[[#This Row],[KALIP GÖZ ADEDİ]]," ")</f>
        <v xml:space="preserve"> </v>
      </c>
      <c r="T571" s="100" t="str">
        <f t="shared" si="59"/>
        <v xml:space="preserve"> </v>
      </c>
      <c r="U571" s="100"/>
      <c r="V571" s="100" t="str">
        <f t="shared" si="58"/>
        <v xml:space="preserve"> </v>
      </c>
      <c r="W571" s="101">
        <f t="shared" si="60"/>
        <v>24</v>
      </c>
      <c r="X571" s="102">
        <f t="shared" si="61"/>
        <v>0</v>
      </c>
      <c r="Y571" s="100" t="str">
        <f t="shared" si="62"/>
        <v xml:space="preserve"> </v>
      </c>
      <c r="Z571" s="100" t="str">
        <f t="shared" si="63"/>
        <v xml:space="preserve"> </v>
      </c>
    </row>
  </sheetData>
  <sheetProtection password="CC17" sheet="1" objects="1" scenarios="1" selectLockedCells="1"/>
  <protectedRanges>
    <protectedRange password="CC09" sqref="U1:U1048576 C1:C156 I1:I1048576 C164:C1048576 A1:A1048576 D1:F1048576" name="girişler"/>
  </protectedRange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>
  <sheetPr codeName="Sayfa9"/>
  <dimension ref="A1:Z576"/>
  <sheetViews>
    <sheetView zoomScale="115" zoomScaleNormal="115" workbookViewId="0">
      <pane ySplit="1" topLeftCell="A339" activePane="bottomLeft" state="frozen"/>
      <selection activeCell="F19" sqref="F19"/>
      <selection pane="bottomLeft" activeCell="A368" sqref="A368"/>
    </sheetView>
  </sheetViews>
  <sheetFormatPr defaultRowHeight="15"/>
  <cols>
    <col min="1" max="1" width="18.7109375" style="35" bestFit="1" customWidth="1"/>
    <col min="2" max="2" width="34.42578125" style="35" customWidth="1"/>
    <col min="3" max="3" width="11.85546875" style="36" bestFit="1" customWidth="1"/>
    <col min="4" max="4" width="15.28515625" style="37" customWidth="1"/>
    <col min="5" max="5" width="12" style="38" customWidth="1"/>
    <col min="6" max="6" width="10.140625" style="38" customWidth="1"/>
    <col min="7" max="7" width="9.140625" style="37" customWidth="1"/>
    <col min="8" max="8" width="9" style="37" customWidth="1"/>
    <col min="9" max="9" width="11.7109375" style="37" customWidth="1"/>
    <col min="10" max="10" width="12.7109375" style="37" bestFit="1" customWidth="1"/>
    <col min="11" max="11" width="11.85546875" style="37" customWidth="1"/>
    <col min="12" max="12" width="10" style="37" customWidth="1"/>
    <col min="13" max="13" width="12.140625" style="37" customWidth="1"/>
    <col min="14" max="14" width="12.42578125" style="37" customWidth="1"/>
    <col min="15" max="15" width="14" style="37" bestFit="1" customWidth="1"/>
    <col min="16" max="16" width="12.42578125" style="37" customWidth="1"/>
    <col min="17" max="17" width="8.5703125" style="37" customWidth="1"/>
    <col min="18" max="18" width="10.5703125" style="37" customWidth="1"/>
    <col min="19" max="19" width="7.5703125" style="37" customWidth="1"/>
    <col min="20" max="20" width="10" style="37" customWidth="1"/>
    <col min="21" max="21" width="9.140625" style="37"/>
    <col min="22" max="22" width="12.140625" style="37" customWidth="1"/>
    <col min="23" max="23" width="11.85546875" style="38" customWidth="1"/>
    <col min="24" max="24" width="11.85546875" style="39" customWidth="1"/>
    <col min="25" max="25" width="9.5703125" style="37" customWidth="1"/>
    <col min="26" max="26" width="10.28515625" style="37" customWidth="1"/>
    <col min="27" max="16384" width="9.140625" style="37"/>
  </cols>
  <sheetData>
    <row r="1" spans="1:26" s="40" customFormat="1" ht="105" customHeight="1">
      <c r="A1" s="41" t="s">
        <v>0</v>
      </c>
      <c r="B1" s="41" t="s">
        <v>1</v>
      </c>
      <c r="C1" s="42" t="s">
        <v>2</v>
      </c>
      <c r="D1" s="40" t="s">
        <v>3</v>
      </c>
      <c r="E1" s="43" t="s">
        <v>4</v>
      </c>
      <c r="F1" s="43" t="s">
        <v>5</v>
      </c>
      <c r="G1" s="40" t="s">
        <v>6</v>
      </c>
      <c r="H1" s="40" t="s">
        <v>7</v>
      </c>
      <c r="I1" s="40" t="s">
        <v>8</v>
      </c>
      <c r="J1" s="40" t="s">
        <v>9</v>
      </c>
      <c r="K1" s="40" t="s">
        <v>10</v>
      </c>
      <c r="L1" s="40" t="s">
        <v>11</v>
      </c>
      <c r="M1" s="40" t="s">
        <v>12</v>
      </c>
      <c r="N1" s="40" t="s">
        <v>13</v>
      </c>
      <c r="O1" s="40" t="s">
        <v>14</v>
      </c>
      <c r="P1" s="40" t="s">
        <v>15</v>
      </c>
      <c r="Q1" s="40" t="s">
        <v>16</v>
      </c>
      <c r="R1" s="40" t="s">
        <v>17</v>
      </c>
      <c r="S1" s="40" t="s">
        <v>18</v>
      </c>
      <c r="T1" s="40" t="s">
        <v>19</v>
      </c>
      <c r="U1" s="40" t="s">
        <v>20</v>
      </c>
      <c r="V1" s="40" t="s">
        <v>21</v>
      </c>
      <c r="W1" s="43" t="s">
        <v>22</v>
      </c>
      <c r="X1" s="44" t="s">
        <v>23</v>
      </c>
      <c r="Y1" s="40" t="s">
        <v>24</v>
      </c>
      <c r="Z1" s="40" t="s">
        <v>25</v>
      </c>
    </row>
    <row r="2" spans="1:26">
      <c r="A2" s="108" t="s">
        <v>124</v>
      </c>
      <c r="B2" s="108" t="str">
        <f>IFERROR(VLOOKUP(Tablo518[[#This Row],[ÜRÜN KODU]],YMKODLARI!$A$1:$K$363,2,0)," ")</f>
        <v>DAMAK EMZİK GÖVDE</v>
      </c>
      <c r="C2" s="99">
        <v>43832</v>
      </c>
      <c r="D2" s="100" t="s">
        <v>37</v>
      </c>
      <c r="E2" s="101">
        <v>0.35416666666666669</v>
      </c>
      <c r="F2" s="101">
        <v>0.82638888888888884</v>
      </c>
      <c r="G2" s="100">
        <f>IFERROR(VLOOKUP(Tablo518[[#This Row],[ÜRÜN KODU]],YMKODLARI!$A$1:$K$363,3,0)," ")</f>
        <v>8</v>
      </c>
      <c r="H2" s="100">
        <f>IFERROR(VLOOKUP(Tablo518[[#This Row],[ÜRÜN KODU]],YMKODLARI!$A$1:$K$363,4,0)," ")</f>
        <v>21</v>
      </c>
      <c r="I2" s="100">
        <v>1804</v>
      </c>
      <c r="J2" s="100" t="str">
        <f>IFERROR(VLOOKUP(Tablo518[[#This Row],[ÜRÜN KODU]],YMKODLARI!$A$1:$K$363,9,0)," ")</f>
        <v>5139C</v>
      </c>
      <c r="K2" s="100" t="str">
        <f>IFERROR(VLOOKUP(Tablo518[[#This Row],[BOYA KODU]],Tablo14[#All],4,0)," ")</f>
        <v>T.MAVİ</v>
      </c>
      <c r="L2" s="100">
        <f>IFERROR(VLOOKUP(Tablo518[[#This Row],[BOYA KODU]],Tablo14[#All],6,0)," ")</f>
        <v>1E-3</v>
      </c>
      <c r="M2" s="100">
        <f t="shared" ref="M2:M69" si="0">IFERROR((I2*Q2)*L2," ")</f>
        <v>53.398400000000002</v>
      </c>
      <c r="N2" s="100" t="str">
        <f>IFERROR(VLOOKUP(Tablo518[[#This Row],[ÜRÜN KODU]],YMKODLARI!$A$1:$K$363,8,0)," ")</f>
        <v>HM 002</v>
      </c>
      <c r="O2" s="100" t="str">
        <f>IFERROR(VLOOKUP(Tablo518[[#This Row],[HAMMADDE KODU]],Tablo1[#All],3,0)," ")</f>
        <v>NOVAREX</v>
      </c>
      <c r="P2" s="100" t="str">
        <f>IFERROR(VLOOKUP(Tablo518[[#This Row],[HAMMADDE KODU]],Tablo1[#All],4,0)," ")</f>
        <v>PİNHAS</v>
      </c>
      <c r="Q2" s="100">
        <f>IFERROR(VLOOKUP(Tablo518[[#This Row],[ÜRÜN KODU]],YMKODLARI!$A$1:$K$363,5,0)," ")</f>
        <v>29.6</v>
      </c>
      <c r="R2" s="100">
        <f>IFERROR(VLOOKUP(Tablo518[[#This Row],[ÜRÜN KODU]],YMKODLARI!$A$1:$K$363,6,0)," ")</f>
        <v>28.6</v>
      </c>
      <c r="S2" s="100">
        <f>IFERROR(Tablo518[[#This Row],[YOLLUK HARİÇ BASKI GRAMI]]/Tablo518[[#This Row],[KALIP GÖZ ADEDİ]]," ")</f>
        <v>3.5750000000000002</v>
      </c>
      <c r="T2" s="100">
        <f>IFERROR(Q2-R2," ")</f>
        <v>1</v>
      </c>
      <c r="U2" s="100">
        <v>3.3</v>
      </c>
      <c r="V2" s="100">
        <f t="shared" ref="V2:V69" si="1">IFERROR(U2+(R2*I2) /1000," ")</f>
        <v>54.894399999999997</v>
      </c>
      <c r="W2" s="101">
        <f>IFERROR(24-(E2-F2)," ")</f>
        <v>24.472222222222221</v>
      </c>
      <c r="X2" s="102">
        <f>IFERROR((W2-INT(W2))*24," ")</f>
        <v>11.333333333333314</v>
      </c>
      <c r="Y2" s="100">
        <f>IFERROR(H2*I2/3600," ")</f>
        <v>10.523333333333333</v>
      </c>
      <c r="Z2" s="100">
        <f>IFERROR(I2*G2," " )</f>
        <v>14432</v>
      </c>
    </row>
    <row r="3" spans="1:26">
      <c r="A3" s="108" t="s">
        <v>124</v>
      </c>
      <c r="B3" s="108" t="str">
        <f>IFERROR(VLOOKUP(Tablo518[[#This Row],[ÜRÜN KODU]],YMKODLARI!$A$1:$K$363,2,0)," ")</f>
        <v>DAMAK EMZİK GÖVDE</v>
      </c>
      <c r="C3" s="99">
        <v>43833</v>
      </c>
      <c r="D3" s="100" t="s">
        <v>37</v>
      </c>
      <c r="E3" s="101">
        <v>0.33333333333333331</v>
      </c>
      <c r="F3" s="101">
        <v>0.8125</v>
      </c>
      <c r="G3" s="100">
        <f>IFERROR(VLOOKUP(Tablo518[[#This Row],[ÜRÜN KODU]],YMKODLARI!$A$1:$K$363,3,0)," ")</f>
        <v>8</v>
      </c>
      <c r="H3" s="100">
        <f>IFERROR(VLOOKUP(Tablo518[[#This Row],[ÜRÜN KODU]],YMKODLARI!$A$1:$K$363,4,0)," ")</f>
        <v>21</v>
      </c>
      <c r="I3" s="100">
        <v>1652</v>
      </c>
      <c r="J3" s="100" t="str">
        <f>IFERROR(VLOOKUP(Tablo518[[#This Row],[ÜRÜN KODU]],YMKODLARI!$A$1:$K$363,9,0)," ")</f>
        <v>5139C</v>
      </c>
      <c r="K3" s="100" t="str">
        <f>IFERROR(VLOOKUP(Tablo518[[#This Row],[BOYA KODU]],Tablo14[#All],4,0)," ")</f>
        <v>T.MAVİ</v>
      </c>
      <c r="L3" s="100">
        <f>IFERROR(VLOOKUP(Tablo518[[#This Row],[BOYA KODU]],Tablo14[#All],6,0)," ")</f>
        <v>1E-3</v>
      </c>
      <c r="M3" s="100">
        <f t="shared" si="0"/>
        <v>48.899200000000008</v>
      </c>
      <c r="N3" s="100" t="str">
        <f>IFERROR(VLOOKUP(Tablo518[[#This Row],[ÜRÜN KODU]],YMKODLARI!$A$1:$K$363,8,0)," ")</f>
        <v>HM 002</v>
      </c>
      <c r="O3" s="100" t="str">
        <f>IFERROR(VLOOKUP(Tablo518[[#This Row],[HAMMADDE KODU]],Tablo1[#All],3,0)," ")</f>
        <v>NOVAREX</v>
      </c>
      <c r="P3" s="100" t="str">
        <f>IFERROR(VLOOKUP(Tablo518[[#This Row],[HAMMADDE KODU]],Tablo1[#All],4,0)," ")</f>
        <v>PİNHAS</v>
      </c>
      <c r="Q3" s="100">
        <f>IFERROR(VLOOKUP(Tablo518[[#This Row],[ÜRÜN KODU]],YMKODLARI!$A$1:$K$363,5,0)," ")</f>
        <v>29.6</v>
      </c>
      <c r="R3" s="100">
        <f>IFERROR(VLOOKUP(Tablo518[[#This Row],[ÜRÜN KODU]],YMKODLARI!$A$1:$K$363,6,0)," ")</f>
        <v>28.6</v>
      </c>
      <c r="S3" s="100">
        <f>IFERROR(Tablo518[[#This Row],[YOLLUK HARİÇ BASKI GRAMI]]/Tablo518[[#This Row],[KALIP GÖZ ADEDİ]]," ")</f>
        <v>3.5750000000000002</v>
      </c>
      <c r="T3" s="100">
        <f t="shared" ref="T3:T70" si="2">IFERROR(Q3-R3," ")</f>
        <v>1</v>
      </c>
      <c r="U3" s="100">
        <v>4.8</v>
      </c>
      <c r="V3" s="100">
        <f t="shared" si="1"/>
        <v>52.047200000000004</v>
      </c>
      <c r="W3" s="101">
        <f t="shared" ref="W3:W70" si="3">IFERROR(24-(E3-F3)," ")</f>
        <v>24.479166666666668</v>
      </c>
      <c r="X3" s="102">
        <f t="shared" ref="X3:X70" si="4">IFERROR((W3-INT(W3))*24," ")</f>
        <v>11.500000000000028</v>
      </c>
      <c r="Y3" s="100">
        <f t="shared" ref="Y3:Y70" si="5">IFERROR(H3*I3/3600," ")</f>
        <v>9.6366666666666667</v>
      </c>
      <c r="Z3" s="100">
        <f t="shared" ref="Z3:Z70" si="6">IFERROR(I3*G3," " )</f>
        <v>13216</v>
      </c>
    </row>
    <row r="4" spans="1:26">
      <c r="A4" s="108" t="s">
        <v>125</v>
      </c>
      <c r="B4" s="108" t="str">
        <f>IFERROR(VLOOKUP(Tablo518[[#This Row],[ÜRÜN KODU]],YMKODLARI!$A$1:$K$363,2,0)," ")</f>
        <v>DAMAK EMZİK GÖVDE</v>
      </c>
      <c r="C4" s="99">
        <v>43833</v>
      </c>
      <c r="D4" s="100" t="s">
        <v>37</v>
      </c>
      <c r="E4" s="101">
        <v>0.81944444444444453</v>
      </c>
      <c r="F4" s="101">
        <v>0.83333333333333337</v>
      </c>
      <c r="G4" s="100">
        <f>IFERROR(VLOOKUP(Tablo518[[#This Row],[ÜRÜN KODU]],YMKODLARI!$A$1:$K$363,3,0)," ")</f>
        <v>8</v>
      </c>
      <c r="H4" s="100">
        <f>IFERROR(VLOOKUP(Tablo518[[#This Row],[ÜRÜN KODU]],YMKODLARI!$A$1:$K$363,4,0)," ")</f>
        <v>21</v>
      </c>
      <c r="I4" s="100">
        <v>44</v>
      </c>
      <c r="J4" s="100">
        <f>IFERROR(VLOOKUP(Tablo518[[#This Row],[ÜRÜN KODU]],YMKODLARI!$A$1:$K$363,9,0)," ")</f>
        <v>1045</v>
      </c>
      <c r="K4" s="100" t="str">
        <f>IFERROR(VLOOKUP(Tablo518[[#This Row],[BOYA KODU]],Tablo14[#All],4,0)," ")</f>
        <v>T.SARI</v>
      </c>
      <c r="L4" s="100">
        <f>IFERROR(VLOOKUP(Tablo518[[#This Row],[BOYA KODU]],Tablo14[#All],6,0)," ")</f>
        <v>2E-3</v>
      </c>
      <c r="M4" s="100">
        <f t="shared" si="0"/>
        <v>2.6048000000000004</v>
      </c>
      <c r="N4" s="100" t="str">
        <f>IFERROR(VLOOKUP(Tablo518[[#This Row],[ÜRÜN KODU]],YMKODLARI!$A$1:$K$363,8,0)," ")</f>
        <v>HM 002</v>
      </c>
      <c r="O4" s="100" t="str">
        <f>IFERROR(VLOOKUP(Tablo518[[#This Row],[HAMMADDE KODU]],Tablo1[#All],3,0)," ")</f>
        <v>NOVAREX</v>
      </c>
      <c r="P4" s="100" t="str">
        <f>IFERROR(VLOOKUP(Tablo518[[#This Row],[HAMMADDE KODU]],Tablo1[#All],4,0)," ")</f>
        <v>PİNHAS</v>
      </c>
      <c r="Q4" s="100">
        <f>IFERROR(VLOOKUP(Tablo518[[#This Row],[ÜRÜN KODU]],YMKODLARI!$A$1:$K$363,5,0)," ")</f>
        <v>29.6</v>
      </c>
      <c r="R4" s="100">
        <f>IFERROR(VLOOKUP(Tablo518[[#This Row],[ÜRÜN KODU]],YMKODLARI!$A$1:$K$363,6,0)," ")</f>
        <v>28.6</v>
      </c>
      <c r="S4" s="100">
        <f>IFERROR(Tablo518[[#This Row],[YOLLUK HARİÇ BASKI GRAMI]]/Tablo518[[#This Row],[KALIP GÖZ ADEDİ]]," ")</f>
        <v>3.5750000000000002</v>
      </c>
      <c r="T4" s="100">
        <f t="shared" si="2"/>
        <v>1</v>
      </c>
      <c r="U4" s="100">
        <v>4.4000000000000004</v>
      </c>
      <c r="V4" s="100">
        <f t="shared" si="1"/>
        <v>5.6584000000000003</v>
      </c>
      <c r="W4" s="101">
        <f t="shared" si="3"/>
        <v>24.013888888888889</v>
      </c>
      <c r="X4" s="102">
        <f t="shared" si="4"/>
        <v>0.33333333333334281</v>
      </c>
      <c r="Y4" s="100">
        <f t="shared" si="5"/>
        <v>0.25666666666666665</v>
      </c>
      <c r="Z4" s="100">
        <f t="shared" si="6"/>
        <v>352</v>
      </c>
    </row>
    <row r="5" spans="1:26">
      <c r="A5" s="108" t="s">
        <v>125</v>
      </c>
      <c r="B5" s="108" t="str">
        <f>IFERROR(VLOOKUP(Tablo518[[#This Row],[ÜRÜN KODU]],YMKODLARI!$A$1:$K$363,2,0)," ")</f>
        <v>DAMAK EMZİK GÖVDE</v>
      </c>
      <c r="C5" s="99">
        <v>43836</v>
      </c>
      <c r="D5" s="100" t="s">
        <v>35</v>
      </c>
      <c r="E5" s="101">
        <v>0.43402777777777773</v>
      </c>
      <c r="F5" s="101">
        <v>0.71875</v>
      </c>
      <c r="G5" s="100">
        <f>IFERROR(VLOOKUP(Tablo518[[#This Row],[ÜRÜN KODU]],YMKODLARI!$A$1:$K$363,3,0)," ")</f>
        <v>8</v>
      </c>
      <c r="H5" s="100">
        <f>IFERROR(VLOOKUP(Tablo518[[#This Row],[ÜRÜN KODU]],YMKODLARI!$A$1:$K$363,4,0)," ")</f>
        <v>21</v>
      </c>
      <c r="I5" s="100">
        <v>1094</v>
      </c>
      <c r="J5" s="100">
        <f>IFERROR(VLOOKUP(Tablo518[[#This Row],[ÜRÜN KODU]],YMKODLARI!$A$1:$K$363,9,0)," ")</f>
        <v>1045</v>
      </c>
      <c r="K5" s="100" t="str">
        <f>IFERROR(VLOOKUP(Tablo518[[#This Row],[BOYA KODU]],Tablo14[#All],4,0)," ")</f>
        <v>T.SARI</v>
      </c>
      <c r="L5" s="100">
        <f>IFERROR(VLOOKUP(Tablo518[[#This Row],[BOYA KODU]],Tablo14[#All],6,0)," ")</f>
        <v>2E-3</v>
      </c>
      <c r="M5" s="100">
        <f t="shared" si="0"/>
        <v>64.764800000000008</v>
      </c>
      <c r="N5" s="100" t="str">
        <f>IFERROR(VLOOKUP(Tablo518[[#This Row],[ÜRÜN KODU]],YMKODLARI!$A$1:$K$363,8,0)," ")</f>
        <v>HM 002</v>
      </c>
      <c r="O5" s="100" t="str">
        <f>IFERROR(VLOOKUP(Tablo518[[#This Row],[HAMMADDE KODU]],Tablo1[#All],3,0)," ")</f>
        <v>NOVAREX</v>
      </c>
      <c r="P5" s="100" t="str">
        <f>IFERROR(VLOOKUP(Tablo518[[#This Row],[HAMMADDE KODU]],Tablo1[#All],4,0)," ")</f>
        <v>PİNHAS</v>
      </c>
      <c r="Q5" s="100">
        <f>IFERROR(VLOOKUP(Tablo518[[#This Row],[ÜRÜN KODU]],YMKODLARI!$A$1:$K$363,5,0)," ")</f>
        <v>29.6</v>
      </c>
      <c r="R5" s="100">
        <f>IFERROR(VLOOKUP(Tablo518[[#This Row],[ÜRÜN KODU]],YMKODLARI!$A$1:$K$363,6,0)," ")</f>
        <v>28.6</v>
      </c>
      <c r="S5" s="100">
        <f>IFERROR(Tablo518[[#This Row],[YOLLUK HARİÇ BASKI GRAMI]]/Tablo518[[#This Row],[KALIP GÖZ ADEDİ]]," ")</f>
        <v>3.5750000000000002</v>
      </c>
      <c r="T5" s="100">
        <f t="shared" si="2"/>
        <v>1</v>
      </c>
      <c r="U5" s="100">
        <v>1</v>
      </c>
      <c r="V5" s="100">
        <f t="shared" si="1"/>
        <v>32.288400000000003</v>
      </c>
      <c r="W5" s="101">
        <f t="shared" si="3"/>
        <v>24.284722222222221</v>
      </c>
      <c r="X5" s="102">
        <f t="shared" si="4"/>
        <v>6.8333333333333144</v>
      </c>
      <c r="Y5" s="100">
        <f t="shared" si="5"/>
        <v>6.3816666666666668</v>
      </c>
      <c r="Z5" s="100">
        <f t="shared" si="6"/>
        <v>8752</v>
      </c>
    </row>
    <row r="6" spans="1:26">
      <c r="A6" s="108" t="s">
        <v>126</v>
      </c>
      <c r="B6" s="108" t="str">
        <f>IFERROR(VLOOKUP(Tablo518[[#This Row],[ÜRÜN KODU]],YMKODLARI!$A$1:$K$363,2,0)," ")</f>
        <v>DAMAK EMZİK GÖVDE</v>
      </c>
      <c r="C6" s="99">
        <v>43836</v>
      </c>
      <c r="D6" s="100" t="s">
        <v>49</v>
      </c>
      <c r="E6" s="101">
        <v>0.74305555555555547</v>
      </c>
      <c r="F6" s="101">
        <v>0.83333333333333337</v>
      </c>
      <c r="G6" s="100">
        <f>IFERROR(VLOOKUP(Tablo518[[#This Row],[ÜRÜN KODU]],YMKODLARI!$A$1:$K$363,3,0)," ")</f>
        <v>8</v>
      </c>
      <c r="H6" s="100">
        <f>IFERROR(VLOOKUP(Tablo518[[#This Row],[ÜRÜN KODU]],YMKODLARI!$A$1:$K$363,4,0)," ")</f>
        <v>21</v>
      </c>
      <c r="I6" s="100">
        <v>874</v>
      </c>
      <c r="J6" s="100">
        <f>IFERROR(VLOOKUP(Tablo518[[#This Row],[ÜRÜN KODU]],YMKODLARI!$A$1:$K$363,9,0)," ")</f>
        <v>3014</v>
      </c>
      <c r="K6" s="100" t="str">
        <f>IFERROR(VLOOKUP(Tablo518[[#This Row],[BOYA KODU]],Tablo14[#All],4,0)," ")</f>
        <v>T.KIRMIZI</v>
      </c>
      <c r="L6" s="100">
        <f>IFERROR(VLOOKUP(Tablo518[[#This Row],[BOYA KODU]],Tablo14[#All],6,0)," ")</f>
        <v>2E-3</v>
      </c>
      <c r="M6" s="100">
        <f t="shared" si="0"/>
        <v>51.740800000000007</v>
      </c>
      <c r="N6" s="100" t="str">
        <f>IFERROR(VLOOKUP(Tablo518[[#This Row],[ÜRÜN KODU]],YMKODLARI!$A$1:$K$363,8,0)," ")</f>
        <v>HM 002</v>
      </c>
      <c r="O6" s="100" t="str">
        <f>IFERROR(VLOOKUP(Tablo518[[#This Row],[HAMMADDE KODU]],Tablo1[#All],3,0)," ")</f>
        <v>NOVAREX</v>
      </c>
      <c r="P6" s="100" t="str">
        <f>IFERROR(VLOOKUP(Tablo518[[#This Row],[HAMMADDE KODU]],Tablo1[#All],4,0)," ")</f>
        <v>PİNHAS</v>
      </c>
      <c r="Q6" s="100">
        <f>IFERROR(VLOOKUP(Tablo518[[#This Row],[ÜRÜN KODU]],YMKODLARI!$A$1:$K$363,5,0)," ")</f>
        <v>29.6</v>
      </c>
      <c r="R6" s="100">
        <f>IFERROR(VLOOKUP(Tablo518[[#This Row],[ÜRÜN KODU]],YMKODLARI!$A$1:$K$363,6,0)," ")</f>
        <v>28.6</v>
      </c>
      <c r="S6" s="100">
        <f>IFERROR(Tablo518[[#This Row],[YOLLUK HARİÇ BASKI GRAMI]]/Tablo518[[#This Row],[KALIP GÖZ ADEDİ]]," ")</f>
        <v>3.5750000000000002</v>
      </c>
      <c r="T6" s="100">
        <f t="shared" si="2"/>
        <v>1</v>
      </c>
      <c r="U6" s="100">
        <v>2</v>
      </c>
      <c r="V6" s="100">
        <f t="shared" si="1"/>
        <v>26.996400000000001</v>
      </c>
      <c r="W6" s="101">
        <f t="shared" si="3"/>
        <v>24.090277777777779</v>
      </c>
      <c r="X6" s="102">
        <f t="shared" si="4"/>
        <v>2.1666666666666856</v>
      </c>
      <c r="Y6" s="100">
        <f t="shared" si="5"/>
        <v>5.0983333333333336</v>
      </c>
      <c r="Z6" s="100">
        <f t="shared" si="6"/>
        <v>6992</v>
      </c>
    </row>
    <row r="7" spans="1:26">
      <c r="A7" s="108" t="s">
        <v>126</v>
      </c>
      <c r="B7" s="108" t="str">
        <f>IFERROR(VLOOKUP(Tablo518[[#This Row],[ÜRÜN KODU]],YMKODLARI!$A$1:$K$363,2,0)," ")</f>
        <v>DAMAK EMZİK GÖVDE</v>
      </c>
      <c r="C7" s="99">
        <v>43837</v>
      </c>
      <c r="D7" s="100" t="s">
        <v>49</v>
      </c>
      <c r="E7" s="101">
        <v>0.33680555555555558</v>
      </c>
      <c r="F7" s="101">
        <v>0.74305555555555547</v>
      </c>
      <c r="G7" s="100">
        <f>IFERROR(VLOOKUP(Tablo518[[#This Row],[ÜRÜN KODU]],YMKODLARI!$A$1:$K$363,3,0)," ")</f>
        <v>8</v>
      </c>
      <c r="H7" s="100">
        <f>IFERROR(VLOOKUP(Tablo518[[#This Row],[ÜRÜN KODU]],YMKODLARI!$A$1:$K$363,4,0)," ")</f>
        <v>21</v>
      </c>
      <c r="I7" s="100">
        <v>1344</v>
      </c>
      <c r="J7" s="100">
        <f>IFERROR(VLOOKUP(Tablo518[[#This Row],[ÜRÜN KODU]],YMKODLARI!$A$1:$K$363,9,0)," ")</f>
        <v>3014</v>
      </c>
      <c r="K7" s="100" t="str">
        <f>IFERROR(VLOOKUP(Tablo518[[#This Row],[BOYA KODU]],Tablo14[#All],4,0)," ")</f>
        <v>T.KIRMIZI</v>
      </c>
      <c r="L7" s="100">
        <f>IFERROR(VLOOKUP(Tablo518[[#This Row],[BOYA KODU]],Tablo14[#All],6,0)," ")</f>
        <v>2E-3</v>
      </c>
      <c r="M7" s="100">
        <f t="shared" si="0"/>
        <v>79.564800000000005</v>
      </c>
      <c r="N7" s="100" t="str">
        <f>IFERROR(VLOOKUP(Tablo518[[#This Row],[ÜRÜN KODU]],YMKODLARI!$A$1:$K$363,8,0)," ")</f>
        <v>HM 002</v>
      </c>
      <c r="O7" s="100" t="str">
        <f>IFERROR(VLOOKUP(Tablo518[[#This Row],[HAMMADDE KODU]],Tablo1[#All],3,0)," ")</f>
        <v>NOVAREX</v>
      </c>
      <c r="P7" s="100" t="str">
        <f>IFERROR(VLOOKUP(Tablo518[[#This Row],[HAMMADDE KODU]],Tablo1[#All],4,0)," ")</f>
        <v>PİNHAS</v>
      </c>
      <c r="Q7" s="100">
        <f>IFERROR(VLOOKUP(Tablo518[[#This Row],[ÜRÜN KODU]],YMKODLARI!$A$1:$K$363,5,0)," ")</f>
        <v>29.6</v>
      </c>
      <c r="R7" s="100">
        <f>IFERROR(VLOOKUP(Tablo518[[#This Row],[ÜRÜN KODU]],YMKODLARI!$A$1:$K$363,6,0)," ")</f>
        <v>28.6</v>
      </c>
      <c r="S7" s="100">
        <f>IFERROR(Tablo518[[#This Row],[YOLLUK HARİÇ BASKI GRAMI]]/Tablo518[[#This Row],[KALIP GÖZ ADEDİ]]," ")</f>
        <v>3.5750000000000002</v>
      </c>
      <c r="T7" s="100">
        <f t="shared" si="2"/>
        <v>1</v>
      </c>
      <c r="U7" s="100">
        <v>0.55000000000000004</v>
      </c>
      <c r="V7" s="100">
        <f t="shared" si="1"/>
        <v>38.988399999999999</v>
      </c>
      <c r="W7" s="101">
        <f t="shared" si="3"/>
        <v>24.40625</v>
      </c>
      <c r="X7" s="102">
        <f t="shared" si="4"/>
        <v>9.75</v>
      </c>
      <c r="Y7" s="100">
        <f t="shared" si="5"/>
        <v>7.84</v>
      </c>
      <c r="Z7" s="100">
        <f t="shared" si="6"/>
        <v>10752</v>
      </c>
    </row>
    <row r="8" spans="1:26">
      <c r="A8" s="108" t="s">
        <v>126</v>
      </c>
      <c r="B8" s="108" t="str">
        <f>IFERROR(VLOOKUP(Tablo518[[#This Row],[ÜRÜN KODU]],YMKODLARI!$A$1:$K$363,2,0)," ")</f>
        <v>DAMAK EMZİK GÖVDE</v>
      </c>
      <c r="C8" s="99">
        <v>43838</v>
      </c>
      <c r="D8" s="100" t="s">
        <v>36</v>
      </c>
      <c r="E8" s="101">
        <v>0.60416666666666663</v>
      </c>
      <c r="F8" s="101">
        <v>0.69444444444444453</v>
      </c>
      <c r="G8" s="100">
        <f>IFERROR(VLOOKUP(Tablo518[[#This Row],[ÜRÜN KODU]],YMKODLARI!$A$1:$K$363,3,0)," ")</f>
        <v>8</v>
      </c>
      <c r="H8" s="100">
        <f>IFERROR(VLOOKUP(Tablo518[[#This Row],[ÜRÜN KODU]],YMKODLARI!$A$1:$K$363,4,0)," ")</f>
        <v>21</v>
      </c>
      <c r="I8" s="100">
        <v>380</v>
      </c>
      <c r="J8" s="100">
        <f>IFERROR(VLOOKUP(Tablo518[[#This Row],[ÜRÜN KODU]],YMKODLARI!$A$1:$K$363,9,0)," ")</f>
        <v>3014</v>
      </c>
      <c r="K8" s="100" t="str">
        <f>IFERROR(VLOOKUP(Tablo518[[#This Row],[BOYA KODU]],Tablo14[#All],4,0)," ")</f>
        <v>T.KIRMIZI</v>
      </c>
      <c r="L8" s="100">
        <f>IFERROR(VLOOKUP(Tablo518[[#This Row],[BOYA KODU]],Tablo14[#All],6,0)," ")</f>
        <v>2E-3</v>
      </c>
      <c r="M8" s="100">
        <f t="shared" si="0"/>
        <v>22.496000000000002</v>
      </c>
      <c r="N8" s="100" t="str">
        <f>IFERROR(VLOOKUP(Tablo518[[#This Row],[ÜRÜN KODU]],YMKODLARI!$A$1:$K$363,8,0)," ")</f>
        <v>HM 002</v>
      </c>
      <c r="O8" s="100" t="str">
        <f>IFERROR(VLOOKUP(Tablo518[[#This Row],[HAMMADDE KODU]],Tablo1[#All],3,0)," ")</f>
        <v>NOVAREX</v>
      </c>
      <c r="P8" s="100" t="str">
        <f>IFERROR(VLOOKUP(Tablo518[[#This Row],[HAMMADDE KODU]],Tablo1[#All],4,0)," ")</f>
        <v>PİNHAS</v>
      </c>
      <c r="Q8" s="100">
        <f>IFERROR(VLOOKUP(Tablo518[[#This Row],[ÜRÜN KODU]],YMKODLARI!$A$1:$K$363,5,0)," ")</f>
        <v>29.6</v>
      </c>
      <c r="R8" s="100">
        <f>IFERROR(VLOOKUP(Tablo518[[#This Row],[ÜRÜN KODU]],YMKODLARI!$A$1:$K$363,6,0)," ")</f>
        <v>28.6</v>
      </c>
      <c r="S8" s="100">
        <f>IFERROR(Tablo518[[#This Row],[YOLLUK HARİÇ BASKI GRAMI]]/Tablo518[[#This Row],[KALIP GÖZ ADEDİ]]," ")</f>
        <v>3.5750000000000002</v>
      </c>
      <c r="T8" s="100">
        <f t="shared" si="2"/>
        <v>1</v>
      </c>
      <c r="U8" s="100">
        <v>1.1000000000000001</v>
      </c>
      <c r="V8" s="100">
        <f t="shared" si="1"/>
        <v>11.968</v>
      </c>
      <c r="W8" s="101">
        <f t="shared" si="3"/>
        <v>24.090277777777779</v>
      </c>
      <c r="X8" s="102">
        <f t="shared" si="4"/>
        <v>2.1666666666666856</v>
      </c>
      <c r="Y8" s="100">
        <f t="shared" si="5"/>
        <v>2.2166666666666668</v>
      </c>
      <c r="Z8" s="100">
        <f t="shared" si="6"/>
        <v>3040</v>
      </c>
    </row>
    <row r="9" spans="1:26">
      <c r="A9" s="108" t="s">
        <v>126</v>
      </c>
      <c r="B9" s="108" t="str">
        <f>IFERROR(VLOOKUP(Tablo518[[#This Row],[ÜRÜN KODU]],YMKODLARI!$A$1:$K$363,2,0)," ")</f>
        <v>DAMAK EMZİK GÖVDE</v>
      </c>
      <c r="C9" s="99">
        <v>43845</v>
      </c>
      <c r="D9" s="100" t="s">
        <v>35</v>
      </c>
      <c r="E9" s="101">
        <v>0.43055555555555558</v>
      </c>
      <c r="F9" s="101">
        <v>0.54166666666666663</v>
      </c>
      <c r="G9" s="100">
        <f>IFERROR(VLOOKUP(Tablo518[[#This Row],[ÜRÜN KODU]],YMKODLARI!$A$1:$K$363,3,0)," ")</f>
        <v>8</v>
      </c>
      <c r="H9" s="100">
        <f>IFERROR(VLOOKUP(Tablo518[[#This Row],[ÜRÜN KODU]],YMKODLARI!$A$1:$K$363,4,0)," ")</f>
        <v>21</v>
      </c>
      <c r="I9" s="100">
        <v>511</v>
      </c>
      <c r="J9" s="100">
        <f>IFERROR(VLOOKUP(Tablo518[[#This Row],[ÜRÜN KODU]],YMKODLARI!$A$1:$K$363,9,0)," ")</f>
        <v>3014</v>
      </c>
      <c r="K9" s="100" t="str">
        <f>IFERROR(VLOOKUP(Tablo518[[#This Row],[BOYA KODU]],Tablo14[#All],4,0)," ")</f>
        <v>T.KIRMIZI</v>
      </c>
      <c r="L9" s="100">
        <f>IFERROR(VLOOKUP(Tablo518[[#This Row],[BOYA KODU]],Tablo14[#All],6,0)," ")</f>
        <v>2E-3</v>
      </c>
      <c r="M9" s="100">
        <f t="shared" si="0"/>
        <v>30.251200000000001</v>
      </c>
      <c r="N9" s="100" t="str">
        <f>IFERROR(VLOOKUP(Tablo518[[#This Row],[ÜRÜN KODU]],YMKODLARI!$A$1:$K$363,8,0)," ")</f>
        <v>HM 002</v>
      </c>
      <c r="O9" s="100" t="str">
        <f>IFERROR(VLOOKUP(Tablo518[[#This Row],[HAMMADDE KODU]],Tablo1[#All],3,0)," ")</f>
        <v>NOVAREX</v>
      </c>
      <c r="P9" s="100" t="str">
        <f>IFERROR(VLOOKUP(Tablo518[[#This Row],[HAMMADDE KODU]],Tablo1[#All],4,0)," ")</f>
        <v>PİNHAS</v>
      </c>
      <c r="Q9" s="100">
        <f>IFERROR(VLOOKUP(Tablo518[[#This Row],[ÜRÜN KODU]],YMKODLARI!$A$1:$K$363,5,0)," ")</f>
        <v>29.6</v>
      </c>
      <c r="R9" s="100">
        <f>IFERROR(VLOOKUP(Tablo518[[#This Row],[ÜRÜN KODU]],YMKODLARI!$A$1:$K$363,6,0)," ")</f>
        <v>28.6</v>
      </c>
      <c r="S9" s="100">
        <f>IFERROR(Tablo518[[#This Row],[YOLLUK HARİÇ BASKI GRAMI]]/Tablo518[[#This Row],[KALIP GÖZ ADEDİ]]," ")</f>
        <v>3.5750000000000002</v>
      </c>
      <c r="T9" s="100">
        <f t="shared" si="2"/>
        <v>1</v>
      </c>
      <c r="U9" s="100">
        <v>0.55000000000000004</v>
      </c>
      <c r="V9" s="100">
        <f t="shared" si="1"/>
        <v>15.164600000000002</v>
      </c>
      <c r="W9" s="101">
        <f t="shared" si="3"/>
        <v>24.111111111111111</v>
      </c>
      <c r="X9" s="102">
        <f t="shared" si="4"/>
        <v>2.6666666666666572</v>
      </c>
      <c r="Y9" s="100">
        <f t="shared" si="5"/>
        <v>2.9808333333333334</v>
      </c>
      <c r="Z9" s="100">
        <f t="shared" si="6"/>
        <v>4088</v>
      </c>
    </row>
    <row r="10" spans="1:26">
      <c r="A10" s="108" t="s">
        <v>127</v>
      </c>
      <c r="B10" s="108" t="str">
        <f>IFERROR(VLOOKUP(Tablo518[[#This Row],[ÜRÜN KODU]],YMKODLARI!$A$1:$K$363,2,0)," ")</f>
        <v>DAMAK EMZİK GÖVDE</v>
      </c>
      <c r="C10" s="99">
        <v>43845</v>
      </c>
      <c r="D10" s="100" t="s">
        <v>36</v>
      </c>
      <c r="E10" s="101">
        <v>0.58333333333333337</v>
      </c>
      <c r="F10" s="101">
        <v>0.70486111111111116</v>
      </c>
      <c r="G10" s="100">
        <f>IFERROR(VLOOKUP(Tablo518[[#This Row],[ÜRÜN KODU]],YMKODLARI!$A$1:$K$363,3,0)," ")</f>
        <v>8</v>
      </c>
      <c r="H10" s="100">
        <f>IFERROR(VLOOKUP(Tablo518[[#This Row],[ÜRÜN KODU]],YMKODLARI!$A$1:$K$363,4,0)," ")</f>
        <v>21</v>
      </c>
      <c r="I10" s="100">
        <v>478</v>
      </c>
      <c r="J10" s="100" t="str">
        <f>IFERROR(VLOOKUP(Tablo518[[#This Row],[ÜRÜN KODU]],YMKODLARI!$A$1:$K$363,9,0)," ")</f>
        <v>708VI0502G</v>
      </c>
      <c r="K10" s="100" t="str">
        <f>IFERROR(VLOOKUP(Tablo518[[#This Row],[BOYA KODU]],Tablo14[#All],4,0)," ")</f>
        <v>T.VİOLET</v>
      </c>
      <c r="L10" s="100">
        <f>IFERROR(VLOOKUP(Tablo518[[#This Row],[BOYA KODU]],Tablo14[#All],6,0)," ")</f>
        <v>2E-3</v>
      </c>
      <c r="M10" s="100">
        <f t="shared" si="0"/>
        <v>28.584399999999999</v>
      </c>
      <c r="N10" s="100" t="str">
        <f>IFERROR(VLOOKUP(Tablo518[[#This Row],[ÜRÜN KODU]],YMKODLARI!$A$1:$K$363,8,0)," ")</f>
        <v>HM 002</v>
      </c>
      <c r="O10" s="100" t="str">
        <f>IFERROR(VLOOKUP(Tablo518[[#This Row],[HAMMADDE KODU]],Tablo1[#All],3,0)," ")</f>
        <v>NOVAREX</v>
      </c>
      <c r="P10" s="100" t="str">
        <f>IFERROR(VLOOKUP(Tablo518[[#This Row],[HAMMADDE KODU]],Tablo1[#All],4,0)," ")</f>
        <v>PİNHAS</v>
      </c>
      <c r="Q10" s="100">
        <f>IFERROR(VLOOKUP(Tablo518[[#This Row],[ÜRÜN KODU]],YMKODLARI!$A$1:$K$363,5,0)," ")</f>
        <v>29.9</v>
      </c>
      <c r="R10" s="100">
        <f>IFERROR(VLOOKUP(Tablo518[[#This Row],[ÜRÜN KODU]],YMKODLARI!$A$1:$K$363,6,0)," ")</f>
        <v>29.1</v>
      </c>
      <c r="S10" s="100">
        <f>IFERROR(Tablo518[[#This Row],[YOLLUK HARİÇ BASKI GRAMI]]/Tablo518[[#This Row],[KALIP GÖZ ADEDİ]]," ")</f>
        <v>3.6375000000000002</v>
      </c>
      <c r="T10" s="100">
        <f t="shared" si="2"/>
        <v>0.79999999999999716</v>
      </c>
      <c r="U10" s="100">
        <v>0.7</v>
      </c>
      <c r="V10" s="100">
        <f t="shared" si="1"/>
        <v>14.6098</v>
      </c>
      <c r="W10" s="101">
        <f t="shared" si="3"/>
        <v>24.121527777777779</v>
      </c>
      <c r="X10" s="102">
        <f t="shared" si="4"/>
        <v>2.9166666666666856</v>
      </c>
      <c r="Y10" s="100">
        <f t="shared" si="5"/>
        <v>2.7883333333333336</v>
      </c>
      <c r="Z10" s="100">
        <f t="shared" si="6"/>
        <v>3824</v>
      </c>
    </row>
    <row r="11" spans="1:26">
      <c r="A11" s="108" t="s">
        <v>128</v>
      </c>
      <c r="B11" s="108" t="str">
        <f>IFERROR(VLOOKUP(Tablo518[[#This Row],[ÜRÜN KODU]],YMKODLARI!$A$1:$K$363,2,0)," ")</f>
        <v>DAMAK EMZİK GÖVDE</v>
      </c>
      <c r="C11" s="99">
        <v>43845</v>
      </c>
      <c r="D11" s="100" t="s">
        <v>36</v>
      </c>
      <c r="E11" s="101">
        <v>0.71875</v>
      </c>
      <c r="F11" s="101">
        <v>0.75</v>
      </c>
      <c r="G11" s="100">
        <f>IFERROR(VLOOKUP(Tablo518[[#This Row],[ÜRÜN KODU]],YMKODLARI!$A$1:$K$363,3,0)," ")</f>
        <v>8</v>
      </c>
      <c r="H11" s="100">
        <f>IFERROR(VLOOKUP(Tablo518[[#This Row],[ÜRÜN KODU]],YMKODLARI!$A$1:$K$363,4,0)," ")</f>
        <v>21</v>
      </c>
      <c r="I11" s="100">
        <v>118</v>
      </c>
      <c r="J11" s="100" t="str">
        <f>IFERROR(VLOOKUP(Tablo518[[#This Row],[ÜRÜN KODU]],YMKODLARI!$A$1:$K$363,9,0)," ")</f>
        <v>708PK532G</v>
      </c>
      <c r="K11" s="100" t="str">
        <f>IFERROR(VLOOKUP(Tablo518[[#This Row],[BOYA KODU]],Tablo14[#All],4,0)," ")</f>
        <v>T.PEMBE</v>
      </c>
      <c r="L11" s="100">
        <f>IFERROR(VLOOKUP(Tablo518[[#This Row],[BOYA KODU]],Tablo14[#All],6,0)," ")</f>
        <v>2E-3</v>
      </c>
      <c r="M11" s="100">
        <f t="shared" si="0"/>
        <v>6.9856000000000007</v>
      </c>
      <c r="N11" s="100" t="str">
        <f>IFERROR(VLOOKUP(Tablo518[[#This Row],[ÜRÜN KODU]],YMKODLARI!$A$1:$K$363,8,0)," ")</f>
        <v>HM 002</v>
      </c>
      <c r="O11" s="100" t="str">
        <f>IFERROR(VLOOKUP(Tablo518[[#This Row],[HAMMADDE KODU]],Tablo1[#All],3,0)," ")</f>
        <v>NOVAREX</v>
      </c>
      <c r="P11" s="100" t="str">
        <f>IFERROR(VLOOKUP(Tablo518[[#This Row],[HAMMADDE KODU]],Tablo1[#All],4,0)," ")</f>
        <v>PİNHAS</v>
      </c>
      <c r="Q11" s="100">
        <f>IFERROR(VLOOKUP(Tablo518[[#This Row],[ÜRÜN KODU]],YMKODLARI!$A$1:$K$363,5,0)," ")</f>
        <v>29.6</v>
      </c>
      <c r="R11" s="100">
        <f>IFERROR(VLOOKUP(Tablo518[[#This Row],[ÜRÜN KODU]],YMKODLARI!$A$1:$K$363,6,0)," ")</f>
        <v>28.6</v>
      </c>
      <c r="S11" s="100">
        <f>IFERROR(Tablo518[[#This Row],[YOLLUK HARİÇ BASKI GRAMI]]/Tablo518[[#This Row],[KALIP GÖZ ADEDİ]]," ")</f>
        <v>3.5750000000000002</v>
      </c>
      <c r="T11" s="100">
        <f t="shared" si="2"/>
        <v>1</v>
      </c>
      <c r="U11" s="100">
        <v>0.7</v>
      </c>
      <c r="V11" s="100">
        <f t="shared" si="1"/>
        <v>4.0747999999999998</v>
      </c>
      <c r="W11" s="101">
        <f t="shared" si="3"/>
        <v>24.03125</v>
      </c>
      <c r="X11" s="102">
        <f t="shared" si="4"/>
        <v>0.75</v>
      </c>
      <c r="Y11" s="100">
        <f t="shared" si="5"/>
        <v>0.68833333333333335</v>
      </c>
      <c r="Z11" s="100">
        <f t="shared" si="6"/>
        <v>944</v>
      </c>
    </row>
    <row r="12" spans="1:26">
      <c r="A12" s="108" t="s">
        <v>128</v>
      </c>
      <c r="B12" s="108" t="str">
        <f>IFERROR(VLOOKUP(Tablo518[[#This Row],[ÜRÜN KODU]],YMKODLARI!$A$1:$K$363,2,0)," ")</f>
        <v>DAMAK EMZİK GÖVDE</v>
      </c>
      <c r="C12" s="99">
        <v>43846</v>
      </c>
      <c r="D12" s="100" t="s">
        <v>36</v>
      </c>
      <c r="E12" s="101">
        <v>0.33333333333333331</v>
      </c>
      <c r="F12" s="101">
        <v>0.4375</v>
      </c>
      <c r="G12" s="100">
        <f>IFERROR(VLOOKUP(Tablo518[[#This Row],[ÜRÜN KODU]],YMKODLARI!$A$1:$K$363,3,0)," ")</f>
        <v>8</v>
      </c>
      <c r="H12" s="100">
        <f>IFERROR(VLOOKUP(Tablo518[[#This Row],[ÜRÜN KODU]],YMKODLARI!$A$1:$K$363,4,0)," ")</f>
        <v>21</v>
      </c>
      <c r="I12" s="100">
        <v>366</v>
      </c>
      <c r="J12" s="100" t="str">
        <f>IFERROR(VLOOKUP(Tablo518[[#This Row],[ÜRÜN KODU]],YMKODLARI!$A$1:$K$363,9,0)," ")</f>
        <v>708PK532G</v>
      </c>
      <c r="K12" s="100" t="str">
        <f>IFERROR(VLOOKUP(Tablo518[[#This Row],[BOYA KODU]],Tablo14[#All],4,0)," ")</f>
        <v>T.PEMBE</v>
      </c>
      <c r="L12" s="100">
        <f>IFERROR(VLOOKUP(Tablo518[[#This Row],[BOYA KODU]],Tablo14[#All],6,0)," ")</f>
        <v>2E-3</v>
      </c>
      <c r="M12" s="100">
        <f t="shared" si="0"/>
        <v>21.667200000000001</v>
      </c>
      <c r="N12" s="100" t="str">
        <f>IFERROR(VLOOKUP(Tablo518[[#This Row],[ÜRÜN KODU]],YMKODLARI!$A$1:$K$363,8,0)," ")</f>
        <v>HM 002</v>
      </c>
      <c r="O12" s="100" t="str">
        <f>IFERROR(VLOOKUP(Tablo518[[#This Row],[HAMMADDE KODU]],Tablo1[#All],3,0)," ")</f>
        <v>NOVAREX</v>
      </c>
      <c r="P12" s="100" t="str">
        <f>IFERROR(VLOOKUP(Tablo518[[#This Row],[HAMMADDE KODU]],Tablo1[#All],4,0)," ")</f>
        <v>PİNHAS</v>
      </c>
      <c r="Q12" s="100">
        <f>IFERROR(VLOOKUP(Tablo518[[#This Row],[ÜRÜN KODU]],YMKODLARI!$A$1:$K$363,5,0)," ")</f>
        <v>29.6</v>
      </c>
      <c r="R12" s="100">
        <f>IFERROR(VLOOKUP(Tablo518[[#This Row],[ÜRÜN KODU]],YMKODLARI!$A$1:$K$363,6,0)," ")</f>
        <v>28.6</v>
      </c>
      <c r="S12" s="100">
        <f>IFERROR(Tablo518[[#This Row],[YOLLUK HARİÇ BASKI GRAMI]]/Tablo518[[#This Row],[KALIP GÖZ ADEDİ]]," ")</f>
        <v>3.5750000000000002</v>
      </c>
      <c r="T12" s="100">
        <f t="shared" si="2"/>
        <v>1</v>
      </c>
      <c r="U12" s="100">
        <v>0.2</v>
      </c>
      <c r="V12" s="100">
        <f t="shared" si="1"/>
        <v>10.6676</v>
      </c>
      <c r="W12" s="101">
        <f t="shared" si="3"/>
        <v>24.104166666666668</v>
      </c>
      <c r="X12" s="102">
        <f>IFERROR((W12-INT(W12))*24," ")</f>
        <v>2.5000000000000284</v>
      </c>
      <c r="Y12" s="100">
        <f t="shared" si="5"/>
        <v>2.1349999999999998</v>
      </c>
      <c r="Z12" s="100">
        <f t="shared" si="6"/>
        <v>2928</v>
      </c>
    </row>
    <row r="13" spans="1:26">
      <c r="A13" s="108" t="s">
        <v>125</v>
      </c>
      <c r="B13" s="108" t="str">
        <f>IFERROR(VLOOKUP(Tablo518[[#This Row],[ÜRÜN KODU]],YMKODLARI!$A$1:$K$363,2,0)," ")</f>
        <v>DAMAK EMZİK GÖVDE</v>
      </c>
      <c r="C13" s="99">
        <v>43846</v>
      </c>
      <c r="D13" s="100" t="s">
        <v>36</v>
      </c>
      <c r="E13" s="101">
        <v>0.4513888888888889</v>
      </c>
      <c r="F13" s="101">
        <v>0.54166666666666663</v>
      </c>
      <c r="G13" s="100">
        <f>IFERROR(VLOOKUP(Tablo518[[#This Row],[ÜRÜN KODU]],YMKODLARI!$A$1:$K$363,3,0)," ")</f>
        <v>8</v>
      </c>
      <c r="H13" s="100">
        <f>IFERROR(VLOOKUP(Tablo518[[#This Row],[ÜRÜN KODU]],YMKODLARI!$A$1:$K$363,4,0)," ")</f>
        <v>21</v>
      </c>
      <c r="I13" s="100">
        <v>467</v>
      </c>
      <c r="J13" s="100">
        <f>IFERROR(VLOOKUP(Tablo518[[#This Row],[ÜRÜN KODU]],YMKODLARI!$A$1:$K$363,9,0)," ")</f>
        <v>1045</v>
      </c>
      <c r="K13" s="100" t="str">
        <f>IFERROR(VLOOKUP(Tablo518[[#This Row],[BOYA KODU]],Tablo14[#All],4,0)," ")</f>
        <v>T.SARI</v>
      </c>
      <c r="L13" s="100">
        <f>IFERROR(VLOOKUP(Tablo518[[#This Row],[BOYA KODU]],Tablo14[#All],6,0)," ")</f>
        <v>2E-3</v>
      </c>
      <c r="M13" s="100">
        <f t="shared" si="0"/>
        <v>27.646400000000003</v>
      </c>
      <c r="N13" s="100" t="str">
        <f>IFERROR(VLOOKUP(Tablo518[[#This Row],[ÜRÜN KODU]],YMKODLARI!$A$1:$K$363,8,0)," ")</f>
        <v>HM 002</v>
      </c>
      <c r="O13" s="100" t="str">
        <f>IFERROR(VLOOKUP(Tablo518[[#This Row],[HAMMADDE KODU]],Tablo1[#All],3,0)," ")</f>
        <v>NOVAREX</v>
      </c>
      <c r="P13" s="100" t="str">
        <f>IFERROR(VLOOKUP(Tablo518[[#This Row],[HAMMADDE KODU]],Tablo1[#All],4,0)," ")</f>
        <v>PİNHAS</v>
      </c>
      <c r="Q13" s="100">
        <f>IFERROR(VLOOKUP(Tablo518[[#This Row],[ÜRÜN KODU]],YMKODLARI!$A$1:$K$363,5,0)," ")</f>
        <v>29.6</v>
      </c>
      <c r="R13" s="100">
        <f>IFERROR(VLOOKUP(Tablo518[[#This Row],[ÜRÜN KODU]],YMKODLARI!$A$1:$K$363,6,0)," ")</f>
        <v>28.6</v>
      </c>
      <c r="S13" s="100">
        <f>IFERROR(Tablo518[[#This Row],[YOLLUK HARİÇ BASKI GRAMI]]/Tablo518[[#This Row],[KALIP GÖZ ADEDİ]]," ")</f>
        <v>3.5750000000000002</v>
      </c>
      <c r="T13" s="100">
        <f t="shared" si="2"/>
        <v>1</v>
      </c>
      <c r="U13" s="100">
        <v>2.4</v>
      </c>
      <c r="V13" s="100">
        <f t="shared" si="1"/>
        <v>15.756200000000002</v>
      </c>
      <c r="W13" s="101">
        <f t="shared" si="3"/>
        <v>24.090277777777779</v>
      </c>
      <c r="X13" s="102">
        <f t="shared" si="4"/>
        <v>2.1666666666666856</v>
      </c>
      <c r="Y13" s="100">
        <f t="shared" si="5"/>
        <v>2.7241666666666666</v>
      </c>
      <c r="Z13" s="100">
        <f t="shared" si="6"/>
        <v>3736</v>
      </c>
    </row>
    <row r="14" spans="1:26">
      <c r="A14" s="108" t="s">
        <v>124</v>
      </c>
      <c r="B14" s="108" t="str">
        <f>IFERROR(VLOOKUP(Tablo518[[#This Row],[ÜRÜN KODU]],YMKODLARI!$A$1:$K$363,2,0)," ")</f>
        <v>DAMAK EMZİK GÖVDE</v>
      </c>
      <c r="C14" s="99">
        <v>43846</v>
      </c>
      <c r="D14" s="100" t="s">
        <v>36</v>
      </c>
      <c r="E14" s="101">
        <v>0.58680555555555558</v>
      </c>
      <c r="F14" s="101">
        <v>0.625</v>
      </c>
      <c r="G14" s="100">
        <f>IFERROR(VLOOKUP(Tablo518[[#This Row],[ÜRÜN KODU]],YMKODLARI!$A$1:$K$363,3,0)," ")</f>
        <v>8</v>
      </c>
      <c r="H14" s="100">
        <f>IFERROR(VLOOKUP(Tablo518[[#This Row],[ÜRÜN KODU]],YMKODLARI!$A$1:$K$363,4,0)," ")</f>
        <v>21</v>
      </c>
      <c r="I14" s="100">
        <v>140</v>
      </c>
      <c r="J14" s="100" t="str">
        <f>IFERROR(VLOOKUP(Tablo518[[#This Row],[ÜRÜN KODU]],YMKODLARI!$A$1:$K$363,9,0)," ")</f>
        <v>5139C</v>
      </c>
      <c r="K14" s="100" t="str">
        <f>IFERROR(VLOOKUP(Tablo518[[#This Row],[BOYA KODU]],Tablo14[#All],4,0)," ")</f>
        <v>T.MAVİ</v>
      </c>
      <c r="L14" s="100">
        <f>IFERROR(VLOOKUP(Tablo518[[#This Row],[BOYA KODU]],Tablo14[#All],6,0)," ")</f>
        <v>1E-3</v>
      </c>
      <c r="M14" s="100">
        <f t="shared" si="0"/>
        <v>4.1440000000000001</v>
      </c>
      <c r="N14" s="100" t="str">
        <f>IFERROR(VLOOKUP(Tablo518[[#This Row],[ÜRÜN KODU]],YMKODLARI!$A$1:$K$363,8,0)," ")</f>
        <v>HM 002</v>
      </c>
      <c r="O14" s="100" t="str">
        <f>IFERROR(VLOOKUP(Tablo518[[#This Row],[HAMMADDE KODU]],Tablo1[#All],3,0)," ")</f>
        <v>NOVAREX</v>
      </c>
      <c r="P14" s="100" t="str">
        <f>IFERROR(VLOOKUP(Tablo518[[#This Row],[HAMMADDE KODU]],Tablo1[#All],4,0)," ")</f>
        <v>PİNHAS</v>
      </c>
      <c r="Q14" s="100">
        <f>IFERROR(VLOOKUP(Tablo518[[#This Row],[ÜRÜN KODU]],YMKODLARI!$A$1:$K$363,5,0)," ")</f>
        <v>29.6</v>
      </c>
      <c r="R14" s="100">
        <f>IFERROR(VLOOKUP(Tablo518[[#This Row],[ÜRÜN KODU]],YMKODLARI!$A$1:$K$363,6,0)," ")</f>
        <v>28.6</v>
      </c>
      <c r="S14" s="100">
        <f>IFERROR(Tablo518[[#This Row],[YOLLUK HARİÇ BASKI GRAMI]]/Tablo518[[#This Row],[KALIP GÖZ ADEDİ]]," ")</f>
        <v>3.5750000000000002</v>
      </c>
      <c r="T14" s="100">
        <f t="shared" si="2"/>
        <v>1</v>
      </c>
      <c r="U14" s="100">
        <v>0.7</v>
      </c>
      <c r="V14" s="100">
        <f t="shared" si="1"/>
        <v>4.7039999999999997</v>
      </c>
      <c r="W14" s="101">
        <f t="shared" si="3"/>
        <v>24.038194444444443</v>
      </c>
      <c r="X14" s="102">
        <f t="shared" si="4"/>
        <v>0.91666666666662877</v>
      </c>
      <c r="Y14" s="100">
        <f t="shared" si="5"/>
        <v>0.81666666666666665</v>
      </c>
      <c r="Z14" s="100">
        <f t="shared" si="6"/>
        <v>1120</v>
      </c>
    </row>
    <row r="15" spans="1:26">
      <c r="A15" s="108" t="s">
        <v>129</v>
      </c>
      <c r="B15" s="108" t="str">
        <f>IFERROR(VLOOKUP(Tablo518[[#This Row],[ÜRÜN KODU]],YMKODLARI!$A$1:$K$363,2,0)," ")</f>
        <v>DAMAK EMZİK TIPA</v>
      </c>
      <c r="C15" s="99">
        <v>43847</v>
      </c>
      <c r="D15" s="100" t="s">
        <v>37</v>
      </c>
      <c r="E15" s="101">
        <v>0.35416666666666669</v>
      </c>
      <c r="F15" s="101">
        <v>0.62847222222222221</v>
      </c>
      <c r="G15" s="100">
        <f>IFERROR(VLOOKUP(Tablo518[[#This Row],[ÜRÜN KODU]],YMKODLARI!$A$1:$K$363,3,0)," ")</f>
        <v>8</v>
      </c>
      <c r="H15" s="100">
        <f>IFERROR(VLOOKUP(Tablo518[[#This Row],[ÜRÜN KODU]],YMKODLARI!$A$1:$K$363,4,0)," ")</f>
        <v>20</v>
      </c>
      <c r="I15" s="100">
        <v>874</v>
      </c>
      <c r="J15" s="100" t="str">
        <f>IFERROR(VLOOKUP(Tablo518[[#This Row],[ÜRÜN KODU]],YMKODLARI!$A$1:$K$363,9,0)," ")</f>
        <v>5249A</v>
      </c>
      <c r="K15" s="100" t="str">
        <f>IFERROR(VLOOKUP(Tablo518[[#This Row],[BOYA KODU]],Tablo14[#All],4,0)," ")</f>
        <v>MAVİ</v>
      </c>
      <c r="L15" s="100">
        <f>IFERROR(VLOOKUP(Tablo518[[#This Row],[BOYA KODU]],Tablo14[#All],6,0)," ")</f>
        <v>5.0000000000000001E-3</v>
      </c>
      <c r="M15" s="100">
        <f t="shared" si="0"/>
        <v>75.164000000000001</v>
      </c>
      <c r="N15" s="100" t="str">
        <f>IFERROR(VLOOKUP(Tablo518[[#This Row],[ÜRÜN KODU]],YMKODLARI!$A$1:$K$363,8,0)," ")</f>
        <v>HM 002</v>
      </c>
      <c r="O15" s="100" t="str">
        <f>IFERROR(VLOOKUP(Tablo518[[#This Row],[HAMMADDE KODU]],Tablo1[#All],3,0)," ")</f>
        <v>NOVAREX</v>
      </c>
      <c r="P15" s="100" t="str">
        <f>IFERROR(VLOOKUP(Tablo518[[#This Row],[HAMMADDE KODU]],Tablo1[#All],4,0)," ")</f>
        <v>PİNHAS</v>
      </c>
      <c r="Q15" s="100">
        <f>IFERROR(VLOOKUP(Tablo518[[#This Row],[ÜRÜN KODU]],YMKODLARI!$A$1:$K$363,5,0)," ")</f>
        <v>17.2</v>
      </c>
      <c r="R15" s="100">
        <f>IFERROR(VLOOKUP(Tablo518[[#This Row],[ÜRÜN KODU]],YMKODLARI!$A$1:$K$363,6,0)," ")</f>
        <v>15.4</v>
      </c>
      <c r="S15" s="100">
        <f>IFERROR(Tablo518[[#This Row],[YOLLUK HARİÇ BASKI GRAMI]]/Tablo518[[#This Row],[KALIP GÖZ ADEDİ]]," ")</f>
        <v>1.925</v>
      </c>
      <c r="T15" s="100">
        <f t="shared" si="2"/>
        <v>1.7999999999999989</v>
      </c>
      <c r="U15" s="100">
        <v>1</v>
      </c>
      <c r="V15" s="100">
        <f t="shared" si="1"/>
        <v>14.4596</v>
      </c>
      <c r="W15" s="101">
        <f t="shared" si="3"/>
        <v>24.274305555555557</v>
      </c>
      <c r="X15" s="102">
        <f t="shared" si="4"/>
        <v>6.5833333333333712</v>
      </c>
      <c r="Y15" s="100">
        <f t="shared" si="5"/>
        <v>4.8555555555555552</v>
      </c>
      <c r="Z15" s="100">
        <f t="shared" si="6"/>
        <v>6992</v>
      </c>
    </row>
    <row r="16" spans="1:26">
      <c r="A16" s="108" t="s">
        <v>130</v>
      </c>
      <c r="B16" s="108" t="str">
        <f>IFERROR(VLOOKUP(Tablo518[[#This Row],[ÜRÜN KODU]],YMKODLARI!$A$1:$K$363,2,0)," ")</f>
        <v>DAMAK EMZİK TIPA</v>
      </c>
      <c r="C16" s="99">
        <v>43847</v>
      </c>
      <c r="D16" s="100" t="s">
        <v>37</v>
      </c>
      <c r="E16" s="101">
        <v>0.67361111111111116</v>
      </c>
      <c r="F16" s="101">
        <v>0.75</v>
      </c>
      <c r="G16" s="100">
        <f>IFERROR(VLOOKUP(Tablo518[[#This Row],[ÜRÜN KODU]],YMKODLARI!$A$1:$K$363,3,0)," ")</f>
        <v>8</v>
      </c>
      <c r="H16" s="100">
        <f>IFERROR(VLOOKUP(Tablo518[[#This Row],[ÜRÜN KODU]],YMKODLARI!$A$1:$K$363,4,0)," ")</f>
        <v>20</v>
      </c>
      <c r="I16" s="100">
        <v>296</v>
      </c>
      <c r="J16" s="100">
        <f>IFERROR(VLOOKUP(Tablo518[[#This Row],[ÜRÜN KODU]],YMKODLARI!$A$1:$K$363,9,0)," ")</f>
        <v>3332</v>
      </c>
      <c r="K16" s="100" t="str">
        <f>IFERROR(VLOOKUP(Tablo518[[#This Row],[BOYA KODU]],Tablo14[#All],4,0)," ")</f>
        <v>E.PEMBE</v>
      </c>
      <c r="L16" s="100">
        <f>IFERROR(VLOOKUP(Tablo518[[#This Row],[BOYA KODU]],Tablo14[#All],6,0)," ")</f>
        <v>5.0000000000000001E-3</v>
      </c>
      <c r="M16" s="100">
        <f t="shared" si="0"/>
        <v>25.456</v>
      </c>
      <c r="N16" s="100" t="str">
        <f>IFERROR(VLOOKUP(Tablo518[[#This Row],[ÜRÜN KODU]],YMKODLARI!$A$1:$K$363,8,0)," ")</f>
        <v>HM 002</v>
      </c>
      <c r="O16" s="100" t="str">
        <f>IFERROR(VLOOKUP(Tablo518[[#This Row],[HAMMADDE KODU]],Tablo1[#All],3,0)," ")</f>
        <v>NOVAREX</v>
      </c>
      <c r="P16" s="100" t="str">
        <f>IFERROR(VLOOKUP(Tablo518[[#This Row],[HAMMADDE KODU]],Tablo1[#All],4,0)," ")</f>
        <v>PİNHAS</v>
      </c>
      <c r="Q16" s="100">
        <f>IFERROR(VLOOKUP(Tablo518[[#This Row],[ÜRÜN KODU]],YMKODLARI!$A$1:$K$363,5,0)," ")</f>
        <v>17.2</v>
      </c>
      <c r="R16" s="100">
        <f>IFERROR(VLOOKUP(Tablo518[[#This Row],[ÜRÜN KODU]],YMKODLARI!$A$1:$K$363,6,0)," ")</f>
        <v>15.4</v>
      </c>
      <c r="S16" s="100">
        <f>IFERROR(Tablo518[[#This Row],[YOLLUK HARİÇ BASKI GRAMI]]/Tablo518[[#This Row],[KALIP GÖZ ADEDİ]]," ")</f>
        <v>1.925</v>
      </c>
      <c r="T16" s="100">
        <f t="shared" si="2"/>
        <v>1.7999999999999989</v>
      </c>
      <c r="U16" s="100">
        <v>2.6</v>
      </c>
      <c r="V16" s="100">
        <f t="shared" si="1"/>
        <v>7.1584000000000003</v>
      </c>
      <c r="W16" s="101">
        <f t="shared" si="3"/>
        <v>24.076388888888889</v>
      </c>
      <c r="X16" s="102">
        <f t="shared" si="4"/>
        <v>1.8333333333333428</v>
      </c>
      <c r="Y16" s="100">
        <f t="shared" si="5"/>
        <v>1.6444444444444444</v>
      </c>
      <c r="Z16" s="100">
        <f t="shared" si="6"/>
        <v>2368</v>
      </c>
    </row>
    <row r="17" spans="1:26">
      <c r="A17" s="108" t="s">
        <v>130</v>
      </c>
      <c r="B17" s="108" t="str">
        <f>IFERROR(VLOOKUP(Tablo518[[#This Row],[ÜRÜN KODU]],YMKODLARI!$A$1:$K$363,2,0)," ")</f>
        <v>DAMAK EMZİK TIPA</v>
      </c>
      <c r="C17" s="99">
        <v>43850</v>
      </c>
      <c r="D17" s="100" t="s">
        <v>37</v>
      </c>
      <c r="E17" s="101">
        <v>0.41666666666666669</v>
      </c>
      <c r="F17" s="101">
        <v>0.45833333333333331</v>
      </c>
      <c r="G17" s="100">
        <f>IFERROR(VLOOKUP(Tablo518[[#This Row],[ÜRÜN KODU]],YMKODLARI!$A$1:$K$363,3,0)," ")</f>
        <v>8</v>
      </c>
      <c r="H17" s="100">
        <f>IFERROR(VLOOKUP(Tablo518[[#This Row],[ÜRÜN KODU]],YMKODLARI!$A$1:$K$363,4,0)," ")</f>
        <v>20</v>
      </c>
      <c r="I17" s="100">
        <v>180</v>
      </c>
      <c r="J17" s="100">
        <f>IFERROR(VLOOKUP(Tablo518[[#This Row],[ÜRÜN KODU]],YMKODLARI!$A$1:$K$363,9,0)," ")</f>
        <v>3332</v>
      </c>
      <c r="K17" s="100" t="str">
        <f>IFERROR(VLOOKUP(Tablo518[[#This Row],[BOYA KODU]],Tablo14[#All],4,0)," ")</f>
        <v>E.PEMBE</v>
      </c>
      <c r="L17" s="100">
        <f>IFERROR(VLOOKUP(Tablo518[[#This Row],[BOYA KODU]],Tablo14[#All],6,0)," ")</f>
        <v>5.0000000000000001E-3</v>
      </c>
      <c r="M17" s="100">
        <f t="shared" si="0"/>
        <v>15.48</v>
      </c>
      <c r="N17" s="100" t="str">
        <f>IFERROR(VLOOKUP(Tablo518[[#This Row],[ÜRÜN KODU]],YMKODLARI!$A$1:$K$363,8,0)," ")</f>
        <v>HM 002</v>
      </c>
      <c r="O17" s="100" t="str">
        <f>IFERROR(VLOOKUP(Tablo518[[#This Row],[HAMMADDE KODU]],Tablo1[#All],3,0)," ")</f>
        <v>NOVAREX</v>
      </c>
      <c r="P17" s="100" t="str">
        <f>IFERROR(VLOOKUP(Tablo518[[#This Row],[HAMMADDE KODU]],Tablo1[#All],4,0)," ")</f>
        <v>PİNHAS</v>
      </c>
      <c r="Q17" s="100">
        <f>IFERROR(VLOOKUP(Tablo518[[#This Row],[ÜRÜN KODU]],YMKODLARI!$A$1:$K$363,5,0)," ")</f>
        <v>17.2</v>
      </c>
      <c r="R17" s="100">
        <f>IFERROR(VLOOKUP(Tablo518[[#This Row],[ÜRÜN KODU]],YMKODLARI!$A$1:$K$363,6,0)," ")</f>
        <v>15.4</v>
      </c>
      <c r="S17" s="100">
        <f>IFERROR(Tablo518[[#This Row],[YOLLUK HARİÇ BASKI GRAMI]]/Tablo518[[#This Row],[KALIP GÖZ ADEDİ]]," ")</f>
        <v>1.925</v>
      </c>
      <c r="T17" s="100">
        <f t="shared" si="2"/>
        <v>1.7999999999999989</v>
      </c>
      <c r="U17" s="100">
        <v>4</v>
      </c>
      <c r="V17" s="100">
        <f t="shared" si="1"/>
        <v>6.7720000000000002</v>
      </c>
      <c r="W17" s="101">
        <f t="shared" si="3"/>
        <v>24.041666666666668</v>
      </c>
      <c r="X17" s="102">
        <f t="shared" si="4"/>
        <v>1.0000000000000284</v>
      </c>
      <c r="Y17" s="100">
        <f t="shared" si="5"/>
        <v>1</v>
      </c>
      <c r="Z17" s="100">
        <f t="shared" si="6"/>
        <v>1440</v>
      </c>
    </row>
    <row r="18" spans="1:26">
      <c r="A18" s="108" t="s">
        <v>131</v>
      </c>
      <c r="B18" s="108" t="str">
        <f>IFERROR(VLOOKUP(Tablo518[[#This Row],[ÜRÜN KODU]],YMKODLARI!$A$1:$K$363,2,0)," ")</f>
        <v>DAMAK EMZİK TIPA</v>
      </c>
      <c r="C18" s="99">
        <v>43850</v>
      </c>
      <c r="D18" s="100" t="s">
        <v>37</v>
      </c>
      <c r="E18" s="101">
        <v>0.47222222222222227</v>
      </c>
      <c r="F18" s="101">
        <v>0.625</v>
      </c>
      <c r="G18" s="100">
        <f>IFERROR(VLOOKUP(Tablo518[[#This Row],[ÜRÜN KODU]],YMKODLARI!$A$1:$K$363,3,0)," ")</f>
        <v>8</v>
      </c>
      <c r="H18" s="100">
        <f>IFERROR(VLOOKUP(Tablo518[[#This Row],[ÜRÜN KODU]],YMKODLARI!$A$1:$K$363,4,0)," ")</f>
        <v>20</v>
      </c>
      <c r="I18" s="100">
        <v>262</v>
      </c>
      <c r="J18" s="100">
        <f>IFERROR(VLOOKUP(Tablo518[[#This Row],[ÜRÜN KODU]],YMKODLARI!$A$1:$K$363,9,0)," ")</f>
        <v>1289</v>
      </c>
      <c r="K18" s="100" t="str">
        <f>IFERROR(VLOOKUP(Tablo518[[#This Row],[BOYA KODU]],Tablo14[#All],4,0)," ")</f>
        <v>SARI</v>
      </c>
      <c r="L18" s="100">
        <f>IFERROR(VLOOKUP(Tablo518[[#This Row],[BOYA KODU]],Tablo14[#All],6,0)," ")</f>
        <v>5.0000000000000001E-3</v>
      </c>
      <c r="M18" s="100">
        <f t="shared" si="0"/>
        <v>22.532</v>
      </c>
      <c r="N18" s="100" t="str">
        <f>IFERROR(VLOOKUP(Tablo518[[#This Row],[ÜRÜN KODU]],YMKODLARI!$A$1:$K$363,8,0)," ")</f>
        <v>HM 002</v>
      </c>
      <c r="O18" s="100" t="str">
        <f>IFERROR(VLOOKUP(Tablo518[[#This Row],[HAMMADDE KODU]],Tablo1[#All],3,0)," ")</f>
        <v>NOVAREX</v>
      </c>
      <c r="P18" s="100" t="str">
        <f>IFERROR(VLOOKUP(Tablo518[[#This Row],[HAMMADDE KODU]],Tablo1[#All],4,0)," ")</f>
        <v>PİNHAS</v>
      </c>
      <c r="Q18" s="100">
        <f>IFERROR(VLOOKUP(Tablo518[[#This Row],[ÜRÜN KODU]],YMKODLARI!$A$1:$K$363,5,0)," ")</f>
        <v>17.2</v>
      </c>
      <c r="R18" s="100">
        <f>IFERROR(VLOOKUP(Tablo518[[#This Row],[ÜRÜN KODU]],YMKODLARI!$A$1:$K$363,6,0)," ")</f>
        <v>15.4</v>
      </c>
      <c r="S18" s="100">
        <f>IFERROR(Tablo518[[#This Row],[YOLLUK HARİÇ BASKI GRAMI]]/Tablo518[[#This Row],[KALIP GÖZ ADEDİ]]," ")</f>
        <v>1.925</v>
      </c>
      <c r="T18" s="100">
        <f t="shared" si="2"/>
        <v>1.7999999999999989</v>
      </c>
      <c r="U18" s="100">
        <v>2</v>
      </c>
      <c r="V18" s="100">
        <f t="shared" si="1"/>
        <v>6.0348000000000006</v>
      </c>
      <c r="W18" s="101">
        <f t="shared" si="3"/>
        <v>24.152777777777779</v>
      </c>
      <c r="X18" s="102">
        <f t="shared" si="4"/>
        <v>3.6666666666666856</v>
      </c>
      <c r="Y18" s="100">
        <f t="shared" si="5"/>
        <v>1.4555555555555555</v>
      </c>
      <c r="Z18" s="100">
        <f t="shared" si="6"/>
        <v>2096</v>
      </c>
    </row>
    <row r="19" spans="1:26">
      <c r="A19" s="108" t="s">
        <v>132</v>
      </c>
      <c r="B19" s="108" t="str">
        <f>IFERROR(VLOOKUP(Tablo518[[#This Row],[ÜRÜN KODU]],YMKODLARI!$A$1:$K$363,2,0)," ")</f>
        <v>KİRAZ EMZİK TIPA</v>
      </c>
      <c r="C19" s="99">
        <v>43882</v>
      </c>
      <c r="D19" s="100" t="s">
        <v>37</v>
      </c>
      <c r="E19" s="101">
        <v>0.375</v>
      </c>
      <c r="F19" s="101">
        <v>0.5</v>
      </c>
      <c r="G19" s="100">
        <f>IFERROR(VLOOKUP(Tablo518[[#This Row],[ÜRÜN KODU]],YMKODLARI!$A$1:$K$363,3,0)," ")</f>
        <v>8</v>
      </c>
      <c r="H19" s="100">
        <f>IFERROR(VLOOKUP(Tablo518[[#This Row],[ÜRÜN KODU]],YMKODLARI!$A$1:$K$363,4,0)," ")</f>
        <v>23</v>
      </c>
      <c r="I19" s="100">
        <v>566</v>
      </c>
      <c r="J19" s="100">
        <f>IFERROR(VLOOKUP(Tablo518[[#This Row],[ÜRÜN KODU]],YMKODLARI!$A$1:$K$363,9,0)," ")</f>
        <v>6192</v>
      </c>
      <c r="K19" s="100" t="str">
        <f>IFERROR(VLOOKUP(Tablo518[[#This Row],[BOYA KODU]],Tablo14[#All],4,0)," ")</f>
        <v>YEŞİL</v>
      </c>
      <c r="L19" s="100">
        <f>IFERROR(VLOOKUP(Tablo518[[#This Row],[BOYA KODU]],Tablo14[#All],6,0)," ")</f>
        <v>5.0000000000000001E-3</v>
      </c>
      <c r="M19" s="100">
        <f t="shared" si="0"/>
        <v>55.185000000000002</v>
      </c>
      <c r="N19" s="100" t="str">
        <f>IFERROR(VLOOKUP(Tablo518[[#This Row],[ÜRÜN KODU]],YMKODLARI!$A$1:$K$363,8,0)," ")</f>
        <v>HM 002</v>
      </c>
      <c r="O19" s="100" t="str">
        <f>IFERROR(VLOOKUP(Tablo518[[#This Row],[HAMMADDE KODU]],Tablo1[#All],3,0)," ")</f>
        <v>NOVAREX</v>
      </c>
      <c r="P19" s="100" t="str">
        <f>IFERROR(VLOOKUP(Tablo518[[#This Row],[HAMMADDE KODU]],Tablo1[#All],4,0)," ")</f>
        <v>PİNHAS</v>
      </c>
      <c r="Q19" s="100">
        <f>IFERROR(VLOOKUP(Tablo518[[#This Row],[ÜRÜN KODU]],YMKODLARI!$A$1:$K$363,5,0)," ")</f>
        <v>19.5</v>
      </c>
      <c r="R19" s="100">
        <f>IFERROR(VLOOKUP(Tablo518[[#This Row],[ÜRÜN KODU]],YMKODLARI!$A$1:$K$363,6,0)," ")</f>
        <v>18.2</v>
      </c>
      <c r="S19" s="100">
        <f>IFERROR(Tablo518[[#This Row],[YOLLUK HARİÇ BASKI GRAMI]]/Tablo518[[#This Row],[KALIP GÖZ ADEDİ]]," ")</f>
        <v>2.2749999999999999</v>
      </c>
      <c r="T19" s="100">
        <f t="shared" si="2"/>
        <v>1.3000000000000007</v>
      </c>
      <c r="U19" s="100">
        <v>3</v>
      </c>
      <c r="V19" s="100">
        <f t="shared" si="1"/>
        <v>13.3012</v>
      </c>
      <c r="W19" s="101">
        <f t="shared" si="3"/>
        <v>24.125</v>
      </c>
      <c r="X19" s="102">
        <f t="shared" si="4"/>
        <v>3</v>
      </c>
      <c r="Y19" s="100">
        <f t="shared" si="5"/>
        <v>3.6161111111111111</v>
      </c>
      <c r="Z19" s="100">
        <f t="shared" si="6"/>
        <v>4528</v>
      </c>
    </row>
    <row r="20" spans="1:26">
      <c r="A20" s="108" t="s">
        <v>133</v>
      </c>
      <c r="B20" s="108" t="str">
        <f>IFERROR(VLOOKUP(Tablo518[[#This Row],[ÜRÜN KODU]],YMKODLARI!$A$1:$K$363,2,0)," ")</f>
        <v>KİRAZ EMZİK TIPA</v>
      </c>
      <c r="C20" s="99">
        <v>43882</v>
      </c>
      <c r="D20" s="100" t="s">
        <v>37</v>
      </c>
      <c r="E20" s="101">
        <v>0.53125</v>
      </c>
      <c r="F20" s="101">
        <v>0.72222222222222221</v>
      </c>
      <c r="G20" s="100">
        <f>IFERROR(VLOOKUP(Tablo518[[#This Row],[ÜRÜN KODU]],YMKODLARI!$A$1:$K$363,3,0)," ")</f>
        <v>8</v>
      </c>
      <c r="H20" s="100">
        <f>IFERROR(VLOOKUP(Tablo518[[#This Row],[ÜRÜN KODU]],YMKODLARI!$A$1:$K$363,4,0)," ")</f>
        <v>23</v>
      </c>
      <c r="I20" s="100">
        <v>545</v>
      </c>
      <c r="J20" s="100">
        <f>IFERROR(VLOOKUP(Tablo518[[#This Row],[ÜRÜN KODU]],YMKODLARI!$A$1:$K$363,9,0)," ")</f>
        <v>3332</v>
      </c>
      <c r="K20" s="100" t="str">
        <f>IFERROR(VLOOKUP(Tablo518[[#This Row],[BOYA KODU]],Tablo14[#All],4,0)," ")</f>
        <v>E.PEMBE</v>
      </c>
      <c r="L20" s="100">
        <f>IFERROR(VLOOKUP(Tablo518[[#This Row],[BOYA KODU]],Tablo14[#All],6,0)," ")</f>
        <v>5.0000000000000001E-3</v>
      </c>
      <c r="M20" s="100">
        <f t="shared" si="0"/>
        <v>53.137500000000003</v>
      </c>
      <c r="N20" s="100" t="str">
        <f>IFERROR(VLOOKUP(Tablo518[[#This Row],[ÜRÜN KODU]],YMKODLARI!$A$1:$K$363,8,0)," ")</f>
        <v>HM 002</v>
      </c>
      <c r="O20" s="100" t="str">
        <f>IFERROR(VLOOKUP(Tablo518[[#This Row],[HAMMADDE KODU]],Tablo1[#All],3,0)," ")</f>
        <v>NOVAREX</v>
      </c>
      <c r="P20" s="100" t="str">
        <f>IFERROR(VLOOKUP(Tablo518[[#This Row],[HAMMADDE KODU]],Tablo1[#All],4,0)," ")</f>
        <v>PİNHAS</v>
      </c>
      <c r="Q20" s="100">
        <f>IFERROR(VLOOKUP(Tablo518[[#This Row],[ÜRÜN KODU]],YMKODLARI!$A$1:$K$363,5,0)," ")</f>
        <v>19.5</v>
      </c>
      <c r="R20" s="100">
        <f>IFERROR(VLOOKUP(Tablo518[[#This Row],[ÜRÜN KODU]],YMKODLARI!$A$1:$K$363,6,0)," ")</f>
        <v>18.2</v>
      </c>
      <c r="S20" s="100">
        <f>IFERROR(Tablo518[[#This Row],[YOLLUK HARİÇ BASKI GRAMI]]/Tablo518[[#This Row],[KALIP GÖZ ADEDİ]]," ")</f>
        <v>2.2749999999999999</v>
      </c>
      <c r="T20" s="100">
        <f t="shared" si="2"/>
        <v>1.3000000000000007</v>
      </c>
      <c r="U20" s="100">
        <v>9.1999999999999993</v>
      </c>
      <c r="V20" s="100">
        <f t="shared" si="1"/>
        <v>19.119</v>
      </c>
      <c r="W20" s="101">
        <f t="shared" si="3"/>
        <v>24.190972222222221</v>
      </c>
      <c r="X20" s="102">
        <f t="shared" si="4"/>
        <v>4.5833333333333144</v>
      </c>
      <c r="Y20" s="100">
        <f t="shared" si="5"/>
        <v>3.4819444444444443</v>
      </c>
      <c r="Z20" s="100">
        <f t="shared" si="6"/>
        <v>4360</v>
      </c>
    </row>
    <row r="21" spans="1:26">
      <c r="A21" s="108" t="s">
        <v>134</v>
      </c>
      <c r="B21" s="108" t="str">
        <f>IFERROR(VLOOKUP(Tablo518[[#This Row],[ÜRÜN KODU]],YMKODLARI!$A$1:$K$363,2,0)," ")</f>
        <v>KİRAZ EMZİK TIPA</v>
      </c>
      <c r="C21" s="99">
        <v>43882</v>
      </c>
      <c r="D21" s="100" t="s">
        <v>37</v>
      </c>
      <c r="E21" s="101">
        <v>0.72569444444444453</v>
      </c>
      <c r="F21" s="101">
        <v>0.75</v>
      </c>
      <c r="G21" s="100">
        <f>IFERROR(VLOOKUP(Tablo518[[#This Row],[ÜRÜN KODU]],YMKODLARI!$A$1:$K$363,3,0)," ")</f>
        <v>8</v>
      </c>
      <c r="H21" s="100">
        <f>IFERROR(VLOOKUP(Tablo518[[#This Row],[ÜRÜN KODU]],YMKODLARI!$A$1:$K$363,4,0)," ")</f>
        <v>23</v>
      </c>
      <c r="I21" s="100">
        <v>180</v>
      </c>
      <c r="J21" s="100">
        <f>IFERROR(VLOOKUP(Tablo518[[#This Row],[ÜRÜN KODU]],YMKODLARI!$A$1:$K$363,9,0)," ")</f>
        <v>4089</v>
      </c>
      <c r="K21" s="100" t="str">
        <f>IFERROR(VLOOKUP(Tablo518[[#This Row],[BOYA KODU]],Tablo14[#All],4,0)," ")</f>
        <v>LİLA</v>
      </c>
      <c r="L21" s="100">
        <f>IFERROR(VLOOKUP(Tablo518[[#This Row],[BOYA KODU]],Tablo14[#All],6,0)," ")</f>
        <v>5.0000000000000001E-3</v>
      </c>
      <c r="M21" s="100">
        <f t="shared" si="0"/>
        <v>17.55</v>
      </c>
      <c r="N21" s="100" t="str">
        <f>IFERROR(VLOOKUP(Tablo518[[#This Row],[ÜRÜN KODU]],YMKODLARI!$A$1:$K$363,8,0)," ")</f>
        <v>HM 002</v>
      </c>
      <c r="O21" s="100" t="str">
        <f>IFERROR(VLOOKUP(Tablo518[[#This Row],[HAMMADDE KODU]],Tablo1[#All],3,0)," ")</f>
        <v>NOVAREX</v>
      </c>
      <c r="P21" s="100" t="str">
        <f>IFERROR(VLOOKUP(Tablo518[[#This Row],[HAMMADDE KODU]],Tablo1[#All],4,0)," ")</f>
        <v>PİNHAS</v>
      </c>
      <c r="Q21" s="100">
        <f>IFERROR(VLOOKUP(Tablo518[[#This Row],[ÜRÜN KODU]],YMKODLARI!$A$1:$K$363,5,0)," ")</f>
        <v>19.5</v>
      </c>
      <c r="R21" s="100">
        <f>IFERROR(VLOOKUP(Tablo518[[#This Row],[ÜRÜN KODU]],YMKODLARI!$A$1:$K$363,6,0)," ")</f>
        <v>18.2</v>
      </c>
      <c r="S21" s="100">
        <f>IFERROR(Tablo518[[#This Row],[YOLLUK HARİÇ BASKI GRAMI]]/Tablo518[[#This Row],[KALIP GÖZ ADEDİ]]," ")</f>
        <v>2.2749999999999999</v>
      </c>
      <c r="T21" s="100">
        <f t="shared" si="2"/>
        <v>1.3000000000000007</v>
      </c>
      <c r="U21" s="100">
        <v>9</v>
      </c>
      <c r="V21" s="100">
        <f t="shared" si="1"/>
        <v>12.276</v>
      </c>
      <c r="W21" s="101">
        <f t="shared" si="3"/>
        <v>24.024305555555557</v>
      </c>
      <c r="X21" s="102">
        <f t="shared" si="4"/>
        <v>0.58333333333337123</v>
      </c>
      <c r="Y21" s="100">
        <f t="shared" si="5"/>
        <v>1.1499999999999999</v>
      </c>
      <c r="Z21" s="100">
        <f t="shared" si="6"/>
        <v>1440</v>
      </c>
    </row>
    <row r="22" spans="1:26">
      <c r="A22" s="108" t="s">
        <v>135</v>
      </c>
      <c r="B22" s="108" t="str">
        <f>IFERROR(VLOOKUP(Tablo518[[#This Row],[ÜRÜN KODU]],YMKODLARI!$A$1:$K$363,2,0)," ")</f>
        <v>KLASİK EMZİK GÖVDE</v>
      </c>
      <c r="C22" s="99">
        <v>43852</v>
      </c>
      <c r="D22" s="100" t="s">
        <v>37</v>
      </c>
      <c r="E22" s="101">
        <v>0.48958333333333331</v>
      </c>
      <c r="F22" s="101">
        <v>0.75</v>
      </c>
      <c r="G22" s="100">
        <f>IFERROR(VLOOKUP(Tablo518[[#This Row],[ÜRÜN KODU]],YMKODLARI!$A$1:$K$363,3,0)," ")</f>
        <v>8</v>
      </c>
      <c r="H22" s="100">
        <f>IFERROR(VLOOKUP(Tablo518[[#This Row],[ÜRÜN KODU]],YMKODLARI!$A$1:$K$363,4,0)," ")</f>
        <v>21</v>
      </c>
      <c r="I22" s="100">
        <v>645</v>
      </c>
      <c r="J22" s="100" t="str">
        <f>IFERROR(VLOOKUP(Tablo518[[#This Row],[ÜRÜN KODU]],YMKODLARI!$A$1:$K$363,9,0)," ")</f>
        <v>Şeffaf</v>
      </c>
      <c r="K22" s="100" t="str">
        <f>IFERROR(VLOOKUP(Tablo518[[#This Row],[BOYA KODU]],Tablo14[#All],4,0)," ")</f>
        <v xml:space="preserve"> </v>
      </c>
      <c r="L22" s="100" t="str">
        <f>IFERROR(VLOOKUP(Tablo518[[#This Row],[BOYA KODU]],Tablo14[#All],6,0)," ")</f>
        <v xml:space="preserve"> </v>
      </c>
      <c r="M22" s="100" t="str">
        <f t="shared" si="0"/>
        <v xml:space="preserve"> </v>
      </c>
      <c r="N22" s="100" t="str">
        <f>IFERROR(VLOOKUP(Tablo518[[#This Row],[ÜRÜN KODU]],YMKODLARI!$A$1:$K$363,8,0)," ")</f>
        <v>HM 002</v>
      </c>
      <c r="O22" s="100" t="str">
        <f>IFERROR(VLOOKUP(Tablo518[[#This Row],[HAMMADDE KODU]],Tablo1[#All],3,0)," ")</f>
        <v>NOVAREX</v>
      </c>
      <c r="P22" s="100" t="str">
        <f>IFERROR(VLOOKUP(Tablo518[[#This Row],[HAMMADDE KODU]],Tablo1[#All],4,0)," ")</f>
        <v>PİNHAS</v>
      </c>
      <c r="Q22" s="100">
        <f>IFERROR(VLOOKUP(Tablo518[[#This Row],[ÜRÜN KODU]],YMKODLARI!$A$1:$K$363,5,0)," ")</f>
        <v>31.4</v>
      </c>
      <c r="R22" s="100">
        <f>IFERROR(VLOOKUP(Tablo518[[#This Row],[ÜRÜN KODU]],YMKODLARI!$A$1:$K$363,6,0)," ")</f>
        <v>30.4</v>
      </c>
      <c r="S22" s="100">
        <f>IFERROR(Tablo518[[#This Row],[YOLLUK HARİÇ BASKI GRAMI]]/Tablo518[[#This Row],[KALIP GÖZ ADEDİ]]," ")</f>
        <v>3.8</v>
      </c>
      <c r="T22" s="100">
        <f t="shared" si="2"/>
        <v>1</v>
      </c>
      <c r="U22" s="100">
        <v>7</v>
      </c>
      <c r="V22" s="100">
        <f t="shared" si="1"/>
        <v>26.608000000000001</v>
      </c>
      <c r="W22" s="101">
        <f t="shared" si="3"/>
        <v>24.260416666666668</v>
      </c>
      <c r="X22" s="102">
        <f t="shared" si="4"/>
        <v>6.2500000000000284</v>
      </c>
      <c r="Y22" s="100">
        <f t="shared" si="5"/>
        <v>3.7625000000000002</v>
      </c>
      <c r="Z22" s="100">
        <f t="shared" si="6"/>
        <v>5160</v>
      </c>
    </row>
    <row r="23" spans="1:26">
      <c r="A23" s="108" t="s">
        <v>135</v>
      </c>
      <c r="B23" s="108" t="str">
        <f>IFERROR(VLOOKUP(Tablo518[[#This Row],[ÜRÜN KODU]],YMKODLARI!$A$1:$K$363,2,0)," ")</f>
        <v>KLASİK EMZİK GÖVDE</v>
      </c>
      <c r="C23" s="99">
        <v>43853</v>
      </c>
      <c r="D23" s="100" t="s">
        <v>37</v>
      </c>
      <c r="E23" s="101">
        <v>0.33333333333333331</v>
      </c>
      <c r="F23" s="101">
        <v>0.57291666666666663</v>
      </c>
      <c r="G23" s="100">
        <f>IFERROR(VLOOKUP(Tablo518[[#This Row],[ÜRÜN KODU]],YMKODLARI!$A$1:$K$363,3,0)," ")</f>
        <v>8</v>
      </c>
      <c r="H23" s="100">
        <f>IFERROR(VLOOKUP(Tablo518[[#This Row],[ÜRÜN KODU]],YMKODLARI!$A$1:$K$363,4,0)," ")</f>
        <v>21</v>
      </c>
      <c r="I23" s="100">
        <v>889</v>
      </c>
      <c r="J23" s="100" t="str">
        <f>IFERROR(VLOOKUP(Tablo518[[#This Row],[ÜRÜN KODU]],YMKODLARI!$A$1:$K$363,9,0)," ")</f>
        <v>Şeffaf</v>
      </c>
      <c r="K23" s="100" t="str">
        <f>IFERROR(VLOOKUP(Tablo518[[#This Row],[BOYA KODU]],Tablo14[#All],4,0)," ")</f>
        <v xml:space="preserve"> </v>
      </c>
      <c r="L23" s="100" t="str">
        <f>IFERROR(VLOOKUP(Tablo518[[#This Row],[BOYA KODU]],Tablo14[#All],6,0)," ")</f>
        <v xml:space="preserve"> </v>
      </c>
      <c r="M23" s="100" t="str">
        <f t="shared" si="0"/>
        <v xml:space="preserve"> </v>
      </c>
      <c r="N23" s="100" t="str">
        <f>IFERROR(VLOOKUP(Tablo518[[#This Row],[ÜRÜN KODU]],YMKODLARI!$A$1:$K$363,8,0)," ")</f>
        <v>HM 002</v>
      </c>
      <c r="O23" s="100" t="str">
        <f>IFERROR(VLOOKUP(Tablo518[[#This Row],[HAMMADDE KODU]],Tablo1[#All],3,0)," ")</f>
        <v>NOVAREX</v>
      </c>
      <c r="P23" s="100" t="str">
        <f>IFERROR(VLOOKUP(Tablo518[[#This Row],[HAMMADDE KODU]],Tablo1[#All],4,0)," ")</f>
        <v>PİNHAS</v>
      </c>
      <c r="Q23" s="100">
        <f>IFERROR(VLOOKUP(Tablo518[[#This Row],[ÜRÜN KODU]],YMKODLARI!$A$1:$K$363,5,0)," ")</f>
        <v>31.4</v>
      </c>
      <c r="R23" s="100">
        <f>IFERROR(VLOOKUP(Tablo518[[#This Row],[ÜRÜN KODU]],YMKODLARI!$A$1:$K$363,6,0)," ")</f>
        <v>30.4</v>
      </c>
      <c r="S23" s="100">
        <f>IFERROR(Tablo518[[#This Row],[YOLLUK HARİÇ BASKI GRAMI]]/Tablo518[[#This Row],[KALIP GÖZ ADEDİ]]," ")</f>
        <v>3.8</v>
      </c>
      <c r="T23" s="100">
        <f t="shared" si="2"/>
        <v>1</v>
      </c>
      <c r="U23" s="100">
        <v>1.4</v>
      </c>
      <c r="V23" s="100">
        <f t="shared" si="1"/>
        <v>28.425599999999996</v>
      </c>
      <c r="W23" s="101">
        <f t="shared" si="3"/>
        <v>24.239583333333332</v>
      </c>
      <c r="X23" s="102">
        <f t="shared" si="4"/>
        <v>5.7499999999999716</v>
      </c>
      <c r="Y23" s="100">
        <f t="shared" si="5"/>
        <v>5.1858333333333331</v>
      </c>
      <c r="Z23" s="100">
        <f t="shared" si="6"/>
        <v>7112</v>
      </c>
    </row>
    <row r="24" spans="1:26">
      <c r="A24" s="108" t="s">
        <v>136</v>
      </c>
      <c r="B24" s="108" t="str">
        <f>IFERROR(VLOOKUP(Tablo518[[#This Row],[ÜRÜN KODU]],YMKODLARI!$A$1:$K$363,2,0)," ")</f>
        <v>DAMAK EMZİK TIPA</v>
      </c>
      <c r="C24" s="99">
        <v>43854</v>
      </c>
      <c r="D24" s="100" t="s">
        <v>37</v>
      </c>
      <c r="E24" s="101">
        <v>0.5</v>
      </c>
      <c r="F24" s="101">
        <v>0.75</v>
      </c>
      <c r="G24" s="100">
        <f>IFERROR(VLOOKUP(Tablo518[[#This Row],[ÜRÜN KODU]],YMKODLARI!$A$1:$K$363,3,0)," ")</f>
        <v>8</v>
      </c>
      <c r="H24" s="100">
        <f>IFERROR(VLOOKUP(Tablo518[[#This Row],[ÜRÜN KODU]],YMKODLARI!$A$1:$K$363,4,0)," ")</f>
        <v>20</v>
      </c>
      <c r="I24" s="100">
        <v>1012</v>
      </c>
      <c r="J24" s="100" t="str">
        <f>IFERROR(VLOOKUP(Tablo518[[#This Row],[ÜRÜN KODU]],YMKODLARI!$A$1:$K$363,9,0)," ")</f>
        <v>9134A</v>
      </c>
      <c r="K24" s="100" t="str">
        <f>IFERROR(VLOOKUP(Tablo518[[#This Row],[BOYA KODU]],Tablo14[#All],4,0)," ")</f>
        <v>BEYAZ</v>
      </c>
      <c r="L24" s="100">
        <f>IFERROR(VLOOKUP(Tablo518[[#This Row],[BOYA KODU]],Tablo14[#All],6,0)," ")</f>
        <v>7.0000000000000001E-3</v>
      </c>
      <c r="M24" s="100">
        <f t="shared" si="0"/>
        <v>121.84479999999999</v>
      </c>
      <c r="N24" s="100" t="str">
        <f>IFERROR(VLOOKUP(Tablo518[[#This Row],[ÜRÜN KODU]],YMKODLARI!$A$1:$K$363,8,0)," ")</f>
        <v>HM 002</v>
      </c>
      <c r="O24" s="100" t="str">
        <f>IFERROR(VLOOKUP(Tablo518[[#This Row],[HAMMADDE KODU]],Tablo1[#All],3,0)," ")</f>
        <v>NOVAREX</v>
      </c>
      <c r="P24" s="100" t="str">
        <f>IFERROR(VLOOKUP(Tablo518[[#This Row],[HAMMADDE KODU]],Tablo1[#All],4,0)," ")</f>
        <v>PİNHAS</v>
      </c>
      <c r="Q24" s="100">
        <f>IFERROR(VLOOKUP(Tablo518[[#This Row],[ÜRÜN KODU]],YMKODLARI!$A$1:$K$363,5,0)," ")</f>
        <v>17.2</v>
      </c>
      <c r="R24" s="100">
        <f>IFERROR(VLOOKUP(Tablo518[[#This Row],[ÜRÜN KODU]],YMKODLARI!$A$1:$K$363,6,0)," ")</f>
        <v>15.4</v>
      </c>
      <c r="S24" s="100">
        <f>IFERROR(Tablo518[[#This Row],[YOLLUK HARİÇ BASKI GRAMI]]/Tablo518[[#This Row],[KALIP GÖZ ADEDİ]]," ")</f>
        <v>1.925</v>
      </c>
      <c r="T24" s="100">
        <f t="shared" si="2"/>
        <v>1.7999999999999989</v>
      </c>
      <c r="U24" s="100">
        <v>1</v>
      </c>
      <c r="V24" s="100">
        <f t="shared" si="1"/>
        <v>16.584800000000001</v>
      </c>
      <c r="W24" s="101">
        <f t="shared" si="3"/>
        <v>24.25</v>
      </c>
      <c r="X24" s="102">
        <f t="shared" si="4"/>
        <v>6</v>
      </c>
      <c r="Y24" s="100">
        <f t="shared" si="5"/>
        <v>5.6222222222222218</v>
      </c>
      <c r="Z24" s="100">
        <f t="shared" si="6"/>
        <v>8096</v>
      </c>
    </row>
    <row r="25" spans="1:26">
      <c r="A25" s="108" t="s">
        <v>136</v>
      </c>
      <c r="B25" s="108" t="str">
        <f>IFERROR(VLOOKUP(Tablo518[[#This Row],[ÜRÜN KODU]],YMKODLARI!$A$1:$K$363,2,0)," ")</f>
        <v>DAMAK EMZİK TIPA</v>
      </c>
      <c r="C25" s="99">
        <v>43859</v>
      </c>
      <c r="D25" s="100" t="s">
        <v>37</v>
      </c>
      <c r="E25" s="101">
        <v>0.33333333333333331</v>
      </c>
      <c r="F25" s="101">
        <v>0.75</v>
      </c>
      <c r="G25" s="100">
        <f>IFERROR(VLOOKUP(Tablo518[[#This Row],[ÜRÜN KODU]],YMKODLARI!$A$1:$K$363,3,0)," ")</f>
        <v>8</v>
      </c>
      <c r="H25" s="100">
        <f>IFERROR(VLOOKUP(Tablo518[[#This Row],[ÜRÜN KODU]],YMKODLARI!$A$1:$K$363,4,0)," ")</f>
        <v>20</v>
      </c>
      <c r="I25" s="100">
        <v>1305</v>
      </c>
      <c r="J25" s="100" t="str">
        <f>IFERROR(VLOOKUP(Tablo518[[#This Row],[ÜRÜN KODU]],YMKODLARI!$A$1:$K$363,9,0)," ")</f>
        <v>9134A</v>
      </c>
      <c r="K25" s="100" t="str">
        <f>IFERROR(VLOOKUP(Tablo518[[#This Row],[BOYA KODU]],Tablo14[#All],4,0)," ")</f>
        <v>BEYAZ</v>
      </c>
      <c r="L25" s="100">
        <f>IFERROR(VLOOKUP(Tablo518[[#This Row],[BOYA KODU]],Tablo14[#All],6,0)," ")</f>
        <v>7.0000000000000001E-3</v>
      </c>
      <c r="M25" s="100">
        <f t="shared" si="0"/>
        <v>157.12200000000001</v>
      </c>
      <c r="N25" s="100" t="str">
        <f>IFERROR(VLOOKUP(Tablo518[[#This Row],[ÜRÜN KODU]],YMKODLARI!$A$1:$K$363,8,0)," ")</f>
        <v>HM 002</v>
      </c>
      <c r="O25" s="100" t="str">
        <f>IFERROR(VLOOKUP(Tablo518[[#This Row],[HAMMADDE KODU]],Tablo1[#All],3,0)," ")</f>
        <v>NOVAREX</v>
      </c>
      <c r="P25" s="100" t="str">
        <f>IFERROR(VLOOKUP(Tablo518[[#This Row],[HAMMADDE KODU]],Tablo1[#All],4,0)," ")</f>
        <v>PİNHAS</v>
      </c>
      <c r="Q25" s="100">
        <f>IFERROR(VLOOKUP(Tablo518[[#This Row],[ÜRÜN KODU]],YMKODLARI!$A$1:$K$363,5,0)," ")</f>
        <v>17.2</v>
      </c>
      <c r="R25" s="100">
        <f>IFERROR(VLOOKUP(Tablo518[[#This Row],[ÜRÜN KODU]],YMKODLARI!$A$1:$K$363,6,0)," ")</f>
        <v>15.4</v>
      </c>
      <c r="S25" s="100">
        <f>IFERROR(Tablo518[[#This Row],[YOLLUK HARİÇ BASKI GRAMI]]/Tablo518[[#This Row],[KALIP GÖZ ADEDİ]]," ")</f>
        <v>1.925</v>
      </c>
      <c r="T25" s="100">
        <f t="shared" si="2"/>
        <v>1.7999999999999989</v>
      </c>
      <c r="U25" s="100"/>
      <c r="V25" s="100">
        <f t="shared" si="1"/>
        <v>20.097000000000001</v>
      </c>
      <c r="W25" s="101">
        <f t="shared" si="3"/>
        <v>24.416666666666668</v>
      </c>
      <c r="X25" s="102">
        <f t="shared" si="4"/>
        <v>10.000000000000028</v>
      </c>
      <c r="Y25" s="100">
        <f t="shared" si="5"/>
        <v>7.25</v>
      </c>
      <c r="Z25" s="100">
        <f t="shared" si="6"/>
        <v>10440</v>
      </c>
    </row>
    <row r="26" spans="1:26">
      <c r="A26" s="108" t="s">
        <v>136</v>
      </c>
      <c r="B26" s="108" t="str">
        <f>IFERROR(VLOOKUP(Tablo518[[#This Row],[ÜRÜN KODU]],YMKODLARI!$A$1:$K$363,2,0)," ")</f>
        <v>DAMAK EMZİK TIPA</v>
      </c>
      <c r="C26" s="99">
        <v>43860</v>
      </c>
      <c r="D26" s="100" t="s">
        <v>37</v>
      </c>
      <c r="E26" s="101">
        <v>0.46875</v>
      </c>
      <c r="F26" s="101">
        <v>0.79166666666666663</v>
      </c>
      <c r="G26" s="100">
        <f>IFERROR(VLOOKUP(Tablo518[[#This Row],[ÜRÜN KODU]],YMKODLARI!$A$1:$K$363,3,0)," ")</f>
        <v>8</v>
      </c>
      <c r="H26" s="100">
        <f>IFERROR(VLOOKUP(Tablo518[[#This Row],[ÜRÜN KODU]],YMKODLARI!$A$1:$K$363,4,0)," ")</f>
        <v>20</v>
      </c>
      <c r="I26" s="100">
        <v>1227</v>
      </c>
      <c r="J26" s="100" t="str">
        <f>IFERROR(VLOOKUP(Tablo518[[#This Row],[ÜRÜN KODU]],YMKODLARI!$A$1:$K$363,9,0)," ")</f>
        <v>9134A</v>
      </c>
      <c r="K26" s="100" t="str">
        <f>IFERROR(VLOOKUP(Tablo518[[#This Row],[BOYA KODU]],Tablo14[#All],4,0)," ")</f>
        <v>BEYAZ</v>
      </c>
      <c r="L26" s="100">
        <f>IFERROR(VLOOKUP(Tablo518[[#This Row],[BOYA KODU]],Tablo14[#All],6,0)," ")</f>
        <v>7.0000000000000001E-3</v>
      </c>
      <c r="M26" s="100">
        <f t="shared" si="0"/>
        <v>147.73079999999999</v>
      </c>
      <c r="N26" s="100" t="str">
        <f>IFERROR(VLOOKUP(Tablo518[[#This Row],[ÜRÜN KODU]],YMKODLARI!$A$1:$K$363,8,0)," ")</f>
        <v>HM 002</v>
      </c>
      <c r="O26" s="100" t="str">
        <f>IFERROR(VLOOKUP(Tablo518[[#This Row],[HAMMADDE KODU]],Tablo1[#All],3,0)," ")</f>
        <v>NOVAREX</v>
      </c>
      <c r="P26" s="100" t="str">
        <f>IFERROR(VLOOKUP(Tablo518[[#This Row],[HAMMADDE KODU]],Tablo1[#All],4,0)," ")</f>
        <v>PİNHAS</v>
      </c>
      <c r="Q26" s="100">
        <f>IFERROR(VLOOKUP(Tablo518[[#This Row],[ÜRÜN KODU]],YMKODLARI!$A$1:$K$363,5,0)," ")</f>
        <v>17.2</v>
      </c>
      <c r="R26" s="100">
        <f>IFERROR(VLOOKUP(Tablo518[[#This Row],[ÜRÜN KODU]],YMKODLARI!$A$1:$K$363,6,0)," ")</f>
        <v>15.4</v>
      </c>
      <c r="S26" s="100">
        <f>IFERROR(Tablo518[[#This Row],[YOLLUK HARİÇ BASKI GRAMI]]/Tablo518[[#This Row],[KALIP GÖZ ADEDİ]]," ")</f>
        <v>1.925</v>
      </c>
      <c r="T26" s="100">
        <f t="shared" si="2"/>
        <v>1.7999999999999989</v>
      </c>
      <c r="U26" s="100"/>
      <c r="V26" s="100">
        <f t="shared" si="1"/>
        <v>18.895799999999998</v>
      </c>
      <c r="W26" s="101">
        <f t="shared" si="3"/>
        <v>24.322916666666668</v>
      </c>
      <c r="X26" s="102">
        <f t="shared" si="4"/>
        <v>7.7500000000000284</v>
      </c>
      <c r="Y26" s="100">
        <f t="shared" si="5"/>
        <v>6.8166666666666664</v>
      </c>
      <c r="Z26" s="100">
        <f t="shared" si="6"/>
        <v>9816</v>
      </c>
    </row>
    <row r="27" spans="1:26">
      <c r="A27" s="108" t="s">
        <v>136</v>
      </c>
      <c r="B27" s="108" t="str">
        <f>IFERROR(VLOOKUP(Tablo518[[#This Row],[ÜRÜN KODU]],YMKODLARI!$A$1:$K$363,2,0)," ")</f>
        <v>DAMAK EMZİK TIPA</v>
      </c>
      <c r="C27" s="99">
        <v>43861</v>
      </c>
      <c r="D27" s="100" t="s">
        <v>37</v>
      </c>
      <c r="E27" s="101">
        <v>0.33333333333333331</v>
      </c>
      <c r="F27" s="101">
        <v>0.73888888888888893</v>
      </c>
      <c r="G27" s="100">
        <f>IFERROR(VLOOKUP(Tablo518[[#This Row],[ÜRÜN KODU]],YMKODLARI!$A$1:$K$363,3,0)," ")</f>
        <v>8</v>
      </c>
      <c r="H27" s="100">
        <f>IFERROR(VLOOKUP(Tablo518[[#This Row],[ÜRÜN KODU]],YMKODLARI!$A$1:$K$363,4,0)," ")</f>
        <v>20</v>
      </c>
      <c r="I27" s="100">
        <v>1405</v>
      </c>
      <c r="J27" s="100" t="str">
        <f>IFERROR(VLOOKUP(Tablo518[[#This Row],[ÜRÜN KODU]],YMKODLARI!$A$1:$K$363,9,0)," ")</f>
        <v>9134A</v>
      </c>
      <c r="K27" s="100" t="str">
        <f>IFERROR(VLOOKUP(Tablo518[[#This Row],[BOYA KODU]],Tablo14[#All],4,0)," ")</f>
        <v>BEYAZ</v>
      </c>
      <c r="L27" s="100">
        <f>IFERROR(VLOOKUP(Tablo518[[#This Row],[BOYA KODU]],Tablo14[#All],6,0)," ")</f>
        <v>7.0000000000000001E-3</v>
      </c>
      <c r="M27" s="100">
        <f t="shared" si="0"/>
        <v>169.16200000000001</v>
      </c>
      <c r="N27" s="100" t="str">
        <f>IFERROR(VLOOKUP(Tablo518[[#This Row],[ÜRÜN KODU]],YMKODLARI!$A$1:$K$363,8,0)," ")</f>
        <v>HM 002</v>
      </c>
      <c r="O27" s="100" t="str">
        <f>IFERROR(VLOOKUP(Tablo518[[#This Row],[HAMMADDE KODU]],Tablo1[#All],3,0)," ")</f>
        <v>NOVAREX</v>
      </c>
      <c r="P27" s="100" t="str">
        <f>IFERROR(VLOOKUP(Tablo518[[#This Row],[HAMMADDE KODU]],Tablo1[#All],4,0)," ")</f>
        <v>PİNHAS</v>
      </c>
      <c r="Q27" s="100">
        <f>IFERROR(VLOOKUP(Tablo518[[#This Row],[ÜRÜN KODU]],YMKODLARI!$A$1:$K$363,5,0)," ")</f>
        <v>17.2</v>
      </c>
      <c r="R27" s="100">
        <f>IFERROR(VLOOKUP(Tablo518[[#This Row],[ÜRÜN KODU]],YMKODLARI!$A$1:$K$363,6,0)," ")</f>
        <v>15.4</v>
      </c>
      <c r="S27" s="100">
        <f>IFERROR(Tablo518[[#This Row],[YOLLUK HARİÇ BASKI GRAMI]]/Tablo518[[#This Row],[KALIP GÖZ ADEDİ]]," ")</f>
        <v>1.925</v>
      </c>
      <c r="T27" s="100">
        <f t="shared" si="2"/>
        <v>1.7999999999999989</v>
      </c>
      <c r="U27" s="100"/>
      <c r="V27" s="100">
        <f t="shared" si="1"/>
        <v>21.637</v>
      </c>
      <c r="W27" s="101">
        <f t="shared" si="3"/>
        <v>24.405555555555555</v>
      </c>
      <c r="X27" s="102">
        <f t="shared" si="4"/>
        <v>9.7333333333333201</v>
      </c>
      <c r="Y27" s="100">
        <f t="shared" si="5"/>
        <v>7.8055555555555554</v>
      </c>
      <c r="Z27" s="100">
        <f t="shared" si="6"/>
        <v>11240</v>
      </c>
    </row>
    <row r="28" spans="1:26">
      <c r="A28" s="108" t="s">
        <v>137</v>
      </c>
      <c r="B28" s="108" t="str">
        <f>IFERROR(VLOOKUP(Tablo518[[#This Row],[ÜRÜN KODU]],YMKODLARI!$A$1:$K$363,2,0)," ")</f>
        <v>DAMAK EMZİK GÖVDE</v>
      </c>
      <c r="C28" s="99">
        <v>43864</v>
      </c>
      <c r="D28" s="100" t="s">
        <v>37</v>
      </c>
      <c r="E28" s="101">
        <v>0.5</v>
      </c>
      <c r="F28" s="101">
        <v>0.75</v>
      </c>
      <c r="G28" s="100">
        <f>IFERROR(VLOOKUP(Tablo518[[#This Row],[ÜRÜN KODU]],YMKODLARI!$A$1:$K$363,3,0)," ")</f>
        <v>8</v>
      </c>
      <c r="H28" s="100">
        <f>IFERROR(VLOOKUP(Tablo518[[#This Row],[ÜRÜN KODU]],YMKODLARI!$A$1:$K$363,4,0)," ")</f>
        <v>21</v>
      </c>
      <c r="I28" s="100">
        <v>875</v>
      </c>
      <c r="J28" s="100" t="str">
        <f>IFERROR(VLOOKUP(Tablo518[[#This Row],[ÜRÜN KODU]],YMKODLARI!$A$1:$K$363,9,0)," ")</f>
        <v>9134A</v>
      </c>
      <c r="K28" s="100" t="str">
        <f>IFERROR(VLOOKUP(Tablo518[[#This Row],[BOYA KODU]],Tablo14[#All],4,0)," ")</f>
        <v>BEYAZ</v>
      </c>
      <c r="L28" s="100">
        <f>IFERROR(VLOOKUP(Tablo518[[#This Row],[BOYA KODU]],Tablo14[#All],6,0)," ")</f>
        <v>7.0000000000000001E-3</v>
      </c>
      <c r="M28" s="100">
        <f t="shared" si="0"/>
        <v>181.3</v>
      </c>
      <c r="N28" s="100" t="str">
        <f>IFERROR(VLOOKUP(Tablo518[[#This Row],[ÜRÜN KODU]],YMKODLARI!$A$1:$K$363,8,0)," ")</f>
        <v>HM 002</v>
      </c>
      <c r="O28" s="100" t="str">
        <f>IFERROR(VLOOKUP(Tablo518[[#This Row],[HAMMADDE KODU]],Tablo1[#All],3,0)," ")</f>
        <v>NOVAREX</v>
      </c>
      <c r="P28" s="100" t="str">
        <f>IFERROR(VLOOKUP(Tablo518[[#This Row],[HAMMADDE KODU]],Tablo1[#All],4,0)," ")</f>
        <v>PİNHAS</v>
      </c>
      <c r="Q28" s="100">
        <f>IFERROR(VLOOKUP(Tablo518[[#This Row],[ÜRÜN KODU]],YMKODLARI!$A$1:$K$363,5,0)," ")</f>
        <v>29.6</v>
      </c>
      <c r="R28" s="100">
        <f>IFERROR(VLOOKUP(Tablo518[[#This Row],[ÜRÜN KODU]],YMKODLARI!$A$1:$K$363,6,0)," ")</f>
        <v>28.6</v>
      </c>
      <c r="S28" s="100">
        <f>IFERROR(Tablo518[[#This Row],[YOLLUK HARİÇ BASKI GRAMI]]/Tablo518[[#This Row],[KALIP GÖZ ADEDİ]]," ")</f>
        <v>3.5750000000000002</v>
      </c>
      <c r="T28" s="100">
        <f t="shared" si="2"/>
        <v>1</v>
      </c>
      <c r="U28" s="100"/>
      <c r="V28" s="100">
        <f t="shared" si="1"/>
        <v>25.024999999999999</v>
      </c>
      <c r="W28" s="101">
        <f t="shared" si="3"/>
        <v>24.25</v>
      </c>
      <c r="X28" s="102">
        <f t="shared" si="4"/>
        <v>6</v>
      </c>
      <c r="Y28" s="100">
        <f t="shared" si="5"/>
        <v>5.104166666666667</v>
      </c>
      <c r="Z28" s="100">
        <f t="shared" si="6"/>
        <v>7000</v>
      </c>
    </row>
    <row r="29" spans="1:26">
      <c r="A29" s="108" t="s">
        <v>138</v>
      </c>
      <c r="B29" s="108" t="str">
        <f>IFERROR(VLOOKUP(Tablo518[[#This Row],[ÜRÜN KODU]],YMKODLARI!$A$1:$K$363,2,0)," ")</f>
        <v>KURBAĞA DİŞ KAŞIYICI TUTACAK</v>
      </c>
      <c r="C29" s="99">
        <v>43867</v>
      </c>
      <c r="D29" s="100" t="s">
        <v>37</v>
      </c>
      <c r="E29" s="101">
        <v>0.46875</v>
      </c>
      <c r="F29" s="101">
        <v>0.68055555555555547</v>
      </c>
      <c r="G29" s="100">
        <f>IFERROR(VLOOKUP(Tablo518[[#This Row],[ÜRÜN KODU]],YMKODLARI!$A$1:$K$363,3,0)," ")</f>
        <v>2</v>
      </c>
      <c r="H29" s="100">
        <f>IFERROR(VLOOKUP(Tablo518[[#This Row],[ÜRÜN KODU]],YMKODLARI!$A$1:$K$363,4,0)," ")</f>
        <v>22</v>
      </c>
      <c r="I29" s="100">
        <v>664</v>
      </c>
      <c r="J29" s="100">
        <f>IFERROR(VLOOKUP(Tablo518[[#This Row],[ÜRÜN KODU]],YMKODLARI!$A$1:$K$363,9,0)," ")</f>
        <v>3408</v>
      </c>
      <c r="K29" s="100" t="str">
        <f>IFERROR(VLOOKUP(Tablo518[[#This Row],[BOYA KODU]],Tablo14[#All],4,0)," ")</f>
        <v>PEMBE</v>
      </c>
      <c r="L29" s="100">
        <f>IFERROR(VLOOKUP(Tablo518[[#This Row],[BOYA KODU]],Tablo14[#All],6,0)," ")</f>
        <v>5.0000000000000001E-3</v>
      </c>
      <c r="M29" s="100">
        <f t="shared" si="0"/>
        <v>144.08799999999999</v>
      </c>
      <c r="N29" s="100" t="str">
        <f>IFERROR(VLOOKUP(Tablo518[[#This Row],[ÜRÜN KODU]],YMKODLARI!$A$1:$K$363,8,0)," ")</f>
        <v>HM 002</v>
      </c>
      <c r="O29" s="100" t="str">
        <f>IFERROR(VLOOKUP(Tablo518[[#This Row],[HAMMADDE KODU]],Tablo1[#All],3,0)," ")</f>
        <v>NOVAREX</v>
      </c>
      <c r="P29" s="100" t="str">
        <f>IFERROR(VLOOKUP(Tablo518[[#This Row],[HAMMADDE KODU]],Tablo1[#All],4,0)," ")</f>
        <v>PİNHAS</v>
      </c>
      <c r="Q29" s="100">
        <f>IFERROR(VLOOKUP(Tablo518[[#This Row],[ÜRÜN KODU]],YMKODLARI!$A$1:$K$363,5,0)," ")</f>
        <v>43.4</v>
      </c>
      <c r="R29" s="100">
        <f>IFERROR(VLOOKUP(Tablo518[[#This Row],[ÜRÜN KODU]],YMKODLARI!$A$1:$K$363,6,0)," ")</f>
        <v>41.8</v>
      </c>
      <c r="S29" s="100">
        <f>IFERROR(Tablo518[[#This Row],[YOLLUK HARİÇ BASKI GRAMI]]/Tablo518[[#This Row],[KALIP GÖZ ADEDİ]]," ")</f>
        <v>20.9</v>
      </c>
      <c r="T29" s="100">
        <f t="shared" si="2"/>
        <v>1.6000000000000014</v>
      </c>
      <c r="U29" s="100"/>
      <c r="V29" s="100">
        <f t="shared" si="1"/>
        <v>27.755199999999999</v>
      </c>
      <c r="W29" s="101">
        <f t="shared" si="3"/>
        <v>24.211805555555557</v>
      </c>
      <c r="X29" s="102">
        <f t="shared" si="4"/>
        <v>5.0833333333333712</v>
      </c>
      <c r="Y29" s="100">
        <f t="shared" si="5"/>
        <v>4.0577777777777779</v>
      </c>
      <c r="Z29" s="100">
        <f t="shared" si="6"/>
        <v>1328</v>
      </c>
    </row>
    <row r="30" spans="1:26">
      <c r="A30" s="108" t="s">
        <v>139</v>
      </c>
      <c r="B30" s="108" t="str">
        <f>IFERROR(VLOOKUP(Tablo518[[#This Row],[ÜRÜN KODU]],YMKODLARI!$A$1:$K$363,2,0)," ")</f>
        <v>KURBAĞA DİŞ KAŞIYICI TUTACAK</v>
      </c>
      <c r="C30" s="99">
        <v>43867</v>
      </c>
      <c r="D30" s="100" t="s">
        <v>37</v>
      </c>
      <c r="E30" s="101">
        <v>0.68194444444444446</v>
      </c>
      <c r="F30" s="101">
        <v>0.75</v>
      </c>
      <c r="G30" s="100">
        <f>IFERROR(VLOOKUP(Tablo518[[#This Row],[ÜRÜN KODU]],YMKODLARI!$A$1:$K$363,3,0)," ")</f>
        <v>2</v>
      </c>
      <c r="H30" s="100">
        <f>IFERROR(VLOOKUP(Tablo518[[#This Row],[ÜRÜN KODU]],YMKODLARI!$A$1:$K$363,4,0)," ")</f>
        <v>22</v>
      </c>
      <c r="I30" s="100">
        <v>271</v>
      </c>
      <c r="J30" s="100" t="str">
        <f>IFERROR(VLOOKUP(Tablo518[[#This Row],[ÜRÜN KODU]],YMKODLARI!$A$1:$K$363,9,0)," ")</f>
        <v>5249A</v>
      </c>
      <c r="K30" s="100" t="str">
        <f>IFERROR(VLOOKUP(Tablo518[[#This Row],[BOYA KODU]],Tablo14[#All],4,0)," ")</f>
        <v>MAVİ</v>
      </c>
      <c r="L30" s="100">
        <f>IFERROR(VLOOKUP(Tablo518[[#This Row],[BOYA KODU]],Tablo14[#All],6,0)," ")</f>
        <v>5.0000000000000001E-3</v>
      </c>
      <c r="M30" s="100">
        <f t="shared" si="0"/>
        <v>58.807000000000002</v>
      </c>
      <c r="N30" s="100" t="str">
        <f>IFERROR(VLOOKUP(Tablo518[[#This Row],[ÜRÜN KODU]],YMKODLARI!$A$1:$K$363,8,0)," ")</f>
        <v>HM 002</v>
      </c>
      <c r="O30" s="100" t="str">
        <f>IFERROR(VLOOKUP(Tablo518[[#This Row],[HAMMADDE KODU]],Tablo1[#All],3,0)," ")</f>
        <v>NOVAREX</v>
      </c>
      <c r="P30" s="100" t="str">
        <f>IFERROR(VLOOKUP(Tablo518[[#This Row],[HAMMADDE KODU]],Tablo1[#All],4,0)," ")</f>
        <v>PİNHAS</v>
      </c>
      <c r="Q30" s="100">
        <f>IFERROR(VLOOKUP(Tablo518[[#This Row],[ÜRÜN KODU]],YMKODLARI!$A$1:$K$363,5,0)," ")</f>
        <v>43.4</v>
      </c>
      <c r="R30" s="100">
        <f>IFERROR(VLOOKUP(Tablo518[[#This Row],[ÜRÜN KODU]],YMKODLARI!$A$1:$K$363,6,0)," ")</f>
        <v>41.8</v>
      </c>
      <c r="S30" s="100">
        <f>IFERROR(Tablo518[[#This Row],[YOLLUK HARİÇ BASKI GRAMI]]/Tablo518[[#This Row],[KALIP GÖZ ADEDİ]]," ")</f>
        <v>20.9</v>
      </c>
      <c r="T30" s="100">
        <f t="shared" si="2"/>
        <v>1.6000000000000014</v>
      </c>
      <c r="U30" s="100"/>
      <c r="V30" s="100">
        <f t="shared" si="1"/>
        <v>11.3278</v>
      </c>
      <c r="W30" s="101">
        <f t="shared" si="3"/>
        <v>24.068055555555556</v>
      </c>
      <c r="X30" s="102">
        <f t="shared" si="4"/>
        <v>1.6333333333333542</v>
      </c>
      <c r="Y30" s="100">
        <f t="shared" si="5"/>
        <v>1.6561111111111111</v>
      </c>
      <c r="Z30" s="100">
        <f t="shared" si="6"/>
        <v>542</v>
      </c>
    </row>
    <row r="31" spans="1:26">
      <c r="A31" s="108" t="s">
        <v>139</v>
      </c>
      <c r="B31" s="108" t="str">
        <f>IFERROR(VLOOKUP(Tablo518[[#This Row],[ÜRÜN KODU]],YMKODLARI!$A$1:$K$363,2,0)," ")</f>
        <v>KURBAĞA DİŞ KAŞIYICI TUTACAK</v>
      </c>
      <c r="C31" s="99">
        <v>43868</v>
      </c>
      <c r="D31" s="100" t="s">
        <v>37</v>
      </c>
      <c r="E31" s="101">
        <v>0.33333333333333331</v>
      </c>
      <c r="F31" s="101">
        <v>0.40625</v>
      </c>
      <c r="G31" s="100">
        <f>IFERROR(VLOOKUP(Tablo518[[#This Row],[ÜRÜN KODU]],YMKODLARI!$A$1:$K$363,3,0)," ")</f>
        <v>2</v>
      </c>
      <c r="H31" s="100">
        <f>IFERROR(VLOOKUP(Tablo518[[#This Row],[ÜRÜN KODU]],YMKODLARI!$A$1:$K$363,4,0)," ")</f>
        <v>22</v>
      </c>
      <c r="I31" s="100">
        <v>269</v>
      </c>
      <c r="J31" s="100" t="str">
        <f>IFERROR(VLOOKUP(Tablo518[[#This Row],[ÜRÜN KODU]],YMKODLARI!$A$1:$K$363,9,0)," ")</f>
        <v>5249A</v>
      </c>
      <c r="K31" s="100" t="str">
        <f>IFERROR(VLOOKUP(Tablo518[[#This Row],[BOYA KODU]],Tablo14[#All],4,0)," ")</f>
        <v>MAVİ</v>
      </c>
      <c r="L31" s="100">
        <f>IFERROR(VLOOKUP(Tablo518[[#This Row],[BOYA KODU]],Tablo14[#All],6,0)," ")</f>
        <v>5.0000000000000001E-3</v>
      </c>
      <c r="M31" s="100">
        <f t="shared" si="0"/>
        <v>58.373000000000005</v>
      </c>
      <c r="N31" s="100" t="str">
        <f>IFERROR(VLOOKUP(Tablo518[[#This Row],[ÜRÜN KODU]],YMKODLARI!$A$1:$K$363,8,0)," ")</f>
        <v>HM 002</v>
      </c>
      <c r="O31" s="100" t="str">
        <f>IFERROR(VLOOKUP(Tablo518[[#This Row],[HAMMADDE KODU]],Tablo1[#All],3,0)," ")</f>
        <v>NOVAREX</v>
      </c>
      <c r="P31" s="100" t="str">
        <f>IFERROR(VLOOKUP(Tablo518[[#This Row],[HAMMADDE KODU]],Tablo1[#All],4,0)," ")</f>
        <v>PİNHAS</v>
      </c>
      <c r="Q31" s="100">
        <f>IFERROR(VLOOKUP(Tablo518[[#This Row],[ÜRÜN KODU]],YMKODLARI!$A$1:$K$363,5,0)," ")</f>
        <v>43.4</v>
      </c>
      <c r="R31" s="100">
        <f>IFERROR(VLOOKUP(Tablo518[[#This Row],[ÜRÜN KODU]],YMKODLARI!$A$1:$K$363,6,0)," ")</f>
        <v>41.8</v>
      </c>
      <c r="S31" s="100">
        <f>IFERROR(Tablo518[[#This Row],[YOLLUK HARİÇ BASKI GRAMI]]/Tablo518[[#This Row],[KALIP GÖZ ADEDİ]]," ")</f>
        <v>20.9</v>
      </c>
      <c r="T31" s="100">
        <f t="shared" si="2"/>
        <v>1.6000000000000014</v>
      </c>
      <c r="U31" s="100"/>
      <c r="V31" s="100">
        <f t="shared" si="1"/>
        <v>11.244199999999999</v>
      </c>
      <c r="W31" s="101">
        <f t="shared" si="3"/>
        <v>24.072916666666668</v>
      </c>
      <c r="X31" s="102">
        <f t="shared" si="4"/>
        <v>1.7500000000000284</v>
      </c>
      <c r="Y31" s="100">
        <f t="shared" si="5"/>
        <v>1.643888888888889</v>
      </c>
      <c r="Z31" s="100">
        <f t="shared" si="6"/>
        <v>538</v>
      </c>
    </row>
    <row r="32" spans="1:26">
      <c r="A32" s="108" t="s">
        <v>140</v>
      </c>
      <c r="B32" s="108" t="str">
        <f>IFERROR(VLOOKUP(Tablo518[[#This Row],[ÜRÜN KODU]],YMKODLARI!$A$1:$K$363,2,0)," ")</f>
        <v>NEŞELİ ÇINGIRAK</v>
      </c>
      <c r="C32" s="99">
        <v>43873</v>
      </c>
      <c r="D32" s="100" t="s">
        <v>35</v>
      </c>
      <c r="E32" s="101">
        <v>0.5</v>
      </c>
      <c r="F32" s="101">
        <v>0.75</v>
      </c>
      <c r="G32" s="100">
        <f>IFERROR(VLOOKUP(Tablo518[[#This Row],[ÜRÜN KODU]],YMKODLARI!$A$1:$K$363,3,0)," ")</f>
        <v>2</v>
      </c>
      <c r="H32" s="100">
        <f>IFERROR(VLOOKUP(Tablo518[[#This Row],[ÜRÜN KODU]],YMKODLARI!$A$1:$K$363,4,0)," ")</f>
        <v>38</v>
      </c>
      <c r="I32" s="100">
        <v>401</v>
      </c>
      <c r="J32" s="100" t="str">
        <f>IFERROR(VLOOKUP(Tablo518[[#This Row],[ÜRÜN KODU]],YMKODLARI!$A$1:$K$363,9,0)," ")</f>
        <v>BOYASIZ</v>
      </c>
      <c r="K32" s="100" t="str">
        <f>IFERROR(VLOOKUP(Tablo518[[#This Row],[BOYA KODU]],Tablo14[#All],4,0)," ")</f>
        <v xml:space="preserve"> </v>
      </c>
      <c r="L32" s="100" t="str">
        <f>IFERROR(VLOOKUP(Tablo518[[#This Row],[BOYA KODU]],Tablo14[#All],6,0)," ")</f>
        <v xml:space="preserve"> </v>
      </c>
      <c r="M32" s="100" t="str">
        <f t="shared" si="0"/>
        <v xml:space="preserve"> </v>
      </c>
      <c r="N32" s="100" t="s">
        <v>141</v>
      </c>
      <c r="O32" s="100" t="str">
        <f>IFERROR(VLOOKUP(Tablo518[[#This Row],[HAMMADDE KODU]],Tablo1[#All],3,0)," ")</f>
        <v>KIRMA TRITAN</v>
      </c>
      <c r="P32" s="100" t="str">
        <f>IFERROR(VLOOKUP(Tablo518[[#This Row],[HAMMADDE KODU]],Tablo1[#All],4,0)," ")</f>
        <v>KIRMA</v>
      </c>
      <c r="Q32" s="100">
        <f>IFERROR(VLOOKUP(Tablo518[[#This Row],[ÜRÜN KODU]],YMKODLARI!$A$1:$K$363,5,0)," ")</f>
        <v>30.8</v>
      </c>
      <c r="R32" s="100">
        <f>IFERROR(VLOOKUP(Tablo518[[#This Row],[ÜRÜN KODU]],YMKODLARI!$A$1:$K$363,6,0)," ")</f>
        <v>19</v>
      </c>
      <c r="S32" s="100">
        <f>IFERROR(Tablo518[[#This Row],[YOLLUK HARİÇ BASKI GRAMI]]/Tablo518[[#This Row],[KALIP GÖZ ADEDİ]]," ")</f>
        <v>9.5</v>
      </c>
      <c r="T32" s="100">
        <f t="shared" si="2"/>
        <v>11.8</v>
      </c>
      <c r="U32" s="100">
        <v>6.1</v>
      </c>
      <c r="V32" s="100">
        <f t="shared" si="1"/>
        <v>13.718999999999999</v>
      </c>
      <c r="W32" s="101">
        <f t="shared" si="3"/>
        <v>24.25</v>
      </c>
      <c r="X32" s="102">
        <f t="shared" si="4"/>
        <v>6</v>
      </c>
      <c r="Y32" s="100">
        <f t="shared" si="5"/>
        <v>4.2327777777777778</v>
      </c>
      <c r="Z32" s="100">
        <f t="shared" si="6"/>
        <v>802</v>
      </c>
    </row>
    <row r="33" spans="1:26">
      <c r="A33" s="108" t="s">
        <v>142</v>
      </c>
      <c r="B33" s="108" t="str">
        <f>IFERROR(VLOOKUP(Tablo518[[#This Row],[ÜRÜN KODU]],YMKODLARI!$A$1:$K$363,2,0)," ")</f>
        <v>NEŞELİ ÇINGIRAK</v>
      </c>
      <c r="C33" s="99">
        <v>43873</v>
      </c>
      <c r="D33" s="100" t="s">
        <v>35</v>
      </c>
      <c r="E33" s="101">
        <v>0.5</v>
      </c>
      <c r="F33" s="101">
        <v>0.75</v>
      </c>
      <c r="G33" s="100">
        <f>IFERROR(VLOOKUP(Tablo518[[#This Row],[ÜRÜN KODU]],YMKODLARI!$A$1:$K$363,3,0)," ")</f>
        <v>2</v>
      </c>
      <c r="H33" s="100">
        <f>IFERROR(VLOOKUP(Tablo518[[#This Row],[ÜRÜN KODU]],YMKODLARI!$A$1:$K$363,4,0)," ")</f>
        <v>38</v>
      </c>
      <c r="I33" s="100">
        <v>401</v>
      </c>
      <c r="J33" s="100" t="str">
        <f>IFERROR(VLOOKUP(Tablo518[[#This Row],[ÜRÜN KODU]],YMKODLARI!$A$1:$K$363,9,0)," ")</f>
        <v>BOYASIZ</v>
      </c>
      <c r="K33" s="100" t="str">
        <f>IFERROR(VLOOKUP(Tablo518[[#This Row],[BOYA KODU]],Tablo14[#All],4,0)," ")</f>
        <v xml:space="preserve"> </v>
      </c>
      <c r="L33" s="100" t="str">
        <f>IFERROR(VLOOKUP(Tablo518[[#This Row],[BOYA KODU]],Tablo14[#All],6,0)," ")</f>
        <v xml:space="preserve"> </v>
      </c>
      <c r="M33" s="100" t="str">
        <f t="shared" si="0"/>
        <v xml:space="preserve"> </v>
      </c>
      <c r="N33" s="100" t="s">
        <v>141</v>
      </c>
      <c r="O33" s="100" t="str">
        <f>IFERROR(VLOOKUP(Tablo518[[#This Row],[HAMMADDE KODU]],Tablo1[#All],3,0)," ")</f>
        <v>KIRMA TRITAN</v>
      </c>
      <c r="P33" s="100" t="str">
        <f>IFERROR(VLOOKUP(Tablo518[[#This Row],[HAMMADDE KODU]],Tablo1[#All],4,0)," ")</f>
        <v>KIRMA</v>
      </c>
      <c r="Q33" s="100">
        <f>IFERROR(VLOOKUP(Tablo518[[#This Row],[ÜRÜN KODU]],YMKODLARI!$A$1:$K$363,5,0)," ")</f>
        <v>17.100000000000001</v>
      </c>
      <c r="R33" s="100">
        <f>IFERROR(VLOOKUP(Tablo518[[#This Row],[ÜRÜN KODU]],YMKODLARI!$A$1:$K$363,6,0)," ")</f>
        <v>17.100000000000001</v>
      </c>
      <c r="S33" s="100">
        <f>IFERROR(Tablo518[[#This Row],[YOLLUK HARİÇ BASKI GRAMI]]/Tablo518[[#This Row],[KALIP GÖZ ADEDİ]]," ")</f>
        <v>8.5500000000000007</v>
      </c>
      <c r="T33" s="100">
        <f t="shared" si="2"/>
        <v>0</v>
      </c>
      <c r="U33" s="100">
        <v>6.1</v>
      </c>
      <c r="V33" s="100">
        <f t="shared" si="1"/>
        <v>12.957100000000001</v>
      </c>
      <c r="W33" s="101">
        <f t="shared" si="3"/>
        <v>24.25</v>
      </c>
      <c r="X33" s="102">
        <f t="shared" si="4"/>
        <v>6</v>
      </c>
      <c r="Y33" s="100">
        <f t="shared" si="5"/>
        <v>4.2327777777777778</v>
      </c>
      <c r="Z33" s="100">
        <f t="shared" si="6"/>
        <v>802</v>
      </c>
    </row>
    <row r="34" spans="1:26">
      <c r="A34" s="108" t="s">
        <v>143</v>
      </c>
      <c r="B34" s="108" t="str">
        <f>IFERROR(VLOOKUP(Tablo518[[#This Row],[ÜRÜN KODU]],YMKODLARI!$A$1:$K$363,2,0)," ")</f>
        <v>NEŞELİ ÇINGIRAK</v>
      </c>
      <c r="C34" s="99">
        <v>43873</v>
      </c>
      <c r="D34" s="100" t="s">
        <v>35</v>
      </c>
      <c r="E34" s="101">
        <v>0.5</v>
      </c>
      <c r="F34" s="101">
        <v>0.75</v>
      </c>
      <c r="G34" s="100">
        <f>IFERROR(VLOOKUP(Tablo518[[#This Row],[ÜRÜN KODU]],YMKODLARI!$A$1:$K$363,3,0)," ")</f>
        <v>2</v>
      </c>
      <c r="H34" s="100">
        <f>IFERROR(VLOOKUP(Tablo518[[#This Row],[ÜRÜN KODU]],YMKODLARI!$A$1:$K$363,4,0)," ")</f>
        <v>38</v>
      </c>
      <c r="I34" s="100">
        <v>401</v>
      </c>
      <c r="J34" s="100" t="str">
        <f>IFERROR(VLOOKUP(Tablo518[[#This Row],[ÜRÜN KODU]],YMKODLARI!$A$1:$K$363,9,0)," ")</f>
        <v>BOYASIZ</v>
      </c>
      <c r="K34" s="100" t="str">
        <f>IFERROR(VLOOKUP(Tablo518[[#This Row],[BOYA KODU]],Tablo14[#All],4,0)," ")</f>
        <v xml:space="preserve"> </v>
      </c>
      <c r="L34" s="100" t="str">
        <f>IFERROR(VLOOKUP(Tablo518[[#This Row],[BOYA KODU]],Tablo14[#All],6,0)," ")</f>
        <v xml:space="preserve"> </v>
      </c>
      <c r="M34" s="100" t="str">
        <f t="shared" si="0"/>
        <v xml:space="preserve"> </v>
      </c>
      <c r="N34" s="100" t="s">
        <v>141</v>
      </c>
      <c r="O34" s="100" t="str">
        <f>IFERROR(VLOOKUP(Tablo518[[#This Row],[HAMMADDE KODU]],Tablo1[#All],3,0)," ")</f>
        <v>KIRMA TRITAN</v>
      </c>
      <c r="P34" s="100" t="str">
        <f>IFERROR(VLOOKUP(Tablo518[[#This Row],[HAMMADDE KODU]],Tablo1[#All],4,0)," ")</f>
        <v>KIRMA</v>
      </c>
      <c r="Q34" s="100">
        <f>IFERROR(VLOOKUP(Tablo518[[#This Row],[ÜRÜN KODU]],YMKODLARI!$A$1:$K$363,5,0)," ")</f>
        <v>20.100000000000001</v>
      </c>
      <c r="R34" s="100">
        <f>IFERROR(VLOOKUP(Tablo518[[#This Row],[ÜRÜN KODU]],YMKODLARI!$A$1:$K$363,6,0)," ")</f>
        <v>20.100000000000001</v>
      </c>
      <c r="S34" s="100">
        <f>IFERROR(Tablo518[[#This Row],[YOLLUK HARİÇ BASKI GRAMI]]/Tablo518[[#This Row],[KALIP GÖZ ADEDİ]]," ")</f>
        <v>10.050000000000001</v>
      </c>
      <c r="T34" s="100">
        <f t="shared" si="2"/>
        <v>0</v>
      </c>
      <c r="U34" s="100">
        <v>6.4</v>
      </c>
      <c r="V34" s="100">
        <f t="shared" si="1"/>
        <v>14.460100000000001</v>
      </c>
      <c r="W34" s="101">
        <f t="shared" si="3"/>
        <v>24.25</v>
      </c>
      <c r="X34" s="102">
        <f t="shared" si="4"/>
        <v>6</v>
      </c>
      <c r="Y34" s="100">
        <f t="shared" si="5"/>
        <v>4.2327777777777778</v>
      </c>
      <c r="Z34" s="100">
        <f t="shared" si="6"/>
        <v>802</v>
      </c>
    </row>
    <row r="35" spans="1:26">
      <c r="A35" s="108" t="s">
        <v>144</v>
      </c>
      <c r="B35" s="108" t="str">
        <f>IFERROR(VLOOKUP(Tablo518[[#This Row],[ÜRÜN KODU]],YMKODLARI!$A$1:$K$363,2,0)," ")</f>
        <v>NEŞELİ ÇINGIRAK</v>
      </c>
      <c r="C35" s="99">
        <v>43873</v>
      </c>
      <c r="D35" s="100" t="s">
        <v>35</v>
      </c>
      <c r="E35" s="101">
        <v>0.5</v>
      </c>
      <c r="F35" s="101">
        <v>0.75</v>
      </c>
      <c r="G35" s="100">
        <f>IFERROR(VLOOKUP(Tablo518[[#This Row],[ÜRÜN KODU]],YMKODLARI!$A$1:$K$363,3,0)," ")</f>
        <v>2</v>
      </c>
      <c r="H35" s="100">
        <f>IFERROR(VLOOKUP(Tablo518[[#This Row],[ÜRÜN KODU]],YMKODLARI!$A$1:$K$363,4,0)," ")</f>
        <v>38</v>
      </c>
      <c r="I35" s="100">
        <v>401</v>
      </c>
      <c r="J35" s="100" t="str">
        <f>IFERROR(VLOOKUP(Tablo518[[#This Row],[ÜRÜN KODU]],YMKODLARI!$A$1:$K$363,9,0)," ")</f>
        <v>BOYASIZ</v>
      </c>
      <c r="K35" s="100" t="str">
        <f>IFERROR(VLOOKUP(Tablo518[[#This Row],[BOYA KODU]],Tablo14[#All],4,0)," ")</f>
        <v xml:space="preserve"> </v>
      </c>
      <c r="L35" s="100" t="str">
        <f>IFERROR(VLOOKUP(Tablo518[[#This Row],[BOYA KODU]],Tablo14[#All],6,0)," ")</f>
        <v xml:space="preserve"> </v>
      </c>
      <c r="M35" s="100" t="str">
        <f t="shared" si="0"/>
        <v xml:space="preserve"> </v>
      </c>
      <c r="N35" s="100" t="s">
        <v>141</v>
      </c>
      <c r="O35" s="100" t="str">
        <f>IFERROR(VLOOKUP(Tablo518[[#This Row],[HAMMADDE KODU]],Tablo1[#All],3,0)," ")</f>
        <v>KIRMA TRITAN</v>
      </c>
      <c r="P35" s="100" t="str">
        <f>IFERROR(VLOOKUP(Tablo518[[#This Row],[HAMMADDE KODU]],Tablo1[#All],4,0)," ")</f>
        <v>KIRMA</v>
      </c>
      <c r="Q35" s="100">
        <f>IFERROR(VLOOKUP(Tablo518[[#This Row],[ÜRÜN KODU]],YMKODLARI!$A$1:$K$363,5,0)," ")</f>
        <v>18.7</v>
      </c>
      <c r="R35" s="100">
        <f>IFERROR(VLOOKUP(Tablo518[[#This Row],[ÜRÜN KODU]],YMKODLARI!$A$1:$K$363,6,0)," ")</f>
        <v>18.7</v>
      </c>
      <c r="S35" s="100">
        <f>IFERROR(Tablo518[[#This Row],[YOLLUK HARİÇ BASKI GRAMI]]/Tablo518[[#This Row],[KALIP GÖZ ADEDİ]]," ")</f>
        <v>9.35</v>
      </c>
      <c r="T35" s="100">
        <f t="shared" si="2"/>
        <v>0</v>
      </c>
      <c r="U35" s="100">
        <v>6.3</v>
      </c>
      <c r="V35" s="100">
        <f t="shared" si="1"/>
        <v>13.7987</v>
      </c>
      <c r="W35" s="101">
        <f t="shared" si="3"/>
        <v>24.25</v>
      </c>
      <c r="X35" s="102">
        <f t="shared" si="4"/>
        <v>6</v>
      </c>
      <c r="Y35" s="100">
        <f t="shared" si="5"/>
        <v>4.2327777777777778</v>
      </c>
      <c r="Z35" s="100">
        <f t="shared" si="6"/>
        <v>802</v>
      </c>
    </row>
    <row r="36" spans="1:26">
      <c r="A36" s="108" t="s">
        <v>140</v>
      </c>
      <c r="B36" s="108" t="str">
        <f>IFERROR(VLOOKUP(Tablo518[[#This Row],[ÜRÜN KODU]],YMKODLARI!$A$1:$K$363,2,0)," ")</f>
        <v>NEŞELİ ÇINGIRAK</v>
      </c>
      <c r="C36" s="99">
        <v>43874</v>
      </c>
      <c r="D36" s="100" t="s">
        <v>33</v>
      </c>
      <c r="E36" s="101">
        <v>0.34722222222222227</v>
      </c>
      <c r="F36" s="101">
        <v>0.4513888888888889</v>
      </c>
      <c r="G36" s="100">
        <f>IFERROR(VLOOKUP(Tablo518[[#This Row],[ÜRÜN KODU]],YMKODLARI!$A$1:$K$363,3,0)," ")</f>
        <v>2</v>
      </c>
      <c r="H36" s="100">
        <f>IFERROR(VLOOKUP(Tablo518[[#This Row],[ÜRÜN KODU]],YMKODLARI!$A$1:$K$363,4,0)," ")</f>
        <v>38</v>
      </c>
      <c r="I36" s="100">
        <v>134</v>
      </c>
      <c r="J36" s="100" t="str">
        <f>IFERROR(VLOOKUP(Tablo518[[#This Row],[ÜRÜN KODU]],YMKODLARI!$A$1:$K$363,9,0)," ")</f>
        <v>BOYASIZ</v>
      </c>
      <c r="K36" s="100" t="str">
        <f>IFERROR(VLOOKUP(Tablo518[[#This Row],[BOYA KODU]],Tablo14[#All],4,0)," ")</f>
        <v xml:space="preserve"> </v>
      </c>
      <c r="L36" s="100" t="str">
        <f>IFERROR(VLOOKUP(Tablo518[[#This Row],[BOYA KODU]],Tablo14[#All],6,0)," ")</f>
        <v xml:space="preserve"> </v>
      </c>
      <c r="M36" s="100" t="str">
        <f t="shared" si="0"/>
        <v xml:space="preserve"> </v>
      </c>
      <c r="N36" s="100" t="s">
        <v>141</v>
      </c>
      <c r="O36" s="100" t="str">
        <f>IFERROR(VLOOKUP(Tablo518[[#This Row],[HAMMADDE KODU]],Tablo1[#All],3,0)," ")</f>
        <v>KIRMA TRITAN</v>
      </c>
      <c r="P36" s="100" t="str">
        <f>IFERROR(VLOOKUP(Tablo518[[#This Row],[HAMMADDE KODU]],Tablo1[#All],4,0)," ")</f>
        <v>KIRMA</v>
      </c>
      <c r="Q36" s="100">
        <f>IFERROR(VLOOKUP(Tablo518[[#This Row],[ÜRÜN KODU]],YMKODLARI!$A$1:$K$363,5,0)," ")</f>
        <v>30.8</v>
      </c>
      <c r="R36" s="100">
        <f>IFERROR(VLOOKUP(Tablo518[[#This Row],[ÜRÜN KODU]],YMKODLARI!$A$1:$K$363,6,0)," ")</f>
        <v>19</v>
      </c>
      <c r="S36" s="100">
        <f>IFERROR(Tablo518[[#This Row],[YOLLUK HARİÇ BASKI GRAMI]]/Tablo518[[#This Row],[KALIP GÖZ ADEDİ]]," ")</f>
        <v>9.5</v>
      </c>
      <c r="T36" s="100">
        <f t="shared" si="2"/>
        <v>11.8</v>
      </c>
      <c r="U36" s="100"/>
      <c r="V36" s="100">
        <f t="shared" si="1"/>
        <v>2.5459999999999998</v>
      </c>
      <c r="W36" s="101">
        <f t="shared" si="3"/>
        <v>24.104166666666668</v>
      </c>
      <c r="X36" s="102">
        <f t="shared" si="4"/>
        <v>2.5000000000000284</v>
      </c>
      <c r="Y36" s="100">
        <f t="shared" si="5"/>
        <v>1.4144444444444444</v>
      </c>
      <c r="Z36" s="100">
        <f t="shared" si="6"/>
        <v>268</v>
      </c>
    </row>
    <row r="37" spans="1:26">
      <c r="A37" s="108" t="s">
        <v>142</v>
      </c>
      <c r="B37" s="108" t="str">
        <f>IFERROR(VLOOKUP(Tablo518[[#This Row],[ÜRÜN KODU]],YMKODLARI!$A$1:$K$363,2,0)," ")</f>
        <v>NEŞELİ ÇINGIRAK</v>
      </c>
      <c r="C37" s="99">
        <v>43874</v>
      </c>
      <c r="D37" s="100" t="s">
        <v>33</v>
      </c>
      <c r="E37" s="101">
        <v>0.34722222222222227</v>
      </c>
      <c r="F37" s="101">
        <v>0.4513888888888889</v>
      </c>
      <c r="G37" s="100">
        <f>IFERROR(VLOOKUP(Tablo518[[#This Row],[ÜRÜN KODU]],YMKODLARI!$A$1:$K$363,3,0)," ")</f>
        <v>2</v>
      </c>
      <c r="H37" s="100">
        <f>IFERROR(VLOOKUP(Tablo518[[#This Row],[ÜRÜN KODU]],YMKODLARI!$A$1:$K$363,4,0)," ")</f>
        <v>38</v>
      </c>
      <c r="I37" s="100">
        <v>134</v>
      </c>
      <c r="J37" s="100" t="str">
        <f>IFERROR(VLOOKUP(Tablo518[[#This Row],[ÜRÜN KODU]],YMKODLARI!$A$1:$K$363,9,0)," ")</f>
        <v>BOYASIZ</v>
      </c>
      <c r="K37" s="100" t="str">
        <f>IFERROR(VLOOKUP(Tablo518[[#This Row],[BOYA KODU]],Tablo14[#All],4,0)," ")</f>
        <v xml:space="preserve"> </v>
      </c>
      <c r="L37" s="100" t="str">
        <f>IFERROR(VLOOKUP(Tablo518[[#This Row],[BOYA KODU]],Tablo14[#All],6,0)," ")</f>
        <v xml:space="preserve"> </v>
      </c>
      <c r="M37" s="100" t="str">
        <f t="shared" si="0"/>
        <v xml:space="preserve"> </v>
      </c>
      <c r="N37" s="100" t="s">
        <v>141</v>
      </c>
      <c r="O37" s="100" t="str">
        <f>IFERROR(VLOOKUP(Tablo518[[#This Row],[HAMMADDE KODU]],Tablo1[#All],3,0)," ")</f>
        <v>KIRMA TRITAN</v>
      </c>
      <c r="P37" s="100" t="str">
        <f>IFERROR(VLOOKUP(Tablo518[[#This Row],[HAMMADDE KODU]],Tablo1[#All],4,0)," ")</f>
        <v>KIRMA</v>
      </c>
      <c r="Q37" s="100">
        <f>IFERROR(VLOOKUP(Tablo518[[#This Row],[ÜRÜN KODU]],YMKODLARI!$A$1:$K$363,5,0)," ")</f>
        <v>17.100000000000001</v>
      </c>
      <c r="R37" s="100">
        <f>IFERROR(VLOOKUP(Tablo518[[#This Row],[ÜRÜN KODU]],YMKODLARI!$A$1:$K$363,6,0)," ")</f>
        <v>17.100000000000001</v>
      </c>
      <c r="S37" s="100">
        <f>IFERROR(Tablo518[[#This Row],[YOLLUK HARİÇ BASKI GRAMI]]/Tablo518[[#This Row],[KALIP GÖZ ADEDİ]]," ")</f>
        <v>8.5500000000000007</v>
      </c>
      <c r="T37" s="100">
        <f t="shared" si="2"/>
        <v>0</v>
      </c>
      <c r="U37" s="100"/>
      <c r="V37" s="100">
        <f t="shared" si="1"/>
        <v>2.2913999999999999</v>
      </c>
      <c r="W37" s="101">
        <f t="shared" si="3"/>
        <v>24.104166666666668</v>
      </c>
      <c r="X37" s="102">
        <f t="shared" si="4"/>
        <v>2.5000000000000284</v>
      </c>
      <c r="Y37" s="100">
        <f t="shared" si="5"/>
        <v>1.4144444444444444</v>
      </c>
      <c r="Z37" s="100">
        <f t="shared" si="6"/>
        <v>268</v>
      </c>
    </row>
    <row r="38" spans="1:26">
      <c r="A38" s="108" t="s">
        <v>143</v>
      </c>
      <c r="B38" s="108" t="str">
        <f>IFERROR(VLOOKUP(Tablo518[[#This Row],[ÜRÜN KODU]],YMKODLARI!$A$1:$K$363,2,0)," ")</f>
        <v>NEŞELİ ÇINGIRAK</v>
      </c>
      <c r="C38" s="99">
        <v>43874</v>
      </c>
      <c r="D38" s="100" t="s">
        <v>33</v>
      </c>
      <c r="E38" s="101">
        <v>0.34722222222222227</v>
      </c>
      <c r="F38" s="101">
        <v>0.4513888888888889</v>
      </c>
      <c r="G38" s="100">
        <f>IFERROR(VLOOKUP(Tablo518[[#This Row],[ÜRÜN KODU]],YMKODLARI!$A$1:$K$363,3,0)," ")</f>
        <v>2</v>
      </c>
      <c r="H38" s="100">
        <f>IFERROR(VLOOKUP(Tablo518[[#This Row],[ÜRÜN KODU]],YMKODLARI!$A$1:$K$363,4,0)," ")</f>
        <v>38</v>
      </c>
      <c r="I38" s="100">
        <v>134</v>
      </c>
      <c r="J38" s="100" t="str">
        <f>IFERROR(VLOOKUP(Tablo518[[#This Row],[ÜRÜN KODU]],YMKODLARI!$A$1:$K$363,9,0)," ")</f>
        <v>BOYASIZ</v>
      </c>
      <c r="K38" s="100" t="str">
        <f>IFERROR(VLOOKUP(Tablo518[[#This Row],[BOYA KODU]],Tablo14[#All],4,0)," ")</f>
        <v xml:space="preserve"> </v>
      </c>
      <c r="L38" s="100" t="str">
        <f>IFERROR(VLOOKUP(Tablo518[[#This Row],[BOYA KODU]],Tablo14[#All],6,0)," ")</f>
        <v xml:space="preserve"> </v>
      </c>
      <c r="M38" s="100" t="str">
        <f t="shared" si="0"/>
        <v xml:space="preserve"> </v>
      </c>
      <c r="N38" s="100" t="s">
        <v>141</v>
      </c>
      <c r="O38" s="100" t="str">
        <f>IFERROR(VLOOKUP(Tablo518[[#This Row],[HAMMADDE KODU]],Tablo1[#All],3,0)," ")</f>
        <v>KIRMA TRITAN</v>
      </c>
      <c r="P38" s="100" t="str">
        <f>IFERROR(VLOOKUP(Tablo518[[#This Row],[HAMMADDE KODU]],Tablo1[#All],4,0)," ")</f>
        <v>KIRMA</v>
      </c>
      <c r="Q38" s="100">
        <f>IFERROR(VLOOKUP(Tablo518[[#This Row],[ÜRÜN KODU]],YMKODLARI!$A$1:$K$363,5,0)," ")</f>
        <v>20.100000000000001</v>
      </c>
      <c r="R38" s="100">
        <f>IFERROR(VLOOKUP(Tablo518[[#This Row],[ÜRÜN KODU]],YMKODLARI!$A$1:$K$363,6,0)," ")</f>
        <v>20.100000000000001</v>
      </c>
      <c r="S38" s="100">
        <f>IFERROR(Tablo518[[#This Row],[YOLLUK HARİÇ BASKI GRAMI]]/Tablo518[[#This Row],[KALIP GÖZ ADEDİ]]," ")</f>
        <v>10.050000000000001</v>
      </c>
      <c r="T38" s="100">
        <f t="shared" si="2"/>
        <v>0</v>
      </c>
      <c r="U38" s="100"/>
      <c r="V38" s="100">
        <f t="shared" si="1"/>
        <v>2.6934</v>
      </c>
      <c r="W38" s="101">
        <f t="shared" si="3"/>
        <v>24.104166666666668</v>
      </c>
      <c r="X38" s="102">
        <f t="shared" si="4"/>
        <v>2.5000000000000284</v>
      </c>
      <c r="Y38" s="100">
        <f t="shared" si="5"/>
        <v>1.4144444444444444</v>
      </c>
      <c r="Z38" s="100">
        <f t="shared" si="6"/>
        <v>268</v>
      </c>
    </row>
    <row r="39" spans="1:26">
      <c r="A39" s="108" t="s">
        <v>144</v>
      </c>
      <c r="B39" s="108" t="str">
        <f>IFERROR(VLOOKUP(Tablo518[[#This Row],[ÜRÜN KODU]],YMKODLARI!$A$1:$K$363,2,0)," ")</f>
        <v>NEŞELİ ÇINGIRAK</v>
      </c>
      <c r="C39" s="99">
        <v>43874</v>
      </c>
      <c r="D39" s="100" t="s">
        <v>33</v>
      </c>
      <c r="E39" s="101">
        <v>0.34722222222222227</v>
      </c>
      <c r="F39" s="101">
        <v>0.4513888888888889</v>
      </c>
      <c r="G39" s="100">
        <f>IFERROR(VLOOKUP(Tablo518[[#This Row],[ÜRÜN KODU]],YMKODLARI!$A$1:$K$363,3,0)," ")</f>
        <v>2</v>
      </c>
      <c r="H39" s="100">
        <f>IFERROR(VLOOKUP(Tablo518[[#This Row],[ÜRÜN KODU]],YMKODLARI!$A$1:$K$363,4,0)," ")</f>
        <v>38</v>
      </c>
      <c r="I39" s="100">
        <v>134</v>
      </c>
      <c r="J39" s="100" t="str">
        <f>IFERROR(VLOOKUP(Tablo518[[#This Row],[ÜRÜN KODU]],YMKODLARI!$A$1:$K$363,9,0)," ")</f>
        <v>BOYASIZ</v>
      </c>
      <c r="K39" s="100" t="str">
        <f>IFERROR(VLOOKUP(Tablo518[[#This Row],[BOYA KODU]],Tablo14[#All],4,0)," ")</f>
        <v xml:space="preserve"> </v>
      </c>
      <c r="L39" s="100" t="str">
        <f>IFERROR(VLOOKUP(Tablo518[[#This Row],[BOYA KODU]],Tablo14[#All],6,0)," ")</f>
        <v xml:space="preserve"> </v>
      </c>
      <c r="M39" s="100" t="str">
        <f t="shared" si="0"/>
        <v xml:space="preserve"> </v>
      </c>
      <c r="N39" s="100" t="s">
        <v>141</v>
      </c>
      <c r="O39" s="100" t="str">
        <f>IFERROR(VLOOKUP(Tablo518[[#This Row],[HAMMADDE KODU]],Tablo1[#All],3,0)," ")</f>
        <v>KIRMA TRITAN</v>
      </c>
      <c r="P39" s="100" t="str">
        <f>IFERROR(VLOOKUP(Tablo518[[#This Row],[HAMMADDE KODU]],Tablo1[#All],4,0)," ")</f>
        <v>KIRMA</v>
      </c>
      <c r="Q39" s="100">
        <f>IFERROR(VLOOKUP(Tablo518[[#This Row],[ÜRÜN KODU]],YMKODLARI!$A$1:$K$363,5,0)," ")</f>
        <v>18.7</v>
      </c>
      <c r="R39" s="100">
        <f>IFERROR(VLOOKUP(Tablo518[[#This Row],[ÜRÜN KODU]],YMKODLARI!$A$1:$K$363,6,0)," ")</f>
        <v>18.7</v>
      </c>
      <c r="S39" s="100">
        <f>IFERROR(Tablo518[[#This Row],[YOLLUK HARİÇ BASKI GRAMI]]/Tablo518[[#This Row],[KALIP GÖZ ADEDİ]]," ")</f>
        <v>9.35</v>
      </c>
      <c r="T39" s="100">
        <f t="shared" si="2"/>
        <v>0</v>
      </c>
      <c r="U39" s="100"/>
      <c r="V39" s="100">
        <f t="shared" si="1"/>
        <v>2.5057999999999998</v>
      </c>
      <c r="W39" s="101">
        <f t="shared" si="3"/>
        <v>24.104166666666668</v>
      </c>
      <c r="X39" s="102">
        <f t="shared" si="4"/>
        <v>2.5000000000000284</v>
      </c>
      <c r="Y39" s="100">
        <f t="shared" si="5"/>
        <v>1.4144444444444444</v>
      </c>
      <c r="Z39" s="100">
        <f t="shared" si="6"/>
        <v>268</v>
      </c>
    </row>
    <row r="40" spans="1:26">
      <c r="A40" s="108" t="s">
        <v>145</v>
      </c>
      <c r="B40" s="108" t="str">
        <f>IFERROR(VLOOKUP(Tablo518[[#This Row],[ÜRÜN KODU]],YMKODLARI!$A$1:$K$363,2,0)," ")</f>
        <v>NEŞELİ ÇINGIRAK</v>
      </c>
      <c r="C40" s="99">
        <v>43874</v>
      </c>
      <c r="D40" s="100" t="s">
        <v>33</v>
      </c>
      <c r="E40" s="101">
        <v>0.4513888888888889</v>
      </c>
      <c r="F40" s="101">
        <v>0.61805555555555558</v>
      </c>
      <c r="G40" s="100">
        <f>IFERROR(VLOOKUP(Tablo518[[#This Row],[ÜRÜN KODU]],YMKODLARI!$A$1:$K$363,3,0)," ")</f>
        <v>2</v>
      </c>
      <c r="H40" s="100">
        <f>IFERROR(VLOOKUP(Tablo518[[#This Row],[ÜRÜN KODU]],YMKODLARI!$A$1:$K$363,4,0)," ")</f>
        <v>38</v>
      </c>
      <c r="I40" s="100">
        <v>312</v>
      </c>
      <c r="J40" s="100" t="str">
        <f>IFERROR(VLOOKUP(Tablo518[[#This Row],[ÜRÜN KODU]],YMKODLARI!$A$1:$K$363,9,0)," ")</f>
        <v>BOYASIZ</v>
      </c>
      <c r="K40" s="100" t="str">
        <f>IFERROR(VLOOKUP(Tablo518[[#This Row],[BOYA KODU]],Tablo14[#All],4,0)," ")</f>
        <v xml:space="preserve"> </v>
      </c>
      <c r="L40" s="100" t="str">
        <f>IFERROR(VLOOKUP(Tablo518[[#This Row],[BOYA KODU]],Tablo14[#All],6,0)," ")</f>
        <v xml:space="preserve"> </v>
      </c>
      <c r="M40" s="100" t="str">
        <f t="shared" si="0"/>
        <v xml:space="preserve"> </v>
      </c>
      <c r="N40" s="100" t="s">
        <v>141</v>
      </c>
      <c r="O40" s="100" t="str">
        <f>IFERROR(VLOOKUP(Tablo518[[#This Row],[HAMMADDE KODU]],Tablo1[#All],3,0)," ")</f>
        <v>KIRMA TRITAN</v>
      </c>
      <c r="P40" s="100" t="str">
        <f>IFERROR(VLOOKUP(Tablo518[[#This Row],[HAMMADDE KODU]],Tablo1[#All],4,0)," ")</f>
        <v>KIRMA</v>
      </c>
      <c r="Q40" s="100">
        <f>IFERROR(VLOOKUP(Tablo518[[#This Row],[ÜRÜN KODU]],YMKODLARI!$A$1:$K$363,5,0)," ")</f>
        <v>30.8</v>
      </c>
      <c r="R40" s="100">
        <f>IFERROR(VLOOKUP(Tablo518[[#This Row],[ÜRÜN KODU]],YMKODLARI!$A$1:$K$363,6,0)," ")</f>
        <v>19</v>
      </c>
      <c r="S40" s="100">
        <f>IFERROR(Tablo518[[#This Row],[YOLLUK HARİÇ BASKI GRAMI]]/Tablo518[[#This Row],[KALIP GÖZ ADEDİ]]," ")</f>
        <v>9.5</v>
      </c>
      <c r="T40" s="100">
        <f t="shared" si="2"/>
        <v>11.8</v>
      </c>
      <c r="U40" s="100"/>
      <c r="V40" s="100">
        <f t="shared" si="1"/>
        <v>5.9279999999999999</v>
      </c>
      <c r="W40" s="101">
        <f t="shared" si="3"/>
        <v>24.166666666666668</v>
      </c>
      <c r="X40" s="102">
        <f t="shared" si="4"/>
        <v>4.0000000000000284</v>
      </c>
      <c r="Y40" s="100">
        <f t="shared" si="5"/>
        <v>3.2933333333333334</v>
      </c>
      <c r="Z40" s="100">
        <f t="shared" si="6"/>
        <v>624</v>
      </c>
    </row>
    <row r="41" spans="1:26">
      <c r="A41" s="108" t="s">
        <v>146</v>
      </c>
      <c r="B41" s="108" t="str">
        <f>IFERROR(VLOOKUP(Tablo518[[#This Row],[ÜRÜN KODU]],YMKODLARI!$A$1:$K$363,2,0)," ")</f>
        <v>NEŞELİ ÇINGIRAK</v>
      </c>
      <c r="C41" s="99">
        <v>43874</v>
      </c>
      <c r="D41" s="100" t="s">
        <v>33</v>
      </c>
      <c r="E41" s="101">
        <v>0.4513888888888889</v>
      </c>
      <c r="F41" s="101">
        <v>0.61805555555555558</v>
      </c>
      <c r="G41" s="100">
        <f>IFERROR(VLOOKUP(Tablo518[[#This Row],[ÜRÜN KODU]],YMKODLARI!$A$1:$K$363,3,0)," ")</f>
        <v>2</v>
      </c>
      <c r="H41" s="100">
        <f>IFERROR(VLOOKUP(Tablo518[[#This Row],[ÜRÜN KODU]],YMKODLARI!$A$1:$K$363,4,0)," ")</f>
        <v>38</v>
      </c>
      <c r="I41" s="100">
        <v>312</v>
      </c>
      <c r="J41" s="100" t="str">
        <f>IFERROR(VLOOKUP(Tablo518[[#This Row],[ÜRÜN KODU]],YMKODLARI!$A$1:$K$363,9,0)," ")</f>
        <v>BOYASIZ</v>
      </c>
      <c r="K41" s="100" t="str">
        <f>IFERROR(VLOOKUP(Tablo518[[#This Row],[BOYA KODU]],Tablo14[#All],4,0)," ")</f>
        <v xml:space="preserve"> </v>
      </c>
      <c r="L41" s="100" t="str">
        <f>IFERROR(VLOOKUP(Tablo518[[#This Row],[BOYA KODU]],Tablo14[#All],6,0)," ")</f>
        <v xml:space="preserve"> </v>
      </c>
      <c r="M41" s="100" t="str">
        <f t="shared" si="0"/>
        <v xml:space="preserve"> </v>
      </c>
      <c r="N41" s="100" t="s">
        <v>141</v>
      </c>
      <c r="O41" s="100" t="str">
        <f>IFERROR(VLOOKUP(Tablo518[[#This Row],[HAMMADDE KODU]],Tablo1[#All],3,0)," ")</f>
        <v>KIRMA TRITAN</v>
      </c>
      <c r="P41" s="100" t="str">
        <f>IFERROR(VLOOKUP(Tablo518[[#This Row],[HAMMADDE KODU]],Tablo1[#All],4,0)," ")</f>
        <v>KIRMA</v>
      </c>
      <c r="Q41" s="100">
        <f>IFERROR(VLOOKUP(Tablo518[[#This Row],[ÜRÜN KODU]],YMKODLARI!$A$1:$K$363,5,0)," ")</f>
        <v>17.100000000000001</v>
      </c>
      <c r="R41" s="100">
        <f>IFERROR(VLOOKUP(Tablo518[[#This Row],[ÜRÜN KODU]],YMKODLARI!$A$1:$K$363,6,0)," ")</f>
        <v>17.100000000000001</v>
      </c>
      <c r="S41" s="100">
        <f>IFERROR(Tablo518[[#This Row],[YOLLUK HARİÇ BASKI GRAMI]]/Tablo518[[#This Row],[KALIP GÖZ ADEDİ]]," ")</f>
        <v>8.5500000000000007</v>
      </c>
      <c r="T41" s="100">
        <f t="shared" si="2"/>
        <v>0</v>
      </c>
      <c r="U41" s="100"/>
      <c r="V41" s="100">
        <f t="shared" si="1"/>
        <v>5.3352000000000004</v>
      </c>
      <c r="W41" s="101">
        <f t="shared" si="3"/>
        <v>24.166666666666668</v>
      </c>
      <c r="X41" s="102">
        <f t="shared" si="4"/>
        <v>4.0000000000000284</v>
      </c>
      <c r="Y41" s="100">
        <f t="shared" si="5"/>
        <v>3.2933333333333334</v>
      </c>
      <c r="Z41" s="100">
        <f t="shared" si="6"/>
        <v>624</v>
      </c>
    </row>
    <row r="42" spans="1:26">
      <c r="A42" s="108" t="s">
        <v>147</v>
      </c>
      <c r="B42" s="108" t="str">
        <f>IFERROR(VLOOKUP(Tablo518[[#This Row],[ÜRÜN KODU]],YMKODLARI!$A$1:$K$363,2,0)," ")</f>
        <v>NEŞELİ ÇINGIRAK</v>
      </c>
      <c r="C42" s="99">
        <v>43874</v>
      </c>
      <c r="D42" s="100" t="s">
        <v>33</v>
      </c>
      <c r="E42" s="101">
        <v>0.4513888888888889</v>
      </c>
      <c r="F42" s="101">
        <v>0.61805555555555558</v>
      </c>
      <c r="G42" s="100">
        <f>IFERROR(VLOOKUP(Tablo518[[#This Row],[ÜRÜN KODU]],YMKODLARI!$A$1:$K$363,3,0)," ")</f>
        <v>2</v>
      </c>
      <c r="H42" s="100">
        <f>IFERROR(VLOOKUP(Tablo518[[#This Row],[ÜRÜN KODU]],YMKODLARI!$A$1:$K$363,4,0)," ")</f>
        <v>38</v>
      </c>
      <c r="I42" s="100">
        <v>312</v>
      </c>
      <c r="J42" s="100" t="str">
        <f>IFERROR(VLOOKUP(Tablo518[[#This Row],[ÜRÜN KODU]],YMKODLARI!$A$1:$K$363,9,0)," ")</f>
        <v>BOYASIZ</v>
      </c>
      <c r="K42" s="100" t="str">
        <f>IFERROR(VLOOKUP(Tablo518[[#This Row],[BOYA KODU]],Tablo14[#All],4,0)," ")</f>
        <v xml:space="preserve"> </v>
      </c>
      <c r="L42" s="100" t="str">
        <f>IFERROR(VLOOKUP(Tablo518[[#This Row],[BOYA KODU]],Tablo14[#All],6,0)," ")</f>
        <v xml:space="preserve"> </v>
      </c>
      <c r="M42" s="100" t="str">
        <f t="shared" si="0"/>
        <v xml:space="preserve"> </v>
      </c>
      <c r="N42" s="100" t="s">
        <v>141</v>
      </c>
      <c r="O42" s="100" t="str">
        <f>IFERROR(VLOOKUP(Tablo518[[#This Row],[HAMMADDE KODU]],Tablo1[#All],3,0)," ")</f>
        <v>KIRMA TRITAN</v>
      </c>
      <c r="P42" s="100" t="str">
        <f>IFERROR(VLOOKUP(Tablo518[[#This Row],[HAMMADDE KODU]],Tablo1[#All],4,0)," ")</f>
        <v>KIRMA</v>
      </c>
      <c r="Q42" s="100">
        <f>IFERROR(VLOOKUP(Tablo518[[#This Row],[ÜRÜN KODU]],YMKODLARI!$A$1:$K$363,5,0)," ")</f>
        <v>20.100000000000001</v>
      </c>
      <c r="R42" s="100">
        <f>IFERROR(VLOOKUP(Tablo518[[#This Row],[ÜRÜN KODU]],YMKODLARI!$A$1:$K$363,6,0)," ")</f>
        <v>20.100000000000001</v>
      </c>
      <c r="S42" s="100">
        <f>IFERROR(Tablo518[[#This Row],[YOLLUK HARİÇ BASKI GRAMI]]/Tablo518[[#This Row],[KALIP GÖZ ADEDİ]]," ")</f>
        <v>10.050000000000001</v>
      </c>
      <c r="T42" s="100">
        <f t="shared" si="2"/>
        <v>0</v>
      </c>
      <c r="U42" s="100"/>
      <c r="V42" s="100">
        <f t="shared" si="1"/>
        <v>6.2712000000000003</v>
      </c>
      <c r="W42" s="101">
        <f t="shared" si="3"/>
        <v>24.166666666666668</v>
      </c>
      <c r="X42" s="102">
        <f t="shared" si="4"/>
        <v>4.0000000000000284</v>
      </c>
      <c r="Y42" s="100">
        <f t="shared" si="5"/>
        <v>3.2933333333333334</v>
      </c>
      <c r="Z42" s="100">
        <f t="shared" si="6"/>
        <v>624</v>
      </c>
    </row>
    <row r="43" spans="1:26">
      <c r="A43" s="108" t="s">
        <v>148</v>
      </c>
      <c r="B43" s="108" t="str">
        <f>IFERROR(VLOOKUP(Tablo518[[#This Row],[ÜRÜN KODU]],YMKODLARI!$A$1:$K$363,2,0)," ")</f>
        <v>NEŞELİ ÇINGIRAK</v>
      </c>
      <c r="C43" s="99">
        <v>43874</v>
      </c>
      <c r="D43" s="100" t="s">
        <v>33</v>
      </c>
      <c r="E43" s="101">
        <v>0.4513888888888889</v>
      </c>
      <c r="F43" s="101">
        <v>0.61805555555555558</v>
      </c>
      <c r="G43" s="100">
        <f>IFERROR(VLOOKUP(Tablo518[[#This Row],[ÜRÜN KODU]],YMKODLARI!$A$1:$K$363,3,0)," ")</f>
        <v>2</v>
      </c>
      <c r="H43" s="100">
        <f>IFERROR(VLOOKUP(Tablo518[[#This Row],[ÜRÜN KODU]],YMKODLARI!$A$1:$K$363,4,0)," ")</f>
        <v>38</v>
      </c>
      <c r="I43" s="100">
        <v>312</v>
      </c>
      <c r="J43" s="100" t="str">
        <f>IFERROR(VLOOKUP(Tablo518[[#This Row],[ÜRÜN KODU]],YMKODLARI!$A$1:$K$363,9,0)," ")</f>
        <v>BOYASIZ</v>
      </c>
      <c r="K43" s="100" t="str">
        <f>IFERROR(VLOOKUP(Tablo518[[#This Row],[BOYA KODU]],Tablo14[#All],4,0)," ")</f>
        <v xml:space="preserve"> </v>
      </c>
      <c r="L43" s="100" t="str">
        <f>IFERROR(VLOOKUP(Tablo518[[#This Row],[BOYA KODU]],Tablo14[#All],6,0)," ")</f>
        <v xml:space="preserve"> </v>
      </c>
      <c r="M43" s="100" t="str">
        <f t="shared" si="0"/>
        <v xml:space="preserve"> </v>
      </c>
      <c r="N43" s="100" t="s">
        <v>141</v>
      </c>
      <c r="O43" s="100" t="str">
        <f>IFERROR(VLOOKUP(Tablo518[[#This Row],[HAMMADDE KODU]],Tablo1[#All],3,0)," ")</f>
        <v>KIRMA TRITAN</v>
      </c>
      <c r="P43" s="100" t="str">
        <f>IFERROR(VLOOKUP(Tablo518[[#This Row],[HAMMADDE KODU]],Tablo1[#All],4,0)," ")</f>
        <v>KIRMA</v>
      </c>
      <c r="Q43" s="100">
        <f>IFERROR(VLOOKUP(Tablo518[[#This Row],[ÜRÜN KODU]],YMKODLARI!$A$1:$K$363,5,0)," ")</f>
        <v>18.7</v>
      </c>
      <c r="R43" s="100">
        <f>IFERROR(VLOOKUP(Tablo518[[#This Row],[ÜRÜN KODU]],YMKODLARI!$A$1:$K$363,6,0)," ")</f>
        <v>18.7</v>
      </c>
      <c r="S43" s="100">
        <f>IFERROR(Tablo518[[#This Row],[YOLLUK HARİÇ BASKI GRAMI]]/Tablo518[[#This Row],[KALIP GÖZ ADEDİ]]," ")</f>
        <v>9.35</v>
      </c>
      <c r="T43" s="100">
        <f t="shared" si="2"/>
        <v>0</v>
      </c>
      <c r="U43" s="100"/>
      <c r="V43" s="100">
        <f t="shared" si="1"/>
        <v>5.8343999999999996</v>
      </c>
      <c r="W43" s="101">
        <f t="shared" si="3"/>
        <v>24.166666666666668</v>
      </c>
      <c r="X43" s="102">
        <f t="shared" si="4"/>
        <v>4.0000000000000284</v>
      </c>
      <c r="Y43" s="100">
        <f t="shared" si="5"/>
        <v>3.2933333333333334</v>
      </c>
      <c r="Z43" s="100">
        <f t="shared" si="6"/>
        <v>624</v>
      </c>
    </row>
    <row r="44" spans="1:26">
      <c r="A44" s="108" t="s">
        <v>149</v>
      </c>
      <c r="B44" s="108" t="str">
        <f>IFERROR(VLOOKUP(Tablo518[[#This Row],[ÜRÜN KODU]],YMKODLARI!$A$1:$K$363,2,0)," ")</f>
        <v>NEŞELİ ÇINGIRAK</v>
      </c>
      <c r="C44" s="99">
        <v>43874</v>
      </c>
      <c r="D44" s="100" t="s">
        <v>33</v>
      </c>
      <c r="E44" s="101">
        <v>0.62152777777777779</v>
      </c>
      <c r="F44" s="101">
        <v>0.75</v>
      </c>
      <c r="G44" s="100">
        <f>IFERROR(VLOOKUP(Tablo518[[#This Row],[ÜRÜN KODU]],YMKODLARI!$A$1:$K$363,3,0)," ")</f>
        <v>2</v>
      </c>
      <c r="H44" s="100">
        <f>IFERROR(VLOOKUP(Tablo518[[#This Row],[ÜRÜN KODU]],YMKODLARI!$A$1:$K$363,4,0)," ")</f>
        <v>38</v>
      </c>
      <c r="I44" s="100">
        <v>241</v>
      </c>
      <c r="J44" s="100" t="str">
        <f>IFERROR(VLOOKUP(Tablo518[[#This Row],[ÜRÜN KODU]],YMKODLARI!$A$1:$K$363,9,0)," ")</f>
        <v>BOYASIZ</v>
      </c>
      <c r="K44" s="100" t="str">
        <f>IFERROR(VLOOKUP(Tablo518[[#This Row],[BOYA KODU]],Tablo14[#All],4,0)," ")</f>
        <v xml:space="preserve"> </v>
      </c>
      <c r="L44" s="100" t="str">
        <f>IFERROR(VLOOKUP(Tablo518[[#This Row],[BOYA KODU]],Tablo14[#All],6,0)," ")</f>
        <v xml:space="preserve"> </v>
      </c>
      <c r="M44" s="100" t="str">
        <f t="shared" si="0"/>
        <v xml:space="preserve"> </v>
      </c>
      <c r="N44" s="100" t="s">
        <v>141</v>
      </c>
      <c r="O44" s="100" t="str">
        <f>IFERROR(VLOOKUP(Tablo518[[#This Row],[HAMMADDE KODU]],Tablo1[#All],3,0)," ")</f>
        <v>KIRMA TRITAN</v>
      </c>
      <c r="P44" s="100" t="str">
        <f>IFERROR(VLOOKUP(Tablo518[[#This Row],[HAMMADDE KODU]],Tablo1[#All],4,0)," ")</f>
        <v>KIRMA</v>
      </c>
      <c r="Q44" s="100">
        <f>IFERROR(VLOOKUP(Tablo518[[#This Row],[ÜRÜN KODU]],YMKODLARI!$A$1:$K$363,5,0)," ")</f>
        <v>30.8</v>
      </c>
      <c r="R44" s="100">
        <f>IFERROR(VLOOKUP(Tablo518[[#This Row],[ÜRÜN KODU]],YMKODLARI!$A$1:$K$363,6,0)," ")</f>
        <v>19</v>
      </c>
      <c r="S44" s="100">
        <f>IFERROR(Tablo518[[#This Row],[YOLLUK HARİÇ BASKI GRAMI]]/Tablo518[[#This Row],[KALIP GÖZ ADEDİ]]," ")</f>
        <v>9.5</v>
      </c>
      <c r="T44" s="100">
        <f t="shared" si="2"/>
        <v>11.8</v>
      </c>
      <c r="U44" s="100"/>
      <c r="V44" s="100">
        <f t="shared" si="1"/>
        <v>4.5789999999999997</v>
      </c>
      <c r="W44" s="101">
        <f t="shared" si="3"/>
        <v>24.128472222222221</v>
      </c>
      <c r="X44" s="102">
        <f t="shared" si="4"/>
        <v>3.0833333333333144</v>
      </c>
      <c r="Y44" s="100">
        <f t="shared" si="5"/>
        <v>2.5438888888888891</v>
      </c>
      <c r="Z44" s="100">
        <f t="shared" si="6"/>
        <v>482</v>
      </c>
    </row>
    <row r="45" spans="1:26">
      <c r="A45" s="108" t="s">
        <v>150</v>
      </c>
      <c r="B45" s="108" t="str">
        <f>IFERROR(VLOOKUP(Tablo518[[#This Row],[ÜRÜN KODU]],YMKODLARI!$A$1:$K$363,2,0)," ")</f>
        <v>NEŞELİ ÇINGIRAK</v>
      </c>
      <c r="C45" s="99">
        <v>43874</v>
      </c>
      <c r="D45" s="100" t="s">
        <v>33</v>
      </c>
      <c r="E45" s="101">
        <v>0.62152777777777779</v>
      </c>
      <c r="F45" s="101">
        <v>0.75</v>
      </c>
      <c r="G45" s="100">
        <f>IFERROR(VLOOKUP(Tablo518[[#This Row],[ÜRÜN KODU]],YMKODLARI!$A$1:$K$363,3,0)," ")</f>
        <v>2</v>
      </c>
      <c r="H45" s="100">
        <f>IFERROR(VLOOKUP(Tablo518[[#This Row],[ÜRÜN KODU]],YMKODLARI!$A$1:$K$363,4,0)," ")</f>
        <v>38</v>
      </c>
      <c r="I45" s="100">
        <v>241</v>
      </c>
      <c r="J45" s="100" t="str">
        <f>IFERROR(VLOOKUP(Tablo518[[#This Row],[ÜRÜN KODU]],YMKODLARI!$A$1:$K$363,9,0)," ")</f>
        <v>BOYASIZ</v>
      </c>
      <c r="K45" s="100" t="str">
        <f>IFERROR(VLOOKUP(Tablo518[[#This Row],[BOYA KODU]],Tablo14[#All],4,0)," ")</f>
        <v xml:space="preserve"> </v>
      </c>
      <c r="L45" s="100" t="str">
        <f>IFERROR(VLOOKUP(Tablo518[[#This Row],[BOYA KODU]],Tablo14[#All],6,0)," ")</f>
        <v xml:space="preserve"> </v>
      </c>
      <c r="M45" s="100" t="str">
        <f t="shared" si="0"/>
        <v xml:space="preserve"> </v>
      </c>
      <c r="N45" s="100" t="s">
        <v>141</v>
      </c>
      <c r="O45" s="100" t="str">
        <f>IFERROR(VLOOKUP(Tablo518[[#This Row],[HAMMADDE KODU]],Tablo1[#All],3,0)," ")</f>
        <v>KIRMA TRITAN</v>
      </c>
      <c r="P45" s="100" t="str">
        <f>IFERROR(VLOOKUP(Tablo518[[#This Row],[HAMMADDE KODU]],Tablo1[#All],4,0)," ")</f>
        <v>KIRMA</v>
      </c>
      <c r="Q45" s="100">
        <f>IFERROR(VLOOKUP(Tablo518[[#This Row],[ÜRÜN KODU]],YMKODLARI!$A$1:$K$363,5,0)," ")</f>
        <v>17.100000000000001</v>
      </c>
      <c r="R45" s="100">
        <f>IFERROR(VLOOKUP(Tablo518[[#This Row],[ÜRÜN KODU]],YMKODLARI!$A$1:$K$363,6,0)," ")</f>
        <v>17.100000000000001</v>
      </c>
      <c r="S45" s="100">
        <f>IFERROR(Tablo518[[#This Row],[YOLLUK HARİÇ BASKI GRAMI]]/Tablo518[[#This Row],[KALIP GÖZ ADEDİ]]," ")</f>
        <v>8.5500000000000007</v>
      </c>
      <c r="T45" s="100">
        <f t="shared" si="2"/>
        <v>0</v>
      </c>
      <c r="U45" s="100"/>
      <c r="V45" s="100">
        <f t="shared" si="1"/>
        <v>4.1211000000000002</v>
      </c>
      <c r="W45" s="101">
        <f t="shared" si="3"/>
        <v>24.128472222222221</v>
      </c>
      <c r="X45" s="102">
        <f t="shared" si="4"/>
        <v>3.0833333333333144</v>
      </c>
      <c r="Y45" s="100">
        <f t="shared" si="5"/>
        <v>2.5438888888888891</v>
      </c>
      <c r="Z45" s="100">
        <f t="shared" si="6"/>
        <v>482</v>
      </c>
    </row>
    <row r="46" spans="1:26">
      <c r="A46" s="108" t="s">
        <v>151</v>
      </c>
      <c r="B46" s="108" t="str">
        <f>IFERROR(VLOOKUP(Tablo518[[#This Row],[ÜRÜN KODU]],YMKODLARI!$A$1:$K$363,2,0)," ")</f>
        <v>NEŞELİ ÇINGIRAK</v>
      </c>
      <c r="C46" s="99">
        <v>43874</v>
      </c>
      <c r="D46" s="100" t="s">
        <v>33</v>
      </c>
      <c r="E46" s="101">
        <v>0.62152777777777779</v>
      </c>
      <c r="F46" s="101">
        <v>0.75</v>
      </c>
      <c r="G46" s="100">
        <f>IFERROR(VLOOKUP(Tablo518[[#This Row],[ÜRÜN KODU]],YMKODLARI!$A$1:$K$363,3,0)," ")</f>
        <v>2</v>
      </c>
      <c r="H46" s="100">
        <f>IFERROR(VLOOKUP(Tablo518[[#This Row],[ÜRÜN KODU]],YMKODLARI!$A$1:$K$363,4,0)," ")</f>
        <v>38</v>
      </c>
      <c r="I46" s="100">
        <v>241</v>
      </c>
      <c r="J46" s="100" t="str">
        <f>IFERROR(VLOOKUP(Tablo518[[#This Row],[ÜRÜN KODU]],YMKODLARI!$A$1:$K$363,9,0)," ")</f>
        <v>BOYASIZ</v>
      </c>
      <c r="K46" s="100" t="str">
        <f>IFERROR(VLOOKUP(Tablo518[[#This Row],[BOYA KODU]],Tablo14[#All],4,0)," ")</f>
        <v xml:space="preserve"> </v>
      </c>
      <c r="L46" s="100" t="str">
        <f>IFERROR(VLOOKUP(Tablo518[[#This Row],[BOYA KODU]],Tablo14[#All],6,0)," ")</f>
        <v xml:space="preserve"> </v>
      </c>
      <c r="M46" s="100" t="str">
        <f t="shared" si="0"/>
        <v xml:space="preserve"> </v>
      </c>
      <c r="N46" s="100" t="s">
        <v>141</v>
      </c>
      <c r="O46" s="100" t="str">
        <f>IFERROR(VLOOKUP(Tablo518[[#This Row],[HAMMADDE KODU]],Tablo1[#All],3,0)," ")</f>
        <v>KIRMA TRITAN</v>
      </c>
      <c r="P46" s="100" t="str">
        <f>IFERROR(VLOOKUP(Tablo518[[#This Row],[HAMMADDE KODU]],Tablo1[#All],4,0)," ")</f>
        <v>KIRMA</v>
      </c>
      <c r="Q46" s="100">
        <f>IFERROR(VLOOKUP(Tablo518[[#This Row],[ÜRÜN KODU]],YMKODLARI!$A$1:$K$363,5,0)," ")</f>
        <v>20.100000000000001</v>
      </c>
      <c r="R46" s="100">
        <f>IFERROR(VLOOKUP(Tablo518[[#This Row],[ÜRÜN KODU]],YMKODLARI!$A$1:$K$363,6,0)," ")</f>
        <v>20.100000000000001</v>
      </c>
      <c r="S46" s="100">
        <f>IFERROR(Tablo518[[#This Row],[YOLLUK HARİÇ BASKI GRAMI]]/Tablo518[[#This Row],[KALIP GÖZ ADEDİ]]," ")</f>
        <v>10.050000000000001</v>
      </c>
      <c r="T46" s="100">
        <f t="shared" si="2"/>
        <v>0</v>
      </c>
      <c r="U46" s="100"/>
      <c r="V46" s="100">
        <f t="shared" si="1"/>
        <v>4.8441000000000001</v>
      </c>
      <c r="W46" s="101">
        <f t="shared" si="3"/>
        <v>24.128472222222221</v>
      </c>
      <c r="X46" s="102">
        <f t="shared" si="4"/>
        <v>3.0833333333333144</v>
      </c>
      <c r="Y46" s="100">
        <f t="shared" si="5"/>
        <v>2.5438888888888891</v>
      </c>
      <c r="Z46" s="100">
        <f t="shared" si="6"/>
        <v>482</v>
      </c>
    </row>
    <row r="47" spans="1:26">
      <c r="A47" s="108" t="s">
        <v>152</v>
      </c>
      <c r="B47" s="108" t="str">
        <f>IFERROR(VLOOKUP(Tablo518[[#This Row],[ÜRÜN KODU]],YMKODLARI!$A$1:$K$363,2,0)," ")</f>
        <v>NEŞELİ ÇINGIRAK</v>
      </c>
      <c r="C47" s="99">
        <v>43874</v>
      </c>
      <c r="D47" s="100" t="s">
        <v>33</v>
      </c>
      <c r="E47" s="101">
        <v>0.62152777777777779</v>
      </c>
      <c r="F47" s="101">
        <v>0.75</v>
      </c>
      <c r="G47" s="100">
        <f>IFERROR(VLOOKUP(Tablo518[[#This Row],[ÜRÜN KODU]],YMKODLARI!$A$1:$K$363,3,0)," ")</f>
        <v>2</v>
      </c>
      <c r="H47" s="100">
        <f>IFERROR(VLOOKUP(Tablo518[[#This Row],[ÜRÜN KODU]],YMKODLARI!$A$1:$K$363,4,0)," ")</f>
        <v>38</v>
      </c>
      <c r="I47" s="100">
        <v>241</v>
      </c>
      <c r="J47" s="100" t="str">
        <f>IFERROR(VLOOKUP(Tablo518[[#This Row],[ÜRÜN KODU]],YMKODLARI!$A$1:$K$363,9,0)," ")</f>
        <v>BOYASIZ</v>
      </c>
      <c r="K47" s="100" t="str">
        <f>IFERROR(VLOOKUP(Tablo518[[#This Row],[BOYA KODU]],Tablo14[#All],4,0)," ")</f>
        <v xml:space="preserve"> </v>
      </c>
      <c r="L47" s="100" t="str">
        <f>IFERROR(VLOOKUP(Tablo518[[#This Row],[BOYA KODU]],Tablo14[#All],6,0)," ")</f>
        <v xml:space="preserve"> </v>
      </c>
      <c r="M47" s="100" t="str">
        <f t="shared" si="0"/>
        <v xml:space="preserve"> </v>
      </c>
      <c r="N47" s="100" t="s">
        <v>141</v>
      </c>
      <c r="O47" s="100" t="str">
        <f>IFERROR(VLOOKUP(Tablo518[[#This Row],[HAMMADDE KODU]],Tablo1[#All],3,0)," ")</f>
        <v>KIRMA TRITAN</v>
      </c>
      <c r="P47" s="100" t="str">
        <f>IFERROR(VLOOKUP(Tablo518[[#This Row],[HAMMADDE KODU]],Tablo1[#All],4,0)," ")</f>
        <v>KIRMA</v>
      </c>
      <c r="Q47" s="100">
        <f>IFERROR(VLOOKUP(Tablo518[[#This Row],[ÜRÜN KODU]],YMKODLARI!$A$1:$K$363,5,0)," ")</f>
        <v>18.7</v>
      </c>
      <c r="R47" s="100">
        <f>IFERROR(VLOOKUP(Tablo518[[#This Row],[ÜRÜN KODU]],YMKODLARI!$A$1:$K$363,6,0)," ")</f>
        <v>18.7</v>
      </c>
      <c r="S47" s="100">
        <f>IFERROR(Tablo518[[#This Row],[YOLLUK HARİÇ BASKI GRAMI]]/Tablo518[[#This Row],[KALIP GÖZ ADEDİ]]," ")</f>
        <v>9.35</v>
      </c>
      <c r="T47" s="100">
        <f t="shared" si="2"/>
        <v>0</v>
      </c>
      <c r="U47" s="100"/>
      <c r="V47" s="100">
        <f t="shared" si="1"/>
        <v>4.5066999999999995</v>
      </c>
      <c r="W47" s="101">
        <f t="shared" si="3"/>
        <v>24.128472222222221</v>
      </c>
      <c r="X47" s="102">
        <f t="shared" si="4"/>
        <v>3.0833333333333144</v>
      </c>
      <c r="Y47" s="100">
        <f t="shared" si="5"/>
        <v>2.5438888888888891</v>
      </c>
      <c r="Z47" s="100">
        <f t="shared" si="6"/>
        <v>482</v>
      </c>
    </row>
    <row r="48" spans="1:26">
      <c r="A48" s="108" t="s">
        <v>149</v>
      </c>
      <c r="B48" s="108" t="str">
        <f>IFERROR(VLOOKUP(Tablo518[[#This Row],[ÜRÜN KODU]],YMKODLARI!$A$1:$K$363,2,0)," ")</f>
        <v>NEŞELİ ÇINGIRAK</v>
      </c>
      <c r="C48" s="99">
        <v>43875</v>
      </c>
      <c r="D48" s="100" t="s">
        <v>33</v>
      </c>
      <c r="E48" s="101">
        <v>0.35416666666666669</v>
      </c>
      <c r="F48" s="101">
        <v>0.40625</v>
      </c>
      <c r="G48" s="100">
        <f>IFERROR(VLOOKUP(Tablo518[[#This Row],[ÜRÜN KODU]],YMKODLARI!$A$1:$K$363,3,0)," ")</f>
        <v>2</v>
      </c>
      <c r="H48" s="100">
        <f>IFERROR(VLOOKUP(Tablo518[[#This Row],[ÜRÜN KODU]],YMKODLARI!$A$1:$K$363,4,0)," ")</f>
        <v>38</v>
      </c>
      <c r="I48" s="100">
        <v>98</v>
      </c>
      <c r="J48" s="100" t="str">
        <f>IFERROR(VLOOKUP(Tablo518[[#This Row],[ÜRÜN KODU]],YMKODLARI!$A$1:$K$363,9,0)," ")</f>
        <v>BOYASIZ</v>
      </c>
      <c r="K48" s="100" t="str">
        <f>IFERROR(VLOOKUP(Tablo518[[#This Row],[BOYA KODU]],Tablo14[#All],4,0)," ")</f>
        <v xml:space="preserve"> </v>
      </c>
      <c r="L48" s="100" t="str">
        <f>IFERROR(VLOOKUP(Tablo518[[#This Row],[BOYA KODU]],Tablo14[#All],6,0)," ")</f>
        <v xml:space="preserve"> </v>
      </c>
      <c r="M48" s="100" t="str">
        <f t="shared" si="0"/>
        <v xml:space="preserve"> </v>
      </c>
      <c r="N48" s="100" t="s">
        <v>141</v>
      </c>
      <c r="O48" s="100" t="str">
        <f>IFERROR(VLOOKUP(Tablo518[[#This Row],[HAMMADDE KODU]],Tablo1[#All],3,0)," ")</f>
        <v>KIRMA TRITAN</v>
      </c>
      <c r="P48" s="100" t="str">
        <f>IFERROR(VLOOKUP(Tablo518[[#This Row],[HAMMADDE KODU]],Tablo1[#All],4,0)," ")</f>
        <v>KIRMA</v>
      </c>
      <c r="Q48" s="100">
        <f>IFERROR(VLOOKUP(Tablo518[[#This Row],[ÜRÜN KODU]],YMKODLARI!$A$1:$K$363,5,0)," ")</f>
        <v>30.8</v>
      </c>
      <c r="R48" s="100">
        <f>IFERROR(VLOOKUP(Tablo518[[#This Row],[ÜRÜN KODU]],YMKODLARI!$A$1:$K$363,6,0)," ")</f>
        <v>19</v>
      </c>
      <c r="S48" s="100">
        <f>IFERROR(Tablo518[[#This Row],[YOLLUK HARİÇ BASKI GRAMI]]/Tablo518[[#This Row],[KALIP GÖZ ADEDİ]]," ")</f>
        <v>9.5</v>
      </c>
      <c r="T48" s="100">
        <f t="shared" si="2"/>
        <v>11.8</v>
      </c>
      <c r="U48" s="100"/>
      <c r="V48" s="100">
        <f t="shared" si="1"/>
        <v>1.8620000000000001</v>
      </c>
      <c r="W48" s="101">
        <f t="shared" si="3"/>
        <v>24.052083333333332</v>
      </c>
      <c r="X48" s="102">
        <f t="shared" si="4"/>
        <v>1.2499999999999716</v>
      </c>
      <c r="Y48" s="100">
        <f t="shared" si="5"/>
        <v>1.0344444444444445</v>
      </c>
      <c r="Z48" s="100">
        <f t="shared" si="6"/>
        <v>196</v>
      </c>
    </row>
    <row r="49" spans="1:26">
      <c r="A49" s="108" t="s">
        <v>150</v>
      </c>
      <c r="B49" s="108" t="str">
        <f>IFERROR(VLOOKUP(Tablo518[[#This Row],[ÜRÜN KODU]],YMKODLARI!$A$1:$K$363,2,0)," ")</f>
        <v>NEŞELİ ÇINGIRAK</v>
      </c>
      <c r="C49" s="99">
        <v>43875</v>
      </c>
      <c r="D49" s="100" t="s">
        <v>33</v>
      </c>
      <c r="E49" s="101">
        <v>0.35416666666666669</v>
      </c>
      <c r="F49" s="101">
        <v>0.40625</v>
      </c>
      <c r="G49" s="100">
        <f>IFERROR(VLOOKUP(Tablo518[[#This Row],[ÜRÜN KODU]],YMKODLARI!$A$1:$K$363,3,0)," ")</f>
        <v>2</v>
      </c>
      <c r="H49" s="100">
        <f>IFERROR(VLOOKUP(Tablo518[[#This Row],[ÜRÜN KODU]],YMKODLARI!$A$1:$K$363,4,0)," ")</f>
        <v>38</v>
      </c>
      <c r="I49" s="100">
        <v>98</v>
      </c>
      <c r="J49" s="100" t="str">
        <f>IFERROR(VLOOKUP(Tablo518[[#This Row],[ÜRÜN KODU]],YMKODLARI!$A$1:$K$363,9,0)," ")</f>
        <v>BOYASIZ</v>
      </c>
      <c r="K49" s="100" t="str">
        <f>IFERROR(VLOOKUP(Tablo518[[#This Row],[BOYA KODU]],Tablo14[#All],4,0)," ")</f>
        <v xml:space="preserve"> </v>
      </c>
      <c r="L49" s="100" t="str">
        <f>IFERROR(VLOOKUP(Tablo518[[#This Row],[BOYA KODU]],Tablo14[#All],6,0)," ")</f>
        <v xml:space="preserve"> </v>
      </c>
      <c r="M49" s="100" t="str">
        <f t="shared" si="0"/>
        <v xml:space="preserve"> </v>
      </c>
      <c r="N49" s="100" t="s">
        <v>141</v>
      </c>
      <c r="O49" s="100" t="str">
        <f>IFERROR(VLOOKUP(Tablo518[[#This Row],[HAMMADDE KODU]],Tablo1[#All],3,0)," ")</f>
        <v>KIRMA TRITAN</v>
      </c>
      <c r="P49" s="100" t="str">
        <f>IFERROR(VLOOKUP(Tablo518[[#This Row],[HAMMADDE KODU]],Tablo1[#All],4,0)," ")</f>
        <v>KIRMA</v>
      </c>
      <c r="Q49" s="100">
        <f>IFERROR(VLOOKUP(Tablo518[[#This Row],[ÜRÜN KODU]],YMKODLARI!$A$1:$K$363,5,0)," ")</f>
        <v>17.100000000000001</v>
      </c>
      <c r="R49" s="100">
        <f>IFERROR(VLOOKUP(Tablo518[[#This Row],[ÜRÜN KODU]],YMKODLARI!$A$1:$K$363,6,0)," ")</f>
        <v>17.100000000000001</v>
      </c>
      <c r="S49" s="100">
        <f>IFERROR(Tablo518[[#This Row],[YOLLUK HARİÇ BASKI GRAMI]]/Tablo518[[#This Row],[KALIP GÖZ ADEDİ]]," ")</f>
        <v>8.5500000000000007</v>
      </c>
      <c r="T49" s="100">
        <f t="shared" si="2"/>
        <v>0</v>
      </c>
      <c r="U49" s="100"/>
      <c r="V49" s="100">
        <f t="shared" si="1"/>
        <v>1.6758000000000002</v>
      </c>
      <c r="W49" s="101">
        <f t="shared" si="3"/>
        <v>24.052083333333332</v>
      </c>
      <c r="X49" s="102">
        <f t="shared" si="4"/>
        <v>1.2499999999999716</v>
      </c>
      <c r="Y49" s="100">
        <f t="shared" si="5"/>
        <v>1.0344444444444445</v>
      </c>
      <c r="Z49" s="100">
        <f t="shared" si="6"/>
        <v>196</v>
      </c>
    </row>
    <row r="50" spans="1:26">
      <c r="A50" s="108" t="s">
        <v>151</v>
      </c>
      <c r="B50" s="108" t="str">
        <f>IFERROR(VLOOKUP(Tablo518[[#This Row],[ÜRÜN KODU]],YMKODLARI!$A$1:$K$363,2,0)," ")</f>
        <v>NEŞELİ ÇINGIRAK</v>
      </c>
      <c r="C50" s="99">
        <v>43875</v>
      </c>
      <c r="D50" s="100" t="s">
        <v>33</v>
      </c>
      <c r="E50" s="101">
        <v>0.35416666666666669</v>
      </c>
      <c r="F50" s="101">
        <v>0.40625</v>
      </c>
      <c r="G50" s="100">
        <f>IFERROR(VLOOKUP(Tablo518[[#This Row],[ÜRÜN KODU]],YMKODLARI!$A$1:$K$363,3,0)," ")</f>
        <v>2</v>
      </c>
      <c r="H50" s="100">
        <f>IFERROR(VLOOKUP(Tablo518[[#This Row],[ÜRÜN KODU]],YMKODLARI!$A$1:$K$363,4,0)," ")</f>
        <v>38</v>
      </c>
      <c r="I50" s="100">
        <v>98</v>
      </c>
      <c r="J50" s="100" t="str">
        <f>IFERROR(VLOOKUP(Tablo518[[#This Row],[ÜRÜN KODU]],YMKODLARI!$A$1:$K$363,9,0)," ")</f>
        <v>BOYASIZ</v>
      </c>
      <c r="K50" s="100" t="str">
        <f>IFERROR(VLOOKUP(Tablo518[[#This Row],[BOYA KODU]],Tablo14[#All],4,0)," ")</f>
        <v xml:space="preserve"> </v>
      </c>
      <c r="L50" s="100" t="str">
        <f>IFERROR(VLOOKUP(Tablo518[[#This Row],[BOYA KODU]],Tablo14[#All],6,0)," ")</f>
        <v xml:space="preserve"> </v>
      </c>
      <c r="M50" s="100" t="str">
        <f t="shared" si="0"/>
        <v xml:space="preserve"> </v>
      </c>
      <c r="N50" s="100" t="s">
        <v>141</v>
      </c>
      <c r="O50" s="100" t="str">
        <f>IFERROR(VLOOKUP(Tablo518[[#This Row],[HAMMADDE KODU]],Tablo1[#All],3,0)," ")</f>
        <v>KIRMA TRITAN</v>
      </c>
      <c r="P50" s="100" t="str">
        <f>IFERROR(VLOOKUP(Tablo518[[#This Row],[HAMMADDE KODU]],Tablo1[#All],4,0)," ")</f>
        <v>KIRMA</v>
      </c>
      <c r="Q50" s="100">
        <f>IFERROR(VLOOKUP(Tablo518[[#This Row],[ÜRÜN KODU]],YMKODLARI!$A$1:$K$363,5,0)," ")</f>
        <v>20.100000000000001</v>
      </c>
      <c r="R50" s="100">
        <f>IFERROR(VLOOKUP(Tablo518[[#This Row],[ÜRÜN KODU]],YMKODLARI!$A$1:$K$363,6,0)," ")</f>
        <v>20.100000000000001</v>
      </c>
      <c r="S50" s="100">
        <f>IFERROR(Tablo518[[#This Row],[YOLLUK HARİÇ BASKI GRAMI]]/Tablo518[[#This Row],[KALIP GÖZ ADEDİ]]," ")</f>
        <v>10.050000000000001</v>
      </c>
      <c r="T50" s="100">
        <f t="shared" si="2"/>
        <v>0</v>
      </c>
      <c r="U50" s="100"/>
      <c r="V50" s="100">
        <f t="shared" si="1"/>
        <v>1.9698000000000002</v>
      </c>
      <c r="W50" s="101">
        <f t="shared" si="3"/>
        <v>24.052083333333332</v>
      </c>
      <c r="X50" s="102">
        <f t="shared" si="4"/>
        <v>1.2499999999999716</v>
      </c>
      <c r="Y50" s="100">
        <f t="shared" si="5"/>
        <v>1.0344444444444445</v>
      </c>
      <c r="Z50" s="100">
        <f t="shared" si="6"/>
        <v>196</v>
      </c>
    </row>
    <row r="51" spans="1:26">
      <c r="A51" s="108" t="s">
        <v>152</v>
      </c>
      <c r="B51" s="108" t="str">
        <f>IFERROR(VLOOKUP(Tablo518[[#This Row],[ÜRÜN KODU]],YMKODLARI!$A$1:$K$363,2,0)," ")</f>
        <v>NEŞELİ ÇINGIRAK</v>
      </c>
      <c r="C51" s="99">
        <v>43875</v>
      </c>
      <c r="D51" s="100" t="s">
        <v>33</v>
      </c>
      <c r="E51" s="101">
        <v>0.35416666666666669</v>
      </c>
      <c r="F51" s="101">
        <v>0.40625</v>
      </c>
      <c r="G51" s="100">
        <f>IFERROR(VLOOKUP(Tablo518[[#This Row],[ÜRÜN KODU]],YMKODLARI!$A$1:$K$363,3,0)," ")</f>
        <v>2</v>
      </c>
      <c r="H51" s="100">
        <f>IFERROR(VLOOKUP(Tablo518[[#This Row],[ÜRÜN KODU]],YMKODLARI!$A$1:$K$363,4,0)," ")</f>
        <v>38</v>
      </c>
      <c r="I51" s="100">
        <v>98</v>
      </c>
      <c r="J51" s="100" t="str">
        <f>IFERROR(VLOOKUP(Tablo518[[#This Row],[ÜRÜN KODU]],YMKODLARI!$A$1:$K$363,9,0)," ")</f>
        <v>BOYASIZ</v>
      </c>
      <c r="K51" s="100" t="str">
        <f>IFERROR(VLOOKUP(Tablo518[[#This Row],[BOYA KODU]],Tablo14[#All],4,0)," ")</f>
        <v xml:space="preserve"> </v>
      </c>
      <c r="L51" s="100" t="str">
        <f>IFERROR(VLOOKUP(Tablo518[[#This Row],[BOYA KODU]],Tablo14[#All],6,0)," ")</f>
        <v xml:space="preserve"> </v>
      </c>
      <c r="M51" s="100" t="str">
        <f t="shared" si="0"/>
        <v xml:space="preserve"> </v>
      </c>
      <c r="N51" s="100" t="s">
        <v>141</v>
      </c>
      <c r="O51" s="100" t="str">
        <f>IFERROR(VLOOKUP(Tablo518[[#This Row],[HAMMADDE KODU]],Tablo1[#All],3,0)," ")</f>
        <v>KIRMA TRITAN</v>
      </c>
      <c r="P51" s="100" t="str">
        <f>IFERROR(VLOOKUP(Tablo518[[#This Row],[HAMMADDE KODU]],Tablo1[#All],4,0)," ")</f>
        <v>KIRMA</v>
      </c>
      <c r="Q51" s="100">
        <f>IFERROR(VLOOKUP(Tablo518[[#This Row],[ÜRÜN KODU]],YMKODLARI!$A$1:$K$363,5,0)," ")</f>
        <v>18.7</v>
      </c>
      <c r="R51" s="100">
        <f>IFERROR(VLOOKUP(Tablo518[[#This Row],[ÜRÜN KODU]],YMKODLARI!$A$1:$K$363,6,0)," ")</f>
        <v>18.7</v>
      </c>
      <c r="S51" s="100">
        <f>IFERROR(Tablo518[[#This Row],[YOLLUK HARİÇ BASKI GRAMI]]/Tablo518[[#This Row],[KALIP GÖZ ADEDİ]]," ")</f>
        <v>9.35</v>
      </c>
      <c r="T51" s="100">
        <f t="shared" si="2"/>
        <v>0</v>
      </c>
      <c r="U51" s="100"/>
      <c r="V51" s="100">
        <f t="shared" si="1"/>
        <v>1.8326</v>
      </c>
      <c r="W51" s="101">
        <f t="shared" si="3"/>
        <v>24.052083333333332</v>
      </c>
      <c r="X51" s="102">
        <f t="shared" si="4"/>
        <v>1.2499999999999716</v>
      </c>
      <c r="Y51" s="100">
        <f t="shared" si="5"/>
        <v>1.0344444444444445</v>
      </c>
      <c r="Z51" s="100">
        <f t="shared" si="6"/>
        <v>196</v>
      </c>
    </row>
    <row r="52" spans="1:26">
      <c r="A52" s="108" t="s">
        <v>153</v>
      </c>
      <c r="B52" s="108" t="str">
        <f>IFERROR(VLOOKUP(Tablo518[[#This Row],[ÜRÜN KODU]],YMKODLARI!$A$1:$K$363,2,0)," ")</f>
        <v>NEŞELİ ÇINGIRAK</v>
      </c>
      <c r="C52" s="99">
        <v>43875</v>
      </c>
      <c r="D52" s="100" t="s">
        <v>33</v>
      </c>
      <c r="E52" s="101">
        <v>0.43055555555555558</v>
      </c>
      <c r="F52" s="101">
        <v>0.61458333333333337</v>
      </c>
      <c r="G52" s="100">
        <f>IFERROR(VLOOKUP(Tablo518[[#This Row],[ÜRÜN KODU]],YMKODLARI!$A$1:$K$363,3,0)," ")</f>
        <v>2</v>
      </c>
      <c r="H52" s="100">
        <f>IFERROR(VLOOKUP(Tablo518[[#This Row],[ÜRÜN KODU]],YMKODLARI!$A$1:$K$363,4,0)," ")</f>
        <v>38</v>
      </c>
      <c r="I52" s="100">
        <v>307</v>
      </c>
      <c r="J52" s="100" t="str">
        <f>IFERROR(VLOOKUP(Tablo518[[#This Row],[ÜRÜN KODU]],YMKODLARI!$A$1:$K$363,9,0)," ")</f>
        <v>BOYASIZ</v>
      </c>
      <c r="K52" s="100" t="str">
        <f>IFERROR(VLOOKUP(Tablo518[[#This Row],[BOYA KODU]],Tablo14[#All],4,0)," ")</f>
        <v xml:space="preserve"> </v>
      </c>
      <c r="L52" s="100" t="str">
        <f>IFERROR(VLOOKUP(Tablo518[[#This Row],[BOYA KODU]],Tablo14[#All],6,0)," ")</f>
        <v xml:space="preserve"> </v>
      </c>
      <c r="M52" s="100" t="str">
        <f t="shared" si="0"/>
        <v xml:space="preserve"> </v>
      </c>
      <c r="N52" s="100" t="s">
        <v>141</v>
      </c>
      <c r="O52" s="100" t="str">
        <f>IFERROR(VLOOKUP(Tablo518[[#This Row],[HAMMADDE KODU]],Tablo1[#All],3,0)," ")</f>
        <v>KIRMA TRITAN</v>
      </c>
      <c r="P52" s="100" t="str">
        <f>IFERROR(VLOOKUP(Tablo518[[#This Row],[HAMMADDE KODU]],Tablo1[#All],4,0)," ")</f>
        <v>KIRMA</v>
      </c>
      <c r="Q52" s="100">
        <f>IFERROR(VLOOKUP(Tablo518[[#This Row],[ÜRÜN KODU]],YMKODLARI!$A$1:$K$363,5,0)," ")</f>
        <v>30.8</v>
      </c>
      <c r="R52" s="100">
        <f>IFERROR(VLOOKUP(Tablo518[[#This Row],[ÜRÜN KODU]],YMKODLARI!$A$1:$K$363,6,0)," ")</f>
        <v>19</v>
      </c>
      <c r="S52" s="100">
        <f>IFERROR(Tablo518[[#This Row],[YOLLUK HARİÇ BASKI GRAMI]]/Tablo518[[#This Row],[KALIP GÖZ ADEDİ]]," ")</f>
        <v>9.5</v>
      </c>
      <c r="T52" s="100">
        <f t="shared" si="2"/>
        <v>11.8</v>
      </c>
      <c r="U52" s="100"/>
      <c r="V52" s="100">
        <f t="shared" si="1"/>
        <v>5.8330000000000002</v>
      </c>
      <c r="W52" s="101">
        <f t="shared" si="3"/>
        <v>24.184027777777779</v>
      </c>
      <c r="X52" s="102">
        <f t="shared" si="4"/>
        <v>4.4166666666666856</v>
      </c>
      <c r="Y52" s="100">
        <f t="shared" si="5"/>
        <v>3.2405555555555554</v>
      </c>
      <c r="Z52" s="100">
        <f t="shared" si="6"/>
        <v>614</v>
      </c>
    </row>
    <row r="53" spans="1:26">
      <c r="A53" s="108" t="s">
        <v>154</v>
      </c>
      <c r="B53" s="108" t="str">
        <f>IFERROR(VLOOKUP(Tablo518[[#This Row],[ÜRÜN KODU]],YMKODLARI!$A$1:$K$363,2,0)," ")</f>
        <v>NEŞELİ ÇINGIRAK</v>
      </c>
      <c r="C53" s="99">
        <v>43875</v>
      </c>
      <c r="D53" s="100" t="s">
        <v>33</v>
      </c>
      <c r="E53" s="101">
        <v>0.43055555555555558</v>
      </c>
      <c r="F53" s="101">
        <v>0.61458333333333337</v>
      </c>
      <c r="G53" s="100">
        <f>IFERROR(VLOOKUP(Tablo518[[#This Row],[ÜRÜN KODU]],YMKODLARI!$A$1:$K$363,3,0)," ")</f>
        <v>2</v>
      </c>
      <c r="H53" s="100">
        <f>IFERROR(VLOOKUP(Tablo518[[#This Row],[ÜRÜN KODU]],YMKODLARI!$A$1:$K$363,4,0)," ")</f>
        <v>38</v>
      </c>
      <c r="I53" s="100">
        <v>307</v>
      </c>
      <c r="J53" s="100" t="str">
        <f>IFERROR(VLOOKUP(Tablo518[[#This Row],[ÜRÜN KODU]],YMKODLARI!$A$1:$K$363,9,0)," ")</f>
        <v>BOYASIZ</v>
      </c>
      <c r="K53" s="100" t="str">
        <f>IFERROR(VLOOKUP(Tablo518[[#This Row],[BOYA KODU]],Tablo14[#All],4,0)," ")</f>
        <v xml:space="preserve"> </v>
      </c>
      <c r="L53" s="100" t="str">
        <f>IFERROR(VLOOKUP(Tablo518[[#This Row],[BOYA KODU]],Tablo14[#All],6,0)," ")</f>
        <v xml:space="preserve"> </v>
      </c>
      <c r="M53" s="100" t="str">
        <f t="shared" si="0"/>
        <v xml:space="preserve"> </v>
      </c>
      <c r="N53" s="100" t="s">
        <v>141</v>
      </c>
      <c r="O53" s="100" t="str">
        <f>IFERROR(VLOOKUP(Tablo518[[#This Row],[HAMMADDE KODU]],Tablo1[#All],3,0)," ")</f>
        <v>KIRMA TRITAN</v>
      </c>
      <c r="P53" s="100" t="str">
        <f>IFERROR(VLOOKUP(Tablo518[[#This Row],[HAMMADDE KODU]],Tablo1[#All],4,0)," ")</f>
        <v>KIRMA</v>
      </c>
      <c r="Q53" s="100">
        <f>IFERROR(VLOOKUP(Tablo518[[#This Row],[ÜRÜN KODU]],YMKODLARI!$A$1:$K$363,5,0)," ")</f>
        <v>17.100000000000001</v>
      </c>
      <c r="R53" s="100">
        <f>IFERROR(VLOOKUP(Tablo518[[#This Row],[ÜRÜN KODU]],YMKODLARI!$A$1:$K$363,6,0)," ")</f>
        <v>17.100000000000001</v>
      </c>
      <c r="S53" s="100">
        <f>IFERROR(Tablo518[[#This Row],[YOLLUK HARİÇ BASKI GRAMI]]/Tablo518[[#This Row],[KALIP GÖZ ADEDİ]]," ")</f>
        <v>8.5500000000000007</v>
      </c>
      <c r="T53" s="100">
        <f t="shared" si="2"/>
        <v>0</v>
      </c>
      <c r="U53" s="100"/>
      <c r="V53" s="100">
        <f t="shared" si="1"/>
        <v>5.2497000000000007</v>
      </c>
      <c r="W53" s="101">
        <f t="shared" si="3"/>
        <v>24.184027777777779</v>
      </c>
      <c r="X53" s="102">
        <f t="shared" si="4"/>
        <v>4.4166666666666856</v>
      </c>
      <c r="Y53" s="100">
        <f t="shared" si="5"/>
        <v>3.2405555555555554</v>
      </c>
      <c r="Z53" s="100">
        <f t="shared" si="6"/>
        <v>614</v>
      </c>
    </row>
    <row r="54" spans="1:26">
      <c r="A54" s="108" t="s">
        <v>155</v>
      </c>
      <c r="B54" s="108" t="str">
        <f>IFERROR(VLOOKUP(Tablo518[[#This Row],[ÜRÜN KODU]],YMKODLARI!$A$1:$K$363,2,0)," ")</f>
        <v>NEŞELİ ÇINGIRAK</v>
      </c>
      <c r="C54" s="99">
        <v>43875</v>
      </c>
      <c r="D54" s="100" t="s">
        <v>33</v>
      </c>
      <c r="E54" s="101">
        <v>0.43055555555555558</v>
      </c>
      <c r="F54" s="101">
        <v>0.61458333333333337</v>
      </c>
      <c r="G54" s="100">
        <f>IFERROR(VLOOKUP(Tablo518[[#This Row],[ÜRÜN KODU]],YMKODLARI!$A$1:$K$363,3,0)," ")</f>
        <v>2</v>
      </c>
      <c r="H54" s="100">
        <f>IFERROR(VLOOKUP(Tablo518[[#This Row],[ÜRÜN KODU]],YMKODLARI!$A$1:$K$363,4,0)," ")</f>
        <v>38</v>
      </c>
      <c r="I54" s="100">
        <v>307</v>
      </c>
      <c r="J54" s="100" t="str">
        <f>IFERROR(VLOOKUP(Tablo518[[#This Row],[ÜRÜN KODU]],YMKODLARI!$A$1:$K$363,9,0)," ")</f>
        <v>BOYASIZ</v>
      </c>
      <c r="K54" s="100" t="str">
        <f>IFERROR(VLOOKUP(Tablo518[[#This Row],[BOYA KODU]],Tablo14[#All],4,0)," ")</f>
        <v xml:space="preserve"> </v>
      </c>
      <c r="L54" s="100" t="str">
        <f>IFERROR(VLOOKUP(Tablo518[[#This Row],[BOYA KODU]],Tablo14[#All],6,0)," ")</f>
        <v xml:space="preserve"> </v>
      </c>
      <c r="M54" s="100" t="str">
        <f t="shared" si="0"/>
        <v xml:space="preserve"> </v>
      </c>
      <c r="N54" s="100" t="s">
        <v>141</v>
      </c>
      <c r="O54" s="100" t="str">
        <f>IFERROR(VLOOKUP(Tablo518[[#This Row],[HAMMADDE KODU]],Tablo1[#All],3,0)," ")</f>
        <v>KIRMA TRITAN</v>
      </c>
      <c r="P54" s="100" t="str">
        <f>IFERROR(VLOOKUP(Tablo518[[#This Row],[HAMMADDE KODU]],Tablo1[#All],4,0)," ")</f>
        <v>KIRMA</v>
      </c>
      <c r="Q54" s="100">
        <f>IFERROR(VLOOKUP(Tablo518[[#This Row],[ÜRÜN KODU]],YMKODLARI!$A$1:$K$363,5,0)," ")</f>
        <v>20.100000000000001</v>
      </c>
      <c r="R54" s="100">
        <f>IFERROR(VLOOKUP(Tablo518[[#This Row],[ÜRÜN KODU]],YMKODLARI!$A$1:$K$363,6,0)," ")</f>
        <v>20.100000000000001</v>
      </c>
      <c r="S54" s="100">
        <f>IFERROR(Tablo518[[#This Row],[YOLLUK HARİÇ BASKI GRAMI]]/Tablo518[[#This Row],[KALIP GÖZ ADEDİ]]," ")</f>
        <v>10.050000000000001</v>
      </c>
      <c r="T54" s="100">
        <f t="shared" si="2"/>
        <v>0</v>
      </c>
      <c r="U54" s="100"/>
      <c r="V54" s="100">
        <f t="shared" si="1"/>
        <v>6.170700000000001</v>
      </c>
      <c r="W54" s="101">
        <f t="shared" si="3"/>
        <v>24.184027777777779</v>
      </c>
      <c r="X54" s="102">
        <f t="shared" si="4"/>
        <v>4.4166666666666856</v>
      </c>
      <c r="Y54" s="100">
        <f t="shared" si="5"/>
        <v>3.2405555555555554</v>
      </c>
      <c r="Z54" s="100">
        <f t="shared" si="6"/>
        <v>614</v>
      </c>
    </row>
    <row r="55" spans="1:26">
      <c r="A55" s="108" t="s">
        <v>156</v>
      </c>
      <c r="B55" s="108" t="str">
        <f>IFERROR(VLOOKUP(Tablo518[[#This Row],[ÜRÜN KODU]],YMKODLARI!$A$1:$K$363,2,0)," ")</f>
        <v>NEŞELİ ÇINGIRAK</v>
      </c>
      <c r="C55" s="99">
        <v>43875</v>
      </c>
      <c r="D55" s="100" t="s">
        <v>33</v>
      </c>
      <c r="E55" s="101">
        <v>0.43055555555555558</v>
      </c>
      <c r="F55" s="101">
        <v>0.61458333333333337</v>
      </c>
      <c r="G55" s="100">
        <f>IFERROR(VLOOKUP(Tablo518[[#This Row],[ÜRÜN KODU]],YMKODLARI!$A$1:$K$363,3,0)," ")</f>
        <v>2</v>
      </c>
      <c r="H55" s="100">
        <f>IFERROR(VLOOKUP(Tablo518[[#This Row],[ÜRÜN KODU]],YMKODLARI!$A$1:$K$363,4,0)," ")</f>
        <v>38</v>
      </c>
      <c r="I55" s="100">
        <v>307</v>
      </c>
      <c r="J55" s="100" t="str">
        <f>IFERROR(VLOOKUP(Tablo518[[#This Row],[ÜRÜN KODU]],YMKODLARI!$A$1:$K$363,9,0)," ")</f>
        <v>BOYASIZ</v>
      </c>
      <c r="K55" s="100" t="str">
        <f>IFERROR(VLOOKUP(Tablo518[[#This Row],[BOYA KODU]],Tablo14[#All],4,0)," ")</f>
        <v xml:space="preserve"> </v>
      </c>
      <c r="L55" s="100" t="str">
        <f>IFERROR(VLOOKUP(Tablo518[[#This Row],[BOYA KODU]],Tablo14[#All],6,0)," ")</f>
        <v xml:space="preserve"> </v>
      </c>
      <c r="M55" s="100" t="str">
        <f t="shared" si="0"/>
        <v xml:space="preserve"> </v>
      </c>
      <c r="N55" s="100" t="s">
        <v>141</v>
      </c>
      <c r="O55" s="100" t="str">
        <f>IFERROR(VLOOKUP(Tablo518[[#This Row],[HAMMADDE KODU]],Tablo1[#All],3,0)," ")</f>
        <v>KIRMA TRITAN</v>
      </c>
      <c r="P55" s="100" t="str">
        <f>IFERROR(VLOOKUP(Tablo518[[#This Row],[HAMMADDE KODU]],Tablo1[#All],4,0)," ")</f>
        <v>KIRMA</v>
      </c>
      <c r="Q55" s="100">
        <f>IFERROR(VLOOKUP(Tablo518[[#This Row],[ÜRÜN KODU]],YMKODLARI!$A$1:$K$363,5,0)," ")</f>
        <v>18.7</v>
      </c>
      <c r="R55" s="100">
        <f>IFERROR(VLOOKUP(Tablo518[[#This Row],[ÜRÜN KODU]],YMKODLARI!$A$1:$K$363,6,0)," ")</f>
        <v>18.7</v>
      </c>
      <c r="S55" s="100">
        <f>IFERROR(Tablo518[[#This Row],[YOLLUK HARİÇ BASKI GRAMI]]/Tablo518[[#This Row],[KALIP GÖZ ADEDİ]]," ")</f>
        <v>9.35</v>
      </c>
      <c r="T55" s="100">
        <f t="shared" si="2"/>
        <v>0</v>
      </c>
      <c r="U55" s="100"/>
      <c r="V55" s="100">
        <f t="shared" si="1"/>
        <v>5.7408999999999999</v>
      </c>
      <c r="W55" s="101">
        <f t="shared" si="3"/>
        <v>24.184027777777779</v>
      </c>
      <c r="X55" s="102">
        <f t="shared" si="4"/>
        <v>4.4166666666666856</v>
      </c>
      <c r="Y55" s="100">
        <f t="shared" si="5"/>
        <v>3.2405555555555554</v>
      </c>
      <c r="Z55" s="100">
        <f t="shared" si="6"/>
        <v>614</v>
      </c>
    </row>
    <row r="56" spans="1:26">
      <c r="A56" s="108" t="s">
        <v>157</v>
      </c>
      <c r="B56" s="108" t="str">
        <f>IFERROR(VLOOKUP(Tablo518[[#This Row],[ÜRÜN KODU]],YMKODLARI!$A$1:$K$363,2,0)," ")</f>
        <v>NEŞELİ ÇINGIRAK</v>
      </c>
      <c r="C56" s="99">
        <v>43875</v>
      </c>
      <c r="D56" s="100" t="s">
        <v>33</v>
      </c>
      <c r="E56" s="101">
        <v>0.61805555555555558</v>
      </c>
      <c r="F56" s="101">
        <v>0.75</v>
      </c>
      <c r="G56" s="100">
        <f>IFERROR(VLOOKUP(Tablo518[[#This Row],[ÜRÜN KODU]],YMKODLARI!$A$1:$K$363,3,0)," ")</f>
        <v>2</v>
      </c>
      <c r="H56" s="100">
        <f>IFERROR(VLOOKUP(Tablo518[[#This Row],[ÜRÜN KODU]],YMKODLARI!$A$1:$K$363,4,0)," ")</f>
        <v>38</v>
      </c>
      <c r="I56" s="100">
        <v>267</v>
      </c>
      <c r="J56" s="100" t="str">
        <f>IFERROR(VLOOKUP(Tablo518[[#This Row],[ÜRÜN KODU]],YMKODLARI!$A$1:$K$363,9,0)," ")</f>
        <v>BOYASIZ</v>
      </c>
      <c r="K56" s="100" t="str">
        <f>IFERROR(VLOOKUP(Tablo518[[#This Row],[BOYA KODU]],Tablo14[#All],4,0)," ")</f>
        <v xml:space="preserve"> </v>
      </c>
      <c r="L56" s="100" t="str">
        <f>IFERROR(VLOOKUP(Tablo518[[#This Row],[BOYA KODU]],Tablo14[#All],6,0)," ")</f>
        <v xml:space="preserve"> </v>
      </c>
      <c r="M56" s="100" t="str">
        <f>IFERROR((I56*Q56)*L56," ")</f>
        <v xml:space="preserve"> </v>
      </c>
      <c r="N56" s="100" t="str">
        <f>IFERROR(VLOOKUP(Tablo518[[#This Row],[ÜRÜN KODU]],YMKODLARI!$A$1:$K$363,8,0)," ")</f>
        <v>HM 011</v>
      </c>
      <c r="O56" s="100" t="str">
        <f>IFERROR(VLOOKUP(Tablo518[[#This Row],[HAMMADDE KODU]],Tablo1[#All],3,0)," ")</f>
        <v>KIRMA PC</v>
      </c>
      <c r="P56" s="100" t="str">
        <f>IFERROR(VLOOKUP(Tablo518[[#This Row],[HAMMADDE KODU]],Tablo1[#All],4,0)," ")</f>
        <v>KIRMA</v>
      </c>
      <c r="Q56" s="100">
        <f>IFERROR(VLOOKUP(Tablo518[[#This Row],[ÜRÜN KODU]],YMKODLARI!$A$1:$K$363,5,0)," ")</f>
        <v>30.8</v>
      </c>
      <c r="R56" s="100">
        <f>IFERROR(VLOOKUP(Tablo518[[#This Row],[ÜRÜN KODU]],YMKODLARI!$A$1:$K$363,6,0)," ")</f>
        <v>19</v>
      </c>
      <c r="S56" s="100">
        <f>IFERROR(Tablo518[[#This Row],[YOLLUK HARİÇ BASKI GRAMI]]/Tablo518[[#This Row],[KALIP GÖZ ADEDİ]]," ")</f>
        <v>9.5</v>
      </c>
      <c r="T56" s="100">
        <f>IFERROR(Q56-R56," ")</f>
        <v>11.8</v>
      </c>
      <c r="U56" s="100"/>
      <c r="V56" s="100">
        <f>IFERROR(U56+(R56*I56) /1000," ")</f>
        <v>5.0730000000000004</v>
      </c>
      <c r="W56" s="101">
        <f>IFERROR(24-(E56-F56)," ")</f>
        <v>24.131944444444443</v>
      </c>
      <c r="X56" s="102">
        <f>IFERROR((W56-INT(W56))*24," ")</f>
        <v>3.1666666666666288</v>
      </c>
      <c r="Y56" s="100">
        <f>IFERROR(H56*I56/3600," ")</f>
        <v>2.8183333333333334</v>
      </c>
      <c r="Z56" s="100">
        <f>IFERROR(I56*G56," " )</f>
        <v>534</v>
      </c>
    </row>
    <row r="57" spans="1:26">
      <c r="A57" s="108" t="s">
        <v>158</v>
      </c>
      <c r="B57" s="108" t="str">
        <f>IFERROR(VLOOKUP(Tablo518[[#This Row],[ÜRÜN KODU]],YMKODLARI!$A$1:$K$363,2,0)," ")</f>
        <v>NEŞELİ ÇINGIRAK</v>
      </c>
      <c r="C57" s="99">
        <v>43875</v>
      </c>
      <c r="D57" s="100" t="s">
        <v>33</v>
      </c>
      <c r="E57" s="101">
        <v>0.61805555555555558</v>
      </c>
      <c r="F57" s="101">
        <v>0.75</v>
      </c>
      <c r="G57" s="100">
        <f>IFERROR(VLOOKUP(Tablo518[[#This Row],[ÜRÜN KODU]],YMKODLARI!$A$1:$K$363,3,0)," ")</f>
        <v>2</v>
      </c>
      <c r="H57" s="100">
        <f>IFERROR(VLOOKUP(Tablo518[[#This Row],[ÜRÜN KODU]],YMKODLARI!$A$1:$K$363,4,0)," ")</f>
        <v>38</v>
      </c>
      <c r="I57" s="100">
        <v>267</v>
      </c>
      <c r="J57" s="100" t="str">
        <f>IFERROR(VLOOKUP(Tablo518[[#This Row],[ÜRÜN KODU]],YMKODLARI!$A$1:$K$363,9,0)," ")</f>
        <v>BOYASIZ</v>
      </c>
      <c r="K57" s="100" t="str">
        <f>IFERROR(VLOOKUP(Tablo518[[#This Row],[BOYA KODU]],Tablo14[#All],4,0)," ")</f>
        <v xml:space="preserve"> </v>
      </c>
      <c r="L57" s="100" t="str">
        <f>IFERROR(VLOOKUP(Tablo518[[#This Row],[BOYA KODU]],Tablo14[#All],6,0)," ")</f>
        <v xml:space="preserve"> </v>
      </c>
      <c r="M57" s="100" t="str">
        <f>IFERROR((I57*Q57)*L57," ")</f>
        <v xml:space="preserve"> </v>
      </c>
      <c r="N57" s="100" t="str">
        <f>IFERROR(VLOOKUP(Tablo518[[#This Row],[ÜRÜN KODU]],YMKODLARI!$A$1:$K$363,8,0)," ")</f>
        <v>HM 011</v>
      </c>
      <c r="O57" s="100" t="str">
        <f>IFERROR(VLOOKUP(Tablo518[[#This Row],[HAMMADDE KODU]],Tablo1[#All],3,0)," ")</f>
        <v>KIRMA PC</v>
      </c>
      <c r="P57" s="100" t="str">
        <f>IFERROR(VLOOKUP(Tablo518[[#This Row],[HAMMADDE KODU]],Tablo1[#All],4,0)," ")</f>
        <v>KIRMA</v>
      </c>
      <c r="Q57" s="100">
        <f>IFERROR(VLOOKUP(Tablo518[[#This Row],[ÜRÜN KODU]],YMKODLARI!$A$1:$K$363,5,0)," ")</f>
        <v>17.100000000000001</v>
      </c>
      <c r="R57" s="100">
        <f>IFERROR(VLOOKUP(Tablo518[[#This Row],[ÜRÜN KODU]],YMKODLARI!$A$1:$K$363,6,0)," ")</f>
        <v>17.100000000000001</v>
      </c>
      <c r="S57" s="100">
        <f>IFERROR(Tablo518[[#This Row],[YOLLUK HARİÇ BASKI GRAMI]]/Tablo518[[#This Row],[KALIP GÖZ ADEDİ]]," ")</f>
        <v>8.5500000000000007</v>
      </c>
      <c r="T57" s="100">
        <f>IFERROR(Q57-R57," ")</f>
        <v>0</v>
      </c>
      <c r="U57" s="100"/>
      <c r="V57" s="100">
        <f>IFERROR(U57+(R57*I57) /1000," ")</f>
        <v>4.5657000000000005</v>
      </c>
      <c r="W57" s="101">
        <f>IFERROR(24-(E57-F57)," ")</f>
        <v>24.131944444444443</v>
      </c>
      <c r="X57" s="102">
        <f>IFERROR((W57-INT(W57))*24," ")</f>
        <v>3.1666666666666288</v>
      </c>
      <c r="Y57" s="100">
        <f>IFERROR(H57*I57/3600," ")</f>
        <v>2.8183333333333334</v>
      </c>
      <c r="Z57" s="100">
        <f>IFERROR(I57*G57," " )</f>
        <v>534</v>
      </c>
    </row>
    <row r="58" spans="1:26">
      <c r="A58" s="108" t="s">
        <v>159</v>
      </c>
      <c r="B58" s="108" t="str">
        <f>IFERROR(VLOOKUP(Tablo518[[#This Row],[ÜRÜN KODU]],YMKODLARI!$A$1:$K$363,2,0)," ")</f>
        <v>NEŞELİ ÇINGIRAK</v>
      </c>
      <c r="C58" s="99">
        <v>43875</v>
      </c>
      <c r="D58" s="100" t="s">
        <v>33</v>
      </c>
      <c r="E58" s="101">
        <v>0.61805555555555558</v>
      </c>
      <c r="F58" s="101">
        <v>0.75</v>
      </c>
      <c r="G58" s="100">
        <f>IFERROR(VLOOKUP(Tablo518[[#This Row],[ÜRÜN KODU]],YMKODLARI!$A$1:$K$363,3,0)," ")</f>
        <v>2</v>
      </c>
      <c r="H58" s="100">
        <f>IFERROR(VLOOKUP(Tablo518[[#This Row],[ÜRÜN KODU]],YMKODLARI!$A$1:$K$363,4,0)," ")</f>
        <v>38</v>
      </c>
      <c r="I58" s="100">
        <v>267</v>
      </c>
      <c r="J58" s="100" t="str">
        <f>IFERROR(VLOOKUP(Tablo518[[#This Row],[ÜRÜN KODU]],YMKODLARI!$A$1:$K$363,9,0)," ")</f>
        <v>BOYASIZ</v>
      </c>
      <c r="K58" s="100" t="str">
        <f>IFERROR(VLOOKUP(Tablo518[[#This Row],[BOYA KODU]],Tablo14[#All],4,0)," ")</f>
        <v xml:space="preserve"> </v>
      </c>
      <c r="L58" s="100" t="str">
        <f>IFERROR(VLOOKUP(Tablo518[[#This Row],[BOYA KODU]],Tablo14[#All],6,0)," ")</f>
        <v xml:space="preserve"> </v>
      </c>
      <c r="M58" s="100" t="str">
        <f>IFERROR((I58*Q58)*L58," ")</f>
        <v xml:space="preserve"> </v>
      </c>
      <c r="N58" s="100" t="str">
        <f>IFERROR(VLOOKUP(Tablo518[[#This Row],[ÜRÜN KODU]],YMKODLARI!$A$1:$K$363,8,0)," ")</f>
        <v>HM 011</v>
      </c>
      <c r="O58" s="100" t="str">
        <f>IFERROR(VLOOKUP(Tablo518[[#This Row],[HAMMADDE KODU]],Tablo1[#All],3,0)," ")</f>
        <v>KIRMA PC</v>
      </c>
      <c r="P58" s="100" t="str">
        <f>IFERROR(VLOOKUP(Tablo518[[#This Row],[HAMMADDE KODU]],Tablo1[#All],4,0)," ")</f>
        <v>KIRMA</v>
      </c>
      <c r="Q58" s="100">
        <f>IFERROR(VLOOKUP(Tablo518[[#This Row],[ÜRÜN KODU]],YMKODLARI!$A$1:$K$363,5,0)," ")</f>
        <v>20.100000000000001</v>
      </c>
      <c r="R58" s="100">
        <f>IFERROR(VLOOKUP(Tablo518[[#This Row],[ÜRÜN KODU]],YMKODLARI!$A$1:$K$363,6,0)," ")</f>
        <v>20.100000000000001</v>
      </c>
      <c r="S58" s="100">
        <f>IFERROR(Tablo518[[#This Row],[YOLLUK HARİÇ BASKI GRAMI]]/Tablo518[[#This Row],[KALIP GÖZ ADEDİ]]," ")</f>
        <v>10.050000000000001</v>
      </c>
      <c r="T58" s="100">
        <f>IFERROR(Q58-R58," ")</f>
        <v>0</v>
      </c>
      <c r="U58" s="100"/>
      <c r="V58" s="100">
        <f>IFERROR(U58+(R58*I58) /1000," ")</f>
        <v>5.3667000000000007</v>
      </c>
      <c r="W58" s="101">
        <f>IFERROR(24-(E58-F58)," ")</f>
        <v>24.131944444444443</v>
      </c>
      <c r="X58" s="102">
        <f>IFERROR((W58-INT(W58))*24," ")</f>
        <v>3.1666666666666288</v>
      </c>
      <c r="Y58" s="100">
        <f>IFERROR(H58*I58/3600," ")</f>
        <v>2.8183333333333334</v>
      </c>
      <c r="Z58" s="100">
        <f>IFERROR(I58*G58," " )</f>
        <v>534</v>
      </c>
    </row>
    <row r="59" spans="1:26">
      <c r="A59" s="108" t="s">
        <v>160</v>
      </c>
      <c r="B59" s="108" t="str">
        <f>IFERROR(VLOOKUP(Tablo518[[#This Row],[ÜRÜN KODU]],YMKODLARI!$A$1:$K$363,2,0)," ")</f>
        <v>NEŞELİ ÇINGIRAK</v>
      </c>
      <c r="C59" s="99">
        <v>43875</v>
      </c>
      <c r="D59" s="100" t="s">
        <v>33</v>
      </c>
      <c r="E59" s="101">
        <v>0.61805555555555558</v>
      </c>
      <c r="F59" s="101">
        <v>0.75</v>
      </c>
      <c r="G59" s="100">
        <f>IFERROR(VLOOKUP(Tablo518[[#This Row],[ÜRÜN KODU]],YMKODLARI!$A$1:$K$363,3,0)," ")</f>
        <v>2</v>
      </c>
      <c r="H59" s="100">
        <f>IFERROR(VLOOKUP(Tablo518[[#This Row],[ÜRÜN KODU]],YMKODLARI!$A$1:$K$363,4,0)," ")</f>
        <v>38</v>
      </c>
      <c r="I59" s="100">
        <v>267</v>
      </c>
      <c r="J59" s="100" t="str">
        <f>IFERROR(VLOOKUP(Tablo518[[#This Row],[ÜRÜN KODU]],YMKODLARI!$A$1:$K$363,9,0)," ")</f>
        <v>BOYASIZ</v>
      </c>
      <c r="K59" s="100" t="str">
        <f>IFERROR(VLOOKUP(Tablo518[[#This Row],[BOYA KODU]],Tablo14[#All],4,0)," ")</f>
        <v xml:space="preserve"> </v>
      </c>
      <c r="L59" s="100" t="str">
        <f>IFERROR(VLOOKUP(Tablo518[[#This Row],[BOYA KODU]],Tablo14[#All],6,0)," ")</f>
        <v xml:space="preserve"> </v>
      </c>
      <c r="M59" s="100" t="str">
        <f>IFERROR((I59*Q59)*L59," ")</f>
        <v xml:space="preserve"> </v>
      </c>
      <c r="N59" s="100" t="str">
        <f>IFERROR(VLOOKUP(Tablo518[[#This Row],[ÜRÜN KODU]],YMKODLARI!$A$1:$K$363,8,0)," ")</f>
        <v>HM 011</v>
      </c>
      <c r="O59" s="100" t="str">
        <f>IFERROR(VLOOKUP(Tablo518[[#This Row],[HAMMADDE KODU]],Tablo1[#All],3,0)," ")</f>
        <v>KIRMA PC</v>
      </c>
      <c r="P59" s="100" t="str">
        <f>IFERROR(VLOOKUP(Tablo518[[#This Row],[HAMMADDE KODU]],Tablo1[#All],4,0)," ")</f>
        <v>KIRMA</v>
      </c>
      <c r="Q59" s="100">
        <f>IFERROR(VLOOKUP(Tablo518[[#This Row],[ÜRÜN KODU]],YMKODLARI!$A$1:$K$363,5,0)," ")</f>
        <v>18.7</v>
      </c>
      <c r="R59" s="100">
        <f>IFERROR(VLOOKUP(Tablo518[[#This Row],[ÜRÜN KODU]],YMKODLARI!$A$1:$K$363,6,0)," ")</f>
        <v>18.7</v>
      </c>
      <c r="S59" s="100">
        <f>IFERROR(Tablo518[[#This Row],[YOLLUK HARİÇ BASKI GRAMI]]/Tablo518[[#This Row],[KALIP GÖZ ADEDİ]]," ")</f>
        <v>9.35</v>
      </c>
      <c r="T59" s="100">
        <f>IFERROR(Q59-R59," ")</f>
        <v>0</v>
      </c>
      <c r="U59" s="100"/>
      <c r="V59" s="100">
        <f>IFERROR(U59+(R59*I59) /1000," ")</f>
        <v>4.9928999999999997</v>
      </c>
      <c r="W59" s="101">
        <f>IFERROR(24-(E59-F59)," ")</f>
        <v>24.131944444444443</v>
      </c>
      <c r="X59" s="102">
        <f>IFERROR((W59-INT(W59))*24," ")</f>
        <v>3.1666666666666288</v>
      </c>
      <c r="Y59" s="100">
        <f>IFERROR(H59*I59/3600," ")</f>
        <v>2.8183333333333334</v>
      </c>
      <c r="Z59" s="100">
        <f>IFERROR(I59*G59," " )</f>
        <v>534</v>
      </c>
    </row>
    <row r="60" spans="1:26">
      <c r="A60" s="108" t="s">
        <v>130</v>
      </c>
      <c r="B60" s="108" t="str">
        <f>IFERROR(VLOOKUP(Tablo518[[#This Row],[ÜRÜN KODU]],YMKODLARI!$A$1:$K$363,2,0)," ")</f>
        <v>DAMAK EMZİK TIPA</v>
      </c>
      <c r="C60" s="99">
        <v>43878</v>
      </c>
      <c r="D60" s="100" t="s">
        <v>37</v>
      </c>
      <c r="E60" s="101">
        <v>0.69791666666666663</v>
      </c>
      <c r="F60" s="101">
        <v>0.75</v>
      </c>
      <c r="G60" s="100">
        <f>IFERROR(VLOOKUP(Tablo518[[#This Row],[ÜRÜN KODU]],YMKODLARI!$A$1:$K$363,3,0)," ")</f>
        <v>8</v>
      </c>
      <c r="H60" s="100">
        <f>IFERROR(VLOOKUP(Tablo518[[#This Row],[ÜRÜN KODU]],YMKODLARI!$A$1:$K$363,4,0)," ")</f>
        <v>20</v>
      </c>
      <c r="I60" s="100">
        <v>204</v>
      </c>
      <c r="J60" s="100">
        <f>IFERROR(VLOOKUP(Tablo518[[#This Row],[ÜRÜN KODU]],YMKODLARI!$A$1:$K$363,9,0)," ")</f>
        <v>3332</v>
      </c>
      <c r="K60" s="100" t="str">
        <f>IFERROR(VLOOKUP(Tablo518[[#This Row],[BOYA KODU]],Tablo14[#All],4,0)," ")</f>
        <v>E.PEMBE</v>
      </c>
      <c r="L60" s="100">
        <f>IFERROR(VLOOKUP(Tablo518[[#This Row],[BOYA KODU]],Tablo14[#All],6,0)," ")</f>
        <v>5.0000000000000001E-3</v>
      </c>
      <c r="M60" s="100">
        <f t="shared" si="0"/>
        <v>17.544</v>
      </c>
      <c r="N60" s="100" t="str">
        <f>IFERROR(VLOOKUP(Tablo518[[#This Row],[ÜRÜN KODU]],YMKODLARI!$A$1:$K$363,8,0)," ")</f>
        <v>HM 002</v>
      </c>
      <c r="O60" s="100" t="str">
        <f>IFERROR(VLOOKUP(Tablo518[[#This Row],[HAMMADDE KODU]],Tablo1[#All],3,0)," ")</f>
        <v>NOVAREX</v>
      </c>
      <c r="P60" s="100" t="str">
        <f>IFERROR(VLOOKUP(Tablo518[[#This Row],[HAMMADDE KODU]],Tablo1[#All],4,0)," ")</f>
        <v>PİNHAS</v>
      </c>
      <c r="Q60" s="100">
        <f>IFERROR(VLOOKUP(Tablo518[[#This Row],[ÜRÜN KODU]],YMKODLARI!$A$1:$K$363,5,0)," ")</f>
        <v>17.2</v>
      </c>
      <c r="R60" s="100">
        <f>IFERROR(VLOOKUP(Tablo518[[#This Row],[ÜRÜN KODU]],YMKODLARI!$A$1:$K$363,6,0)," ")</f>
        <v>15.4</v>
      </c>
      <c r="S60" s="100">
        <f>IFERROR(Tablo518[[#This Row],[YOLLUK HARİÇ BASKI GRAMI]]/Tablo518[[#This Row],[KALIP GÖZ ADEDİ]]," ")</f>
        <v>1.925</v>
      </c>
      <c r="T60" s="100">
        <f t="shared" si="2"/>
        <v>1.7999999999999989</v>
      </c>
      <c r="U60" s="100">
        <v>10</v>
      </c>
      <c r="V60" s="100">
        <f t="shared" si="1"/>
        <v>13.1416</v>
      </c>
      <c r="W60" s="101">
        <f t="shared" si="3"/>
        <v>24.052083333333332</v>
      </c>
      <c r="X60" s="102">
        <f t="shared" si="4"/>
        <v>1.2499999999999716</v>
      </c>
      <c r="Y60" s="100">
        <f t="shared" si="5"/>
        <v>1.1333333333333333</v>
      </c>
      <c r="Z60" s="100">
        <f t="shared" si="6"/>
        <v>1632</v>
      </c>
    </row>
    <row r="61" spans="1:26">
      <c r="A61" s="108" t="s">
        <v>130</v>
      </c>
      <c r="B61" s="108" t="str">
        <f>IFERROR(VLOOKUP(Tablo518[[#This Row],[ÜRÜN KODU]],YMKODLARI!$A$1:$K$363,2,0)," ")</f>
        <v>DAMAK EMZİK TIPA</v>
      </c>
      <c r="C61" s="99">
        <v>43879</v>
      </c>
      <c r="D61" s="100" t="s">
        <v>37</v>
      </c>
      <c r="E61" s="101">
        <v>0.33333333333333331</v>
      </c>
      <c r="F61" s="101">
        <v>0.73611111111111116</v>
      </c>
      <c r="G61" s="100">
        <f>IFERROR(VLOOKUP(Tablo518[[#This Row],[ÜRÜN KODU]],YMKODLARI!$A$1:$K$363,3,0)," ")</f>
        <v>8</v>
      </c>
      <c r="H61" s="100">
        <f>IFERROR(VLOOKUP(Tablo518[[#This Row],[ÜRÜN KODU]],YMKODLARI!$A$1:$K$363,4,0)," ")</f>
        <v>20</v>
      </c>
      <c r="I61" s="100">
        <v>1557</v>
      </c>
      <c r="J61" s="100">
        <f>IFERROR(VLOOKUP(Tablo518[[#This Row],[ÜRÜN KODU]],YMKODLARI!$A$1:$K$363,9,0)," ")</f>
        <v>3332</v>
      </c>
      <c r="K61" s="100" t="str">
        <f>IFERROR(VLOOKUP(Tablo518[[#This Row],[BOYA KODU]],Tablo14[#All],4,0)," ")</f>
        <v>E.PEMBE</v>
      </c>
      <c r="L61" s="100">
        <f>IFERROR(VLOOKUP(Tablo518[[#This Row],[BOYA KODU]],Tablo14[#All],6,0)," ")</f>
        <v>5.0000000000000001E-3</v>
      </c>
      <c r="M61" s="100">
        <f t="shared" si="0"/>
        <v>133.90199999999999</v>
      </c>
      <c r="N61" s="100" t="str">
        <f>IFERROR(VLOOKUP(Tablo518[[#This Row],[ÜRÜN KODU]],YMKODLARI!$A$1:$K$363,8,0)," ")</f>
        <v>HM 002</v>
      </c>
      <c r="O61" s="100" t="str">
        <f>IFERROR(VLOOKUP(Tablo518[[#This Row],[HAMMADDE KODU]],Tablo1[#All],3,0)," ")</f>
        <v>NOVAREX</v>
      </c>
      <c r="P61" s="100" t="str">
        <f>IFERROR(VLOOKUP(Tablo518[[#This Row],[HAMMADDE KODU]],Tablo1[#All],4,0)," ")</f>
        <v>PİNHAS</v>
      </c>
      <c r="Q61" s="100">
        <f>IFERROR(VLOOKUP(Tablo518[[#This Row],[ÜRÜN KODU]],YMKODLARI!$A$1:$K$363,5,0)," ")</f>
        <v>17.2</v>
      </c>
      <c r="R61" s="100">
        <f>IFERROR(VLOOKUP(Tablo518[[#This Row],[ÜRÜN KODU]],YMKODLARI!$A$1:$K$363,6,0)," ")</f>
        <v>15.4</v>
      </c>
      <c r="S61" s="100">
        <f>IFERROR(Tablo518[[#This Row],[YOLLUK HARİÇ BASKI GRAMI]]/Tablo518[[#This Row],[KALIP GÖZ ADEDİ]]," ")</f>
        <v>1.925</v>
      </c>
      <c r="T61" s="100">
        <f t="shared" si="2"/>
        <v>1.7999999999999989</v>
      </c>
      <c r="U61" s="100">
        <v>0.6</v>
      </c>
      <c r="V61" s="100">
        <f t="shared" si="1"/>
        <v>24.5778</v>
      </c>
      <c r="W61" s="101">
        <f t="shared" si="3"/>
        <v>24.402777777777779</v>
      </c>
      <c r="X61" s="102">
        <f t="shared" si="4"/>
        <v>9.6666666666666856</v>
      </c>
      <c r="Y61" s="100">
        <f t="shared" si="5"/>
        <v>8.65</v>
      </c>
      <c r="Z61" s="100">
        <f t="shared" si="6"/>
        <v>12456</v>
      </c>
    </row>
    <row r="62" spans="1:26">
      <c r="A62" s="108" t="s">
        <v>161</v>
      </c>
      <c r="B62" s="108" t="str">
        <f>IFERROR(VLOOKUP(Tablo518[[#This Row],[ÜRÜN KODU]],YMKODLARI!$A$1:$K$363,2,0)," ")</f>
        <v>DAMAK EMZİK TIPA</v>
      </c>
      <c r="C62" s="99">
        <v>43879</v>
      </c>
      <c r="D62" s="100" t="s">
        <v>37</v>
      </c>
      <c r="E62" s="101">
        <v>0.73958333333333337</v>
      </c>
      <c r="F62" s="101">
        <v>0.75</v>
      </c>
      <c r="G62" s="100">
        <f>IFERROR(VLOOKUP(Tablo518[[#This Row],[ÜRÜN KODU]],YMKODLARI!$A$1:$K$363,3,0)," ")</f>
        <v>8</v>
      </c>
      <c r="H62" s="100">
        <f>IFERROR(VLOOKUP(Tablo518[[#This Row],[ÜRÜN KODU]],YMKODLARI!$A$1:$K$363,4,0)," ")</f>
        <v>20</v>
      </c>
      <c r="I62" s="100">
        <v>44</v>
      </c>
      <c r="J62" s="100">
        <f>IFERROR(VLOOKUP(Tablo518[[#This Row],[ÜRÜN KODU]],YMKODLARI!$A$1:$K$363,9,0)," ")</f>
        <v>6192</v>
      </c>
      <c r="K62" s="100" t="str">
        <f>IFERROR(VLOOKUP(Tablo518[[#This Row],[BOYA KODU]],Tablo14[#All],4,0)," ")</f>
        <v>YEŞİL</v>
      </c>
      <c r="L62" s="100">
        <f>IFERROR(VLOOKUP(Tablo518[[#This Row],[BOYA KODU]],Tablo14[#All],6,0)," ")</f>
        <v>5.0000000000000001E-3</v>
      </c>
      <c r="M62" s="100">
        <f t="shared" si="0"/>
        <v>3.7839999999999998</v>
      </c>
      <c r="N62" s="100" t="str">
        <f>IFERROR(VLOOKUP(Tablo518[[#This Row],[ÜRÜN KODU]],YMKODLARI!$A$1:$K$363,8,0)," ")</f>
        <v>HM 002</v>
      </c>
      <c r="O62" s="100" t="str">
        <f>IFERROR(VLOOKUP(Tablo518[[#This Row],[HAMMADDE KODU]],Tablo1[#All],3,0)," ")</f>
        <v>NOVAREX</v>
      </c>
      <c r="P62" s="100" t="str">
        <f>IFERROR(VLOOKUP(Tablo518[[#This Row],[HAMMADDE KODU]],Tablo1[#All],4,0)," ")</f>
        <v>PİNHAS</v>
      </c>
      <c r="Q62" s="100">
        <f>IFERROR(VLOOKUP(Tablo518[[#This Row],[ÜRÜN KODU]],YMKODLARI!$A$1:$K$363,5,0)," ")</f>
        <v>17.2</v>
      </c>
      <c r="R62" s="100">
        <f>IFERROR(VLOOKUP(Tablo518[[#This Row],[ÜRÜN KODU]],YMKODLARI!$A$1:$K$363,6,0)," ")</f>
        <v>15.4</v>
      </c>
      <c r="S62" s="100">
        <f>IFERROR(Tablo518[[#This Row],[YOLLUK HARİÇ BASKI GRAMI]]/Tablo518[[#This Row],[KALIP GÖZ ADEDİ]]," ")</f>
        <v>1.925</v>
      </c>
      <c r="T62" s="100">
        <f t="shared" si="2"/>
        <v>1.7999999999999989</v>
      </c>
      <c r="U62" s="100">
        <v>8.5</v>
      </c>
      <c r="V62" s="100">
        <f t="shared" si="1"/>
        <v>9.1776</v>
      </c>
      <c r="W62" s="101">
        <f t="shared" si="3"/>
        <v>24.010416666666668</v>
      </c>
      <c r="X62" s="102">
        <f t="shared" si="4"/>
        <v>0.25000000000002842</v>
      </c>
      <c r="Y62" s="100">
        <f t="shared" si="5"/>
        <v>0.24444444444444444</v>
      </c>
      <c r="Z62" s="100">
        <f t="shared" si="6"/>
        <v>352</v>
      </c>
    </row>
    <row r="63" spans="1:26">
      <c r="A63" s="108" t="s">
        <v>161</v>
      </c>
      <c r="B63" s="108" t="str">
        <f>IFERROR(VLOOKUP(Tablo518[[#This Row],[ÜRÜN KODU]],YMKODLARI!$A$1:$K$363,2,0)," ")</f>
        <v>DAMAK EMZİK TIPA</v>
      </c>
      <c r="C63" s="99">
        <v>43880</v>
      </c>
      <c r="D63" s="100" t="s">
        <v>37</v>
      </c>
      <c r="E63" s="101">
        <v>0.33333333333333331</v>
      </c>
      <c r="F63" s="101">
        <v>0.68402777777777779</v>
      </c>
      <c r="G63" s="100">
        <f>IFERROR(VLOOKUP(Tablo518[[#This Row],[ÜRÜN KODU]],YMKODLARI!$A$1:$K$363,3,0)," ")</f>
        <v>8</v>
      </c>
      <c r="H63" s="100">
        <f>IFERROR(VLOOKUP(Tablo518[[#This Row],[ÜRÜN KODU]],YMKODLARI!$A$1:$K$363,4,0)," ")</f>
        <v>20</v>
      </c>
      <c r="I63" s="100">
        <v>1480</v>
      </c>
      <c r="J63" s="100">
        <f>IFERROR(VLOOKUP(Tablo518[[#This Row],[ÜRÜN KODU]],YMKODLARI!$A$1:$K$363,9,0)," ")</f>
        <v>6192</v>
      </c>
      <c r="K63" s="100" t="str">
        <f>IFERROR(VLOOKUP(Tablo518[[#This Row],[BOYA KODU]],Tablo14[#All],4,0)," ")</f>
        <v>YEŞİL</v>
      </c>
      <c r="L63" s="100">
        <f>IFERROR(VLOOKUP(Tablo518[[#This Row],[BOYA KODU]],Tablo14[#All],6,0)," ")</f>
        <v>5.0000000000000001E-3</v>
      </c>
      <c r="M63" s="100">
        <f t="shared" si="0"/>
        <v>127.28</v>
      </c>
      <c r="N63" s="100" t="str">
        <f>IFERROR(VLOOKUP(Tablo518[[#This Row],[ÜRÜN KODU]],YMKODLARI!$A$1:$K$363,8,0)," ")</f>
        <v>HM 002</v>
      </c>
      <c r="O63" s="100" t="str">
        <f>IFERROR(VLOOKUP(Tablo518[[#This Row],[HAMMADDE KODU]],Tablo1[#All],3,0)," ")</f>
        <v>NOVAREX</v>
      </c>
      <c r="P63" s="100" t="str">
        <f>IFERROR(VLOOKUP(Tablo518[[#This Row],[HAMMADDE KODU]],Tablo1[#All],4,0)," ")</f>
        <v>PİNHAS</v>
      </c>
      <c r="Q63" s="100">
        <f>IFERROR(VLOOKUP(Tablo518[[#This Row],[ÜRÜN KODU]],YMKODLARI!$A$1:$K$363,5,0)," ")</f>
        <v>17.2</v>
      </c>
      <c r="R63" s="100">
        <f>IFERROR(VLOOKUP(Tablo518[[#This Row],[ÜRÜN KODU]],YMKODLARI!$A$1:$K$363,6,0)," ")</f>
        <v>15.4</v>
      </c>
      <c r="S63" s="100">
        <f>IFERROR(Tablo518[[#This Row],[YOLLUK HARİÇ BASKI GRAMI]]/Tablo518[[#This Row],[KALIP GÖZ ADEDİ]]," ")</f>
        <v>1.925</v>
      </c>
      <c r="T63" s="100">
        <f t="shared" si="2"/>
        <v>1.7999999999999989</v>
      </c>
      <c r="U63" s="100">
        <v>0.7</v>
      </c>
      <c r="V63" s="100">
        <f t="shared" si="1"/>
        <v>23.492000000000001</v>
      </c>
      <c r="W63" s="101">
        <f t="shared" si="3"/>
        <v>24.350694444444443</v>
      </c>
      <c r="X63" s="102">
        <f t="shared" si="4"/>
        <v>8.4166666666666288</v>
      </c>
      <c r="Y63" s="100">
        <f t="shared" si="5"/>
        <v>8.2222222222222214</v>
      </c>
      <c r="Z63" s="100">
        <f t="shared" si="6"/>
        <v>11840</v>
      </c>
    </row>
    <row r="64" spans="1:26">
      <c r="A64" s="108" t="s">
        <v>162</v>
      </c>
      <c r="B64" s="108" t="str">
        <f>IFERROR(VLOOKUP(Tablo518[[#This Row],[ÜRÜN KODU]],YMKODLARI!$A$1:$K$363,2,0)," ")</f>
        <v>DAMAK EMZİK GÖVDE</v>
      </c>
      <c r="C64" s="99">
        <v>43881</v>
      </c>
      <c r="D64" s="100" t="s">
        <v>36</v>
      </c>
      <c r="E64" s="101">
        <v>0.64583333333333337</v>
      </c>
      <c r="F64" s="101">
        <v>0.75</v>
      </c>
      <c r="G64" s="100">
        <f>IFERROR(VLOOKUP(Tablo518[[#This Row],[ÜRÜN KODU]],YMKODLARI!$A$1:$K$363,3,0)," ")</f>
        <v>8</v>
      </c>
      <c r="H64" s="100">
        <f>IFERROR(VLOOKUP(Tablo518[[#This Row],[ÜRÜN KODU]],YMKODLARI!$A$1:$K$363,4,0)," ")</f>
        <v>21</v>
      </c>
      <c r="I64" s="100">
        <v>422</v>
      </c>
      <c r="J64" s="100" t="str">
        <f>IFERROR(VLOOKUP(Tablo518[[#This Row],[ÜRÜN KODU]],YMKODLARI!$A$1:$K$363,9,0)," ")</f>
        <v>708GN0539G</v>
      </c>
      <c r="K64" s="100" t="str">
        <f>IFERROR(VLOOKUP(Tablo518[[#This Row],[BOYA KODU]],Tablo14[#All],4,0)," ")</f>
        <v>T.YEŞİL</v>
      </c>
      <c r="L64" s="100">
        <f>IFERROR(VLOOKUP(Tablo518[[#This Row],[BOYA KODU]],Tablo14[#All],6,0)," ")</f>
        <v>2E-3</v>
      </c>
      <c r="M64" s="100">
        <f t="shared" si="0"/>
        <v>24.982400000000002</v>
      </c>
      <c r="N64" s="100" t="str">
        <f>IFERROR(VLOOKUP(Tablo518[[#This Row],[ÜRÜN KODU]],YMKODLARI!$A$1:$K$363,8,0)," ")</f>
        <v>HM 002</v>
      </c>
      <c r="O64" s="100" t="str">
        <f>IFERROR(VLOOKUP(Tablo518[[#This Row],[HAMMADDE KODU]],Tablo1[#All],3,0)," ")</f>
        <v>NOVAREX</v>
      </c>
      <c r="P64" s="100" t="str">
        <f>IFERROR(VLOOKUP(Tablo518[[#This Row],[HAMMADDE KODU]],Tablo1[#All],4,0)," ")</f>
        <v>PİNHAS</v>
      </c>
      <c r="Q64" s="100">
        <f>IFERROR(VLOOKUP(Tablo518[[#This Row],[ÜRÜN KODU]],YMKODLARI!$A$1:$K$363,5,0)," ")</f>
        <v>29.6</v>
      </c>
      <c r="R64" s="100">
        <f>IFERROR(VLOOKUP(Tablo518[[#This Row],[ÜRÜN KODU]],YMKODLARI!$A$1:$K$363,6,0)," ")</f>
        <v>28.6</v>
      </c>
      <c r="S64" s="100">
        <f>IFERROR(Tablo518[[#This Row],[YOLLUK HARİÇ BASKI GRAMI]]/Tablo518[[#This Row],[KALIP GÖZ ADEDİ]]," ")</f>
        <v>3.5750000000000002</v>
      </c>
      <c r="T64" s="100">
        <f t="shared" si="2"/>
        <v>1</v>
      </c>
      <c r="U64" s="100">
        <v>3.1</v>
      </c>
      <c r="V64" s="100">
        <f t="shared" si="1"/>
        <v>15.1692</v>
      </c>
      <c r="W64" s="101">
        <f t="shared" si="3"/>
        <v>24.104166666666668</v>
      </c>
      <c r="X64" s="102">
        <f t="shared" si="4"/>
        <v>2.5000000000000284</v>
      </c>
      <c r="Y64" s="100">
        <f t="shared" si="5"/>
        <v>2.4616666666666664</v>
      </c>
      <c r="Z64" s="100">
        <f t="shared" si="6"/>
        <v>3376</v>
      </c>
    </row>
    <row r="65" spans="1:26">
      <c r="A65" s="108" t="s">
        <v>162</v>
      </c>
      <c r="B65" s="108" t="str">
        <f>IFERROR(VLOOKUP(Tablo518[[#This Row],[ÜRÜN KODU]],YMKODLARI!$A$1:$K$363,2,0)," ")</f>
        <v>DAMAK EMZİK GÖVDE</v>
      </c>
      <c r="C65" s="99">
        <v>43882</v>
      </c>
      <c r="D65" s="100" t="s">
        <v>36</v>
      </c>
      <c r="E65" s="101">
        <v>0.35416666666666669</v>
      </c>
      <c r="F65" s="101">
        <v>0.46875</v>
      </c>
      <c r="G65" s="100">
        <f>IFERROR(VLOOKUP(Tablo518[[#This Row],[ÜRÜN KODU]],YMKODLARI!$A$1:$K$363,3,0)," ")</f>
        <v>8</v>
      </c>
      <c r="H65" s="100">
        <f>IFERROR(VLOOKUP(Tablo518[[#This Row],[ÜRÜN KODU]],YMKODLARI!$A$1:$K$363,4,0)," ")</f>
        <v>21</v>
      </c>
      <c r="I65" s="100">
        <v>400</v>
      </c>
      <c r="J65" s="100" t="str">
        <f>IFERROR(VLOOKUP(Tablo518[[#This Row],[ÜRÜN KODU]],YMKODLARI!$A$1:$K$363,9,0)," ")</f>
        <v>708GN0539G</v>
      </c>
      <c r="K65" s="100" t="str">
        <f>IFERROR(VLOOKUP(Tablo518[[#This Row],[BOYA KODU]],Tablo14[#All],4,0)," ")</f>
        <v>T.YEŞİL</v>
      </c>
      <c r="L65" s="100">
        <f>IFERROR(VLOOKUP(Tablo518[[#This Row],[BOYA KODU]],Tablo14[#All],6,0)," ")</f>
        <v>2E-3</v>
      </c>
      <c r="M65" s="100">
        <f t="shared" si="0"/>
        <v>23.68</v>
      </c>
      <c r="N65" s="100" t="str">
        <f>IFERROR(VLOOKUP(Tablo518[[#This Row],[ÜRÜN KODU]],YMKODLARI!$A$1:$K$363,8,0)," ")</f>
        <v>HM 002</v>
      </c>
      <c r="O65" s="100" t="str">
        <f>IFERROR(VLOOKUP(Tablo518[[#This Row],[HAMMADDE KODU]],Tablo1[#All],3,0)," ")</f>
        <v>NOVAREX</v>
      </c>
      <c r="P65" s="100" t="str">
        <f>IFERROR(VLOOKUP(Tablo518[[#This Row],[HAMMADDE KODU]],Tablo1[#All],4,0)," ")</f>
        <v>PİNHAS</v>
      </c>
      <c r="Q65" s="100">
        <f>IFERROR(VLOOKUP(Tablo518[[#This Row],[ÜRÜN KODU]],YMKODLARI!$A$1:$K$363,5,0)," ")</f>
        <v>29.6</v>
      </c>
      <c r="R65" s="100">
        <f>IFERROR(VLOOKUP(Tablo518[[#This Row],[ÜRÜN KODU]],YMKODLARI!$A$1:$K$363,6,0)," ")</f>
        <v>28.6</v>
      </c>
      <c r="S65" s="100">
        <f>IFERROR(Tablo518[[#This Row],[YOLLUK HARİÇ BASKI GRAMI]]/Tablo518[[#This Row],[KALIP GÖZ ADEDİ]]," ")</f>
        <v>3.5750000000000002</v>
      </c>
      <c r="T65" s="100">
        <f t="shared" si="2"/>
        <v>1</v>
      </c>
      <c r="U65" s="100">
        <v>2</v>
      </c>
      <c r="V65" s="100">
        <f t="shared" si="1"/>
        <v>13.44</v>
      </c>
      <c r="W65" s="101">
        <f t="shared" si="3"/>
        <v>24.114583333333332</v>
      </c>
      <c r="X65" s="102">
        <f t="shared" si="4"/>
        <v>2.7499999999999716</v>
      </c>
      <c r="Y65" s="100">
        <f t="shared" si="5"/>
        <v>2.3333333333333335</v>
      </c>
      <c r="Z65" s="100">
        <f t="shared" si="6"/>
        <v>3200</v>
      </c>
    </row>
    <row r="66" spans="1:26">
      <c r="A66" s="108" t="s">
        <v>163</v>
      </c>
      <c r="B66" s="108" t="str">
        <f>IFERROR(VLOOKUP(Tablo518[[#This Row],[ÜRÜN KODU]],YMKODLARI!$A$1:$K$363,2,0)," ")</f>
        <v>DAMAK EMZİK GÖVDE</v>
      </c>
      <c r="C66" s="99">
        <v>43882</v>
      </c>
      <c r="D66" s="100" t="s">
        <v>36</v>
      </c>
      <c r="E66" s="101">
        <v>0.46875</v>
      </c>
      <c r="F66" s="101"/>
      <c r="G66" s="100">
        <f>IFERROR(VLOOKUP(Tablo518[[#This Row],[ÜRÜN KODU]],YMKODLARI!$A$1:$K$363,3,0)," ")</f>
        <v>8</v>
      </c>
      <c r="H66" s="100">
        <f>IFERROR(VLOOKUP(Tablo518[[#This Row],[ÜRÜN KODU]],YMKODLARI!$A$1:$K$363,4,0)," ")</f>
        <v>21</v>
      </c>
      <c r="I66" s="100"/>
      <c r="J66" s="100" t="str">
        <f>IFERROR(VLOOKUP(Tablo518[[#This Row],[ÜRÜN KODU]],YMKODLARI!$A$1:$K$363,9,0)," ")</f>
        <v>Şeffaf</v>
      </c>
      <c r="K66" s="100" t="str">
        <f>IFERROR(VLOOKUP(Tablo518[[#This Row],[BOYA KODU]],Tablo14[#All],4,0)," ")</f>
        <v xml:space="preserve"> </v>
      </c>
      <c r="L66" s="100" t="str">
        <f>IFERROR(VLOOKUP(Tablo518[[#This Row],[BOYA KODU]],Tablo14[#All],6,0)," ")</f>
        <v xml:space="preserve"> </v>
      </c>
      <c r="M66" s="100" t="str">
        <f t="shared" si="0"/>
        <v xml:space="preserve"> </v>
      </c>
      <c r="N66" s="100" t="str">
        <f>IFERROR(VLOOKUP(Tablo518[[#This Row],[ÜRÜN KODU]],YMKODLARI!$A$1:$K$363,8,0)," ")</f>
        <v>HM 002</v>
      </c>
      <c r="O66" s="100" t="str">
        <f>IFERROR(VLOOKUP(Tablo518[[#This Row],[HAMMADDE KODU]],Tablo1[#All],3,0)," ")</f>
        <v>NOVAREX</v>
      </c>
      <c r="P66" s="100" t="str">
        <f>IFERROR(VLOOKUP(Tablo518[[#This Row],[HAMMADDE KODU]],Tablo1[#All],4,0)," ")</f>
        <v>PİNHAS</v>
      </c>
      <c r="Q66" s="100">
        <f>IFERROR(VLOOKUP(Tablo518[[#This Row],[ÜRÜN KODU]],YMKODLARI!$A$1:$K$363,5,0)," ")</f>
        <v>29.6</v>
      </c>
      <c r="R66" s="100">
        <f>IFERROR(VLOOKUP(Tablo518[[#This Row],[ÜRÜN KODU]],YMKODLARI!$A$1:$K$363,6,0)," ")</f>
        <v>28.6</v>
      </c>
      <c r="S66" s="100">
        <f>IFERROR(Tablo518[[#This Row],[YOLLUK HARİÇ BASKI GRAMI]]/Tablo518[[#This Row],[KALIP GÖZ ADEDİ]]," ")</f>
        <v>3.5750000000000002</v>
      </c>
      <c r="T66" s="100">
        <f t="shared" si="2"/>
        <v>1</v>
      </c>
      <c r="U66" s="100">
        <v>3.5</v>
      </c>
      <c r="V66" s="100">
        <f t="shared" si="1"/>
        <v>3.5</v>
      </c>
      <c r="W66" s="101">
        <f t="shared" si="3"/>
        <v>23.53125</v>
      </c>
      <c r="X66" s="102">
        <f t="shared" si="4"/>
        <v>12.75</v>
      </c>
      <c r="Y66" s="100">
        <f t="shared" si="5"/>
        <v>0</v>
      </c>
      <c r="Z66" s="100">
        <f t="shared" si="6"/>
        <v>0</v>
      </c>
    </row>
    <row r="67" spans="1:26">
      <c r="A67" s="108" t="s">
        <v>163</v>
      </c>
      <c r="B67" s="108" t="str">
        <f>IFERROR(VLOOKUP(Tablo518[[#This Row],[ÜRÜN KODU]],YMKODLARI!$A$1:$K$363,2,0)," ")</f>
        <v>DAMAK EMZİK GÖVDE</v>
      </c>
      <c r="C67" s="99">
        <v>43885</v>
      </c>
      <c r="D67" s="100" t="s">
        <v>36</v>
      </c>
      <c r="E67" s="101">
        <v>0.42708333333333331</v>
      </c>
      <c r="F67" s="101">
        <v>0.75</v>
      </c>
      <c r="G67" s="100">
        <f>IFERROR(VLOOKUP(Tablo518[[#This Row],[ÜRÜN KODU]],YMKODLARI!$A$1:$K$363,3,0)," ")</f>
        <v>8</v>
      </c>
      <c r="H67" s="100">
        <f>IFERROR(VLOOKUP(Tablo518[[#This Row],[ÜRÜN KODU]],YMKODLARI!$A$1:$K$363,4,0)," ")</f>
        <v>21</v>
      </c>
      <c r="I67" s="100">
        <v>1402</v>
      </c>
      <c r="J67" s="100" t="str">
        <f>IFERROR(VLOOKUP(Tablo518[[#This Row],[ÜRÜN KODU]],YMKODLARI!$A$1:$K$363,9,0)," ")</f>
        <v>Şeffaf</v>
      </c>
      <c r="K67" s="100" t="str">
        <f>IFERROR(VLOOKUP(Tablo518[[#This Row],[BOYA KODU]],Tablo14[#All],4,0)," ")</f>
        <v xml:space="preserve"> </v>
      </c>
      <c r="L67" s="100" t="str">
        <f>IFERROR(VLOOKUP(Tablo518[[#This Row],[BOYA KODU]],Tablo14[#All],6,0)," ")</f>
        <v xml:space="preserve"> </v>
      </c>
      <c r="M67" s="100" t="str">
        <f t="shared" si="0"/>
        <v xml:space="preserve"> </v>
      </c>
      <c r="N67" s="100" t="str">
        <f>IFERROR(VLOOKUP(Tablo518[[#This Row],[ÜRÜN KODU]],YMKODLARI!$A$1:$K$363,8,0)," ")</f>
        <v>HM 002</v>
      </c>
      <c r="O67" s="100" t="str">
        <f>IFERROR(VLOOKUP(Tablo518[[#This Row],[HAMMADDE KODU]],Tablo1[#All],3,0)," ")</f>
        <v>NOVAREX</v>
      </c>
      <c r="P67" s="100" t="str">
        <f>IFERROR(VLOOKUP(Tablo518[[#This Row],[HAMMADDE KODU]],Tablo1[#All],4,0)," ")</f>
        <v>PİNHAS</v>
      </c>
      <c r="Q67" s="100">
        <f>IFERROR(VLOOKUP(Tablo518[[#This Row],[ÜRÜN KODU]],YMKODLARI!$A$1:$K$363,5,0)," ")</f>
        <v>29.6</v>
      </c>
      <c r="R67" s="100">
        <f>IFERROR(VLOOKUP(Tablo518[[#This Row],[ÜRÜN KODU]],YMKODLARI!$A$1:$K$363,6,0)," ")</f>
        <v>28.6</v>
      </c>
      <c r="S67" s="100">
        <f>IFERROR(Tablo518[[#This Row],[YOLLUK HARİÇ BASKI GRAMI]]/Tablo518[[#This Row],[KALIP GÖZ ADEDİ]]," ")</f>
        <v>3.5750000000000002</v>
      </c>
      <c r="T67" s="100">
        <f t="shared" si="2"/>
        <v>1</v>
      </c>
      <c r="U67" s="100">
        <v>1.7</v>
      </c>
      <c r="V67" s="100">
        <f t="shared" si="1"/>
        <v>41.797200000000004</v>
      </c>
      <c r="W67" s="101">
        <f t="shared" si="3"/>
        <v>24.322916666666668</v>
      </c>
      <c r="X67" s="102">
        <f t="shared" si="4"/>
        <v>7.7500000000000284</v>
      </c>
      <c r="Y67" s="100">
        <f t="shared" si="5"/>
        <v>8.1783333333333328</v>
      </c>
      <c r="Z67" s="100">
        <f t="shared" si="6"/>
        <v>11216</v>
      </c>
    </row>
    <row r="68" spans="1:26">
      <c r="A68" s="108" t="s">
        <v>163</v>
      </c>
      <c r="B68" s="108" t="str">
        <f>IFERROR(VLOOKUP(Tablo518[[#This Row],[ÜRÜN KODU]],YMKODLARI!$A$1:$K$363,2,0)," ")</f>
        <v>DAMAK EMZİK GÖVDE</v>
      </c>
      <c r="C68" s="99">
        <v>43886</v>
      </c>
      <c r="D68" s="100" t="s">
        <v>36</v>
      </c>
      <c r="E68" s="101">
        <v>0.33333333333333331</v>
      </c>
      <c r="F68" s="101">
        <v>0.5</v>
      </c>
      <c r="G68" s="100">
        <f>IFERROR(VLOOKUP(Tablo518[[#This Row],[ÜRÜN KODU]],YMKODLARI!$A$1:$K$363,3,0)," ")</f>
        <v>8</v>
      </c>
      <c r="H68" s="100">
        <f>IFERROR(VLOOKUP(Tablo518[[#This Row],[ÜRÜN KODU]],YMKODLARI!$A$1:$K$363,4,0)," ")</f>
        <v>21</v>
      </c>
      <c r="I68" s="100">
        <v>686</v>
      </c>
      <c r="J68" s="100" t="str">
        <f>IFERROR(VLOOKUP(Tablo518[[#This Row],[ÜRÜN KODU]],YMKODLARI!$A$1:$K$363,9,0)," ")</f>
        <v>Şeffaf</v>
      </c>
      <c r="K68" s="100" t="str">
        <f>IFERROR(VLOOKUP(Tablo518[[#This Row],[BOYA KODU]],Tablo14[#All],4,0)," ")</f>
        <v xml:space="preserve"> </v>
      </c>
      <c r="L68" s="100" t="str">
        <f>IFERROR(VLOOKUP(Tablo518[[#This Row],[BOYA KODU]],Tablo14[#All],6,0)," ")</f>
        <v xml:space="preserve"> </v>
      </c>
      <c r="M68" s="100" t="str">
        <f t="shared" si="0"/>
        <v xml:space="preserve"> </v>
      </c>
      <c r="N68" s="100" t="str">
        <f>IFERROR(VLOOKUP(Tablo518[[#This Row],[ÜRÜN KODU]],YMKODLARI!$A$1:$K$363,8,0)," ")</f>
        <v>HM 002</v>
      </c>
      <c r="O68" s="100" t="str">
        <f>IFERROR(VLOOKUP(Tablo518[[#This Row],[HAMMADDE KODU]],Tablo1[#All],3,0)," ")</f>
        <v>NOVAREX</v>
      </c>
      <c r="P68" s="100" t="str">
        <f>IFERROR(VLOOKUP(Tablo518[[#This Row],[HAMMADDE KODU]],Tablo1[#All],4,0)," ")</f>
        <v>PİNHAS</v>
      </c>
      <c r="Q68" s="100">
        <f>IFERROR(VLOOKUP(Tablo518[[#This Row],[ÜRÜN KODU]],YMKODLARI!$A$1:$K$363,5,0)," ")</f>
        <v>29.6</v>
      </c>
      <c r="R68" s="100">
        <f>IFERROR(VLOOKUP(Tablo518[[#This Row],[ÜRÜN KODU]],YMKODLARI!$A$1:$K$363,6,0)," ")</f>
        <v>28.6</v>
      </c>
      <c r="S68" s="100">
        <f>IFERROR(Tablo518[[#This Row],[YOLLUK HARİÇ BASKI GRAMI]]/Tablo518[[#This Row],[KALIP GÖZ ADEDİ]]," ")</f>
        <v>3.5750000000000002</v>
      </c>
      <c r="T68" s="100">
        <f t="shared" si="2"/>
        <v>1</v>
      </c>
      <c r="U68" s="100">
        <v>3.3</v>
      </c>
      <c r="V68" s="100">
        <f t="shared" si="1"/>
        <v>22.919600000000003</v>
      </c>
      <c r="W68" s="101">
        <f t="shared" si="3"/>
        <v>24.166666666666668</v>
      </c>
      <c r="X68" s="102">
        <f t="shared" si="4"/>
        <v>4.0000000000000284</v>
      </c>
      <c r="Y68" s="100">
        <f t="shared" si="5"/>
        <v>4.0016666666666669</v>
      </c>
      <c r="Z68" s="100">
        <f t="shared" si="6"/>
        <v>5488</v>
      </c>
    </row>
    <row r="69" spans="1:26">
      <c r="A69" s="108" t="s">
        <v>137</v>
      </c>
      <c r="B69" s="108" t="str">
        <f>IFERROR(VLOOKUP(Tablo518[[#This Row],[ÜRÜN KODU]],YMKODLARI!$A$1:$K$363,2,0)," ")</f>
        <v>DAMAK EMZİK GÖVDE</v>
      </c>
      <c r="C69" s="99">
        <v>43886</v>
      </c>
      <c r="D69" s="100" t="s">
        <v>36</v>
      </c>
      <c r="E69" s="101">
        <v>0.50347222222222221</v>
      </c>
      <c r="F69" s="101">
        <v>0.75</v>
      </c>
      <c r="G69" s="100">
        <f>IFERROR(VLOOKUP(Tablo518[[#This Row],[ÜRÜN KODU]],YMKODLARI!$A$1:$K$363,3,0)," ")</f>
        <v>8</v>
      </c>
      <c r="H69" s="100">
        <f>IFERROR(VLOOKUP(Tablo518[[#This Row],[ÜRÜN KODU]],YMKODLARI!$A$1:$K$363,4,0)," ")</f>
        <v>21</v>
      </c>
      <c r="I69" s="100">
        <v>977</v>
      </c>
      <c r="J69" s="100" t="str">
        <f>IFERROR(VLOOKUP(Tablo518[[#This Row],[ÜRÜN KODU]],YMKODLARI!$A$1:$K$363,9,0)," ")</f>
        <v>9134A</v>
      </c>
      <c r="K69" s="100" t="str">
        <f>IFERROR(VLOOKUP(Tablo518[[#This Row],[BOYA KODU]],Tablo14[#All],4,0)," ")</f>
        <v>BEYAZ</v>
      </c>
      <c r="L69" s="100">
        <f>IFERROR(VLOOKUP(Tablo518[[#This Row],[BOYA KODU]],Tablo14[#All],6,0)," ")</f>
        <v>7.0000000000000001E-3</v>
      </c>
      <c r="M69" s="100">
        <f t="shared" si="0"/>
        <v>202.43440000000001</v>
      </c>
      <c r="N69" s="100" t="str">
        <f>IFERROR(VLOOKUP(Tablo518[[#This Row],[ÜRÜN KODU]],YMKODLARI!$A$1:$K$363,8,0)," ")</f>
        <v>HM 002</v>
      </c>
      <c r="O69" s="100" t="str">
        <f>IFERROR(VLOOKUP(Tablo518[[#This Row],[HAMMADDE KODU]],Tablo1[#All],3,0)," ")</f>
        <v>NOVAREX</v>
      </c>
      <c r="P69" s="100" t="str">
        <f>IFERROR(VLOOKUP(Tablo518[[#This Row],[HAMMADDE KODU]],Tablo1[#All],4,0)," ")</f>
        <v>PİNHAS</v>
      </c>
      <c r="Q69" s="100">
        <f>IFERROR(VLOOKUP(Tablo518[[#This Row],[ÜRÜN KODU]],YMKODLARI!$A$1:$K$363,5,0)," ")</f>
        <v>29.6</v>
      </c>
      <c r="R69" s="100">
        <f>IFERROR(VLOOKUP(Tablo518[[#This Row],[ÜRÜN KODU]],YMKODLARI!$A$1:$K$363,6,0)," ")</f>
        <v>28.6</v>
      </c>
      <c r="S69" s="100">
        <f>IFERROR(Tablo518[[#This Row],[YOLLUK HARİÇ BASKI GRAMI]]/Tablo518[[#This Row],[KALIP GÖZ ADEDİ]]," ")</f>
        <v>3.5750000000000002</v>
      </c>
      <c r="T69" s="100">
        <f t="shared" si="2"/>
        <v>1</v>
      </c>
      <c r="U69" s="100">
        <v>5</v>
      </c>
      <c r="V69" s="100">
        <f t="shared" si="1"/>
        <v>32.9422</v>
      </c>
      <c r="W69" s="101">
        <f t="shared" si="3"/>
        <v>24.246527777777779</v>
      </c>
      <c r="X69" s="102">
        <f t="shared" si="4"/>
        <v>5.9166666666666856</v>
      </c>
      <c r="Y69" s="100">
        <f t="shared" si="5"/>
        <v>5.6991666666666667</v>
      </c>
      <c r="Z69" s="100">
        <f t="shared" si="6"/>
        <v>7816</v>
      </c>
    </row>
    <row r="70" spans="1:26">
      <c r="A70" s="108" t="s">
        <v>137</v>
      </c>
      <c r="B70" s="108" t="str">
        <f>IFERROR(VLOOKUP(Tablo518[[#This Row],[ÜRÜN KODU]],YMKODLARI!$A$1:$K$363,2,0)," ")</f>
        <v>DAMAK EMZİK GÖVDE</v>
      </c>
      <c r="C70" s="99">
        <v>43887</v>
      </c>
      <c r="D70" s="100" t="s">
        <v>37</v>
      </c>
      <c r="E70" s="101">
        <v>0.33333333333333331</v>
      </c>
      <c r="F70" s="101">
        <v>0.75</v>
      </c>
      <c r="G70" s="100">
        <f>IFERROR(VLOOKUP(Tablo518[[#This Row],[ÜRÜN KODU]],YMKODLARI!$A$1:$K$363,3,0)," ")</f>
        <v>8</v>
      </c>
      <c r="H70" s="100">
        <f>IFERROR(VLOOKUP(Tablo518[[#This Row],[ÜRÜN KODU]],YMKODLARI!$A$1:$K$363,4,0)," ")</f>
        <v>21</v>
      </c>
      <c r="I70" s="100">
        <v>1809</v>
      </c>
      <c r="J70" s="100" t="str">
        <f>IFERROR(VLOOKUP(Tablo518[[#This Row],[ÜRÜN KODU]],YMKODLARI!$A$1:$K$363,9,0)," ")</f>
        <v>9134A</v>
      </c>
      <c r="K70" s="100" t="str">
        <f>IFERROR(VLOOKUP(Tablo518[[#This Row],[BOYA KODU]],Tablo14[#All],4,0)," ")</f>
        <v>BEYAZ</v>
      </c>
      <c r="L70" s="100">
        <f>IFERROR(VLOOKUP(Tablo518[[#This Row],[BOYA KODU]],Tablo14[#All],6,0)," ")</f>
        <v>7.0000000000000001E-3</v>
      </c>
      <c r="M70" s="100">
        <f t="shared" ref="M70:M133" si="7">IFERROR((I70*Q70)*L70," ")</f>
        <v>374.82480000000004</v>
      </c>
      <c r="N70" s="100" t="str">
        <f>IFERROR(VLOOKUP(Tablo518[[#This Row],[ÜRÜN KODU]],YMKODLARI!$A$1:$K$363,8,0)," ")</f>
        <v>HM 002</v>
      </c>
      <c r="O70" s="100" t="str">
        <f>IFERROR(VLOOKUP(Tablo518[[#This Row],[HAMMADDE KODU]],Tablo1[#All],3,0)," ")</f>
        <v>NOVAREX</v>
      </c>
      <c r="P70" s="100" t="str">
        <f>IFERROR(VLOOKUP(Tablo518[[#This Row],[HAMMADDE KODU]],Tablo1[#All],4,0)," ")</f>
        <v>PİNHAS</v>
      </c>
      <c r="Q70" s="100">
        <f>IFERROR(VLOOKUP(Tablo518[[#This Row],[ÜRÜN KODU]],YMKODLARI!$A$1:$K$363,5,0)," ")</f>
        <v>29.6</v>
      </c>
      <c r="R70" s="100">
        <f>IFERROR(VLOOKUP(Tablo518[[#This Row],[ÜRÜN KODU]],YMKODLARI!$A$1:$K$363,6,0)," ")</f>
        <v>28.6</v>
      </c>
      <c r="S70" s="100">
        <f>IFERROR(Tablo518[[#This Row],[YOLLUK HARİÇ BASKI GRAMI]]/Tablo518[[#This Row],[KALIP GÖZ ADEDİ]]," ")</f>
        <v>3.5750000000000002</v>
      </c>
      <c r="T70" s="100">
        <f t="shared" si="2"/>
        <v>1</v>
      </c>
      <c r="U70" s="100">
        <v>9.5</v>
      </c>
      <c r="V70" s="100">
        <f t="shared" ref="V70:V133" si="8">IFERROR(U70+(R70*I70) /1000," ")</f>
        <v>61.237400000000001</v>
      </c>
      <c r="W70" s="101">
        <f t="shared" si="3"/>
        <v>24.416666666666668</v>
      </c>
      <c r="X70" s="102">
        <f t="shared" si="4"/>
        <v>10.000000000000028</v>
      </c>
      <c r="Y70" s="100">
        <f t="shared" si="5"/>
        <v>10.5525</v>
      </c>
      <c r="Z70" s="100">
        <f t="shared" si="6"/>
        <v>14472</v>
      </c>
    </row>
    <row r="71" spans="1:26">
      <c r="A71" s="108" t="s">
        <v>137</v>
      </c>
      <c r="B71" s="108" t="str">
        <f>IFERROR(VLOOKUP(Tablo518[[#This Row],[ÜRÜN KODU]],YMKODLARI!$A$1:$K$363,2,0)," ")</f>
        <v>DAMAK EMZİK GÖVDE</v>
      </c>
      <c r="C71" s="99">
        <v>43888</v>
      </c>
      <c r="D71" s="100" t="s">
        <v>37</v>
      </c>
      <c r="E71" s="101">
        <v>0.33333333333333331</v>
      </c>
      <c r="F71" s="101">
        <v>0.64236111111111105</v>
      </c>
      <c r="G71" s="100">
        <f>IFERROR(VLOOKUP(Tablo518[[#This Row],[ÜRÜN KODU]],YMKODLARI!$A$1:$K$363,3,0)," ")</f>
        <v>8</v>
      </c>
      <c r="H71" s="100">
        <f>IFERROR(VLOOKUP(Tablo518[[#This Row],[ÜRÜN KODU]],YMKODLARI!$A$1:$K$363,4,0)," ")</f>
        <v>21</v>
      </c>
      <c r="I71" s="100">
        <v>1245</v>
      </c>
      <c r="J71" s="100" t="str">
        <f>IFERROR(VLOOKUP(Tablo518[[#This Row],[ÜRÜN KODU]],YMKODLARI!$A$1:$K$363,9,0)," ")</f>
        <v>9134A</v>
      </c>
      <c r="K71" s="100" t="str">
        <f>IFERROR(VLOOKUP(Tablo518[[#This Row],[BOYA KODU]],Tablo14[#All],4,0)," ")</f>
        <v>BEYAZ</v>
      </c>
      <c r="L71" s="100">
        <f>IFERROR(VLOOKUP(Tablo518[[#This Row],[BOYA KODU]],Tablo14[#All],6,0)," ")</f>
        <v>7.0000000000000001E-3</v>
      </c>
      <c r="M71" s="100">
        <f t="shared" si="7"/>
        <v>257.964</v>
      </c>
      <c r="N71" s="100" t="str">
        <f>IFERROR(VLOOKUP(Tablo518[[#This Row],[ÜRÜN KODU]],YMKODLARI!$A$1:$K$363,8,0)," ")</f>
        <v>HM 002</v>
      </c>
      <c r="O71" s="100" t="str">
        <f>IFERROR(VLOOKUP(Tablo518[[#This Row],[HAMMADDE KODU]],Tablo1[#All],3,0)," ")</f>
        <v>NOVAREX</v>
      </c>
      <c r="P71" s="100" t="str">
        <f>IFERROR(VLOOKUP(Tablo518[[#This Row],[HAMMADDE KODU]],Tablo1[#All],4,0)," ")</f>
        <v>PİNHAS</v>
      </c>
      <c r="Q71" s="100">
        <f>IFERROR(VLOOKUP(Tablo518[[#This Row],[ÜRÜN KODU]],YMKODLARI!$A$1:$K$363,5,0)," ")</f>
        <v>29.6</v>
      </c>
      <c r="R71" s="100">
        <f>IFERROR(VLOOKUP(Tablo518[[#This Row],[ÜRÜN KODU]],YMKODLARI!$A$1:$K$363,6,0)," ")</f>
        <v>28.6</v>
      </c>
      <c r="S71" s="100">
        <f>IFERROR(Tablo518[[#This Row],[YOLLUK HARİÇ BASKI GRAMI]]/Tablo518[[#This Row],[KALIP GÖZ ADEDİ]]," ")</f>
        <v>3.5750000000000002</v>
      </c>
      <c r="T71" s="100">
        <f t="shared" ref="T71:T134" si="9">IFERROR(Q71-R71," ")</f>
        <v>1</v>
      </c>
      <c r="U71" s="100">
        <v>8.5</v>
      </c>
      <c r="V71" s="100">
        <f t="shared" si="8"/>
        <v>44.106999999999999</v>
      </c>
      <c r="W71" s="101">
        <f t="shared" ref="W71:W134" si="10">IFERROR(24-(E71-F71)," ")</f>
        <v>24.309027777777779</v>
      </c>
      <c r="X71" s="102">
        <f t="shared" ref="X71:X134" si="11">IFERROR((W71-INT(W71))*24," ")</f>
        <v>7.4166666666666856</v>
      </c>
      <c r="Y71" s="100">
        <f t="shared" ref="Y71:Y134" si="12">IFERROR(H71*I71/3600," ")</f>
        <v>7.2625000000000002</v>
      </c>
      <c r="Z71" s="100">
        <f t="shared" ref="Z71:Z134" si="13">IFERROR(I71*G71," " )</f>
        <v>9960</v>
      </c>
    </row>
    <row r="72" spans="1:26">
      <c r="A72" s="108" t="s">
        <v>164</v>
      </c>
      <c r="B72" s="108" t="str">
        <f>IFERROR(VLOOKUP(Tablo518[[#This Row],[ÜRÜN KODU]],YMKODLARI!$A$1:$K$363,2,0)," ")</f>
        <v>YENİ DAMAK GÖVDE</v>
      </c>
      <c r="C72" s="99">
        <v>43889</v>
      </c>
      <c r="D72" s="100" t="s">
        <v>37</v>
      </c>
      <c r="E72" s="101">
        <v>0.5</v>
      </c>
      <c r="F72" s="101">
        <v>0.72048611111111116</v>
      </c>
      <c r="G72" s="100">
        <f>IFERROR(VLOOKUP(Tablo518[[#This Row],[ÜRÜN KODU]],YMKODLARI!$A$1:$K$363,3,0)," ")</f>
        <v>8</v>
      </c>
      <c r="H72" s="100">
        <f>IFERROR(VLOOKUP(Tablo518[[#This Row],[ÜRÜN KODU]],YMKODLARI!$A$1:$K$363,4,0)," ")</f>
        <v>25</v>
      </c>
      <c r="I72" s="100">
        <v>650</v>
      </c>
      <c r="J72" s="100" t="str">
        <f>IFERROR(VLOOKUP(Tablo518[[#This Row],[ÜRÜN KODU]],YMKODLARI!$A$1:$K$363,9,0)," ")</f>
        <v>Şeffaf</v>
      </c>
      <c r="K72" s="100" t="str">
        <f>IFERROR(VLOOKUP(Tablo518[[#This Row],[BOYA KODU]],Tablo14[#All],4,0)," ")</f>
        <v xml:space="preserve"> </v>
      </c>
      <c r="L72" s="100" t="str">
        <f>IFERROR(VLOOKUP(Tablo518[[#This Row],[BOYA KODU]],Tablo14[#All],6,0)," ")</f>
        <v xml:space="preserve"> </v>
      </c>
      <c r="M72" s="100" t="str">
        <f t="shared" si="7"/>
        <v xml:space="preserve"> </v>
      </c>
      <c r="N72" s="100" t="str">
        <f>IFERROR(VLOOKUP(Tablo518[[#This Row],[ÜRÜN KODU]],YMKODLARI!$A$1:$K$363,8,0)," ")</f>
        <v>HM 002</v>
      </c>
      <c r="O72" s="100" t="str">
        <f>IFERROR(VLOOKUP(Tablo518[[#This Row],[HAMMADDE KODU]],Tablo1[#All],3,0)," ")</f>
        <v>NOVAREX</v>
      </c>
      <c r="P72" s="100" t="str">
        <f>IFERROR(VLOOKUP(Tablo518[[#This Row],[HAMMADDE KODU]],Tablo1[#All],4,0)," ")</f>
        <v>PİNHAS</v>
      </c>
      <c r="Q72" s="100">
        <f>IFERROR(VLOOKUP(Tablo518[[#This Row],[ÜRÜN KODU]],YMKODLARI!$A$1:$K$363,5,0)," ")</f>
        <v>35.700000000000003</v>
      </c>
      <c r="R72" s="100">
        <f>IFERROR(VLOOKUP(Tablo518[[#This Row],[ÜRÜN KODU]],YMKODLARI!$A$1:$K$363,6,0)," ")</f>
        <v>35</v>
      </c>
      <c r="S72" s="100">
        <f>IFERROR(Tablo518[[#This Row],[YOLLUK HARİÇ BASKI GRAMI]]/Tablo518[[#This Row],[KALIP GÖZ ADEDİ]]," ")</f>
        <v>4.375</v>
      </c>
      <c r="T72" s="100">
        <f t="shared" si="9"/>
        <v>0.70000000000000284</v>
      </c>
      <c r="U72" s="100">
        <v>1.5</v>
      </c>
      <c r="V72" s="100">
        <f t="shared" si="8"/>
        <v>24.25</v>
      </c>
      <c r="W72" s="101">
        <f t="shared" si="10"/>
        <v>24.220486111111111</v>
      </c>
      <c r="X72" s="102">
        <f t="shared" si="11"/>
        <v>5.2916666666666572</v>
      </c>
      <c r="Y72" s="100">
        <f t="shared" si="12"/>
        <v>4.5138888888888893</v>
      </c>
      <c r="Z72" s="100">
        <f t="shared" si="13"/>
        <v>5200</v>
      </c>
    </row>
    <row r="73" spans="1:26">
      <c r="A73" s="108" t="s">
        <v>135</v>
      </c>
      <c r="B73" s="108" t="str">
        <f>IFERROR(VLOOKUP(Tablo518[[#This Row],[ÜRÜN KODU]],YMKODLARI!$A$1:$K$363,2,0)," ")</f>
        <v>KLASİK EMZİK GÖVDE</v>
      </c>
      <c r="C73" s="99">
        <v>43895</v>
      </c>
      <c r="D73" s="100" t="s">
        <v>37</v>
      </c>
      <c r="E73" s="101">
        <v>0.57638888888888895</v>
      </c>
      <c r="F73" s="101">
        <v>0.75</v>
      </c>
      <c r="G73" s="100">
        <f>IFERROR(VLOOKUP(Tablo518[[#This Row],[ÜRÜN KODU]],YMKODLARI!$A$1:$K$363,3,0)," ")</f>
        <v>8</v>
      </c>
      <c r="H73" s="100">
        <f>IFERROR(VLOOKUP(Tablo518[[#This Row],[ÜRÜN KODU]],YMKODLARI!$A$1:$K$363,4,0)," ")</f>
        <v>21</v>
      </c>
      <c r="I73" s="100">
        <v>881</v>
      </c>
      <c r="J73" s="100" t="str">
        <f>IFERROR(VLOOKUP(Tablo518[[#This Row],[ÜRÜN KODU]],YMKODLARI!$A$1:$K$363,9,0)," ")</f>
        <v>Şeffaf</v>
      </c>
      <c r="K73" s="100" t="str">
        <f>IFERROR(VLOOKUP(Tablo518[[#This Row],[BOYA KODU]],Tablo14[#All],4,0)," ")</f>
        <v xml:space="preserve"> </v>
      </c>
      <c r="L73" s="100" t="str">
        <f>IFERROR(VLOOKUP(Tablo518[[#This Row],[BOYA KODU]],Tablo14[#All],6,0)," ")</f>
        <v xml:space="preserve"> </v>
      </c>
      <c r="M73" s="100" t="str">
        <f t="shared" si="7"/>
        <v xml:space="preserve"> </v>
      </c>
      <c r="N73" s="100" t="str">
        <f>IFERROR(VLOOKUP(Tablo518[[#This Row],[ÜRÜN KODU]],YMKODLARI!$A$1:$K$363,8,0)," ")</f>
        <v>HM 002</v>
      </c>
      <c r="O73" s="100" t="str">
        <f>IFERROR(VLOOKUP(Tablo518[[#This Row],[HAMMADDE KODU]],Tablo1[#All],3,0)," ")</f>
        <v>NOVAREX</v>
      </c>
      <c r="P73" s="100" t="str">
        <f>IFERROR(VLOOKUP(Tablo518[[#This Row],[HAMMADDE KODU]],Tablo1[#All],4,0)," ")</f>
        <v>PİNHAS</v>
      </c>
      <c r="Q73" s="100">
        <f>IFERROR(VLOOKUP(Tablo518[[#This Row],[ÜRÜN KODU]],YMKODLARI!$A$1:$K$363,5,0)," ")</f>
        <v>31.4</v>
      </c>
      <c r="R73" s="100">
        <f>IFERROR(VLOOKUP(Tablo518[[#This Row],[ÜRÜN KODU]],YMKODLARI!$A$1:$K$363,6,0)," ")</f>
        <v>30.4</v>
      </c>
      <c r="S73" s="100">
        <f>IFERROR(Tablo518[[#This Row],[YOLLUK HARİÇ BASKI GRAMI]]/Tablo518[[#This Row],[KALIP GÖZ ADEDİ]]," ")</f>
        <v>3.8</v>
      </c>
      <c r="T73" s="100">
        <f t="shared" si="9"/>
        <v>1</v>
      </c>
      <c r="U73" s="100">
        <v>3.3</v>
      </c>
      <c r="V73" s="100">
        <f t="shared" si="8"/>
        <v>30.0824</v>
      </c>
      <c r="W73" s="101">
        <f t="shared" si="10"/>
        <v>24.173611111111111</v>
      </c>
      <c r="X73" s="102">
        <f t="shared" si="11"/>
        <v>4.1666666666666572</v>
      </c>
      <c r="Y73" s="100">
        <f t="shared" si="12"/>
        <v>5.1391666666666671</v>
      </c>
      <c r="Z73" s="100">
        <f t="shared" si="13"/>
        <v>7048</v>
      </c>
    </row>
    <row r="74" spans="1:26">
      <c r="A74" s="108" t="s">
        <v>135</v>
      </c>
      <c r="B74" s="108" t="str">
        <f>IFERROR(VLOOKUP(Tablo518[[#This Row],[ÜRÜN KODU]],YMKODLARI!$A$1:$K$363,2,0)," ")</f>
        <v>KLASİK EMZİK GÖVDE</v>
      </c>
      <c r="C74" s="99">
        <v>43896</v>
      </c>
      <c r="D74" s="100" t="s">
        <v>37</v>
      </c>
      <c r="E74" s="101">
        <v>0.34027777777777773</v>
      </c>
      <c r="F74" s="101">
        <v>0.64930555555555558</v>
      </c>
      <c r="G74" s="100">
        <f>IFERROR(VLOOKUP(Tablo518[[#This Row],[ÜRÜN KODU]],YMKODLARI!$A$1:$K$363,3,0)," ")</f>
        <v>8</v>
      </c>
      <c r="H74" s="100">
        <f>IFERROR(VLOOKUP(Tablo518[[#This Row],[ÜRÜN KODU]],YMKODLARI!$A$1:$K$363,4,0)," ")</f>
        <v>21</v>
      </c>
      <c r="I74" s="100">
        <v>1242</v>
      </c>
      <c r="J74" s="100" t="str">
        <f>IFERROR(VLOOKUP(Tablo518[[#This Row],[ÜRÜN KODU]],YMKODLARI!$A$1:$K$363,9,0)," ")</f>
        <v>Şeffaf</v>
      </c>
      <c r="K74" s="100" t="str">
        <f>IFERROR(VLOOKUP(Tablo518[[#This Row],[BOYA KODU]],Tablo14[#All],4,0)," ")</f>
        <v xml:space="preserve"> </v>
      </c>
      <c r="L74" s="100" t="str">
        <f>IFERROR(VLOOKUP(Tablo518[[#This Row],[BOYA KODU]],Tablo14[#All],6,0)," ")</f>
        <v xml:space="preserve"> </v>
      </c>
      <c r="M74" s="100" t="str">
        <f t="shared" si="7"/>
        <v xml:space="preserve"> </v>
      </c>
      <c r="N74" s="100" t="str">
        <f>IFERROR(VLOOKUP(Tablo518[[#This Row],[ÜRÜN KODU]],YMKODLARI!$A$1:$K$363,8,0)," ")</f>
        <v>HM 002</v>
      </c>
      <c r="O74" s="100" t="str">
        <f>IFERROR(VLOOKUP(Tablo518[[#This Row],[HAMMADDE KODU]],Tablo1[#All],3,0)," ")</f>
        <v>NOVAREX</v>
      </c>
      <c r="P74" s="100" t="str">
        <f>IFERROR(VLOOKUP(Tablo518[[#This Row],[HAMMADDE KODU]],Tablo1[#All],4,0)," ")</f>
        <v>PİNHAS</v>
      </c>
      <c r="Q74" s="100">
        <f>IFERROR(VLOOKUP(Tablo518[[#This Row],[ÜRÜN KODU]],YMKODLARI!$A$1:$K$363,5,0)," ")</f>
        <v>31.4</v>
      </c>
      <c r="R74" s="100">
        <f>IFERROR(VLOOKUP(Tablo518[[#This Row],[ÜRÜN KODU]],YMKODLARI!$A$1:$K$363,6,0)," ")</f>
        <v>30.4</v>
      </c>
      <c r="S74" s="100">
        <f>IFERROR(Tablo518[[#This Row],[YOLLUK HARİÇ BASKI GRAMI]]/Tablo518[[#This Row],[KALIP GÖZ ADEDİ]]," ")</f>
        <v>3.8</v>
      </c>
      <c r="T74" s="100">
        <f t="shared" si="9"/>
        <v>1</v>
      </c>
      <c r="U74" s="100"/>
      <c r="V74" s="100">
        <f t="shared" si="8"/>
        <v>37.756799999999998</v>
      </c>
      <c r="W74" s="101">
        <f t="shared" si="10"/>
        <v>24.309027777777779</v>
      </c>
      <c r="X74" s="102">
        <f t="shared" si="11"/>
        <v>7.4166666666666856</v>
      </c>
      <c r="Y74" s="100">
        <f t="shared" si="12"/>
        <v>7.2450000000000001</v>
      </c>
      <c r="Z74" s="100">
        <f t="shared" si="13"/>
        <v>9936</v>
      </c>
    </row>
    <row r="75" spans="1:26">
      <c r="A75" s="108" t="s">
        <v>165</v>
      </c>
      <c r="B75" s="108" t="str">
        <f>IFERROR(VLOOKUP(Tablo518[[#This Row],[ÜRÜN KODU]],YMKODLARI!$A$1:$K$363,2,0)," ")</f>
        <v>MAMA TABAĞI KAPAĞI</v>
      </c>
      <c r="C75" s="99">
        <v>43913</v>
      </c>
      <c r="D75" s="100" t="s">
        <v>45</v>
      </c>
      <c r="E75" s="101">
        <v>0.5</v>
      </c>
      <c r="F75" s="101">
        <v>0.8125</v>
      </c>
      <c r="G75" s="100">
        <f>IFERROR(VLOOKUP(Tablo518[[#This Row],[ÜRÜN KODU]],YMKODLARI!$A$1:$K$363,3,0)," ")</f>
        <v>1</v>
      </c>
      <c r="H75" s="100">
        <f>IFERROR(VLOOKUP(Tablo518[[#This Row],[ÜRÜN KODU]],YMKODLARI!$A$1:$K$363,4,0)," ")</f>
        <v>33</v>
      </c>
      <c r="I75" s="100">
        <v>591</v>
      </c>
      <c r="J75" s="100" t="str">
        <f>IFERROR(VLOOKUP(Tablo518[[#This Row],[ÜRÜN KODU]],YMKODLARI!$A$1:$K$363,9,0)," ")</f>
        <v>Şeffaf</v>
      </c>
      <c r="K75" s="100" t="str">
        <f>IFERROR(VLOOKUP(Tablo518[[#This Row],[BOYA KODU]],Tablo14[#All],4,0)," ")</f>
        <v xml:space="preserve"> </v>
      </c>
      <c r="L75" s="100" t="str">
        <f>IFERROR(VLOOKUP(Tablo518[[#This Row],[BOYA KODU]],Tablo14[#All],6,0)," ")</f>
        <v xml:space="preserve"> </v>
      </c>
      <c r="M75" s="100" t="str">
        <f t="shared" si="7"/>
        <v xml:space="preserve"> </v>
      </c>
      <c r="N75" s="100" t="str">
        <f>IFERROR(VLOOKUP(Tablo518[[#This Row],[ÜRÜN KODU]],YMKODLARI!$A$1:$K$363,8,0)," ")</f>
        <v>HM 002</v>
      </c>
      <c r="O75" s="100" t="str">
        <f>IFERROR(VLOOKUP(Tablo518[[#This Row],[HAMMADDE KODU]],Tablo1[#All],3,0)," ")</f>
        <v>NOVAREX</v>
      </c>
      <c r="P75" s="100" t="str">
        <f>IFERROR(VLOOKUP(Tablo518[[#This Row],[HAMMADDE KODU]],Tablo1[#All],4,0)," ")</f>
        <v>PİNHAS</v>
      </c>
      <c r="Q75" s="100">
        <f>IFERROR(VLOOKUP(Tablo518[[#This Row],[ÜRÜN KODU]],YMKODLARI!$A$1:$K$363,5,0)," ")</f>
        <v>107</v>
      </c>
      <c r="R75" s="100">
        <f>IFERROR(VLOOKUP(Tablo518[[#This Row],[ÜRÜN KODU]],YMKODLARI!$A$1:$K$363,6,0)," ")</f>
        <v>107</v>
      </c>
      <c r="S75" s="100">
        <f>IFERROR(Tablo518[[#This Row],[YOLLUK HARİÇ BASKI GRAMI]]/Tablo518[[#This Row],[KALIP GÖZ ADEDİ]]," ")</f>
        <v>107</v>
      </c>
      <c r="T75" s="100">
        <f t="shared" si="9"/>
        <v>0</v>
      </c>
      <c r="U75" s="100">
        <v>16.899999999999999</v>
      </c>
      <c r="V75" s="100">
        <f t="shared" si="8"/>
        <v>80.137</v>
      </c>
      <c r="W75" s="101">
        <f t="shared" si="10"/>
        <v>24.3125</v>
      </c>
      <c r="X75" s="102">
        <f t="shared" si="11"/>
        <v>7.5</v>
      </c>
      <c r="Y75" s="100">
        <f t="shared" si="12"/>
        <v>5.4175000000000004</v>
      </c>
      <c r="Z75" s="100">
        <f t="shared" si="13"/>
        <v>591</v>
      </c>
    </row>
    <row r="76" spans="1:26">
      <c r="A76" s="108" t="s">
        <v>163</v>
      </c>
      <c r="B76" s="108" t="str">
        <f>IFERROR(VLOOKUP(Tablo518[[#This Row],[ÜRÜN KODU]],YMKODLARI!$A$1:$K$363,2,0)," ")</f>
        <v>DAMAK EMZİK GÖVDE</v>
      </c>
      <c r="C76" s="99">
        <v>43914</v>
      </c>
      <c r="D76" s="100" t="s">
        <v>29</v>
      </c>
      <c r="E76" s="101">
        <v>0.58333333333333337</v>
      </c>
      <c r="F76" s="101">
        <v>0.83333333333333337</v>
      </c>
      <c r="G76" s="100">
        <f>IFERROR(VLOOKUP(Tablo518[[#This Row],[ÜRÜN KODU]],YMKODLARI!$A$1:$K$363,3,0)," ")</f>
        <v>8</v>
      </c>
      <c r="H76" s="100">
        <f>IFERROR(VLOOKUP(Tablo518[[#This Row],[ÜRÜN KODU]],YMKODLARI!$A$1:$K$363,4,0)," ")</f>
        <v>21</v>
      </c>
      <c r="I76" s="100">
        <v>935</v>
      </c>
      <c r="J76" s="100" t="str">
        <f>IFERROR(VLOOKUP(Tablo518[[#This Row],[ÜRÜN KODU]],YMKODLARI!$A$1:$K$363,9,0)," ")</f>
        <v>Şeffaf</v>
      </c>
      <c r="K76" s="100" t="str">
        <f>IFERROR(VLOOKUP(Tablo518[[#This Row],[BOYA KODU]],Tablo14[#All],4,0)," ")</f>
        <v xml:space="preserve"> </v>
      </c>
      <c r="L76" s="100" t="str">
        <f>IFERROR(VLOOKUP(Tablo518[[#This Row],[BOYA KODU]],Tablo14[#All],6,0)," ")</f>
        <v xml:space="preserve"> </v>
      </c>
      <c r="M76" s="100" t="str">
        <f t="shared" si="7"/>
        <v xml:space="preserve"> </v>
      </c>
      <c r="N76" s="100" t="str">
        <f>IFERROR(VLOOKUP(Tablo518[[#This Row],[ÜRÜN KODU]],YMKODLARI!$A$1:$K$363,8,0)," ")</f>
        <v>HM 002</v>
      </c>
      <c r="O76" s="100" t="str">
        <f>IFERROR(VLOOKUP(Tablo518[[#This Row],[HAMMADDE KODU]],Tablo1[#All],3,0)," ")</f>
        <v>NOVAREX</v>
      </c>
      <c r="P76" s="100" t="str">
        <f>IFERROR(VLOOKUP(Tablo518[[#This Row],[HAMMADDE KODU]],Tablo1[#All],4,0)," ")</f>
        <v>PİNHAS</v>
      </c>
      <c r="Q76" s="100">
        <f>IFERROR(VLOOKUP(Tablo518[[#This Row],[ÜRÜN KODU]],YMKODLARI!$A$1:$K$363,5,0)," ")</f>
        <v>29.6</v>
      </c>
      <c r="R76" s="100">
        <f>IFERROR(VLOOKUP(Tablo518[[#This Row],[ÜRÜN KODU]],YMKODLARI!$A$1:$K$363,6,0)," ")</f>
        <v>28.6</v>
      </c>
      <c r="S76" s="100">
        <f>IFERROR(Tablo518[[#This Row],[YOLLUK HARİÇ BASKI GRAMI]]/Tablo518[[#This Row],[KALIP GÖZ ADEDİ]]," ")</f>
        <v>3.5750000000000002</v>
      </c>
      <c r="T76" s="100">
        <f t="shared" si="9"/>
        <v>1</v>
      </c>
      <c r="U76" s="100"/>
      <c r="V76" s="100">
        <f t="shared" si="8"/>
        <v>26.741</v>
      </c>
      <c r="W76" s="101">
        <f t="shared" si="10"/>
        <v>24.25</v>
      </c>
      <c r="X76" s="102">
        <f t="shared" si="11"/>
        <v>6</v>
      </c>
      <c r="Y76" s="100">
        <f t="shared" si="12"/>
        <v>5.4541666666666666</v>
      </c>
      <c r="Z76" s="100">
        <f t="shared" si="13"/>
        <v>7480</v>
      </c>
    </row>
    <row r="77" spans="1:26">
      <c r="A77" s="108" t="s">
        <v>163</v>
      </c>
      <c r="B77" s="108" t="str">
        <f>IFERROR(VLOOKUP(Tablo518[[#This Row],[ÜRÜN KODU]],YMKODLARI!$A$1:$K$363,2,0)," ")</f>
        <v>DAMAK EMZİK GÖVDE</v>
      </c>
      <c r="C77" s="99">
        <v>43914</v>
      </c>
      <c r="D77" s="100" t="s">
        <v>37</v>
      </c>
      <c r="E77" s="101">
        <v>0.83333333333333337</v>
      </c>
      <c r="F77" s="101">
        <v>0.33333333333333331</v>
      </c>
      <c r="G77" s="100">
        <f>IFERROR(VLOOKUP(Tablo518[[#This Row],[ÜRÜN KODU]],YMKODLARI!$A$1:$K$363,3,0)," ")</f>
        <v>8</v>
      </c>
      <c r="H77" s="100">
        <f>IFERROR(VLOOKUP(Tablo518[[#This Row],[ÜRÜN KODU]],YMKODLARI!$A$1:$K$363,4,0)," ")</f>
        <v>21</v>
      </c>
      <c r="I77" s="100">
        <v>2110</v>
      </c>
      <c r="J77" s="100" t="str">
        <f>IFERROR(VLOOKUP(Tablo518[[#This Row],[ÜRÜN KODU]],YMKODLARI!$A$1:$K$363,9,0)," ")</f>
        <v>Şeffaf</v>
      </c>
      <c r="K77" s="100" t="str">
        <f>IFERROR(VLOOKUP(Tablo518[[#This Row],[BOYA KODU]],Tablo14[#All],4,0)," ")</f>
        <v xml:space="preserve"> </v>
      </c>
      <c r="L77" s="100" t="str">
        <f>IFERROR(VLOOKUP(Tablo518[[#This Row],[BOYA KODU]],Tablo14[#All],6,0)," ")</f>
        <v xml:space="preserve"> </v>
      </c>
      <c r="M77" s="100" t="str">
        <f t="shared" si="7"/>
        <v xml:space="preserve"> </v>
      </c>
      <c r="N77" s="100" t="str">
        <f>IFERROR(VLOOKUP(Tablo518[[#This Row],[ÜRÜN KODU]],YMKODLARI!$A$1:$K$363,8,0)," ")</f>
        <v>HM 002</v>
      </c>
      <c r="O77" s="100" t="str">
        <f>IFERROR(VLOOKUP(Tablo518[[#This Row],[HAMMADDE KODU]],Tablo1[#All],3,0)," ")</f>
        <v>NOVAREX</v>
      </c>
      <c r="P77" s="100" t="str">
        <f>IFERROR(VLOOKUP(Tablo518[[#This Row],[HAMMADDE KODU]],Tablo1[#All],4,0)," ")</f>
        <v>PİNHAS</v>
      </c>
      <c r="Q77" s="100">
        <f>IFERROR(VLOOKUP(Tablo518[[#This Row],[ÜRÜN KODU]],YMKODLARI!$A$1:$K$363,5,0)," ")</f>
        <v>29.6</v>
      </c>
      <c r="R77" s="100">
        <f>IFERROR(VLOOKUP(Tablo518[[#This Row],[ÜRÜN KODU]],YMKODLARI!$A$1:$K$363,6,0)," ")</f>
        <v>28.6</v>
      </c>
      <c r="S77" s="100">
        <f>IFERROR(Tablo518[[#This Row],[YOLLUK HARİÇ BASKI GRAMI]]/Tablo518[[#This Row],[KALIP GÖZ ADEDİ]]," ")</f>
        <v>3.5750000000000002</v>
      </c>
      <c r="T77" s="100">
        <f t="shared" si="9"/>
        <v>1</v>
      </c>
      <c r="U77" s="100">
        <v>6</v>
      </c>
      <c r="V77" s="100">
        <f t="shared" si="8"/>
        <v>66.346000000000004</v>
      </c>
      <c r="W77" s="101">
        <f t="shared" si="10"/>
        <v>23.5</v>
      </c>
      <c r="X77" s="102">
        <f t="shared" si="11"/>
        <v>12</v>
      </c>
      <c r="Y77" s="100">
        <f t="shared" si="12"/>
        <v>12.308333333333334</v>
      </c>
      <c r="Z77" s="100">
        <f t="shared" si="13"/>
        <v>16880</v>
      </c>
    </row>
    <row r="78" spans="1:26">
      <c r="A78" s="108" t="s">
        <v>163</v>
      </c>
      <c r="B78" s="108" t="str">
        <f>IFERROR(VLOOKUP(Tablo518[[#This Row],[ÜRÜN KODU]],YMKODLARI!$A$1:$K$363,2,0)," ")</f>
        <v>DAMAK EMZİK GÖVDE</v>
      </c>
      <c r="C78" s="99">
        <v>43915</v>
      </c>
      <c r="D78" s="100" t="s">
        <v>40</v>
      </c>
      <c r="E78" s="101">
        <v>0.33333333333333331</v>
      </c>
      <c r="F78" s="101">
        <v>0.83333333333333337</v>
      </c>
      <c r="G78" s="100">
        <f>IFERROR(VLOOKUP(Tablo518[[#This Row],[ÜRÜN KODU]],YMKODLARI!$A$1:$K$363,3,0)," ")</f>
        <v>8</v>
      </c>
      <c r="H78" s="100">
        <f>IFERROR(VLOOKUP(Tablo518[[#This Row],[ÜRÜN KODU]],YMKODLARI!$A$1:$K$363,4,0)," ")</f>
        <v>21</v>
      </c>
      <c r="I78" s="100">
        <v>1824</v>
      </c>
      <c r="J78" s="100" t="str">
        <f>IFERROR(VLOOKUP(Tablo518[[#This Row],[ÜRÜN KODU]],YMKODLARI!$A$1:$K$363,9,0)," ")</f>
        <v>Şeffaf</v>
      </c>
      <c r="K78" s="100" t="str">
        <f>IFERROR(VLOOKUP(Tablo518[[#This Row],[BOYA KODU]],Tablo14[#All],4,0)," ")</f>
        <v xml:space="preserve"> </v>
      </c>
      <c r="L78" s="100" t="str">
        <f>IFERROR(VLOOKUP(Tablo518[[#This Row],[BOYA KODU]],Tablo14[#All],6,0)," ")</f>
        <v xml:space="preserve"> </v>
      </c>
      <c r="M78" s="100" t="str">
        <f t="shared" si="7"/>
        <v xml:space="preserve"> </v>
      </c>
      <c r="N78" s="100" t="str">
        <f>IFERROR(VLOOKUP(Tablo518[[#This Row],[ÜRÜN KODU]],YMKODLARI!$A$1:$K$363,8,0)," ")</f>
        <v>HM 002</v>
      </c>
      <c r="O78" s="100" t="str">
        <f>IFERROR(VLOOKUP(Tablo518[[#This Row],[HAMMADDE KODU]],Tablo1[#All],3,0)," ")</f>
        <v>NOVAREX</v>
      </c>
      <c r="P78" s="100" t="str">
        <f>IFERROR(VLOOKUP(Tablo518[[#This Row],[HAMMADDE KODU]],Tablo1[#All],4,0)," ")</f>
        <v>PİNHAS</v>
      </c>
      <c r="Q78" s="100">
        <f>IFERROR(VLOOKUP(Tablo518[[#This Row],[ÜRÜN KODU]],YMKODLARI!$A$1:$K$363,5,0)," ")</f>
        <v>29.6</v>
      </c>
      <c r="R78" s="100">
        <f>IFERROR(VLOOKUP(Tablo518[[#This Row],[ÜRÜN KODU]],YMKODLARI!$A$1:$K$363,6,0)," ")</f>
        <v>28.6</v>
      </c>
      <c r="S78" s="100">
        <f>IFERROR(Tablo518[[#This Row],[YOLLUK HARİÇ BASKI GRAMI]]/Tablo518[[#This Row],[KALIP GÖZ ADEDİ]]," ")</f>
        <v>3.5750000000000002</v>
      </c>
      <c r="T78" s="100">
        <f t="shared" si="9"/>
        <v>1</v>
      </c>
      <c r="U78" s="100"/>
      <c r="V78" s="100">
        <f t="shared" si="8"/>
        <v>52.166400000000003</v>
      </c>
      <c r="W78" s="101">
        <f t="shared" si="10"/>
        <v>24.5</v>
      </c>
      <c r="X78" s="102">
        <f t="shared" si="11"/>
        <v>12</v>
      </c>
      <c r="Y78" s="100">
        <f t="shared" si="12"/>
        <v>10.64</v>
      </c>
      <c r="Z78" s="100">
        <f t="shared" si="13"/>
        <v>14592</v>
      </c>
    </row>
    <row r="79" spans="1:26">
      <c r="A79" s="108" t="s">
        <v>163</v>
      </c>
      <c r="B79" s="108" t="str">
        <f>IFERROR(VLOOKUP(Tablo518[[#This Row],[ÜRÜN KODU]],YMKODLARI!$A$1:$K$363,2,0)," ")</f>
        <v>DAMAK EMZİK GÖVDE</v>
      </c>
      <c r="C79" s="99">
        <v>43915</v>
      </c>
      <c r="D79" s="100" t="s">
        <v>36</v>
      </c>
      <c r="E79" s="101">
        <v>0.25</v>
      </c>
      <c r="F79" s="101">
        <v>0.33333333333333331</v>
      </c>
      <c r="G79" s="100">
        <f>IFERROR(VLOOKUP(Tablo518[[#This Row],[ÜRÜN KODU]],YMKODLARI!$A$1:$K$363,3,0)," ")</f>
        <v>8</v>
      </c>
      <c r="H79" s="100">
        <f>IFERROR(VLOOKUP(Tablo518[[#This Row],[ÜRÜN KODU]],YMKODLARI!$A$1:$K$363,4,0)," ")</f>
        <v>21</v>
      </c>
      <c r="I79" s="100">
        <v>312</v>
      </c>
      <c r="J79" s="100" t="str">
        <f>IFERROR(VLOOKUP(Tablo518[[#This Row],[ÜRÜN KODU]],YMKODLARI!$A$1:$K$363,9,0)," ")</f>
        <v>Şeffaf</v>
      </c>
      <c r="K79" s="100" t="str">
        <f>IFERROR(VLOOKUP(Tablo518[[#This Row],[BOYA KODU]],Tablo14[#All],4,0)," ")</f>
        <v xml:space="preserve"> </v>
      </c>
      <c r="L79" s="100" t="str">
        <f>IFERROR(VLOOKUP(Tablo518[[#This Row],[BOYA KODU]],Tablo14[#All],6,0)," ")</f>
        <v xml:space="preserve"> </v>
      </c>
      <c r="M79" s="100" t="str">
        <f t="shared" si="7"/>
        <v xml:space="preserve"> </v>
      </c>
      <c r="N79" s="100" t="str">
        <f>IFERROR(VLOOKUP(Tablo518[[#This Row],[ÜRÜN KODU]],YMKODLARI!$A$1:$K$363,8,0)," ")</f>
        <v>HM 002</v>
      </c>
      <c r="O79" s="100" t="str">
        <f>IFERROR(VLOOKUP(Tablo518[[#This Row],[HAMMADDE KODU]],Tablo1[#All],3,0)," ")</f>
        <v>NOVAREX</v>
      </c>
      <c r="P79" s="100" t="str">
        <f>IFERROR(VLOOKUP(Tablo518[[#This Row],[HAMMADDE KODU]],Tablo1[#All],4,0)," ")</f>
        <v>PİNHAS</v>
      </c>
      <c r="Q79" s="100">
        <f>IFERROR(VLOOKUP(Tablo518[[#This Row],[ÜRÜN KODU]],YMKODLARI!$A$1:$K$363,5,0)," ")</f>
        <v>29.6</v>
      </c>
      <c r="R79" s="100">
        <f>IFERROR(VLOOKUP(Tablo518[[#This Row],[ÜRÜN KODU]],YMKODLARI!$A$1:$K$363,6,0)," ")</f>
        <v>28.6</v>
      </c>
      <c r="S79" s="100">
        <f>IFERROR(Tablo518[[#This Row],[YOLLUK HARİÇ BASKI GRAMI]]/Tablo518[[#This Row],[KALIP GÖZ ADEDİ]]," ")</f>
        <v>3.5750000000000002</v>
      </c>
      <c r="T79" s="100">
        <f t="shared" si="9"/>
        <v>1</v>
      </c>
      <c r="U79" s="100">
        <v>1.35</v>
      </c>
      <c r="V79" s="100">
        <f t="shared" si="8"/>
        <v>10.273200000000001</v>
      </c>
      <c r="W79" s="101">
        <f t="shared" si="10"/>
        <v>24.083333333333332</v>
      </c>
      <c r="X79" s="102">
        <f t="shared" si="11"/>
        <v>1.9999999999999716</v>
      </c>
      <c r="Y79" s="100">
        <f t="shared" si="12"/>
        <v>1.82</v>
      </c>
      <c r="Z79" s="100">
        <f t="shared" si="13"/>
        <v>2496</v>
      </c>
    </row>
    <row r="80" spans="1:26">
      <c r="A80" s="108" t="s">
        <v>163</v>
      </c>
      <c r="B80" s="108" t="str">
        <f>IFERROR(VLOOKUP(Tablo518[[#This Row],[ÜRÜN KODU]],YMKODLARI!$A$1:$K$363,2,0)," ")</f>
        <v>DAMAK EMZİK GÖVDE</v>
      </c>
      <c r="C80" s="99">
        <v>43916</v>
      </c>
      <c r="D80" s="100" t="s">
        <v>40</v>
      </c>
      <c r="E80" s="101">
        <v>0.33333333333333331</v>
      </c>
      <c r="F80" s="101">
        <v>0.83333333333333337</v>
      </c>
      <c r="G80" s="100">
        <f>IFERROR(VLOOKUP(Tablo518[[#This Row],[ÜRÜN KODU]],YMKODLARI!$A$1:$K$363,3,0)," ")</f>
        <v>8</v>
      </c>
      <c r="H80" s="100">
        <f>IFERROR(VLOOKUP(Tablo518[[#This Row],[ÜRÜN KODU]],YMKODLARI!$A$1:$K$363,4,0)," ")</f>
        <v>21</v>
      </c>
      <c r="I80" s="100">
        <v>1922</v>
      </c>
      <c r="J80" s="100" t="str">
        <f>IFERROR(VLOOKUP(Tablo518[[#This Row],[ÜRÜN KODU]],YMKODLARI!$A$1:$K$363,9,0)," ")</f>
        <v>Şeffaf</v>
      </c>
      <c r="K80" s="100" t="str">
        <f>IFERROR(VLOOKUP(Tablo518[[#This Row],[BOYA KODU]],Tablo14[#All],4,0)," ")</f>
        <v xml:space="preserve"> </v>
      </c>
      <c r="L80" s="100" t="str">
        <f>IFERROR(VLOOKUP(Tablo518[[#This Row],[BOYA KODU]],Tablo14[#All],6,0)," ")</f>
        <v xml:space="preserve"> </v>
      </c>
      <c r="M80" s="100" t="str">
        <f t="shared" si="7"/>
        <v xml:space="preserve"> </v>
      </c>
      <c r="N80" s="100" t="str">
        <f>IFERROR(VLOOKUP(Tablo518[[#This Row],[ÜRÜN KODU]],YMKODLARI!$A$1:$K$363,8,0)," ")</f>
        <v>HM 002</v>
      </c>
      <c r="O80" s="100" t="str">
        <f>IFERROR(VLOOKUP(Tablo518[[#This Row],[HAMMADDE KODU]],Tablo1[#All],3,0)," ")</f>
        <v>NOVAREX</v>
      </c>
      <c r="P80" s="100" t="str">
        <f>IFERROR(VLOOKUP(Tablo518[[#This Row],[HAMMADDE KODU]],Tablo1[#All],4,0)," ")</f>
        <v>PİNHAS</v>
      </c>
      <c r="Q80" s="100">
        <f>IFERROR(VLOOKUP(Tablo518[[#This Row],[ÜRÜN KODU]],YMKODLARI!$A$1:$K$363,5,0)," ")</f>
        <v>29.6</v>
      </c>
      <c r="R80" s="100">
        <f>IFERROR(VLOOKUP(Tablo518[[#This Row],[ÜRÜN KODU]],YMKODLARI!$A$1:$K$363,6,0)," ")</f>
        <v>28.6</v>
      </c>
      <c r="S80" s="100">
        <f>IFERROR(Tablo518[[#This Row],[YOLLUK HARİÇ BASKI GRAMI]]/Tablo518[[#This Row],[KALIP GÖZ ADEDİ]]," ")</f>
        <v>3.5750000000000002</v>
      </c>
      <c r="T80" s="100">
        <f t="shared" si="9"/>
        <v>1</v>
      </c>
      <c r="U80" s="100"/>
      <c r="V80" s="100">
        <f t="shared" si="8"/>
        <v>54.969200000000008</v>
      </c>
      <c r="W80" s="101">
        <f t="shared" si="10"/>
        <v>24.5</v>
      </c>
      <c r="X80" s="102">
        <f t="shared" si="11"/>
        <v>12</v>
      </c>
      <c r="Y80" s="100">
        <f t="shared" si="12"/>
        <v>11.211666666666666</v>
      </c>
      <c r="Z80" s="100">
        <f t="shared" si="13"/>
        <v>15376</v>
      </c>
    </row>
    <row r="81" spans="1:26">
      <c r="A81" s="108" t="s">
        <v>163</v>
      </c>
      <c r="B81" s="108" t="str">
        <f>IFERROR(VLOOKUP(Tablo518[[#This Row],[ÜRÜN KODU]],YMKODLARI!$A$1:$K$363,2,0)," ")</f>
        <v>DAMAK EMZİK GÖVDE</v>
      </c>
      <c r="C81" s="99">
        <v>43917</v>
      </c>
      <c r="D81" s="100" t="s">
        <v>40</v>
      </c>
      <c r="E81" s="101">
        <v>0.33333333333333331</v>
      </c>
      <c r="F81" s="101">
        <v>0.83333333333333337</v>
      </c>
      <c r="G81" s="100">
        <f>IFERROR(VLOOKUP(Tablo518[[#This Row],[ÜRÜN KODU]],YMKODLARI!$A$1:$K$363,3,0)," ")</f>
        <v>8</v>
      </c>
      <c r="H81" s="100">
        <f>IFERROR(VLOOKUP(Tablo518[[#This Row],[ÜRÜN KODU]],YMKODLARI!$A$1:$K$363,4,0)," ")</f>
        <v>21</v>
      </c>
      <c r="I81" s="100">
        <v>2014</v>
      </c>
      <c r="J81" s="100" t="str">
        <f>IFERROR(VLOOKUP(Tablo518[[#This Row],[ÜRÜN KODU]],YMKODLARI!$A$1:$K$363,9,0)," ")</f>
        <v>Şeffaf</v>
      </c>
      <c r="K81" s="100" t="str">
        <f>IFERROR(VLOOKUP(Tablo518[[#This Row],[BOYA KODU]],Tablo14[#All],4,0)," ")</f>
        <v xml:space="preserve"> </v>
      </c>
      <c r="L81" s="100" t="str">
        <f>IFERROR(VLOOKUP(Tablo518[[#This Row],[BOYA KODU]],Tablo14[#All],6,0)," ")</f>
        <v xml:space="preserve"> </v>
      </c>
      <c r="M81" s="100" t="str">
        <f t="shared" si="7"/>
        <v xml:space="preserve"> </v>
      </c>
      <c r="N81" s="100" t="str">
        <f>IFERROR(VLOOKUP(Tablo518[[#This Row],[ÜRÜN KODU]],YMKODLARI!$A$1:$K$363,8,0)," ")</f>
        <v>HM 002</v>
      </c>
      <c r="O81" s="100" t="str">
        <f>IFERROR(VLOOKUP(Tablo518[[#This Row],[HAMMADDE KODU]],Tablo1[#All],3,0)," ")</f>
        <v>NOVAREX</v>
      </c>
      <c r="P81" s="100" t="str">
        <f>IFERROR(VLOOKUP(Tablo518[[#This Row],[HAMMADDE KODU]],Tablo1[#All],4,0)," ")</f>
        <v>PİNHAS</v>
      </c>
      <c r="Q81" s="100">
        <f>IFERROR(VLOOKUP(Tablo518[[#This Row],[ÜRÜN KODU]],YMKODLARI!$A$1:$K$363,5,0)," ")</f>
        <v>29.6</v>
      </c>
      <c r="R81" s="100">
        <f>IFERROR(VLOOKUP(Tablo518[[#This Row],[ÜRÜN KODU]],YMKODLARI!$A$1:$K$363,6,0)," ")</f>
        <v>28.6</v>
      </c>
      <c r="S81" s="100">
        <f>IFERROR(Tablo518[[#This Row],[YOLLUK HARİÇ BASKI GRAMI]]/Tablo518[[#This Row],[KALIP GÖZ ADEDİ]]," ")</f>
        <v>3.5750000000000002</v>
      </c>
      <c r="T81" s="100">
        <f t="shared" si="9"/>
        <v>1</v>
      </c>
      <c r="U81" s="100">
        <v>7.2</v>
      </c>
      <c r="V81" s="100">
        <f t="shared" si="8"/>
        <v>64.800399999999996</v>
      </c>
      <c r="W81" s="101">
        <f t="shared" si="10"/>
        <v>24.5</v>
      </c>
      <c r="X81" s="102">
        <f t="shared" si="11"/>
        <v>12</v>
      </c>
      <c r="Y81" s="100">
        <f t="shared" si="12"/>
        <v>11.748333333333333</v>
      </c>
      <c r="Z81" s="100">
        <f t="shared" si="13"/>
        <v>16112</v>
      </c>
    </row>
    <row r="82" spans="1:26">
      <c r="A82" s="108" t="s">
        <v>163</v>
      </c>
      <c r="B82" s="108" t="str">
        <f>IFERROR(VLOOKUP(Tablo518[[#This Row],[ÜRÜN KODU]],YMKODLARI!$A$1:$K$363,2,0)," ")</f>
        <v>DAMAK EMZİK GÖVDE</v>
      </c>
      <c r="C82" s="99">
        <v>43920</v>
      </c>
      <c r="D82" s="100" t="s">
        <v>35</v>
      </c>
      <c r="E82" s="101">
        <v>0.5625</v>
      </c>
      <c r="F82" s="101">
        <v>0.83333333333333337</v>
      </c>
      <c r="G82" s="100">
        <f>IFERROR(VLOOKUP(Tablo518[[#This Row],[ÜRÜN KODU]],YMKODLARI!$A$1:$K$363,3,0)," ")</f>
        <v>8</v>
      </c>
      <c r="H82" s="100">
        <f>IFERROR(VLOOKUP(Tablo518[[#This Row],[ÜRÜN KODU]],YMKODLARI!$A$1:$K$363,4,0)," ")</f>
        <v>21</v>
      </c>
      <c r="I82" s="100">
        <v>1494</v>
      </c>
      <c r="J82" s="100" t="str">
        <f>IFERROR(VLOOKUP(Tablo518[[#This Row],[ÜRÜN KODU]],YMKODLARI!$A$1:$K$363,9,0)," ")</f>
        <v>Şeffaf</v>
      </c>
      <c r="K82" s="100" t="str">
        <f>IFERROR(VLOOKUP(Tablo518[[#This Row],[BOYA KODU]],Tablo14[#All],4,0)," ")</f>
        <v xml:space="preserve"> </v>
      </c>
      <c r="L82" s="100" t="str">
        <f>IFERROR(VLOOKUP(Tablo518[[#This Row],[BOYA KODU]],Tablo14[#All],6,0)," ")</f>
        <v xml:space="preserve"> </v>
      </c>
      <c r="M82" s="100" t="str">
        <f t="shared" si="7"/>
        <v xml:space="preserve"> </v>
      </c>
      <c r="N82" s="100" t="str">
        <f>IFERROR(VLOOKUP(Tablo518[[#This Row],[ÜRÜN KODU]],YMKODLARI!$A$1:$K$363,8,0)," ")</f>
        <v>HM 002</v>
      </c>
      <c r="O82" s="100" t="str">
        <f>IFERROR(VLOOKUP(Tablo518[[#This Row],[HAMMADDE KODU]],Tablo1[#All],3,0)," ")</f>
        <v>NOVAREX</v>
      </c>
      <c r="P82" s="100" t="str">
        <f>IFERROR(VLOOKUP(Tablo518[[#This Row],[HAMMADDE KODU]],Tablo1[#All],4,0)," ")</f>
        <v>PİNHAS</v>
      </c>
      <c r="Q82" s="100">
        <f>IFERROR(VLOOKUP(Tablo518[[#This Row],[ÜRÜN KODU]],YMKODLARI!$A$1:$K$363,5,0)," ")</f>
        <v>29.6</v>
      </c>
      <c r="R82" s="100">
        <f>IFERROR(VLOOKUP(Tablo518[[#This Row],[ÜRÜN KODU]],YMKODLARI!$A$1:$K$363,6,0)," ")</f>
        <v>28.6</v>
      </c>
      <c r="S82" s="100">
        <f>IFERROR(Tablo518[[#This Row],[YOLLUK HARİÇ BASKI GRAMI]]/Tablo518[[#This Row],[KALIP GÖZ ADEDİ]]," ")</f>
        <v>3.5750000000000002</v>
      </c>
      <c r="T82" s="100">
        <f t="shared" si="9"/>
        <v>1</v>
      </c>
      <c r="U82" s="100">
        <v>5.6</v>
      </c>
      <c r="V82" s="100">
        <f t="shared" si="8"/>
        <v>48.328400000000002</v>
      </c>
      <c r="W82" s="101">
        <f t="shared" si="10"/>
        <v>24.270833333333332</v>
      </c>
      <c r="X82" s="102">
        <f t="shared" si="11"/>
        <v>6.4999999999999716</v>
      </c>
      <c r="Y82" s="100">
        <f t="shared" si="12"/>
        <v>8.7149999999999999</v>
      </c>
      <c r="Z82" s="100">
        <f t="shared" si="13"/>
        <v>11952</v>
      </c>
    </row>
    <row r="83" spans="1:26">
      <c r="A83" s="108" t="s">
        <v>163</v>
      </c>
      <c r="B83" s="108" t="str">
        <f>IFERROR(VLOOKUP(Tablo518[[#This Row],[ÜRÜN KODU]],YMKODLARI!$A$1:$K$363,2,0)," ")</f>
        <v>DAMAK EMZİK GÖVDE</v>
      </c>
      <c r="C83" s="99">
        <v>43920</v>
      </c>
      <c r="D83" s="100" t="s">
        <v>36</v>
      </c>
      <c r="E83" s="101">
        <v>0.83333333333333337</v>
      </c>
      <c r="F83" s="101">
        <v>0.29166666666666669</v>
      </c>
      <c r="G83" s="100">
        <f>IFERROR(VLOOKUP(Tablo518[[#This Row],[ÜRÜN KODU]],YMKODLARI!$A$1:$K$363,3,0)," ")</f>
        <v>8</v>
      </c>
      <c r="H83" s="100">
        <f>IFERROR(VLOOKUP(Tablo518[[#This Row],[ÜRÜN KODU]],YMKODLARI!$A$1:$K$363,4,0)," ")</f>
        <v>21</v>
      </c>
      <c r="I83" s="100">
        <v>2040</v>
      </c>
      <c r="J83" s="100" t="str">
        <f>IFERROR(VLOOKUP(Tablo518[[#This Row],[ÜRÜN KODU]],YMKODLARI!$A$1:$K$363,9,0)," ")</f>
        <v>Şeffaf</v>
      </c>
      <c r="K83" s="100" t="str">
        <f>IFERROR(VLOOKUP(Tablo518[[#This Row],[BOYA KODU]],Tablo14[#All],4,0)," ")</f>
        <v xml:space="preserve"> </v>
      </c>
      <c r="L83" s="100" t="str">
        <f>IFERROR(VLOOKUP(Tablo518[[#This Row],[BOYA KODU]],Tablo14[#All],6,0)," ")</f>
        <v xml:space="preserve"> </v>
      </c>
      <c r="M83" s="100" t="str">
        <f t="shared" si="7"/>
        <v xml:space="preserve"> </v>
      </c>
      <c r="N83" s="100" t="str">
        <f>IFERROR(VLOOKUP(Tablo518[[#This Row],[ÜRÜN KODU]],YMKODLARI!$A$1:$K$363,8,0)," ")</f>
        <v>HM 002</v>
      </c>
      <c r="O83" s="100" t="str">
        <f>IFERROR(VLOOKUP(Tablo518[[#This Row],[HAMMADDE KODU]],Tablo1[#All],3,0)," ")</f>
        <v>NOVAREX</v>
      </c>
      <c r="P83" s="100" t="str">
        <f>IFERROR(VLOOKUP(Tablo518[[#This Row],[HAMMADDE KODU]],Tablo1[#All],4,0)," ")</f>
        <v>PİNHAS</v>
      </c>
      <c r="Q83" s="100">
        <f>IFERROR(VLOOKUP(Tablo518[[#This Row],[ÜRÜN KODU]],YMKODLARI!$A$1:$K$363,5,0)," ")</f>
        <v>29.6</v>
      </c>
      <c r="R83" s="100">
        <f>IFERROR(VLOOKUP(Tablo518[[#This Row],[ÜRÜN KODU]],YMKODLARI!$A$1:$K$363,6,0)," ")</f>
        <v>28.6</v>
      </c>
      <c r="S83" s="100">
        <f>IFERROR(Tablo518[[#This Row],[YOLLUK HARİÇ BASKI GRAMI]]/Tablo518[[#This Row],[KALIP GÖZ ADEDİ]]," ")</f>
        <v>3.5750000000000002</v>
      </c>
      <c r="T83" s="100">
        <f t="shared" si="9"/>
        <v>1</v>
      </c>
      <c r="U83" s="100"/>
      <c r="V83" s="100">
        <f t="shared" si="8"/>
        <v>58.344000000000001</v>
      </c>
      <c r="W83" s="101">
        <f t="shared" si="10"/>
        <v>23.458333333333332</v>
      </c>
      <c r="X83" s="102">
        <f t="shared" si="11"/>
        <v>10.999999999999972</v>
      </c>
      <c r="Y83" s="100">
        <f t="shared" si="12"/>
        <v>11.9</v>
      </c>
      <c r="Z83" s="100">
        <f t="shared" si="13"/>
        <v>16320</v>
      </c>
    </row>
    <row r="84" spans="1:26">
      <c r="A84" s="108" t="s">
        <v>163</v>
      </c>
      <c r="B84" s="108" t="str">
        <f>IFERROR(VLOOKUP(Tablo518[[#This Row],[ÜRÜN KODU]],YMKODLARI!$A$1:$K$363,2,0)," ")</f>
        <v>DAMAK EMZİK GÖVDE</v>
      </c>
      <c r="C84" s="99">
        <v>43921</v>
      </c>
      <c r="D84" s="100" t="s">
        <v>35</v>
      </c>
      <c r="E84" s="101">
        <v>0.375</v>
      </c>
      <c r="F84" s="101">
        <v>0.79166666666666663</v>
      </c>
      <c r="G84" s="100">
        <f>IFERROR(VLOOKUP(Tablo518[[#This Row],[ÜRÜN KODU]],YMKODLARI!$A$1:$K$363,3,0)," ")</f>
        <v>8</v>
      </c>
      <c r="H84" s="100">
        <f>IFERROR(VLOOKUP(Tablo518[[#This Row],[ÜRÜN KODU]],YMKODLARI!$A$1:$K$363,4,0)," ")</f>
        <v>21</v>
      </c>
      <c r="I84" s="100">
        <v>1602</v>
      </c>
      <c r="J84" s="100" t="str">
        <f>IFERROR(VLOOKUP(Tablo518[[#This Row],[ÜRÜN KODU]],YMKODLARI!$A$1:$K$363,9,0)," ")</f>
        <v>Şeffaf</v>
      </c>
      <c r="K84" s="100" t="str">
        <f>IFERROR(VLOOKUP(Tablo518[[#This Row],[BOYA KODU]],Tablo14[#All],4,0)," ")</f>
        <v xml:space="preserve"> </v>
      </c>
      <c r="L84" s="100" t="str">
        <f>IFERROR(VLOOKUP(Tablo518[[#This Row],[BOYA KODU]],Tablo14[#All],6,0)," ")</f>
        <v xml:space="preserve"> </v>
      </c>
      <c r="M84" s="100" t="str">
        <f t="shared" si="7"/>
        <v xml:space="preserve"> </v>
      </c>
      <c r="N84" s="100" t="str">
        <f>IFERROR(VLOOKUP(Tablo518[[#This Row],[ÜRÜN KODU]],YMKODLARI!$A$1:$K$363,8,0)," ")</f>
        <v>HM 002</v>
      </c>
      <c r="O84" s="100" t="str">
        <f>IFERROR(VLOOKUP(Tablo518[[#This Row],[HAMMADDE KODU]],Tablo1[#All],3,0)," ")</f>
        <v>NOVAREX</v>
      </c>
      <c r="P84" s="100" t="str">
        <f>IFERROR(VLOOKUP(Tablo518[[#This Row],[HAMMADDE KODU]],Tablo1[#All],4,0)," ")</f>
        <v>PİNHAS</v>
      </c>
      <c r="Q84" s="100">
        <f>IFERROR(VLOOKUP(Tablo518[[#This Row],[ÜRÜN KODU]],YMKODLARI!$A$1:$K$363,5,0)," ")</f>
        <v>29.6</v>
      </c>
      <c r="R84" s="100">
        <f>IFERROR(VLOOKUP(Tablo518[[#This Row],[ÜRÜN KODU]],YMKODLARI!$A$1:$K$363,6,0)," ")</f>
        <v>28.6</v>
      </c>
      <c r="S84" s="100">
        <f>IFERROR(Tablo518[[#This Row],[YOLLUK HARİÇ BASKI GRAMI]]/Tablo518[[#This Row],[KALIP GÖZ ADEDİ]]," ")</f>
        <v>3.5750000000000002</v>
      </c>
      <c r="T84" s="100">
        <f t="shared" si="9"/>
        <v>1</v>
      </c>
      <c r="U84" s="100">
        <v>8.8000000000000007</v>
      </c>
      <c r="V84" s="100">
        <f t="shared" si="8"/>
        <v>54.617200000000011</v>
      </c>
      <c r="W84" s="101">
        <f t="shared" si="10"/>
        <v>24.416666666666668</v>
      </c>
      <c r="X84" s="102">
        <f t="shared" si="11"/>
        <v>10.000000000000028</v>
      </c>
      <c r="Y84" s="100">
        <f t="shared" si="12"/>
        <v>9.3450000000000006</v>
      </c>
      <c r="Z84" s="100">
        <f t="shared" si="13"/>
        <v>12816</v>
      </c>
    </row>
    <row r="85" spans="1:26">
      <c r="A85" s="108" t="s">
        <v>163</v>
      </c>
      <c r="B85" s="108" t="str">
        <f>IFERROR(VLOOKUP(Tablo518[[#This Row],[ÜRÜN KODU]],YMKODLARI!$A$1:$K$363,2,0)," ")</f>
        <v>DAMAK EMZİK GÖVDE</v>
      </c>
      <c r="C85" s="99">
        <v>43921</v>
      </c>
      <c r="D85" s="100" t="s">
        <v>37</v>
      </c>
      <c r="E85" s="101">
        <v>0.875</v>
      </c>
      <c r="F85" s="101">
        <v>0.29166666666666669</v>
      </c>
      <c r="G85" s="100">
        <f>IFERROR(VLOOKUP(Tablo518[[#This Row],[ÜRÜN KODU]],YMKODLARI!$A$1:$K$363,3,0)," ")</f>
        <v>8</v>
      </c>
      <c r="H85" s="100">
        <f>IFERROR(VLOOKUP(Tablo518[[#This Row],[ÜRÜN KODU]],YMKODLARI!$A$1:$K$363,4,0)," ")</f>
        <v>21</v>
      </c>
      <c r="I85" s="100">
        <v>1816</v>
      </c>
      <c r="J85" s="100" t="str">
        <f>IFERROR(VLOOKUP(Tablo518[[#This Row],[ÜRÜN KODU]],YMKODLARI!$A$1:$K$363,9,0)," ")</f>
        <v>Şeffaf</v>
      </c>
      <c r="K85" s="100" t="str">
        <f>IFERROR(VLOOKUP(Tablo518[[#This Row],[BOYA KODU]],Tablo14[#All],4,0)," ")</f>
        <v xml:space="preserve"> </v>
      </c>
      <c r="L85" s="100" t="str">
        <f>IFERROR(VLOOKUP(Tablo518[[#This Row],[BOYA KODU]],Tablo14[#All],6,0)," ")</f>
        <v xml:space="preserve"> </v>
      </c>
      <c r="M85" s="100" t="str">
        <f t="shared" si="7"/>
        <v xml:space="preserve"> </v>
      </c>
      <c r="N85" s="100" t="str">
        <f>IFERROR(VLOOKUP(Tablo518[[#This Row],[ÜRÜN KODU]],YMKODLARI!$A$1:$K$363,8,0)," ")</f>
        <v>HM 002</v>
      </c>
      <c r="O85" s="100" t="str">
        <f>IFERROR(VLOOKUP(Tablo518[[#This Row],[HAMMADDE KODU]],Tablo1[#All],3,0)," ")</f>
        <v>NOVAREX</v>
      </c>
      <c r="P85" s="100" t="str">
        <f>IFERROR(VLOOKUP(Tablo518[[#This Row],[HAMMADDE KODU]],Tablo1[#All],4,0)," ")</f>
        <v>PİNHAS</v>
      </c>
      <c r="Q85" s="100">
        <f>IFERROR(VLOOKUP(Tablo518[[#This Row],[ÜRÜN KODU]],YMKODLARI!$A$1:$K$363,5,0)," ")</f>
        <v>29.6</v>
      </c>
      <c r="R85" s="100">
        <f>IFERROR(VLOOKUP(Tablo518[[#This Row],[ÜRÜN KODU]],YMKODLARI!$A$1:$K$363,6,0)," ")</f>
        <v>28.6</v>
      </c>
      <c r="S85" s="100">
        <f>IFERROR(Tablo518[[#This Row],[YOLLUK HARİÇ BASKI GRAMI]]/Tablo518[[#This Row],[KALIP GÖZ ADEDİ]]," ")</f>
        <v>3.5750000000000002</v>
      </c>
      <c r="T85" s="100">
        <f t="shared" si="9"/>
        <v>1</v>
      </c>
      <c r="U85" s="100"/>
      <c r="V85" s="100">
        <f t="shared" si="8"/>
        <v>51.937600000000003</v>
      </c>
      <c r="W85" s="101">
        <f t="shared" si="10"/>
        <v>23.416666666666668</v>
      </c>
      <c r="X85" s="102">
        <f t="shared" si="11"/>
        <v>10.000000000000028</v>
      </c>
      <c r="Y85" s="100">
        <f t="shared" si="12"/>
        <v>10.593333333333334</v>
      </c>
      <c r="Z85" s="100">
        <f t="shared" si="13"/>
        <v>14528</v>
      </c>
    </row>
    <row r="86" spans="1:26">
      <c r="A86" s="108" t="s">
        <v>163</v>
      </c>
      <c r="B86" s="108" t="str">
        <f>IFERROR(VLOOKUP(Tablo518[[#This Row],[ÜRÜN KODU]],YMKODLARI!$A$1:$K$363,2,0)," ")</f>
        <v>DAMAK EMZİK GÖVDE</v>
      </c>
      <c r="C86" s="99">
        <v>43922</v>
      </c>
      <c r="D86" s="100" t="s">
        <v>35</v>
      </c>
      <c r="E86" s="101">
        <v>0.39583333333333331</v>
      </c>
      <c r="F86" s="101">
        <v>0.79166666666666663</v>
      </c>
      <c r="G86" s="100">
        <f>IFERROR(VLOOKUP(Tablo518[[#This Row],[ÜRÜN KODU]],YMKODLARI!$A$1:$K$363,3,0)," ")</f>
        <v>8</v>
      </c>
      <c r="H86" s="100">
        <f>IFERROR(VLOOKUP(Tablo518[[#This Row],[ÜRÜN KODU]],YMKODLARI!$A$1:$K$363,4,0)," ")</f>
        <v>21</v>
      </c>
      <c r="I86" s="100">
        <v>1502</v>
      </c>
      <c r="J86" s="100" t="str">
        <f>IFERROR(VLOOKUP(Tablo518[[#This Row],[ÜRÜN KODU]],YMKODLARI!$A$1:$K$363,9,0)," ")</f>
        <v>Şeffaf</v>
      </c>
      <c r="K86" s="100" t="str">
        <f>IFERROR(VLOOKUP(Tablo518[[#This Row],[BOYA KODU]],Tablo14[#All],4,0)," ")</f>
        <v xml:space="preserve"> </v>
      </c>
      <c r="L86" s="100" t="str">
        <f>IFERROR(VLOOKUP(Tablo518[[#This Row],[BOYA KODU]],Tablo14[#All],6,0)," ")</f>
        <v xml:space="preserve"> </v>
      </c>
      <c r="M86" s="100" t="str">
        <f t="shared" si="7"/>
        <v xml:space="preserve"> </v>
      </c>
      <c r="N86" s="100" t="str">
        <f>IFERROR(VLOOKUP(Tablo518[[#This Row],[ÜRÜN KODU]],YMKODLARI!$A$1:$K$363,8,0)," ")</f>
        <v>HM 002</v>
      </c>
      <c r="O86" s="100" t="str">
        <f>IFERROR(VLOOKUP(Tablo518[[#This Row],[HAMMADDE KODU]],Tablo1[#All],3,0)," ")</f>
        <v>NOVAREX</v>
      </c>
      <c r="P86" s="100" t="str">
        <f>IFERROR(VLOOKUP(Tablo518[[#This Row],[HAMMADDE KODU]],Tablo1[#All],4,0)," ")</f>
        <v>PİNHAS</v>
      </c>
      <c r="Q86" s="100">
        <f>IFERROR(VLOOKUP(Tablo518[[#This Row],[ÜRÜN KODU]],YMKODLARI!$A$1:$K$363,5,0)," ")</f>
        <v>29.6</v>
      </c>
      <c r="R86" s="100">
        <f>IFERROR(VLOOKUP(Tablo518[[#This Row],[ÜRÜN KODU]],YMKODLARI!$A$1:$K$363,6,0)," ")</f>
        <v>28.6</v>
      </c>
      <c r="S86" s="100">
        <f>IFERROR(Tablo518[[#This Row],[YOLLUK HARİÇ BASKI GRAMI]]/Tablo518[[#This Row],[KALIP GÖZ ADEDİ]]," ")</f>
        <v>3.5750000000000002</v>
      </c>
      <c r="T86" s="100">
        <f t="shared" si="9"/>
        <v>1</v>
      </c>
      <c r="U86" s="100"/>
      <c r="V86" s="100">
        <f t="shared" si="8"/>
        <v>42.957200000000007</v>
      </c>
      <c r="W86" s="101">
        <f t="shared" si="10"/>
        <v>24.395833333333332</v>
      </c>
      <c r="X86" s="102">
        <f t="shared" si="11"/>
        <v>9.4999999999999716</v>
      </c>
      <c r="Y86" s="100">
        <f t="shared" si="12"/>
        <v>8.7616666666666667</v>
      </c>
      <c r="Z86" s="100">
        <f t="shared" si="13"/>
        <v>12016</v>
      </c>
    </row>
    <row r="87" spans="1:26">
      <c r="A87" s="108" t="s">
        <v>163</v>
      </c>
      <c r="B87" s="108" t="str">
        <f>IFERROR(VLOOKUP(Tablo518[[#This Row],[ÜRÜN KODU]],YMKODLARI!$A$1:$K$363,2,0)," ")</f>
        <v>DAMAK EMZİK GÖVDE</v>
      </c>
      <c r="C87" s="99">
        <v>43922</v>
      </c>
      <c r="D87" s="100" t="s">
        <v>37</v>
      </c>
      <c r="E87" s="101">
        <v>0.85416666666666663</v>
      </c>
      <c r="F87" s="101">
        <v>0.95833333333333337</v>
      </c>
      <c r="G87" s="100">
        <f>IFERROR(VLOOKUP(Tablo518[[#This Row],[ÜRÜN KODU]],YMKODLARI!$A$1:$K$363,3,0)," ")</f>
        <v>8</v>
      </c>
      <c r="H87" s="100">
        <f>IFERROR(VLOOKUP(Tablo518[[#This Row],[ÜRÜN KODU]],YMKODLARI!$A$1:$K$363,4,0)," ")</f>
        <v>21</v>
      </c>
      <c r="I87" s="100">
        <v>470</v>
      </c>
      <c r="J87" s="100" t="str">
        <f>IFERROR(VLOOKUP(Tablo518[[#This Row],[ÜRÜN KODU]],YMKODLARI!$A$1:$K$363,9,0)," ")</f>
        <v>Şeffaf</v>
      </c>
      <c r="K87" s="100" t="str">
        <f>IFERROR(VLOOKUP(Tablo518[[#This Row],[BOYA KODU]],Tablo14[#All],4,0)," ")</f>
        <v xml:space="preserve"> </v>
      </c>
      <c r="L87" s="100" t="str">
        <f>IFERROR(VLOOKUP(Tablo518[[#This Row],[BOYA KODU]],Tablo14[#All],6,0)," ")</f>
        <v xml:space="preserve"> </v>
      </c>
      <c r="M87" s="100" t="str">
        <f t="shared" si="7"/>
        <v xml:space="preserve"> </v>
      </c>
      <c r="N87" s="100" t="str">
        <f>IFERROR(VLOOKUP(Tablo518[[#This Row],[ÜRÜN KODU]],YMKODLARI!$A$1:$K$363,8,0)," ")</f>
        <v>HM 002</v>
      </c>
      <c r="O87" s="100" t="str">
        <f>IFERROR(VLOOKUP(Tablo518[[#This Row],[HAMMADDE KODU]],Tablo1[#All],3,0)," ")</f>
        <v>NOVAREX</v>
      </c>
      <c r="P87" s="100" t="str">
        <f>IFERROR(VLOOKUP(Tablo518[[#This Row],[HAMMADDE KODU]],Tablo1[#All],4,0)," ")</f>
        <v>PİNHAS</v>
      </c>
      <c r="Q87" s="100">
        <f>IFERROR(VLOOKUP(Tablo518[[#This Row],[ÜRÜN KODU]],YMKODLARI!$A$1:$K$363,5,0)," ")</f>
        <v>29.6</v>
      </c>
      <c r="R87" s="100">
        <f>IFERROR(VLOOKUP(Tablo518[[#This Row],[ÜRÜN KODU]],YMKODLARI!$A$1:$K$363,6,0)," ")</f>
        <v>28.6</v>
      </c>
      <c r="S87" s="100">
        <f>IFERROR(Tablo518[[#This Row],[YOLLUK HARİÇ BASKI GRAMI]]/Tablo518[[#This Row],[KALIP GÖZ ADEDİ]]," ")</f>
        <v>3.5750000000000002</v>
      </c>
      <c r="T87" s="100">
        <f t="shared" si="9"/>
        <v>1</v>
      </c>
      <c r="U87" s="100">
        <v>5.5</v>
      </c>
      <c r="V87" s="100">
        <f t="shared" si="8"/>
        <v>18.942</v>
      </c>
      <c r="W87" s="101">
        <f t="shared" si="10"/>
        <v>24.104166666666668</v>
      </c>
      <c r="X87" s="102">
        <f t="shared" si="11"/>
        <v>2.5000000000000284</v>
      </c>
      <c r="Y87" s="100">
        <f t="shared" si="12"/>
        <v>2.7416666666666667</v>
      </c>
      <c r="Z87" s="100">
        <f t="shared" si="13"/>
        <v>3760</v>
      </c>
    </row>
    <row r="88" spans="1:26">
      <c r="A88" s="108" t="s">
        <v>124</v>
      </c>
      <c r="B88" s="108" t="str">
        <f>IFERROR(VLOOKUP(Tablo518[[#This Row],[ÜRÜN KODU]],YMKODLARI!$A$1:$K$363,2,0)," ")</f>
        <v>DAMAK EMZİK GÖVDE</v>
      </c>
      <c r="C88" s="99">
        <v>43922</v>
      </c>
      <c r="D88" s="100" t="s">
        <v>37</v>
      </c>
      <c r="E88" s="101">
        <v>0.97222222222222221</v>
      </c>
      <c r="F88" s="101">
        <v>0.29166666666666669</v>
      </c>
      <c r="G88" s="100">
        <f>IFERROR(VLOOKUP(Tablo518[[#This Row],[ÜRÜN KODU]],YMKODLARI!$A$1:$K$363,3,0)," ")</f>
        <v>8</v>
      </c>
      <c r="H88" s="100">
        <f>IFERROR(VLOOKUP(Tablo518[[#This Row],[ÜRÜN KODU]],YMKODLARI!$A$1:$K$363,4,0)," ")</f>
        <v>21</v>
      </c>
      <c r="I88" s="100">
        <v>1372</v>
      </c>
      <c r="J88" s="100" t="str">
        <f>IFERROR(VLOOKUP(Tablo518[[#This Row],[ÜRÜN KODU]],YMKODLARI!$A$1:$K$363,9,0)," ")</f>
        <v>5139C</v>
      </c>
      <c r="K88" s="100" t="str">
        <f>IFERROR(VLOOKUP(Tablo518[[#This Row],[BOYA KODU]],Tablo14[#All],4,0)," ")</f>
        <v>T.MAVİ</v>
      </c>
      <c r="L88" s="100">
        <f>IFERROR(VLOOKUP(Tablo518[[#This Row],[BOYA KODU]],Tablo14[#All],6,0)," ")</f>
        <v>1E-3</v>
      </c>
      <c r="M88" s="100">
        <f t="shared" si="7"/>
        <v>40.611200000000004</v>
      </c>
      <c r="N88" s="100" t="str">
        <f>IFERROR(VLOOKUP(Tablo518[[#This Row],[ÜRÜN KODU]],YMKODLARI!$A$1:$K$363,8,0)," ")</f>
        <v>HM 002</v>
      </c>
      <c r="O88" s="100" t="str">
        <f>IFERROR(VLOOKUP(Tablo518[[#This Row],[HAMMADDE KODU]],Tablo1[#All],3,0)," ")</f>
        <v>NOVAREX</v>
      </c>
      <c r="P88" s="100" t="str">
        <f>IFERROR(VLOOKUP(Tablo518[[#This Row],[HAMMADDE KODU]],Tablo1[#All],4,0)," ")</f>
        <v>PİNHAS</v>
      </c>
      <c r="Q88" s="100">
        <f>IFERROR(VLOOKUP(Tablo518[[#This Row],[ÜRÜN KODU]],YMKODLARI!$A$1:$K$363,5,0)," ")</f>
        <v>29.6</v>
      </c>
      <c r="R88" s="100">
        <f>IFERROR(VLOOKUP(Tablo518[[#This Row],[ÜRÜN KODU]],YMKODLARI!$A$1:$K$363,6,0)," ")</f>
        <v>28.6</v>
      </c>
      <c r="S88" s="100">
        <f>IFERROR(Tablo518[[#This Row],[YOLLUK HARİÇ BASKI GRAMI]]/Tablo518[[#This Row],[KALIP GÖZ ADEDİ]]," ")</f>
        <v>3.5750000000000002</v>
      </c>
      <c r="T88" s="100">
        <f t="shared" si="9"/>
        <v>1</v>
      </c>
      <c r="U88" s="100">
        <v>3</v>
      </c>
      <c r="V88" s="100">
        <f t="shared" si="8"/>
        <v>42.239200000000004</v>
      </c>
      <c r="W88" s="101">
        <f t="shared" si="10"/>
        <v>23.319444444444443</v>
      </c>
      <c r="X88" s="102">
        <f t="shared" si="11"/>
        <v>7.6666666666666288</v>
      </c>
      <c r="Y88" s="100">
        <f t="shared" si="12"/>
        <v>8.0033333333333339</v>
      </c>
      <c r="Z88" s="100">
        <f t="shared" si="13"/>
        <v>10976</v>
      </c>
    </row>
    <row r="89" spans="1:26">
      <c r="A89" s="108" t="s">
        <v>124</v>
      </c>
      <c r="B89" s="108" t="str">
        <f>IFERROR(VLOOKUP(Tablo518[[#This Row],[ÜRÜN KODU]],YMKODLARI!$A$1:$K$363,2,0)," ")</f>
        <v>DAMAK EMZİK GÖVDE</v>
      </c>
      <c r="C89" s="99">
        <v>43923</v>
      </c>
      <c r="D89" s="100" t="s">
        <v>35</v>
      </c>
      <c r="E89" s="101">
        <v>0.3888888888888889</v>
      </c>
      <c r="F89" s="101">
        <v>0.79166666666666663</v>
      </c>
      <c r="G89" s="100">
        <f>IFERROR(VLOOKUP(Tablo518[[#This Row],[ÜRÜN KODU]],YMKODLARI!$A$1:$K$363,3,0)," ")</f>
        <v>8</v>
      </c>
      <c r="H89" s="100">
        <f>IFERROR(VLOOKUP(Tablo518[[#This Row],[ÜRÜN KODU]],YMKODLARI!$A$1:$K$363,4,0)," ")</f>
        <v>21</v>
      </c>
      <c r="I89" s="100">
        <v>1576</v>
      </c>
      <c r="J89" s="100" t="str">
        <f>IFERROR(VLOOKUP(Tablo518[[#This Row],[ÜRÜN KODU]],YMKODLARI!$A$1:$K$363,9,0)," ")</f>
        <v>5139C</v>
      </c>
      <c r="K89" s="100" t="str">
        <f>IFERROR(VLOOKUP(Tablo518[[#This Row],[BOYA KODU]],Tablo14[#All],4,0)," ")</f>
        <v>T.MAVİ</v>
      </c>
      <c r="L89" s="100">
        <f>IFERROR(VLOOKUP(Tablo518[[#This Row],[BOYA KODU]],Tablo14[#All],6,0)," ")</f>
        <v>1E-3</v>
      </c>
      <c r="M89" s="100">
        <f t="shared" si="7"/>
        <v>46.649600000000007</v>
      </c>
      <c r="N89" s="100" t="str">
        <f>IFERROR(VLOOKUP(Tablo518[[#This Row],[ÜRÜN KODU]],YMKODLARI!$A$1:$K$363,8,0)," ")</f>
        <v>HM 002</v>
      </c>
      <c r="O89" s="100" t="str">
        <f>IFERROR(VLOOKUP(Tablo518[[#This Row],[HAMMADDE KODU]],Tablo1[#All],3,0)," ")</f>
        <v>NOVAREX</v>
      </c>
      <c r="P89" s="100" t="str">
        <f>IFERROR(VLOOKUP(Tablo518[[#This Row],[HAMMADDE KODU]],Tablo1[#All],4,0)," ")</f>
        <v>PİNHAS</v>
      </c>
      <c r="Q89" s="100">
        <f>IFERROR(VLOOKUP(Tablo518[[#This Row],[ÜRÜN KODU]],YMKODLARI!$A$1:$K$363,5,0)," ")</f>
        <v>29.6</v>
      </c>
      <c r="R89" s="100">
        <f>IFERROR(VLOOKUP(Tablo518[[#This Row],[ÜRÜN KODU]],YMKODLARI!$A$1:$K$363,6,0)," ")</f>
        <v>28.6</v>
      </c>
      <c r="S89" s="100">
        <f>IFERROR(Tablo518[[#This Row],[YOLLUK HARİÇ BASKI GRAMI]]/Tablo518[[#This Row],[KALIP GÖZ ADEDİ]]," ")</f>
        <v>3.5750000000000002</v>
      </c>
      <c r="T89" s="100">
        <f t="shared" si="9"/>
        <v>1</v>
      </c>
      <c r="U89" s="100">
        <v>4.7</v>
      </c>
      <c r="V89" s="100">
        <f t="shared" si="8"/>
        <v>49.773600000000009</v>
      </c>
      <c r="W89" s="101">
        <f t="shared" si="10"/>
        <v>24.402777777777779</v>
      </c>
      <c r="X89" s="102">
        <f t="shared" si="11"/>
        <v>9.6666666666666856</v>
      </c>
      <c r="Y89" s="100">
        <f t="shared" si="12"/>
        <v>9.1933333333333334</v>
      </c>
      <c r="Z89" s="100">
        <f t="shared" si="13"/>
        <v>12608</v>
      </c>
    </row>
    <row r="90" spans="1:26">
      <c r="A90" s="108" t="s">
        <v>124</v>
      </c>
      <c r="B90" s="108" t="str">
        <f>IFERROR(VLOOKUP(Tablo518[[#This Row],[ÜRÜN KODU]],YMKODLARI!$A$1:$K$363,2,0)," ")</f>
        <v>DAMAK EMZİK GÖVDE</v>
      </c>
      <c r="C90" s="99">
        <v>43923</v>
      </c>
      <c r="D90" s="100" t="s">
        <v>36</v>
      </c>
      <c r="E90" s="101">
        <v>0.86458333333333337</v>
      </c>
      <c r="F90" s="101">
        <v>0.29166666666666669</v>
      </c>
      <c r="G90" s="100">
        <f>IFERROR(VLOOKUP(Tablo518[[#This Row],[ÜRÜN KODU]],YMKODLARI!$A$1:$K$363,3,0)," ")</f>
        <v>8</v>
      </c>
      <c r="H90" s="100">
        <f>IFERROR(VLOOKUP(Tablo518[[#This Row],[ÜRÜN KODU]],YMKODLARI!$A$1:$K$363,4,0)," ")</f>
        <v>21</v>
      </c>
      <c r="I90" s="100">
        <v>1832</v>
      </c>
      <c r="J90" s="100" t="str">
        <f>IFERROR(VLOOKUP(Tablo518[[#This Row],[ÜRÜN KODU]],YMKODLARI!$A$1:$K$363,9,0)," ")</f>
        <v>5139C</v>
      </c>
      <c r="K90" s="100" t="str">
        <f>IFERROR(VLOOKUP(Tablo518[[#This Row],[BOYA KODU]],Tablo14[#All],4,0)," ")</f>
        <v>T.MAVİ</v>
      </c>
      <c r="L90" s="100">
        <f>IFERROR(VLOOKUP(Tablo518[[#This Row],[BOYA KODU]],Tablo14[#All],6,0)," ")</f>
        <v>1E-3</v>
      </c>
      <c r="M90" s="100">
        <f t="shared" si="7"/>
        <v>54.227200000000003</v>
      </c>
      <c r="N90" s="100" t="str">
        <f>IFERROR(VLOOKUP(Tablo518[[#This Row],[ÜRÜN KODU]],YMKODLARI!$A$1:$K$363,8,0)," ")</f>
        <v>HM 002</v>
      </c>
      <c r="O90" s="100" t="str">
        <f>IFERROR(VLOOKUP(Tablo518[[#This Row],[HAMMADDE KODU]],Tablo1[#All],3,0)," ")</f>
        <v>NOVAREX</v>
      </c>
      <c r="P90" s="100" t="str">
        <f>IFERROR(VLOOKUP(Tablo518[[#This Row],[HAMMADDE KODU]],Tablo1[#All],4,0)," ")</f>
        <v>PİNHAS</v>
      </c>
      <c r="Q90" s="100">
        <f>IFERROR(VLOOKUP(Tablo518[[#This Row],[ÜRÜN KODU]],YMKODLARI!$A$1:$K$363,5,0)," ")</f>
        <v>29.6</v>
      </c>
      <c r="R90" s="100">
        <f>IFERROR(VLOOKUP(Tablo518[[#This Row],[ÜRÜN KODU]],YMKODLARI!$A$1:$K$363,6,0)," ")</f>
        <v>28.6</v>
      </c>
      <c r="S90" s="100">
        <f>IFERROR(Tablo518[[#This Row],[YOLLUK HARİÇ BASKI GRAMI]]/Tablo518[[#This Row],[KALIP GÖZ ADEDİ]]," ")</f>
        <v>3.5750000000000002</v>
      </c>
      <c r="T90" s="100">
        <f t="shared" si="9"/>
        <v>1</v>
      </c>
      <c r="U90" s="100"/>
      <c r="V90" s="100">
        <f t="shared" si="8"/>
        <v>52.395200000000003</v>
      </c>
      <c r="W90" s="101">
        <f t="shared" si="10"/>
        <v>23.427083333333332</v>
      </c>
      <c r="X90" s="102">
        <f t="shared" si="11"/>
        <v>10.249999999999972</v>
      </c>
      <c r="Y90" s="100">
        <f t="shared" si="12"/>
        <v>10.686666666666667</v>
      </c>
      <c r="Z90" s="100">
        <f t="shared" si="13"/>
        <v>14656</v>
      </c>
    </row>
    <row r="91" spans="1:26">
      <c r="A91" s="108" t="s">
        <v>124</v>
      </c>
      <c r="B91" s="108" t="str">
        <f>IFERROR(VLOOKUP(Tablo518[[#This Row],[ÜRÜN KODU]],YMKODLARI!$A$1:$K$363,2,0)," ")</f>
        <v>DAMAK EMZİK GÖVDE</v>
      </c>
      <c r="C91" s="99">
        <v>43924</v>
      </c>
      <c r="D91" s="100" t="s">
        <v>35</v>
      </c>
      <c r="E91" s="101">
        <v>0.375</v>
      </c>
      <c r="F91" s="101">
        <v>0.79861111111111116</v>
      </c>
      <c r="G91" s="100">
        <f>IFERROR(VLOOKUP(Tablo518[[#This Row],[ÜRÜN KODU]],YMKODLARI!$A$1:$K$363,3,0)," ")</f>
        <v>8</v>
      </c>
      <c r="H91" s="100">
        <f>IFERROR(VLOOKUP(Tablo518[[#This Row],[ÜRÜN KODU]],YMKODLARI!$A$1:$K$363,4,0)," ")</f>
        <v>21</v>
      </c>
      <c r="I91" s="100">
        <v>1493</v>
      </c>
      <c r="J91" s="100" t="str">
        <f>IFERROR(VLOOKUP(Tablo518[[#This Row],[ÜRÜN KODU]],YMKODLARI!$A$1:$K$363,9,0)," ")</f>
        <v>5139C</v>
      </c>
      <c r="K91" s="100" t="str">
        <f>IFERROR(VLOOKUP(Tablo518[[#This Row],[BOYA KODU]],Tablo14[#All],4,0)," ")</f>
        <v>T.MAVİ</v>
      </c>
      <c r="L91" s="100">
        <f>IFERROR(VLOOKUP(Tablo518[[#This Row],[BOYA KODU]],Tablo14[#All],6,0)," ")</f>
        <v>1E-3</v>
      </c>
      <c r="M91" s="100">
        <f t="shared" si="7"/>
        <v>44.192800000000005</v>
      </c>
      <c r="N91" s="100" t="str">
        <f>IFERROR(VLOOKUP(Tablo518[[#This Row],[ÜRÜN KODU]],YMKODLARI!$A$1:$K$363,8,0)," ")</f>
        <v>HM 002</v>
      </c>
      <c r="O91" s="100" t="str">
        <f>IFERROR(VLOOKUP(Tablo518[[#This Row],[HAMMADDE KODU]],Tablo1[#All],3,0)," ")</f>
        <v>NOVAREX</v>
      </c>
      <c r="P91" s="100" t="str">
        <f>IFERROR(VLOOKUP(Tablo518[[#This Row],[HAMMADDE KODU]],Tablo1[#All],4,0)," ")</f>
        <v>PİNHAS</v>
      </c>
      <c r="Q91" s="100">
        <f>IFERROR(VLOOKUP(Tablo518[[#This Row],[ÜRÜN KODU]],YMKODLARI!$A$1:$K$363,5,0)," ")</f>
        <v>29.6</v>
      </c>
      <c r="R91" s="100">
        <f>IFERROR(VLOOKUP(Tablo518[[#This Row],[ÜRÜN KODU]],YMKODLARI!$A$1:$K$363,6,0)," ")</f>
        <v>28.6</v>
      </c>
      <c r="S91" s="100">
        <f>IFERROR(Tablo518[[#This Row],[YOLLUK HARİÇ BASKI GRAMI]]/Tablo518[[#This Row],[KALIP GÖZ ADEDİ]]," ")</f>
        <v>3.5750000000000002</v>
      </c>
      <c r="T91" s="100">
        <f t="shared" si="9"/>
        <v>1</v>
      </c>
      <c r="U91" s="100"/>
      <c r="V91" s="100">
        <f t="shared" si="8"/>
        <v>42.699800000000003</v>
      </c>
      <c r="W91" s="101">
        <f t="shared" si="10"/>
        <v>24.423611111111111</v>
      </c>
      <c r="X91" s="102">
        <f t="shared" si="11"/>
        <v>10.166666666666657</v>
      </c>
      <c r="Y91" s="100">
        <f t="shared" si="12"/>
        <v>8.7091666666666665</v>
      </c>
      <c r="Z91" s="100">
        <f t="shared" si="13"/>
        <v>11944</v>
      </c>
    </row>
    <row r="92" spans="1:26">
      <c r="A92" s="108" t="s">
        <v>124</v>
      </c>
      <c r="B92" s="108" t="str">
        <f>IFERROR(VLOOKUP(Tablo518[[#This Row],[ÜRÜN KODU]],YMKODLARI!$A$1:$K$363,2,0)," ")</f>
        <v>DAMAK EMZİK GÖVDE</v>
      </c>
      <c r="C92" s="99">
        <v>43924</v>
      </c>
      <c r="D92" s="100" t="s">
        <v>37</v>
      </c>
      <c r="E92" s="101">
        <v>0.875</v>
      </c>
      <c r="F92" s="101">
        <v>0.25</v>
      </c>
      <c r="G92" s="100">
        <f>IFERROR(VLOOKUP(Tablo518[[#This Row],[ÜRÜN KODU]],YMKODLARI!$A$1:$K$363,3,0)," ")</f>
        <v>8</v>
      </c>
      <c r="H92" s="100">
        <f>IFERROR(VLOOKUP(Tablo518[[#This Row],[ÜRÜN KODU]],YMKODLARI!$A$1:$K$363,4,0)," ")</f>
        <v>21</v>
      </c>
      <c r="I92" s="100">
        <v>1557</v>
      </c>
      <c r="J92" s="100" t="str">
        <f>IFERROR(VLOOKUP(Tablo518[[#This Row],[ÜRÜN KODU]],YMKODLARI!$A$1:$K$363,9,0)," ")</f>
        <v>5139C</v>
      </c>
      <c r="K92" s="100" t="str">
        <f>IFERROR(VLOOKUP(Tablo518[[#This Row],[BOYA KODU]],Tablo14[#All],4,0)," ")</f>
        <v>T.MAVİ</v>
      </c>
      <c r="L92" s="100">
        <f>IFERROR(VLOOKUP(Tablo518[[#This Row],[BOYA KODU]],Tablo14[#All],6,0)," ")</f>
        <v>1E-3</v>
      </c>
      <c r="M92" s="100">
        <f t="shared" si="7"/>
        <v>46.087200000000003</v>
      </c>
      <c r="N92" s="100" t="str">
        <f>IFERROR(VLOOKUP(Tablo518[[#This Row],[ÜRÜN KODU]],YMKODLARI!$A$1:$K$363,8,0)," ")</f>
        <v>HM 002</v>
      </c>
      <c r="O92" s="100" t="str">
        <f>IFERROR(VLOOKUP(Tablo518[[#This Row],[HAMMADDE KODU]],Tablo1[#All],3,0)," ")</f>
        <v>NOVAREX</v>
      </c>
      <c r="P92" s="100" t="str">
        <f>IFERROR(VLOOKUP(Tablo518[[#This Row],[HAMMADDE KODU]],Tablo1[#All],4,0)," ")</f>
        <v>PİNHAS</v>
      </c>
      <c r="Q92" s="100">
        <f>IFERROR(VLOOKUP(Tablo518[[#This Row],[ÜRÜN KODU]],YMKODLARI!$A$1:$K$363,5,0)," ")</f>
        <v>29.6</v>
      </c>
      <c r="R92" s="100">
        <f>IFERROR(VLOOKUP(Tablo518[[#This Row],[ÜRÜN KODU]],YMKODLARI!$A$1:$K$363,6,0)," ")</f>
        <v>28.6</v>
      </c>
      <c r="S92" s="100">
        <f>IFERROR(Tablo518[[#This Row],[YOLLUK HARİÇ BASKI GRAMI]]/Tablo518[[#This Row],[KALIP GÖZ ADEDİ]]," ")</f>
        <v>3.5750000000000002</v>
      </c>
      <c r="T92" s="100">
        <f t="shared" si="9"/>
        <v>1</v>
      </c>
      <c r="U92" s="100"/>
      <c r="V92" s="100">
        <f t="shared" si="8"/>
        <v>44.530200000000008</v>
      </c>
      <c r="W92" s="101">
        <f t="shared" si="10"/>
        <v>23.375</v>
      </c>
      <c r="X92" s="102">
        <f t="shared" si="11"/>
        <v>9</v>
      </c>
      <c r="Y92" s="100">
        <f t="shared" si="12"/>
        <v>9.0824999999999996</v>
      </c>
      <c r="Z92" s="100">
        <f t="shared" si="13"/>
        <v>12456</v>
      </c>
    </row>
    <row r="93" spans="1:26">
      <c r="A93" s="108" t="s">
        <v>124</v>
      </c>
      <c r="B93" s="108" t="str">
        <f>IFERROR(VLOOKUP(Tablo518[[#This Row],[ÜRÜN KODU]],YMKODLARI!$A$1:$K$363,2,0)," ")</f>
        <v>DAMAK EMZİK GÖVDE</v>
      </c>
      <c r="C93" s="99">
        <v>43927</v>
      </c>
      <c r="D93" s="100" t="s">
        <v>27</v>
      </c>
      <c r="E93" s="101">
        <v>0.43402777777777773</v>
      </c>
      <c r="F93" s="101">
        <v>0.83333333333333337</v>
      </c>
      <c r="G93" s="100">
        <f>IFERROR(VLOOKUP(Tablo518[[#This Row],[ÜRÜN KODU]],YMKODLARI!$A$1:$K$363,3,0)," ")</f>
        <v>8</v>
      </c>
      <c r="H93" s="100">
        <f>IFERROR(VLOOKUP(Tablo518[[#This Row],[ÜRÜN KODU]],YMKODLARI!$A$1:$K$363,4,0)," ")</f>
        <v>21</v>
      </c>
      <c r="I93" s="100">
        <v>1573</v>
      </c>
      <c r="J93" s="100" t="str">
        <f>IFERROR(VLOOKUP(Tablo518[[#This Row],[ÜRÜN KODU]],YMKODLARI!$A$1:$K$363,9,0)," ")</f>
        <v>5139C</v>
      </c>
      <c r="K93" s="100" t="str">
        <f>IFERROR(VLOOKUP(Tablo518[[#This Row],[BOYA KODU]],Tablo14[#All],4,0)," ")</f>
        <v>T.MAVİ</v>
      </c>
      <c r="L93" s="100">
        <f>IFERROR(VLOOKUP(Tablo518[[#This Row],[BOYA KODU]],Tablo14[#All],6,0)," ")</f>
        <v>1E-3</v>
      </c>
      <c r="M93" s="100">
        <f t="shared" si="7"/>
        <v>46.5608</v>
      </c>
      <c r="N93" s="100" t="str">
        <f>IFERROR(VLOOKUP(Tablo518[[#This Row],[ÜRÜN KODU]],YMKODLARI!$A$1:$K$363,8,0)," ")</f>
        <v>HM 002</v>
      </c>
      <c r="O93" s="100" t="str">
        <f>IFERROR(VLOOKUP(Tablo518[[#This Row],[HAMMADDE KODU]],Tablo1[#All],3,0)," ")</f>
        <v>NOVAREX</v>
      </c>
      <c r="P93" s="100" t="str">
        <f>IFERROR(VLOOKUP(Tablo518[[#This Row],[HAMMADDE KODU]],Tablo1[#All],4,0)," ")</f>
        <v>PİNHAS</v>
      </c>
      <c r="Q93" s="100">
        <f>IFERROR(VLOOKUP(Tablo518[[#This Row],[ÜRÜN KODU]],YMKODLARI!$A$1:$K$363,5,0)," ")</f>
        <v>29.6</v>
      </c>
      <c r="R93" s="100">
        <f>IFERROR(VLOOKUP(Tablo518[[#This Row],[ÜRÜN KODU]],YMKODLARI!$A$1:$K$363,6,0)," ")</f>
        <v>28.6</v>
      </c>
      <c r="S93" s="100">
        <f>IFERROR(Tablo518[[#This Row],[YOLLUK HARİÇ BASKI GRAMI]]/Tablo518[[#This Row],[KALIP GÖZ ADEDİ]]," ")</f>
        <v>3.5750000000000002</v>
      </c>
      <c r="T93" s="100">
        <f t="shared" si="9"/>
        <v>1</v>
      </c>
      <c r="U93" s="100"/>
      <c r="V93" s="100">
        <f t="shared" si="8"/>
        <v>44.9878</v>
      </c>
      <c r="W93" s="101">
        <f t="shared" si="10"/>
        <v>24.399305555555557</v>
      </c>
      <c r="X93" s="102">
        <f t="shared" si="11"/>
        <v>9.5833333333333712</v>
      </c>
      <c r="Y93" s="100">
        <f t="shared" si="12"/>
        <v>9.1758333333333333</v>
      </c>
      <c r="Z93" s="100">
        <f t="shared" si="13"/>
        <v>12584</v>
      </c>
    </row>
    <row r="94" spans="1:26">
      <c r="A94" s="108" t="s">
        <v>124</v>
      </c>
      <c r="B94" s="108" t="str">
        <f>IFERROR(VLOOKUP(Tablo518[[#This Row],[ÜRÜN KODU]],YMKODLARI!$A$1:$K$363,2,0)," ")</f>
        <v>DAMAK EMZİK GÖVDE</v>
      </c>
      <c r="C94" s="99">
        <v>43928</v>
      </c>
      <c r="D94" s="100" t="s">
        <v>27</v>
      </c>
      <c r="E94" s="101">
        <v>0.33333333333333331</v>
      </c>
      <c r="F94" s="101">
        <v>0.45833333333333331</v>
      </c>
      <c r="G94" s="100">
        <f>IFERROR(VLOOKUP(Tablo518[[#This Row],[ÜRÜN KODU]],YMKODLARI!$A$1:$K$363,3,0)," ")</f>
        <v>8</v>
      </c>
      <c r="H94" s="100">
        <f>IFERROR(VLOOKUP(Tablo518[[#This Row],[ÜRÜN KODU]],YMKODLARI!$A$1:$K$363,4,0)," ")</f>
        <v>21</v>
      </c>
      <c r="I94" s="100">
        <v>494</v>
      </c>
      <c r="J94" s="100" t="str">
        <f>IFERROR(VLOOKUP(Tablo518[[#This Row],[ÜRÜN KODU]],YMKODLARI!$A$1:$K$363,9,0)," ")</f>
        <v>5139C</v>
      </c>
      <c r="K94" s="100" t="str">
        <f>IFERROR(VLOOKUP(Tablo518[[#This Row],[BOYA KODU]],Tablo14[#All],4,0)," ")</f>
        <v>T.MAVİ</v>
      </c>
      <c r="L94" s="100">
        <f>IFERROR(VLOOKUP(Tablo518[[#This Row],[BOYA KODU]],Tablo14[#All],6,0)," ")</f>
        <v>1E-3</v>
      </c>
      <c r="M94" s="100">
        <f t="shared" si="7"/>
        <v>14.622400000000003</v>
      </c>
      <c r="N94" s="100" t="str">
        <f>IFERROR(VLOOKUP(Tablo518[[#This Row],[ÜRÜN KODU]],YMKODLARI!$A$1:$K$363,8,0)," ")</f>
        <v>HM 002</v>
      </c>
      <c r="O94" s="100" t="str">
        <f>IFERROR(VLOOKUP(Tablo518[[#This Row],[HAMMADDE KODU]],Tablo1[#All],3,0)," ")</f>
        <v>NOVAREX</v>
      </c>
      <c r="P94" s="100" t="str">
        <f>IFERROR(VLOOKUP(Tablo518[[#This Row],[HAMMADDE KODU]],Tablo1[#All],4,0)," ")</f>
        <v>PİNHAS</v>
      </c>
      <c r="Q94" s="100">
        <f>IFERROR(VLOOKUP(Tablo518[[#This Row],[ÜRÜN KODU]],YMKODLARI!$A$1:$K$363,5,0)," ")</f>
        <v>29.6</v>
      </c>
      <c r="R94" s="100">
        <f>IFERROR(VLOOKUP(Tablo518[[#This Row],[ÜRÜN KODU]],YMKODLARI!$A$1:$K$363,6,0)," ")</f>
        <v>28.6</v>
      </c>
      <c r="S94" s="100">
        <f>IFERROR(Tablo518[[#This Row],[YOLLUK HARİÇ BASKI GRAMI]]/Tablo518[[#This Row],[KALIP GÖZ ADEDİ]]," ")</f>
        <v>3.5750000000000002</v>
      </c>
      <c r="T94" s="100">
        <f t="shared" si="9"/>
        <v>1</v>
      </c>
      <c r="U94" s="100"/>
      <c r="V94" s="100">
        <f t="shared" si="8"/>
        <v>14.128400000000001</v>
      </c>
      <c r="W94" s="101">
        <f t="shared" si="10"/>
        <v>24.125</v>
      </c>
      <c r="X94" s="102">
        <f t="shared" si="11"/>
        <v>3</v>
      </c>
      <c r="Y94" s="100">
        <f t="shared" si="12"/>
        <v>2.8816666666666668</v>
      </c>
      <c r="Z94" s="100">
        <f t="shared" si="13"/>
        <v>3952</v>
      </c>
    </row>
    <row r="95" spans="1:26">
      <c r="A95" s="108" t="s">
        <v>126</v>
      </c>
      <c r="B95" s="108" t="str">
        <f>IFERROR(VLOOKUP(Tablo518[[#This Row],[ÜRÜN KODU]],YMKODLARI!$A$1:$K$363,2,0)," ")</f>
        <v>DAMAK EMZİK GÖVDE</v>
      </c>
      <c r="C95" s="99">
        <v>43928</v>
      </c>
      <c r="D95" s="100" t="s">
        <v>27</v>
      </c>
      <c r="E95" s="101">
        <v>0.46527777777777773</v>
      </c>
      <c r="F95" s="101">
        <v>0.83333333333333337</v>
      </c>
      <c r="G95" s="100">
        <f>IFERROR(VLOOKUP(Tablo518[[#This Row],[ÜRÜN KODU]],YMKODLARI!$A$1:$K$363,3,0)," ")</f>
        <v>8</v>
      </c>
      <c r="H95" s="100">
        <f>IFERROR(VLOOKUP(Tablo518[[#This Row],[ÜRÜN KODU]],YMKODLARI!$A$1:$K$363,4,0)," ")</f>
        <v>21</v>
      </c>
      <c r="I95" s="100">
        <v>580</v>
      </c>
      <c r="J95" s="100">
        <f>IFERROR(VLOOKUP(Tablo518[[#This Row],[ÜRÜN KODU]],YMKODLARI!$A$1:$K$363,9,0)," ")</f>
        <v>3014</v>
      </c>
      <c r="K95" s="100" t="str">
        <f>IFERROR(VLOOKUP(Tablo518[[#This Row],[BOYA KODU]],Tablo14[#All],4,0)," ")</f>
        <v>T.KIRMIZI</v>
      </c>
      <c r="L95" s="100">
        <f>IFERROR(VLOOKUP(Tablo518[[#This Row],[BOYA KODU]],Tablo14[#All],6,0)," ")</f>
        <v>2E-3</v>
      </c>
      <c r="M95" s="100">
        <f t="shared" si="7"/>
        <v>34.335999999999999</v>
      </c>
      <c r="N95" s="100" t="str">
        <f>IFERROR(VLOOKUP(Tablo518[[#This Row],[ÜRÜN KODU]],YMKODLARI!$A$1:$K$363,8,0)," ")</f>
        <v>HM 002</v>
      </c>
      <c r="O95" s="100" t="str">
        <f>IFERROR(VLOOKUP(Tablo518[[#This Row],[HAMMADDE KODU]],Tablo1[#All],3,0)," ")</f>
        <v>NOVAREX</v>
      </c>
      <c r="P95" s="100" t="str">
        <f>IFERROR(VLOOKUP(Tablo518[[#This Row],[HAMMADDE KODU]],Tablo1[#All],4,0)," ")</f>
        <v>PİNHAS</v>
      </c>
      <c r="Q95" s="100">
        <f>IFERROR(VLOOKUP(Tablo518[[#This Row],[ÜRÜN KODU]],YMKODLARI!$A$1:$K$363,5,0)," ")</f>
        <v>29.6</v>
      </c>
      <c r="R95" s="100">
        <f>IFERROR(VLOOKUP(Tablo518[[#This Row],[ÜRÜN KODU]],YMKODLARI!$A$1:$K$363,6,0)," ")</f>
        <v>28.6</v>
      </c>
      <c r="S95" s="100">
        <f>IFERROR(Tablo518[[#This Row],[YOLLUK HARİÇ BASKI GRAMI]]/Tablo518[[#This Row],[KALIP GÖZ ADEDİ]]," ")</f>
        <v>3.5750000000000002</v>
      </c>
      <c r="T95" s="100">
        <f t="shared" si="9"/>
        <v>1</v>
      </c>
      <c r="U95" s="100"/>
      <c r="V95" s="100">
        <f t="shared" si="8"/>
        <v>16.588000000000001</v>
      </c>
      <c r="W95" s="101">
        <f t="shared" si="10"/>
        <v>24.368055555555557</v>
      </c>
      <c r="X95" s="102">
        <f t="shared" si="11"/>
        <v>8.8333333333333712</v>
      </c>
      <c r="Y95" s="100">
        <f t="shared" si="12"/>
        <v>3.3833333333333333</v>
      </c>
      <c r="Z95" s="100">
        <f t="shared" si="13"/>
        <v>4640</v>
      </c>
    </row>
    <row r="96" spans="1:26">
      <c r="A96" s="108" t="s">
        <v>126</v>
      </c>
      <c r="B96" s="108" t="str">
        <f>IFERROR(VLOOKUP(Tablo518[[#This Row],[ÜRÜN KODU]],YMKODLARI!$A$1:$K$363,2,0)," ")</f>
        <v>DAMAK EMZİK GÖVDE</v>
      </c>
      <c r="C96" s="99">
        <v>43929</v>
      </c>
      <c r="D96" s="100" t="s">
        <v>36</v>
      </c>
      <c r="E96" s="101">
        <v>0.53125</v>
      </c>
      <c r="F96" s="101">
        <v>0.83333333333333337</v>
      </c>
      <c r="G96" s="100">
        <f>IFERROR(VLOOKUP(Tablo518[[#This Row],[ÜRÜN KODU]],YMKODLARI!$A$1:$K$363,3,0)," ")</f>
        <v>8</v>
      </c>
      <c r="H96" s="100">
        <f>IFERROR(VLOOKUP(Tablo518[[#This Row],[ÜRÜN KODU]],YMKODLARI!$A$1:$K$363,4,0)," ")</f>
        <v>21</v>
      </c>
      <c r="I96" s="100">
        <v>1169</v>
      </c>
      <c r="J96" s="100">
        <f>IFERROR(VLOOKUP(Tablo518[[#This Row],[ÜRÜN KODU]],YMKODLARI!$A$1:$K$363,9,0)," ")</f>
        <v>3014</v>
      </c>
      <c r="K96" s="100" t="str">
        <f>IFERROR(VLOOKUP(Tablo518[[#This Row],[BOYA KODU]],Tablo14[#All],4,0)," ")</f>
        <v>T.KIRMIZI</v>
      </c>
      <c r="L96" s="100">
        <f>IFERROR(VLOOKUP(Tablo518[[#This Row],[BOYA KODU]],Tablo14[#All],6,0)," ")</f>
        <v>2E-3</v>
      </c>
      <c r="M96" s="100">
        <f t="shared" si="7"/>
        <v>69.204800000000006</v>
      </c>
      <c r="N96" s="100" t="str">
        <f>IFERROR(VLOOKUP(Tablo518[[#This Row],[ÜRÜN KODU]],YMKODLARI!$A$1:$K$363,8,0)," ")</f>
        <v>HM 002</v>
      </c>
      <c r="O96" s="100" t="str">
        <f>IFERROR(VLOOKUP(Tablo518[[#This Row],[HAMMADDE KODU]],Tablo1[#All],3,0)," ")</f>
        <v>NOVAREX</v>
      </c>
      <c r="P96" s="100" t="str">
        <f>IFERROR(VLOOKUP(Tablo518[[#This Row],[HAMMADDE KODU]],Tablo1[#All],4,0)," ")</f>
        <v>PİNHAS</v>
      </c>
      <c r="Q96" s="100">
        <f>IFERROR(VLOOKUP(Tablo518[[#This Row],[ÜRÜN KODU]],YMKODLARI!$A$1:$K$363,5,0)," ")</f>
        <v>29.6</v>
      </c>
      <c r="R96" s="100">
        <f>IFERROR(VLOOKUP(Tablo518[[#This Row],[ÜRÜN KODU]],YMKODLARI!$A$1:$K$363,6,0)," ")</f>
        <v>28.6</v>
      </c>
      <c r="S96" s="100">
        <f>IFERROR(Tablo518[[#This Row],[YOLLUK HARİÇ BASKI GRAMI]]/Tablo518[[#This Row],[KALIP GÖZ ADEDİ]]," ")</f>
        <v>3.5750000000000002</v>
      </c>
      <c r="T96" s="100">
        <f t="shared" si="9"/>
        <v>1</v>
      </c>
      <c r="U96" s="100">
        <v>2.2999999999999998</v>
      </c>
      <c r="V96" s="100">
        <f t="shared" si="8"/>
        <v>35.733399999999996</v>
      </c>
      <c r="W96" s="101">
        <f t="shared" si="10"/>
        <v>24.302083333333332</v>
      </c>
      <c r="X96" s="102">
        <f t="shared" si="11"/>
        <v>7.2499999999999716</v>
      </c>
      <c r="Y96" s="100">
        <f t="shared" si="12"/>
        <v>6.8191666666666668</v>
      </c>
      <c r="Z96" s="100">
        <f t="shared" si="13"/>
        <v>9352</v>
      </c>
    </row>
    <row r="97" spans="1:26">
      <c r="A97" s="108" t="s">
        <v>127</v>
      </c>
      <c r="B97" s="108" t="str">
        <f>IFERROR(VLOOKUP(Tablo518[[#This Row],[ÜRÜN KODU]],YMKODLARI!$A$1:$K$363,2,0)," ")</f>
        <v>DAMAK EMZİK GÖVDE</v>
      </c>
      <c r="C97" s="99">
        <v>43930</v>
      </c>
      <c r="D97" s="100" t="s">
        <v>36</v>
      </c>
      <c r="E97" s="101">
        <v>0.35416666666666669</v>
      </c>
      <c r="F97" s="101">
        <v>0.79513888888888884</v>
      </c>
      <c r="G97" s="100">
        <f>IFERROR(VLOOKUP(Tablo518[[#This Row],[ÜRÜN KODU]],YMKODLARI!$A$1:$K$363,3,0)," ")</f>
        <v>8</v>
      </c>
      <c r="H97" s="100">
        <f>IFERROR(VLOOKUP(Tablo518[[#This Row],[ÜRÜN KODU]],YMKODLARI!$A$1:$K$363,4,0)," ")</f>
        <v>21</v>
      </c>
      <c r="I97" s="100">
        <v>1817</v>
      </c>
      <c r="J97" s="100" t="str">
        <f>IFERROR(VLOOKUP(Tablo518[[#This Row],[ÜRÜN KODU]],YMKODLARI!$A$1:$K$363,9,0)," ")</f>
        <v>708VI0502G</v>
      </c>
      <c r="K97" s="100" t="str">
        <f>IFERROR(VLOOKUP(Tablo518[[#This Row],[BOYA KODU]],Tablo14[#All],4,0)," ")</f>
        <v>T.VİOLET</v>
      </c>
      <c r="L97" s="100">
        <f>IFERROR(VLOOKUP(Tablo518[[#This Row],[BOYA KODU]],Tablo14[#All],6,0)," ")</f>
        <v>2E-3</v>
      </c>
      <c r="M97" s="100">
        <f t="shared" si="7"/>
        <v>108.6566</v>
      </c>
      <c r="N97" s="100" t="str">
        <f>IFERROR(VLOOKUP(Tablo518[[#This Row],[ÜRÜN KODU]],YMKODLARI!$A$1:$K$363,8,0)," ")</f>
        <v>HM 002</v>
      </c>
      <c r="O97" s="100" t="str">
        <f>IFERROR(VLOOKUP(Tablo518[[#This Row],[HAMMADDE KODU]],Tablo1[#All],3,0)," ")</f>
        <v>NOVAREX</v>
      </c>
      <c r="P97" s="100" t="str">
        <f>IFERROR(VLOOKUP(Tablo518[[#This Row],[HAMMADDE KODU]],Tablo1[#All],4,0)," ")</f>
        <v>PİNHAS</v>
      </c>
      <c r="Q97" s="100">
        <f>IFERROR(VLOOKUP(Tablo518[[#This Row],[ÜRÜN KODU]],YMKODLARI!$A$1:$K$363,5,0)," ")</f>
        <v>29.9</v>
      </c>
      <c r="R97" s="100">
        <f>IFERROR(VLOOKUP(Tablo518[[#This Row],[ÜRÜN KODU]],YMKODLARI!$A$1:$K$363,6,0)," ")</f>
        <v>29.1</v>
      </c>
      <c r="S97" s="100">
        <f>IFERROR(Tablo518[[#This Row],[YOLLUK HARİÇ BASKI GRAMI]]/Tablo518[[#This Row],[KALIP GÖZ ADEDİ]]," ")</f>
        <v>3.6375000000000002</v>
      </c>
      <c r="T97" s="100">
        <f t="shared" si="9"/>
        <v>0.79999999999999716</v>
      </c>
      <c r="U97" s="100"/>
      <c r="V97" s="100">
        <f t="shared" si="8"/>
        <v>52.874700000000004</v>
      </c>
      <c r="W97" s="101">
        <f t="shared" si="10"/>
        <v>24.440972222222221</v>
      </c>
      <c r="X97" s="102">
        <f t="shared" si="11"/>
        <v>10.583333333333314</v>
      </c>
      <c r="Y97" s="100">
        <f t="shared" si="12"/>
        <v>10.599166666666667</v>
      </c>
      <c r="Z97" s="100">
        <f t="shared" si="13"/>
        <v>14536</v>
      </c>
    </row>
    <row r="98" spans="1:26">
      <c r="A98" s="108" t="s">
        <v>125</v>
      </c>
      <c r="B98" s="108" t="str">
        <f>IFERROR(VLOOKUP(Tablo518[[#This Row],[ÜRÜN KODU]],YMKODLARI!$A$1:$K$363,2,0)," ")</f>
        <v>DAMAK EMZİK GÖVDE</v>
      </c>
      <c r="C98" s="99">
        <v>43930</v>
      </c>
      <c r="D98" s="100" t="s">
        <v>36</v>
      </c>
      <c r="E98" s="101">
        <v>0.80555555555555547</v>
      </c>
      <c r="F98" s="101">
        <v>0.83333333333333337</v>
      </c>
      <c r="G98" s="100">
        <f>IFERROR(VLOOKUP(Tablo518[[#This Row],[ÜRÜN KODU]],YMKODLARI!$A$1:$K$363,3,0)," ")</f>
        <v>8</v>
      </c>
      <c r="H98" s="100">
        <f>IFERROR(VLOOKUP(Tablo518[[#This Row],[ÜRÜN KODU]],YMKODLARI!$A$1:$K$363,4,0)," ")</f>
        <v>21</v>
      </c>
      <c r="I98" s="100">
        <v>159</v>
      </c>
      <c r="J98" s="100">
        <f>IFERROR(VLOOKUP(Tablo518[[#This Row],[ÜRÜN KODU]],YMKODLARI!$A$1:$K$363,9,0)," ")</f>
        <v>1045</v>
      </c>
      <c r="K98" s="100" t="str">
        <f>IFERROR(VLOOKUP(Tablo518[[#This Row],[BOYA KODU]],Tablo14[#All],4,0)," ")</f>
        <v>T.SARI</v>
      </c>
      <c r="L98" s="100">
        <f>IFERROR(VLOOKUP(Tablo518[[#This Row],[BOYA KODU]],Tablo14[#All],6,0)," ")</f>
        <v>2E-3</v>
      </c>
      <c r="M98" s="100">
        <f t="shared" si="7"/>
        <v>9.4128000000000007</v>
      </c>
      <c r="N98" s="100" t="str">
        <f>IFERROR(VLOOKUP(Tablo518[[#This Row],[ÜRÜN KODU]],YMKODLARI!$A$1:$K$363,8,0)," ")</f>
        <v>HM 002</v>
      </c>
      <c r="O98" s="100" t="str">
        <f>IFERROR(VLOOKUP(Tablo518[[#This Row],[HAMMADDE KODU]],Tablo1[#All],3,0)," ")</f>
        <v>NOVAREX</v>
      </c>
      <c r="P98" s="100" t="str">
        <f>IFERROR(VLOOKUP(Tablo518[[#This Row],[HAMMADDE KODU]],Tablo1[#All],4,0)," ")</f>
        <v>PİNHAS</v>
      </c>
      <c r="Q98" s="100">
        <f>IFERROR(VLOOKUP(Tablo518[[#This Row],[ÜRÜN KODU]],YMKODLARI!$A$1:$K$363,5,0)," ")</f>
        <v>29.6</v>
      </c>
      <c r="R98" s="100">
        <f>IFERROR(VLOOKUP(Tablo518[[#This Row],[ÜRÜN KODU]],YMKODLARI!$A$1:$K$363,6,0)," ")</f>
        <v>28.6</v>
      </c>
      <c r="S98" s="100">
        <f>IFERROR(Tablo518[[#This Row],[YOLLUK HARİÇ BASKI GRAMI]]/Tablo518[[#This Row],[KALIP GÖZ ADEDİ]]," ")</f>
        <v>3.5750000000000002</v>
      </c>
      <c r="T98" s="100">
        <f t="shared" si="9"/>
        <v>1</v>
      </c>
      <c r="U98" s="100"/>
      <c r="V98" s="100">
        <f t="shared" si="8"/>
        <v>4.5474000000000006</v>
      </c>
      <c r="W98" s="101">
        <f t="shared" si="10"/>
        <v>24.027777777777779</v>
      </c>
      <c r="X98" s="102">
        <f t="shared" si="11"/>
        <v>0.66666666666668561</v>
      </c>
      <c r="Y98" s="100">
        <f t="shared" si="12"/>
        <v>0.92749999999999999</v>
      </c>
      <c r="Z98" s="100">
        <f t="shared" si="13"/>
        <v>1272</v>
      </c>
    </row>
    <row r="99" spans="1:26">
      <c r="A99" s="108" t="s">
        <v>125</v>
      </c>
      <c r="B99" s="108" t="str">
        <f>IFERROR(VLOOKUP(Tablo518[[#This Row],[ÜRÜN KODU]],YMKODLARI!$A$1:$K$363,2,0)," ")</f>
        <v>DAMAK EMZİK GÖVDE</v>
      </c>
      <c r="C99" s="99">
        <v>43931</v>
      </c>
      <c r="D99" s="100" t="s">
        <v>36</v>
      </c>
      <c r="E99" s="101">
        <v>0.35416666666666669</v>
      </c>
      <c r="F99" s="101">
        <v>0.83333333333333337</v>
      </c>
      <c r="G99" s="100">
        <f>IFERROR(VLOOKUP(Tablo518[[#This Row],[ÜRÜN KODU]],YMKODLARI!$A$1:$K$363,3,0)," ")</f>
        <v>8</v>
      </c>
      <c r="H99" s="100">
        <f>IFERROR(VLOOKUP(Tablo518[[#This Row],[ÜRÜN KODU]],YMKODLARI!$A$1:$K$363,4,0)," ")</f>
        <v>21</v>
      </c>
      <c r="I99" s="100">
        <v>2016</v>
      </c>
      <c r="J99" s="100">
        <f>IFERROR(VLOOKUP(Tablo518[[#This Row],[ÜRÜN KODU]],YMKODLARI!$A$1:$K$363,9,0)," ")</f>
        <v>1045</v>
      </c>
      <c r="K99" s="100" t="str">
        <f>IFERROR(VLOOKUP(Tablo518[[#This Row],[BOYA KODU]],Tablo14[#All],4,0)," ")</f>
        <v>T.SARI</v>
      </c>
      <c r="L99" s="100">
        <f>IFERROR(VLOOKUP(Tablo518[[#This Row],[BOYA KODU]],Tablo14[#All],6,0)," ")</f>
        <v>2E-3</v>
      </c>
      <c r="M99" s="100">
        <f t="shared" si="7"/>
        <v>119.34720000000002</v>
      </c>
      <c r="N99" s="100" t="str">
        <f>IFERROR(VLOOKUP(Tablo518[[#This Row],[ÜRÜN KODU]],YMKODLARI!$A$1:$K$363,8,0)," ")</f>
        <v>HM 002</v>
      </c>
      <c r="O99" s="100" t="str">
        <f>IFERROR(VLOOKUP(Tablo518[[#This Row],[HAMMADDE KODU]],Tablo1[#All],3,0)," ")</f>
        <v>NOVAREX</v>
      </c>
      <c r="P99" s="100" t="str">
        <f>IFERROR(VLOOKUP(Tablo518[[#This Row],[HAMMADDE KODU]],Tablo1[#All],4,0)," ")</f>
        <v>PİNHAS</v>
      </c>
      <c r="Q99" s="100">
        <f>IFERROR(VLOOKUP(Tablo518[[#This Row],[ÜRÜN KODU]],YMKODLARI!$A$1:$K$363,5,0)," ")</f>
        <v>29.6</v>
      </c>
      <c r="R99" s="100">
        <f>IFERROR(VLOOKUP(Tablo518[[#This Row],[ÜRÜN KODU]],YMKODLARI!$A$1:$K$363,6,0)," ")</f>
        <v>28.6</v>
      </c>
      <c r="S99" s="100">
        <f>IFERROR(Tablo518[[#This Row],[YOLLUK HARİÇ BASKI GRAMI]]/Tablo518[[#This Row],[KALIP GÖZ ADEDİ]]," ")</f>
        <v>3.5750000000000002</v>
      </c>
      <c r="T99" s="100">
        <f t="shared" si="9"/>
        <v>1</v>
      </c>
      <c r="U99" s="100"/>
      <c r="V99" s="100">
        <f t="shared" si="8"/>
        <v>57.657600000000009</v>
      </c>
      <c r="W99" s="101">
        <f t="shared" si="10"/>
        <v>24.479166666666668</v>
      </c>
      <c r="X99" s="102">
        <f t="shared" si="11"/>
        <v>11.500000000000028</v>
      </c>
      <c r="Y99" s="100">
        <f t="shared" si="12"/>
        <v>11.76</v>
      </c>
      <c r="Z99" s="100">
        <f t="shared" si="13"/>
        <v>16128</v>
      </c>
    </row>
    <row r="100" spans="1:26">
      <c r="A100" s="108" t="s">
        <v>125</v>
      </c>
      <c r="B100" s="108" t="str">
        <f>IFERROR(VLOOKUP(Tablo518[[#This Row],[ÜRÜN KODU]],YMKODLARI!$A$1:$K$363,2,0)," ")</f>
        <v>DAMAK EMZİK GÖVDE</v>
      </c>
      <c r="C100" s="99">
        <v>43934</v>
      </c>
      <c r="D100" s="100" t="s">
        <v>27</v>
      </c>
      <c r="E100" s="101">
        <v>0.45833333333333331</v>
      </c>
      <c r="F100" s="101">
        <v>0.60416666666666663</v>
      </c>
      <c r="G100" s="100">
        <f>IFERROR(VLOOKUP(Tablo518[[#This Row],[ÜRÜN KODU]],YMKODLARI!$A$1:$K$363,3,0)," ")</f>
        <v>8</v>
      </c>
      <c r="H100" s="100">
        <f>IFERROR(VLOOKUP(Tablo518[[#This Row],[ÜRÜN KODU]],YMKODLARI!$A$1:$K$363,4,0)," ")</f>
        <v>21</v>
      </c>
      <c r="I100" s="100">
        <v>423</v>
      </c>
      <c r="J100" s="100">
        <f>IFERROR(VLOOKUP(Tablo518[[#This Row],[ÜRÜN KODU]],YMKODLARI!$A$1:$K$363,9,0)," ")</f>
        <v>1045</v>
      </c>
      <c r="K100" s="100" t="str">
        <f>IFERROR(VLOOKUP(Tablo518[[#This Row],[BOYA KODU]],Tablo14[#All],4,0)," ")</f>
        <v>T.SARI</v>
      </c>
      <c r="L100" s="100">
        <f>IFERROR(VLOOKUP(Tablo518[[#This Row],[BOYA KODU]],Tablo14[#All],6,0)," ")</f>
        <v>2E-3</v>
      </c>
      <c r="M100" s="100">
        <f t="shared" si="7"/>
        <v>25.041600000000003</v>
      </c>
      <c r="N100" s="100" t="str">
        <f>IFERROR(VLOOKUP(Tablo518[[#This Row],[ÜRÜN KODU]],YMKODLARI!$A$1:$K$363,8,0)," ")</f>
        <v>HM 002</v>
      </c>
      <c r="O100" s="100" t="str">
        <f>IFERROR(VLOOKUP(Tablo518[[#This Row],[HAMMADDE KODU]],Tablo1[#All],3,0)," ")</f>
        <v>NOVAREX</v>
      </c>
      <c r="P100" s="100" t="str">
        <f>IFERROR(VLOOKUP(Tablo518[[#This Row],[HAMMADDE KODU]],Tablo1[#All],4,0)," ")</f>
        <v>PİNHAS</v>
      </c>
      <c r="Q100" s="100">
        <f>IFERROR(VLOOKUP(Tablo518[[#This Row],[ÜRÜN KODU]],YMKODLARI!$A$1:$K$363,5,0)," ")</f>
        <v>29.6</v>
      </c>
      <c r="R100" s="100">
        <f>IFERROR(VLOOKUP(Tablo518[[#This Row],[ÜRÜN KODU]],YMKODLARI!$A$1:$K$363,6,0)," ")</f>
        <v>28.6</v>
      </c>
      <c r="S100" s="100">
        <f>IFERROR(Tablo518[[#This Row],[YOLLUK HARİÇ BASKI GRAMI]]/Tablo518[[#This Row],[KALIP GÖZ ADEDİ]]," ")</f>
        <v>3.5750000000000002</v>
      </c>
      <c r="T100" s="100">
        <f t="shared" si="9"/>
        <v>1</v>
      </c>
      <c r="U100" s="100"/>
      <c r="V100" s="100">
        <f t="shared" si="8"/>
        <v>12.097800000000001</v>
      </c>
      <c r="W100" s="101">
        <f t="shared" si="10"/>
        <v>24.145833333333332</v>
      </c>
      <c r="X100" s="102">
        <f t="shared" si="11"/>
        <v>3.4999999999999716</v>
      </c>
      <c r="Y100" s="100">
        <f t="shared" si="12"/>
        <v>2.4674999999999998</v>
      </c>
      <c r="Z100" s="100">
        <f t="shared" si="13"/>
        <v>3384</v>
      </c>
    </row>
    <row r="101" spans="1:26">
      <c r="A101" s="108" t="s">
        <v>162</v>
      </c>
      <c r="B101" s="108" t="str">
        <f>IFERROR(VLOOKUP(Tablo518[[#This Row],[ÜRÜN KODU]],YMKODLARI!$A$1:$K$363,2,0)," ")</f>
        <v>DAMAK EMZİK GÖVDE</v>
      </c>
      <c r="C101" s="99">
        <v>43934</v>
      </c>
      <c r="D101" s="100" t="s">
        <v>27</v>
      </c>
      <c r="E101" s="101">
        <v>0.625</v>
      </c>
      <c r="F101" s="101">
        <v>0.83333333333333337</v>
      </c>
      <c r="G101" s="100">
        <f>IFERROR(VLOOKUP(Tablo518[[#This Row],[ÜRÜN KODU]],YMKODLARI!$A$1:$K$363,3,0)," ")</f>
        <v>8</v>
      </c>
      <c r="H101" s="100">
        <f>IFERROR(VLOOKUP(Tablo518[[#This Row],[ÜRÜN KODU]],YMKODLARI!$A$1:$K$363,4,0)," ")</f>
        <v>21</v>
      </c>
      <c r="I101" s="100">
        <v>1334</v>
      </c>
      <c r="J101" s="100" t="str">
        <f>IFERROR(VLOOKUP(Tablo518[[#This Row],[ÜRÜN KODU]],YMKODLARI!$A$1:$K$363,9,0)," ")</f>
        <v>708GN0539G</v>
      </c>
      <c r="K101" s="100" t="str">
        <f>IFERROR(VLOOKUP(Tablo518[[#This Row],[BOYA KODU]],Tablo14[#All],4,0)," ")</f>
        <v>T.YEŞİL</v>
      </c>
      <c r="L101" s="100">
        <f>IFERROR(VLOOKUP(Tablo518[[#This Row],[BOYA KODU]],Tablo14[#All],6,0)," ")</f>
        <v>2E-3</v>
      </c>
      <c r="M101" s="100">
        <f t="shared" si="7"/>
        <v>78.972800000000007</v>
      </c>
      <c r="N101" s="100" t="str">
        <f>IFERROR(VLOOKUP(Tablo518[[#This Row],[ÜRÜN KODU]],YMKODLARI!$A$1:$K$363,8,0)," ")</f>
        <v>HM 002</v>
      </c>
      <c r="O101" s="100" t="str">
        <f>IFERROR(VLOOKUP(Tablo518[[#This Row],[HAMMADDE KODU]],Tablo1[#All],3,0)," ")</f>
        <v>NOVAREX</v>
      </c>
      <c r="P101" s="100" t="str">
        <f>IFERROR(VLOOKUP(Tablo518[[#This Row],[HAMMADDE KODU]],Tablo1[#All],4,0)," ")</f>
        <v>PİNHAS</v>
      </c>
      <c r="Q101" s="100">
        <f>IFERROR(VLOOKUP(Tablo518[[#This Row],[ÜRÜN KODU]],YMKODLARI!$A$1:$K$363,5,0)," ")</f>
        <v>29.6</v>
      </c>
      <c r="R101" s="100">
        <f>IFERROR(VLOOKUP(Tablo518[[#This Row],[ÜRÜN KODU]],YMKODLARI!$A$1:$K$363,6,0)," ")</f>
        <v>28.6</v>
      </c>
      <c r="S101" s="100">
        <f>IFERROR(Tablo518[[#This Row],[YOLLUK HARİÇ BASKI GRAMI]]/Tablo518[[#This Row],[KALIP GÖZ ADEDİ]]," ")</f>
        <v>3.5750000000000002</v>
      </c>
      <c r="T101" s="100">
        <f t="shared" si="9"/>
        <v>1</v>
      </c>
      <c r="U101" s="100"/>
      <c r="V101" s="100">
        <f t="shared" si="8"/>
        <v>38.1524</v>
      </c>
      <c r="W101" s="101">
        <f t="shared" si="10"/>
        <v>24.208333333333332</v>
      </c>
      <c r="X101" s="102">
        <f t="shared" si="11"/>
        <v>4.9999999999999716</v>
      </c>
      <c r="Y101" s="100">
        <f t="shared" si="12"/>
        <v>7.7816666666666663</v>
      </c>
      <c r="Z101" s="100">
        <f t="shared" si="13"/>
        <v>10672</v>
      </c>
    </row>
    <row r="102" spans="1:26">
      <c r="A102" s="108" t="s">
        <v>162</v>
      </c>
      <c r="B102" s="108" t="str">
        <f>IFERROR(VLOOKUP(Tablo518[[#This Row],[ÜRÜN KODU]],YMKODLARI!$A$1:$K$363,2,0)," ")</f>
        <v>DAMAK EMZİK GÖVDE</v>
      </c>
      <c r="C102" s="99">
        <v>43935</v>
      </c>
      <c r="D102" s="100" t="s">
        <v>27</v>
      </c>
      <c r="E102" s="101">
        <v>0.33333333333333331</v>
      </c>
      <c r="F102" s="101">
        <v>0.83333333333333337</v>
      </c>
      <c r="G102" s="100">
        <f>IFERROR(VLOOKUP(Tablo518[[#This Row],[ÜRÜN KODU]],YMKODLARI!$A$1:$K$363,3,0)," ")</f>
        <v>8</v>
      </c>
      <c r="H102" s="100">
        <f>IFERROR(VLOOKUP(Tablo518[[#This Row],[ÜRÜN KODU]],YMKODLARI!$A$1:$K$363,4,0)," ")</f>
        <v>21</v>
      </c>
      <c r="I102" s="100">
        <v>1352</v>
      </c>
      <c r="J102" s="100" t="str">
        <f>IFERROR(VLOOKUP(Tablo518[[#This Row],[ÜRÜN KODU]],YMKODLARI!$A$1:$K$363,9,0)," ")</f>
        <v>708GN0539G</v>
      </c>
      <c r="K102" s="100" t="str">
        <f>IFERROR(VLOOKUP(Tablo518[[#This Row],[BOYA KODU]],Tablo14[#All],4,0)," ")</f>
        <v>T.YEŞİL</v>
      </c>
      <c r="L102" s="100">
        <f>IFERROR(VLOOKUP(Tablo518[[#This Row],[BOYA KODU]],Tablo14[#All],6,0)," ")</f>
        <v>2E-3</v>
      </c>
      <c r="M102" s="100">
        <f t="shared" si="7"/>
        <v>80.03840000000001</v>
      </c>
      <c r="N102" s="100" t="str">
        <f>IFERROR(VLOOKUP(Tablo518[[#This Row],[ÜRÜN KODU]],YMKODLARI!$A$1:$K$363,8,0)," ")</f>
        <v>HM 002</v>
      </c>
      <c r="O102" s="100" t="str">
        <f>IFERROR(VLOOKUP(Tablo518[[#This Row],[HAMMADDE KODU]],Tablo1[#All],3,0)," ")</f>
        <v>NOVAREX</v>
      </c>
      <c r="P102" s="100" t="str">
        <f>IFERROR(VLOOKUP(Tablo518[[#This Row],[HAMMADDE KODU]],Tablo1[#All],4,0)," ")</f>
        <v>PİNHAS</v>
      </c>
      <c r="Q102" s="100">
        <f>IFERROR(VLOOKUP(Tablo518[[#This Row],[ÜRÜN KODU]],YMKODLARI!$A$1:$K$363,5,0)," ")</f>
        <v>29.6</v>
      </c>
      <c r="R102" s="100">
        <f>IFERROR(VLOOKUP(Tablo518[[#This Row],[ÜRÜN KODU]],YMKODLARI!$A$1:$K$363,6,0)," ")</f>
        <v>28.6</v>
      </c>
      <c r="S102" s="100">
        <f>IFERROR(Tablo518[[#This Row],[YOLLUK HARİÇ BASKI GRAMI]]/Tablo518[[#This Row],[KALIP GÖZ ADEDİ]]," ")</f>
        <v>3.5750000000000002</v>
      </c>
      <c r="T102" s="100">
        <f t="shared" si="9"/>
        <v>1</v>
      </c>
      <c r="U102" s="100">
        <v>1.5</v>
      </c>
      <c r="V102" s="100">
        <f t="shared" si="8"/>
        <v>40.167200000000001</v>
      </c>
      <c r="W102" s="101">
        <f t="shared" si="10"/>
        <v>24.5</v>
      </c>
      <c r="X102" s="102">
        <f t="shared" si="11"/>
        <v>12</v>
      </c>
      <c r="Y102" s="100">
        <f t="shared" si="12"/>
        <v>7.8866666666666667</v>
      </c>
      <c r="Z102" s="100">
        <f t="shared" si="13"/>
        <v>10816</v>
      </c>
    </row>
    <row r="103" spans="1:26">
      <c r="A103" s="108" t="s">
        <v>162</v>
      </c>
      <c r="B103" s="108" t="str">
        <f>IFERROR(VLOOKUP(Tablo518[[#This Row],[ÜRÜN KODU]],YMKODLARI!$A$1:$K$363,2,0)," ")</f>
        <v>DAMAK EMZİK GÖVDE</v>
      </c>
      <c r="C103" s="99">
        <v>43936</v>
      </c>
      <c r="D103" s="100" t="s">
        <v>27</v>
      </c>
      <c r="E103" s="101">
        <v>0.33333333333333331</v>
      </c>
      <c r="F103" s="101">
        <v>0.79861111111111116</v>
      </c>
      <c r="G103" s="100">
        <f>IFERROR(VLOOKUP(Tablo518[[#This Row],[ÜRÜN KODU]],YMKODLARI!$A$1:$K$363,3,0)," ")</f>
        <v>8</v>
      </c>
      <c r="H103" s="100">
        <f>IFERROR(VLOOKUP(Tablo518[[#This Row],[ÜRÜN KODU]],YMKODLARI!$A$1:$K$363,4,0)," ")</f>
        <v>21</v>
      </c>
      <c r="I103" s="100">
        <v>1568</v>
      </c>
      <c r="J103" s="100" t="str">
        <f>IFERROR(VLOOKUP(Tablo518[[#This Row],[ÜRÜN KODU]],YMKODLARI!$A$1:$K$363,9,0)," ")</f>
        <v>708GN0539G</v>
      </c>
      <c r="K103" s="100" t="str">
        <f>IFERROR(VLOOKUP(Tablo518[[#This Row],[BOYA KODU]],Tablo14[#All],4,0)," ")</f>
        <v>T.YEŞİL</v>
      </c>
      <c r="L103" s="100">
        <f>IFERROR(VLOOKUP(Tablo518[[#This Row],[BOYA KODU]],Tablo14[#All],6,0)," ")</f>
        <v>2E-3</v>
      </c>
      <c r="M103" s="100">
        <f t="shared" si="7"/>
        <v>92.825600000000009</v>
      </c>
      <c r="N103" s="100" t="str">
        <f>IFERROR(VLOOKUP(Tablo518[[#This Row],[ÜRÜN KODU]],YMKODLARI!$A$1:$K$363,8,0)," ")</f>
        <v>HM 002</v>
      </c>
      <c r="O103" s="100" t="str">
        <f>IFERROR(VLOOKUP(Tablo518[[#This Row],[HAMMADDE KODU]],Tablo1[#All],3,0)," ")</f>
        <v>NOVAREX</v>
      </c>
      <c r="P103" s="100" t="str">
        <f>IFERROR(VLOOKUP(Tablo518[[#This Row],[HAMMADDE KODU]],Tablo1[#All],4,0)," ")</f>
        <v>PİNHAS</v>
      </c>
      <c r="Q103" s="100">
        <f>IFERROR(VLOOKUP(Tablo518[[#This Row],[ÜRÜN KODU]],YMKODLARI!$A$1:$K$363,5,0)," ")</f>
        <v>29.6</v>
      </c>
      <c r="R103" s="100">
        <f>IFERROR(VLOOKUP(Tablo518[[#This Row],[ÜRÜN KODU]],YMKODLARI!$A$1:$K$363,6,0)," ")</f>
        <v>28.6</v>
      </c>
      <c r="S103" s="100">
        <f>IFERROR(Tablo518[[#This Row],[YOLLUK HARİÇ BASKI GRAMI]]/Tablo518[[#This Row],[KALIP GÖZ ADEDİ]]," ")</f>
        <v>3.5750000000000002</v>
      </c>
      <c r="T103" s="100">
        <f t="shared" si="9"/>
        <v>1</v>
      </c>
      <c r="U103" s="100">
        <v>6</v>
      </c>
      <c r="V103" s="100">
        <f t="shared" si="8"/>
        <v>50.844800000000006</v>
      </c>
      <c r="W103" s="101">
        <f t="shared" si="10"/>
        <v>24.465277777777779</v>
      </c>
      <c r="X103" s="102">
        <f t="shared" si="11"/>
        <v>11.166666666666686</v>
      </c>
      <c r="Y103" s="100">
        <f t="shared" si="12"/>
        <v>9.1466666666666665</v>
      </c>
      <c r="Z103" s="100">
        <f t="shared" si="13"/>
        <v>12544</v>
      </c>
    </row>
    <row r="104" spans="1:26">
      <c r="A104" s="108" t="s">
        <v>127</v>
      </c>
      <c r="B104" s="108" t="str">
        <f>IFERROR(VLOOKUP(Tablo518[[#This Row],[ÜRÜN KODU]],YMKODLARI!$A$1:$K$363,2,0)," ")</f>
        <v>DAMAK EMZİK GÖVDE</v>
      </c>
      <c r="C104" s="99">
        <v>43936</v>
      </c>
      <c r="D104" s="100" t="s">
        <v>27</v>
      </c>
      <c r="E104" s="101">
        <v>0.80902777777777779</v>
      </c>
      <c r="F104" s="101">
        <v>0.83333333333333337</v>
      </c>
      <c r="G104" s="100">
        <f>IFERROR(VLOOKUP(Tablo518[[#This Row],[ÜRÜN KODU]],YMKODLARI!$A$1:$K$363,3,0)," ")</f>
        <v>8</v>
      </c>
      <c r="H104" s="100">
        <f>IFERROR(VLOOKUP(Tablo518[[#This Row],[ÜRÜN KODU]],YMKODLARI!$A$1:$K$363,4,0)," ")</f>
        <v>21</v>
      </c>
      <c r="I104" s="100">
        <v>95</v>
      </c>
      <c r="J104" s="100" t="str">
        <f>IFERROR(VLOOKUP(Tablo518[[#This Row],[ÜRÜN KODU]],YMKODLARI!$A$1:$K$363,9,0)," ")</f>
        <v>708VI0502G</v>
      </c>
      <c r="K104" s="100" t="str">
        <f>IFERROR(VLOOKUP(Tablo518[[#This Row],[BOYA KODU]],Tablo14[#All],4,0)," ")</f>
        <v>T.VİOLET</v>
      </c>
      <c r="L104" s="100">
        <f>IFERROR(VLOOKUP(Tablo518[[#This Row],[BOYA KODU]],Tablo14[#All],6,0)," ")</f>
        <v>2E-3</v>
      </c>
      <c r="M104" s="100">
        <f t="shared" si="7"/>
        <v>5.681</v>
      </c>
      <c r="N104" s="100" t="str">
        <f>IFERROR(VLOOKUP(Tablo518[[#This Row],[ÜRÜN KODU]],YMKODLARI!$A$1:$K$363,8,0)," ")</f>
        <v>HM 002</v>
      </c>
      <c r="O104" s="100" t="str">
        <f>IFERROR(VLOOKUP(Tablo518[[#This Row],[HAMMADDE KODU]],Tablo1[#All],3,0)," ")</f>
        <v>NOVAREX</v>
      </c>
      <c r="P104" s="100" t="str">
        <f>IFERROR(VLOOKUP(Tablo518[[#This Row],[HAMMADDE KODU]],Tablo1[#All],4,0)," ")</f>
        <v>PİNHAS</v>
      </c>
      <c r="Q104" s="100">
        <f>IFERROR(VLOOKUP(Tablo518[[#This Row],[ÜRÜN KODU]],YMKODLARI!$A$1:$K$363,5,0)," ")</f>
        <v>29.9</v>
      </c>
      <c r="R104" s="100">
        <f>IFERROR(VLOOKUP(Tablo518[[#This Row],[ÜRÜN KODU]],YMKODLARI!$A$1:$K$363,6,0)," ")</f>
        <v>29.1</v>
      </c>
      <c r="S104" s="100">
        <f>IFERROR(Tablo518[[#This Row],[YOLLUK HARİÇ BASKI GRAMI]]/Tablo518[[#This Row],[KALIP GÖZ ADEDİ]]," ")</f>
        <v>3.6375000000000002</v>
      </c>
      <c r="T104" s="100">
        <f t="shared" si="9"/>
        <v>0.79999999999999716</v>
      </c>
      <c r="U104" s="100"/>
      <c r="V104" s="100">
        <f t="shared" si="8"/>
        <v>2.7645</v>
      </c>
      <c r="W104" s="101">
        <f t="shared" si="10"/>
        <v>24.024305555555557</v>
      </c>
      <c r="X104" s="102">
        <f t="shared" si="11"/>
        <v>0.58333333333337123</v>
      </c>
      <c r="Y104" s="100">
        <f t="shared" si="12"/>
        <v>0.5541666666666667</v>
      </c>
      <c r="Z104" s="100">
        <f t="shared" si="13"/>
        <v>760</v>
      </c>
    </row>
    <row r="105" spans="1:26">
      <c r="A105" s="108" t="s">
        <v>127</v>
      </c>
      <c r="B105" s="108" t="str">
        <f>IFERROR(VLOOKUP(Tablo518[[#This Row],[ÜRÜN KODU]],YMKODLARI!$A$1:$K$363,2,0)," ")</f>
        <v>DAMAK EMZİK GÖVDE</v>
      </c>
      <c r="C105" s="99">
        <v>43937</v>
      </c>
      <c r="D105" s="100" t="s">
        <v>27</v>
      </c>
      <c r="E105" s="101">
        <v>0.33333333333333331</v>
      </c>
      <c r="F105" s="101">
        <v>0.58680555555555558</v>
      </c>
      <c r="G105" s="100">
        <f>IFERROR(VLOOKUP(Tablo518[[#This Row],[ÜRÜN KODU]],YMKODLARI!$A$1:$K$363,3,0)," ")</f>
        <v>8</v>
      </c>
      <c r="H105" s="100">
        <f>IFERROR(VLOOKUP(Tablo518[[#This Row],[ÜRÜN KODU]],YMKODLARI!$A$1:$K$363,4,0)," ")</f>
        <v>21</v>
      </c>
      <c r="I105" s="100">
        <v>991</v>
      </c>
      <c r="J105" s="100" t="str">
        <f>IFERROR(VLOOKUP(Tablo518[[#This Row],[ÜRÜN KODU]],YMKODLARI!$A$1:$K$363,9,0)," ")</f>
        <v>708VI0502G</v>
      </c>
      <c r="K105" s="100" t="str">
        <f>IFERROR(VLOOKUP(Tablo518[[#This Row],[BOYA KODU]],Tablo14[#All],4,0)," ")</f>
        <v>T.VİOLET</v>
      </c>
      <c r="L105" s="100">
        <f>IFERROR(VLOOKUP(Tablo518[[#This Row],[BOYA KODU]],Tablo14[#All],6,0)," ")</f>
        <v>2E-3</v>
      </c>
      <c r="M105" s="100">
        <f t="shared" si="7"/>
        <v>59.261799999999994</v>
      </c>
      <c r="N105" s="100" t="str">
        <f>IFERROR(VLOOKUP(Tablo518[[#This Row],[ÜRÜN KODU]],YMKODLARI!$A$1:$K$363,8,0)," ")</f>
        <v>HM 002</v>
      </c>
      <c r="O105" s="100" t="str">
        <f>IFERROR(VLOOKUP(Tablo518[[#This Row],[HAMMADDE KODU]],Tablo1[#All],3,0)," ")</f>
        <v>NOVAREX</v>
      </c>
      <c r="P105" s="100" t="str">
        <f>IFERROR(VLOOKUP(Tablo518[[#This Row],[HAMMADDE KODU]],Tablo1[#All],4,0)," ")</f>
        <v>PİNHAS</v>
      </c>
      <c r="Q105" s="100">
        <f>IFERROR(VLOOKUP(Tablo518[[#This Row],[ÜRÜN KODU]],YMKODLARI!$A$1:$K$363,5,0)," ")</f>
        <v>29.9</v>
      </c>
      <c r="R105" s="100">
        <f>IFERROR(VLOOKUP(Tablo518[[#This Row],[ÜRÜN KODU]],YMKODLARI!$A$1:$K$363,6,0)," ")</f>
        <v>29.1</v>
      </c>
      <c r="S105" s="100">
        <f>IFERROR(Tablo518[[#This Row],[YOLLUK HARİÇ BASKI GRAMI]]/Tablo518[[#This Row],[KALIP GÖZ ADEDİ]]," ")</f>
        <v>3.6375000000000002</v>
      </c>
      <c r="T105" s="100">
        <f t="shared" si="9"/>
        <v>0.79999999999999716</v>
      </c>
      <c r="U105" s="100">
        <v>4</v>
      </c>
      <c r="V105" s="100">
        <f t="shared" si="8"/>
        <v>32.838099999999997</v>
      </c>
      <c r="W105" s="101">
        <f t="shared" si="10"/>
        <v>24.253472222222221</v>
      </c>
      <c r="X105" s="102">
        <f t="shared" si="11"/>
        <v>6.0833333333333144</v>
      </c>
      <c r="Y105" s="100">
        <f t="shared" si="12"/>
        <v>5.7808333333333337</v>
      </c>
      <c r="Z105" s="100">
        <f t="shared" si="13"/>
        <v>7928</v>
      </c>
    </row>
    <row r="106" spans="1:26">
      <c r="A106" s="108" t="s">
        <v>125</v>
      </c>
      <c r="B106" s="108" t="str">
        <f>IFERROR(VLOOKUP(Tablo518[[#This Row],[ÜRÜN KODU]],YMKODLARI!$A$1:$K$363,2,0)," ")</f>
        <v>DAMAK EMZİK GÖVDE</v>
      </c>
      <c r="C106" s="99">
        <v>43937</v>
      </c>
      <c r="D106" s="100" t="s">
        <v>27</v>
      </c>
      <c r="E106" s="101">
        <v>0.60069444444444442</v>
      </c>
      <c r="F106" s="101">
        <v>0.83333333333333337</v>
      </c>
      <c r="G106" s="100">
        <f>IFERROR(VLOOKUP(Tablo518[[#This Row],[ÜRÜN KODU]],YMKODLARI!$A$1:$K$363,3,0)," ")</f>
        <v>8</v>
      </c>
      <c r="H106" s="100">
        <f>IFERROR(VLOOKUP(Tablo518[[#This Row],[ÜRÜN KODU]],YMKODLARI!$A$1:$K$363,4,0)," ")</f>
        <v>21</v>
      </c>
      <c r="I106" s="100">
        <v>964</v>
      </c>
      <c r="J106" s="100">
        <f>IFERROR(VLOOKUP(Tablo518[[#This Row],[ÜRÜN KODU]],YMKODLARI!$A$1:$K$363,9,0)," ")</f>
        <v>1045</v>
      </c>
      <c r="K106" s="100" t="str">
        <f>IFERROR(VLOOKUP(Tablo518[[#This Row],[BOYA KODU]],Tablo14[#All],4,0)," ")</f>
        <v>T.SARI</v>
      </c>
      <c r="L106" s="100">
        <f>IFERROR(VLOOKUP(Tablo518[[#This Row],[BOYA KODU]],Tablo14[#All],6,0)," ")</f>
        <v>2E-3</v>
      </c>
      <c r="M106" s="100">
        <f t="shared" si="7"/>
        <v>57.068800000000003</v>
      </c>
      <c r="N106" s="100" t="str">
        <f>IFERROR(VLOOKUP(Tablo518[[#This Row],[ÜRÜN KODU]],YMKODLARI!$A$1:$K$363,8,0)," ")</f>
        <v>HM 002</v>
      </c>
      <c r="O106" s="100" t="str">
        <f>IFERROR(VLOOKUP(Tablo518[[#This Row],[HAMMADDE KODU]],Tablo1[#All],3,0)," ")</f>
        <v>NOVAREX</v>
      </c>
      <c r="P106" s="100" t="str">
        <f>IFERROR(VLOOKUP(Tablo518[[#This Row],[HAMMADDE KODU]],Tablo1[#All],4,0)," ")</f>
        <v>PİNHAS</v>
      </c>
      <c r="Q106" s="100">
        <f>IFERROR(VLOOKUP(Tablo518[[#This Row],[ÜRÜN KODU]],YMKODLARI!$A$1:$K$363,5,0)," ")</f>
        <v>29.6</v>
      </c>
      <c r="R106" s="100">
        <f>IFERROR(VLOOKUP(Tablo518[[#This Row],[ÜRÜN KODU]],YMKODLARI!$A$1:$K$363,6,0)," ")</f>
        <v>28.6</v>
      </c>
      <c r="S106" s="100">
        <f>IFERROR(Tablo518[[#This Row],[YOLLUK HARİÇ BASKI GRAMI]]/Tablo518[[#This Row],[KALIP GÖZ ADEDİ]]," ")</f>
        <v>3.5750000000000002</v>
      </c>
      <c r="T106" s="100">
        <f t="shared" si="9"/>
        <v>1</v>
      </c>
      <c r="U106" s="100">
        <v>1</v>
      </c>
      <c r="V106" s="100">
        <f t="shared" si="8"/>
        <v>28.570400000000003</v>
      </c>
      <c r="W106" s="101">
        <f t="shared" si="10"/>
        <v>24.232638888888889</v>
      </c>
      <c r="X106" s="102">
        <f t="shared" si="11"/>
        <v>5.5833333333333428</v>
      </c>
      <c r="Y106" s="100">
        <f t="shared" si="12"/>
        <v>5.6233333333333331</v>
      </c>
      <c r="Z106" s="100">
        <f t="shared" si="13"/>
        <v>7712</v>
      </c>
    </row>
    <row r="107" spans="1:26">
      <c r="A107" s="108" t="s">
        <v>125</v>
      </c>
      <c r="B107" s="108" t="str">
        <f>IFERROR(VLOOKUP(Tablo518[[#This Row],[ÜRÜN KODU]],YMKODLARI!$A$1:$K$363,2,0)," ")</f>
        <v>DAMAK EMZİK GÖVDE</v>
      </c>
      <c r="C107" s="99">
        <v>43938</v>
      </c>
      <c r="D107" s="100" t="s">
        <v>27</v>
      </c>
      <c r="E107" s="101">
        <v>0.33333333333333331</v>
      </c>
      <c r="F107" s="101">
        <v>0.73611111111111116</v>
      </c>
      <c r="G107" s="100">
        <f>IFERROR(VLOOKUP(Tablo518[[#This Row],[ÜRÜN KODU]],YMKODLARI!$A$1:$K$363,3,0)," ")</f>
        <v>8</v>
      </c>
      <c r="H107" s="100">
        <f>IFERROR(VLOOKUP(Tablo518[[#This Row],[ÜRÜN KODU]],YMKODLARI!$A$1:$K$363,4,0)," ")</f>
        <v>21</v>
      </c>
      <c r="I107" s="100">
        <v>1612</v>
      </c>
      <c r="J107" s="100">
        <f>IFERROR(VLOOKUP(Tablo518[[#This Row],[ÜRÜN KODU]],YMKODLARI!$A$1:$K$363,9,0)," ")</f>
        <v>1045</v>
      </c>
      <c r="K107" s="100" t="str">
        <f>IFERROR(VLOOKUP(Tablo518[[#This Row],[BOYA KODU]],Tablo14[#All],4,0)," ")</f>
        <v>T.SARI</v>
      </c>
      <c r="L107" s="100">
        <f>IFERROR(VLOOKUP(Tablo518[[#This Row],[BOYA KODU]],Tablo14[#All],6,0)," ")</f>
        <v>2E-3</v>
      </c>
      <c r="M107" s="100">
        <f t="shared" si="7"/>
        <v>95.430400000000006</v>
      </c>
      <c r="N107" s="100" t="str">
        <f>IFERROR(VLOOKUP(Tablo518[[#This Row],[ÜRÜN KODU]],YMKODLARI!$A$1:$K$363,8,0)," ")</f>
        <v>HM 002</v>
      </c>
      <c r="O107" s="100" t="str">
        <f>IFERROR(VLOOKUP(Tablo518[[#This Row],[HAMMADDE KODU]],Tablo1[#All],3,0)," ")</f>
        <v>NOVAREX</v>
      </c>
      <c r="P107" s="100" t="str">
        <f>IFERROR(VLOOKUP(Tablo518[[#This Row],[HAMMADDE KODU]],Tablo1[#All],4,0)," ")</f>
        <v>PİNHAS</v>
      </c>
      <c r="Q107" s="100">
        <f>IFERROR(VLOOKUP(Tablo518[[#This Row],[ÜRÜN KODU]],YMKODLARI!$A$1:$K$363,5,0)," ")</f>
        <v>29.6</v>
      </c>
      <c r="R107" s="100">
        <f>IFERROR(VLOOKUP(Tablo518[[#This Row],[ÜRÜN KODU]],YMKODLARI!$A$1:$K$363,6,0)," ")</f>
        <v>28.6</v>
      </c>
      <c r="S107" s="100">
        <f>IFERROR(Tablo518[[#This Row],[YOLLUK HARİÇ BASKI GRAMI]]/Tablo518[[#This Row],[KALIP GÖZ ADEDİ]]," ")</f>
        <v>3.5750000000000002</v>
      </c>
      <c r="T107" s="100">
        <f t="shared" si="9"/>
        <v>1</v>
      </c>
      <c r="U107" s="100"/>
      <c r="V107" s="100">
        <f t="shared" si="8"/>
        <v>46.103200000000001</v>
      </c>
      <c r="W107" s="101">
        <f t="shared" si="10"/>
        <v>24.402777777777779</v>
      </c>
      <c r="X107" s="102">
        <f t="shared" si="11"/>
        <v>9.6666666666666856</v>
      </c>
      <c r="Y107" s="100">
        <f t="shared" si="12"/>
        <v>9.4033333333333342</v>
      </c>
      <c r="Z107" s="100">
        <f t="shared" si="13"/>
        <v>12896</v>
      </c>
    </row>
    <row r="108" spans="1:26">
      <c r="A108" s="108" t="s">
        <v>125</v>
      </c>
      <c r="B108" s="108" t="str">
        <f>IFERROR(VLOOKUP(Tablo518[[#This Row],[ÜRÜN KODU]],YMKODLARI!$A$1:$K$363,2,0)," ")</f>
        <v>DAMAK EMZİK GÖVDE</v>
      </c>
      <c r="C108" s="99">
        <v>43941</v>
      </c>
      <c r="D108" s="100" t="s">
        <v>36</v>
      </c>
      <c r="E108" s="101">
        <v>0.41666666666666669</v>
      </c>
      <c r="F108" s="101">
        <v>0.83333333333333337</v>
      </c>
      <c r="G108" s="100">
        <f>IFERROR(VLOOKUP(Tablo518[[#This Row],[ÜRÜN KODU]],YMKODLARI!$A$1:$K$363,3,0)," ")</f>
        <v>8</v>
      </c>
      <c r="H108" s="100">
        <f>IFERROR(VLOOKUP(Tablo518[[#This Row],[ÜRÜN KODU]],YMKODLARI!$A$1:$K$363,4,0)," ")</f>
        <v>21</v>
      </c>
      <c r="I108" s="100">
        <v>1656</v>
      </c>
      <c r="J108" s="100">
        <f>IFERROR(VLOOKUP(Tablo518[[#This Row],[ÜRÜN KODU]],YMKODLARI!$A$1:$K$363,9,0)," ")</f>
        <v>1045</v>
      </c>
      <c r="K108" s="100" t="str">
        <f>IFERROR(VLOOKUP(Tablo518[[#This Row],[BOYA KODU]],Tablo14[#All],4,0)," ")</f>
        <v>T.SARI</v>
      </c>
      <c r="L108" s="100">
        <f>IFERROR(VLOOKUP(Tablo518[[#This Row],[BOYA KODU]],Tablo14[#All],6,0)," ")</f>
        <v>2E-3</v>
      </c>
      <c r="M108" s="100">
        <f t="shared" si="7"/>
        <v>98.035200000000017</v>
      </c>
      <c r="N108" s="100" t="str">
        <f>IFERROR(VLOOKUP(Tablo518[[#This Row],[ÜRÜN KODU]],YMKODLARI!$A$1:$K$363,8,0)," ")</f>
        <v>HM 002</v>
      </c>
      <c r="O108" s="100" t="str">
        <f>IFERROR(VLOOKUP(Tablo518[[#This Row],[HAMMADDE KODU]],Tablo1[#All],3,0)," ")</f>
        <v>NOVAREX</v>
      </c>
      <c r="P108" s="100" t="str">
        <f>IFERROR(VLOOKUP(Tablo518[[#This Row],[HAMMADDE KODU]],Tablo1[#All],4,0)," ")</f>
        <v>PİNHAS</v>
      </c>
      <c r="Q108" s="100">
        <f>IFERROR(VLOOKUP(Tablo518[[#This Row],[ÜRÜN KODU]],YMKODLARI!$A$1:$K$363,5,0)," ")</f>
        <v>29.6</v>
      </c>
      <c r="R108" s="100">
        <f>IFERROR(VLOOKUP(Tablo518[[#This Row],[ÜRÜN KODU]],YMKODLARI!$A$1:$K$363,6,0)," ")</f>
        <v>28.6</v>
      </c>
      <c r="S108" s="100">
        <f>IFERROR(Tablo518[[#This Row],[YOLLUK HARİÇ BASKI GRAMI]]/Tablo518[[#This Row],[KALIP GÖZ ADEDİ]]," ")</f>
        <v>3.5750000000000002</v>
      </c>
      <c r="T108" s="100">
        <f t="shared" si="9"/>
        <v>1</v>
      </c>
      <c r="U108" s="100"/>
      <c r="V108" s="100">
        <f t="shared" si="8"/>
        <v>47.361600000000003</v>
      </c>
      <c r="W108" s="101">
        <f t="shared" si="10"/>
        <v>24.416666666666668</v>
      </c>
      <c r="X108" s="102">
        <f t="shared" si="11"/>
        <v>10.000000000000028</v>
      </c>
      <c r="Y108" s="100">
        <f t="shared" si="12"/>
        <v>9.66</v>
      </c>
      <c r="Z108" s="100">
        <f t="shared" si="13"/>
        <v>13248</v>
      </c>
    </row>
    <row r="109" spans="1:26">
      <c r="A109" s="108" t="s">
        <v>125</v>
      </c>
      <c r="B109" s="108" t="str">
        <f>IFERROR(VLOOKUP(Tablo518[[#This Row],[ÜRÜN KODU]],YMKODLARI!$A$1:$K$363,2,0)," ")</f>
        <v>DAMAK EMZİK GÖVDE</v>
      </c>
      <c r="C109" s="99">
        <v>43942</v>
      </c>
      <c r="D109" s="100" t="s">
        <v>36</v>
      </c>
      <c r="E109" s="101">
        <v>0.33333333333333331</v>
      </c>
      <c r="F109" s="101">
        <v>0.45833333333333331</v>
      </c>
      <c r="G109" s="100">
        <f>IFERROR(VLOOKUP(Tablo518[[#This Row],[ÜRÜN KODU]],YMKODLARI!$A$1:$K$363,3,0)," ")</f>
        <v>8</v>
      </c>
      <c r="H109" s="100">
        <f>IFERROR(VLOOKUP(Tablo518[[#This Row],[ÜRÜN KODU]],YMKODLARI!$A$1:$K$363,4,0)," ")</f>
        <v>21</v>
      </c>
      <c r="I109" s="100">
        <v>448</v>
      </c>
      <c r="J109" s="100">
        <f>IFERROR(VLOOKUP(Tablo518[[#This Row],[ÜRÜN KODU]],YMKODLARI!$A$1:$K$363,9,0)," ")</f>
        <v>1045</v>
      </c>
      <c r="K109" s="100" t="str">
        <f>IFERROR(VLOOKUP(Tablo518[[#This Row],[BOYA KODU]],Tablo14[#All],4,0)," ")</f>
        <v>T.SARI</v>
      </c>
      <c r="L109" s="100">
        <f>IFERROR(VLOOKUP(Tablo518[[#This Row],[BOYA KODU]],Tablo14[#All],6,0)," ")</f>
        <v>2E-3</v>
      </c>
      <c r="M109" s="100">
        <f t="shared" si="7"/>
        <v>26.521600000000003</v>
      </c>
      <c r="N109" s="100" t="str">
        <f>IFERROR(VLOOKUP(Tablo518[[#This Row],[ÜRÜN KODU]],YMKODLARI!$A$1:$K$363,8,0)," ")</f>
        <v>HM 002</v>
      </c>
      <c r="O109" s="100" t="str">
        <f>IFERROR(VLOOKUP(Tablo518[[#This Row],[HAMMADDE KODU]],Tablo1[#All],3,0)," ")</f>
        <v>NOVAREX</v>
      </c>
      <c r="P109" s="100" t="str">
        <f>IFERROR(VLOOKUP(Tablo518[[#This Row],[HAMMADDE KODU]],Tablo1[#All],4,0)," ")</f>
        <v>PİNHAS</v>
      </c>
      <c r="Q109" s="100">
        <f>IFERROR(VLOOKUP(Tablo518[[#This Row],[ÜRÜN KODU]],YMKODLARI!$A$1:$K$363,5,0)," ")</f>
        <v>29.6</v>
      </c>
      <c r="R109" s="100">
        <f>IFERROR(VLOOKUP(Tablo518[[#This Row],[ÜRÜN KODU]],YMKODLARI!$A$1:$K$363,6,0)," ")</f>
        <v>28.6</v>
      </c>
      <c r="S109" s="100">
        <f>IFERROR(Tablo518[[#This Row],[YOLLUK HARİÇ BASKI GRAMI]]/Tablo518[[#This Row],[KALIP GÖZ ADEDİ]]," ")</f>
        <v>3.5750000000000002</v>
      </c>
      <c r="T109" s="100">
        <f t="shared" si="9"/>
        <v>1</v>
      </c>
      <c r="U109" s="100">
        <v>6.4</v>
      </c>
      <c r="V109" s="100">
        <f t="shared" si="8"/>
        <v>19.212800000000001</v>
      </c>
      <c r="W109" s="101">
        <f t="shared" si="10"/>
        <v>24.125</v>
      </c>
      <c r="X109" s="102">
        <f t="shared" si="11"/>
        <v>3</v>
      </c>
      <c r="Y109" s="100">
        <f t="shared" si="12"/>
        <v>2.6133333333333333</v>
      </c>
      <c r="Z109" s="100">
        <f t="shared" si="13"/>
        <v>3584</v>
      </c>
    </row>
    <row r="110" spans="1:26">
      <c r="A110" s="108" t="s">
        <v>126</v>
      </c>
      <c r="B110" s="108" t="str">
        <f>IFERROR(VLOOKUP(Tablo518[[#This Row],[ÜRÜN KODU]],YMKODLARI!$A$1:$K$363,2,0)," ")</f>
        <v>DAMAK EMZİK GÖVDE</v>
      </c>
      <c r="C110" s="99">
        <v>43948</v>
      </c>
      <c r="D110" s="100" t="s">
        <v>36</v>
      </c>
      <c r="E110" s="101">
        <v>0.52777777777777779</v>
      </c>
      <c r="F110" s="101">
        <v>0.75</v>
      </c>
      <c r="G110" s="100">
        <f>IFERROR(VLOOKUP(Tablo518[[#This Row],[ÜRÜN KODU]],YMKODLARI!$A$1:$K$363,3,0)," ")</f>
        <v>8</v>
      </c>
      <c r="H110" s="100">
        <f>IFERROR(VLOOKUP(Tablo518[[#This Row],[ÜRÜN KODU]],YMKODLARI!$A$1:$K$363,4,0)," ")</f>
        <v>21</v>
      </c>
      <c r="I110" s="100">
        <v>732</v>
      </c>
      <c r="J110" s="100">
        <f>IFERROR(VLOOKUP(Tablo518[[#This Row],[ÜRÜN KODU]],YMKODLARI!$A$1:$K$363,9,0)," ")</f>
        <v>3014</v>
      </c>
      <c r="K110" s="100" t="str">
        <f>IFERROR(VLOOKUP(Tablo518[[#This Row],[BOYA KODU]],Tablo14[#All],4,0)," ")</f>
        <v>T.KIRMIZI</v>
      </c>
      <c r="L110" s="100">
        <f>IFERROR(VLOOKUP(Tablo518[[#This Row],[BOYA KODU]],Tablo14[#All],6,0)," ")</f>
        <v>2E-3</v>
      </c>
      <c r="M110" s="100">
        <f t="shared" si="7"/>
        <v>43.334400000000002</v>
      </c>
      <c r="N110" s="100" t="str">
        <f>IFERROR(VLOOKUP(Tablo518[[#This Row],[ÜRÜN KODU]],YMKODLARI!$A$1:$K$363,8,0)," ")</f>
        <v>HM 002</v>
      </c>
      <c r="O110" s="100" t="str">
        <f>IFERROR(VLOOKUP(Tablo518[[#This Row],[HAMMADDE KODU]],Tablo1[#All],3,0)," ")</f>
        <v>NOVAREX</v>
      </c>
      <c r="P110" s="100" t="str">
        <f>IFERROR(VLOOKUP(Tablo518[[#This Row],[HAMMADDE KODU]],Tablo1[#All],4,0)," ")</f>
        <v>PİNHAS</v>
      </c>
      <c r="Q110" s="100">
        <f>IFERROR(VLOOKUP(Tablo518[[#This Row],[ÜRÜN KODU]],YMKODLARI!$A$1:$K$363,5,0)," ")</f>
        <v>29.6</v>
      </c>
      <c r="R110" s="100">
        <f>IFERROR(VLOOKUP(Tablo518[[#This Row],[ÜRÜN KODU]],YMKODLARI!$A$1:$K$363,6,0)," ")</f>
        <v>28.6</v>
      </c>
      <c r="S110" s="100">
        <f>IFERROR(Tablo518[[#This Row],[YOLLUK HARİÇ BASKI GRAMI]]/Tablo518[[#This Row],[KALIP GÖZ ADEDİ]]," ")</f>
        <v>3.5750000000000002</v>
      </c>
      <c r="T110" s="100">
        <f t="shared" si="9"/>
        <v>1</v>
      </c>
      <c r="U110" s="100">
        <v>2.4</v>
      </c>
      <c r="V110" s="100">
        <f t="shared" si="8"/>
        <v>23.3352</v>
      </c>
      <c r="W110" s="101">
        <f t="shared" si="10"/>
        <v>24.222222222222221</v>
      </c>
      <c r="X110" s="102">
        <f t="shared" si="11"/>
        <v>5.3333333333333144</v>
      </c>
      <c r="Y110" s="100">
        <f t="shared" si="12"/>
        <v>4.2699999999999996</v>
      </c>
      <c r="Z110" s="100">
        <f t="shared" si="13"/>
        <v>5856</v>
      </c>
    </row>
    <row r="111" spans="1:26">
      <c r="A111" s="108" t="s">
        <v>126</v>
      </c>
      <c r="B111" s="108" t="str">
        <f>IFERROR(VLOOKUP(Tablo518[[#This Row],[ÜRÜN KODU]],YMKODLARI!$A$1:$K$363,2,0)," ")</f>
        <v>DAMAK EMZİK GÖVDE</v>
      </c>
      <c r="C111" s="99">
        <v>43949</v>
      </c>
      <c r="D111" s="100" t="s">
        <v>36</v>
      </c>
      <c r="E111" s="101">
        <v>0.33333333333333331</v>
      </c>
      <c r="F111" s="101">
        <v>0.71527777777777779</v>
      </c>
      <c r="G111" s="100">
        <f>IFERROR(VLOOKUP(Tablo518[[#This Row],[ÜRÜN KODU]],YMKODLARI!$A$1:$K$363,3,0)," ")</f>
        <v>8</v>
      </c>
      <c r="H111" s="100">
        <f>IFERROR(VLOOKUP(Tablo518[[#This Row],[ÜRÜN KODU]],YMKODLARI!$A$1:$K$363,4,0)," ")</f>
        <v>21</v>
      </c>
      <c r="I111" s="100">
        <v>1343</v>
      </c>
      <c r="J111" s="100">
        <f>IFERROR(VLOOKUP(Tablo518[[#This Row],[ÜRÜN KODU]],YMKODLARI!$A$1:$K$363,9,0)," ")</f>
        <v>3014</v>
      </c>
      <c r="K111" s="100" t="str">
        <f>IFERROR(VLOOKUP(Tablo518[[#This Row],[BOYA KODU]],Tablo14[#All],4,0)," ")</f>
        <v>T.KIRMIZI</v>
      </c>
      <c r="L111" s="100">
        <f>IFERROR(VLOOKUP(Tablo518[[#This Row],[BOYA KODU]],Tablo14[#All],6,0)," ")</f>
        <v>2E-3</v>
      </c>
      <c r="M111" s="100">
        <f t="shared" si="7"/>
        <v>79.505600000000001</v>
      </c>
      <c r="N111" s="100" t="str">
        <f>IFERROR(VLOOKUP(Tablo518[[#This Row],[ÜRÜN KODU]],YMKODLARI!$A$1:$K$363,8,0)," ")</f>
        <v>HM 002</v>
      </c>
      <c r="O111" s="100" t="str">
        <f>IFERROR(VLOOKUP(Tablo518[[#This Row],[HAMMADDE KODU]],Tablo1[#All],3,0)," ")</f>
        <v>NOVAREX</v>
      </c>
      <c r="P111" s="100" t="str">
        <f>IFERROR(VLOOKUP(Tablo518[[#This Row],[HAMMADDE KODU]],Tablo1[#All],4,0)," ")</f>
        <v>PİNHAS</v>
      </c>
      <c r="Q111" s="100">
        <f>IFERROR(VLOOKUP(Tablo518[[#This Row],[ÜRÜN KODU]],YMKODLARI!$A$1:$K$363,5,0)," ")</f>
        <v>29.6</v>
      </c>
      <c r="R111" s="100">
        <f>IFERROR(VLOOKUP(Tablo518[[#This Row],[ÜRÜN KODU]],YMKODLARI!$A$1:$K$363,6,0)," ")</f>
        <v>28.6</v>
      </c>
      <c r="S111" s="100">
        <f>IFERROR(Tablo518[[#This Row],[YOLLUK HARİÇ BASKI GRAMI]]/Tablo518[[#This Row],[KALIP GÖZ ADEDİ]]," ")</f>
        <v>3.5750000000000002</v>
      </c>
      <c r="T111" s="100">
        <f t="shared" si="9"/>
        <v>1</v>
      </c>
      <c r="U111" s="100">
        <v>3.7</v>
      </c>
      <c r="V111" s="100">
        <f t="shared" si="8"/>
        <v>42.109800000000007</v>
      </c>
      <c r="W111" s="101">
        <f t="shared" si="10"/>
        <v>24.381944444444443</v>
      </c>
      <c r="X111" s="102">
        <f t="shared" si="11"/>
        <v>9.1666666666666288</v>
      </c>
      <c r="Y111" s="100">
        <f t="shared" si="12"/>
        <v>7.8341666666666665</v>
      </c>
      <c r="Z111" s="100">
        <f t="shared" si="13"/>
        <v>10744</v>
      </c>
    </row>
    <row r="112" spans="1:26">
      <c r="A112" s="108" t="s">
        <v>127</v>
      </c>
      <c r="B112" s="108" t="str">
        <f>IFERROR(VLOOKUP(Tablo518[[#This Row],[ÜRÜN KODU]],YMKODLARI!$A$1:$K$363,2,0)," ")</f>
        <v>DAMAK EMZİK GÖVDE</v>
      </c>
      <c r="C112" s="99">
        <v>43950</v>
      </c>
      <c r="D112" s="100" t="s">
        <v>33</v>
      </c>
      <c r="E112" s="101">
        <v>0.33333333333333331</v>
      </c>
      <c r="F112" s="101">
        <v>0.75</v>
      </c>
      <c r="G112" s="100">
        <f>IFERROR(VLOOKUP(Tablo518[[#This Row],[ÜRÜN KODU]],YMKODLARI!$A$1:$K$363,3,0)," ")</f>
        <v>8</v>
      </c>
      <c r="H112" s="100">
        <f>IFERROR(VLOOKUP(Tablo518[[#This Row],[ÜRÜN KODU]],YMKODLARI!$A$1:$K$363,4,0)," ")</f>
        <v>21</v>
      </c>
      <c r="I112" s="100">
        <v>1580</v>
      </c>
      <c r="J112" s="100" t="str">
        <f>IFERROR(VLOOKUP(Tablo518[[#This Row],[ÜRÜN KODU]],YMKODLARI!$A$1:$K$363,9,0)," ")</f>
        <v>708VI0502G</v>
      </c>
      <c r="K112" s="100" t="str">
        <f>IFERROR(VLOOKUP(Tablo518[[#This Row],[BOYA KODU]],Tablo14[#All],4,0)," ")</f>
        <v>T.VİOLET</v>
      </c>
      <c r="L112" s="100">
        <f>IFERROR(VLOOKUP(Tablo518[[#This Row],[BOYA KODU]],Tablo14[#All],6,0)," ")</f>
        <v>2E-3</v>
      </c>
      <c r="M112" s="100">
        <f t="shared" si="7"/>
        <v>94.484000000000009</v>
      </c>
      <c r="N112" s="100" t="str">
        <f>IFERROR(VLOOKUP(Tablo518[[#This Row],[ÜRÜN KODU]],YMKODLARI!$A$1:$K$363,8,0)," ")</f>
        <v>HM 002</v>
      </c>
      <c r="O112" s="100" t="str">
        <f>IFERROR(VLOOKUP(Tablo518[[#This Row],[HAMMADDE KODU]],Tablo1[#All],3,0)," ")</f>
        <v>NOVAREX</v>
      </c>
      <c r="P112" s="100" t="str">
        <f>IFERROR(VLOOKUP(Tablo518[[#This Row],[HAMMADDE KODU]],Tablo1[#All],4,0)," ")</f>
        <v>PİNHAS</v>
      </c>
      <c r="Q112" s="100">
        <f>IFERROR(VLOOKUP(Tablo518[[#This Row],[ÜRÜN KODU]],YMKODLARI!$A$1:$K$363,5,0)," ")</f>
        <v>29.9</v>
      </c>
      <c r="R112" s="100">
        <f>IFERROR(VLOOKUP(Tablo518[[#This Row],[ÜRÜN KODU]],YMKODLARI!$A$1:$K$363,6,0)," ")</f>
        <v>29.1</v>
      </c>
      <c r="S112" s="100">
        <f>IFERROR(Tablo518[[#This Row],[YOLLUK HARİÇ BASKI GRAMI]]/Tablo518[[#This Row],[KALIP GÖZ ADEDİ]]," ")</f>
        <v>3.6375000000000002</v>
      </c>
      <c r="T112" s="100">
        <f t="shared" si="9"/>
        <v>0.79999999999999716</v>
      </c>
      <c r="U112" s="100"/>
      <c r="V112" s="100">
        <f t="shared" si="8"/>
        <v>45.978000000000002</v>
      </c>
      <c r="W112" s="101">
        <f t="shared" si="10"/>
        <v>24.416666666666668</v>
      </c>
      <c r="X112" s="102">
        <f t="shared" si="11"/>
        <v>10.000000000000028</v>
      </c>
      <c r="Y112" s="100">
        <f t="shared" si="12"/>
        <v>9.2166666666666668</v>
      </c>
      <c r="Z112" s="100">
        <f t="shared" si="13"/>
        <v>12640</v>
      </c>
    </row>
    <row r="113" spans="1:26">
      <c r="A113" s="108" t="s">
        <v>127</v>
      </c>
      <c r="B113" s="108" t="str">
        <f>IFERROR(VLOOKUP(Tablo518[[#This Row],[ÜRÜN KODU]],YMKODLARI!$A$1:$K$363,2,0)," ")</f>
        <v>DAMAK EMZİK GÖVDE</v>
      </c>
      <c r="C113" s="99">
        <v>43951</v>
      </c>
      <c r="D113" s="100" t="s">
        <v>33</v>
      </c>
      <c r="E113" s="101">
        <v>0.33333333333333331</v>
      </c>
      <c r="F113" s="101">
        <v>0.72916666666666663</v>
      </c>
      <c r="G113" s="100">
        <f>IFERROR(VLOOKUP(Tablo518[[#This Row],[ÜRÜN KODU]],YMKODLARI!$A$1:$K$363,3,0)," ")</f>
        <v>8</v>
      </c>
      <c r="H113" s="100">
        <f>IFERROR(VLOOKUP(Tablo518[[#This Row],[ÜRÜN KODU]],YMKODLARI!$A$1:$K$363,4,0)," ")</f>
        <v>21</v>
      </c>
      <c r="I113" s="100">
        <v>1545</v>
      </c>
      <c r="J113" s="100" t="str">
        <f>IFERROR(VLOOKUP(Tablo518[[#This Row],[ÜRÜN KODU]],YMKODLARI!$A$1:$K$363,9,0)," ")</f>
        <v>708VI0502G</v>
      </c>
      <c r="K113" s="100" t="str">
        <f>IFERROR(VLOOKUP(Tablo518[[#This Row],[BOYA KODU]],Tablo14[#All],4,0)," ")</f>
        <v>T.VİOLET</v>
      </c>
      <c r="L113" s="100">
        <f>IFERROR(VLOOKUP(Tablo518[[#This Row],[BOYA KODU]],Tablo14[#All],6,0)," ")</f>
        <v>2E-3</v>
      </c>
      <c r="M113" s="100">
        <f t="shared" si="7"/>
        <v>92.391000000000005</v>
      </c>
      <c r="N113" s="100" t="str">
        <f>IFERROR(VLOOKUP(Tablo518[[#This Row],[ÜRÜN KODU]],YMKODLARI!$A$1:$K$363,8,0)," ")</f>
        <v>HM 002</v>
      </c>
      <c r="O113" s="100" t="str">
        <f>IFERROR(VLOOKUP(Tablo518[[#This Row],[HAMMADDE KODU]],Tablo1[#All],3,0)," ")</f>
        <v>NOVAREX</v>
      </c>
      <c r="P113" s="100" t="str">
        <f>IFERROR(VLOOKUP(Tablo518[[#This Row],[HAMMADDE KODU]],Tablo1[#All],4,0)," ")</f>
        <v>PİNHAS</v>
      </c>
      <c r="Q113" s="100">
        <f>IFERROR(VLOOKUP(Tablo518[[#This Row],[ÜRÜN KODU]],YMKODLARI!$A$1:$K$363,5,0)," ")</f>
        <v>29.9</v>
      </c>
      <c r="R113" s="100">
        <f>IFERROR(VLOOKUP(Tablo518[[#This Row],[ÜRÜN KODU]],YMKODLARI!$A$1:$K$363,6,0)," ")</f>
        <v>29.1</v>
      </c>
      <c r="S113" s="100">
        <f>IFERROR(Tablo518[[#This Row],[YOLLUK HARİÇ BASKI GRAMI]]/Tablo518[[#This Row],[KALIP GÖZ ADEDİ]]," ")</f>
        <v>3.6375000000000002</v>
      </c>
      <c r="T113" s="100">
        <f t="shared" si="9"/>
        <v>0.79999999999999716</v>
      </c>
      <c r="U113" s="100">
        <v>5.4</v>
      </c>
      <c r="V113" s="100">
        <f t="shared" si="8"/>
        <v>50.359499999999997</v>
      </c>
      <c r="W113" s="101">
        <f t="shared" si="10"/>
        <v>24.395833333333332</v>
      </c>
      <c r="X113" s="102">
        <f t="shared" si="11"/>
        <v>9.4999999999999716</v>
      </c>
      <c r="Y113" s="100">
        <f t="shared" si="12"/>
        <v>9.0124999999999993</v>
      </c>
      <c r="Z113" s="100">
        <f t="shared" si="13"/>
        <v>12360</v>
      </c>
    </row>
    <row r="114" spans="1:26">
      <c r="A114" s="108" t="s">
        <v>127</v>
      </c>
      <c r="B114" s="108" t="str">
        <f>IFERROR(VLOOKUP(Tablo518[[#This Row],[ÜRÜN KODU]],YMKODLARI!$A$1:$K$363,2,0)," ")</f>
        <v>DAMAK EMZİK GÖVDE</v>
      </c>
      <c r="C114" s="99">
        <v>43955</v>
      </c>
      <c r="D114" s="100" t="s">
        <v>27</v>
      </c>
      <c r="E114" s="101">
        <v>0.41666666666666669</v>
      </c>
      <c r="F114" s="101">
        <v>0.75</v>
      </c>
      <c r="G114" s="100">
        <f>IFERROR(VLOOKUP(Tablo518[[#This Row],[ÜRÜN KODU]],YMKODLARI!$A$1:$K$363,3,0)," ")</f>
        <v>8</v>
      </c>
      <c r="H114" s="100">
        <f>IFERROR(VLOOKUP(Tablo518[[#This Row],[ÜRÜN KODU]],YMKODLARI!$A$1:$K$363,4,0)," ")</f>
        <v>21</v>
      </c>
      <c r="I114" s="100">
        <v>1183</v>
      </c>
      <c r="J114" s="100" t="str">
        <f>IFERROR(VLOOKUP(Tablo518[[#This Row],[ÜRÜN KODU]],YMKODLARI!$A$1:$K$363,9,0)," ")</f>
        <v>708VI0502G</v>
      </c>
      <c r="K114" s="100" t="str">
        <f>IFERROR(VLOOKUP(Tablo518[[#This Row],[BOYA KODU]],Tablo14[#All],4,0)," ")</f>
        <v>T.VİOLET</v>
      </c>
      <c r="L114" s="100">
        <f>IFERROR(VLOOKUP(Tablo518[[#This Row],[BOYA KODU]],Tablo14[#All],6,0)," ")</f>
        <v>2E-3</v>
      </c>
      <c r="M114" s="100">
        <f t="shared" si="7"/>
        <v>70.743399999999994</v>
      </c>
      <c r="N114" s="100" t="str">
        <f>IFERROR(VLOOKUP(Tablo518[[#This Row],[ÜRÜN KODU]],YMKODLARI!$A$1:$K$363,8,0)," ")</f>
        <v>HM 002</v>
      </c>
      <c r="O114" s="100" t="str">
        <f>IFERROR(VLOOKUP(Tablo518[[#This Row],[HAMMADDE KODU]],Tablo1[#All],3,0)," ")</f>
        <v>NOVAREX</v>
      </c>
      <c r="P114" s="100" t="str">
        <f>IFERROR(VLOOKUP(Tablo518[[#This Row],[HAMMADDE KODU]],Tablo1[#All],4,0)," ")</f>
        <v>PİNHAS</v>
      </c>
      <c r="Q114" s="100">
        <f>IFERROR(VLOOKUP(Tablo518[[#This Row],[ÜRÜN KODU]],YMKODLARI!$A$1:$K$363,5,0)," ")</f>
        <v>29.9</v>
      </c>
      <c r="R114" s="100">
        <f>IFERROR(VLOOKUP(Tablo518[[#This Row],[ÜRÜN KODU]],YMKODLARI!$A$1:$K$363,6,0)," ")</f>
        <v>29.1</v>
      </c>
      <c r="S114" s="100">
        <f>IFERROR(Tablo518[[#This Row],[YOLLUK HARİÇ BASKI GRAMI]]/Tablo518[[#This Row],[KALIP GÖZ ADEDİ]]," ")</f>
        <v>3.6375000000000002</v>
      </c>
      <c r="T114" s="100">
        <f t="shared" si="9"/>
        <v>0.79999999999999716</v>
      </c>
      <c r="U114" s="100">
        <v>1.5</v>
      </c>
      <c r="V114" s="100">
        <f t="shared" si="8"/>
        <v>35.9253</v>
      </c>
      <c r="W114" s="101">
        <f t="shared" si="10"/>
        <v>24.333333333333332</v>
      </c>
      <c r="X114" s="102">
        <f t="shared" si="11"/>
        <v>7.9999999999999716</v>
      </c>
      <c r="Y114" s="100">
        <f t="shared" si="12"/>
        <v>6.9008333333333329</v>
      </c>
      <c r="Z114" s="100">
        <f t="shared" si="13"/>
        <v>9464</v>
      </c>
    </row>
    <row r="115" spans="1:26">
      <c r="A115" s="108" t="s">
        <v>166</v>
      </c>
      <c r="B115" s="108" t="str">
        <f>IFERROR(VLOOKUP(Tablo518[[#This Row],[ÜRÜN KODU]],YMKODLARI!$A$1:$K$363,2,0)," ")</f>
        <v>DAMAK EMZİK GÖVDE</v>
      </c>
      <c r="C115" s="99">
        <v>43956</v>
      </c>
      <c r="D115" s="100" t="s">
        <v>27</v>
      </c>
      <c r="E115" s="101">
        <v>0.33333333333333331</v>
      </c>
      <c r="F115" s="101">
        <v>0.50694444444444442</v>
      </c>
      <c r="G115" s="100">
        <f>IFERROR(VLOOKUP(Tablo518[[#This Row],[ÜRÜN KODU]],YMKODLARI!$A$1:$K$363,3,0)," ")</f>
        <v>8</v>
      </c>
      <c r="H115" s="100">
        <f>IFERROR(VLOOKUP(Tablo518[[#This Row],[ÜRÜN KODU]],YMKODLARI!$A$1:$K$363,4,0)," ")</f>
        <v>21</v>
      </c>
      <c r="I115" s="100">
        <v>290</v>
      </c>
      <c r="J115" s="100" t="str">
        <f>IFERROR(VLOOKUP(Tablo518[[#This Row],[ÜRÜN KODU]],YMKODLARI!$A$1:$K$363,9,0)," ")</f>
        <v>5249A</v>
      </c>
      <c r="K115" s="100" t="str">
        <f>IFERROR(VLOOKUP(Tablo518[[#This Row],[BOYA KODU]],Tablo14[#All],4,0)," ")</f>
        <v>MAVİ</v>
      </c>
      <c r="L115" s="100">
        <f>IFERROR(VLOOKUP(Tablo518[[#This Row],[BOYA KODU]],Tablo14[#All],6,0)," ")</f>
        <v>5.0000000000000001E-3</v>
      </c>
      <c r="M115" s="100">
        <f t="shared" si="7"/>
        <v>42.92</v>
      </c>
      <c r="N115" s="100" t="str">
        <f>IFERROR(VLOOKUP(Tablo518[[#This Row],[ÜRÜN KODU]],YMKODLARI!$A$1:$K$363,8,0)," ")</f>
        <v>HM 002</v>
      </c>
      <c r="O115" s="100" t="str">
        <f>IFERROR(VLOOKUP(Tablo518[[#This Row],[HAMMADDE KODU]],Tablo1[#All],3,0)," ")</f>
        <v>NOVAREX</v>
      </c>
      <c r="P115" s="100" t="str">
        <f>IFERROR(VLOOKUP(Tablo518[[#This Row],[HAMMADDE KODU]],Tablo1[#All],4,0)," ")</f>
        <v>PİNHAS</v>
      </c>
      <c r="Q115" s="100">
        <f>IFERROR(VLOOKUP(Tablo518[[#This Row],[ÜRÜN KODU]],YMKODLARI!$A$1:$K$363,5,0)," ")</f>
        <v>29.6</v>
      </c>
      <c r="R115" s="100">
        <f>IFERROR(VLOOKUP(Tablo518[[#This Row],[ÜRÜN KODU]],YMKODLARI!$A$1:$K$363,6,0)," ")</f>
        <v>28.6</v>
      </c>
      <c r="S115" s="100">
        <f>IFERROR(Tablo518[[#This Row],[YOLLUK HARİÇ BASKI GRAMI]]/Tablo518[[#This Row],[KALIP GÖZ ADEDİ]]," ")</f>
        <v>3.5750000000000002</v>
      </c>
      <c r="T115" s="100">
        <f t="shared" si="9"/>
        <v>1</v>
      </c>
      <c r="U115" s="100">
        <v>2.5</v>
      </c>
      <c r="V115" s="100">
        <f t="shared" si="8"/>
        <v>10.794</v>
      </c>
      <c r="W115" s="101">
        <f t="shared" si="10"/>
        <v>24.173611111111111</v>
      </c>
      <c r="X115" s="102">
        <f t="shared" si="11"/>
        <v>4.1666666666666572</v>
      </c>
      <c r="Y115" s="100">
        <f t="shared" si="12"/>
        <v>1.6916666666666667</v>
      </c>
      <c r="Z115" s="100">
        <f t="shared" si="13"/>
        <v>2320</v>
      </c>
    </row>
    <row r="116" spans="1:26">
      <c r="A116" s="108" t="s">
        <v>124</v>
      </c>
      <c r="B116" s="108" t="str">
        <f>IFERROR(VLOOKUP(Tablo518[[#This Row],[ÜRÜN KODU]],YMKODLARI!$A$1:$K$363,2,0)," ")</f>
        <v>DAMAK EMZİK GÖVDE</v>
      </c>
      <c r="C116" s="99">
        <v>43956</v>
      </c>
      <c r="D116" s="100" t="s">
        <v>27</v>
      </c>
      <c r="E116" s="101">
        <v>0.51736111111111105</v>
      </c>
      <c r="F116" s="101">
        <v>0.6875</v>
      </c>
      <c r="G116" s="100">
        <f>IFERROR(VLOOKUP(Tablo518[[#This Row],[ÜRÜN KODU]],YMKODLARI!$A$1:$K$363,3,0)," ")</f>
        <v>8</v>
      </c>
      <c r="H116" s="100">
        <f>IFERROR(VLOOKUP(Tablo518[[#This Row],[ÜRÜN KODU]],YMKODLARI!$A$1:$K$363,4,0)," ")</f>
        <v>21</v>
      </c>
      <c r="I116" s="100">
        <v>565</v>
      </c>
      <c r="J116" s="100" t="str">
        <f>IFERROR(VLOOKUP(Tablo518[[#This Row],[ÜRÜN KODU]],YMKODLARI!$A$1:$K$363,9,0)," ")</f>
        <v>5139C</v>
      </c>
      <c r="K116" s="100" t="str">
        <f>IFERROR(VLOOKUP(Tablo518[[#This Row],[BOYA KODU]],Tablo14[#All],4,0)," ")</f>
        <v>T.MAVİ</v>
      </c>
      <c r="L116" s="100">
        <f>IFERROR(VLOOKUP(Tablo518[[#This Row],[BOYA KODU]],Tablo14[#All],6,0)," ")</f>
        <v>1E-3</v>
      </c>
      <c r="M116" s="100">
        <f t="shared" si="7"/>
        <v>16.724</v>
      </c>
      <c r="N116" s="100" t="str">
        <f>IFERROR(VLOOKUP(Tablo518[[#This Row],[ÜRÜN KODU]],YMKODLARI!$A$1:$K$363,8,0)," ")</f>
        <v>HM 002</v>
      </c>
      <c r="O116" s="100" t="str">
        <f>IFERROR(VLOOKUP(Tablo518[[#This Row],[HAMMADDE KODU]],Tablo1[#All],3,0)," ")</f>
        <v>NOVAREX</v>
      </c>
      <c r="P116" s="100" t="str">
        <f>IFERROR(VLOOKUP(Tablo518[[#This Row],[HAMMADDE KODU]],Tablo1[#All],4,0)," ")</f>
        <v>PİNHAS</v>
      </c>
      <c r="Q116" s="100">
        <f>IFERROR(VLOOKUP(Tablo518[[#This Row],[ÜRÜN KODU]],YMKODLARI!$A$1:$K$363,5,0)," ")</f>
        <v>29.6</v>
      </c>
      <c r="R116" s="100">
        <f>IFERROR(VLOOKUP(Tablo518[[#This Row],[ÜRÜN KODU]],YMKODLARI!$A$1:$K$363,6,0)," ")</f>
        <v>28.6</v>
      </c>
      <c r="S116" s="100">
        <f>IFERROR(Tablo518[[#This Row],[YOLLUK HARİÇ BASKI GRAMI]]/Tablo518[[#This Row],[KALIP GÖZ ADEDİ]]," ")</f>
        <v>3.5750000000000002</v>
      </c>
      <c r="T116" s="100">
        <f t="shared" si="9"/>
        <v>1</v>
      </c>
      <c r="U116" s="100">
        <v>2.5</v>
      </c>
      <c r="V116" s="100">
        <f t="shared" si="8"/>
        <v>18.658999999999999</v>
      </c>
      <c r="W116" s="101">
        <f t="shared" si="10"/>
        <v>24.170138888888889</v>
      </c>
      <c r="X116" s="102">
        <f t="shared" si="11"/>
        <v>4.0833333333333428</v>
      </c>
      <c r="Y116" s="100">
        <f t="shared" si="12"/>
        <v>3.2958333333333334</v>
      </c>
      <c r="Z116" s="100">
        <f t="shared" si="13"/>
        <v>4520</v>
      </c>
    </row>
    <row r="117" spans="1:26">
      <c r="A117" s="108" t="s">
        <v>167</v>
      </c>
      <c r="B117" s="108" t="str">
        <f>IFERROR(VLOOKUP(Tablo518[[#This Row],[ÜRÜN KODU]],YMKODLARI!$A$1:$K$363,2,0)," ")</f>
        <v>DAMAK EMZİK GÖVDE</v>
      </c>
      <c r="C117" s="99">
        <v>43956</v>
      </c>
      <c r="D117" s="100" t="s">
        <v>27</v>
      </c>
      <c r="E117" s="101">
        <v>0.69791666666666663</v>
      </c>
      <c r="F117" s="101">
        <v>0.75</v>
      </c>
      <c r="G117" s="100">
        <f>IFERROR(VLOOKUP(Tablo518[[#This Row],[ÜRÜN KODU]],YMKODLARI!$A$1:$K$363,3,0)," ")</f>
        <v>8</v>
      </c>
      <c r="H117" s="100">
        <f>IFERROR(VLOOKUP(Tablo518[[#This Row],[ÜRÜN KODU]],YMKODLARI!$A$1:$K$363,4,0)," ")</f>
        <v>21</v>
      </c>
      <c r="I117" s="100">
        <v>195</v>
      </c>
      <c r="J117" s="100" t="str">
        <f>IFERROR(VLOOKUP(Tablo518[[#This Row],[ÜRÜN KODU]],YMKODLARI!$A$1:$K$363,9,0)," ")</f>
        <v>3407A</v>
      </c>
      <c r="K117" s="100" t="str">
        <f>IFERROR(VLOOKUP(Tablo518[[#This Row],[BOYA KODU]],Tablo14[#All],4,0)," ")</f>
        <v>KIRMIZI</v>
      </c>
      <c r="L117" s="100">
        <f>IFERROR(VLOOKUP(Tablo518[[#This Row],[BOYA KODU]],Tablo14[#All],6,0)," ")</f>
        <v>5.0000000000000001E-3</v>
      </c>
      <c r="M117" s="100">
        <f t="shared" si="7"/>
        <v>28.86</v>
      </c>
      <c r="N117" s="100" t="str">
        <f>IFERROR(VLOOKUP(Tablo518[[#This Row],[ÜRÜN KODU]],YMKODLARI!$A$1:$K$363,8,0)," ")</f>
        <v>HM 002</v>
      </c>
      <c r="O117" s="100" t="str">
        <f>IFERROR(VLOOKUP(Tablo518[[#This Row],[HAMMADDE KODU]],Tablo1[#All],3,0)," ")</f>
        <v>NOVAREX</v>
      </c>
      <c r="P117" s="100" t="str">
        <f>IFERROR(VLOOKUP(Tablo518[[#This Row],[HAMMADDE KODU]],Tablo1[#All],4,0)," ")</f>
        <v>PİNHAS</v>
      </c>
      <c r="Q117" s="100">
        <f>IFERROR(VLOOKUP(Tablo518[[#This Row],[ÜRÜN KODU]],YMKODLARI!$A$1:$K$363,5,0)," ")</f>
        <v>29.6</v>
      </c>
      <c r="R117" s="100">
        <f>IFERROR(VLOOKUP(Tablo518[[#This Row],[ÜRÜN KODU]],YMKODLARI!$A$1:$K$363,6,0)," ")</f>
        <v>28.6</v>
      </c>
      <c r="S117" s="100">
        <f>IFERROR(Tablo518[[#This Row],[YOLLUK HARİÇ BASKI GRAMI]]/Tablo518[[#This Row],[KALIP GÖZ ADEDİ]]," ")</f>
        <v>3.5750000000000002</v>
      </c>
      <c r="T117" s="100">
        <f t="shared" si="9"/>
        <v>1</v>
      </c>
      <c r="U117" s="100">
        <v>3</v>
      </c>
      <c r="V117" s="100">
        <f t="shared" si="8"/>
        <v>8.577</v>
      </c>
      <c r="W117" s="101">
        <f t="shared" si="10"/>
        <v>24.052083333333332</v>
      </c>
      <c r="X117" s="102">
        <f t="shared" si="11"/>
        <v>1.2499999999999716</v>
      </c>
      <c r="Y117" s="100">
        <f t="shared" si="12"/>
        <v>1.1375</v>
      </c>
      <c r="Z117" s="100">
        <f t="shared" si="13"/>
        <v>1560</v>
      </c>
    </row>
    <row r="118" spans="1:26">
      <c r="A118" s="108" t="s">
        <v>168</v>
      </c>
      <c r="B118" s="108" t="str">
        <f>IFERROR(VLOOKUP(Tablo518[[#This Row],[ÜRÜN KODU]],YMKODLARI!$A$1:$K$363,2,0)," ")</f>
        <v>DAMAK EMZİK GÖVDE</v>
      </c>
      <c r="C118" s="99">
        <v>43957</v>
      </c>
      <c r="D118" s="100" t="s">
        <v>27</v>
      </c>
      <c r="E118" s="101">
        <v>0.33333333333333331</v>
      </c>
      <c r="F118" s="101">
        <v>0.47916666666666669</v>
      </c>
      <c r="G118" s="100">
        <f>IFERROR(VLOOKUP(Tablo518[[#This Row],[ÜRÜN KODU]],YMKODLARI!$A$1:$K$363,3,0)," ")</f>
        <v>8</v>
      </c>
      <c r="H118" s="100">
        <f>IFERROR(VLOOKUP(Tablo518[[#This Row],[ÜRÜN KODU]],YMKODLARI!$A$1:$K$363,4,0)," ")</f>
        <v>21</v>
      </c>
      <c r="I118" s="100">
        <v>600</v>
      </c>
      <c r="J118" s="100">
        <f>IFERROR(VLOOKUP(Tablo518[[#This Row],[ÜRÜN KODU]],YMKODLARI!$A$1:$K$363,9,0)," ")</f>
        <v>3332</v>
      </c>
      <c r="K118" s="100" t="str">
        <f>IFERROR(VLOOKUP(Tablo518[[#This Row],[BOYA KODU]],Tablo14[#All],4,0)," ")</f>
        <v>E.PEMBE</v>
      </c>
      <c r="L118" s="100">
        <f>IFERROR(VLOOKUP(Tablo518[[#This Row],[BOYA KODU]],Tablo14[#All],6,0)," ")</f>
        <v>5.0000000000000001E-3</v>
      </c>
      <c r="M118" s="100">
        <f t="shared" si="7"/>
        <v>88.8</v>
      </c>
      <c r="N118" s="100" t="str">
        <f>IFERROR(VLOOKUP(Tablo518[[#This Row],[ÜRÜN KODU]],YMKODLARI!$A$1:$K$363,8,0)," ")</f>
        <v>HM 003</v>
      </c>
      <c r="O118" s="100" t="str">
        <f>IFERROR(VLOOKUP(Tablo518[[#This Row],[HAMMADDE KODU]],Tablo1[#All],3,0)," ")</f>
        <v>LSR 45</v>
      </c>
      <c r="P118" s="100" t="str">
        <f>IFERROR(VLOOKUP(Tablo518[[#This Row],[HAMMADDE KODU]],Tablo1[#All],4,0)," ")</f>
        <v>SETA</v>
      </c>
      <c r="Q118" s="100">
        <f>IFERROR(VLOOKUP(Tablo518[[#This Row],[ÜRÜN KODU]],YMKODLARI!$A$1:$K$363,5,0)," ")</f>
        <v>29.6</v>
      </c>
      <c r="R118" s="100">
        <f>IFERROR(VLOOKUP(Tablo518[[#This Row],[ÜRÜN KODU]],YMKODLARI!$A$1:$K$363,6,0)," ")</f>
        <v>28.6</v>
      </c>
      <c r="S118" s="100">
        <f>IFERROR(Tablo518[[#This Row],[YOLLUK HARİÇ BASKI GRAMI]]/Tablo518[[#This Row],[KALIP GÖZ ADEDİ]]," ")</f>
        <v>3.5750000000000002</v>
      </c>
      <c r="T118" s="100">
        <f t="shared" si="9"/>
        <v>1</v>
      </c>
      <c r="U118" s="100"/>
      <c r="V118" s="100">
        <f t="shared" si="8"/>
        <v>17.16</v>
      </c>
      <c r="W118" s="101">
        <f t="shared" si="10"/>
        <v>24.145833333333332</v>
      </c>
      <c r="X118" s="102">
        <f t="shared" si="11"/>
        <v>3.4999999999999716</v>
      </c>
      <c r="Y118" s="100">
        <f t="shared" si="12"/>
        <v>3.5</v>
      </c>
      <c r="Z118" s="100">
        <f t="shared" si="13"/>
        <v>4800</v>
      </c>
    </row>
    <row r="119" spans="1:26">
      <c r="A119" s="108" t="s">
        <v>169</v>
      </c>
      <c r="B119" s="108" t="str">
        <f>IFERROR(VLOOKUP(Tablo518[[#This Row],[ÜRÜN KODU]],YMKODLARI!$A$1:$K$363,2,0)," ")</f>
        <v>DAMAK EMZİK GÖVDE</v>
      </c>
      <c r="C119" s="99">
        <v>43957</v>
      </c>
      <c r="D119" s="100" t="s">
        <v>27</v>
      </c>
      <c r="E119" s="101">
        <v>0.5</v>
      </c>
      <c r="F119" s="101">
        <v>0.75</v>
      </c>
      <c r="G119" s="100">
        <f>IFERROR(VLOOKUP(Tablo518[[#This Row],[ÜRÜN KODU]],YMKODLARI!$A$1:$K$363,3,0)," ")</f>
        <v>8</v>
      </c>
      <c r="H119" s="100">
        <f>IFERROR(VLOOKUP(Tablo518[[#This Row],[ÜRÜN KODU]],YMKODLARI!$A$1:$K$363,4,0)," ")</f>
        <v>21</v>
      </c>
      <c r="I119" s="100">
        <v>880</v>
      </c>
      <c r="J119" s="100">
        <f>IFERROR(VLOOKUP(Tablo518[[#This Row],[ÜRÜN KODU]],YMKODLARI!$A$1:$K$363,9,0)," ")</f>
        <v>3408</v>
      </c>
      <c r="K119" s="100" t="str">
        <f>IFERROR(VLOOKUP(Tablo518[[#This Row],[BOYA KODU]],Tablo14[#All],4,0)," ")</f>
        <v>PEMBE</v>
      </c>
      <c r="L119" s="100">
        <f>IFERROR(VLOOKUP(Tablo518[[#This Row],[BOYA KODU]],Tablo14[#All],6,0)," ")</f>
        <v>5.0000000000000001E-3</v>
      </c>
      <c r="M119" s="100">
        <f t="shared" si="7"/>
        <v>130.24</v>
      </c>
      <c r="N119" s="100" t="str">
        <f>IFERROR(VLOOKUP(Tablo518[[#This Row],[ÜRÜN KODU]],YMKODLARI!$A$1:$K$363,8,0)," ")</f>
        <v>HM 002</v>
      </c>
      <c r="O119" s="100" t="str">
        <f>IFERROR(VLOOKUP(Tablo518[[#This Row],[HAMMADDE KODU]],Tablo1[#All],3,0)," ")</f>
        <v>NOVAREX</v>
      </c>
      <c r="P119" s="100" t="str">
        <f>IFERROR(VLOOKUP(Tablo518[[#This Row],[HAMMADDE KODU]],Tablo1[#All],4,0)," ")</f>
        <v>PİNHAS</v>
      </c>
      <c r="Q119" s="100">
        <f>IFERROR(VLOOKUP(Tablo518[[#This Row],[ÜRÜN KODU]],YMKODLARI!$A$1:$K$363,5,0)," ")</f>
        <v>29.6</v>
      </c>
      <c r="R119" s="100">
        <f>IFERROR(VLOOKUP(Tablo518[[#This Row],[ÜRÜN KODU]],YMKODLARI!$A$1:$K$363,6,0)," ")</f>
        <v>28.6</v>
      </c>
      <c r="S119" s="100">
        <f>IFERROR(Tablo518[[#This Row],[YOLLUK HARİÇ BASKI GRAMI]]/Tablo518[[#This Row],[KALIP GÖZ ADEDİ]]," ")</f>
        <v>3.5750000000000002</v>
      </c>
      <c r="T119" s="100">
        <f t="shared" si="9"/>
        <v>1</v>
      </c>
      <c r="U119" s="100">
        <v>3.5</v>
      </c>
      <c r="V119" s="100">
        <f t="shared" si="8"/>
        <v>28.667999999999999</v>
      </c>
      <c r="W119" s="101">
        <f t="shared" si="10"/>
        <v>24.25</v>
      </c>
      <c r="X119" s="102">
        <f t="shared" si="11"/>
        <v>6</v>
      </c>
      <c r="Y119" s="100">
        <f t="shared" si="12"/>
        <v>5.1333333333333337</v>
      </c>
      <c r="Z119" s="100">
        <f t="shared" si="13"/>
        <v>7040</v>
      </c>
    </row>
    <row r="120" spans="1:26">
      <c r="A120" s="108" t="s">
        <v>169</v>
      </c>
      <c r="B120" s="108" t="str">
        <f>IFERROR(VLOOKUP(Tablo518[[#This Row],[ÜRÜN KODU]],YMKODLARI!$A$1:$K$363,2,0)," ")</f>
        <v>DAMAK EMZİK GÖVDE</v>
      </c>
      <c r="C120" s="99">
        <v>43958</v>
      </c>
      <c r="D120" s="100" t="s">
        <v>27</v>
      </c>
      <c r="E120" s="101">
        <v>0.33333333333333331</v>
      </c>
      <c r="F120" s="101">
        <v>0.47916666666666669</v>
      </c>
      <c r="G120" s="100">
        <f>IFERROR(VLOOKUP(Tablo518[[#This Row],[ÜRÜN KODU]],YMKODLARI!$A$1:$K$363,3,0)," ")</f>
        <v>8</v>
      </c>
      <c r="H120" s="100">
        <f>IFERROR(VLOOKUP(Tablo518[[#This Row],[ÜRÜN KODU]],YMKODLARI!$A$1:$K$363,4,0)," ")</f>
        <v>21</v>
      </c>
      <c r="I120" s="100">
        <v>582</v>
      </c>
      <c r="J120" s="100">
        <f>IFERROR(VLOOKUP(Tablo518[[#This Row],[ÜRÜN KODU]],YMKODLARI!$A$1:$K$363,9,0)," ")</f>
        <v>3408</v>
      </c>
      <c r="K120" s="100" t="str">
        <f>IFERROR(VLOOKUP(Tablo518[[#This Row],[BOYA KODU]],Tablo14[#All],4,0)," ")</f>
        <v>PEMBE</v>
      </c>
      <c r="L120" s="100">
        <f>IFERROR(VLOOKUP(Tablo518[[#This Row],[BOYA KODU]],Tablo14[#All],6,0)," ")</f>
        <v>5.0000000000000001E-3</v>
      </c>
      <c r="M120" s="100">
        <f t="shared" si="7"/>
        <v>86.13600000000001</v>
      </c>
      <c r="N120" s="100" t="str">
        <f>IFERROR(VLOOKUP(Tablo518[[#This Row],[ÜRÜN KODU]],YMKODLARI!$A$1:$K$363,8,0)," ")</f>
        <v>HM 002</v>
      </c>
      <c r="O120" s="100" t="str">
        <f>IFERROR(VLOOKUP(Tablo518[[#This Row],[HAMMADDE KODU]],Tablo1[#All],3,0)," ")</f>
        <v>NOVAREX</v>
      </c>
      <c r="P120" s="100" t="str">
        <f>IFERROR(VLOOKUP(Tablo518[[#This Row],[HAMMADDE KODU]],Tablo1[#All],4,0)," ")</f>
        <v>PİNHAS</v>
      </c>
      <c r="Q120" s="100">
        <f>IFERROR(VLOOKUP(Tablo518[[#This Row],[ÜRÜN KODU]],YMKODLARI!$A$1:$K$363,5,0)," ")</f>
        <v>29.6</v>
      </c>
      <c r="R120" s="100">
        <f>IFERROR(VLOOKUP(Tablo518[[#This Row],[ÜRÜN KODU]],YMKODLARI!$A$1:$K$363,6,0)," ")</f>
        <v>28.6</v>
      </c>
      <c r="S120" s="100">
        <f>IFERROR(Tablo518[[#This Row],[YOLLUK HARİÇ BASKI GRAMI]]/Tablo518[[#This Row],[KALIP GÖZ ADEDİ]]," ")</f>
        <v>3.5750000000000002</v>
      </c>
      <c r="T120" s="100">
        <f t="shared" si="9"/>
        <v>1</v>
      </c>
      <c r="U120" s="100">
        <v>5.52</v>
      </c>
      <c r="V120" s="100">
        <f t="shared" si="8"/>
        <v>22.165199999999999</v>
      </c>
      <c r="W120" s="101">
        <f t="shared" si="10"/>
        <v>24.145833333333332</v>
      </c>
      <c r="X120" s="102">
        <f t="shared" si="11"/>
        <v>3.4999999999999716</v>
      </c>
      <c r="Y120" s="100">
        <f t="shared" si="12"/>
        <v>3.395</v>
      </c>
      <c r="Z120" s="100">
        <f t="shared" si="13"/>
        <v>4656</v>
      </c>
    </row>
    <row r="121" spans="1:26">
      <c r="A121" s="108" t="s">
        <v>163</v>
      </c>
      <c r="B121" s="108" t="str">
        <f>IFERROR(VLOOKUP(Tablo518[[#This Row],[ÜRÜN KODU]],YMKODLARI!$A$1:$K$363,2,0)," ")</f>
        <v>DAMAK EMZİK GÖVDE</v>
      </c>
      <c r="C121" s="99">
        <v>43958</v>
      </c>
      <c r="D121" s="100" t="s">
        <v>27</v>
      </c>
      <c r="E121" s="101">
        <v>0.47916666666666669</v>
      </c>
      <c r="F121" s="101">
        <v>0.51527777777777783</v>
      </c>
      <c r="G121" s="100">
        <f>IFERROR(VLOOKUP(Tablo518[[#This Row],[ÜRÜN KODU]],YMKODLARI!$A$1:$K$363,3,0)," ")</f>
        <v>8</v>
      </c>
      <c r="H121" s="100">
        <f>IFERROR(VLOOKUP(Tablo518[[#This Row],[ÜRÜN KODU]],YMKODLARI!$A$1:$K$363,4,0)," ")</f>
        <v>21</v>
      </c>
      <c r="I121" s="100">
        <v>65</v>
      </c>
      <c r="J121" s="100" t="str">
        <f>IFERROR(VLOOKUP(Tablo518[[#This Row],[ÜRÜN KODU]],YMKODLARI!$A$1:$K$363,9,0)," ")</f>
        <v>Şeffaf</v>
      </c>
      <c r="K121" s="100" t="str">
        <f>IFERROR(VLOOKUP(Tablo518[[#This Row],[BOYA KODU]],Tablo14[#All],4,0)," ")</f>
        <v xml:space="preserve"> </v>
      </c>
      <c r="L121" s="100" t="str">
        <f>IFERROR(VLOOKUP(Tablo518[[#This Row],[BOYA KODU]],Tablo14[#All],6,0)," ")</f>
        <v xml:space="preserve"> </v>
      </c>
      <c r="M121" s="100" t="str">
        <f t="shared" si="7"/>
        <v xml:space="preserve"> </v>
      </c>
      <c r="N121" s="100" t="str">
        <f>IFERROR(VLOOKUP(Tablo518[[#This Row],[ÜRÜN KODU]],YMKODLARI!$A$1:$K$363,8,0)," ")</f>
        <v>HM 002</v>
      </c>
      <c r="O121" s="100" t="str">
        <f>IFERROR(VLOOKUP(Tablo518[[#This Row],[HAMMADDE KODU]],Tablo1[#All],3,0)," ")</f>
        <v>NOVAREX</v>
      </c>
      <c r="P121" s="100" t="str">
        <f>IFERROR(VLOOKUP(Tablo518[[#This Row],[HAMMADDE KODU]],Tablo1[#All],4,0)," ")</f>
        <v>PİNHAS</v>
      </c>
      <c r="Q121" s="100">
        <f>IFERROR(VLOOKUP(Tablo518[[#This Row],[ÜRÜN KODU]],YMKODLARI!$A$1:$K$363,5,0)," ")</f>
        <v>29.6</v>
      </c>
      <c r="R121" s="100">
        <f>IFERROR(VLOOKUP(Tablo518[[#This Row],[ÜRÜN KODU]],YMKODLARI!$A$1:$K$363,6,0)," ")</f>
        <v>28.6</v>
      </c>
      <c r="S121" s="100">
        <f>IFERROR(Tablo518[[#This Row],[YOLLUK HARİÇ BASKI GRAMI]]/Tablo518[[#This Row],[KALIP GÖZ ADEDİ]]," ")</f>
        <v>3.5750000000000002</v>
      </c>
      <c r="T121" s="100">
        <f t="shared" si="9"/>
        <v>1</v>
      </c>
      <c r="U121" s="100"/>
      <c r="V121" s="100">
        <f t="shared" si="8"/>
        <v>1.859</v>
      </c>
      <c r="W121" s="101">
        <f t="shared" si="10"/>
        <v>24.036111111111111</v>
      </c>
      <c r="X121" s="102">
        <f t="shared" si="11"/>
        <v>0.86666666666667425</v>
      </c>
      <c r="Y121" s="100">
        <f t="shared" si="12"/>
        <v>0.37916666666666665</v>
      </c>
      <c r="Z121" s="100">
        <f t="shared" si="13"/>
        <v>520</v>
      </c>
    </row>
    <row r="122" spans="1:26">
      <c r="A122" s="108" t="s">
        <v>166</v>
      </c>
      <c r="B122" s="108" t="str">
        <f>IFERROR(VLOOKUP(Tablo518[[#This Row],[ÜRÜN KODU]],YMKODLARI!$A$1:$K$363,2,0)," ")</f>
        <v>DAMAK EMZİK GÖVDE</v>
      </c>
      <c r="C122" s="99">
        <v>43958</v>
      </c>
      <c r="D122" s="100" t="s">
        <v>27</v>
      </c>
      <c r="E122" s="101">
        <v>0.52083333333333337</v>
      </c>
      <c r="F122" s="101">
        <v>0.75</v>
      </c>
      <c r="G122" s="100">
        <f>IFERROR(VLOOKUP(Tablo518[[#This Row],[ÜRÜN KODU]],YMKODLARI!$A$1:$K$363,3,0)," ")</f>
        <v>8</v>
      </c>
      <c r="H122" s="100">
        <f>IFERROR(VLOOKUP(Tablo518[[#This Row],[ÜRÜN KODU]],YMKODLARI!$A$1:$K$363,4,0)," ")</f>
        <v>21</v>
      </c>
      <c r="I122" s="100">
        <v>795</v>
      </c>
      <c r="J122" s="100" t="str">
        <f>IFERROR(VLOOKUP(Tablo518[[#This Row],[ÜRÜN KODU]],YMKODLARI!$A$1:$K$363,9,0)," ")</f>
        <v>5249A</v>
      </c>
      <c r="K122" s="100" t="str">
        <f>IFERROR(VLOOKUP(Tablo518[[#This Row],[BOYA KODU]],Tablo14[#All],4,0)," ")</f>
        <v>MAVİ</v>
      </c>
      <c r="L122" s="100">
        <f>IFERROR(VLOOKUP(Tablo518[[#This Row],[BOYA KODU]],Tablo14[#All],6,0)," ")</f>
        <v>5.0000000000000001E-3</v>
      </c>
      <c r="M122" s="100">
        <f t="shared" si="7"/>
        <v>117.66</v>
      </c>
      <c r="N122" s="100" t="str">
        <f>IFERROR(VLOOKUP(Tablo518[[#This Row],[ÜRÜN KODU]],YMKODLARI!$A$1:$K$363,8,0)," ")</f>
        <v>HM 002</v>
      </c>
      <c r="O122" s="100" t="str">
        <f>IFERROR(VLOOKUP(Tablo518[[#This Row],[HAMMADDE KODU]],Tablo1[#All],3,0)," ")</f>
        <v>NOVAREX</v>
      </c>
      <c r="P122" s="100" t="str">
        <f>IFERROR(VLOOKUP(Tablo518[[#This Row],[HAMMADDE KODU]],Tablo1[#All],4,0)," ")</f>
        <v>PİNHAS</v>
      </c>
      <c r="Q122" s="100">
        <f>IFERROR(VLOOKUP(Tablo518[[#This Row],[ÜRÜN KODU]],YMKODLARI!$A$1:$K$363,5,0)," ")</f>
        <v>29.6</v>
      </c>
      <c r="R122" s="100">
        <f>IFERROR(VLOOKUP(Tablo518[[#This Row],[ÜRÜN KODU]],YMKODLARI!$A$1:$K$363,6,0)," ")</f>
        <v>28.6</v>
      </c>
      <c r="S122" s="100">
        <f>IFERROR(Tablo518[[#This Row],[YOLLUK HARİÇ BASKI GRAMI]]/Tablo518[[#This Row],[KALIP GÖZ ADEDİ]]," ")</f>
        <v>3.5750000000000002</v>
      </c>
      <c r="T122" s="100">
        <f t="shared" si="9"/>
        <v>1</v>
      </c>
      <c r="U122" s="100">
        <v>1</v>
      </c>
      <c r="V122" s="100">
        <f t="shared" si="8"/>
        <v>23.736999999999998</v>
      </c>
      <c r="W122" s="101">
        <f t="shared" si="10"/>
        <v>24.229166666666668</v>
      </c>
      <c r="X122" s="102">
        <f t="shared" si="11"/>
        <v>5.5000000000000284</v>
      </c>
      <c r="Y122" s="100">
        <f t="shared" si="12"/>
        <v>4.6375000000000002</v>
      </c>
      <c r="Z122" s="100">
        <f t="shared" si="13"/>
        <v>6360</v>
      </c>
    </row>
    <row r="123" spans="1:26">
      <c r="A123" s="108" t="s">
        <v>166</v>
      </c>
      <c r="B123" s="108" t="str">
        <f>IFERROR(VLOOKUP(Tablo518[[#This Row],[ÜRÜN KODU]],YMKODLARI!$A$1:$K$363,2,0)," ")</f>
        <v>DAMAK EMZİK GÖVDE</v>
      </c>
      <c r="C123" s="99">
        <v>43959</v>
      </c>
      <c r="D123" s="100" t="s">
        <v>27</v>
      </c>
      <c r="E123" s="101">
        <v>0.33333333333333331</v>
      </c>
      <c r="F123" s="101">
        <v>0.54166666666666663</v>
      </c>
      <c r="G123" s="100">
        <f>IFERROR(VLOOKUP(Tablo518[[#This Row],[ÜRÜN KODU]],YMKODLARI!$A$1:$K$363,3,0)," ")</f>
        <v>8</v>
      </c>
      <c r="H123" s="100">
        <f>IFERROR(VLOOKUP(Tablo518[[#This Row],[ÜRÜN KODU]],YMKODLARI!$A$1:$K$363,4,0)," ")</f>
        <v>21</v>
      </c>
      <c r="I123" s="100">
        <v>874</v>
      </c>
      <c r="J123" s="100" t="str">
        <f>IFERROR(VLOOKUP(Tablo518[[#This Row],[ÜRÜN KODU]],YMKODLARI!$A$1:$K$363,9,0)," ")</f>
        <v>5249A</v>
      </c>
      <c r="K123" s="100" t="str">
        <f>IFERROR(VLOOKUP(Tablo518[[#This Row],[BOYA KODU]],Tablo14[#All],4,0)," ")</f>
        <v>MAVİ</v>
      </c>
      <c r="L123" s="100">
        <f>IFERROR(VLOOKUP(Tablo518[[#This Row],[BOYA KODU]],Tablo14[#All],6,0)," ")</f>
        <v>5.0000000000000001E-3</v>
      </c>
      <c r="M123" s="100">
        <f t="shared" si="7"/>
        <v>129.352</v>
      </c>
      <c r="N123" s="100" t="str">
        <f>IFERROR(VLOOKUP(Tablo518[[#This Row],[ÜRÜN KODU]],YMKODLARI!$A$1:$K$363,8,0)," ")</f>
        <v>HM 002</v>
      </c>
      <c r="O123" s="100" t="str">
        <f>IFERROR(VLOOKUP(Tablo518[[#This Row],[HAMMADDE KODU]],Tablo1[#All],3,0)," ")</f>
        <v>NOVAREX</v>
      </c>
      <c r="P123" s="100" t="str">
        <f>IFERROR(VLOOKUP(Tablo518[[#This Row],[HAMMADDE KODU]],Tablo1[#All],4,0)," ")</f>
        <v>PİNHAS</v>
      </c>
      <c r="Q123" s="100">
        <f>IFERROR(VLOOKUP(Tablo518[[#This Row],[ÜRÜN KODU]],YMKODLARI!$A$1:$K$363,5,0)," ")</f>
        <v>29.6</v>
      </c>
      <c r="R123" s="100">
        <f>IFERROR(VLOOKUP(Tablo518[[#This Row],[ÜRÜN KODU]],YMKODLARI!$A$1:$K$363,6,0)," ")</f>
        <v>28.6</v>
      </c>
      <c r="S123" s="100">
        <f>IFERROR(Tablo518[[#This Row],[YOLLUK HARİÇ BASKI GRAMI]]/Tablo518[[#This Row],[KALIP GÖZ ADEDİ]]," ")</f>
        <v>3.5750000000000002</v>
      </c>
      <c r="T123" s="100">
        <f t="shared" si="9"/>
        <v>1</v>
      </c>
      <c r="U123" s="100">
        <v>5.5</v>
      </c>
      <c r="V123" s="100">
        <f t="shared" si="8"/>
        <v>30.496400000000001</v>
      </c>
      <c r="W123" s="101">
        <f t="shared" si="10"/>
        <v>24.208333333333332</v>
      </c>
      <c r="X123" s="102">
        <f t="shared" si="11"/>
        <v>4.9999999999999716</v>
      </c>
      <c r="Y123" s="100">
        <f t="shared" si="12"/>
        <v>5.0983333333333336</v>
      </c>
      <c r="Z123" s="100">
        <f t="shared" si="13"/>
        <v>6992</v>
      </c>
    </row>
    <row r="124" spans="1:26">
      <c r="A124" s="108" t="s">
        <v>124</v>
      </c>
      <c r="B124" s="108" t="str">
        <f>IFERROR(VLOOKUP(Tablo518[[#This Row],[ÜRÜN KODU]],YMKODLARI!$A$1:$K$363,2,0)," ")</f>
        <v>DAMAK EMZİK GÖVDE</v>
      </c>
      <c r="C124" s="99">
        <v>43959</v>
      </c>
      <c r="D124" s="100" t="s">
        <v>27</v>
      </c>
      <c r="E124" s="101">
        <v>0.58333333333333337</v>
      </c>
      <c r="F124" s="101">
        <v>0.75</v>
      </c>
      <c r="G124" s="100">
        <f>IFERROR(VLOOKUP(Tablo518[[#This Row],[ÜRÜN KODU]],YMKODLARI!$A$1:$K$363,3,0)," ")</f>
        <v>8</v>
      </c>
      <c r="H124" s="100">
        <f>IFERROR(VLOOKUP(Tablo518[[#This Row],[ÜRÜN KODU]],YMKODLARI!$A$1:$K$363,4,0)," ")</f>
        <v>21</v>
      </c>
      <c r="I124" s="100">
        <v>171</v>
      </c>
      <c r="J124" s="100" t="str">
        <f>IFERROR(VLOOKUP(Tablo518[[#This Row],[ÜRÜN KODU]],YMKODLARI!$A$1:$K$363,9,0)," ")</f>
        <v>5139C</v>
      </c>
      <c r="K124" s="100" t="str">
        <f>IFERROR(VLOOKUP(Tablo518[[#This Row],[BOYA KODU]],Tablo14[#All],4,0)," ")</f>
        <v>T.MAVİ</v>
      </c>
      <c r="L124" s="100">
        <f>IFERROR(VLOOKUP(Tablo518[[#This Row],[BOYA KODU]],Tablo14[#All],6,0)," ")</f>
        <v>1E-3</v>
      </c>
      <c r="M124" s="100">
        <f t="shared" si="7"/>
        <v>5.0616000000000003</v>
      </c>
      <c r="N124" s="100" t="str">
        <f>IFERROR(VLOOKUP(Tablo518[[#This Row],[ÜRÜN KODU]],YMKODLARI!$A$1:$K$363,8,0)," ")</f>
        <v>HM 002</v>
      </c>
      <c r="O124" s="100" t="str">
        <f>IFERROR(VLOOKUP(Tablo518[[#This Row],[HAMMADDE KODU]],Tablo1[#All],3,0)," ")</f>
        <v>NOVAREX</v>
      </c>
      <c r="P124" s="100" t="str">
        <f>IFERROR(VLOOKUP(Tablo518[[#This Row],[HAMMADDE KODU]],Tablo1[#All],4,0)," ")</f>
        <v>PİNHAS</v>
      </c>
      <c r="Q124" s="100">
        <f>IFERROR(VLOOKUP(Tablo518[[#This Row],[ÜRÜN KODU]],YMKODLARI!$A$1:$K$363,5,0)," ")</f>
        <v>29.6</v>
      </c>
      <c r="R124" s="100">
        <f>IFERROR(VLOOKUP(Tablo518[[#This Row],[ÜRÜN KODU]],YMKODLARI!$A$1:$K$363,6,0)," ")</f>
        <v>28.6</v>
      </c>
      <c r="S124" s="100">
        <f>IFERROR(Tablo518[[#This Row],[YOLLUK HARİÇ BASKI GRAMI]]/Tablo518[[#This Row],[KALIP GÖZ ADEDİ]]," ")</f>
        <v>3.5750000000000002</v>
      </c>
      <c r="T124" s="100">
        <f t="shared" si="9"/>
        <v>1</v>
      </c>
      <c r="U124" s="100"/>
      <c r="V124" s="100">
        <f t="shared" si="8"/>
        <v>4.8906000000000001</v>
      </c>
      <c r="W124" s="101">
        <f t="shared" si="10"/>
        <v>24.166666666666668</v>
      </c>
      <c r="X124" s="102">
        <f t="shared" si="11"/>
        <v>4.0000000000000284</v>
      </c>
      <c r="Y124" s="100">
        <f t="shared" si="12"/>
        <v>0.99750000000000005</v>
      </c>
      <c r="Z124" s="100">
        <f t="shared" si="13"/>
        <v>1368</v>
      </c>
    </row>
    <row r="125" spans="1:26">
      <c r="A125" s="108" t="s">
        <v>170</v>
      </c>
      <c r="B125" s="108" t="str">
        <f>IFERROR(VLOOKUP(Tablo518[[#This Row],[ÜRÜN KODU]],YMKODLARI!$A$1:$K$363,2,0)," ")</f>
        <v>UYKU EMZİK TIPA</v>
      </c>
      <c r="C125" s="99">
        <v>43963</v>
      </c>
      <c r="D125" s="100" t="s">
        <v>171</v>
      </c>
      <c r="E125" s="101">
        <v>0.51388888888888895</v>
      </c>
      <c r="F125" s="101">
        <v>0.75</v>
      </c>
      <c r="G125" s="100">
        <f>IFERROR(VLOOKUP(Tablo518[[#This Row],[ÜRÜN KODU]],YMKODLARI!$A$1:$K$363,3,0)," ")</f>
        <v>8</v>
      </c>
      <c r="H125" s="100">
        <f>IFERROR(VLOOKUP(Tablo518[[#This Row],[ÜRÜN KODU]],YMKODLARI!$A$1:$K$363,4,0)," ")</f>
        <v>25</v>
      </c>
      <c r="I125" s="100">
        <v>840</v>
      </c>
      <c r="J125" s="100" t="str">
        <f>IFERROR(VLOOKUP(Tablo518[[#This Row],[ÜRÜN KODU]],YMKODLARI!$A$1:$K$363,9,0)," ")</f>
        <v>5139C</v>
      </c>
      <c r="K125" s="100" t="str">
        <f>IFERROR(VLOOKUP(Tablo518[[#This Row],[BOYA KODU]],Tablo14[#All],4,0)," ")</f>
        <v>T.MAVİ</v>
      </c>
      <c r="L125" s="100">
        <f>IFERROR(VLOOKUP(Tablo518[[#This Row],[BOYA KODU]],Tablo14[#All],6,0)," ")</f>
        <v>1E-3</v>
      </c>
      <c r="M125" s="100">
        <f t="shared" si="7"/>
        <v>23.352</v>
      </c>
      <c r="N125" s="100" t="str">
        <f>IFERROR(VLOOKUP(Tablo518[[#This Row],[ÜRÜN KODU]],YMKODLARI!$A$1:$K$363,8,0)," ")</f>
        <v>HM 002</v>
      </c>
      <c r="O125" s="100" t="str">
        <f>IFERROR(VLOOKUP(Tablo518[[#This Row],[HAMMADDE KODU]],Tablo1[#All],3,0)," ")</f>
        <v>NOVAREX</v>
      </c>
      <c r="P125" s="100" t="str">
        <f>IFERROR(VLOOKUP(Tablo518[[#This Row],[HAMMADDE KODU]],Tablo1[#All],4,0)," ")</f>
        <v>PİNHAS</v>
      </c>
      <c r="Q125" s="100">
        <f>IFERROR(VLOOKUP(Tablo518[[#This Row],[ÜRÜN KODU]],YMKODLARI!$A$1:$K$363,5,0)," ")</f>
        <v>27.8</v>
      </c>
      <c r="R125" s="100">
        <f>IFERROR(VLOOKUP(Tablo518[[#This Row],[ÜRÜN KODU]],YMKODLARI!$A$1:$K$363,6,0)," ")</f>
        <v>22.3</v>
      </c>
      <c r="S125" s="100">
        <f>IFERROR(Tablo518[[#This Row],[YOLLUK HARİÇ BASKI GRAMI]]/Tablo518[[#This Row],[KALIP GÖZ ADEDİ]]," ")</f>
        <v>2.7875000000000001</v>
      </c>
      <c r="T125" s="100">
        <f t="shared" si="9"/>
        <v>5.5</v>
      </c>
      <c r="U125" s="100">
        <v>6.5</v>
      </c>
      <c r="V125" s="100">
        <f t="shared" si="8"/>
        <v>25.231999999999999</v>
      </c>
      <c r="W125" s="101">
        <f t="shared" si="10"/>
        <v>24.236111111111111</v>
      </c>
      <c r="X125" s="102">
        <f t="shared" si="11"/>
        <v>5.6666666666666572</v>
      </c>
      <c r="Y125" s="100">
        <f t="shared" si="12"/>
        <v>5.833333333333333</v>
      </c>
      <c r="Z125" s="100">
        <f t="shared" si="13"/>
        <v>6720</v>
      </c>
    </row>
    <row r="126" spans="1:26">
      <c r="A126" s="108" t="s">
        <v>170</v>
      </c>
      <c r="B126" s="108" t="str">
        <f>IFERROR(VLOOKUP(Tablo518[[#This Row],[ÜRÜN KODU]],YMKODLARI!$A$1:$K$363,2,0)," ")</f>
        <v>UYKU EMZİK TIPA</v>
      </c>
      <c r="C126" s="99">
        <v>43964</v>
      </c>
      <c r="D126" s="100" t="s">
        <v>171</v>
      </c>
      <c r="E126" s="101">
        <v>0.33333333333333331</v>
      </c>
      <c r="F126" s="101">
        <v>0.66666666666666663</v>
      </c>
      <c r="G126" s="100">
        <f>IFERROR(VLOOKUP(Tablo518[[#This Row],[ÜRÜN KODU]],YMKODLARI!$A$1:$K$363,3,0)," ")</f>
        <v>8</v>
      </c>
      <c r="H126" s="100">
        <f>IFERROR(VLOOKUP(Tablo518[[#This Row],[ÜRÜN KODU]],YMKODLARI!$A$1:$K$363,4,0)," ")</f>
        <v>25</v>
      </c>
      <c r="I126" s="100">
        <v>785</v>
      </c>
      <c r="J126" s="100" t="str">
        <f>IFERROR(VLOOKUP(Tablo518[[#This Row],[ÜRÜN KODU]],YMKODLARI!$A$1:$K$363,9,0)," ")</f>
        <v>5139C</v>
      </c>
      <c r="K126" s="100" t="str">
        <f>IFERROR(VLOOKUP(Tablo518[[#This Row],[BOYA KODU]],Tablo14[#All],4,0)," ")</f>
        <v>T.MAVİ</v>
      </c>
      <c r="L126" s="100">
        <f>IFERROR(VLOOKUP(Tablo518[[#This Row],[BOYA KODU]],Tablo14[#All],6,0)," ")</f>
        <v>1E-3</v>
      </c>
      <c r="M126" s="100">
        <f t="shared" si="7"/>
        <v>21.823</v>
      </c>
      <c r="N126" s="100" t="str">
        <f>IFERROR(VLOOKUP(Tablo518[[#This Row],[ÜRÜN KODU]],YMKODLARI!$A$1:$K$363,8,0)," ")</f>
        <v>HM 002</v>
      </c>
      <c r="O126" s="100" t="str">
        <f>IFERROR(VLOOKUP(Tablo518[[#This Row],[HAMMADDE KODU]],Tablo1[#All],3,0)," ")</f>
        <v>NOVAREX</v>
      </c>
      <c r="P126" s="100" t="str">
        <f>IFERROR(VLOOKUP(Tablo518[[#This Row],[HAMMADDE KODU]],Tablo1[#All],4,0)," ")</f>
        <v>PİNHAS</v>
      </c>
      <c r="Q126" s="100">
        <f>IFERROR(VLOOKUP(Tablo518[[#This Row],[ÜRÜN KODU]],YMKODLARI!$A$1:$K$363,5,0)," ")</f>
        <v>27.8</v>
      </c>
      <c r="R126" s="100">
        <f>IFERROR(VLOOKUP(Tablo518[[#This Row],[ÜRÜN KODU]],YMKODLARI!$A$1:$K$363,6,0)," ")</f>
        <v>22.3</v>
      </c>
      <c r="S126" s="100">
        <f>IFERROR(Tablo518[[#This Row],[YOLLUK HARİÇ BASKI GRAMI]]/Tablo518[[#This Row],[KALIP GÖZ ADEDİ]]," ")</f>
        <v>2.7875000000000001</v>
      </c>
      <c r="T126" s="100">
        <f t="shared" si="9"/>
        <v>5.5</v>
      </c>
      <c r="U126" s="100">
        <v>7</v>
      </c>
      <c r="V126" s="100">
        <f t="shared" si="8"/>
        <v>24.505500000000001</v>
      </c>
      <c r="W126" s="101">
        <f t="shared" si="10"/>
        <v>24.333333333333332</v>
      </c>
      <c r="X126" s="102">
        <f t="shared" si="11"/>
        <v>7.9999999999999716</v>
      </c>
      <c r="Y126" s="100">
        <f t="shared" si="12"/>
        <v>5.4513888888888893</v>
      </c>
      <c r="Z126" s="100">
        <f t="shared" si="13"/>
        <v>6280</v>
      </c>
    </row>
    <row r="127" spans="1:26">
      <c r="A127" s="108" t="s">
        <v>172</v>
      </c>
      <c r="B127" s="108" t="str">
        <f>IFERROR(VLOOKUP(Tablo518[[#This Row],[ÜRÜN KODU]],YMKODLARI!$A$1:$K$363,2,0)," ")</f>
        <v>UYKU EMZİK TIPA</v>
      </c>
      <c r="C127" s="99">
        <v>43964</v>
      </c>
      <c r="D127" s="100" t="s">
        <v>171</v>
      </c>
      <c r="E127" s="101">
        <v>0.67361111111111116</v>
      </c>
      <c r="F127" s="101">
        <v>0.75</v>
      </c>
      <c r="G127" s="100">
        <f>IFERROR(VLOOKUP(Tablo518[[#This Row],[ÜRÜN KODU]],YMKODLARI!$A$1:$K$363,3,0)," ")</f>
        <v>8</v>
      </c>
      <c r="H127" s="100">
        <f>IFERROR(VLOOKUP(Tablo518[[#This Row],[ÜRÜN KODU]],YMKODLARI!$A$1:$K$363,4,0)," ")</f>
        <v>25</v>
      </c>
      <c r="I127" s="100">
        <v>252</v>
      </c>
      <c r="J127" s="100" t="str">
        <f>IFERROR(VLOOKUP(Tablo518[[#This Row],[ÜRÜN KODU]],YMKODLARI!$A$1:$K$363,9,0)," ")</f>
        <v>708VI0502G</v>
      </c>
      <c r="K127" s="100" t="str">
        <f>IFERROR(VLOOKUP(Tablo518[[#This Row],[BOYA KODU]],Tablo14[#All],4,0)," ")</f>
        <v>T.VİOLET</v>
      </c>
      <c r="L127" s="100">
        <f>IFERROR(VLOOKUP(Tablo518[[#This Row],[BOYA KODU]],Tablo14[#All],6,0)," ")</f>
        <v>2E-3</v>
      </c>
      <c r="M127" s="100">
        <f t="shared" si="7"/>
        <v>14.011200000000001</v>
      </c>
      <c r="N127" s="100" t="str">
        <f>IFERROR(VLOOKUP(Tablo518[[#This Row],[ÜRÜN KODU]],YMKODLARI!$A$1:$K$363,8,0)," ")</f>
        <v>HM 002</v>
      </c>
      <c r="O127" s="100" t="str">
        <f>IFERROR(VLOOKUP(Tablo518[[#This Row],[HAMMADDE KODU]],Tablo1[#All],3,0)," ")</f>
        <v>NOVAREX</v>
      </c>
      <c r="P127" s="100" t="str">
        <f>IFERROR(VLOOKUP(Tablo518[[#This Row],[HAMMADDE KODU]],Tablo1[#All],4,0)," ")</f>
        <v>PİNHAS</v>
      </c>
      <c r="Q127" s="100">
        <f>IFERROR(VLOOKUP(Tablo518[[#This Row],[ÜRÜN KODU]],YMKODLARI!$A$1:$K$363,5,0)," ")</f>
        <v>27.8</v>
      </c>
      <c r="R127" s="100">
        <f>IFERROR(VLOOKUP(Tablo518[[#This Row],[ÜRÜN KODU]],YMKODLARI!$A$1:$K$363,6,0)," ")</f>
        <v>22.3</v>
      </c>
      <c r="S127" s="100">
        <f>IFERROR(Tablo518[[#This Row],[YOLLUK HARİÇ BASKI GRAMI]]/Tablo518[[#This Row],[KALIP GÖZ ADEDİ]]," ")</f>
        <v>2.7875000000000001</v>
      </c>
      <c r="T127" s="100">
        <f t="shared" si="9"/>
        <v>5.5</v>
      </c>
      <c r="U127" s="100">
        <v>1.5</v>
      </c>
      <c r="V127" s="100">
        <f t="shared" si="8"/>
        <v>7.1196000000000002</v>
      </c>
      <c r="W127" s="101">
        <f t="shared" si="10"/>
        <v>24.076388888888889</v>
      </c>
      <c r="X127" s="102">
        <f t="shared" si="11"/>
        <v>1.8333333333333428</v>
      </c>
      <c r="Y127" s="100">
        <f t="shared" si="12"/>
        <v>1.75</v>
      </c>
      <c r="Z127" s="100">
        <f t="shared" si="13"/>
        <v>2016</v>
      </c>
    </row>
    <row r="128" spans="1:26">
      <c r="A128" s="108" t="s">
        <v>172</v>
      </c>
      <c r="B128" s="108" t="str">
        <f>IFERROR(VLOOKUP(Tablo518[[#This Row],[ÜRÜN KODU]],YMKODLARI!$A$1:$K$363,2,0)," ")</f>
        <v>UYKU EMZİK TIPA</v>
      </c>
      <c r="C128" s="99">
        <v>43965</v>
      </c>
      <c r="D128" s="100" t="s">
        <v>171</v>
      </c>
      <c r="E128" s="101">
        <v>0.33333333333333331</v>
      </c>
      <c r="F128" s="101">
        <v>0.75</v>
      </c>
      <c r="G128" s="100">
        <f>IFERROR(VLOOKUP(Tablo518[[#This Row],[ÜRÜN KODU]],YMKODLARI!$A$1:$K$363,3,0)," ")</f>
        <v>8</v>
      </c>
      <c r="H128" s="100">
        <f>IFERROR(VLOOKUP(Tablo518[[#This Row],[ÜRÜN KODU]],YMKODLARI!$A$1:$K$363,4,0)," ")</f>
        <v>25</v>
      </c>
      <c r="I128" s="100">
        <v>1246</v>
      </c>
      <c r="J128" s="100" t="str">
        <f>IFERROR(VLOOKUP(Tablo518[[#This Row],[ÜRÜN KODU]],YMKODLARI!$A$1:$K$363,9,0)," ")</f>
        <v>708VI0502G</v>
      </c>
      <c r="K128" s="100" t="str">
        <f>IFERROR(VLOOKUP(Tablo518[[#This Row],[BOYA KODU]],Tablo14[#All],4,0)," ")</f>
        <v>T.VİOLET</v>
      </c>
      <c r="L128" s="100">
        <f>IFERROR(VLOOKUP(Tablo518[[#This Row],[BOYA KODU]],Tablo14[#All],6,0)," ")</f>
        <v>2E-3</v>
      </c>
      <c r="M128" s="100">
        <f t="shared" si="7"/>
        <v>69.277600000000007</v>
      </c>
      <c r="N128" s="100" t="str">
        <f>IFERROR(VLOOKUP(Tablo518[[#This Row],[ÜRÜN KODU]],YMKODLARI!$A$1:$K$363,8,0)," ")</f>
        <v>HM 002</v>
      </c>
      <c r="O128" s="100" t="str">
        <f>IFERROR(VLOOKUP(Tablo518[[#This Row],[HAMMADDE KODU]],Tablo1[#All],3,0)," ")</f>
        <v>NOVAREX</v>
      </c>
      <c r="P128" s="100" t="str">
        <f>IFERROR(VLOOKUP(Tablo518[[#This Row],[HAMMADDE KODU]],Tablo1[#All],4,0)," ")</f>
        <v>PİNHAS</v>
      </c>
      <c r="Q128" s="100">
        <f>IFERROR(VLOOKUP(Tablo518[[#This Row],[ÜRÜN KODU]],YMKODLARI!$A$1:$K$363,5,0)," ")</f>
        <v>27.8</v>
      </c>
      <c r="R128" s="100">
        <f>IFERROR(VLOOKUP(Tablo518[[#This Row],[ÜRÜN KODU]],YMKODLARI!$A$1:$K$363,6,0)," ")</f>
        <v>22.3</v>
      </c>
      <c r="S128" s="100">
        <f>IFERROR(Tablo518[[#This Row],[YOLLUK HARİÇ BASKI GRAMI]]/Tablo518[[#This Row],[KALIP GÖZ ADEDİ]]," ")</f>
        <v>2.7875000000000001</v>
      </c>
      <c r="T128" s="100">
        <f t="shared" si="9"/>
        <v>5.5</v>
      </c>
      <c r="U128" s="100">
        <v>7</v>
      </c>
      <c r="V128" s="100">
        <f t="shared" si="8"/>
        <v>34.785799999999995</v>
      </c>
      <c r="W128" s="101">
        <f t="shared" si="10"/>
        <v>24.416666666666668</v>
      </c>
      <c r="X128" s="102">
        <f t="shared" si="11"/>
        <v>10.000000000000028</v>
      </c>
      <c r="Y128" s="100">
        <f t="shared" si="12"/>
        <v>8.6527777777777786</v>
      </c>
      <c r="Z128" s="100">
        <f t="shared" si="13"/>
        <v>9968</v>
      </c>
    </row>
    <row r="129" spans="1:26">
      <c r="A129" s="108" t="s">
        <v>173</v>
      </c>
      <c r="B129" s="108" t="str">
        <f>IFERROR(VLOOKUP(Tablo518[[#This Row],[ÜRÜN KODU]],YMKODLARI!$A$1:$K$363,2,0)," ")</f>
        <v>UYKU EMZİK TIPA</v>
      </c>
      <c r="C129" s="99">
        <v>43966</v>
      </c>
      <c r="D129" s="100" t="s">
        <v>171</v>
      </c>
      <c r="E129" s="101">
        <v>0.33333333333333331</v>
      </c>
      <c r="F129" s="101">
        <v>0.41666666666666669</v>
      </c>
      <c r="G129" s="100">
        <f>IFERROR(VLOOKUP(Tablo518[[#This Row],[ÜRÜN KODU]],YMKODLARI!$A$1:$K$363,3,0)," ")</f>
        <v>8</v>
      </c>
      <c r="H129" s="100">
        <f>IFERROR(VLOOKUP(Tablo518[[#This Row],[ÜRÜN KODU]],YMKODLARI!$A$1:$K$363,4,0)," ")</f>
        <v>25</v>
      </c>
      <c r="I129" s="100">
        <v>120</v>
      </c>
      <c r="J129" s="100">
        <f>IFERROR(VLOOKUP(Tablo518[[#This Row],[ÜRÜN KODU]],YMKODLARI!$A$1:$K$363,9,0)," ")</f>
        <v>3408</v>
      </c>
      <c r="K129" s="100" t="str">
        <f>IFERROR(VLOOKUP(Tablo518[[#This Row],[BOYA KODU]],Tablo14[#All],4,0)," ")</f>
        <v>PEMBE</v>
      </c>
      <c r="L129" s="100">
        <f>IFERROR(VLOOKUP(Tablo518[[#This Row],[BOYA KODU]],Tablo14[#All],6,0)," ")</f>
        <v>5.0000000000000001E-3</v>
      </c>
      <c r="M129" s="100">
        <f t="shared" si="7"/>
        <v>16.86</v>
      </c>
      <c r="N129" s="100" t="str">
        <f>IFERROR(VLOOKUP(Tablo518[[#This Row],[ÜRÜN KODU]],YMKODLARI!$A$1:$K$363,8,0)," ")</f>
        <v>HM 002</v>
      </c>
      <c r="O129" s="100" t="str">
        <f>IFERROR(VLOOKUP(Tablo518[[#This Row],[HAMMADDE KODU]],Tablo1[#All],3,0)," ")</f>
        <v>NOVAREX</v>
      </c>
      <c r="P129" s="100" t="str">
        <f>IFERROR(VLOOKUP(Tablo518[[#This Row],[HAMMADDE KODU]],Tablo1[#All],4,0)," ")</f>
        <v>PİNHAS</v>
      </c>
      <c r="Q129" s="100">
        <f>IFERROR(VLOOKUP(Tablo518[[#This Row],[ÜRÜN KODU]],YMKODLARI!$A$1:$K$363,5,0)," ")</f>
        <v>28.1</v>
      </c>
      <c r="R129" s="100">
        <f>IFERROR(VLOOKUP(Tablo518[[#This Row],[ÜRÜN KODU]],YMKODLARI!$A$1:$K$363,6,0)," ")</f>
        <v>22.6</v>
      </c>
      <c r="S129" s="100">
        <f>IFERROR(Tablo518[[#This Row],[YOLLUK HARİÇ BASKI GRAMI]]/Tablo518[[#This Row],[KALIP GÖZ ADEDİ]]," ")</f>
        <v>2.8250000000000002</v>
      </c>
      <c r="T129" s="100">
        <f t="shared" si="9"/>
        <v>5.5</v>
      </c>
      <c r="U129" s="100">
        <v>6.6</v>
      </c>
      <c r="V129" s="100">
        <f t="shared" si="8"/>
        <v>9.3119999999999994</v>
      </c>
      <c r="W129" s="101">
        <f t="shared" si="10"/>
        <v>24.083333333333332</v>
      </c>
      <c r="X129" s="102">
        <f t="shared" si="11"/>
        <v>1.9999999999999716</v>
      </c>
      <c r="Y129" s="100">
        <f t="shared" si="12"/>
        <v>0.83333333333333337</v>
      </c>
      <c r="Z129" s="100">
        <f t="shared" si="13"/>
        <v>960</v>
      </c>
    </row>
    <row r="130" spans="1:26">
      <c r="A130" s="108" t="s">
        <v>173</v>
      </c>
      <c r="B130" s="108" t="str">
        <f>IFERROR(VLOOKUP(Tablo518[[#This Row],[ÜRÜN KODU]],YMKODLARI!$A$1:$K$363,2,0)," ")</f>
        <v>UYKU EMZİK TIPA</v>
      </c>
      <c r="C130" s="99">
        <v>43966</v>
      </c>
      <c r="D130" s="100" t="s">
        <v>171</v>
      </c>
      <c r="E130" s="101">
        <v>0.41666666666666669</v>
      </c>
      <c r="F130" s="101">
        <v>0.75</v>
      </c>
      <c r="G130" s="100">
        <f>IFERROR(VLOOKUP(Tablo518[[#This Row],[ÜRÜN KODU]],YMKODLARI!$A$1:$K$363,3,0)," ")</f>
        <v>8</v>
      </c>
      <c r="H130" s="100">
        <f>IFERROR(VLOOKUP(Tablo518[[#This Row],[ÜRÜN KODU]],YMKODLARI!$A$1:$K$363,4,0)," ")</f>
        <v>25</v>
      </c>
      <c r="I130" s="100">
        <v>1039</v>
      </c>
      <c r="J130" s="100">
        <f>IFERROR(VLOOKUP(Tablo518[[#This Row],[ÜRÜN KODU]],YMKODLARI!$A$1:$K$363,9,0)," ")</f>
        <v>3408</v>
      </c>
      <c r="K130" s="100" t="str">
        <f>IFERROR(VLOOKUP(Tablo518[[#This Row],[BOYA KODU]],Tablo14[#All],4,0)," ")</f>
        <v>PEMBE</v>
      </c>
      <c r="L130" s="100">
        <f>IFERROR(VLOOKUP(Tablo518[[#This Row],[BOYA KODU]],Tablo14[#All],6,0)," ")</f>
        <v>5.0000000000000001E-3</v>
      </c>
      <c r="M130" s="100">
        <f t="shared" si="7"/>
        <v>145.9795</v>
      </c>
      <c r="N130" s="100" t="str">
        <f>IFERROR(VLOOKUP(Tablo518[[#This Row],[ÜRÜN KODU]],YMKODLARI!$A$1:$K$363,8,0)," ")</f>
        <v>HM 002</v>
      </c>
      <c r="O130" s="100" t="str">
        <f>IFERROR(VLOOKUP(Tablo518[[#This Row],[HAMMADDE KODU]],Tablo1[#All],3,0)," ")</f>
        <v>NOVAREX</v>
      </c>
      <c r="P130" s="100" t="str">
        <f>IFERROR(VLOOKUP(Tablo518[[#This Row],[HAMMADDE KODU]],Tablo1[#All],4,0)," ")</f>
        <v>PİNHAS</v>
      </c>
      <c r="Q130" s="100">
        <f>IFERROR(VLOOKUP(Tablo518[[#This Row],[ÜRÜN KODU]],YMKODLARI!$A$1:$K$363,5,0)," ")</f>
        <v>28.1</v>
      </c>
      <c r="R130" s="100">
        <f>IFERROR(VLOOKUP(Tablo518[[#This Row],[ÜRÜN KODU]],YMKODLARI!$A$1:$K$363,6,0)," ")</f>
        <v>22.6</v>
      </c>
      <c r="S130" s="100">
        <f>IFERROR(Tablo518[[#This Row],[YOLLUK HARİÇ BASKI GRAMI]]/Tablo518[[#This Row],[KALIP GÖZ ADEDİ]]," ")</f>
        <v>2.8250000000000002</v>
      </c>
      <c r="T130" s="100">
        <f t="shared" si="9"/>
        <v>5.5</v>
      </c>
      <c r="U130" s="100">
        <v>3.5</v>
      </c>
      <c r="V130" s="100">
        <f t="shared" si="8"/>
        <v>26.981400000000001</v>
      </c>
      <c r="W130" s="101">
        <f t="shared" si="10"/>
        <v>24.333333333333332</v>
      </c>
      <c r="X130" s="102">
        <f t="shared" si="11"/>
        <v>7.9999999999999716</v>
      </c>
      <c r="Y130" s="100">
        <f t="shared" si="12"/>
        <v>7.2152777777777777</v>
      </c>
      <c r="Z130" s="100">
        <f t="shared" si="13"/>
        <v>8312</v>
      </c>
    </row>
    <row r="131" spans="1:26">
      <c r="A131" s="108" t="s">
        <v>173</v>
      </c>
      <c r="B131" s="108" t="str">
        <f>IFERROR(VLOOKUP(Tablo518[[#This Row],[ÜRÜN KODU]],YMKODLARI!$A$1:$K$363,2,0)," ")</f>
        <v>UYKU EMZİK TIPA</v>
      </c>
      <c r="C131" s="99">
        <v>43971</v>
      </c>
      <c r="D131" s="100" t="s">
        <v>37</v>
      </c>
      <c r="E131" s="101">
        <v>0.40625</v>
      </c>
      <c r="F131" s="101">
        <v>0.50486111111111109</v>
      </c>
      <c r="G131" s="100">
        <f>IFERROR(VLOOKUP(Tablo518[[#This Row],[ÜRÜN KODU]],YMKODLARI!$A$1:$K$363,3,0)," ")</f>
        <v>8</v>
      </c>
      <c r="H131" s="100">
        <f>IFERROR(VLOOKUP(Tablo518[[#This Row],[ÜRÜN KODU]],YMKODLARI!$A$1:$K$363,4,0)," ")</f>
        <v>25</v>
      </c>
      <c r="I131" s="100">
        <v>354</v>
      </c>
      <c r="J131" s="100">
        <f>IFERROR(VLOOKUP(Tablo518[[#This Row],[ÜRÜN KODU]],YMKODLARI!$A$1:$K$363,9,0)," ")</f>
        <v>3408</v>
      </c>
      <c r="K131" s="100" t="str">
        <f>IFERROR(VLOOKUP(Tablo518[[#This Row],[BOYA KODU]],Tablo14[#All],4,0)," ")</f>
        <v>PEMBE</v>
      </c>
      <c r="L131" s="100">
        <f>IFERROR(VLOOKUP(Tablo518[[#This Row],[BOYA KODU]],Tablo14[#All],6,0)," ")</f>
        <v>5.0000000000000001E-3</v>
      </c>
      <c r="M131" s="100">
        <f t="shared" si="7"/>
        <v>49.737000000000002</v>
      </c>
      <c r="N131" s="100" t="str">
        <f>IFERROR(VLOOKUP(Tablo518[[#This Row],[ÜRÜN KODU]],YMKODLARI!$A$1:$K$363,8,0)," ")</f>
        <v>HM 002</v>
      </c>
      <c r="O131" s="100" t="str">
        <f>IFERROR(VLOOKUP(Tablo518[[#This Row],[HAMMADDE KODU]],Tablo1[#All],3,0)," ")</f>
        <v>NOVAREX</v>
      </c>
      <c r="P131" s="100" t="str">
        <f>IFERROR(VLOOKUP(Tablo518[[#This Row],[HAMMADDE KODU]],Tablo1[#All],4,0)," ")</f>
        <v>PİNHAS</v>
      </c>
      <c r="Q131" s="100">
        <f>IFERROR(VLOOKUP(Tablo518[[#This Row],[ÜRÜN KODU]],YMKODLARI!$A$1:$K$363,5,0)," ")</f>
        <v>28.1</v>
      </c>
      <c r="R131" s="100">
        <f>IFERROR(VLOOKUP(Tablo518[[#This Row],[ÜRÜN KODU]],YMKODLARI!$A$1:$K$363,6,0)," ")</f>
        <v>22.6</v>
      </c>
      <c r="S131" s="100">
        <f>IFERROR(Tablo518[[#This Row],[YOLLUK HARİÇ BASKI GRAMI]]/Tablo518[[#This Row],[KALIP GÖZ ADEDİ]]," ")</f>
        <v>2.8250000000000002</v>
      </c>
      <c r="T131" s="100">
        <f t="shared" si="9"/>
        <v>5.5</v>
      </c>
      <c r="U131" s="100">
        <v>5</v>
      </c>
      <c r="V131" s="100">
        <f t="shared" si="8"/>
        <v>13.000400000000001</v>
      </c>
      <c r="W131" s="101">
        <f t="shared" si="10"/>
        <v>24.098611111111111</v>
      </c>
      <c r="X131" s="102">
        <f t="shared" si="11"/>
        <v>2.3666666666666742</v>
      </c>
      <c r="Y131" s="100">
        <f t="shared" si="12"/>
        <v>2.4583333333333335</v>
      </c>
      <c r="Z131" s="100">
        <f t="shared" si="13"/>
        <v>2832</v>
      </c>
    </row>
    <row r="132" spans="1:26">
      <c r="A132" s="108" t="s">
        <v>174</v>
      </c>
      <c r="B132" s="108" t="str">
        <f>IFERROR(VLOOKUP(Tablo518[[#This Row],[ÜRÜN KODU]],YMKODLARI!$A$1:$K$363,2,0)," ")</f>
        <v>UYKU EMZİK TIPA</v>
      </c>
      <c r="C132" s="99">
        <v>43971</v>
      </c>
      <c r="D132" s="100" t="s">
        <v>37</v>
      </c>
      <c r="E132" s="101">
        <v>0.52777777777777779</v>
      </c>
      <c r="F132" s="101">
        <v>0.75</v>
      </c>
      <c r="G132" s="100">
        <f>IFERROR(VLOOKUP(Tablo518[[#This Row],[ÜRÜN KODU]],YMKODLARI!$A$1:$K$363,3,0)," ")</f>
        <v>8</v>
      </c>
      <c r="H132" s="100">
        <f>IFERROR(VLOOKUP(Tablo518[[#This Row],[ÜRÜN KODU]],YMKODLARI!$A$1:$K$363,4,0)," ")</f>
        <v>25</v>
      </c>
      <c r="I132" s="100">
        <v>675</v>
      </c>
      <c r="J132" s="100" t="str">
        <f>IFERROR(VLOOKUP(Tablo518[[#This Row],[ÜRÜN KODU]],YMKODLARI!$A$1:$K$363,9,0)," ")</f>
        <v>5249A</v>
      </c>
      <c r="K132" s="100" t="str">
        <f>IFERROR(VLOOKUP(Tablo518[[#This Row],[BOYA KODU]],Tablo14[#All],4,0)," ")</f>
        <v>MAVİ</v>
      </c>
      <c r="L132" s="100">
        <f>IFERROR(VLOOKUP(Tablo518[[#This Row],[BOYA KODU]],Tablo14[#All],6,0)," ")</f>
        <v>5.0000000000000001E-3</v>
      </c>
      <c r="M132" s="100">
        <f t="shared" si="7"/>
        <v>94.837500000000006</v>
      </c>
      <c r="N132" s="100" t="str">
        <f>IFERROR(VLOOKUP(Tablo518[[#This Row],[ÜRÜN KODU]],YMKODLARI!$A$1:$K$363,8,0)," ")</f>
        <v>HM 002</v>
      </c>
      <c r="O132" s="100" t="str">
        <f>IFERROR(VLOOKUP(Tablo518[[#This Row],[HAMMADDE KODU]],Tablo1[#All],3,0)," ")</f>
        <v>NOVAREX</v>
      </c>
      <c r="P132" s="100" t="str">
        <f>IFERROR(VLOOKUP(Tablo518[[#This Row],[HAMMADDE KODU]],Tablo1[#All],4,0)," ")</f>
        <v>PİNHAS</v>
      </c>
      <c r="Q132" s="100">
        <f>IFERROR(VLOOKUP(Tablo518[[#This Row],[ÜRÜN KODU]],YMKODLARI!$A$1:$K$363,5,0)," ")</f>
        <v>28.1</v>
      </c>
      <c r="R132" s="100">
        <f>IFERROR(VLOOKUP(Tablo518[[#This Row],[ÜRÜN KODU]],YMKODLARI!$A$1:$K$363,6,0)," ")</f>
        <v>22.6</v>
      </c>
      <c r="S132" s="100">
        <f>IFERROR(Tablo518[[#This Row],[YOLLUK HARİÇ BASKI GRAMI]]/Tablo518[[#This Row],[KALIP GÖZ ADEDİ]]," ")</f>
        <v>2.8250000000000002</v>
      </c>
      <c r="T132" s="100">
        <f t="shared" si="9"/>
        <v>5.5</v>
      </c>
      <c r="U132" s="100">
        <v>7.2</v>
      </c>
      <c r="V132" s="100">
        <f t="shared" si="8"/>
        <v>22.455000000000002</v>
      </c>
      <c r="W132" s="101">
        <f t="shared" si="10"/>
        <v>24.222222222222221</v>
      </c>
      <c r="X132" s="102">
        <f t="shared" si="11"/>
        <v>5.3333333333333144</v>
      </c>
      <c r="Y132" s="100">
        <f t="shared" si="12"/>
        <v>4.6875</v>
      </c>
      <c r="Z132" s="100">
        <f t="shared" si="13"/>
        <v>5400</v>
      </c>
    </row>
    <row r="133" spans="1:26">
      <c r="A133" s="108" t="s">
        <v>174</v>
      </c>
      <c r="B133" s="108" t="str">
        <f>IFERROR(VLOOKUP(Tablo518[[#This Row],[ÜRÜN KODU]],YMKODLARI!$A$1:$K$363,2,0)," ")</f>
        <v>UYKU EMZİK TIPA</v>
      </c>
      <c r="C133" s="99">
        <v>43972</v>
      </c>
      <c r="D133" s="100" t="s">
        <v>37</v>
      </c>
      <c r="E133" s="101">
        <v>0.33333333333333331</v>
      </c>
      <c r="F133" s="101">
        <v>0.51736111111111105</v>
      </c>
      <c r="G133" s="100">
        <f>IFERROR(VLOOKUP(Tablo518[[#This Row],[ÜRÜN KODU]],YMKODLARI!$A$1:$K$363,3,0)," ")</f>
        <v>8</v>
      </c>
      <c r="H133" s="100">
        <f>IFERROR(VLOOKUP(Tablo518[[#This Row],[ÜRÜN KODU]],YMKODLARI!$A$1:$K$363,4,0)," ")</f>
        <v>25</v>
      </c>
      <c r="I133" s="100">
        <v>673</v>
      </c>
      <c r="J133" s="100" t="str">
        <f>IFERROR(VLOOKUP(Tablo518[[#This Row],[ÜRÜN KODU]],YMKODLARI!$A$1:$K$363,9,0)," ")</f>
        <v>5249A</v>
      </c>
      <c r="K133" s="100" t="str">
        <f>IFERROR(VLOOKUP(Tablo518[[#This Row],[BOYA KODU]],Tablo14[#All],4,0)," ")</f>
        <v>MAVİ</v>
      </c>
      <c r="L133" s="100">
        <f>IFERROR(VLOOKUP(Tablo518[[#This Row],[BOYA KODU]],Tablo14[#All],6,0)," ")</f>
        <v>5.0000000000000001E-3</v>
      </c>
      <c r="M133" s="100">
        <f t="shared" si="7"/>
        <v>94.5565</v>
      </c>
      <c r="N133" s="100" t="str">
        <f>IFERROR(VLOOKUP(Tablo518[[#This Row],[ÜRÜN KODU]],YMKODLARI!$A$1:$K$363,8,0)," ")</f>
        <v>HM 002</v>
      </c>
      <c r="O133" s="100" t="str">
        <f>IFERROR(VLOOKUP(Tablo518[[#This Row],[HAMMADDE KODU]],Tablo1[#All],3,0)," ")</f>
        <v>NOVAREX</v>
      </c>
      <c r="P133" s="100" t="str">
        <f>IFERROR(VLOOKUP(Tablo518[[#This Row],[HAMMADDE KODU]],Tablo1[#All],4,0)," ")</f>
        <v>PİNHAS</v>
      </c>
      <c r="Q133" s="100">
        <f>IFERROR(VLOOKUP(Tablo518[[#This Row],[ÜRÜN KODU]],YMKODLARI!$A$1:$K$363,5,0)," ")</f>
        <v>28.1</v>
      </c>
      <c r="R133" s="100">
        <f>IFERROR(VLOOKUP(Tablo518[[#This Row],[ÜRÜN KODU]],YMKODLARI!$A$1:$K$363,6,0)," ")</f>
        <v>22.6</v>
      </c>
      <c r="S133" s="100">
        <f>IFERROR(Tablo518[[#This Row],[YOLLUK HARİÇ BASKI GRAMI]]/Tablo518[[#This Row],[KALIP GÖZ ADEDİ]]," ")</f>
        <v>2.8250000000000002</v>
      </c>
      <c r="T133" s="100">
        <f t="shared" si="9"/>
        <v>5.5</v>
      </c>
      <c r="U133" s="100">
        <v>5</v>
      </c>
      <c r="V133" s="100">
        <f t="shared" si="8"/>
        <v>20.209800000000001</v>
      </c>
      <c r="W133" s="101">
        <f t="shared" si="10"/>
        <v>24.184027777777779</v>
      </c>
      <c r="X133" s="102">
        <f t="shared" si="11"/>
        <v>4.4166666666666856</v>
      </c>
      <c r="Y133" s="100">
        <f t="shared" si="12"/>
        <v>4.6736111111111107</v>
      </c>
      <c r="Z133" s="100">
        <f t="shared" si="13"/>
        <v>5384</v>
      </c>
    </row>
    <row r="134" spans="1:26">
      <c r="A134" s="108" t="s">
        <v>175</v>
      </c>
      <c r="B134" s="108" t="str">
        <f>IFERROR(VLOOKUP(Tablo518[[#This Row],[ÜRÜN KODU]],YMKODLARI!$A$1:$K$363,2,0)," ")</f>
        <v>UYKU EMZİK TIPA</v>
      </c>
      <c r="C134" s="99">
        <v>43972</v>
      </c>
      <c r="D134" s="100" t="s">
        <v>37</v>
      </c>
      <c r="E134" s="101">
        <v>0.6069444444444444</v>
      </c>
      <c r="F134" s="101">
        <v>0.75</v>
      </c>
      <c r="G134" s="100">
        <f>IFERROR(VLOOKUP(Tablo518[[#This Row],[ÜRÜN KODU]],YMKODLARI!$A$1:$K$363,3,0)," ")</f>
        <v>8</v>
      </c>
      <c r="H134" s="100">
        <f>IFERROR(VLOOKUP(Tablo518[[#This Row],[ÜRÜN KODU]],YMKODLARI!$A$1:$K$363,4,0)," ")</f>
        <v>25</v>
      </c>
      <c r="I134" s="100">
        <v>559</v>
      </c>
      <c r="J134" s="100" t="str">
        <f>IFERROR(VLOOKUP(Tablo518[[#This Row],[ÜRÜN KODU]],YMKODLARI!$A$1:$K$363,9,0)," ")</f>
        <v>3407A</v>
      </c>
      <c r="K134" s="100" t="str">
        <f>IFERROR(VLOOKUP(Tablo518[[#This Row],[BOYA KODU]],Tablo14[#All],4,0)," ")</f>
        <v>KIRMIZI</v>
      </c>
      <c r="L134" s="100">
        <f>IFERROR(VLOOKUP(Tablo518[[#This Row],[BOYA KODU]],Tablo14[#All],6,0)," ")</f>
        <v>5.0000000000000001E-3</v>
      </c>
      <c r="M134" s="100">
        <f t="shared" ref="M134:M197" si="14">IFERROR((I134*Q134)*L134," ")</f>
        <v>78.539500000000004</v>
      </c>
      <c r="N134" s="100" t="str">
        <f>IFERROR(VLOOKUP(Tablo518[[#This Row],[ÜRÜN KODU]],YMKODLARI!$A$1:$K$363,8,0)," ")</f>
        <v>HM 002</v>
      </c>
      <c r="O134" s="100" t="str">
        <f>IFERROR(VLOOKUP(Tablo518[[#This Row],[HAMMADDE KODU]],Tablo1[#All],3,0)," ")</f>
        <v>NOVAREX</v>
      </c>
      <c r="P134" s="100" t="str">
        <f>IFERROR(VLOOKUP(Tablo518[[#This Row],[HAMMADDE KODU]],Tablo1[#All],4,0)," ")</f>
        <v>PİNHAS</v>
      </c>
      <c r="Q134" s="100">
        <f>IFERROR(VLOOKUP(Tablo518[[#This Row],[ÜRÜN KODU]],YMKODLARI!$A$1:$K$363,5,0)," ")</f>
        <v>28.1</v>
      </c>
      <c r="R134" s="100">
        <f>IFERROR(VLOOKUP(Tablo518[[#This Row],[ÜRÜN KODU]],YMKODLARI!$A$1:$K$363,6,0)," ")</f>
        <v>22.6</v>
      </c>
      <c r="S134" s="100">
        <f>IFERROR(Tablo518[[#This Row],[YOLLUK HARİÇ BASKI GRAMI]]/Tablo518[[#This Row],[KALIP GÖZ ADEDİ]]," ")</f>
        <v>2.8250000000000002</v>
      </c>
      <c r="T134" s="100">
        <f t="shared" si="9"/>
        <v>5.5</v>
      </c>
      <c r="U134" s="100">
        <v>9.5</v>
      </c>
      <c r="V134" s="100">
        <f t="shared" ref="V134:V197" si="15">IFERROR(U134+(R134*I134) /1000," ")</f>
        <v>22.133400000000002</v>
      </c>
      <c r="W134" s="101">
        <f t="shared" si="10"/>
        <v>24.143055555555556</v>
      </c>
      <c r="X134" s="102">
        <f t="shared" si="11"/>
        <v>3.4333333333333371</v>
      </c>
      <c r="Y134" s="100">
        <f t="shared" si="12"/>
        <v>3.8819444444444446</v>
      </c>
      <c r="Z134" s="100">
        <f t="shared" si="13"/>
        <v>4472</v>
      </c>
    </row>
    <row r="135" spans="1:26">
      <c r="A135" s="108" t="s">
        <v>175</v>
      </c>
      <c r="B135" s="108" t="str">
        <f>IFERROR(VLOOKUP(Tablo518[[#This Row],[ÜRÜN KODU]],YMKODLARI!$A$1:$K$363,2,0)," ")</f>
        <v>UYKU EMZİK TIPA</v>
      </c>
      <c r="C135" s="99">
        <v>43973</v>
      </c>
      <c r="D135" s="100" t="s">
        <v>37</v>
      </c>
      <c r="E135" s="101">
        <v>0.33333333333333331</v>
      </c>
      <c r="F135" s="101">
        <v>0.71944444444444444</v>
      </c>
      <c r="G135" s="100">
        <f>IFERROR(VLOOKUP(Tablo518[[#This Row],[ÜRÜN KODU]],YMKODLARI!$A$1:$K$363,3,0)," ")</f>
        <v>8</v>
      </c>
      <c r="H135" s="100">
        <f>IFERROR(VLOOKUP(Tablo518[[#This Row],[ÜRÜN KODU]],YMKODLARI!$A$1:$K$363,4,0)," ")</f>
        <v>25</v>
      </c>
      <c r="I135" s="100">
        <v>1086</v>
      </c>
      <c r="J135" s="100" t="str">
        <f>IFERROR(VLOOKUP(Tablo518[[#This Row],[ÜRÜN KODU]],YMKODLARI!$A$1:$K$363,9,0)," ")</f>
        <v>3407A</v>
      </c>
      <c r="K135" s="100" t="str">
        <f>IFERROR(VLOOKUP(Tablo518[[#This Row],[BOYA KODU]],Tablo14[#All],4,0)," ")</f>
        <v>KIRMIZI</v>
      </c>
      <c r="L135" s="100">
        <f>IFERROR(VLOOKUP(Tablo518[[#This Row],[BOYA KODU]],Tablo14[#All],6,0)," ")</f>
        <v>5.0000000000000001E-3</v>
      </c>
      <c r="M135" s="100">
        <f t="shared" si="14"/>
        <v>152.58300000000003</v>
      </c>
      <c r="N135" s="100" t="str">
        <f>IFERROR(VLOOKUP(Tablo518[[#This Row],[ÜRÜN KODU]],YMKODLARI!$A$1:$K$363,8,0)," ")</f>
        <v>HM 002</v>
      </c>
      <c r="O135" s="100" t="str">
        <f>IFERROR(VLOOKUP(Tablo518[[#This Row],[HAMMADDE KODU]],Tablo1[#All],3,0)," ")</f>
        <v>NOVAREX</v>
      </c>
      <c r="P135" s="100" t="str">
        <f>IFERROR(VLOOKUP(Tablo518[[#This Row],[HAMMADDE KODU]],Tablo1[#All],4,0)," ")</f>
        <v>PİNHAS</v>
      </c>
      <c r="Q135" s="100">
        <f>IFERROR(VLOOKUP(Tablo518[[#This Row],[ÜRÜN KODU]],YMKODLARI!$A$1:$K$363,5,0)," ")</f>
        <v>28.1</v>
      </c>
      <c r="R135" s="100">
        <f>IFERROR(VLOOKUP(Tablo518[[#This Row],[ÜRÜN KODU]],YMKODLARI!$A$1:$K$363,6,0)," ")</f>
        <v>22.6</v>
      </c>
      <c r="S135" s="100">
        <f>IFERROR(Tablo518[[#This Row],[YOLLUK HARİÇ BASKI GRAMI]]/Tablo518[[#This Row],[KALIP GÖZ ADEDİ]]," ")</f>
        <v>2.8250000000000002</v>
      </c>
      <c r="T135" s="100">
        <f t="shared" ref="T135:T198" si="16">IFERROR(Q135-R135," ")</f>
        <v>5.5</v>
      </c>
      <c r="U135" s="100">
        <v>13</v>
      </c>
      <c r="V135" s="100">
        <f t="shared" si="15"/>
        <v>37.543599999999998</v>
      </c>
      <c r="W135" s="101">
        <f t="shared" ref="W135:W198" si="17">IFERROR(24-(E135-F135)," ")</f>
        <v>24.386111111111113</v>
      </c>
      <c r="X135" s="102">
        <f t="shared" ref="X135:X198" si="18">IFERROR((W135-INT(W135))*24," ")</f>
        <v>9.2666666666667084</v>
      </c>
      <c r="Y135" s="100">
        <f t="shared" ref="Y135:Y198" si="19">IFERROR(H135*I135/3600," ")</f>
        <v>7.541666666666667</v>
      </c>
      <c r="Z135" s="100">
        <f t="shared" ref="Z135:Z198" si="20">IFERROR(I135*G135," " )</f>
        <v>8688</v>
      </c>
    </row>
    <row r="136" spans="1:26">
      <c r="A136" s="108" t="s">
        <v>176</v>
      </c>
      <c r="B136" s="108" t="str">
        <f>IFERROR(VLOOKUP(Tablo518[[#This Row],[ÜRÜN KODU]],YMKODLARI!$A$1:$K$363,2,0)," ")</f>
        <v xml:space="preserve">BİBERON KAPAĞI </v>
      </c>
      <c r="C136" s="99">
        <v>43979</v>
      </c>
      <c r="D136" s="100" t="s">
        <v>36</v>
      </c>
      <c r="E136" s="101">
        <v>0.57291666666666663</v>
      </c>
      <c r="F136" s="101">
        <v>0.75</v>
      </c>
      <c r="G136" s="100">
        <f>IFERROR(VLOOKUP(Tablo518[[#This Row],[ÜRÜN KODU]],YMKODLARI!$A$1:$K$363,3,0)," ")</f>
        <v>8</v>
      </c>
      <c r="H136" s="100">
        <f>IFERROR(VLOOKUP(Tablo518[[#This Row],[ÜRÜN KODU]],YMKODLARI!$A$1:$K$363,4,0)," ")</f>
        <v>21</v>
      </c>
      <c r="I136" s="100">
        <v>473</v>
      </c>
      <c r="J136" s="100" t="str">
        <f>IFERROR(VLOOKUP(Tablo518[[#This Row],[ÜRÜN KODU]],YMKODLARI!$A$1:$K$363,9,0)," ")</f>
        <v>Şeffaf</v>
      </c>
      <c r="K136" s="100" t="str">
        <f>IFERROR(VLOOKUP(Tablo518[[#This Row],[BOYA KODU]],Tablo14[#All],4,0)," ")</f>
        <v xml:space="preserve"> </v>
      </c>
      <c r="L136" s="100" t="str">
        <f>IFERROR(VLOOKUP(Tablo518[[#This Row],[BOYA KODU]],Tablo14[#All],6,0)," ")</f>
        <v xml:space="preserve"> </v>
      </c>
      <c r="M136" s="100" t="str">
        <f t="shared" si="14"/>
        <v xml:space="preserve"> </v>
      </c>
      <c r="N136" s="100" t="str">
        <f>IFERROR(VLOOKUP(Tablo518[[#This Row],[ÜRÜN KODU]],YMKODLARI!$A$1:$K$363,8,0)," ")</f>
        <v>HM 001</v>
      </c>
      <c r="O136" s="100" t="str">
        <f>IFERROR(VLOOKUP(Tablo518[[#This Row],[HAMMADDE KODU]],Tablo1[#All],3,0)," ")</f>
        <v>CAPILENE</v>
      </c>
      <c r="P136" s="100" t="str">
        <f>IFERROR(VLOOKUP(Tablo518[[#This Row],[HAMMADDE KODU]],Tablo1[#All],4,0)," ")</f>
        <v>PİNHAS</v>
      </c>
      <c r="Q136" s="100">
        <f>IFERROR(VLOOKUP(Tablo518[[#This Row],[ÜRÜN KODU]],YMKODLARI!$A$1:$K$363,5,0)," ")</f>
        <v>40</v>
      </c>
      <c r="R136" s="100">
        <f>IFERROR(VLOOKUP(Tablo518[[#This Row],[ÜRÜN KODU]],YMKODLARI!$A$1:$K$363,6,0)," ")</f>
        <v>40</v>
      </c>
      <c r="S136" s="100">
        <f>IFERROR(Tablo518[[#This Row],[YOLLUK HARİÇ BASKI GRAMI]]/Tablo518[[#This Row],[KALIP GÖZ ADEDİ]]," ")</f>
        <v>5</v>
      </c>
      <c r="T136" s="100">
        <f t="shared" si="16"/>
        <v>0</v>
      </c>
      <c r="U136" s="100">
        <v>1.4</v>
      </c>
      <c r="V136" s="100">
        <f t="shared" si="15"/>
        <v>20.32</v>
      </c>
      <c r="W136" s="101">
        <f t="shared" si="17"/>
        <v>24.177083333333332</v>
      </c>
      <c r="X136" s="102">
        <f t="shared" si="18"/>
        <v>4.2499999999999716</v>
      </c>
      <c r="Y136" s="100">
        <f t="shared" si="19"/>
        <v>2.7591666666666668</v>
      </c>
      <c r="Z136" s="100">
        <f t="shared" si="20"/>
        <v>3784</v>
      </c>
    </row>
    <row r="137" spans="1:26">
      <c r="A137" s="108" t="s">
        <v>176</v>
      </c>
      <c r="B137" s="108" t="str">
        <f>IFERROR(VLOOKUP(Tablo518[[#This Row],[ÜRÜN KODU]],YMKODLARI!$A$1:$K$363,2,0)," ")</f>
        <v xml:space="preserve">BİBERON KAPAĞI </v>
      </c>
      <c r="C137" s="99">
        <v>43980</v>
      </c>
      <c r="D137" s="100" t="s">
        <v>36</v>
      </c>
      <c r="E137" s="101">
        <v>0.35416666666666669</v>
      </c>
      <c r="F137" s="101">
        <v>0.72916666666666663</v>
      </c>
      <c r="G137" s="100">
        <f>IFERROR(VLOOKUP(Tablo518[[#This Row],[ÜRÜN KODU]],YMKODLARI!$A$1:$K$363,3,0)," ")</f>
        <v>8</v>
      </c>
      <c r="H137" s="100">
        <f>IFERROR(VLOOKUP(Tablo518[[#This Row],[ÜRÜN KODU]],YMKODLARI!$A$1:$K$363,4,0)," ")</f>
        <v>21</v>
      </c>
      <c r="I137" s="100">
        <v>1216</v>
      </c>
      <c r="J137" s="100" t="str">
        <f>IFERROR(VLOOKUP(Tablo518[[#This Row],[ÜRÜN KODU]],YMKODLARI!$A$1:$K$363,9,0)," ")</f>
        <v>Şeffaf</v>
      </c>
      <c r="K137" s="100" t="str">
        <f>IFERROR(VLOOKUP(Tablo518[[#This Row],[BOYA KODU]],Tablo14[#All],4,0)," ")</f>
        <v xml:space="preserve"> </v>
      </c>
      <c r="L137" s="100" t="str">
        <f>IFERROR(VLOOKUP(Tablo518[[#This Row],[BOYA KODU]],Tablo14[#All],6,0)," ")</f>
        <v xml:space="preserve"> </v>
      </c>
      <c r="M137" s="100" t="str">
        <f t="shared" si="14"/>
        <v xml:space="preserve"> </v>
      </c>
      <c r="N137" s="100" t="str">
        <f>IFERROR(VLOOKUP(Tablo518[[#This Row],[ÜRÜN KODU]],YMKODLARI!$A$1:$K$363,8,0)," ")</f>
        <v>HM 001</v>
      </c>
      <c r="O137" s="100" t="str">
        <f>IFERROR(VLOOKUP(Tablo518[[#This Row],[HAMMADDE KODU]],Tablo1[#All],3,0)," ")</f>
        <v>CAPILENE</v>
      </c>
      <c r="P137" s="100" t="str">
        <f>IFERROR(VLOOKUP(Tablo518[[#This Row],[HAMMADDE KODU]],Tablo1[#All],4,0)," ")</f>
        <v>PİNHAS</v>
      </c>
      <c r="Q137" s="100">
        <f>IFERROR(VLOOKUP(Tablo518[[#This Row],[ÜRÜN KODU]],YMKODLARI!$A$1:$K$363,5,0)," ")</f>
        <v>40</v>
      </c>
      <c r="R137" s="100">
        <f>IFERROR(VLOOKUP(Tablo518[[#This Row],[ÜRÜN KODU]],YMKODLARI!$A$1:$K$363,6,0)," ")</f>
        <v>40</v>
      </c>
      <c r="S137" s="100">
        <f>IFERROR(Tablo518[[#This Row],[YOLLUK HARİÇ BASKI GRAMI]]/Tablo518[[#This Row],[KALIP GÖZ ADEDİ]]," ")</f>
        <v>5</v>
      </c>
      <c r="T137" s="100">
        <f t="shared" si="16"/>
        <v>0</v>
      </c>
      <c r="U137" s="100">
        <v>1.8</v>
      </c>
      <c r="V137" s="100">
        <f t="shared" si="15"/>
        <v>50.44</v>
      </c>
      <c r="W137" s="101">
        <f t="shared" si="17"/>
        <v>24.375</v>
      </c>
      <c r="X137" s="102">
        <f t="shared" si="18"/>
        <v>9</v>
      </c>
      <c r="Y137" s="100">
        <f t="shared" si="19"/>
        <v>7.0933333333333337</v>
      </c>
      <c r="Z137" s="100">
        <f t="shared" si="20"/>
        <v>9728</v>
      </c>
    </row>
    <row r="138" spans="1:26">
      <c r="A138" s="108" t="s">
        <v>176</v>
      </c>
      <c r="B138" s="108" t="str">
        <f>IFERROR(VLOOKUP(Tablo518[[#This Row],[ÜRÜN KODU]],YMKODLARI!$A$1:$K$363,2,0)," ")</f>
        <v xml:space="preserve">BİBERON KAPAĞI </v>
      </c>
      <c r="C138" s="99">
        <v>43983</v>
      </c>
      <c r="D138" s="100" t="s">
        <v>36</v>
      </c>
      <c r="E138" s="101">
        <v>0.33333333333333331</v>
      </c>
      <c r="F138" s="101">
        <v>0.75</v>
      </c>
      <c r="G138" s="100">
        <f>IFERROR(VLOOKUP(Tablo518[[#This Row],[ÜRÜN KODU]],YMKODLARI!$A$1:$K$363,3,0)," ")</f>
        <v>8</v>
      </c>
      <c r="H138" s="100">
        <f>IFERROR(VLOOKUP(Tablo518[[#This Row],[ÜRÜN KODU]],YMKODLARI!$A$1:$K$363,4,0)," ")</f>
        <v>21</v>
      </c>
      <c r="I138" s="100">
        <v>1457</v>
      </c>
      <c r="J138" s="100" t="str">
        <f>IFERROR(VLOOKUP(Tablo518[[#This Row],[ÜRÜN KODU]],YMKODLARI!$A$1:$K$363,9,0)," ")</f>
        <v>Şeffaf</v>
      </c>
      <c r="K138" s="100" t="str">
        <f>IFERROR(VLOOKUP(Tablo518[[#This Row],[BOYA KODU]],Tablo14[#All],4,0)," ")</f>
        <v xml:space="preserve"> </v>
      </c>
      <c r="L138" s="100" t="str">
        <f>IFERROR(VLOOKUP(Tablo518[[#This Row],[BOYA KODU]],Tablo14[#All],6,0)," ")</f>
        <v xml:space="preserve"> </v>
      </c>
      <c r="M138" s="100" t="str">
        <f t="shared" si="14"/>
        <v xml:space="preserve"> </v>
      </c>
      <c r="N138" s="100" t="str">
        <f>IFERROR(VLOOKUP(Tablo518[[#This Row],[ÜRÜN KODU]],YMKODLARI!$A$1:$K$363,8,0)," ")</f>
        <v>HM 001</v>
      </c>
      <c r="O138" s="100" t="str">
        <f>IFERROR(VLOOKUP(Tablo518[[#This Row],[HAMMADDE KODU]],Tablo1[#All],3,0)," ")</f>
        <v>CAPILENE</v>
      </c>
      <c r="P138" s="100" t="str">
        <f>IFERROR(VLOOKUP(Tablo518[[#This Row],[HAMMADDE KODU]],Tablo1[#All],4,0)," ")</f>
        <v>PİNHAS</v>
      </c>
      <c r="Q138" s="100">
        <f>IFERROR(VLOOKUP(Tablo518[[#This Row],[ÜRÜN KODU]],YMKODLARI!$A$1:$K$363,5,0)," ")</f>
        <v>40</v>
      </c>
      <c r="R138" s="100">
        <f>IFERROR(VLOOKUP(Tablo518[[#This Row],[ÜRÜN KODU]],YMKODLARI!$A$1:$K$363,6,0)," ")</f>
        <v>40</v>
      </c>
      <c r="S138" s="100">
        <f>IFERROR(Tablo518[[#This Row],[YOLLUK HARİÇ BASKI GRAMI]]/Tablo518[[#This Row],[KALIP GÖZ ADEDİ]]," ")</f>
        <v>5</v>
      </c>
      <c r="T138" s="100">
        <f t="shared" si="16"/>
        <v>0</v>
      </c>
      <c r="U138" s="100">
        <v>0.5</v>
      </c>
      <c r="V138" s="100">
        <f t="shared" si="15"/>
        <v>58.78</v>
      </c>
      <c r="W138" s="101">
        <f t="shared" si="17"/>
        <v>24.416666666666668</v>
      </c>
      <c r="X138" s="102">
        <f t="shared" si="18"/>
        <v>10.000000000000028</v>
      </c>
      <c r="Y138" s="100">
        <f t="shared" si="19"/>
        <v>8.4991666666666674</v>
      </c>
      <c r="Z138" s="100">
        <f t="shared" si="20"/>
        <v>11656</v>
      </c>
    </row>
    <row r="139" spans="1:26">
      <c r="A139" s="108" t="s">
        <v>164</v>
      </c>
      <c r="B139" s="108" t="str">
        <f>IFERROR(VLOOKUP(Tablo518[[#This Row],[ÜRÜN KODU]],YMKODLARI!$A$1:$K$363,2,0)," ")</f>
        <v>YENİ DAMAK GÖVDE</v>
      </c>
      <c r="C139" s="99">
        <v>43984</v>
      </c>
      <c r="D139" s="100" t="s">
        <v>36</v>
      </c>
      <c r="E139" s="101">
        <v>0.6875</v>
      </c>
      <c r="F139" s="101">
        <v>0.75</v>
      </c>
      <c r="G139" s="100">
        <f>IFERROR(VLOOKUP(Tablo518[[#This Row],[ÜRÜN KODU]],YMKODLARI!$A$1:$K$363,3,0)," ")</f>
        <v>8</v>
      </c>
      <c r="H139" s="100">
        <f>IFERROR(VLOOKUP(Tablo518[[#This Row],[ÜRÜN KODU]],YMKODLARI!$A$1:$K$363,4,0)," ")</f>
        <v>25</v>
      </c>
      <c r="I139" s="100">
        <v>236</v>
      </c>
      <c r="J139" s="100" t="str">
        <f>IFERROR(VLOOKUP(Tablo518[[#This Row],[ÜRÜN KODU]],YMKODLARI!$A$1:$K$363,9,0)," ")</f>
        <v>Şeffaf</v>
      </c>
      <c r="K139" s="100" t="str">
        <f>IFERROR(VLOOKUP(Tablo518[[#This Row],[BOYA KODU]],Tablo14[#All],4,0)," ")</f>
        <v xml:space="preserve"> </v>
      </c>
      <c r="L139" s="100" t="str">
        <f>IFERROR(VLOOKUP(Tablo518[[#This Row],[BOYA KODU]],Tablo14[#All],6,0)," ")</f>
        <v xml:space="preserve"> </v>
      </c>
      <c r="M139" s="100" t="str">
        <f t="shared" si="14"/>
        <v xml:space="preserve"> </v>
      </c>
      <c r="N139" s="100" t="str">
        <f>IFERROR(VLOOKUP(Tablo518[[#This Row],[ÜRÜN KODU]],YMKODLARI!$A$1:$K$363,8,0)," ")</f>
        <v>HM 002</v>
      </c>
      <c r="O139" s="100" t="str">
        <f>IFERROR(VLOOKUP(Tablo518[[#This Row],[HAMMADDE KODU]],Tablo1[#All],3,0)," ")</f>
        <v>NOVAREX</v>
      </c>
      <c r="P139" s="100" t="str">
        <f>IFERROR(VLOOKUP(Tablo518[[#This Row],[HAMMADDE KODU]],Tablo1[#All],4,0)," ")</f>
        <v>PİNHAS</v>
      </c>
      <c r="Q139" s="100">
        <f>IFERROR(VLOOKUP(Tablo518[[#This Row],[ÜRÜN KODU]],YMKODLARI!$A$1:$K$363,5,0)," ")</f>
        <v>35.700000000000003</v>
      </c>
      <c r="R139" s="100">
        <f>IFERROR(VLOOKUP(Tablo518[[#This Row],[ÜRÜN KODU]],YMKODLARI!$A$1:$K$363,6,0)," ")</f>
        <v>35</v>
      </c>
      <c r="S139" s="100">
        <f>IFERROR(Tablo518[[#This Row],[YOLLUK HARİÇ BASKI GRAMI]]/Tablo518[[#This Row],[KALIP GÖZ ADEDİ]]," ")</f>
        <v>4.375</v>
      </c>
      <c r="T139" s="100">
        <f t="shared" si="16"/>
        <v>0.70000000000000284</v>
      </c>
      <c r="U139" s="100"/>
      <c r="V139" s="100">
        <f t="shared" si="15"/>
        <v>8.26</v>
      </c>
      <c r="W139" s="101">
        <f t="shared" si="17"/>
        <v>24.0625</v>
      </c>
      <c r="X139" s="102">
        <f t="shared" si="18"/>
        <v>1.5</v>
      </c>
      <c r="Y139" s="100">
        <f t="shared" si="19"/>
        <v>1.6388888888888888</v>
      </c>
      <c r="Z139" s="100">
        <f t="shared" si="20"/>
        <v>1888</v>
      </c>
    </row>
    <row r="140" spans="1:26">
      <c r="A140" s="108" t="s">
        <v>164</v>
      </c>
      <c r="B140" s="108" t="str">
        <f>IFERROR(VLOOKUP(Tablo518[[#This Row],[ÜRÜN KODU]],YMKODLARI!$A$1:$K$363,2,0)," ")</f>
        <v>YENİ DAMAK GÖVDE</v>
      </c>
      <c r="C140" s="99">
        <v>43985</v>
      </c>
      <c r="D140" s="100" t="s">
        <v>36</v>
      </c>
      <c r="E140" s="101">
        <v>0.625</v>
      </c>
      <c r="F140" s="101">
        <v>0.75</v>
      </c>
      <c r="G140" s="100">
        <f>IFERROR(VLOOKUP(Tablo518[[#This Row],[ÜRÜN KODU]],YMKODLARI!$A$1:$K$363,3,0)," ")</f>
        <v>8</v>
      </c>
      <c r="H140" s="100">
        <f>IFERROR(VLOOKUP(Tablo518[[#This Row],[ÜRÜN KODU]],YMKODLARI!$A$1:$K$363,4,0)," ")</f>
        <v>25</v>
      </c>
      <c r="I140" s="100">
        <v>393</v>
      </c>
      <c r="J140" s="100" t="str">
        <f>IFERROR(VLOOKUP(Tablo518[[#This Row],[ÜRÜN KODU]],YMKODLARI!$A$1:$K$363,9,0)," ")</f>
        <v>Şeffaf</v>
      </c>
      <c r="K140" s="100" t="str">
        <f>IFERROR(VLOOKUP(Tablo518[[#This Row],[BOYA KODU]],Tablo14[#All],4,0)," ")</f>
        <v xml:space="preserve"> </v>
      </c>
      <c r="L140" s="100" t="str">
        <f>IFERROR(VLOOKUP(Tablo518[[#This Row],[BOYA KODU]],Tablo14[#All],6,0)," ")</f>
        <v xml:space="preserve"> </v>
      </c>
      <c r="M140" s="100" t="str">
        <f t="shared" si="14"/>
        <v xml:space="preserve"> </v>
      </c>
      <c r="N140" s="100" t="str">
        <f>IFERROR(VLOOKUP(Tablo518[[#This Row],[ÜRÜN KODU]],YMKODLARI!$A$1:$K$363,8,0)," ")</f>
        <v>HM 002</v>
      </c>
      <c r="O140" s="100" t="str">
        <f>IFERROR(VLOOKUP(Tablo518[[#This Row],[HAMMADDE KODU]],Tablo1[#All],3,0)," ")</f>
        <v>NOVAREX</v>
      </c>
      <c r="P140" s="100" t="str">
        <f>IFERROR(VLOOKUP(Tablo518[[#This Row],[HAMMADDE KODU]],Tablo1[#All],4,0)," ")</f>
        <v>PİNHAS</v>
      </c>
      <c r="Q140" s="100">
        <f>IFERROR(VLOOKUP(Tablo518[[#This Row],[ÜRÜN KODU]],YMKODLARI!$A$1:$K$363,5,0)," ")</f>
        <v>35.700000000000003</v>
      </c>
      <c r="R140" s="100">
        <f>IFERROR(VLOOKUP(Tablo518[[#This Row],[ÜRÜN KODU]],YMKODLARI!$A$1:$K$363,6,0)," ")</f>
        <v>35</v>
      </c>
      <c r="S140" s="100">
        <f>IFERROR(Tablo518[[#This Row],[YOLLUK HARİÇ BASKI GRAMI]]/Tablo518[[#This Row],[KALIP GÖZ ADEDİ]]," ")</f>
        <v>4.375</v>
      </c>
      <c r="T140" s="100">
        <f t="shared" si="16"/>
        <v>0.70000000000000284</v>
      </c>
      <c r="U140" s="100">
        <v>5.4</v>
      </c>
      <c r="V140" s="100">
        <f t="shared" si="15"/>
        <v>19.155000000000001</v>
      </c>
      <c r="W140" s="101">
        <f t="shared" si="17"/>
        <v>24.125</v>
      </c>
      <c r="X140" s="102">
        <f t="shared" si="18"/>
        <v>3</v>
      </c>
      <c r="Y140" s="100">
        <f t="shared" si="19"/>
        <v>2.7291666666666665</v>
      </c>
      <c r="Z140" s="100">
        <f t="shared" si="20"/>
        <v>3144</v>
      </c>
    </row>
    <row r="141" spans="1:26">
      <c r="A141" s="108" t="s">
        <v>164</v>
      </c>
      <c r="B141" s="108" t="str">
        <f>IFERROR(VLOOKUP(Tablo518[[#This Row],[ÜRÜN KODU]],YMKODLARI!$A$1:$K$363,2,0)," ")</f>
        <v>YENİ DAMAK GÖVDE</v>
      </c>
      <c r="C141" s="99">
        <v>43986</v>
      </c>
      <c r="D141" s="100" t="s">
        <v>36</v>
      </c>
      <c r="E141" s="101">
        <v>0.35416666666666669</v>
      </c>
      <c r="F141" s="101">
        <v>0.75</v>
      </c>
      <c r="G141" s="100">
        <f>IFERROR(VLOOKUP(Tablo518[[#This Row],[ÜRÜN KODU]],YMKODLARI!$A$1:$K$363,3,0)," ")</f>
        <v>8</v>
      </c>
      <c r="H141" s="100">
        <f>IFERROR(VLOOKUP(Tablo518[[#This Row],[ÜRÜN KODU]],YMKODLARI!$A$1:$K$363,4,0)," ")</f>
        <v>25</v>
      </c>
      <c r="I141" s="100">
        <v>1094</v>
      </c>
      <c r="J141" s="100" t="str">
        <f>IFERROR(VLOOKUP(Tablo518[[#This Row],[ÜRÜN KODU]],YMKODLARI!$A$1:$K$363,9,0)," ")</f>
        <v>Şeffaf</v>
      </c>
      <c r="K141" s="100" t="str">
        <f>IFERROR(VLOOKUP(Tablo518[[#This Row],[BOYA KODU]],Tablo14[#All],4,0)," ")</f>
        <v xml:space="preserve"> </v>
      </c>
      <c r="L141" s="100" t="str">
        <f>IFERROR(VLOOKUP(Tablo518[[#This Row],[BOYA KODU]],Tablo14[#All],6,0)," ")</f>
        <v xml:space="preserve"> </v>
      </c>
      <c r="M141" s="100" t="str">
        <f t="shared" si="14"/>
        <v xml:space="preserve"> </v>
      </c>
      <c r="N141" s="100" t="str">
        <f>IFERROR(VLOOKUP(Tablo518[[#This Row],[ÜRÜN KODU]],YMKODLARI!$A$1:$K$363,8,0)," ")</f>
        <v>HM 002</v>
      </c>
      <c r="O141" s="100" t="str">
        <f>IFERROR(VLOOKUP(Tablo518[[#This Row],[HAMMADDE KODU]],Tablo1[#All],3,0)," ")</f>
        <v>NOVAREX</v>
      </c>
      <c r="P141" s="100" t="str">
        <f>IFERROR(VLOOKUP(Tablo518[[#This Row],[HAMMADDE KODU]],Tablo1[#All],4,0)," ")</f>
        <v>PİNHAS</v>
      </c>
      <c r="Q141" s="100">
        <f>IFERROR(VLOOKUP(Tablo518[[#This Row],[ÜRÜN KODU]],YMKODLARI!$A$1:$K$363,5,0)," ")</f>
        <v>35.700000000000003</v>
      </c>
      <c r="R141" s="100">
        <f>IFERROR(VLOOKUP(Tablo518[[#This Row],[ÜRÜN KODU]],YMKODLARI!$A$1:$K$363,6,0)," ")</f>
        <v>35</v>
      </c>
      <c r="S141" s="100">
        <f>IFERROR(Tablo518[[#This Row],[YOLLUK HARİÇ BASKI GRAMI]]/Tablo518[[#This Row],[KALIP GÖZ ADEDİ]]," ")</f>
        <v>4.375</v>
      </c>
      <c r="T141" s="100">
        <f t="shared" si="16"/>
        <v>0.70000000000000284</v>
      </c>
      <c r="U141" s="100">
        <v>1.6</v>
      </c>
      <c r="V141" s="100">
        <f t="shared" si="15"/>
        <v>39.89</v>
      </c>
      <c r="W141" s="101">
        <f t="shared" si="17"/>
        <v>24.395833333333332</v>
      </c>
      <c r="X141" s="102">
        <f t="shared" si="18"/>
        <v>9.4999999999999716</v>
      </c>
      <c r="Y141" s="100">
        <f t="shared" si="19"/>
        <v>7.5972222222222223</v>
      </c>
      <c r="Z141" s="100">
        <f t="shared" si="20"/>
        <v>8752</v>
      </c>
    </row>
    <row r="142" spans="1:26">
      <c r="A142" s="108" t="s">
        <v>164</v>
      </c>
      <c r="B142" s="108" t="str">
        <f>IFERROR(VLOOKUP(Tablo518[[#This Row],[ÜRÜN KODU]],YMKODLARI!$A$1:$K$363,2,0)," ")</f>
        <v>YENİ DAMAK GÖVDE</v>
      </c>
      <c r="C142" s="99">
        <v>43987</v>
      </c>
      <c r="D142" s="100" t="s">
        <v>36</v>
      </c>
      <c r="E142" s="101">
        <v>0.33333333333333331</v>
      </c>
      <c r="F142" s="101">
        <v>0.67361111111111116</v>
      </c>
      <c r="G142" s="100">
        <f>IFERROR(VLOOKUP(Tablo518[[#This Row],[ÜRÜN KODU]],YMKODLARI!$A$1:$K$363,3,0)," ")</f>
        <v>8</v>
      </c>
      <c r="H142" s="100">
        <f>IFERROR(VLOOKUP(Tablo518[[#This Row],[ÜRÜN KODU]],YMKODLARI!$A$1:$K$363,4,0)," ")</f>
        <v>25</v>
      </c>
      <c r="I142" s="100">
        <v>898</v>
      </c>
      <c r="J142" s="100" t="str">
        <f>IFERROR(VLOOKUP(Tablo518[[#This Row],[ÜRÜN KODU]],YMKODLARI!$A$1:$K$363,9,0)," ")</f>
        <v>Şeffaf</v>
      </c>
      <c r="K142" s="100" t="str">
        <f>IFERROR(VLOOKUP(Tablo518[[#This Row],[BOYA KODU]],Tablo14[#All],4,0)," ")</f>
        <v xml:space="preserve"> </v>
      </c>
      <c r="L142" s="100" t="str">
        <f>IFERROR(VLOOKUP(Tablo518[[#This Row],[BOYA KODU]],Tablo14[#All],6,0)," ")</f>
        <v xml:space="preserve"> </v>
      </c>
      <c r="M142" s="100" t="str">
        <f t="shared" si="14"/>
        <v xml:space="preserve"> </v>
      </c>
      <c r="N142" s="100" t="str">
        <f>IFERROR(VLOOKUP(Tablo518[[#This Row],[ÜRÜN KODU]],YMKODLARI!$A$1:$K$363,8,0)," ")</f>
        <v>HM 002</v>
      </c>
      <c r="O142" s="100" t="str">
        <f>IFERROR(VLOOKUP(Tablo518[[#This Row],[HAMMADDE KODU]],Tablo1[#All],3,0)," ")</f>
        <v>NOVAREX</v>
      </c>
      <c r="P142" s="100" t="str">
        <f>IFERROR(VLOOKUP(Tablo518[[#This Row],[HAMMADDE KODU]],Tablo1[#All],4,0)," ")</f>
        <v>PİNHAS</v>
      </c>
      <c r="Q142" s="100">
        <f>IFERROR(VLOOKUP(Tablo518[[#This Row],[ÜRÜN KODU]],YMKODLARI!$A$1:$K$363,5,0)," ")</f>
        <v>35.700000000000003</v>
      </c>
      <c r="R142" s="100">
        <f>IFERROR(VLOOKUP(Tablo518[[#This Row],[ÜRÜN KODU]],YMKODLARI!$A$1:$K$363,6,0)," ")</f>
        <v>35</v>
      </c>
      <c r="S142" s="100">
        <f>IFERROR(Tablo518[[#This Row],[YOLLUK HARİÇ BASKI GRAMI]]/Tablo518[[#This Row],[KALIP GÖZ ADEDİ]]," ")</f>
        <v>4.375</v>
      </c>
      <c r="T142" s="100">
        <f t="shared" si="16"/>
        <v>0.70000000000000284</v>
      </c>
      <c r="U142" s="100">
        <v>3.2</v>
      </c>
      <c r="V142" s="100">
        <f t="shared" si="15"/>
        <v>34.630000000000003</v>
      </c>
      <c r="W142" s="101">
        <f t="shared" si="17"/>
        <v>24.340277777777779</v>
      </c>
      <c r="X142" s="102">
        <f t="shared" si="18"/>
        <v>8.1666666666666856</v>
      </c>
      <c r="Y142" s="100">
        <f t="shared" si="19"/>
        <v>6.2361111111111107</v>
      </c>
      <c r="Z142" s="100">
        <f t="shared" si="20"/>
        <v>7184</v>
      </c>
    </row>
    <row r="143" spans="1:26">
      <c r="A143" s="108" t="s">
        <v>177</v>
      </c>
      <c r="B143" s="108" t="str">
        <f>IFERROR(VLOOKUP(Tablo518[[#This Row],[ÜRÜN KODU]],YMKODLARI!$A$1:$K$363,2,0)," ")</f>
        <v xml:space="preserve"> </v>
      </c>
      <c r="C143" s="99">
        <v>43987</v>
      </c>
      <c r="D143" s="100" t="s">
        <v>29</v>
      </c>
      <c r="E143" s="101">
        <v>0.67708333333333337</v>
      </c>
      <c r="F143" s="101">
        <v>0.71527777777777779</v>
      </c>
      <c r="G143" s="100" t="str">
        <f>IFERROR(VLOOKUP(Tablo518[[#This Row],[ÜRÜN KODU]],YMKODLARI!$A$1:$K$363,3,0)," ")</f>
        <v xml:space="preserve"> </v>
      </c>
      <c r="H143" s="100" t="str">
        <f>IFERROR(VLOOKUP(Tablo518[[#This Row],[ÜRÜN KODU]],YMKODLARI!$A$1:$K$363,4,0)," ")</f>
        <v xml:space="preserve"> </v>
      </c>
      <c r="I143" s="100">
        <v>98</v>
      </c>
      <c r="J143" s="100" t="str">
        <f>IFERROR(VLOOKUP(Tablo518[[#This Row],[ÜRÜN KODU]],YMKODLARI!$A$1:$K$363,9,0)," ")</f>
        <v xml:space="preserve"> </v>
      </c>
      <c r="K143" s="100" t="str">
        <f>IFERROR(VLOOKUP(Tablo518[[#This Row],[BOYA KODU]],Tablo14[#All],4,0)," ")</f>
        <v xml:space="preserve"> </v>
      </c>
      <c r="L143" s="100" t="str">
        <f>IFERROR(VLOOKUP(Tablo518[[#This Row],[BOYA KODU]],Tablo14[#All],6,0)," ")</f>
        <v xml:space="preserve"> </v>
      </c>
      <c r="M143" s="100" t="str">
        <f t="shared" si="14"/>
        <v xml:space="preserve"> </v>
      </c>
      <c r="N143" s="100" t="str">
        <f>IFERROR(VLOOKUP(Tablo518[[#This Row],[ÜRÜN KODU]],YMKODLARI!$A$1:$K$363,8,0)," ")</f>
        <v xml:space="preserve"> </v>
      </c>
      <c r="O143" s="100" t="str">
        <f>IFERROR(VLOOKUP(Tablo518[[#This Row],[HAMMADDE KODU]],Tablo1[#All],3,0)," ")</f>
        <v xml:space="preserve"> </v>
      </c>
      <c r="P143" s="100" t="str">
        <f>IFERROR(VLOOKUP(Tablo518[[#This Row],[HAMMADDE KODU]],Tablo1[#All],4,0)," ")</f>
        <v xml:space="preserve"> </v>
      </c>
      <c r="Q143" s="100" t="str">
        <f>IFERROR(VLOOKUP(Tablo518[[#This Row],[ÜRÜN KODU]],YMKODLARI!$A$1:$K$363,5,0)," ")</f>
        <v xml:space="preserve"> </v>
      </c>
      <c r="R143" s="100" t="str">
        <f>IFERROR(VLOOKUP(Tablo518[[#This Row],[ÜRÜN KODU]],YMKODLARI!$A$1:$K$363,6,0)," ")</f>
        <v xml:space="preserve"> </v>
      </c>
      <c r="S143" s="100" t="str">
        <f>IFERROR(Tablo518[[#This Row],[YOLLUK HARİÇ BASKI GRAMI]]/Tablo518[[#This Row],[KALIP GÖZ ADEDİ]]," ")</f>
        <v xml:space="preserve"> </v>
      </c>
      <c r="T143" s="100" t="str">
        <f t="shared" si="16"/>
        <v xml:space="preserve"> </v>
      </c>
      <c r="U143" s="100">
        <v>2.2000000000000002</v>
      </c>
      <c r="V143" s="100" t="str">
        <f t="shared" si="15"/>
        <v xml:space="preserve"> </v>
      </c>
      <c r="W143" s="101">
        <f t="shared" si="17"/>
        <v>24.038194444444443</v>
      </c>
      <c r="X143" s="102">
        <f t="shared" si="18"/>
        <v>0.91666666666662877</v>
      </c>
      <c r="Y143" s="100" t="str">
        <f t="shared" si="19"/>
        <v xml:space="preserve"> </v>
      </c>
      <c r="Z143" s="100" t="str">
        <f t="shared" si="20"/>
        <v xml:space="preserve"> </v>
      </c>
    </row>
    <row r="144" spans="1:26">
      <c r="A144" s="108" t="s">
        <v>138</v>
      </c>
      <c r="B144" s="108" t="str">
        <f>IFERROR(VLOOKUP(Tablo518[[#This Row],[ÜRÜN KODU]],YMKODLARI!$A$1:$K$363,2,0)," ")</f>
        <v>KURBAĞA DİŞ KAŞIYICI TUTACAK</v>
      </c>
      <c r="C144" s="99">
        <v>43992</v>
      </c>
      <c r="D144" s="100" t="s">
        <v>37</v>
      </c>
      <c r="E144" s="101">
        <v>0.4375</v>
      </c>
      <c r="F144" s="101">
        <v>0.70833333333333337</v>
      </c>
      <c r="G144" s="100">
        <f>IFERROR(VLOOKUP(Tablo518[[#This Row],[ÜRÜN KODU]],YMKODLARI!$A$1:$K$363,3,0)," ")</f>
        <v>2</v>
      </c>
      <c r="H144" s="100">
        <f>IFERROR(VLOOKUP(Tablo518[[#This Row],[ÜRÜN KODU]],YMKODLARI!$A$1:$K$363,4,0)," ")</f>
        <v>22</v>
      </c>
      <c r="I144" s="100">
        <v>1090</v>
      </c>
      <c r="J144" s="100">
        <f>IFERROR(VLOOKUP(Tablo518[[#This Row],[ÜRÜN KODU]],YMKODLARI!$A$1:$K$363,9,0)," ")</f>
        <v>3408</v>
      </c>
      <c r="K144" s="100" t="str">
        <f>IFERROR(VLOOKUP(Tablo518[[#This Row],[BOYA KODU]],Tablo14[#All],4,0)," ")</f>
        <v>PEMBE</v>
      </c>
      <c r="L144" s="100">
        <f>IFERROR(VLOOKUP(Tablo518[[#This Row],[BOYA KODU]],Tablo14[#All],6,0)," ")</f>
        <v>5.0000000000000001E-3</v>
      </c>
      <c r="M144" s="100">
        <f t="shared" si="14"/>
        <v>236.53</v>
      </c>
      <c r="N144" s="100" t="str">
        <f>IFERROR(VLOOKUP(Tablo518[[#This Row],[ÜRÜN KODU]],YMKODLARI!$A$1:$K$363,8,0)," ")</f>
        <v>HM 002</v>
      </c>
      <c r="O144" s="100" t="str">
        <f>IFERROR(VLOOKUP(Tablo518[[#This Row],[HAMMADDE KODU]],Tablo1[#All],3,0)," ")</f>
        <v>NOVAREX</v>
      </c>
      <c r="P144" s="100" t="str">
        <f>IFERROR(VLOOKUP(Tablo518[[#This Row],[HAMMADDE KODU]],Tablo1[#All],4,0)," ")</f>
        <v>PİNHAS</v>
      </c>
      <c r="Q144" s="100">
        <f>IFERROR(VLOOKUP(Tablo518[[#This Row],[ÜRÜN KODU]],YMKODLARI!$A$1:$K$363,5,0)," ")</f>
        <v>43.4</v>
      </c>
      <c r="R144" s="100">
        <f>IFERROR(VLOOKUP(Tablo518[[#This Row],[ÜRÜN KODU]],YMKODLARI!$A$1:$K$363,6,0)," ")</f>
        <v>41.8</v>
      </c>
      <c r="S144" s="100">
        <f>IFERROR(Tablo518[[#This Row],[YOLLUK HARİÇ BASKI GRAMI]]/Tablo518[[#This Row],[KALIP GÖZ ADEDİ]]," ")</f>
        <v>20.9</v>
      </c>
      <c r="T144" s="100">
        <f t="shared" si="16"/>
        <v>1.6000000000000014</v>
      </c>
      <c r="U144" s="100">
        <v>11.5</v>
      </c>
      <c r="V144" s="100">
        <f t="shared" si="15"/>
        <v>57.061999999999998</v>
      </c>
      <c r="W144" s="101">
        <f t="shared" si="17"/>
        <v>24.270833333333332</v>
      </c>
      <c r="X144" s="102">
        <f t="shared" si="18"/>
        <v>6.4999999999999716</v>
      </c>
      <c r="Y144" s="100">
        <f t="shared" si="19"/>
        <v>6.6611111111111114</v>
      </c>
      <c r="Z144" s="100">
        <f t="shared" si="20"/>
        <v>2180</v>
      </c>
    </row>
    <row r="145" spans="1:26">
      <c r="A145" s="108" t="s">
        <v>139</v>
      </c>
      <c r="B145" s="108" t="str">
        <f>IFERROR(VLOOKUP(Tablo518[[#This Row],[ÜRÜN KODU]],YMKODLARI!$A$1:$K$363,2,0)," ")</f>
        <v>KURBAĞA DİŞ KAŞIYICI TUTACAK</v>
      </c>
      <c r="C145" s="99">
        <v>43992</v>
      </c>
      <c r="D145" s="100" t="s">
        <v>37</v>
      </c>
      <c r="E145" s="101">
        <v>0.71180555555555547</v>
      </c>
      <c r="F145" s="101">
        <v>0.75</v>
      </c>
      <c r="G145" s="100">
        <f>IFERROR(VLOOKUP(Tablo518[[#This Row],[ÜRÜN KODU]],YMKODLARI!$A$1:$K$363,3,0)," ")</f>
        <v>2</v>
      </c>
      <c r="H145" s="100">
        <f>IFERROR(VLOOKUP(Tablo518[[#This Row],[ÜRÜN KODU]],YMKODLARI!$A$1:$K$363,4,0)," ")</f>
        <v>22</v>
      </c>
      <c r="I145" s="100">
        <v>107</v>
      </c>
      <c r="J145" s="100" t="str">
        <f>IFERROR(VLOOKUP(Tablo518[[#This Row],[ÜRÜN KODU]],YMKODLARI!$A$1:$K$363,9,0)," ")</f>
        <v>5249A</v>
      </c>
      <c r="K145" s="100" t="str">
        <f>IFERROR(VLOOKUP(Tablo518[[#This Row],[BOYA KODU]],Tablo14[#All],4,0)," ")</f>
        <v>MAVİ</v>
      </c>
      <c r="L145" s="100">
        <f>IFERROR(VLOOKUP(Tablo518[[#This Row],[BOYA KODU]],Tablo14[#All],6,0)," ")</f>
        <v>5.0000000000000001E-3</v>
      </c>
      <c r="M145" s="100">
        <f t="shared" si="14"/>
        <v>23.219000000000001</v>
      </c>
      <c r="N145" s="100" t="str">
        <f>IFERROR(VLOOKUP(Tablo518[[#This Row],[ÜRÜN KODU]],YMKODLARI!$A$1:$K$363,8,0)," ")</f>
        <v>HM 002</v>
      </c>
      <c r="O145" s="100" t="str">
        <f>IFERROR(VLOOKUP(Tablo518[[#This Row],[HAMMADDE KODU]],Tablo1[#All],3,0)," ")</f>
        <v>NOVAREX</v>
      </c>
      <c r="P145" s="100" t="str">
        <f>IFERROR(VLOOKUP(Tablo518[[#This Row],[HAMMADDE KODU]],Tablo1[#All],4,0)," ")</f>
        <v>PİNHAS</v>
      </c>
      <c r="Q145" s="100">
        <f>IFERROR(VLOOKUP(Tablo518[[#This Row],[ÜRÜN KODU]],YMKODLARI!$A$1:$K$363,5,0)," ")</f>
        <v>43.4</v>
      </c>
      <c r="R145" s="100">
        <f>IFERROR(VLOOKUP(Tablo518[[#This Row],[ÜRÜN KODU]],YMKODLARI!$A$1:$K$363,6,0)," ")</f>
        <v>41.8</v>
      </c>
      <c r="S145" s="100">
        <f>IFERROR(Tablo518[[#This Row],[YOLLUK HARİÇ BASKI GRAMI]]/Tablo518[[#This Row],[KALIP GÖZ ADEDİ]]," ")</f>
        <v>20.9</v>
      </c>
      <c r="T145" s="100">
        <f t="shared" si="16"/>
        <v>1.6000000000000014</v>
      </c>
      <c r="U145" s="100"/>
      <c r="V145" s="100">
        <f t="shared" si="15"/>
        <v>4.472599999999999</v>
      </c>
      <c r="W145" s="101">
        <f t="shared" si="17"/>
        <v>24.038194444444443</v>
      </c>
      <c r="X145" s="102">
        <f t="shared" si="18"/>
        <v>0.91666666666662877</v>
      </c>
      <c r="Y145" s="100">
        <f t="shared" si="19"/>
        <v>0.65388888888888885</v>
      </c>
      <c r="Z145" s="100">
        <f t="shared" si="20"/>
        <v>214</v>
      </c>
    </row>
    <row r="146" spans="1:26">
      <c r="A146" s="108" t="s">
        <v>139</v>
      </c>
      <c r="B146" s="108" t="str">
        <f>IFERROR(VLOOKUP(Tablo518[[#This Row],[ÜRÜN KODU]],YMKODLARI!$A$1:$K$363,2,0)," ")</f>
        <v>KURBAĞA DİŞ KAŞIYICI TUTACAK</v>
      </c>
      <c r="C146" s="99">
        <v>43993</v>
      </c>
      <c r="D146" s="100" t="s">
        <v>37</v>
      </c>
      <c r="E146" s="101">
        <v>0.33333333333333331</v>
      </c>
      <c r="F146" s="101">
        <v>0.5</v>
      </c>
      <c r="G146" s="100">
        <f>IFERROR(VLOOKUP(Tablo518[[#This Row],[ÜRÜN KODU]],YMKODLARI!$A$1:$K$363,3,0)," ")</f>
        <v>2</v>
      </c>
      <c r="H146" s="100">
        <f>IFERROR(VLOOKUP(Tablo518[[#This Row],[ÜRÜN KODU]],YMKODLARI!$A$1:$K$363,4,0)," ")</f>
        <v>22</v>
      </c>
      <c r="I146" s="100">
        <v>622</v>
      </c>
      <c r="J146" s="100" t="str">
        <f>IFERROR(VLOOKUP(Tablo518[[#This Row],[ÜRÜN KODU]],YMKODLARI!$A$1:$K$363,9,0)," ")</f>
        <v>5249A</v>
      </c>
      <c r="K146" s="100" t="str">
        <f>IFERROR(VLOOKUP(Tablo518[[#This Row],[BOYA KODU]],Tablo14[#All],4,0)," ")</f>
        <v>MAVİ</v>
      </c>
      <c r="L146" s="100">
        <f>IFERROR(VLOOKUP(Tablo518[[#This Row],[BOYA KODU]],Tablo14[#All],6,0)," ")</f>
        <v>5.0000000000000001E-3</v>
      </c>
      <c r="M146" s="100">
        <f t="shared" si="14"/>
        <v>134.97399999999999</v>
      </c>
      <c r="N146" s="100" t="str">
        <f>IFERROR(VLOOKUP(Tablo518[[#This Row],[ÜRÜN KODU]],YMKODLARI!$A$1:$K$363,8,0)," ")</f>
        <v>HM 002</v>
      </c>
      <c r="O146" s="100" t="str">
        <f>IFERROR(VLOOKUP(Tablo518[[#This Row],[HAMMADDE KODU]],Tablo1[#All],3,0)," ")</f>
        <v>NOVAREX</v>
      </c>
      <c r="P146" s="100" t="str">
        <f>IFERROR(VLOOKUP(Tablo518[[#This Row],[HAMMADDE KODU]],Tablo1[#All],4,0)," ")</f>
        <v>PİNHAS</v>
      </c>
      <c r="Q146" s="100">
        <f>IFERROR(VLOOKUP(Tablo518[[#This Row],[ÜRÜN KODU]],YMKODLARI!$A$1:$K$363,5,0)," ")</f>
        <v>43.4</v>
      </c>
      <c r="R146" s="100">
        <f>IFERROR(VLOOKUP(Tablo518[[#This Row],[ÜRÜN KODU]],YMKODLARI!$A$1:$K$363,6,0)," ")</f>
        <v>41.8</v>
      </c>
      <c r="S146" s="100">
        <f>IFERROR(Tablo518[[#This Row],[YOLLUK HARİÇ BASKI GRAMI]]/Tablo518[[#This Row],[KALIP GÖZ ADEDİ]]," ")</f>
        <v>20.9</v>
      </c>
      <c r="T146" s="100">
        <f t="shared" si="16"/>
        <v>1.6000000000000014</v>
      </c>
      <c r="U146" s="100">
        <v>6.4</v>
      </c>
      <c r="V146" s="100">
        <f t="shared" si="15"/>
        <v>32.3996</v>
      </c>
      <c r="W146" s="101">
        <f t="shared" si="17"/>
        <v>24.166666666666668</v>
      </c>
      <c r="X146" s="102">
        <f t="shared" si="18"/>
        <v>4.0000000000000284</v>
      </c>
      <c r="Y146" s="100">
        <f t="shared" si="19"/>
        <v>3.8011111111111111</v>
      </c>
      <c r="Z146" s="100">
        <f t="shared" si="20"/>
        <v>1244</v>
      </c>
    </row>
    <row r="147" spans="1:26">
      <c r="A147" s="108" t="s">
        <v>178</v>
      </c>
      <c r="B147" s="108" t="str">
        <f>IFERROR(VLOOKUP(Tablo518[[#This Row],[ÜRÜN KODU]],YMKODLARI!$A$1:$K$363,2,0)," ")</f>
        <v>KURBAĞA DİŞ KAŞIYICI TUTACAK</v>
      </c>
      <c r="C147" s="99">
        <v>43993</v>
      </c>
      <c r="D147" s="100" t="s">
        <v>37</v>
      </c>
      <c r="E147" s="101">
        <v>0.5</v>
      </c>
      <c r="F147" s="101">
        <v>0.75</v>
      </c>
      <c r="G147" s="100">
        <f>IFERROR(VLOOKUP(Tablo518[[#This Row],[ÜRÜN KODU]],YMKODLARI!$A$1:$K$363,3,0)," ")</f>
        <v>2</v>
      </c>
      <c r="H147" s="100">
        <f>IFERROR(VLOOKUP(Tablo518[[#This Row],[ÜRÜN KODU]],YMKODLARI!$A$1:$K$363,4,0)," ")</f>
        <v>22</v>
      </c>
      <c r="I147" s="100">
        <v>640</v>
      </c>
      <c r="J147" s="100" t="str">
        <f>IFERROR(VLOOKUP(Tablo518[[#This Row],[ÜRÜN KODU]],YMKODLARI!$A$1:$K$363,9,0)," ")</f>
        <v>3407A</v>
      </c>
      <c r="K147" s="100" t="str">
        <f>IFERROR(VLOOKUP(Tablo518[[#This Row],[BOYA KODU]],Tablo14[#All],4,0)," ")</f>
        <v>KIRMIZI</v>
      </c>
      <c r="L147" s="100">
        <f>IFERROR(VLOOKUP(Tablo518[[#This Row],[BOYA KODU]],Tablo14[#All],6,0)," ")</f>
        <v>5.0000000000000001E-3</v>
      </c>
      <c r="M147" s="100">
        <f t="shared" si="14"/>
        <v>138.88</v>
      </c>
      <c r="N147" s="100" t="str">
        <f>IFERROR(VLOOKUP(Tablo518[[#This Row],[ÜRÜN KODU]],YMKODLARI!$A$1:$K$363,8,0)," ")</f>
        <v>HM 002</v>
      </c>
      <c r="O147" s="100" t="str">
        <f>IFERROR(VLOOKUP(Tablo518[[#This Row],[HAMMADDE KODU]],Tablo1[#All],3,0)," ")</f>
        <v>NOVAREX</v>
      </c>
      <c r="P147" s="100" t="str">
        <f>IFERROR(VLOOKUP(Tablo518[[#This Row],[HAMMADDE KODU]],Tablo1[#All],4,0)," ")</f>
        <v>PİNHAS</v>
      </c>
      <c r="Q147" s="100">
        <f>IFERROR(VLOOKUP(Tablo518[[#This Row],[ÜRÜN KODU]],YMKODLARI!$A$1:$K$363,5,0)," ")</f>
        <v>43.4</v>
      </c>
      <c r="R147" s="100">
        <f>IFERROR(VLOOKUP(Tablo518[[#This Row],[ÜRÜN KODU]],YMKODLARI!$A$1:$K$363,6,0)," ")</f>
        <v>41.8</v>
      </c>
      <c r="S147" s="100">
        <f>IFERROR(Tablo518[[#This Row],[YOLLUK HARİÇ BASKI GRAMI]]/Tablo518[[#This Row],[KALIP GÖZ ADEDİ]]," ")</f>
        <v>20.9</v>
      </c>
      <c r="T147" s="100">
        <f t="shared" si="16"/>
        <v>1.6000000000000014</v>
      </c>
      <c r="U147" s="100">
        <v>8</v>
      </c>
      <c r="V147" s="100">
        <f t="shared" si="15"/>
        <v>34.751999999999995</v>
      </c>
      <c r="W147" s="101">
        <f t="shared" si="17"/>
        <v>24.25</v>
      </c>
      <c r="X147" s="102">
        <f t="shared" si="18"/>
        <v>6</v>
      </c>
      <c r="Y147" s="100">
        <f t="shared" si="19"/>
        <v>3.911111111111111</v>
      </c>
      <c r="Z147" s="100">
        <f t="shared" si="20"/>
        <v>1280</v>
      </c>
    </row>
    <row r="148" spans="1:26">
      <c r="A148" s="108" t="s">
        <v>179</v>
      </c>
      <c r="B148" s="108" t="str">
        <f>IFERROR(VLOOKUP(Tablo518[[#This Row],[ÜRÜN KODU]],YMKODLARI!$A$1:$K$363,2,0)," ")</f>
        <v>NEŞELİ ÇINGIRAK</v>
      </c>
      <c r="C148" s="99">
        <v>43997</v>
      </c>
      <c r="D148" s="100" t="s">
        <v>37</v>
      </c>
      <c r="E148" s="101"/>
      <c r="F148" s="101"/>
      <c r="G148" s="100">
        <f>IFERROR(VLOOKUP(Tablo518[[#This Row],[ÜRÜN KODU]],YMKODLARI!$A$1:$K$363,3,0)," ")</f>
        <v>2</v>
      </c>
      <c r="H148" s="100">
        <f>IFERROR(VLOOKUP(Tablo518[[#This Row],[ÜRÜN KODU]],YMKODLARI!$A$1:$K$363,4,0)," ")</f>
        <v>38</v>
      </c>
      <c r="I148" s="100">
        <v>554</v>
      </c>
      <c r="J148" s="100" t="str">
        <f>IFERROR(VLOOKUP(Tablo518[[#This Row],[ÜRÜN KODU]],YMKODLARI!$A$1:$K$363,9,0)," ")</f>
        <v>BOYASIZ</v>
      </c>
      <c r="K148" s="100" t="str">
        <f>IFERROR(VLOOKUP(Tablo518[[#This Row],[BOYA KODU]],Tablo14[#All],4,0)," ")</f>
        <v xml:space="preserve"> </v>
      </c>
      <c r="L148" s="100" t="str">
        <f>IFERROR(VLOOKUP(Tablo518[[#This Row],[BOYA KODU]],Tablo14[#All],6,0)," ")</f>
        <v xml:space="preserve"> </v>
      </c>
      <c r="M148" s="100" t="str">
        <f t="shared" si="14"/>
        <v xml:space="preserve"> </v>
      </c>
      <c r="N148" s="100" t="str">
        <f>IFERROR(VLOOKUP(Tablo518[[#This Row],[ÜRÜN KODU]],YMKODLARI!$A$1:$K$363,8,0)," ")</f>
        <v>HM 011</v>
      </c>
      <c r="O148" s="100" t="str">
        <f>IFERROR(VLOOKUP(Tablo518[[#This Row],[HAMMADDE KODU]],Tablo1[#All],3,0)," ")</f>
        <v>KIRMA PC</v>
      </c>
      <c r="P148" s="100" t="str">
        <f>IFERROR(VLOOKUP(Tablo518[[#This Row],[HAMMADDE KODU]],Tablo1[#All],4,0)," ")</f>
        <v>KIRMA</v>
      </c>
      <c r="Q148" s="100">
        <f>IFERROR(VLOOKUP(Tablo518[[#This Row],[ÜRÜN KODU]],YMKODLARI!$A$1:$K$363,5,0)," ")</f>
        <v>30.8</v>
      </c>
      <c r="R148" s="100">
        <f>IFERROR(VLOOKUP(Tablo518[[#This Row],[ÜRÜN KODU]],YMKODLARI!$A$1:$K$363,6,0)," ")</f>
        <v>19</v>
      </c>
      <c r="S148" s="100">
        <f>IFERROR(Tablo518[[#This Row],[YOLLUK HARİÇ BASKI GRAMI]]/Tablo518[[#This Row],[KALIP GÖZ ADEDİ]]," ")</f>
        <v>9.5</v>
      </c>
      <c r="T148" s="100">
        <f t="shared" si="16"/>
        <v>11.8</v>
      </c>
      <c r="U148" s="100"/>
      <c r="V148" s="100">
        <f t="shared" si="15"/>
        <v>10.526</v>
      </c>
      <c r="W148" s="101">
        <f t="shared" si="17"/>
        <v>24</v>
      </c>
      <c r="X148" s="102">
        <f t="shared" si="18"/>
        <v>0</v>
      </c>
      <c r="Y148" s="100">
        <f t="shared" si="19"/>
        <v>5.847777777777778</v>
      </c>
      <c r="Z148" s="100">
        <f t="shared" si="20"/>
        <v>1108</v>
      </c>
    </row>
    <row r="149" spans="1:26">
      <c r="A149" s="108" t="s">
        <v>180</v>
      </c>
      <c r="B149" s="108" t="str">
        <f>IFERROR(VLOOKUP(Tablo518[[#This Row],[ÜRÜN KODU]],YMKODLARI!$A$1:$K$363,2,0)," ")</f>
        <v>NEŞELİ ÇINGIRAK</v>
      </c>
      <c r="C149" s="99">
        <v>43997</v>
      </c>
      <c r="D149" s="100" t="s">
        <v>37</v>
      </c>
      <c r="E149" s="101"/>
      <c r="F149" s="101"/>
      <c r="G149" s="100">
        <f>IFERROR(VLOOKUP(Tablo518[[#This Row],[ÜRÜN KODU]],YMKODLARI!$A$1:$K$363,3,0)," ")</f>
        <v>2</v>
      </c>
      <c r="H149" s="100">
        <f>IFERROR(VLOOKUP(Tablo518[[#This Row],[ÜRÜN KODU]],YMKODLARI!$A$1:$K$363,4,0)," ")</f>
        <v>38</v>
      </c>
      <c r="I149" s="100">
        <v>554</v>
      </c>
      <c r="J149" s="100" t="str">
        <f>IFERROR(VLOOKUP(Tablo518[[#This Row],[ÜRÜN KODU]],YMKODLARI!$A$1:$K$363,9,0)," ")</f>
        <v>BOYASIZ</v>
      </c>
      <c r="K149" s="100" t="str">
        <f>IFERROR(VLOOKUP(Tablo518[[#This Row],[BOYA KODU]],Tablo14[#All],4,0)," ")</f>
        <v xml:space="preserve"> </v>
      </c>
      <c r="L149" s="100" t="str">
        <f>IFERROR(VLOOKUP(Tablo518[[#This Row],[BOYA KODU]],Tablo14[#All],6,0)," ")</f>
        <v xml:space="preserve"> </v>
      </c>
      <c r="M149" s="100" t="str">
        <f t="shared" si="14"/>
        <v xml:space="preserve"> </v>
      </c>
      <c r="N149" s="100" t="str">
        <f>IFERROR(VLOOKUP(Tablo518[[#This Row],[ÜRÜN KODU]],YMKODLARI!$A$1:$K$363,8,0)," ")</f>
        <v>HM 011</v>
      </c>
      <c r="O149" s="100" t="str">
        <f>IFERROR(VLOOKUP(Tablo518[[#This Row],[HAMMADDE KODU]],Tablo1[#All],3,0)," ")</f>
        <v>KIRMA PC</v>
      </c>
      <c r="P149" s="100" t="str">
        <f>IFERROR(VLOOKUP(Tablo518[[#This Row],[HAMMADDE KODU]],Tablo1[#All],4,0)," ")</f>
        <v>KIRMA</v>
      </c>
      <c r="Q149" s="100">
        <f>IFERROR(VLOOKUP(Tablo518[[#This Row],[ÜRÜN KODU]],YMKODLARI!$A$1:$K$363,5,0)," ")</f>
        <v>18.7</v>
      </c>
      <c r="R149" s="100">
        <f>IFERROR(VLOOKUP(Tablo518[[#This Row],[ÜRÜN KODU]],YMKODLARI!$A$1:$K$363,6,0)," ")</f>
        <v>18.7</v>
      </c>
      <c r="S149" s="100">
        <f>IFERROR(Tablo518[[#This Row],[YOLLUK HARİÇ BASKI GRAMI]]/Tablo518[[#This Row],[KALIP GÖZ ADEDİ]]," ")</f>
        <v>9.35</v>
      </c>
      <c r="T149" s="100">
        <f t="shared" si="16"/>
        <v>0</v>
      </c>
      <c r="U149" s="100"/>
      <c r="V149" s="100">
        <f t="shared" si="15"/>
        <v>10.3598</v>
      </c>
      <c r="W149" s="101">
        <f t="shared" si="17"/>
        <v>24</v>
      </c>
      <c r="X149" s="102">
        <f t="shared" si="18"/>
        <v>0</v>
      </c>
      <c r="Y149" s="100">
        <f t="shared" si="19"/>
        <v>5.847777777777778</v>
      </c>
      <c r="Z149" s="100">
        <f t="shared" si="20"/>
        <v>1108</v>
      </c>
    </row>
    <row r="150" spans="1:26">
      <c r="A150" s="108" t="s">
        <v>181</v>
      </c>
      <c r="B150" s="108" t="str">
        <f>IFERROR(VLOOKUP(Tablo518[[#This Row],[ÜRÜN KODU]],YMKODLARI!$A$1:$K$363,2,0)," ")</f>
        <v>NEŞELİ ÇINGIRAK</v>
      </c>
      <c r="C150" s="99">
        <v>43997</v>
      </c>
      <c r="D150" s="100" t="s">
        <v>37</v>
      </c>
      <c r="E150" s="101"/>
      <c r="F150" s="101"/>
      <c r="G150" s="100">
        <f>IFERROR(VLOOKUP(Tablo518[[#This Row],[ÜRÜN KODU]],YMKODLARI!$A$1:$K$363,3,0)," ")</f>
        <v>2</v>
      </c>
      <c r="H150" s="100">
        <f>IFERROR(VLOOKUP(Tablo518[[#This Row],[ÜRÜN KODU]],YMKODLARI!$A$1:$K$363,4,0)," ")</f>
        <v>38</v>
      </c>
      <c r="I150" s="100">
        <v>554</v>
      </c>
      <c r="J150" s="100" t="str">
        <f>IFERROR(VLOOKUP(Tablo518[[#This Row],[ÜRÜN KODU]],YMKODLARI!$A$1:$K$363,9,0)," ")</f>
        <v>BOYASIZ</v>
      </c>
      <c r="K150" s="100" t="str">
        <f>IFERROR(VLOOKUP(Tablo518[[#This Row],[BOYA KODU]],Tablo14[#All],4,0)," ")</f>
        <v xml:space="preserve"> </v>
      </c>
      <c r="L150" s="100" t="str">
        <f>IFERROR(VLOOKUP(Tablo518[[#This Row],[BOYA KODU]],Tablo14[#All],6,0)," ")</f>
        <v xml:space="preserve"> </v>
      </c>
      <c r="M150" s="100" t="str">
        <f t="shared" si="14"/>
        <v xml:space="preserve"> </v>
      </c>
      <c r="N150" s="100" t="str">
        <f>IFERROR(VLOOKUP(Tablo518[[#This Row],[ÜRÜN KODU]],YMKODLARI!$A$1:$K$363,8,0)," ")</f>
        <v>HM 011</v>
      </c>
      <c r="O150" s="100" t="str">
        <f>IFERROR(VLOOKUP(Tablo518[[#This Row],[HAMMADDE KODU]],Tablo1[#All],3,0)," ")</f>
        <v>KIRMA PC</v>
      </c>
      <c r="P150" s="100" t="str">
        <f>IFERROR(VLOOKUP(Tablo518[[#This Row],[HAMMADDE KODU]],Tablo1[#All],4,0)," ")</f>
        <v>KIRMA</v>
      </c>
      <c r="Q150" s="100">
        <f>IFERROR(VLOOKUP(Tablo518[[#This Row],[ÜRÜN KODU]],YMKODLARI!$A$1:$K$363,5,0)," ")</f>
        <v>17.100000000000001</v>
      </c>
      <c r="R150" s="100">
        <f>IFERROR(VLOOKUP(Tablo518[[#This Row],[ÜRÜN KODU]],YMKODLARI!$A$1:$K$363,6,0)," ")</f>
        <v>17.100000000000001</v>
      </c>
      <c r="S150" s="100">
        <f>IFERROR(Tablo518[[#This Row],[YOLLUK HARİÇ BASKI GRAMI]]/Tablo518[[#This Row],[KALIP GÖZ ADEDİ]]," ")</f>
        <v>8.5500000000000007</v>
      </c>
      <c r="T150" s="100">
        <f t="shared" si="16"/>
        <v>0</v>
      </c>
      <c r="U150" s="100"/>
      <c r="V150" s="100">
        <f t="shared" si="15"/>
        <v>9.4734000000000016</v>
      </c>
      <c r="W150" s="101">
        <f t="shared" si="17"/>
        <v>24</v>
      </c>
      <c r="X150" s="102">
        <f t="shared" si="18"/>
        <v>0</v>
      </c>
      <c r="Y150" s="100">
        <f t="shared" si="19"/>
        <v>5.847777777777778</v>
      </c>
      <c r="Z150" s="100">
        <f t="shared" si="20"/>
        <v>1108</v>
      </c>
    </row>
    <row r="151" spans="1:26">
      <c r="A151" s="108" t="s">
        <v>182</v>
      </c>
      <c r="B151" s="108" t="str">
        <f>IFERROR(VLOOKUP(Tablo518[[#This Row],[ÜRÜN KODU]],YMKODLARI!$A$1:$K$363,2,0)," ")</f>
        <v>NEŞELİ ÇINGIRAK</v>
      </c>
      <c r="C151" s="99">
        <v>43997</v>
      </c>
      <c r="D151" s="100" t="s">
        <v>37</v>
      </c>
      <c r="E151" s="101">
        <v>0.44791666666666669</v>
      </c>
      <c r="F151" s="101">
        <v>0.72222222222222221</v>
      </c>
      <c r="G151" s="100">
        <f>IFERROR(VLOOKUP(Tablo518[[#This Row],[ÜRÜN KODU]],YMKODLARI!$A$1:$K$363,3,0)," ")</f>
        <v>2</v>
      </c>
      <c r="H151" s="100">
        <f>IFERROR(VLOOKUP(Tablo518[[#This Row],[ÜRÜN KODU]],YMKODLARI!$A$1:$K$363,4,0)," ")</f>
        <v>38</v>
      </c>
      <c r="I151" s="100">
        <v>554</v>
      </c>
      <c r="J151" s="100" t="str">
        <f>IFERROR(VLOOKUP(Tablo518[[#This Row],[ÜRÜN KODU]],YMKODLARI!$A$1:$K$363,9,0)," ")</f>
        <v>BOYASIZ</v>
      </c>
      <c r="K151" s="100" t="str">
        <f>IFERROR(VLOOKUP(Tablo518[[#This Row],[BOYA KODU]],Tablo14[#All],4,0)," ")</f>
        <v xml:space="preserve"> </v>
      </c>
      <c r="L151" s="100" t="str">
        <f>IFERROR(VLOOKUP(Tablo518[[#This Row],[BOYA KODU]],Tablo14[#All],6,0)," ")</f>
        <v xml:space="preserve"> </v>
      </c>
      <c r="M151" s="100" t="str">
        <f t="shared" si="14"/>
        <v xml:space="preserve"> </v>
      </c>
      <c r="N151" s="100" t="str">
        <f>IFERROR(VLOOKUP(Tablo518[[#This Row],[ÜRÜN KODU]],YMKODLARI!$A$1:$K$363,8,0)," ")</f>
        <v>HM 011</v>
      </c>
      <c r="O151" s="100" t="str">
        <f>IFERROR(VLOOKUP(Tablo518[[#This Row],[HAMMADDE KODU]],Tablo1[#All],3,0)," ")</f>
        <v>KIRMA PC</v>
      </c>
      <c r="P151" s="100" t="str">
        <f>IFERROR(VLOOKUP(Tablo518[[#This Row],[HAMMADDE KODU]],Tablo1[#All],4,0)," ")</f>
        <v>KIRMA</v>
      </c>
      <c r="Q151" s="100">
        <f>IFERROR(VLOOKUP(Tablo518[[#This Row],[ÜRÜN KODU]],YMKODLARI!$A$1:$K$363,5,0)," ")</f>
        <v>20.100000000000001</v>
      </c>
      <c r="R151" s="100">
        <f>IFERROR(VLOOKUP(Tablo518[[#This Row],[ÜRÜN KODU]],YMKODLARI!$A$1:$K$363,6,0)," ")</f>
        <v>20.100000000000001</v>
      </c>
      <c r="S151" s="100">
        <f>IFERROR(Tablo518[[#This Row],[YOLLUK HARİÇ BASKI GRAMI]]/Tablo518[[#This Row],[KALIP GÖZ ADEDİ]]," ")</f>
        <v>10.050000000000001</v>
      </c>
      <c r="T151" s="100">
        <f t="shared" si="16"/>
        <v>0</v>
      </c>
      <c r="U151" s="100"/>
      <c r="V151" s="100">
        <f t="shared" si="15"/>
        <v>11.135400000000001</v>
      </c>
      <c r="W151" s="101">
        <f t="shared" si="17"/>
        <v>24.274305555555557</v>
      </c>
      <c r="X151" s="102">
        <f t="shared" si="18"/>
        <v>6.5833333333333712</v>
      </c>
      <c r="Y151" s="100">
        <f t="shared" si="19"/>
        <v>5.847777777777778</v>
      </c>
      <c r="Z151" s="100">
        <f t="shared" si="20"/>
        <v>1108</v>
      </c>
    </row>
    <row r="152" spans="1:26">
      <c r="A152" s="108" t="s">
        <v>179</v>
      </c>
      <c r="B152" s="108" t="str">
        <f>IFERROR(VLOOKUP(Tablo518[[#This Row],[ÜRÜN KODU]],YMKODLARI!$A$1:$K$363,2,0)," ")</f>
        <v>NEŞELİ ÇINGIRAK</v>
      </c>
      <c r="C152" s="99">
        <v>43998</v>
      </c>
      <c r="D152" s="100" t="s">
        <v>37</v>
      </c>
      <c r="E152" s="101"/>
      <c r="F152" s="101"/>
      <c r="G152" s="100">
        <f>IFERROR(VLOOKUP(Tablo518[[#This Row],[ÜRÜN KODU]],YMKODLARI!$A$1:$K$363,3,0)," ")</f>
        <v>2</v>
      </c>
      <c r="H152" s="100">
        <f>IFERROR(VLOOKUP(Tablo518[[#This Row],[ÜRÜN KODU]],YMKODLARI!$A$1:$K$363,4,0)," ")</f>
        <v>38</v>
      </c>
      <c r="I152" s="100">
        <v>655</v>
      </c>
      <c r="J152" s="100">
        <v>3408</v>
      </c>
      <c r="K152" s="100" t="str">
        <f>IFERROR(VLOOKUP(Tablo518[[#This Row],[BOYA KODU]],Tablo14[#All],4,0)," ")</f>
        <v>PEMBE</v>
      </c>
      <c r="L152" s="100">
        <f>IFERROR(VLOOKUP(Tablo518[[#This Row],[BOYA KODU]],Tablo14[#All],6,0)," ")</f>
        <v>5.0000000000000001E-3</v>
      </c>
      <c r="M152" s="100">
        <f t="shared" si="14"/>
        <v>100.87</v>
      </c>
      <c r="N152" s="100" t="s">
        <v>183</v>
      </c>
      <c r="O152" s="100" t="str">
        <f>IFERROR(VLOOKUP(Tablo518[[#This Row],[HAMMADDE KODU]],Tablo1[#All],3,0)," ")</f>
        <v>NOVAREX</v>
      </c>
      <c r="P152" s="100" t="str">
        <f>IFERROR(VLOOKUP(Tablo518[[#This Row],[HAMMADDE KODU]],Tablo1[#All],4,0)," ")</f>
        <v>PİNHAS</v>
      </c>
      <c r="Q152" s="100">
        <f>IFERROR(VLOOKUP(Tablo518[[#This Row],[ÜRÜN KODU]],YMKODLARI!$A$1:$K$363,5,0)," ")</f>
        <v>30.8</v>
      </c>
      <c r="R152" s="100">
        <f>IFERROR(VLOOKUP(Tablo518[[#This Row],[ÜRÜN KODU]],YMKODLARI!$A$1:$K$363,6,0)," ")</f>
        <v>19</v>
      </c>
      <c r="S152" s="100">
        <f>IFERROR(Tablo518[[#This Row],[YOLLUK HARİÇ BASKI GRAMI]]/Tablo518[[#This Row],[KALIP GÖZ ADEDİ]]," ")</f>
        <v>9.5</v>
      </c>
      <c r="T152" s="100">
        <f t="shared" si="16"/>
        <v>11.8</v>
      </c>
      <c r="U152" s="100"/>
      <c r="V152" s="100">
        <f t="shared" si="15"/>
        <v>12.445</v>
      </c>
      <c r="W152" s="101">
        <f t="shared" si="17"/>
        <v>24</v>
      </c>
      <c r="X152" s="102">
        <f t="shared" si="18"/>
        <v>0</v>
      </c>
      <c r="Y152" s="100">
        <f t="shared" si="19"/>
        <v>6.9138888888888888</v>
      </c>
      <c r="Z152" s="100">
        <f t="shared" si="20"/>
        <v>1310</v>
      </c>
    </row>
    <row r="153" spans="1:26">
      <c r="A153" s="108" t="s">
        <v>180</v>
      </c>
      <c r="B153" s="108" t="str">
        <f>IFERROR(VLOOKUP(Tablo518[[#This Row],[ÜRÜN KODU]],YMKODLARI!$A$1:$K$363,2,0)," ")</f>
        <v>NEŞELİ ÇINGIRAK</v>
      </c>
      <c r="C153" s="99">
        <v>43998</v>
      </c>
      <c r="D153" s="100" t="s">
        <v>37</v>
      </c>
      <c r="E153" s="101"/>
      <c r="F153" s="101"/>
      <c r="G153" s="100">
        <f>IFERROR(VLOOKUP(Tablo518[[#This Row],[ÜRÜN KODU]],YMKODLARI!$A$1:$K$363,3,0)," ")</f>
        <v>2</v>
      </c>
      <c r="H153" s="100">
        <f>IFERROR(VLOOKUP(Tablo518[[#This Row],[ÜRÜN KODU]],YMKODLARI!$A$1:$K$363,4,0)," ")</f>
        <v>38</v>
      </c>
      <c r="I153" s="100">
        <v>655</v>
      </c>
      <c r="J153" s="100">
        <v>3408</v>
      </c>
      <c r="K153" s="100" t="str">
        <f>IFERROR(VLOOKUP(Tablo518[[#This Row],[BOYA KODU]],Tablo14[#All],4,0)," ")</f>
        <v>PEMBE</v>
      </c>
      <c r="L153" s="100">
        <f>IFERROR(VLOOKUP(Tablo518[[#This Row],[BOYA KODU]],Tablo14[#All],6,0)," ")</f>
        <v>5.0000000000000001E-3</v>
      </c>
      <c r="M153" s="100">
        <f t="shared" si="14"/>
        <v>61.2425</v>
      </c>
      <c r="N153" s="100" t="s">
        <v>183</v>
      </c>
      <c r="O153" s="100" t="str">
        <f>IFERROR(VLOOKUP(Tablo518[[#This Row],[HAMMADDE KODU]],Tablo1[#All],3,0)," ")</f>
        <v>NOVAREX</v>
      </c>
      <c r="P153" s="100" t="str">
        <f>IFERROR(VLOOKUP(Tablo518[[#This Row],[HAMMADDE KODU]],Tablo1[#All],4,0)," ")</f>
        <v>PİNHAS</v>
      </c>
      <c r="Q153" s="100">
        <f>IFERROR(VLOOKUP(Tablo518[[#This Row],[ÜRÜN KODU]],YMKODLARI!$A$1:$K$363,5,0)," ")</f>
        <v>18.7</v>
      </c>
      <c r="R153" s="100">
        <f>IFERROR(VLOOKUP(Tablo518[[#This Row],[ÜRÜN KODU]],YMKODLARI!$A$1:$K$363,6,0)," ")</f>
        <v>18.7</v>
      </c>
      <c r="S153" s="100">
        <f>IFERROR(Tablo518[[#This Row],[YOLLUK HARİÇ BASKI GRAMI]]/Tablo518[[#This Row],[KALIP GÖZ ADEDİ]]," ")</f>
        <v>9.35</v>
      </c>
      <c r="T153" s="100">
        <f t="shared" si="16"/>
        <v>0</v>
      </c>
      <c r="U153" s="100"/>
      <c r="V153" s="100">
        <f t="shared" si="15"/>
        <v>12.2485</v>
      </c>
      <c r="W153" s="101">
        <f t="shared" si="17"/>
        <v>24</v>
      </c>
      <c r="X153" s="102">
        <f t="shared" si="18"/>
        <v>0</v>
      </c>
      <c r="Y153" s="100">
        <f t="shared" si="19"/>
        <v>6.9138888888888888</v>
      </c>
      <c r="Z153" s="100">
        <f t="shared" si="20"/>
        <v>1310</v>
      </c>
    </row>
    <row r="154" spans="1:26">
      <c r="A154" s="108" t="s">
        <v>181</v>
      </c>
      <c r="B154" s="108" t="str">
        <f>IFERROR(VLOOKUP(Tablo518[[#This Row],[ÜRÜN KODU]],YMKODLARI!$A$1:$K$363,2,0)," ")</f>
        <v>NEŞELİ ÇINGIRAK</v>
      </c>
      <c r="C154" s="99">
        <v>43998</v>
      </c>
      <c r="D154" s="100" t="s">
        <v>37</v>
      </c>
      <c r="E154" s="101"/>
      <c r="F154" s="101"/>
      <c r="G154" s="100">
        <f>IFERROR(VLOOKUP(Tablo518[[#This Row],[ÜRÜN KODU]],YMKODLARI!$A$1:$K$363,3,0)," ")</f>
        <v>2</v>
      </c>
      <c r="H154" s="100">
        <f>IFERROR(VLOOKUP(Tablo518[[#This Row],[ÜRÜN KODU]],YMKODLARI!$A$1:$K$363,4,0)," ")</f>
        <v>38</v>
      </c>
      <c r="I154" s="100">
        <v>655</v>
      </c>
      <c r="J154" s="100">
        <v>3408</v>
      </c>
      <c r="K154" s="100" t="str">
        <f>IFERROR(VLOOKUP(Tablo518[[#This Row],[BOYA KODU]],Tablo14[#All],4,0)," ")</f>
        <v>PEMBE</v>
      </c>
      <c r="L154" s="100">
        <f>IFERROR(VLOOKUP(Tablo518[[#This Row],[BOYA KODU]],Tablo14[#All],6,0)," ")</f>
        <v>5.0000000000000001E-3</v>
      </c>
      <c r="M154" s="100">
        <f t="shared" si="14"/>
        <v>56.002500000000012</v>
      </c>
      <c r="N154" s="100" t="s">
        <v>183</v>
      </c>
      <c r="O154" s="100" t="str">
        <f>IFERROR(VLOOKUP(Tablo518[[#This Row],[HAMMADDE KODU]],Tablo1[#All],3,0)," ")</f>
        <v>NOVAREX</v>
      </c>
      <c r="P154" s="100" t="str">
        <f>IFERROR(VLOOKUP(Tablo518[[#This Row],[HAMMADDE KODU]],Tablo1[#All],4,0)," ")</f>
        <v>PİNHAS</v>
      </c>
      <c r="Q154" s="100">
        <f>IFERROR(VLOOKUP(Tablo518[[#This Row],[ÜRÜN KODU]],YMKODLARI!$A$1:$K$363,5,0)," ")</f>
        <v>17.100000000000001</v>
      </c>
      <c r="R154" s="100">
        <f>IFERROR(VLOOKUP(Tablo518[[#This Row],[ÜRÜN KODU]],YMKODLARI!$A$1:$K$363,6,0)," ")</f>
        <v>17.100000000000001</v>
      </c>
      <c r="S154" s="100">
        <f>IFERROR(Tablo518[[#This Row],[YOLLUK HARİÇ BASKI GRAMI]]/Tablo518[[#This Row],[KALIP GÖZ ADEDİ]]," ")</f>
        <v>8.5500000000000007</v>
      </c>
      <c r="T154" s="100">
        <f t="shared" si="16"/>
        <v>0</v>
      </c>
      <c r="U154" s="100"/>
      <c r="V154" s="100">
        <f t="shared" si="15"/>
        <v>11.200500000000002</v>
      </c>
      <c r="W154" s="101">
        <f t="shared" si="17"/>
        <v>24</v>
      </c>
      <c r="X154" s="102">
        <f t="shared" si="18"/>
        <v>0</v>
      </c>
      <c r="Y154" s="100">
        <f t="shared" si="19"/>
        <v>6.9138888888888888</v>
      </c>
      <c r="Z154" s="100">
        <f t="shared" si="20"/>
        <v>1310</v>
      </c>
    </row>
    <row r="155" spans="1:26">
      <c r="A155" s="108" t="s">
        <v>182</v>
      </c>
      <c r="B155" s="108" t="str">
        <f>IFERROR(VLOOKUP(Tablo518[[#This Row],[ÜRÜN KODU]],YMKODLARI!$A$1:$K$363,2,0)," ")</f>
        <v>NEŞELİ ÇINGIRAK</v>
      </c>
      <c r="C155" s="99">
        <v>43998</v>
      </c>
      <c r="D155" s="100" t="s">
        <v>37</v>
      </c>
      <c r="E155" s="101">
        <v>0.4236111111111111</v>
      </c>
      <c r="F155" s="101">
        <v>0.75</v>
      </c>
      <c r="G155" s="100">
        <f>IFERROR(VLOOKUP(Tablo518[[#This Row],[ÜRÜN KODU]],YMKODLARI!$A$1:$K$363,3,0)," ")</f>
        <v>2</v>
      </c>
      <c r="H155" s="100">
        <f>IFERROR(VLOOKUP(Tablo518[[#This Row],[ÜRÜN KODU]],YMKODLARI!$A$1:$K$363,4,0)," ")</f>
        <v>38</v>
      </c>
      <c r="I155" s="100">
        <v>655</v>
      </c>
      <c r="J155" s="100">
        <v>3408</v>
      </c>
      <c r="K155" s="100" t="str">
        <f>IFERROR(VLOOKUP(Tablo518[[#This Row],[BOYA KODU]],Tablo14[#All],4,0)," ")</f>
        <v>PEMBE</v>
      </c>
      <c r="L155" s="100">
        <f>IFERROR(VLOOKUP(Tablo518[[#This Row],[BOYA KODU]],Tablo14[#All],6,0)," ")</f>
        <v>5.0000000000000001E-3</v>
      </c>
      <c r="M155" s="100">
        <f t="shared" si="14"/>
        <v>65.827500000000015</v>
      </c>
      <c r="N155" s="100" t="s">
        <v>183</v>
      </c>
      <c r="O155" s="100" t="str">
        <f>IFERROR(VLOOKUP(Tablo518[[#This Row],[HAMMADDE KODU]],Tablo1[#All],3,0)," ")</f>
        <v>NOVAREX</v>
      </c>
      <c r="P155" s="100" t="str">
        <f>IFERROR(VLOOKUP(Tablo518[[#This Row],[HAMMADDE KODU]],Tablo1[#All],4,0)," ")</f>
        <v>PİNHAS</v>
      </c>
      <c r="Q155" s="100">
        <f>IFERROR(VLOOKUP(Tablo518[[#This Row],[ÜRÜN KODU]],YMKODLARI!$A$1:$K$363,5,0)," ")</f>
        <v>20.100000000000001</v>
      </c>
      <c r="R155" s="100">
        <f>IFERROR(VLOOKUP(Tablo518[[#This Row],[ÜRÜN KODU]],YMKODLARI!$A$1:$K$363,6,0)," ")</f>
        <v>20.100000000000001</v>
      </c>
      <c r="S155" s="100">
        <f>IFERROR(Tablo518[[#This Row],[YOLLUK HARİÇ BASKI GRAMI]]/Tablo518[[#This Row],[KALIP GÖZ ADEDİ]]," ")</f>
        <v>10.050000000000001</v>
      </c>
      <c r="T155" s="100">
        <f t="shared" si="16"/>
        <v>0</v>
      </c>
      <c r="U155" s="100"/>
      <c r="V155" s="100">
        <f t="shared" si="15"/>
        <v>13.165500000000002</v>
      </c>
      <c r="W155" s="101">
        <f t="shared" si="17"/>
        <v>24.326388888888889</v>
      </c>
      <c r="X155" s="102">
        <f t="shared" si="18"/>
        <v>7.8333333333333428</v>
      </c>
      <c r="Y155" s="100">
        <f t="shared" si="19"/>
        <v>6.9138888888888888</v>
      </c>
      <c r="Z155" s="100">
        <f t="shared" si="20"/>
        <v>1310</v>
      </c>
    </row>
    <row r="156" spans="1:26">
      <c r="A156" s="108" t="s">
        <v>179</v>
      </c>
      <c r="B156" s="108" t="str">
        <f>IFERROR(VLOOKUP(Tablo518[[#This Row],[ÜRÜN KODU]],YMKODLARI!$A$1:$K$363,2,0)," ")</f>
        <v>NEŞELİ ÇINGIRAK</v>
      </c>
      <c r="C156" s="99">
        <v>43999</v>
      </c>
      <c r="D156" s="100" t="s">
        <v>37</v>
      </c>
      <c r="E156" s="101"/>
      <c r="F156" s="101"/>
      <c r="G156" s="100">
        <f>IFERROR(VLOOKUP(Tablo518[[#This Row],[ÜRÜN KODU]],YMKODLARI!$A$1:$K$363,3,0)," ")</f>
        <v>2</v>
      </c>
      <c r="H156" s="100">
        <f>IFERROR(VLOOKUP(Tablo518[[#This Row],[ÜRÜN KODU]],YMKODLARI!$A$1:$K$363,4,0)," ")</f>
        <v>38</v>
      </c>
      <c r="I156" s="100">
        <v>776</v>
      </c>
      <c r="J156" s="100" t="str">
        <f>IFERROR(VLOOKUP(Tablo518[[#This Row],[ÜRÜN KODU]],YMKODLARI!$A$1:$K$363,9,0)," ")</f>
        <v>BOYASIZ</v>
      </c>
      <c r="K156" s="100" t="str">
        <f>IFERROR(VLOOKUP(Tablo518[[#This Row],[BOYA KODU]],Tablo14[#All],4,0)," ")</f>
        <v xml:space="preserve"> </v>
      </c>
      <c r="L156" s="100" t="str">
        <f>IFERROR(VLOOKUP(Tablo518[[#This Row],[BOYA KODU]],Tablo14[#All],6,0)," ")</f>
        <v xml:space="preserve"> </v>
      </c>
      <c r="M156" s="100" t="str">
        <f t="shared" si="14"/>
        <v xml:space="preserve"> </v>
      </c>
      <c r="N156" s="100" t="str">
        <f>IFERROR(VLOOKUP(Tablo518[[#This Row],[ÜRÜN KODU]],YMKODLARI!$A$1:$K$363,8,0)," ")</f>
        <v>HM 011</v>
      </c>
      <c r="O156" s="100" t="str">
        <f>IFERROR(VLOOKUP(Tablo518[[#This Row],[HAMMADDE KODU]],Tablo1[#All],3,0)," ")</f>
        <v>KIRMA PC</v>
      </c>
      <c r="P156" s="100" t="str">
        <f>IFERROR(VLOOKUP(Tablo518[[#This Row],[HAMMADDE KODU]],Tablo1[#All],4,0)," ")</f>
        <v>KIRMA</v>
      </c>
      <c r="Q156" s="100">
        <f>IFERROR(VLOOKUP(Tablo518[[#This Row],[ÜRÜN KODU]],YMKODLARI!$A$1:$K$363,5,0)," ")</f>
        <v>30.8</v>
      </c>
      <c r="R156" s="100">
        <f>IFERROR(VLOOKUP(Tablo518[[#This Row],[ÜRÜN KODU]],YMKODLARI!$A$1:$K$363,6,0)," ")</f>
        <v>19</v>
      </c>
      <c r="S156" s="100">
        <f>IFERROR(Tablo518[[#This Row],[YOLLUK HARİÇ BASKI GRAMI]]/Tablo518[[#This Row],[KALIP GÖZ ADEDİ]]," ")</f>
        <v>9.5</v>
      </c>
      <c r="T156" s="100">
        <f t="shared" si="16"/>
        <v>11.8</v>
      </c>
      <c r="U156" s="100"/>
      <c r="V156" s="100">
        <f t="shared" si="15"/>
        <v>14.744</v>
      </c>
      <c r="W156" s="101">
        <f t="shared" si="17"/>
        <v>24</v>
      </c>
      <c r="X156" s="102">
        <f t="shared" si="18"/>
        <v>0</v>
      </c>
      <c r="Y156" s="100">
        <f t="shared" si="19"/>
        <v>8.1911111111111108</v>
      </c>
      <c r="Z156" s="100">
        <f t="shared" si="20"/>
        <v>1552</v>
      </c>
    </row>
    <row r="157" spans="1:26">
      <c r="A157" s="108" t="s">
        <v>180</v>
      </c>
      <c r="B157" s="108" t="str">
        <f>IFERROR(VLOOKUP(Tablo518[[#This Row],[ÜRÜN KODU]],YMKODLARI!$A$1:$K$363,2,0)," ")</f>
        <v>NEŞELİ ÇINGIRAK</v>
      </c>
      <c r="C157" s="99">
        <v>43999</v>
      </c>
      <c r="D157" s="100" t="s">
        <v>37</v>
      </c>
      <c r="E157" s="101"/>
      <c r="F157" s="101"/>
      <c r="G157" s="100">
        <f>IFERROR(VLOOKUP(Tablo518[[#This Row],[ÜRÜN KODU]],YMKODLARI!$A$1:$K$363,3,0)," ")</f>
        <v>2</v>
      </c>
      <c r="H157" s="100">
        <f>IFERROR(VLOOKUP(Tablo518[[#This Row],[ÜRÜN KODU]],YMKODLARI!$A$1:$K$363,4,0)," ")</f>
        <v>38</v>
      </c>
      <c r="I157" s="100">
        <v>776</v>
      </c>
      <c r="J157" s="100" t="str">
        <f>IFERROR(VLOOKUP(Tablo518[[#This Row],[ÜRÜN KODU]],YMKODLARI!$A$1:$K$363,9,0)," ")</f>
        <v>BOYASIZ</v>
      </c>
      <c r="K157" s="100" t="str">
        <f>IFERROR(VLOOKUP(Tablo518[[#This Row],[BOYA KODU]],Tablo14[#All],4,0)," ")</f>
        <v xml:space="preserve"> </v>
      </c>
      <c r="L157" s="100" t="str">
        <f>IFERROR(VLOOKUP(Tablo518[[#This Row],[BOYA KODU]],Tablo14[#All],6,0)," ")</f>
        <v xml:space="preserve"> </v>
      </c>
      <c r="M157" s="100" t="str">
        <f t="shared" si="14"/>
        <v xml:space="preserve"> </v>
      </c>
      <c r="N157" s="100" t="str">
        <f>IFERROR(VLOOKUP(Tablo518[[#This Row],[ÜRÜN KODU]],YMKODLARI!$A$1:$K$363,8,0)," ")</f>
        <v>HM 011</v>
      </c>
      <c r="O157" s="100" t="str">
        <f>IFERROR(VLOOKUP(Tablo518[[#This Row],[HAMMADDE KODU]],Tablo1[#All],3,0)," ")</f>
        <v>KIRMA PC</v>
      </c>
      <c r="P157" s="100" t="str">
        <f>IFERROR(VLOOKUP(Tablo518[[#This Row],[HAMMADDE KODU]],Tablo1[#All],4,0)," ")</f>
        <v>KIRMA</v>
      </c>
      <c r="Q157" s="100">
        <f>IFERROR(VLOOKUP(Tablo518[[#This Row],[ÜRÜN KODU]],YMKODLARI!$A$1:$K$363,5,0)," ")</f>
        <v>18.7</v>
      </c>
      <c r="R157" s="100">
        <f>IFERROR(VLOOKUP(Tablo518[[#This Row],[ÜRÜN KODU]],YMKODLARI!$A$1:$K$363,6,0)," ")</f>
        <v>18.7</v>
      </c>
      <c r="S157" s="100">
        <f>IFERROR(Tablo518[[#This Row],[YOLLUK HARİÇ BASKI GRAMI]]/Tablo518[[#This Row],[KALIP GÖZ ADEDİ]]," ")</f>
        <v>9.35</v>
      </c>
      <c r="T157" s="100">
        <f t="shared" si="16"/>
        <v>0</v>
      </c>
      <c r="U157" s="100"/>
      <c r="V157" s="100">
        <f t="shared" si="15"/>
        <v>14.511199999999999</v>
      </c>
      <c r="W157" s="101">
        <f t="shared" si="17"/>
        <v>24</v>
      </c>
      <c r="X157" s="102">
        <f t="shared" si="18"/>
        <v>0</v>
      </c>
      <c r="Y157" s="100">
        <f t="shared" si="19"/>
        <v>8.1911111111111108</v>
      </c>
      <c r="Z157" s="100">
        <f t="shared" si="20"/>
        <v>1552</v>
      </c>
    </row>
    <row r="158" spans="1:26">
      <c r="A158" s="108" t="s">
        <v>181</v>
      </c>
      <c r="B158" s="108" t="str">
        <f>IFERROR(VLOOKUP(Tablo518[[#This Row],[ÜRÜN KODU]],YMKODLARI!$A$1:$K$363,2,0)," ")</f>
        <v>NEŞELİ ÇINGIRAK</v>
      </c>
      <c r="C158" s="99">
        <v>43999</v>
      </c>
      <c r="D158" s="100" t="s">
        <v>37</v>
      </c>
      <c r="E158" s="101"/>
      <c r="F158" s="101"/>
      <c r="G158" s="100">
        <f>IFERROR(VLOOKUP(Tablo518[[#This Row],[ÜRÜN KODU]],YMKODLARI!$A$1:$K$363,3,0)," ")</f>
        <v>2</v>
      </c>
      <c r="H158" s="100">
        <f>IFERROR(VLOOKUP(Tablo518[[#This Row],[ÜRÜN KODU]],YMKODLARI!$A$1:$K$363,4,0)," ")</f>
        <v>38</v>
      </c>
      <c r="I158" s="100">
        <v>776</v>
      </c>
      <c r="J158" s="100" t="str">
        <f>IFERROR(VLOOKUP(Tablo518[[#This Row],[ÜRÜN KODU]],YMKODLARI!$A$1:$K$363,9,0)," ")</f>
        <v>BOYASIZ</v>
      </c>
      <c r="K158" s="100" t="str">
        <f>IFERROR(VLOOKUP(Tablo518[[#This Row],[BOYA KODU]],Tablo14[#All],4,0)," ")</f>
        <v xml:space="preserve"> </v>
      </c>
      <c r="L158" s="100" t="str">
        <f>IFERROR(VLOOKUP(Tablo518[[#This Row],[BOYA KODU]],Tablo14[#All],6,0)," ")</f>
        <v xml:space="preserve"> </v>
      </c>
      <c r="M158" s="100" t="str">
        <f t="shared" si="14"/>
        <v xml:space="preserve"> </v>
      </c>
      <c r="N158" s="100" t="str">
        <f>IFERROR(VLOOKUP(Tablo518[[#This Row],[ÜRÜN KODU]],YMKODLARI!$A$1:$K$363,8,0)," ")</f>
        <v>HM 011</v>
      </c>
      <c r="O158" s="100" t="str">
        <f>IFERROR(VLOOKUP(Tablo518[[#This Row],[HAMMADDE KODU]],Tablo1[#All],3,0)," ")</f>
        <v>KIRMA PC</v>
      </c>
      <c r="P158" s="100" t="str">
        <f>IFERROR(VLOOKUP(Tablo518[[#This Row],[HAMMADDE KODU]],Tablo1[#All],4,0)," ")</f>
        <v>KIRMA</v>
      </c>
      <c r="Q158" s="100">
        <f>IFERROR(VLOOKUP(Tablo518[[#This Row],[ÜRÜN KODU]],YMKODLARI!$A$1:$K$363,5,0)," ")</f>
        <v>17.100000000000001</v>
      </c>
      <c r="R158" s="100">
        <f>IFERROR(VLOOKUP(Tablo518[[#This Row],[ÜRÜN KODU]],YMKODLARI!$A$1:$K$363,6,0)," ")</f>
        <v>17.100000000000001</v>
      </c>
      <c r="S158" s="100">
        <f>IFERROR(Tablo518[[#This Row],[YOLLUK HARİÇ BASKI GRAMI]]/Tablo518[[#This Row],[KALIP GÖZ ADEDİ]]," ")</f>
        <v>8.5500000000000007</v>
      </c>
      <c r="T158" s="100">
        <f t="shared" si="16"/>
        <v>0</v>
      </c>
      <c r="U158" s="100"/>
      <c r="V158" s="100">
        <f t="shared" si="15"/>
        <v>13.269600000000001</v>
      </c>
      <c r="W158" s="101">
        <f t="shared" si="17"/>
        <v>24</v>
      </c>
      <c r="X158" s="102">
        <f t="shared" si="18"/>
        <v>0</v>
      </c>
      <c r="Y158" s="100">
        <f t="shared" si="19"/>
        <v>8.1911111111111108</v>
      </c>
      <c r="Z158" s="100">
        <f t="shared" si="20"/>
        <v>1552</v>
      </c>
    </row>
    <row r="159" spans="1:26">
      <c r="A159" s="108" t="s">
        <v>182</v>
      </c>
      <c r="B159" s="108" t="str">
        <f>IFERROR(VLOOKUP(Tablo518[[#This Row],[ÜRÜN KODU]],YMKODLARI!$A$1:$K$363,2,0)," ")</f>
        <v>NEŞELİ ÇINGIRAK</v>
      </c>
      <c r="C159" s="99">
        <v>43999</v>
      </c>
      <c r="D159" s="100" t="s">
        <v>37</v>
      </c>
      <c r="E159" s="101">
        <v>0.35416666666666669</v>
      </c>
      <c r="F159" s="101">
        <v>0.75</v>
      </c>
      <c r="G159" s="100">
        <f>IFERROR(VLOOKUP(Tablo518[[#This Row],[ÜRÜN KODU]],YMKODLARI!$A$1:$K$363,3,0)," ")</f>
        <v>2</v>
      </c>
      <c r="H159" s="100">
        <f>IFERROR(VLOOKUP(Tablo518[[#This Row],[ÜRÜN KODU]],YMKODLARI!$A$1:$K$363,4,0)," ")</f>
        <v>38</v>
      </c>
      <c r="I159" s="100">
        <v>776</v>
      </c>
      <c r="J159" s="100" t="str">
        <f>IFERROR(VLOOKUP(Tablo518[[#This Row],[ÜRÜN KODU]],YMKODLARI!$A$1:$K$363,9,0)," ")</f>
        <v>BOYASIZ</v>
      </c>
      <c r="K159" s="100" t="str">
        <f>IFERROR(VLOOKUP(Tablo518[[#This Row],[BOYA KODU]],Tablo14[#All],4,0)," ")</f>
        <v xml:space="preserve"> </v>
      </c>
      <c r="L159" s="100" t="str">
        <f>IFERROR(VLOOKUP(Tablo518[[#This Row],[BOYA KODU]],Tablo14[#All],6,0)," ")</f>
        <v xml:space="preserve"> </v>
      </c>
      <c r="M159" s="100" t="str">
        <f t="shared" si="14"/>
        <v xml:space="preserve"> </v>
      </c>
      <c r="N159" s="100" t="str">
        <f>IFERROR(VLOOKUP(Tablo518[[#This Row],[ÜRÜN KODU]],YMKODLARI!$A$1:$K$363,8,0)," ")</f>
        <v>HM 011</v>
      </c>
      <c r="O159" s="100" t="str">
        <f>IFERROR(VLOOKUP(Tablo518[[#This Row],[HAMMADDE KODU]],Tablo1[#All],3,0)," ")</f>
        <v>KIRMA PC</v>
      </c>
      <c r="P159" s="100" t="str">
        <f>IFERROR(VLOOKUP(Tablo518[[#This Row],[HAMMADDE KODU]],Tablo1[#All],4,0)," ")</f>
        <v>KIRMA</v>
      </c>
      <c r="Q159" s="100">
        <f>IFERROR(VLOOKUP(Tablo518[[#This Row],[ÜRÜN KODU]],YMKODLARI!$A$1:$K$363,5,0)," ")</f>
        <v>20.100000000000001</v>
      </c>
      <c r="R159" s="100">
        <f>IFERROR(VLOOKUP(Tablo518[[#This Row],[ÜRÜN KODU]],YMKODLARI!$A$1:$K$363,6,0)," ")</f>
        <v>20.100000000000001</v>
      </c>
      <c r="S159" s="100">
        <f>IFERROR(Tablo518[[#This Row],[YOLLUK HARİÇ BASKI GRAMI]]/Tablo518[[#This Row],[KALIP GÖZ ADEDİ]]," ")</f>
        <v>10.050000000000001</v>
      </c>
      <c r="T159" s="100">
        <f t="shared" si="16"/>
        <v>0</v>
      </c>
      <c r="U159" s="100"/>
      <c r="V159" s="100">
        <f t="shared" si="15"/>
        <v>15.5976</v>
      </c>
      <c r="W159" s="101">
        <f t="shared" si="17"/>
        <v>24.395833333333332</v>
      </c>
      <c r="X159" s="102">
        <f t="shared" si="18"/>
        <v>9.4999999999999716</v>
      </c>
      <c r="Y159" s="100">
        <f t="shared" si="19"/>
        <v>8.1911111111111108</v>
      </c>
      <c r="Z159" s="100">
        <f t="shared" si="20"/>
        <v>1552</v>
      </c>
    </row>
    <row r="160" spans="1:26">
      <c r="A160" s="108" t="s">
        <v>179</v>
      </c>
      <c r="B160" s="108" t="str">
        <f>IFERROR(VLOOKUP(Tablo518[[#This Row],[ÜRÜN KODU]],YMKODLARI!$A$1:$K$363,2,0)," ")</f>
        <v>NEŞELİ ÇINGIRAK</v>
      </c>
      <c r="C160" s="99">
        <v>44000</v>
      </c>
      <c r="D160" s="100" t="s">
        <v>37</v>
      </c>
      <c r="E160" s="101"/>
      <c r="F160" s="101"/>
      <c r="G160" s="100">
        <f>IFERROR(VLOOKUP(Tablo518[[#This Row],[ÜRÜN KODU]],YMKODLARI!$A$1:$K$363,3,0)," ")</f>
        <v>2</v>
      </c>
      <c r="H160" s="100">
        <f>IFERROR(VLOOKUP(Tablo518[[#This Row],[ÜRÜN KODU]],YMKODLARI!$A$1:$K$363,4,0)," ")</f>
        <v>38</v>
      </c>
      <c r="I160" s="100">
        <v>451</v>
      </c>
      <c r="J160" s="100" t="str">
        <f>IFERROR(VLOOKUP(Tablo518[[#This Row],[ÜRÜN KODU]],YMKODLARI!$A$1:$K$363,9,0)," ")</f>
        <v>BOYASIZ</v>
      </c>
      <c r="K160" s="100" t="str">
        <f>IFERROR(VLOOKUP(Tablo518[[#This Row],[BOYA KODU]],Tablo14[#All],4,0)," ")</f>
        <v xml:space="preserve"> </v>
      </c>
      <c r="L160" s="100" t="str">
        <f>IFERROR(VLOOKUP(Tablo518[[#This Row],[BOYA KODU]],Tablo14[#All],6,0)," ")</f>
        <v xml:space="preserve"> </v>
      </c>
      <c r="M160" s="100" t="str">
        <f t="shared" si="14"/>
        <v xml:space="preserve"> </v>
      </c>
      <c r="N160" s="100" t="str">
        <f>IFERROR(VLOOKUP(Tablo518[[#This Row],[ÜRÜN KODU]],YMKODLARI!$A$1:$K$363,8,0)," ")</f>
        <v>HM 011</v>
      </c>
      <c r="O160" s="100" t="str">
        <f>IFERROR(VLOOKUP(Tablo518[[#This Row],[HAMMADDE KODU]],Tablo1[#All],3,0)," ")</f>
        <v>KIRMA PC</v>
      </c>
      <c r="P160" s="100" t="str">
        <f>IFERROR(VLOOKUP(Tablo518[[#This Row],[HAMMADDE KODU]],Tablo1[#All],4,0)," ")</f>
        <v>KIRMA</v>
      </c>
      <c r="Q160" s="100">
        <f>IFERROR(VLOOKUP(Tablo518[[#This Row],[ÜRÜN KODU]],YMKODLARI!$A$1:$K$363,5,0)," ")</f>
        <v>30.8</v>
      </c>
      <c r="R160" s="100">
        <f>IFERROR(VLOOKUP(Tablo518[[#This Row],[ÜRÜN KODU]],YMKODLARI!$A$1:$K$363,6,0)," ")</f>
        <v>19</v>
      </c>
      <c r="S160" s="100">
        <f>IFERROR(Tablo518[[#This Row],[YOLLUK HARİÇ BASKI GRAMI]]/Tablo518[[#This Row],[KALIP GÖZ ADEDİ]]," ")</f>
        <v>9.5</v>
      </c>
      <c r="T160" s="100">
        <f t="shared" si="16"/>
        <v>11.8</v>
      </c>
      <c r="U160" s="100"/>
      <c r="V160" s="100">
        <f t="shared" si="15"/>
        <v>8.5690000000000008</v>
      </c>
      <c r="W160" s="101">
        <f t="shared" si="17"/>
        <v>24</v>
      </c>
      <c r="X160" s="102">
        <f t="shared" si="18"/>
        <v>0</v>
      </c>
      <c r="Y160" s="100">
        <f t="shared" si="19"/>
        <v>4.7605555555555554</v>
      </c>
      <c r="Z160" s="100">
        <f t="shared" si="20"/>
        <v>902</v>
      </c>
    </row>
    <row r="161" spans="1:26">
      <c r="A161" s="108" t="s">
        <v>180</v>
      </c>
      <c r="B161" s="108" t="str">
        <f>IFERROR(VLOOKUP(Tablo518[[#This Row],[ÜRÜN KODU]],YMKODLARI!$A$1:$K$363,2,0)," ")</f>
        <v>NEŞELİ ÇINGIRAK</v>
      </c>
      <c r="C161" s="99">
        <v>44000</v>
      </c>
      <c r="D161" s="100" t="s">
        <v>37</v>
      </c>
      <c r="E161" s="101"/>
      <c r="F161" s="101"/>
      <c r="G161" s="100">
        <f>IFERROR(VLOOKUP(Tablo518[[#This Row],[ÜRÜN KODU]],YMKODLARI!$A$1:$K$363,3,0)," ")</f>
        <v>2</v>
      </c>
      <c r="H161" s="100">
        <f>IFERROR(VLOOKUP(Tablo518[[#This Row],[ÜRÜN KODU]],YMKODLARI!$A$1:$K$363,4,0)," ")</f>
        <v>38</v>
      </c>
      <c r="I161" s="100">
        <v>451</v>
      </c>
      <c r="J161" s="100" t="str">
        <f>IFERROR(VLOOKUP(Tablo518[[#This Row],[ÜRÜN KODU]],YMKODLARI!$A$1:$K$363,9,0)," ")</f>
        <v>BOYASIZ</v>
      </c>
      <c r="K161" s="100" t="str">
        <f>IFERROR(VLOOKUP(Tablo518[[#This Row],[BOYA KODU]],Tablo14[#All],4,0)," ")</f>
        <v xml:space="preserve"> </v>
      </c>
      <c r="L161" s="100" t="str">
        <f>IFERROR(VLOOKUP(Tablo518[[#This Row],[BOYA KODU]],Tablo14[#All],6,0)," ")</f>
        <v xml:space="preserve"> </v>
      </c>
      <c r="M161" s="100" t="str">
        <f t="shared" si="14"/>
        <v xml:space="preserve"> </v>
      </c>
      <c r="N161" s="100" t="str">
        <f>IFERROR(VLOOKUP(Tablo518[[#This Row],[ÜRÜN KODU]],YMKODLARI!$A$1:$K$363,8,0)," ")</f>
        <v>HM 011</v>
      </c>
      <c r="O161" s="100" t="str">
        <f>IFERROR(VLOOKUP(Tablo518[[#This Row],[HAMMADDE KODU]],Tablo1[#All],3,0)," ")</f>
        <v>KIRMA PC</v>
      </c>
      <c r="P161" s="100" t="str">
        <f>IFERROR(VLOOKUP(Tablo518[[#This Row],[HAMMADDE KODU]],Tablo1[#All],4,0)," ")</f>
        <v>KIRMA</v>
      </c>
      <c r="Q161" s="100">
        <f>IFERROR(VLOOKUP(Tablo518[[#This Row],[ÜRÜN KODU]],YMKODLARI!$A$1:$K$363,5,0)," ")</f>
        <v>18.7</v>
      </c>
      <c r="R161" s="100">
        <f>IFERROR(VLOOKUP(Tablo518[[#This Row],[ÜRÜN KODU]],YMKODLARI!$A$1:$K$363,6,0)," ")</f>
        <v>18.7</v>
      </c>
      <c r="S161" s="100">
        <f>IFERROR(Tablo518[[#This Row],[YOLLUK HARİÇ BASKI GRAMI]]/Tablo518[[#This Row],[KALIP GÖZ ADEDİ]]," ")</f>
        <v>9.35</v>
      </c>
      <c r="T161" s="100">
        <f t="shared" si="16"/>
        <v>0</v>
      </c>
      <c r="U161" s="100"/>
      <c r="V161" s="100">
        <f t="shared" si="15"/>
        <v>8.4336999999999982</v>
      </c>
      <c r="W161" s="101">
        <f t="shared" si="17"/>
        <v>24</v>
      </c>
      <c r="X161" s="102">
        <f t="shared" si="18"/>
        <v>0</v>
      </c>
      <c r="Y161" s="100">
        <f t="shared" si="19"/>
        <v>4.7605555555555554</v>
      </c>
      <c r="Z161" s="100">
        <f t="shared" si="20"/>
        <v>902</v>
      </c>
    </row>
    <row r="162" spans="1:26">
      <c r="A162" s="108" t="s">
        <v>181</v>
      </c>
      <c r="B162" s="108" t="str">
        <f>IFERROR(VLOOKUP(Tablo518[[#This Row],[ÜRÜN KODU]],YMKODLARI!$A$1:$K$363,2,0)," ")</f>
        <v>NEŞELİ ÇINGIRAK</v>
      </c>
      <c r="C162" s="99">
        <v>44000</v>
      </c>
      <c r="D162" s="100" t="s">
        <v>37</v>
      </c>
      <c r="E162" s="101"/>
      <c r="F162" s="101"/>
      <c r="G162" s="100">
        <f>IFERROR(VLOOKUP(Tablo518[[#This Row],[ÜRÜN KODU]],YMKODLARI!$A$1:$K$363,3,0)," ")</f>
        <v>2</v>
      </c>
      <c r="H162" s="100">
        <f>IFERROR(VLOOKUP(Tablo518[[#This Row],[ÜRÜN KODU]],YMKODLARI!$A$1:$K$363,4,0)," ")</f>
        <v>38</v>
      </c>
      <c r="I162" s="100">
        <v>451</v>
      </c>
      <c r="J162" s="100" t="str">
        <f>IFERROR(VLOOKUP(Tablo518[[#This Row],[ÜRÜN KODU]],YMKODLARI!$A$1:$K$363,9,0)," ")</f>
        <v>BOYASIZ</v>
      </c>
      <c r="K162" s="100" t="str">
        <f>IFERROR(VLOOKUP(Tablo518[[#This Row],[BOYA KODU]],Tablo14[#All],4,0)," ")</f>
        <v xml:space="preserve"> </v>
      </c>
      <c r="L162" s="100" t="str">
        <f>IFERROR(VLOOKUP(Tablo518[[#This Row],[BOYA KODU]],Tablo14[#All],6,0)," ")</f>
        <v xml:space="preserve"> </v>
      </c>
      <c r="M162" s="100" t="str">
        <f t="shared" si="14"/>
        <v xml:space="preserve"> </v>
      </c>
      <c r="N162" s="100" t="str">
        <f>IFERROR(VLOOKUP(Tablo518[[#This Row],[ÜRÜN KODU]],YMKODLARI!$A$1:$K$363,8,0)," ")</f>
        <v>HM 011</v>
      </c>
      <c r="O162" s="100" t="str">
        <f>IFERROR(VLOOKUP(Tablo518[[#This Row],[HAMMADDE KODU]],Tablo1[#All],3,0)," ")</f>
        <v>KIRMA PC</v>
      </c>
      <c r="P162" s="100" t="str">
        <f>IFERROR(VLOOKUP(Tablo518[[#This Row],[HAMMADDE KODU]],Tablo1[#All],4,0)," ")</f>
        <v>KIRMA</v>
      </c>
      <c r="Q162" s="100">
        <f>IFERROR(VLOOKUP(Tablo518[[#This Row],[ÜRÜN KODU]],YMKODLARI!$A$1:$K$363,5,0)," ")</f>
        <v>17.100000000000001</v>
      </c>
      <c r="R162" s="100">
        <f>IFERROR(VLOOKUP(Tablo518[[#This Row],[ÜRÜN KODU]],YMKODLARI!$A$1:$K$363,6,0)," ")</f>
        <v>17.100000000000001</v>
      </c>
      <c r="S162" s="100">
        <f>IFERROR(Tablo518[[#This Row],[YOLLUK HARİÇ BASKI GRAMI]]/Tablo518[[#This Row],[KALIP GÖZ ADEDİ]]," ")</f>
        <v>8.5500000000000007</v>
      </c>
      <c r="T162" s="100">
        <f t="shared" si="16"/>
        <v>0</v>
      </c>
      <c r="U162" s="100"/>
      <c r="V162" s="100">
        <f t="shared" si="15"/>
        <v>7.7121000000000004</v>
      </c>
      <c r="W162" s="101">
        <f t="shared" si="17"/>
        <v>24</v>
      </c>
      <c r="X162" s="102">
        <f t="shared" si="18"/>
        <v>0</v>
      </c>
      <c r="Y162" s="100">
        <f t="shared" si="19"/>
        <v>4.7605555555555554</v>
      </c>
      <c r="Z162" s="100">
        <f t="shared" si="20"/>
        <v>902</v>
      </c>
    </row>
    <row r="163" spans="1:26">
      <c r="A163" s="108" t="s">
        <v>182</v>
      </c>
      <c r="B163" s="108" t="str">
        <f>IFERROR(VLOOKUP(Tablo518[[#This Row],[ÜRÜN KODU]],YMKODLARI!$A$1:$K$363,2,0)," ")</f>
        <v>NEŞELİ ÇINGIRAK</v>
      </c>
      <c r="C163" s="99">
        <v>44000</v>
      </c>
      <c r="D163" s="100" t="s">
        <v>37</v>
      </c>
      <c r="E163" s="101">
        <v>0.33333333333333331</v>
      </c>
      <c r="F163" s="101">
        <v>0.57291666666666663</v>
      </c>
      <c r="G163" s="100">
        <f>IFERROR(VLOOKUP(Tablo518[[#This Row],[ÜRÜN KODU]],YMKODLARI!$A$1:$K$363,3,0)," ")</f>
        <v>2</v>
      </c>
      <c r="H163" s="100">
        <f>IFERROR(VLOOKUP(Tablo518[[#This Row],[ÜRÜN KODU]],YMKODLARI!$A$1:$K$363,4,0)," ")</f>
        <v>38</v>
      </c>
      <c r="I163" s="100">
        <v>451</v>
      </c>
      <c r="J163" s="100" t="str">
        <f>IFERROR(VLOOKUP(Tablo518[[#This Row],[ÜRÜN KODU]],YMKODLARI!$A$1:$K$363,9,0)," ")</f>
        <v>BOYASIZ</v>
      </c>
      <c r="K163" s="100" t="str">
        <f>IFERROR(VLOOKUP(Tablo518[[#This Row],[BOYA KODU]],Tablo14[#All],4,0)," ")</f>
        <v xml:space="preserve"> </v>
      </c>
      <c r="L163" s="100" t="str">
        <f>IFERROR(VLOOKUP(Tablo518[[#This Row],[BOYA KODU]],Tablo14[#All],6,0)," ")</f>
        <v xml:space="preserve"> </v>
      </c>
      <c r="M163" s="100" t="str">
        <f t="shared" si="14"/>
        <v xml:space="preserve"> </v>
      </c>
      <c r="N163" s="100" t="str">
        <f>IFERROR(VLOOKUP(Tablo518[[#This Row],[ÜRÜN KODU]],YMKODLARI!$A$1:$K$363,8,0)," ")</f>
        <v>HM 011</v>
      </c>
      <c r="O163" s="100" t="str">
        <f>IFERROR(VLOOKUP(Tablo518[[#This Row],[HAMMADDE KODU]],Tablo1[#All],3,0)," ")</f>
        <v>KIRMA PC</v>
      </c>
      <c r="P163" s="100" t="str">
        <f>IFERROR(VLOOKUP(Tablo518[[#This Row],[HAMMADDE KODU]],Tablo1[#All],4,0)," ")</f>
        <v>KIRMA</v>
      </c>
      <c r="Q163" s="100">
        <f>IFERROR(VLOOKUP(Tablo518[[#This Row],[ÜRÜN KODU]],YMKODLARI!$A$1:$K$363,5,0)," ")</f>
        <v>20.100000000000001</v>
      </c>
      <c r="R163" s="100">
        <f>IFERROR(VLOOKUP(Tablo518[[#This Row],[ÜRÜN KODU]],YMKODLARI!$A$1:$K$363,6,0)," ")</f>
        <v>20.100000000000001</v>
      </c>
      <c r="S163" s="100">
        <f>IFERROR(Tablo518[[#This Row],[YOLLUK HARİÇ BASKI GRAMI]]/Tablo518[[#This Row],[KALIP GÖZ ADEDİ]]," ")</f>
        <v>10.050000000000001</v>
      </c>
      <c r="T163" s="100">
        <f t="shared" si="16"/>
        <v>0</v>
      </c>
      <c r="U163" s="100"/>
      <c r="V163" s="100">
        <f t="shared" si="15"/>
        <v>9.065100000000001</v>
      </c>
      <c r="W163" s="101">
        <f t="shared" si="17"/>
        <v>24.239583333333332</v>
      </c>
      <c r="X163" s="102">
        <f t="shared" si="18"/>
        <v>5.7499999999999716</v>
      </c>
      <c r="Y163" s="100">
        <f t="shared" si="19"/>
        <v>4.7605555555555554</v>
      </c>
      <c r="Z163" s="100">
        <f t="shared" si="20"/>
        <v>902</v>
      </c>
    </row>
    <row r="164" spans="1:26">
      <c r="A164" s="108" t="s">
        <v>184</v>
      </c>
      <c r="B164" s="108" t="str">
        <f>IFERROR(VLOOKUP(Tablo518[[#This Row],[ÜRÜN KODU]],YMKODLARI!$A$1:$K$363,2,0)," ")</f>
        <v>NEŞELİ ÇINGIRAK</v>
      </c>
      <c r="C164" s="99">
        <v>44000</v>
      </c>
      <c r="D164" s="100" t="s">
        <v>37</v>
      </c>
      <c r="E164" s="101"/>
      <c r="F164" s="101"/>
      <c r="G164" s="100">
        <f>IFERROR(VLOOKUP(Tablo518[[#This Row],[ÜRÜN KODU]],YMKODLARI!$A$1:$K$363,3,0)," ")</f>
        <v>2</v>
      </c>
      <c r="H164" s="100">
        <f>IFERROR(VLOOKUP(Tablo518[[#This Row],[ÜRÜN KODU]],YMKODLARI!$A$1:$K$363,4,0)," ")</f>
        <v>38</v>
      </c>
      <c r="I164" s="100">
        <v>370</v>
      </c>
      <c r="J164" s="100" t="str">
        <f>IFERROR(VLOOKUP(Tablo518[[#This Row],[ÜRÜN KODU]],YMKODLARI!$A$1:$K$363,9,0)," ")</f>
        <v>BOYASIZ</v>
      </c>
      <c r="K164" s="100" t="str">
        <f>IFERROR(VLOOKUP(Tablo518[[#This Row],[BOYA KODU]],Tablo14[#All],4,0)," ")</f>
        <v xml:space="preserve"> </v>
      </c>
      <c r="L164" s="100" t="str">
        <f>IFERROR(VLOOKUP(Tablo518[[#This Row],[BOYA KODU]],Tablo14[#All],6,0)," ")</f>
        <v xml:space="preserve"> </v>
      </c>
      <c r="M164" s="100" t="str">
        <f t="shared" si="14"/>
        <v xml:space="preserve"> </v>
      </c>
      <c r="N164" s="100" t="str">
        <f>IFERROR(VLOOKUP(Tablo518[[#This Row],[ÜRÜN KODU]],YMKODLARI!$A$1:$K$363,8,0)," ")</f>
        <v>HM 011</v>
      </c>
      <c r="O164" s="100" t="str">
        <f>IFERROR(VLOOKUP(Tablo518[[#This Row],[HAMMADDE KODU]],Tablo1[#All],3,0)," ")</f>
        <v>KIRMA PC</v>
      </c>
      <c r="P164" s="100" t="str">
        <f>IFERROR(VLOOKUP(Tablo518[[#This Row],[HAMMADDE KODU]],Tablo1[#All],4,0)," ")</f>
        <v>KIRMA</v>
      </c>
      <c r="Q164" s="100">
        <f>IFERROR(VLOOKUP(Tablo518[[#This Row],[ÜRÜN KODU]],YMKODLARI!$A$1:$K$363,5,0)," ")</f>
        <v>30.8</v>
      </c>
      <c r="R164" s="100">
        <f>IFERROR(VLOOKUP(Tablo518[[#This Row],[ÜRÜN KODU]],YMKODLARI!$A$1:$K$363,6,0)," ")</f>
        <v>19</v>
      </c>
      <c r="S164" s="100">
        <f>IFERROR(Tablo518[[#This Row],[YOLLUK HARİÇ BASKI GRAMI]]/Tablo518[[#This Row],[KALIP GÖZ ADEDİ]]," ")</f>
        <v>9.5</v>
      </c>
      <c r="T164" s="100">
        <f t="shared" si="16"/>
        <v>11.8</v>
      </c>
      <c r="U164" s="100"/>
      <c r="V164" s="100">
        <f t="shared" si="15"/>
        <v>7.03</v>
      </c>
      <c r="W164" s="101">
        <f t="shared" si="17"/>
        <v>24</v>
      </c>
      <c r="X164" s="102">
        <f t="shared" si="18"/>
        <v>0</v>
      </c>
      <c r="Y164" s="100">
        <f t="shared" si="19"/>
        <v>3.9055555555555554</v>
      </c>
      <c r="Z164" s="100">
        <f t="shared" si="20"/>
        <v>740</v>
      </c>
    </row>
    <row r="165" spans="1:26">
      <c r="A165" s="108" t="s">
        <v>185</v>
      </c>
      <c r="B165" s="108" t="str">
        <f>IFERROR(VLOOKUP(Tablo518[[#This Row],[ÜRÜN KODU]],YMKODLARI!$A$1:$K$363,2,0)," ")</f>
        <v>NEŞELİ ÇINGIRAK</v>
      </c>
      <c r="C165" s="99">
        <v>44000</v>
      </c>
      <c r="D165" s="100" t="s">
        <v>37</v>
      </c>
      <c r="E165" s="101"/>
      <c r="F165" s="101"/>
      <c r="G165" s="100">
        <f>IFERROR(VLOOKUP(Tablo518[[#This Row],[ÜRÜN KODU]],YMKODLARI!$A$1:$K$363,3,0)," ")</f>
        <v>2</v>
      </c>
      <c r="H165" s="100">
        <f>IFERROR(VLOOKUP(Tablo518[[#This Row],[ÜRÜN KODU]],YMKODLARI!$A$1:$K$363,4,0)," ")</f>
        <v>38</v>
      </c>
      <c r="I165" s="100">
        <v>370</v>
      </c>
      <c r="J165" s="100" t="str">
        <f>IFERROR(VLOOKUP(Tablo518[[#This Row],[ÜRÜN KODU]],YMKODLARI!$A$1:$K$363,9,0)," ")</f>
        <v>BOYASIZ</v>
      </c>
      <c r="K165" s="100" t="str">
        <f>IFERROR(VLOOKUP(Tablo518[[#This Row],[BOYA KODU]],Tablo14[#All],4,0)," ")</f>
        <v xml:space="preserve"> </v>
      </c>
      <c r="L165" s="100" t="str">
        <f>IFERROR(VLOOKUP(Tablo518[[#This Row],[BOYA KODU]],Tablo14[#All],6,0)," ")</f>
        <v xml:space="preserve"> </v>
      </c>
      <c r="M165" s="100" t="str">
        <f t="shared" si="14"/>
        <v xml:space="preserve"> </v>
      </c>
      <c r="N165" s="100" t="str">
        <f>IFERROR(VLOOKUP(Tablo518[[#This Row],[ÜRÜN KODU]],YMKODLARI!$A$1:$K$363,8,0)," ")</f>
        <v>HM 011</v>
      </c>
      <c r="O165" s="100" t="str">
        <f>IFERROR(VLOOKUP(Tablo518[[#This Row],[HAMMADDE KODU]],Tablo1[#All],3,0)," ")</f>
        <v>KIRMA PC</v>
      </c>
      <c r="P165" s="100" t="str">
        <f>IFERROR(VLOOKUP(Tablo518[[#This Row],[HAMMADDE KODU]],Tablo1[#All],4,0)," ")</f>
        <v>KIRMA</v>
      </c>
      <c r="Q165" s="100">
        <f>IFERROR(VLOOKUP(Tablo518[[#This Row],[ÜRÜN KODU]],YMKODLARI!$A$1:$K$363,5,0)," ")</f>
        <v>18.7</v>
      </c>
      <c r="R165" s="100">
        <f>IFERROR(VLOOKUP(Tablo518[[#This Row],[ÜRÜN KODU]],YMKODLARI!$A$1:$K$363,6,0)," ")</f>
        <v>18.7</v>
      </c>
      <c r="S165" s="100">
        <f>IFERROR(Tablo518[[#This Row],[YOLLUK HARİÇ BASKI GRAMI]]/Tablo518[[#This Row],[KALIP GÖZ ADEDİ]]," ")</f>
        <v>9.35</v>
      </c>
      <c r="T165" s="100">
        <f t="shared" si="16"/>
        <v>0</v>
      </c>
      <c r="U165" s="100"/>
      <c r="V165" s="100">
        <f t="shared" si="15"/>
        <v>6.9189999999999996</v>
      </c>
      <c r="W165" s="101">
        <f t="shared" si="17"/>
        <v>24</v>
      </c>
      <c r="X165" s="102">
        <f t="shared" si="18"/>
        <v>0</v>
      </c>
      <c r="Y165" s="100">
        <f t="shared" si="19"/>
        <v>3.9055555555555554</v>
      </c>
      <c r="Z165" s="100">
        <f t="shared" si="20"/>
        <v>740</v>
      </c>
    </row>
    <row r="166" spans="1:26">
      <c r="A166" s="108" t="s">
        <v>186</v>
      </c>
      <c r="B166" s="108" t="str">
        <f>IFERROR(VLOOKUP(Tablo518[[#This Row],[ÜRÜN KODU]],YMKODLARI!$A$1:$K$363,2,0)," ")</f>
        <v>NEŞELİ ÇINGIRAK</v>
      </c>
      <c r="C166" s="99">
        <v>44000</v>
      </c>
      <c r="D166" s="100" t="s">
        <v>37</v>
      </c>
      <c r="E166" s="101"/>
      <c r="F166" s="101"/>
      <c r="G166" s="100">
        <f>IFERROR(VLOOKUP(Tablo518[[#This Row],[ÜRÜN KODU]],YMKODLARI!$A$1:$K$363,3,0)," ")</f>
        <v>2</v>
      </c>
      <c r="H166" s="100">
        <f>IFERROR(VLOOKUP(Tablo518[[#This Row],[ÜRÜN KODU]],YMKODLARI!$A$1:$K$363,4,0)," ")</f>
        <v>38</v>
      </c>
      <c r="I166" s="100">
        <v>370</v>
      </c>
      <c r="J166" s="100" t="str">
        <f>IFERROR(VLOOKUP(Tablo518[[#This Row],[ÜRÜN KODU]],YMKODLARI!$A$1:$K$363,9,0)," ")</f>
        <v>BOYASIZ</v>
      </c>
      <c r="K166" s="100" t="str">
        <f>IFERROR(VLOOKUP(Tablo518[[#This Row],[BOYA KODU]],Tablo14[#All],4,0)," ")</f>
        <v xml:space="preserve"> </v>
      </c>
      <c r="L166" s="100" t="str">
        <f>IFERROR(VLOOKUP(Tablo518[[#This Row],[BOYA KODU]],Tablo14[#All],6,0)," ")</f>
        <v xml:space="preserve"> </v>
      </c>
      <c r="M166" s="100" t="str">
        <f t="shared" si="14"/>
        <v xml:space="preserve"> </v>
      </c>
      <c r="N166" s="100" t="str">
        <f>IFERROR(VLOOKUP(Tablo518[[#This Row],[ÜRÜN KODU]],YMKODLARI!$A$1:$K$363,8,0)," ")</f>
        <v>HM 011</v>
      </c>
      <c r="O166" s="100" t="str">
        <f>IFERROR(VLOOKUP(Tablo518[[#This Row],[HAMMADDE KODU]],Tablo1[#All],3,0)," ")</f>
        <v>KIRMA PC</v>
      </c>
      <c r="P166" s="100" t="str">
        <f>IFERROR(VLOOKUP(Tablo518[[#This Row],[HAMMADDE KODU]],Tablo1[#All],4,0)," ")</f>
        <v>KIRMA</v>
      </c>
      <c r="Q166" s="100">
        <f>IFERROR(VLOOKUP(Tablo518[[#This Row],[ÜRÜN KODU]],YMKODLARI!$A$1:$K$363,5,0)," ")</f>
        <v>17.100000000000001</v>
      </c>
      <c r="R166" s="100">
        <f>IFERROR(VLOOKUP(Tablo518[[#This Row],[ÜRÜN KODU]],YMKODLARI!$A$1:$K$363,6,0)," ")</f>
        <v>17.100000000000001</v>
      </c>
      <c r="S166" s="100">
        <f>IFERROR(Tablo518[[#This Row],[YOLLUK HARİÇ BASKI GRAMI]]/Tablo518[[#This Row],[KALIP GÖZ ADEDİ]]," ")</f>
        <v>8.5500000000000007</v>
      </c>
      <c r="T166" s="100">
        <f t="shared" si="16"/>
        <v>0</v>
      </c>
      <c r="U166" s="100"/>
      <c r="V166" s="100">
        <f t="shared" si="15"/>
        <v>6.3270000000000008</v>
      </c>
      <c r="W166" s="101">
        <f t="shared" si="17"/>
        <v>24</v>
      </c>
      <c r="X166" s="102">
        <f t="shared" si="18"/>
        <v>0</v>
      </c>
      <c r="Y166" s="100">
        <f t="shared" si="19"/>
        <v>3.9055555555555554</v>
      </c>
      <c r="Z166" s="100">
        <f t="shared" si="20"/>
        <v>740</v>
      </c>
    </row>
    <row r="167" spans="1:26">
      <c r="A167" s="108" t="s">
        <v>187</v>
      </c>
      <c r="B167" s="108" t="str">
        <f>IFERROR(VLOOKUP(Tablo518[[#This Row],[ÜRÜN KODU]],YMKODLARI!$A$1:$K$363,2,0)," ")</f>
        <v>NEŞELİ ÇINGIRAK</v>
      </c>
      <c r="C167" s="99">
        <v>44000</v>
      </c>
      <c r="D167" s="100" t="s">
        <v>37</v>
      </c>
      <c r="E167" s="101">
        <v>0.57291666666666663</v>
      </c>
      <c r="F167" s="101">
        <v>0.75</v>
      </c>
      <c r="G167" s="100">
        <f>IFERROR(VLOOKUP(Tablo518[[#This Row],[ÜRÜN KODU]],YMKODLARI!$A$1:$K$363,3,0)," ")</f>
        <v>2</v>
      </c>
      <c r="H167" s="100">
        <f>IFERROR(VLOOKUP(Tablo518[[#This Row],[ÜRÜN KODU]],YMKODLARI!$A$1:$K$363,4,0)," ")</f>
        <v>38</v>
      </c>
      <c r="I167" s="100">
        <v>370</v>
      </c>
      <c r="J167" s="100" t="str">
        <f>IFERROR(VLOOKUP(Tablo518[[#This Row],[ÜRÜN KODU]],YMKODLARI!$A$1:$K$363,9,0)," ")</f>
        <v>BOYASIZ</v>
      </c>
      <c r="K167" s="100" t="str">
        <f>IFERROR(VLOOKUP(Tablo518[[#This Row],[BOYA KODU]],Tablo14[#All],4,0)," ")</f>
        <v xml:space="preserve"> </v>
      </c>
      <c r="L167" s="100" t="str">
        <f>IFERROR(VLOOKUP(Tablo518[[#This Row],[BOYA KODU]],Tablo14[#All],6,0)," ")</f>
        <v xml:space="preserve"> </v>
      </c>
      <c r="M167" s="100" t="str">
        <f t="shared" si="14"/>
        <v xml:space="preserve"> </v>
      </c>
      <c r="N167" s="100" t="str">
        <f>IFERROR(VLOOKUP(Tablo518[[#This Row],[ÜRÜN KODU]],YMKODLARI!$A$1:$K$363,8,0)," ")</f>
        <v>HM 011</v>
      </c>
      <c r="O167" s="100" t="str">
        <f>IFERROR(VLOOKUP(Tablo518[[#This Row],[HAMMADDE KODU]],Tablo1[#All],3,0)," ")</f>
        <v>KIRMA PC</v>
      </c>
      <c r="P167" s="100" t="str">
        <f>IFERROR(VLOOKUP(Tablo518[[#This Row],[HAMMADDE KODU]],Tablo1[#All],4,0)," ")</f>
        <v>KIRMA</v>
      </c>
      <c r="Q167" s="100">
        <f>IFERROR(VLOOKUP(Tablo518[[#This Row],[ÜRÜN KODU]],YMKODLARI!$A$1:$K$363,5,0)," ")</f>
        <v>20.100000000000001</v>
      </c>
      <c r="R167" s="100">
        <f>IFERROR(VLOOKUP(Tablo518[[#This Row],[ÜRÜN KODU]],YMKODLARI!$A$1:$K$363,6,0)," ")</f>
        <v>20.100000000000001</v>
      </c>
      <c r="S167" s="100">
        <f>IFERROR(Tablo518[[#This Row],[YOLLUK HARİÇ BASKI GRAMI]]/Tablo518[[#This Row],[KALIP GÖZ ADEDİ]]," ")</f>
        <v>10.050000000000001</v>
      </c>
      <c r="T167" s="100">
        <f t="shared" si="16"/>
        <v>0</v>
      </c>
      <c r="U167" s="100"/>
      <c r="V167" s="100">
        <f t="shared" si="15"/>
        <v>7.4370000000000012</v>
      </c>
      <c r="W167" s="101">
        <f t="shared" si="17"/>
        <v>24.177083333333332</v>
      </c>
      <c r="X167" s="102">
        <f t="shared" si="18"/>
        <v>4.2499999999999716</v>
      </c>
      <c r="Y167" s="100">
        <f t="shared" si="19"/>
        <v>3.9055555555555554</v>
      </c>
      <c r="Z167" s="100">
        <f t="shared" si="20"/>
        <v>740</v>
      </c>
    </row>
    <row r="168" spans="1:26">
      <c r="A168" s="108" t="s">
        <v>184</v>
      </c>
      <c r="B168" s="108" t="str">
        <f>IFERROR(VLOOKUP(Tablo518[[#This Row],[ÜRÜN KODU]],YMKODLARI!$A$1:$K$363,2,0)," ")</f>
        <v>NEŞELİ ÇINGIRAK</v>
      </c>
      <c r="C168" s="99">
        <v>44001</v>
      </c>
      <c r="D168" s="100" t="s">
        <v>33</v>
      </c>
      <c r="E168" s="101"/>
      <c r="F168" s="101"/>
      <c r="G168" s="100">
        <f>IFERROR(VLOOKUP(Tablo518[[#This Row],[ÜRÜN KODU]],YMKODLARI!$A$1:$K$363,3,0)," ")</f>
        <v>2</v>
      </c>
      <c r="H168" s="100">
        <f>IFERROR(VLOOKUP(Tablo518[[#This Row],[ÜRÜN KODU]],YMKODLARI!$A$1:$K$363,4,0)," ")</f>
        <v>38</v>
      </c>
      <c r="I168" s="100">
        <v>548</v>
      </c>
      <c r="J168" s="100" t="str">
        <f>IFERROR(VLOOKUP(Tablo518[[#This Row],[ÜRÜN KODU]],YMKODLARI!$A$1:$K$363,9,0)," ")</f>
        <v>BOYASIZ</v>
      </c>
      <c r="K168" s="100" t="str">
        <f>IFERROR(VLOOKUP(Tablo518[[#This Row],[BOYA KODU]],Tablo14[#All],4,0)," ")</f>
        <v xml:space="preserve"> </v>
      </c>
      <c r="L168" s="100" t="str">
        <f>IFERROR(VLOOKUP(Tablo518[[#This Row],[BOYA KODU]],Tablo14[#All],6,0)," ")</f>
        <v xml:space="preserve"> </v>
      </c>
      <c r="M168" s="100" t="str">
        <f t="shared" si="14"/>
        <v xml:space="preserve"> </v>
      </c>
      <c r="N168" s="100" t="str">
        <f>IFERROR(VLOOKUP(Tablo518[[#This Row],[ÜRÜN KODU]],YMKODLARI!$A$1:$K$363,8,0)," ")</f>
        <v>HM 011</v>
      </c>
      <c r="O168" s="100" t="str">
        <f>IFERROR(VLOOKUP(Tablo518[[#This Row],[HAMMADDE KODU]],Tablo1[#All],3,0)," ")</f>
        <v>KIRMA PC</v>
      </c>
      <c r="P168" s="100" t="str">
        <f>IFERROR(VLOOKUP(Tablo518[[#This Row],[HAMMADDE KODU]],Tablo1[#All],4,0)," ")</f>
        <v>KIRMA</v>
      </c>
      <c r="Q168" s="100">
        <f>IFERROR(VLOOKUP(Tablo518[[#This Row],[ÜRÜN KODU]],YMKODLARI!$A$1:$K$363,5,0)," ")</f>
        <v>30.8</v>
      </c>
      <c r="R168" s="100">
        <f>IFERROR(VLOOKUP(Tablo518[[#This Row],[ÜRÜN KODU]],YMKODLARI!$A$1:$K$363,6,0)," ")</f>
        <v>19</v>
      </c>
      <c r="S168" s="100">
        <f>IFERROR(Tablo518[[#This Row],[YOLLUK HARİÇ BASKI GRAMI]]/Tablo518[[#This Row],[KALIP GÖZ ADEDİ]]," ")</f>
        <v>9.5</v>
      </c>
      <c r="T168" s="100">
        <f t="shared" si="16"/>
        <v>11.8</v>
      </c>
      <c r="U168" s="100"/>
      <c r="V168" s="100">
        <f t="shared" si="15"/>
        <v>10.412000000000001</v>
      </c>
      <c r="W168" s="101">
        <f t="shared" si="17"/>
        <v>24</v>
      </c>
      <c r="X168" s="102">
        <f t="shared" si="18"/>
        <v>0</v>
      </c>
      <c r="Y168" s="100">
        <f t="shared" si="19"/>
        <v>5.7844444444444445</v>
      </c>
      <c r="Z168" s="100">
        <f t="shared" si="20"/>
        <v>1096</v>
      </c>
    </row>
    <row r="169" spans="1:26">
      <c r="A169" s="108" t="s">
        <v>185</v>
      </c>
      <c r="B169" s="108" t="str">
        <f>IFERROR(VLOOKUP(Tablo518[[#This Row],[ÜRÜN KODU]],YMKODLARI!$A$1:$K$363,2,0)," ")</f>
        <v>NEŞELİ ÇINGIRAK</v>
      </c>
      <c r="C169" s="99">
        <v>44001</v>
      </c>
      <c r="D169" s="100" t="s">
        <v>33</v>
      </c>
      <c r="E169" s="101"/>
      <c r="F169" s="101"/>
      <c r="G169" s="100">
        <f>IFERROR(VLOOKUP(Tablo518[[#This Row],[ÜRÜN KODU]],YMKODLARI!$A$1:$K$363,3,0)," ")</f>
        <v>2</v>
      </c>
      <c r="H169" s="100">
        <f>IFERROR(VLOOKUP(Tablo518[[#This Row],[ÜRÜN KODU]],YMKODLARI!$A$1:$K$363,4,0)," ")</f>
        <v>38</v>
      </c>
      <c r="I169" s="100">
        <v>548</v>
      </c>
      <c r="J169" s="100" t="str">
        <f>IFERROR(VLOOKUP(Tablo518[[#This Row],[ÜRÜN KODU]],YMKODLARI!$A$1:$K$363,9,0)," ")</f>
        <v>BOYASIZ</v>
      </c>
      <c r="K169" s="100" t="str">
        <f>IFERROR(VLOOKUP(Tablo518[[#This Row],[BOYA KODU]],Tablo14[#All],4,0)," ")</f>
        <v xml:space="preserve"> </v>
      </c>
      <c r="L169" s="100" t="str">
        <f>IFERROR(VLOOKUP(Tablo518[[#This Row],[BOYA KODU]],Tablo14[#All],6,0)," ")</f>
        <v xml:space="preserve"> </v>
      </c>
      <c r="M169" s="100" t="str">
        <f t="shared" si="14"/>
        <v xml:space="preserve"> </v>
      </c>
      <c r="N169" s="100" t="str">
        <f>IFERROR(VLOOKUP(Tablo518[[#This Row],[ÜRÜN KODU]],YMKODLARI!$A$1:$K$363,8,0)," ")</f>
        <v>HM 011</v>
      </c>
      <c r="O169" s="100" t="str">
        <f>IFERROR(VLOOKUP(Tablo518[[#This Row],[HAMMADDE KODU]],Tablo1[#All],3,0)," ")</f>
        <v>KIRMA PC</v>
      </c>
      <c r="P169" s="100" t="str">
        <f>IFERROR(VLOOKUP(Tablo518[[#This Row],[HAMMADDE KODU]],Tablo1[#All],4,0)," ")</f>
        <v>KIRMA</v>
      </c>
      <c r="Q169" s="100">
        <f>IFERROR(VLOOKUP(Tablo518[[#This Row],[ÜRÜN KODU]],YMKODLARI!$A$1:$K$363,5,0)," ")</f>
        <v>18.7</v>
      </c>
      <c r="R169" s="100">
        <f>IFERROR(VLOOKUP(Tablo518[[#This Row],[ÜRÜN KODU]],YMKODLARI!$A$1:$K$363,6,0)," ")</f>
        <v>18.7</v>
      </c>
      <c r="S169" s="100">
        <f>IFERROR(Tablo518[[#This Row],[YOLLUK HARİÇ BASKI GRAMI]]/Tablo518[[#This Row],[KALIP GÖZ ADEDİ]]," ")</f>
        <v>9.35</v>
      </c>
      <c r="T169" s="100">
        <f t="shared" si="16"/>
        <v>0</v>
      </c>
      <c r="U169" s="100"/>
      <c r="V169" s="100">
        <f t="shared" si="15"/>
        <v>10.2476</v>
      </c>
      <c r="W169" s="101">
        <f t="shared" si="17"/>
        <v>24</v>
      </c>
      <c r="X169" s="102">
        <f t="shared" si="18"/>
        <v>0</v>
      </c>
      <c r="Y169" s="100">
        <f t="shared" si="19"/>
        <v>5.7844444444444445</v>
      </c>
      <c r="Z169" s="100">
        <f t="shared" si="20"/>
        <v>1096</v>
      </c>
    </row>
    <row r="170" spans="1:26">
      <c r="A170" s="108" t="s">
        <v>186</v>
      </c>
      <c r="B170" s="108" t="str">
        <f>IFERROR(VLOOKUP(Tablo518[[#This Row],[ÜRÜN KODU]],YMKODLARI!$A$1:$K$363,2,0)," ")</f>
        <v>NEŞELİ ÇINGIRAK</v>
      </c>
      <c r="C170" s="99">
        <v>44001</v>
      </c>
      <c r="D170" s="100" t="s">
        <v>33</v>
      </c>
      <c r="E170" s="101"/>
      <c r="F170" s="101"/>
      <c r="G170" s="100">
        <f>IFERROR(VLOOKUP(Tablo518[[#This Row],[ÜRÜN KODU]],YMKODLARI!$A$1:$K$363,3,0)," ")</f>
        <v>2</v>
      </c>
      <c r="H170" s="100">
        <f>IFERROR(VLOOKUP(Tablo518[[#This Row],[ÜRÜN KODU]],YMKODLARI!$A$1:$K$363,4,0)," ")</f>
        <v>38</v>
      </c>
      <c r="I170" s="100">
        <v>548</v>
      </c>
      <c r="J170" s="100" t="str">
        <f>IFERROR(VLOOKUP(Tablo518[[#This Row],[ÜRÜN KODU]],YMKODLARI!$A$1:$K$363,9,0)," ")</f>
        <v>BOYASIZ</v>
      </c>
      <c r="K170" s="100" t="str">
        <f>IFERROR(VLOOKUP(Tablo518[[#This Row],[BOYA KODU]],Tablo14[#All],4,0)," ")</f>
        <v xml:space="preserve"> </v>
      </c>
      <c r="L170" s="100" t="str">
        <f>IFERROR(VLOOKUP(Tablo518[[#This Row],[BOYA KODU]],Tablo14[#All],6,0)," ")</f>
        <v xml:space="preserve"> </v>
      </c>
      <c r="M170" s="100" t="str">
        <f t="shared" si="14"/>
        <v xml:space="preserve"> </v>
      </c>
      <c r="N170" s="100" t="str">
        <f>IFERROR(VLOOKUP(Tablo518[[#This Row],[ÜRÜN KODU]],YMKODLARI!$A$1:$K$363,8,0)," ")</f>
        <v>HM 011</v>
      </c>
      <c r="O170" s="100" t="str">
        <f>IFERROR(VLOOKUP(Tablo518[[#This Row],[HAMMADDE KODU]],Tablo1[#All],3,0)," ")</f>
        <v>KIRMA PC</v>
      </c>
      <c r="P170" s="100" t="str">
        <f>IFERROR(VLOOKUP(Tablo518[[#This Row],[HAMMADDE KODU]],Tablo1[#All],4,0)," ")</f>
        <v>KIRMA</v>
      </c>
      <c r="Q170" s="100">
        <f>IFERROR(VLOOKUP(Tablo518[[#This Row],[ÜRÜN KODU]],YMKODLARI!$A$1:$K$363,5,0)," ")</f>
        <v>17.100000000000001</v>
      </c>
      <c r="R170" s="100">
        <f>IFERROR(VLOOKUP(Tablo518[[#This Row],[ÜRÜN KODU]],YMKODLARI!$A$1:$K$363,6,0)," ")</f>
        <v>17.100000000000001</v>
      </c>
      <c r="S170" s="100">
        <f>IFERROR(Tablo518[[#This Row],[YOLLUK HARİÇ BASKI GRAMI]]/Tablo518[[#This Row],[KALIP GÖZ ADEDİ]]," ")</f>
        <v>8.5500000000000007</v>
      </c>
      <c r="T170" s="100">
        <f t="shared" si="16"/>
        <v>0</v>
      </c>
      <c r="U170" s="100"/>
      <c r="V170" s="100">
        <f t="shared" si="15"/>
        <v>9.3708000000000009</v>
      </c>
      <c r="W170" s="101">
        <f t="shared" si="17"/>
        <v>24</v>
      </c>
      <c r="X170" s="102">
        <f t="shared" si="18"/>
        <v>0</v>
      </c>
      <c r="Y170" s="100">
        <f t="shared" si="19"/>
        <v>5.7844444444444445</v>
      </c>
      <c r="Z170" s="100">
        <f t="shared" si="20"/>
        <v>1096</v>
      </c>
    </row>
    <row r="171" spans="1:26">
      <c r="A171" s="108" t="s">
        <v>187</v>
      </c>
      <c r="B171" s="108" t="str">
        <f>IFERROR(VLOOKUP(Tablo518[[#This Row],[ÜRÜN KODU]],YMKODLARI!$A$1:$K$363,2,0)," ")</f>
        <v>NEŞELİ ÇINGIRAK</v>
      </c>
      <c r="C171" s="99">
        <v>44001</v>
      </c>
      <c r="D171" s="100" t="s">
        <v>33</v>
      </c>
      <c r="E171" s="101">
        <v>0.33333333333333331</v>
      </c>
      <c r="F171" s="101">
        <v>0.62152777777777779</v>
      </c>
      <c r="G171" s="100">
        <f>IFERROR(VLOOKUP(Tablo518[[#This Row],[ÜRÜN KODU]],YMKODLARI!$A$1:$K$363,3,0)," ")</f>
        <v>2</v>
      </c>
      <c r="H171" s="100">
        <f>IFERROR(VLOOKUP(Tablo518[[#This Row],[ÜRÜN KODU]],YMKODLARI!$A$1:$K$363,4,0)," ")</f>
        <v>38</v>
      </c>
      <c r="I171" s="100">
        <v>548</v>
      </c>
      <c r="J171" s="100" t="str">
        <f>IFERROR(VLOOKUP(Tablo518[[#This Row],[ÜRÜN KODU]],YMKODLARI!$A$1:$K$363,9,0)," ")</f>
        <v>BOYASIZ</v>
      </c>
      <c r="K171" s="100" t="str">
        <f>IFERROR(VLOOKUP(Tablo518[[#This Row],[BOYA KODU]],Tablo14[#All],4,0)," ")</f>
        <v xml:space="preserve"> </v>
      </c>
      <c r="L171" s="100" t="str">
        <f>IFERROR(VLOOKUP(Tablo518[[#This Row],[BOYA KODU]],Tablo14[#All],6,0)," ")</f>
        <v xml:space="preserve"> </v>
      </c>
      <c r="M171" s="100" t="str">
        <f t="shared" si="14"/>
        <v xml:space="preserve"> </v>
      </c>
      <c r="N171" s="100" t="str">
        <f>IFERROR(VLOOKUP(Tablo518[[#This Row],[ÜRÜN KODU]],YMKODLARI!$A$1:$K$363,8,0)," ")</f>
        <v>HM 011</v>
      </c>
      <c r="O171" s="100" t="str">
        <f>IFERROR(VLOOKUP(Tablo518[[#This Row],[HAMMADDE KODU]],Tablo1[#All],3,0)," ")</f>
        <v>KIRMA PC</v>
      </c>
      <c r="P171" s="100" t="str">
        <f>IFERROR(VLOOKUP(Tablo518[[#This Row],[HAMMADDE KODU]],Tablo1[#All],4,0)," ")</f>
        <v>KIRMA</v>
      </c>
      <c r="Q171" s="100">
        <f>IFERROR(VLOOKUP(Tablo518[[#This Row],[ÜRÜN KODU]],YMKODLARI!$A$1:$K$363,5,0)," ")</f>
        <v>20.100000000000001</v>
      </c>
      <c r="R171" s="100">
        <f>IFERROR(VLOOKUP(Tablo518[[#This Row],[ÜRÜN KODU]],YMKODLARI!$A$1:$K$363,6,0)," ")</f>
        <v>20.100000000000001</v>
      </c>
      <c r="S171" s="100">
        <f>IFERROR(Tablo518[[#This Row],[YOLLUK HARİÇ BASKI GRAMI]]/Tablo518[[#This Row],[KALIP GÖZ ADEDİ]]," ")</f>
        <v>10.050000000000001</v>
      </c>
      <c r="T171" s="100">
        <f t="shared" si="16"/>
        <v>0</v>
      </c>
      <c r="U171" s="100"/>
      <c r="V171" s="100">
        <f t="shared" si="15"/>
        <v>11.014800000000001</v>
      </c>
      <c r="W171" s="101">
        <f t="shared" si="17"/>
        <v>24.288194444444443</v>
      </c>
      <c r="X171" s="102">
        <f t="shared" si="18"/>
        <v>6.9166666666666288</v>
      </c>
      <c r="Y171" s="100">
        <f t="shared" si="19"/>
        <v>5.7844444444444445</v>
      </c>
      <c r="Z171" s="100">
        <f t="shared" si="20"/>
        <v>1096</v>
      </c>
    </row>
    <row r="172" spans="1:26">
      <c r="A172" s="108" t="s">
        <v>184</v>
      </c>
      <c r="B172" s="108" t="str">
        <f>IFERROR(VLOOKUP(Tablo518[[#This Row],[ÜRÜN KODU]],YMKODLARI!$A$1:$K$363,2,0)," ")</f>
        <v>NEŞELİ ÇINGIRAK</v>
      </c>
      <c r="C172" s="99">
        <v>44004</v>
      </c>
      <c r="D172" s="100" t="s">
        <v>33</v>
      </c>
      <c r="E172" s="101"/>
      <c r="F172" s="101"/>
      <c r="G172" s="100">
        <f>IFERROR(VLOOKUP(Tablo518[[#This Row],[ÜRÜN KODU]],YMKODLARI!$A$1:$K$363,3,0)," ")</f>
        <v>2</v>
      </c>
      <c r="H172" s="100">
        <f>IFERROR(VLOOKUP(Tablo518[[#This Row],[ÜRÜN KODU]],YMKODLARI!$A$1:$K$363,4,0)," ")</f>
        <v>38</v>
      </c>
      <c r="I172" s="100">
        <v>652</v>
      </c>
      <c r="J172" s="100" t="str">
        <f>IFERROR(VLOOKUP(Tablo518[[#This Row],[ÜRÜN KODU]],YMKODLARI!$A$1:$K$363,9,0)," ")</f>
        <v>BOYASIZ</v>
      </c>
      <c r="K172" s="100" t="str">
        <f>IFERROR(VLOOKUP(Tablo518[[#This Row],[BOYA KODU]],Tablo14[#All],4,0)," ")</f>
        <v xml:space="preserve"> </v>
      </c>
      <c r="L172" s="100" t="str">
        <f>IFERROR(VLOOKUP(Tablo518[[#This Row],[BOYA KODU]],Tablo14[#All],6,0)," ")</f>
        <v xml:space="preserve"> </v>
      </c>
      <c r="M172" s="100" t="str">
        <f t="shared" si="14"/>
        <v xml:space="preserve"> </v>
      </c>
      <c r="N172" s="100" t="str">
        <f>IFERROR(VLOOKUP(Tablo518[[#This Row],[ÜRÜN KODU]],YMKODLARI!$A$1:$K$363,8,0)," ")</f>
        <v>HM 011</v>
      </c>
      <c r="O172" s="100" t="str">
        <f>IFERROR(VLOOKUP(Tablo518[[#This Row],[HAMMADDE KODU]],Tablo1[#All],3,0)," ")</f>
        <v>KIRMA PC</v>
      </c>
      <c r="P172" s="100" t="str">
        <f>IFERROR(VLOOKUP(Tablo518[[#This Row],[HAMMADDE KODU]],Tablo1[#All],4,0)," ")</f>
        <v>KIRMA</v>
      </c>
      <c r="Q172" s="100">
        <f>IFERROR(VLOOKUP(Tablo518[[#This Row],[ÜRÜN KODU]],YMKODLARI!$A$1:$K$363,5,0)," ")</f>
        <v>30.8</v>
      </c>
      <c r="R172" s="100">
        <f>IFERROR(VLOOKUP(Tablo518[[#This Row],[ÜRÜN KODU]],YMKODLARI!$A$1:$K$363,6,0)," ")</f>
        <v>19</v>
      </c>
      <c r="S172" s="100">
        <f>IFERROR(Tablo518[[#This Row],[YOLLUK HARİÇ BASKI GRAMI]]/Tablo518[[#This Row],[KALIP GÖZ ADEDİ]]," ")</f>
        <v>9.5</v>
      </c>
      <c r="T172" s="100">
        <f t="shared" si="16"/>
        <v>11.8</v>
      </c>
      <c r="U172" s="100"/>
      <c r="V172" s="100">
        <f t="shared" si="15"/>
        <v>12.388</v>
      </c>
      <c r="W172" s="101">
        <f t="shared" si="17"/>
        <v>24</v>
      </c>
      <c r="X172" s="102">
        <f t="shared" si="18"/>
        <v>0</v>
      </c>
      <c r="Y172" s="100">
        <f t="shared" si="19"/>
        <v>6.8822222222222225</v>
      </c>
      <c r="Z172" s="100">
        <f t="shared" si="20"/>
        <v>1304</v>
      </c>
    </row>
    <row r="173" spans="1:26">
      <c r="A173" s="108" t="s">
        <v>185</v>
      </c>
      <c r="B173" s="108" t="str">
        <f>IFERROR(VLOOKUP(Tablo518[[#This Row],[ÜRÜN KODU]],YMKODLARI!$A$1:$K$363,2,0)," ")</f>
        <v>NEŞELİ ÇINGIRAK</v>
      </c>
      <c r="C173" s="99">
        <v>44004</v>
      </c>
      <c r="D173" s="100" t="s">
        <v>33</v>
      </c>
      <c r="E173" s="101"/>
      <c r="F173" s="101"/>
      <c r="G173" s="100">
        <f>IFERROR(VLOOKUP(Tablo518[[#This Row],[ÜRÜN KODU]],YMKODLARI!$A$1:$K$363,3,0)," ")</f>
        <v>2</v>
      </c>
      <c r="H173" s="100">
        <f>IFERROR(VLOOKUP(Tablo518[[#This Row],[ÜRÜN KODU]],YMKODLARI!$A$1:$K$363,4,0)," ")</f>
        <v>38</v>
      </c>
      <c r="I173" s="100">
        <v>652</v>
      </c>
      <c r="J173" s="100" t="str">
        <f>IFERROR(VLOOKUP(Tablo518[[#This Row],[ÜRÜN KODU]],YMKODLARI!$A$1:$K$363,9,0)," ")</f>
        <v>BOYASIZ</v>
      </c>
      <c r="K173" s="100" t="str">
        <f>IFERROR(VLOOKUP(Tablo518[[#This Row],[BOYA KODU]],Tablo14[#All],4,0)," ")</f>
        <v xml:space="preserve"> </v>
      </c>
      <c r="L173" s="100" t="str">
        <f>IFERROR(VLOOKUP(Tablo518[[#This Row],[BOYA KODU]],Tablo14[#All],6,0)," ")</f>
        <v xml:space="preserve"> </v>
      </c>
      <c r="M173" s="100" t="str">
        <f t="shared" si="14"/>
        <v xml:space="preserve"> </v>
      </c>
      <c r="N173" s="100" t="str">
        <f>IFERROR(VLOOKUP(Tablo518[[#This Row],[ÜRÜN KODU]],YMKODLARI!$A$1:$K$363,8,0)," ")</f>
        <v>HM 011</v>
      </c>
      <c r="O173" s="100" t="str">
        <f>IFERROR(VLOOKUP(Tablo518[[#This Row],[HAMMADDE KODU]],Tablo1[#All],3,0)," ")</f>
        <v>KIRMA PC</v>
      </c>
      <c r="P173" s="100" t="str">
        <f>IFERROR(VLOOKUP(Tablo518[[#This Row],[HAMMADDE KODU]],Tablo1[#All],4,0)," ")</f>
        <v>KIRMA</v>
      </c>
      <c r="Q173" s="100">
        <f>IFERROR(VLOOKUP(Tablo518[[#This Row],[ÜRÜN KODU]],YMKODLARI!$A$1:$K$363,5,0)," ")</f>
        <v>18.7</v>
      </c>
      <c r="R173" s="100">
        <f>IFERROR(VLOOKUP(Tablo518[[#This Row],[ÜRÜN KODU]],YMKODLARI!$A$1:$K$363,6,0)," ")</f>
        <v>18.7</v>
      </c>
      <c r="S173" s="100">
        <f>IFERROR(Tablo518[[#This Row],[YOLLUK HARİÇ BASKI GRAMI]]/Tablo518[[#This Row],[KALIP GÖZ ADEDİ]]," ")</f>
        <v>9.35</v>
      </c>
      <c r="T173" s="100">
        <f t="shared" si="16"/>
        <v>0</v>
      </c>
      <c r="U173" s="100"/>
      <c r="V173" s="100">
        <f t="shared" si="15"/>
        <v>12.192399999999999</v>
      </c>
      <c r="W173" s="101">
        <f t="shared" si="17"/>
        <v>24</v>
      </c>
      <c r="X173" s="102">
        <f t="shared" si="18"/>
        <v>0</v>
      </c>
      <c r="Y173" s="100">
        <f t="shared" si="19"/>
        <v>6.8822222222222225</v>
      </c>
      <c r="Z173" s="100">
        <f t="shared" si="20"/>
        <v>1304</v>
      </c>
    </row>
    <row r="174" spans="1:26">
      <c r="A174" s="108" t="s">
        <v>186</v>
      </c>
      <c r="B174" s="108" t="str">
        <f>IFERROR(VLOOKUP(Tablo518[[#This Row],[ÜRÜN KODU]],YMKODLARI!$A$1:$K$363,2,0)," ")</f>
        <v>NEŞELİ ÇINGIRAK</v>
      </c>
      <c r="C174" s="99">
        <v>44004</v>
      </c>
      <c r="D174" s="100" t="s">
        <v>33</v>
      </c>
      <c r="E174" s="101"/>
      <c r="F174" s="101"/>
      <c r="G174" s="100">
        <f>IFERROR(VLOOKUP(Tablo518[[#This Row],[ÜRÜN KODU]],YMKODLARI!$A$1:$K$363,3,0)," ")</f>
        <v>2</v>
      </c>
      <c r="H174" s="100">
        <f>IFERROR(VLOOKUP(Tablo518[[#This Row],[ÜRÜN KODU]],YMKODLARI!$A$1:$K$363,4,0)," ")</f>
        <v>38</v>
      </c>
      <c r="I174" s="100">
        <v>652</v>
      </c>
      <c r="J174" s="100" t="str">
        <f>IFERROR(VLOOKUP(Tablo518[[#This Row],[ÜRÜN KODU]],YMKODLARI!$A$1:$K$363,9,0)," ")</f>
        <v>BOYASIZ</v>
      </c>
      <c r="K174" s="100" t="str">
        <f>IFERROR(VLOOKUP(Tablo518[[#This Row],[BOYA KODU]],Tablo14[#All],4,0)," ")</f>
        <v xml:space="preserve"> </v>
      </c>
      <c r="L174" s="100" t="str">
        <f>IFERROR(VLOOKUP(Tablo518[[#This Row],[BOYA KODU]],Tablo14[#All],6,0)," ")</f>
        <v xml:space="preserve"> </v>
      </c>
      <c r="M174" s="100" t="str">
        <f t="shared" si="14"/>
        <v xml:space="preserve"> </v>
      </c>
      <c r="N174" s="100" t="str">
        <f>IFERROR(VLOOKUP(Tablo518[[#This Row],[ÜRÜN KODU]],YMKODLARI!$A$1:$K$363,8,0)," ")</f>
        <v>HM 011</v>
      </c>
      <c r="O174" s="100" t="str">
        <f>IFERROR(VLOOKUP(Tablo518[[#This Row],[HAMMADDE KODU]],Tablo1[#All],3,0)," ")</f>
        <v>KIRMA PC</v>
      </c>
      <c r="P174" s="100" t="str">
        <f>IFERROR(VLOOKUP(Tablo518[[#This Row],[HAMMADDE KODU]],Tablo1[#All],4,0)," ")</f>
        <v>KIRMA</v>
      </c>
      <c r="Q174" s="100">
        <f>IFERROR(VLOOKUP(Tablo518[[#This Row],[ÜRÜN KODU]],YMKODLARI!$A$1:$K$363,5,0)," ")</f>
        <v>17.100000000000001</v>
      </c>
      <c r="R174" s="100">
        <f>IFERROR(VLOOKUP(Tablo518[[#This Row],[ÜRÜN KODU]],YMKODLARI!$A$1:$K$363,6,0)," ")</f>
        <v>17.100000000000001</v>
      </c>
      <c r="S174" s="100">
        <f>IFERROR(Tablo518[[#This Row],[YOLLUK HARİÇ BASKI GRAMI]]/Tablo518[[#This Row],[KALIP GÖZ ADEDİ]]," ")</f>
        <v>8.5500000000000007</v>
      </c>
      <c r="T174" s="100">
        <f t="shared" si="16"/>
        <v>0</v>
      </c>
      <c r="U174" s="100"/>
      <c r="V174" s="100">
        <f t="shared" si="15"/>
        <v>11.1492</v>
      </c>
      <c r="W174" s="101">
        <f t="shared" si="17"/>
        <v>24</v>
      </c>
      <c r="X174" s="102">
        <f t="shared" si="18"/>
        <v>0</v>
      </c>
      <c r="Y174" s="100">
        <f t="shared" si="19"/>
        <v>6.8822222222222225</v>
      </c>
      <c r="Z174" s="100">
        <f t="shared" si="20"/>
        <v>1304</v>
      </c>
    </row>
    <row r="175" spans="1:26">
      <c r="A175" s="108" t="s">
        <v>187</v>
      </c>
      <c r="B175" s="108" t="str">
        <f>IFERROR(VLOOKUP(Tablo518[[#This Row],[ÜRÜN KODU]],YMKODLARI!$A$1:$K$363,2,0)," ")</f>
        <v>NEŞELİ ÇINGIRAK</v>
      </c>
      <c r="C175" s="99">
        <v>44004</v>
      </c>
      <c r="D175" s="100" t="s">
        <v>33</v>
      </c>
      <c r="E175" s="101">
        <v>0.41666666666666669</v>
      </c>
      <c r="F175" s="101">
        <v>0.75</v>
      </c>
      <c r="G175" s="100">
        <f>IFERROR(VLOOKUP(Tablo518[[#This Row],[ÜRÜN KODU]],YMKODLARI!$A$1:$K$363,3,0)," ")</f>
        <v>2</v>
      </c>
      <c r="H175" s="100">
        <f>IFERROR(VLOOKUP(Tablo518[[#This Row],[ÜRÜN KODU]],YMKODLARI!$A$1:$K$363,4,0)," ")</f>
        <v>38</v>
      </c>
      <c r="I175" s="100">
        <v>652</v>
      </c>
      <c r="J175" s="100" t="str">
        <f>IFERROR(VLOOKUP(Tablo518[[#This Row],[ÜRÜN KODU]],YMKODLARI!$A$1:$K$363,9,0)," ")</f>
        <v>BOYASIZ</v>
      </c>
      <c r="K175" s="100" t="str">
        <f>IFERROR(VLOOKUP(Tablo518[[#This Row],[BOYA KODU]],Tablo14[#All],4,0)," ")</f>
        <v xml:space="preserve"> </v>
      </c>
      <c r="L175" s="100" t="str">
        <f>IFERROR(VLOOKUP(Tablo518[[#This Row],[BOYA KODU]],Tablo14[#All],6,0)," ")</f>
        <v xml:space="preserve"> </v>
      </c>
      <c r="M175" s="100" t="str">
        <f t="shared" si="14"/>
        <v xml:space="preserve"> </v>
      </c>
      <c r="N175" s="100" t="str">
        <f>IFERROR(VLOOKUP(Tablo518[[#This Row],[ÜRÜN KODU]],YMKODLARI!$A$1:$K$363,8,0)," ")</f>
        <v>HM 011</v>
      </c>
      <c r="O175" s="100" t="str">
        <f>IFERROR(VLOOKUP(Tablo518[[#This Row],[HAMMADDE KODU]],Tablo1[#All],3,0)," ")</f>
        <v>KIRMA PC</v>
      </c>
      <c r="P175" s="100" t="str">
        <f>IFERROR(VLOOKUP(Tablo518[[#This Row],[HAMMADDE KODU]],Tablo1[#All],4,0)," ")</f>
        <v>KIRMA</v>
      </c>
      <c r="Q175" s="100">
        <f>IFERROR(VLOOKUP(Tablo518[[#This Row],[ÜRÜN KODU]],YMKODLARI!$A$1:$K$363,5,0)," ")</f>
        <v>20.100000000000001</v>
      </c>
      <c r="R175" s="100">
        <f>IFERROR(VLOOKUP(Tablo518[[#This Row],[ÜRÜN KODU]],YMKODLARI!$A$1:$K$363,6,0)," ")</f>
        <v>20.100000000000001</v>
      </c>
      <c r="S175" s="100">
        <f>IFERROR(Tablo518[[#This Row],[YOLLUK HARİÇ BASKI GRAMI]]/Tablo518[[#This Row],[KALIP GÖZ ADEDİ]]," ")</f>
        <v>10.050000000000001</v>
      </c>
      <c r="T175" s="100">
        <f t="shared" si="16"/>
        <v>0</v>
      </c>
      <c r="U175" s="100"/>
      <c r="V175" s="100">
        <f t="shared" si="15"/>
        <v>13.1052</v>
      </c>
      <c r="W175" s="101">
        <f t="shared" si="17"/>
        <v>24.333333333333332</v>
      </c>
      <c r="X175" s="102">
        <f t="shared" si="18"/>
        <v>7.9999999999999716</v>
      </c>
      <c r="Y175" s="100">
        <f t="shared" si="19"/>
        <v>6.8822222222222225</v>
      </c>
      <c r="Z175" s="100">
        <f t="shared" si="20"/>
        <v>1304</v>
      </c>
    </row>
    <row r="176" spans="1:26">
      <c r="A176" s="108" t="s">
        <v>184</v>
      </c>
      <c r="B176" s="108" t="str">
        <f>IFERROR(VLOOKUP(Tablo518[[#This Row],[ÜRÜN KODU]],YMKODLARI!$A$1:$K$363,2,0)," ")</f>
        <v>NEŞELİ ÇINGIRAK</v>
      </c>
      <c r="C176" s="99">
        <v>44005</v>
      </c>
      <c r="D176" s="100" t="s">
        <v>33</v>
      </c>
      <c r="E176" s="101"/>
      <c r="F176" s="101"/>
      <c r="G176" s="100">
        <f>IFERROR(VLOOKUP(Tablo518[[#This Row],[ÜRÜN KODU]],YMKODLARI!$A$1:$K$363,3,0)," ")</f>
        <v>2</v>
      </c>
      <c r="H176" s="100">
        <f>IFERROR(VLOOKUP(Tablo518[[#This Row],[ÜRÜN KODU]],YMKODLARI!$A$1:$K$363,4,0)," ")</f>
        <v>38</v>
      </c>
      <c r="I176" s="100">
        <v>525</v>
      </c>
      <c r="J176" s="100" t="str">
        <f>IFERROR(VLOOKUP(Tablo518[[#This Row],[ÜRÜN KODU]],YMKODLARI!$A$1:$K$363,9,0)," ")</f>
        <v>BOYASIZ</v>
      </c>
      <c r="K176" s="100" t="str">
        <f>IFERROR(VLOOKUP(Tablo518[[#This Row],[BOYA KODU]],Tablo14[#All],4,0)," ")</f>
        <v xml:space="preserve"> </v>
      </c>
      <c r="L176" s="100" t="str">
        <f>IFERROR(VLOOKUP(Tablo518[[#This Row],[BOYA KODU]],Tablo14[#All],6,0)," ")</f>
        <v xml:space="preserve"> </v>
      </c>
      <c r="M176" s="100" t="str">
        <f t="shared" si="14"/>
        <v xml:space="preserve"> </v>
      </c>
      <c r="N176" s="100" t="str">
        <f>IFERROR(VLOOKUP(Tablo518[[#This Row],[ÜRÜN KODU]],YMKODLARI!$A$1:$K$363,8,0)," ")</f>
        <v>HM 011</v>
      </c>
      <c r="O176" s="100" t="str">
        <f>IFERROR(VLOOKUP(Tablo518[[#This Row],[HAMMADDE KODU]],Tablo1[#All],3,0)," ")</f>
        <v>KIRMA PC</v>
      </c>
      <c r="P176" s="100" t="str">
        <f>IFERROR(VLOOKUP(Tablo518[[#This Row],[HAMMADDE KODU]],Tablo1[#All],4,0)," ")</f>
        <v>KIRMA</v>
      </c>
      <c r="Q176" s="100">
        <f>IFERROR(VLOOKUP(Tablo518[[#This Row],[ÜRÜN KODU]],YMKODLARI!$A$1:$K$363,5,0)," ")</f>
        <v>30.8</v>
      </c>
      <c r="R176" s="100">
        <f>IFERROR(VLOOKUP(Tablo518[[#This Row],[ÜRÜN KODU]],YMKODLARI!$A$1:$K$363,6,0)," ")</f>
        <v>19</v>
      </c>
      <c r="S176" s="100">
        <f>IFERROR(Tablo518[[#This Row],[YOLLUK HARİÇ BASKI GRAMI]]/Tablo518[[#This Row],[KALIP GÖZ ADEDİ]]," ")</f>
        <v>9.5</v>
      </c>
      <c r="T176" s="100">
        <f t="shared" si="16"/>
        <v>11.8</v>
      </c>
      <c r="U176" s="100"/>
      <c r="V176" s="100">
        <f t="shared" si="15"/>
        <v>9.9749999999999996</v>
      </c>
      <c r="W176" s="101">
        <f t="shared" si="17"/>
        <v>24</v>
      </c>
      <c r="X176" s="102">
        <f t="shared" si="18"/>
        <v>0</v>
      </c>
      <c r="Y176" s="100">
        <f t="shared" si="19"/>
        <v>5.541666666666667</v>
      </c>
      <c r="Z176" s="100">
        <f t="shared" si="20"/>
        <v>1050</v>
      </c>
    </row>
    <row r="177" spans="1:26">
      <c r="A177" s="108" t="s">
        <v>185</v>
      </c>
      <c r="B177" s="108" t="str">
        <f>IFERROR(VLOOKUP(Tablo518[[#This Row],[ÜRÜN KODU]],YMKODLARI!$A$1:$K$363,2,0)," ")</f>
        <v>NEŞELİ ÇINGIRAK</v>
      </c>
      <c r="C177" s="99">
        <v>44005</v>
      </c>
      <c r="D177" s="100" t="s">
        <v>33</v>
      </c>
      <c r="E177" s="101"/>
      <c r="F177" s="101"/>
      <c r="G177" s="100">
        <f>IFERROR(VLOOKUP(Tablo518[[#This Row],[ÜRÜN KODU]],YMKODLARI!$A$1:$K$363,3,0)," ")</f>
        <v>2</v>
      </c>
      <c r="H177" s="100">
        <f>IFERROR(VLOOKUP(Tablo518[[#This Row],[ÜRÜN KODU]],YMKODLARI!$A$1:$K$363,4,0)," ")</f>
        <v>38</v>
      </c>
      <c r="I177" s="100">
        <v>525</v>
      </c>
      <c r="J177" s="100" t="str">
        <f>IFERROR(VLOOKUP(Tablo518[[#This Row],[ÜRÜN KODU]],YMKODLARI!$A$1:$K$363,9,0)," ")</f>
        <v>BOYASIZ</v>
      </c>
      <c r="K177" s="100" t="str">
        <f>IFERROR(VLOOKUP(Tablo518[[#This Row],[BOYA KODU]],Tablo14[#All],4,0)," ")</f>
        <v xml:space="preserve"> </v>
      </c>
      <c r="L177" s="100" t="str">
        <f>IFERROR(VLOOKUP(Tablo518[[#This Row],[BOYA KODU]],Tablo14[#All],6,0)," ")</f>
        <v xml:space="preserve"> </v>
      </c>
      <c r="M177" s="100" t="str">
        <f t="shared" si="14"/>
        <v xml:space="preserve"> </v>
      </c>
      <c r="N177" s="100" t="str">
        <f>IFERROR(VLOOKUP(Tablo518[[#This Row],[ÜRÜN KODU]],YMKODLARI!$A$1:$K$363,8,0)," ")</f>
        <v>HM 011</v>
      </c>
      <c r="O177" s="100" t="str">
        <f>IFERROR(VLOOKUP(Tablo518[[#This Row],[HAMMADDE KODU]],Tablo1[#All],3,0)," ")</f>
        <v>KIRMA PC</v>
      </c>
      <c r="P177" s="100" t="str">
        <f>IFERROR(VLOOKUP(Tablo518[[#This Row],[HAMMADDE KODU]],Tablo1[#All],4,0)," ")</f>
        <v>KIRMA</v>
      </c>
      <c r="Q177" s="100">
        <f>IFERROR(VLOOKUP(Tablo518[[#This Row],[ÜRÜN KODU]],YMKODLARI!$A$1:$K$363,5,0)," ")</f>
        <v>18.7</v>
      </c>
      <c r="R177" s="100">
        <f>IFERROR(VLOOKUP(Tablo518[[#This Row],[ÜRÜN KODU]],YMKODLARI!$A$1:$K$363,6,0)," ")</f>
        <v>18.7</v>
      </c>
      <c r="S177" s="100">
        <f>IFERROR(Tablo518[[#This Row],[YOLLUK HARİÇ BASKI GRAMI]]/Tablo518[[#This Row],[KALIP GÖZ ADEDİ]]," ")</f>
        <v>9.35</v>
      </c>
      <c r="T177" s="100">
        <f t="shared" si="16"/>
        <v>0</v>
      </c>
      <c r="U177" s="100"/>
      <c r="V177" s="100">
        <f t="shared" si="15"/>
        <v>9.8175000000000008</v>
      </c>
      <c r="W177" s="101">
        <f t="shared" si="17"/>
        <v>24</v>
      </c>
      <c r="X177" s="102">
        <f t="shared" si="18"/>
        <v>0</v>
      </c>
      <c r="Y177" s="100">
        <f t="shared" si="19"/>
        <v>5.541666666666667</v>
      </c>
      <c r="Z177" s="100">
        <f t="shared" si="20"/>
        <v>1050</v>
      </c>
    </row>
    <row r="178" spans="1:26">
      <c r="A178" s="108" t="s">
        <v>186</v>
      </c>
      <c r="B178" s="108" t="str">
        <f>IFERROR(VLOOKUP(Tablo518[[#This Row],[ÜRÜN KODU]],YMKODLARI!$A$1:$K$363,2,0)," ")</f>
        <v>NEŞELİ ÇINGIRAK</v>
      </c>
      <c r="C178" s="99">
        <v>44005</v>
      </c>
      <c r="D178" s="100" t="s">
        <v>33</v>
      </c>
      <c r="E178" s="101"/>
      <c r="F178" s="101"/>
      <c r="G178" s="100">
        <f>IFERROR(VLOOKUP(Tablo518[[#This Row],[ÜRÜN KODU]],YMKODLARI!$A$1:$K$363,3,0)," ")</f>
        <v>2</v>
      </c>
      <c r="H178" s="100">
        <f>IFERROR(VLOOKUP(Tablo518[[#This Row],[ÜRÜN KODU]],YMKODLARI!$A$1:$K$363,4,0)," ")</f>
        <v>38</v>
      </c>
      <c r="I178" s="100">
        <v>525</v>
      </c>
      <c r="J178" s="100" t="str">
        <f>IFERROR(VLOOKUP(Tablo518[[#This Row],[ÜRÜN KODU]],YMKODLARI!$A$1:$K$363,9,0)," ")</f>
        <v>BOYASIZ</v>
      </c>
      <c r="K178" s="100" t="str">
        <f>IFERROR(VLOOKUP(Tablo518[[#This Row],[BOYA KODU]],Tablo14[#All],4,0)," ")</f>
        <v xml:space="preserve"> </v>
      </c>
      <c r="L178" s="100" t="str">
        <f>IFERROR(VLOOKUP(Tablo518[[#This Row],[BOYA KODU]],Tablo14[#All],6,0)," ")</f>
        <v xml:space="preserve"> </v>
      </c>
      <c r="M178" s="100" t="str">
        <f t="shared" si="14"/>
        <v xml:space="preserve"> </v>
      </c>
      <c r="N178" s="100" t="str">
        <f>IFERROR(VLOOKUP(Tablo518[[#This Row],[ÜRÜN KODU]],YMKODLARI!$A$1:$K$363,8,0)," ")</f>
        <v>HM 011</v>
      </c>
      <c r="O178" s="100" t="str">
        <f>IFERROR(VLOOKUP(Tablo518[[#This Row],[HAMMADDE KODU]],Tablo1[#All],3,0)," ")</f>
        <v>KIRMA PC</v>
      </c>
      <c r="P178" s="100" t="str">
        <f>IFERROR(VLOOKUP(Tablo518[[#This Row],[HAMMADDE KODU]],Tablo1[#All],4,0)," ")</f>
        <v>KIRMA</v>
      </c>
      <c r="Q178" s="100">
        <f>IFERROR(VLOOKUP(Tablo518[[#This Row],[ÜRÜN KODU]],YMKODLARI!$A$1:$K$363,5,0)," ")</f>
        <v>17.100000000000001</v>
      </c>
      <c r="R178" s="100">
        <f>IFERROR(VLOOKUP(Tablo518[[#This Row],[ÜRÜN KODU]],YMKODLARI!$A$1:$K$363,6,0)," ")</f>
        <v>17.100000000000001</v>
      </c>
      <c r="S178" s="100">
        <f>IFERROR(Tablo518[[#This Row],[YOLLUK HARİÇ BASKI GRAMI]]/Tablo518[[#This Row],[KALIP GÖZ ADEDİ]]," ")</f>
        <v>8.5500000000000007</v>
      </c>
      <c r="T178" s="100">
        <f t="shared" si="16"/>
        <v>0</v>
      </c>
      <c r="U178" s="100"/>
      <c r="V178" s="100">
        <f t="shared" si="15"/>
        <v>8.9774999999999991</v>
      </c>
      <c r="W178" s="101">
        <f t="shared" si="17"/>
        <v>24</v>
      </c>
      <c r="X178" s="102">
        <f t="shared" si="18"/>
        <v>0</v>
      </c>
      <c r="Y178" s="100">
        <f t="shared" si="19"/>
        <v>5.541666666666667</v>
      </c>
      <c r="Z178" s="100">
        <f t="shared" si="20"/>
        <v>1050</v>
      </c>
    </row>
    <row r="179" spans="1:26">
      <c r="A179" s="108" t="s">
        <v>187</v>
      </c>
      <c r="B179" s="108" t="str">
        <f>IFERROR(VLOOKUP(Tablo518[[#This Row],[ÜRÜN KODU]],YMKODLARI!$A$1:$K$363,2,0)," ")</f>
        <v>NEŞELİ ÇINGIRAK</v>
      </c>
      <c r="C179" s="99">
        <v>44005</v>
      </c>
      <c r="D179" s="100" t="s">
        <v>33</v>
      </c>
      <c r="E179" s="101">
        <v>0.33333333333333331</v>
      </c>
      <c r="F179" s="101">
        <v>0.75</v>
      </c>
      <c r="G179" s="100">
        <f>IFERROR(VLOOKUP(Tablo518[[#This Row],[ÜRÜN KODU]],YMKODLARI!$A$1:$K$363,3,0)," ")</f>
        <v>2</v>
      </c>
      <c r="H179" s="100">
        <f>IFERROR(VLOOKUP(Tablo518[[#This Row],[ÜRÜN KODU]],YMKODLARI!$A$1:$K$363,4,0)," ")</f>
        <v>38</v>
      </c>
      <c r="I179" s="100">
        <v>525</v>
      </c>
      <c r="J179" s="100" t="str">
        <f>IFERROR(VLOOKUP(Tablo518[[#This Row],[ÜRÜN KODU]],YMKODLARI!$A$1:$K$363,9,0)," ")</f>
        <v>BOYASIZ</v>
      </c>
      <c r="K179" s="100" t="str">
        <f>IFERROR(VLOOKUP(Tablo518[[#This Row],[BOYA KODU]],Tablo14[#All],4,0)," ")</f>
        <v xml:space="preserve"> </v>
      </c>
      <c r="L179" s="100" t="str">
        <f>IFERROR(VLOOKUP(Tablo518[[#This Row],[BOYA KODU]],Tablo14[#All],6,0)," ")</f>
        <v xml:space="preserve"> </v>
      </c>
      <c r="M179" s="100" t="str">
        <f t="shared" si="14"/>
        <v xml:space="preserve"> </v>
      </c>
      <c r="N179" s="100" t="str">
        <f>IFERROR(VLOOKUP(Tablo518[[#This Row],[ÜRÜN KODU]],YMKODLARI!$A$1:$K$363,8,0)," ")</f>
        <v>HM 011</v>
      </c>
      <c r="O179" s="100" t="str">
        <f>IFERROR(VLOOKUP(Tablo518[[#This Row],[HAMMADDE KODU]],Tablo1[#All],3,0)," ")</f>
        <v>KIRMA PC</v>
      </c>
      <c r="P179" s="100" t="str">
        <f>IFERROR(VLOOKUP(Tablo518[[#This Row],[HAMMADDE KODU]],Tablo1[#All],4,0)," ")</f>
        <v>KIRMA</v>
      </c>
      <c r="Q179" s="100">
        <f>IFERROR(VLOOKUP(Tablo518[[#This Row],[ÜRÜN KODU]],YMKODLARI!$A$1:$K$363,5,0)," ")</f>
        <v>20.100000000000001</v>
      </c>
      <c r="R179" s="100">
        <f>IFERROR(VLOOKUP(Tablo518[[#This Row],[ÜRÜN KODU]],YMKODLARI!$A$1:$K$363,6,0)," ")</f>
        <v>20.100000000000001</v>
      </c>
      <c r="S179" s="100">
        <f>IFERROR(Tablo518[[#This Row],[YOLLUK HARİÇ BASKI GRAMI]]/Tablo518[[#This Row],[KALIP GÖZ ADEDİ]]," ")</f>
        <v>10.050000000000001</v>
      </c>
      <c r="T179" s="100">
        <f t="shared" si="16"/>
        <v>0</v>
      </c>
      <c r="U179" s="100"/>
      <c r="V179" s="100">
        <f t="shared" si="15"/>
        <v>10.5525</v>
      </c>
      <c r="W179" s="101">
        <f t="shared" si="17"/>
        <v>24.416666666666668</v>
      </c>
      <c r="X179" s="102">
        <f t="shared" si="18"/>
        <v>10.000000000000028</v>
      </c>
      <c r="Y179" s="100">
        <f t="shared" si="19"/>
        <v>5.541666666666667</v>
      </c>
      <c r="Z179" s="100">
        <f t="shared" si="20"/>
        <v>1050</v>
      </c>
    </row>
    <row r="180" spans="1:26">
      <c r="A180" s="108" t="s">
        <v>184</v>
      </c>
      <c r="B180" s="108" t="str">
        <f>IFERROR(VLOOKUP(Tablo518[[#This Row],[ÜRÜN KODU]],YMKODLARI!$A$1:$K$363,2,0)," ")</f>
        <v>NEŞELİ ÇINGIRAK</v>
      </c>
      <c r="C180" s="99">
        <v>44006</v>
      </c>
      <c r="D180" s="100" t="s">
        <v>33</v>
      </c>
      <c r="E180" s="101"/>
      <c r="F180" s="101"/>
      <c r="G180" s="100">
        <f>IFERROR(VLOOKUP(Tablo518[[#This Row],[ÜRÜN KODU]],YMKODLARI!$A$1:$K$363,3,0)," ")</f>
        <v>2</v>
      </c>
      <c r="H180" s="100">
        <f>IFERROR(VLOOKUP(Tablo518[[#This Row],[ÜRÜN KODU]],YMKODLARI!$A$1:$K$363,4,0)," ")</f>
        <v>38</v>
      </c>
      <c r="I180" s="100">
        <v>621</v>
      </c>
      <c r="J180" s="100" t="str">
        <f>IFERROR(VLOOKUP(Tablo518[[#This Row],[ÜRÜN KODU]],YMKODLARI!$A$1:$K$363,9,0)," ")</f>
        <v>BOYASIZ</v>
      </c>
      <c r="K180" s="100" t="str">
        <f>IFERROR(VLOOKUP(Tablo518[[#This Row],[BOYA KODU]],Tablo14[#All],4,0)," ")</f>
        <v xml:space="preserve"> </v>
      </c>
      <c r="L180" s="100" t="str">
        <f>IFERROR(VLOOKUP(Tablo518[[#This Row],[BOYA KODU]],Tablo14[#All],6,0)," ")</f>
        <v xml:space="preserve"> </v>
      </c>
      <c r="M180" s="100" t="str">
        <f t="shared" si="14"/>
        <v xml:space="preserve"> </v>
      </c>
      <c r="N180" s="100" t="str">
        <f>IFERROR(VLOOKUP(Tablo518[[#This Row],[ÜRÜN KODU]],YMKODLARI!$A$1:$K$363,8,0)," ")</f>
        <v>HM 011</v>
      </c>
      <c r="O180" s="100" t="str">
        <f>IFERROR(VLOOKUP(Tablo518[[#This Row],[HAMMADDE KODU]],Tablo1[#All],3,0)," ")</f>
        <v>KIRMA PC</v>
      </c>
      <c r="P180" s="100" t="str">
        <f>IFERROR(VLOOKUP(Tablo518[[#This Row],[HAMMADDE KODU]],Tablo1[#All],4,0)," ")</f>
        <v>KIRMA</v>
      </c>
      <c r="Q180" s="100">
        <f>IFERROR(VLOOKUP(Tablo518[[#This Row],[ÜRÜN KODU]],YMKODLARI!$A$1:$K$363,5,0)," ")</f>
        <v>30.8</v>
      </c>
      <c r="R180" s="100">
        <f>IFERROR(VLOOKUP(Tablo518[[#This Row],[ÜRÜN KODU]],YMKODLARI!$A$1:$K$363,6,0)," ")</f>
        <v>19</v>
      </c>
      <c r="S180" s="100">
        <f>IFERROR(Tablo518[[#This Row],[YOLLUK HARİÇ BASKI GRAMI]]/Tablo518[[#This Row],[KALIP GÖZ ADEDİ]]," ")</f>
        <v>9.5</v>
      </c>
      <c r="T180" s="100">
        <f t="shared" si="16"/>
        <v>11.8</v>
      </c>
      <c r="U180" s="100"/>
      <c r="V180" s="100">
        <f t="shared" si="15"/>
        <v>11.798999999999999</v>
      </c>
      <c r="W180" s="101">
        <f t="shared" si="17"/>
        <v>24</v>
      </c>
      <c r="X180" s="102">
        <f t="shared" si="18"/>
        <v>0</v>
      </c>
      <c r="Y180" s="100">
        <f t="shared" si="19"/>
        <v>6.5549999999999997</v>
      </c>
      <c r="Z180" s="100">
        <f t="shared" si="20"/>
        <v>1242</v>
      </c>
    </row>
    <row r="181" spans="1:26">
      <c r="A181" s="108" t="s">
        <v>185</v>
      </c>
      <c r="B181" s="108" t="str">
        <f>IFERROR(VLOOKUP(Tablo518[[#This Row],[ÜRÜN KODU]],YMKODLARI!$A$1:$K$363,2,0)," ")</f>
        <v>NEŞELİ ÇINGIRAK</v>
      </c>
      <c r="C181" s="99">
        <v>44006</v>
      </c>
      <c r="D181" s="100" t="s">
        <v>33</v>
      </c>
      <c r="E181" s="101"/>
      <c r="F181" s="101"/>
      <c r="G181" s="100">
        <f>IFERROR(VLOOKUP(Tablo518[[#This Row],[ÜRÜN KODU]],YMKODLARI!$A$1:$K$363,3,0)," ")</f>
        <v>2</v>
      </c>
      <c r="H181" s="100">
        <f>IFERROR(VLOOKUP(Tablo518[[#This Row],[ÜRÜN KODU]],YMKODLARI!$A$1:$K$363,4,0)," ")</f>
        <v>38</v>
      </c>
      <c r="I181" s="100">
        <v>621</v>
      </c>
      <c r="J181" s="100" t="str">
        <f>IFERROR(VLOOKUP(Tablo518[[#This Row],[ÜRÜN KODU]],YMKODLARI!$A$1:$K$363,9,0)," ")</f>
        <v>BOYASIZ</v>
      </c>
      <c r="K181" s="100" t="str">
        <f>IFERROR(VLOOKUP(Tablo518[[#This Row],[BOYA KODU]],Tablo14[#All],4,0)," ")</f>
        <v xml:space="preserve"> </v>
      </c>
      <c r="L181" s="100" t="str">
        <f>IFERROR(VLOOKUP(Tablo518[[#This Row],[BOYA KODU]],Tablo14[#All],6,0)," ")</f>
        <v xml:space="preserve"> </v>
      </c>
      <c r="M181" s="100" t="str">
        <f t="shared" si="14"/>
        <v xml:space="preserve"> </v>
      </c>
      <c r="N181" s="100" t="str">
        <f>IFERROR(VLOOKUP(Tablo518[[#This Row],[ÜRÜN KODU]],YMKODLARI!$A$1:$K$363,8,0)," ")</f>
        <v>HM 011</v>
      </c>
      <c r="O181" s="100" t="str">
        <f>IFERROR(VLOOKUP(Tablo518[[#This Row],[HAMMADDE KODU]],Tablo1[#All],3,0)," ")</f>
        <v>KIRMA PC</v>
      </c>
      <c r="P181" s="100" t="str">
        <f>IFERROR(VLOOKUP(Tablo518[[#This Row],[HAMMADDE KODU]],Tablo1[#All],4,0)," ")</f>
        <v>KIRMA</v>
      </c>
      <c r="Q181" s="100">
        <f>IFERROR(VLOOKUP(Tablo518[[#This Row],[ÜRÜN KODU]],YMKODLARI!$A$1:$K$363,5,0)," ")</f>
        <v>18.7</v>
      </c>
      <c r="R181" s="100">
        <f>IFERROR(VLOOKUP(Tablo518[[#This Row],[ÜRÜN KODU]],YMKODLARI!$A$1:$K$363,6,0)," ")</f>
        <v>18.7</v>
      </c>
      <c r="S181" s="100">
        <f>IFERROR(Tablo518[[#This Row],[YOLLUK HARİÇ BASKI GRAMI]]/Tablo518[[#This Row],[KALIP GÖZ ADEDİ]]," ")</f>
        <v>9.35</v>
      </c>
      <c r="T181" s="100">
        <f t="shared" si="16"/>
        <v>0</v>
      </c>
      <c r="U181" s="100"/>
      <c r="V181" s="100">
        <f t="shared" si="15"/>
        <v>11.612699999999998</v>
      </c>
      <c r="W181" s="101">
        <f t="shared" si="17"/>
        <v>24</v>
      </c>
      <c r="X181" s="102">
        <f t="shared" si="18"/>
        <v>0</v>
      </c>
      <c r="Y181" s="100">
        <f t="shared" si="19"/>
        <v>6.5549999999999997</v>
      </c>
      <c r="Z181" s="100">
        <f t="shared" si="20"/>
        <v>1242</v>
      </c>
    </row>
    <row r="182" spans="1:26">
      <c r="A182" s="108" t="s">
        <v>186</v>
      </c>
      <c r="B182" s="108" t="str">
        <f>IFERROR(VLOOKUP(Tablo518[[#This Row],[ÜRÜN KODU]],YMKODLARI!$A$1:$K$363,2,0)," ")</f>
        <v>NEŞELİ ÇINGIRAK</v>
      </c>
      <c r="C182" s="99">
        <v>44006</v>
      </c>
      <c r="D182" s="100" t="s">
        <v>33</v>
      </c>
      <c r="E182" s="101"/>
      <c r="F182" s="101"/>
      <c r="G182" s="100">
        <f>IFERROR(VLOOKUP(Tablo518[[#This Row],[ÜRÜN KODU]],YMKODLARI!$A$1:$K$363,3,0)," ")</f>
        <v>2</v>
      </c>
      <c r="H182" s="100">
        <f>IFERROR(VLOOKUP(Tablo518[[#This Row],[ÜRÜN KODU]],YMKODLARI!$A$1:$K$363,4,0)," ")</f>
        <v>38</v>
      </c>
      <c r="I182" s="100">
        <v>621</v>
      </c>
      <c r="J182" s="100" t="str">
        <f>IFERROR(VLOOKUP(Tablo518[[#This Row],[ÜRÜN KODU]],YMKODLARI!$A$1:$K$363,9,0)," ")</f>
        <v>BOYASIZ</v>
      </c>
      <c r="K182" s="100" t="str">
        <f>IFERROR(VLOOKUP(Tablo518[[#This Row],[BOYA KODU]],Tablo14[#All],4,0)," ")</f>
        <v xml:space="preserve"> </v>
      </c>
      <c r="L182" s="100" t="str">
        <f>IFERROR(VLOOKUP(Tablo518[[#This Row],[BOYA KODU]],Tablo14[#All],6,0)," ")</f>
        <v xml:space="preserve"> </v>
      </c>
      <c r="M182" s="100" t="str">
        <f t="shared" si="14"/>
        <v xml:space="preserve"> </v>
      </c>
      <c r="N182" s="100" t="str">
        <f>IFERROR(VLOOKUP(Tablo518[[#This Row],[ÜRÜN KODU]],YMKODLARI!$A$1:$K$363,8,0)," ")</f>
        <v>HM 011</v>
      </c>
      <c r="O182" s="100" t="str">
        <f>IFERROR(VLOOKUP(Tablo518[[#This Row],[HAMMADDE KODU]],Tablo1[#All],3,0)," ")</f>
        <v>KIRMA PC</v>
      </c>
      <c r="P182" s="100" t="str">
        <f>IFERROR(VLOOKUP(Tablo518[[#This Row],[HAMMADDE KODU]],Tablo1[#All],4,0)," ")</f>
        <v>KIRMA</v>
      </c>
      <c r="Q182" s="100">
        <f>IFERROR(VLOOKUP(Tablo518[[#This Row],[ÜRÜN KODU]],YMKODLARI!$A$1:$K$363,5,0)," ")</f>
        <v>17.100000000000001</v>
      </c>
      <c r="R182" s="100">
        <f>IFERROR(VLOOKUP(Tablo518[[#This Row],[ÜRÜN KODU]],YMKODLARI!$A$1:$K$363,6,0)," ")</f>
        <v>17.100000000000001</v>
      </c>
      <c r="S182" s="100">
        <f>IFERROR(Tablo518[[#This Row],[YOLLUK HARİÇ BASKI GRAMI]]/Tablo518[[#This Row],[KALIP GÖZ ADEDİ]]," ")</f>
        <v>8.5500000000000007</v>
      </c>
      <c r="T182" s="100">
        <f t="shared" si="16"/>
        <v>0</v>
      </c>
      <c r="U182" s="100"/>
      <c r="V182" s="100">
        <f t="shared" si="15"/>
        <v>10.6191</v>
      </c>
      <c r="W182" s="101">
        <f t="shared" si="17"/>
        <v>24</v>
      </c>
      <c r="X182" s="102">
        <f t="shared" si="18"/>
        <v>0</v>
      </c>
      <c r="Y182" s="100">
        <f t="shared" si="19"/>
        <v>6.5549999999999997</v>
      </c>
      <c r="Z182" s="100">
        <f t="shared" si="20"/>
        <v>1242</v>
      </c>
    </row>
    <row r="183" spans="1:26">
      <c r="A183" s="108" t="s">
        <v>187</v>
      </c>
      <c r="B183" s="108" t="str">
        <f>IFERROR(VLOOKUP(Tablo518[[#This Row],[ÜRÜN KODU]],YMKODLARI!$A$1:$K$363,2,0)," ")</f>
        <v>NEŞELİ ÇINGIRAK</v>
      </c>
      <c r="C183" s="99">
        <v>44006</v>
      </c>
      <c r="D183" s="100" t="s">
        <v>33</v>
      </c>
      <c r="E183" s="101">
        <v>0.33333333333333331</v>
      </c>
      <c r="F183" s="101">
        <v>0.65277777777777779</v>
      </c>
      <c r="G183" s="100">
        <f>IFERROR(VLOOKUP(Tablo518[[#This Row],[ÜRÜN KODU]],YMKODLARI!$A$1:$K$363,3,0)," ")</f>
        <v>2</v>
      </c>
      <c r="H183" s="100">
        <f>IFERROR(VLOOKUP(Tablo518[[#This Row],[ÜRÜN KODU]],YMKODLARI!$A$1:$K$363,4,0)," ")</f>
        <v>38</v>
      </c>
      <c r="I183" s="100">
        <v>621</v>
      </c>
      <c r="J183" s="100" t="str">
        <f>IFERROR(VLOOKUP(Tablo518[[#This Row],[ÜRÜN KODU]],YMKODLARI!$A$1:$K$363,9,0)," ")</f>
        <v>BOYASIZ</v>
      </c>
      <c r="K183" s="100" t="str">
        <f>IFERROR(VLOOKUP(Tablo518[[#This Row],[BOYA KODU]],Tablo14[#All],4,0)," ")</f>
        <v xml:space="preserve"> </v>
      </c>
      <c r="L183" s="100" t="str">
        <f>IFERROR(VLOOKUP(Tablo518[[#This Row],[BOYA KODU]],Tablo14[#All],6,0)," ")</f>
        <v xml:space="preserve"> </v>
      </c>
      <c r="M183" s="100" t="str">
        <f t="shared" si="14"/>
        <v xml:space="preserve"> </v>
      </c>
      <c r="N183" s="100" t="str">
        <f>IFERROR(VLOOKUP(Tablo518[[#This Row],[ÜRÜN KODU]],YMKODLARI!$A$1:$K$363,8,0)," ")</f>
        <v>HM 011</v>
      </c>
      <c r="O183" s="100" t="str">
        <f>IFERROR(VLOOKUP(Tablo518[[#This Row],[HAMMADDE KODU]],Tablo1[#All],3,0)," ")</f>
        <v>KIRMA PC</v>
      </c>
      <c r="P183" s="100" t="str">
        <f>IFERROR(VLOOKUP(Tablo518[[#This Row],[HAMMADDE KODU]],Tablo1[#All],4,0)," ")</f>
        <v>KIRMA</v>
      </c>
      <c r="Q183" s="100">
        <f>IFERROR(VLOOKUP(Tablo518[[#This Row],[ÜRÜN KODU]],YMKODLARI!$A$1:$K$363,5,0)," ")</f>
        <v>20.100000000000001</v>
      </c>
      <c r="R183" s="100">
        <f>IFERROR(VLOOKUP(Tablo518[[#This Row],[ÜRÜN KODU]],YMKODLARI!$A$1:$K$363,6,0)," ")</f>
        <v>20.100000000000001</v>
      </c>
      <c r="S183" s="100">
        <f>IFERROR(Tablo518[[#This Row],[YOLLUK HARİÇ BASKI GRAMI]]/Tablo518[[#This Row],[KALIP GÖZ ADEDİ]]," ")</f>
        <v>10.050000000000001</v>
      </c>
      <c r="T183" s="100">
        <f t="shared" si="16"/>
        <v>0</v>
      </c>
      <c r="U183" s="100"/>
      <c r="V183" s="100">
        <f t="shared" si="15"/>
        <v>12.482100000000001</v>
      </c>
      <c r="W183" s="101">
        <f t="shared" si="17"/>
        <v>24.319444444444443</v>
      </c>
      <c r="X183" s="102">
        <f t="shared" si="18"/>
        <v>7.6666666666666288</v>
      </c>
      <c r="Y183" s="100">
        <f t="shared" si="19"/>
        <v>6.5549999999999997</v>
      </c>
      <c r="Z183" s="100">
        <f t="shared" si="20"/>
        <v>1242</v>
      </c>
    </row>
    <row r="184" spans="1:26">
      <c r="A184" s="108" t="s">
        <v>188</v>
      </c>
      <c r="B184" s="108" t="str">
        <f>IFERROR(VLOOKUP(Tablo518[[#This Row],[ÜRÜN KODU]],YMKODLARI!$A$1:$K$363,2,0)," ")</f>
        <v>YENİ DAMAK GÖVDE</v>
      </c>
      <c r="C184" s="99">
        <v>44007</v>
      </c>
      <c r="D184" s="100" t="s">
        <v>36</v>
      </c>
      <c r="E184" s="101">
        <v>0.5</v>
      </c>
      <c r="F184" s="101">
        <v>0.83333333333333337</v>
      </c>
      <c r="G184" s="100">
        <f>IFERROR(VLOOKUP(Tablo518[[#This Row],[ÜRÜN KODU]],YMKODLARI!$A$1:$K$363,3,0)," ")</f>
        <v>8</v>
      </c>
      <c r="H184" s="100">
        <f>IFERROR(VLOOKUP(Tablo518[[#This Row],[ÜRÜN KODU]],YMKODLARI!$A$1:$K$363,4,0)," ")</f>
        <v>25</v>
      </c>
      <c r="I184" s="100">
        <v>775</v>
      </c>
      <c r="J184" s="100" t="str">
        <f>IFERROR(VLOOKUP(Tablo518[[#This Row],[ÜRÜN KODU]],YMKODLARI!$A$1:$K$363,9,0)," ")</f>
        <v>1950C</v>
      </c>
      <c r="K184" s="100" t="str">
        <f>IFERROR(VLOOKUP(Tablo518[[#This Row],[BOYA KODU]],Tablo14[#All],4,0)," ")</f>
        <v>SİYAH</v>
      </c>
      <c r="L184" s="100">
        <f>IFERROR(VLOOKUP(Tablo518[[#This Row],[BOYA KODU]],Tablo14[#All],6,0)," ")</f>
        <v>2.5000000000000001E-2</v>
      </c>
      <c r="M184" s="100">
        <f t="shared" si="14"/>
        <v>691.68750000000011</v>
      </c>
      <c r="N184" s="100" t="str">
        <f>IFERROR(VLOOKUP(Tablo518[[#This Row],[ÜRÜN KODU]],YMKODLARI!$A$1:$K$363,8,0)," ")</f>
        <v>HM 002</v>
      </c>
      <c r="O184" s="100" t="str">
        <f>IFERROR(VLOOKUP(Tablo518[[#This Row],[HAMMADDE KODU]],Tablo1[#All],3,0)," ")</f>
        <v>NOVAREX</v>
      </c>
      <c r="P184" s="100" t="str">
        <f>IFERROR(VLOOKUP(Tablo518[[#This Row],[HAMMADDE KODU]],Tablo1[#All],4,0)," ")</f>
        <v>PİNHAS</v>
      </c>
      <c r="Q184" s="100">
        <f>IFERROR(VLOOKUP(Tablo518[[#This Row],[ÜRÜN KODU]],YMKODLARI!$A$1:$K$363,5,0)," ")</f>
        <v>35.700000000000003</v>
      </c>
      <c r="R184" s="100">
        <f>IFERROR(VLOOKUP(Tablo518[[#This Row],[ÜRÜN KODU]],YMKODLARI!$A$1:$K$363,6,0)," ")</f>
        <v>35</v>
      </c>
      <c r="S184" s="100">
        <f>IFERROR(Tablo518[[#This Row],[YOLLUK HARİÇ BASKI GRAMI]]/Tablo518[[#This Row],[KALIP GÖZ ADEDİ]]," ")</f>
        <v>4.375</v>
      </c>
      <c r="T184" s="100">
        <f t="shared" si="16"/>
        <v>0.70000000000000284</v>
      </c>
      <c r="U184" s="100">
        <v>14</v>
      </c>
      <c r="V184" s="100">
        <f t="shared" si="15"/>
        <v>41.125</v>
      </c>
      <c r="W184" s="101">
        <f t="shared" si="17"/>
        <v>24.333333333333332</v>
      </c>
      <c r="X184" s="102">
        <f t="shared" si="18"/>
        <v>7.9999999999999716</v>
      </c>
      <c r="Y184" s="100">
        <f t="shared" si="19"/>
        <v>5.3819444444444446</v>
      </c>
      <c r="Z184" s="100">
        <f t="shared" si="20"/>
        <v>6200</v>
      </c>
    </row>
    <row r="185" spans="1:26">
      <c r="A185" s="108" t="s">
        <v>124</v>
      </c>
      <c r="B185" s="108" t="str">
        <f>IFERROR(VLOOKUP(Tablo518[[#This Row],[ÜRÜN KODU]],YMKODLARI!$A$1:$K$363,2,0)," ")</f>
        <v>DAMAK EMZİK GÖVDE</v>
      </c>
      <c r="C185" s="99">
        <v>44008</v>
      </c>
      <c r="D185" s="100" t="s">
        <v>33</v>
      </c>
      <c r="E185" s="101">
        <v>0.52083333333333337</v>
      </c>
      <c r="F185" s="101">
        <v>0.72916666666666663</v>
      </c>
      <c r="G185" s="100">
        <f>IFERROR(VLOOKUP(Tablo518[[#This Row],[ÜRÜN KODU]],YMKODLARI!$A$1:$K$363,3,0)," ")</f>
        <v>8</v>
      </c>
      <c r="H185" s="100">
        <f>IFERROR(VLOOKUP(Tablo518[[#This Row],[ÜRÜN KODU]],YMKODLARI!$A$1:$K$363,4,0)," ")</f>
        <v>21</v>
      </c>
      <c r="I185" s="100">
        <v>643</v>
      </c>
      <c r="J185" s="100" t="str">
        <f>IFERROR(VLOOKUP(Tablo518[[#This Row],[ÜRÜN KODU]],YMKODLARI!$A$1:$K$363,9,0)," ")</f>
        <v>5139C</v>
      </c>
      <c r="K185" s="100" t="str">
        <f>IFERROR(VLOOKUP(Tablo518[[#This Row],[BOYA KODU]],Tablo14[#All],4,0)," ")</f>
        <v>T.MAVİ</v>
      </c>
      <c r="L185" s="100">
        <f>IFERROR(VLOOKUP(Tablo518[[#This Row],[BOYA KODU]],Tablo14[#All],6,0)," ")</f>
        <v>1E-3</v>
      </c>
      <c r="M185" s="100">
        <f t="shared" si="14"/>
        <v>19.032799999999998</v>
      </c>
      <c r="N185" s="100" t="str">
        <f>IFERROR(VLOOKUP(Tablo518[[#This Row],[ÜRÜN KODU]],YMKODLARI!$A$1:$K$363,8,0)," ")</f>
        <v>HM 002</v>
      </c>
      <c r="O185" s="100" t="str">
        <f>IFERROR(VLOOKUP(Tablo518[[#This Row],[HAMMADDE KODU]],Tablo1[#All],3,0)," ")</f>
        <v>NOVAREX</v>
      </c>
      <c r="P185" s="100" t="str">
        <f>IFERROR(VLOOKUP(Tablo518[[#This Row],[HAMMADDE KODU]],Tablo1[#All],4,0)," ")</f>
        <v>PİNHAS</v>
      </c>
      <c r="Q185" s="100">
        <f>IFERROR(VLOOKUP(Tablo518[[#This Row],[ÜRÜN KODU]],YMKODLARI!$A$1:$K$363,5,0)," ")</f>
        <v>29.6</v>
      </c>
      <c r="R185" s="100">
        <f>IFERROR(VLOOKUP(Tablo518[[#This Row],[ÜRÜN KODU]],YMKODLARI!$A$1:$K$363,6,0)," ")</f>
        <v>28.6</v>
      </c>
      <c r="S185" s="100">
        <f>IFERROR(Tablo518[[#This Row],[YOLLUK HARİÇ BASKI GRAMI]]/Tablo518[[#This Row],[KALIP GÖZ ADEDİ]]," ")</f>
        <v>3.5750000000000002</v>
      </c>
      <c r="T185" s="100">
        <f t="shared" si="16"/>
        <v>1</v>
      </c>
      <c r="U185" s="100">
        <v>3.3</v>
      </c>
      <c r="V185" s="100">
        <f t="shared" si="15"/>
        <v>21.689800000000002</v>
      </c>
      <c r="W185" s="101">
        <f t="shared" si="17"/>
        <v>24.208333333333332</v>
      </c>
      <c r="X185" s="102">
        <f t="shared" si="18"/>
        <v>4.9999999999999716</v>
      </c>
      <c r="Y185" s="100">
        <f t="shared" si="19"/>
        <v>3.7508333333333335</v>
      </c>
      <c r="Z185" s="100">
        <f t="shared" si="20"/>
        <v>5144</v>
      </c>
    </row>
    <row r="186" spans="1:26">
      <c r="A186" s="108" t="s">
        <v>124</v>
      </c>
      <c r="B186" s="108" t="str">
        <f>IFERROR(VLOOKUP(Tablo518[[#This Row],[ÜRÜN KODU]],YMKODLARI!$A$1:$K$363,2,0)," ")</f>
        <v>DAMAK EMZİK GÖVDE</v>
      </c>
      <c r="C186" s="99">
        <v>44011</v>
      </c>
      <c r="D186" s="100" t="s">
        <v>36</v>
      </c>
      <c r="E186" s="101">
        <v>0.4236111111111111</v>
      </c>
      <c r="F186" s="101">
        <v>0.43402777777777773</v>
      </c>
      <c r="G186" s="100">
        <f>IFERROR(VLOOKUP(Tablo518[[#This Row],[ÜRÜN KODU]],YMKODLARI!$A$1:$K$363,3,0)," ")</f>
        <v>8</v>
      </c>
      <c r="H186" s="100">
        <f>IFERROR(VLOOKUP(Tablo518[[#This Row],[ÜRÜN KODU]],YMKODLARI!$A$1:$K$363,4,0)," ")</f>
        <v>21</v>
      </c>
      <c r="I186" s="100">
        <v>190</v>
      </c>
      <c r="J186" s="100" t="str">
        <f>IFERROR(VLOOKUP(Tablo518[[#This Row],[ÜRÜN KODU]],YMKODLARI!$A$1:$K$363,9,0)," ")</f>
        <v>5139C</v>
      </c>
      <c r="K186" s="100" t="str">
        <f>IFERROR(VLOOKUP(Tablo518[[#This Row],[BOYA KODU]],Tablo14[#All],4,0)," ")</f>
        <v>T.MAVİ</v>
      </c>
      <c r="L186" s="100">
        <f>IFERROR(VLOOKUP(Tablo518[[#This Row],[BOYA KODU]],Tablo14[#All],6,0)," ")</f>
        <v>1E-3</v>
      </c>
      <c r="M186" s="100">
        <f t="shared" si="14"/>
        <v>5.6240000000000006</v>
      </c>
      <c r="N186" s="100" t="str">
        <f>IFERROR(VLOOKUP(Tablo518[[#This Row],[ÜRÜN KODU]],YMKODLARI!$A$1:$K$363,8,0)," ")</f>
        <v>HM 002</v>
      </c>
      <c r="O186" s="100" t="str">
        <f>IFERROR(VLOOKUP(Tablo518[[#This Row],[HAMMADDE KODU]],Tablo1[#All],3,0)," ")</f>
        <v>NOVAREX</v>
      </c>
      <c r="P186" s="100" t="str">
        <f>IFERROR(VLOOKUP(Tablo518[[#This Row],[HAMMADDE KODU]],Tablo1[#All],4,0)," ")</f>
        <v>PİNHAS</v>
      </c>
      <c r="Q186" s="100">
        <f>IFERROR(VLOOKUP(Tablo518[[#This Row],[ÜRÜN KODU]],YMKODLARI!$A$1:$K$363,5,0)," ")</f>
        <v>29.6</v>
      </c>
      <c r="R186" s="100">
        <f>IFERROR(VLOOKUP(Tablo518[[#This Row],[ÜRÜN KODU]],YMKODLARI!$A$1:$K$363,6,0)," ")</f>
        <v>28.6</v>
      </c>
      <c r="S186" s="100">
        <f>IFERROR(Tablo518[[#This Row],[YOLLUK HARİÇ BASKI GRAMI]]/Tablo518[[#This Row],[KALIP GÖZ ADEDİ]]," ")</f>
        <v>3.5750000000000002</v>
      </c>
      <c r="T186" s="100">
        <f t="shared" si="16"/>
        <v>1</v>
      </c>
      <c r="U186" s="100">
        <v>2.4</v>
      </c>
      <c r="V186" s="100">
        <f t="shared" si="15"/>
        <v>7.8339999999999996</v>
      </c>
      <c r="W186" s="101">
        <f t="shared" si="17"/>
        <v>24.010416666666668</v>
      </c>
      <c r="X186" s="102">
        <f t="shared" si="18"/>
        <v>0.25000000000002842</v>
      </c>
      <c r="Y186" s="100">
        <f t="shared" si="19"/>
        <v>1.1083333333333334</v>
      </c>
      <c r="Z186" s="100">
        <f t="shared" si="20"/>
        <v>1520</v>
      </c>
    </row>
    <row r="187" spans="1:26">
      <c r="A187" s="108" t="s">
        <v>137</v>
      </c>
      <c r="B187" s="108" t="str">
        <f>IFERROR(VLOOKUP(Tablo518[[#This Row],[ÜRÜN KODU]],YMKODLARI!$A$1:$K$363,2,0)," ")</f>
        <v>DAMAK EMZİK GÖVDE</v>
      </c>
      <c r="C187" s="99">
        <v>44011</v>
      </c>
      <c r="D187" s="100" t="s">
        <v>36</v>
      </c>
      <c r="E187" s="101">
        <v>0.43402777777777773</v>
      </c>
      <c r="F187" s="101">
        <v>0.75</v>
      </c>
      <c r="G187" s="100">
        <f>IFERROR(VLOOKUP(Tablo518[[#This Row],[ÜRÜN KODU]],YMKODLARI!$A$1:$K$363,3,0)," ")</f>
        <v>8</v>
      </c>
      <c r="H187" s="100">
        <f>IFERROR(VLOOKUP(Tablo518[[#This Row],[ÜRÜN KODU]],YMKODLARI!$A$1:$K$363,4,0)," ")</f>
        <v>21</v>
      </c>
      <c r="I187" s="100">
        <v>842</v>
      </c>
      <c r="J187" s="100" t="str">
        <f>IFERROR(VLOOKUP(Tablo518[[#This Row],[ÜRÜN KODU]],YMKODLARI!$A$1:$K$363,9,0)," ")</f>
        <v>9134A</v>
      </c>
      <c r="K187" s="100" t="str">
        <f>IFERROR(VLOOKUP(Tablo518[[#This Row],[BOYA KODU]],Tablo14[#All],4,0)," ")</f>
        <v>BEYAZ</v>
      </c>
      <c r="L187" s="100">
        <f>IFERROR(VLOOKUP(Tablo518[[#This Row],[BOYA KODU]],Tablo14[#All],6,0)," ")</f>
        <v>7.0000000000000001E-3</v>
      </c>
      <c r="M187" s="100">
        <f t="shared" si="14"/>
        <v>174.4624</v>
      </c>
      <c r="N187" s="100" t="str">
        <f>IFERROR(VLOOKUP(Tablo518[[#This Row],[ÜRÜN KODU]],YMKODLARI!$A$1:$K$363,8,0)," ")</f>
        <v>HM 002</v>
      </c>
      <c r="O187" s="100" t="str">
        <f>IFERROR(VLOOKUP(Tablo518[[#This Row],[HAMMADDE KODU]],Tablo1[#All],3,0)," ")</f>
        <v>NOVAREX</v>
      </c>
      <c r="P187" s="100" t="str">
        <f>IFERROR(VLOOKUP(Tablo518[[#This Row],[HAMMADDE KODU]],Tablo1[#All],4,0)," ")</f>
        <v>PİNHAS</v>
      </c>
      <c r="Q187" s="100">
        <f>IFERROR(VLOOKUP(Tablo518[[#This Row],[ÜRÜN KODU]],YMKODLARI!$A$1:$K$363,5,0)," ")</f>
        <v>29.6</v>
      </c>
      <c r="R187" s="100">
        <f>IFERROR(VLOOKUP(Tablo518[[#This Row],[ÜRÜN KODU]],YMKODLARI!$A$1:$K$363,6,0)," ")</f>
        <v>28.6</v>
      </c>
      <c r="S187" s="100">
        <f>IFERROR(Tablo518[[#This Row],[YOLLUK HARİÇ BASKI GRAMI]]/Tablo518[[#This Row],[KALIP GÖZ ADEDİ]]," ")</f>
        <v>3.5750000000000002</v>
      </c>
      <c r="T187" s="100">
        <f t="shared" si="16"/>
        <v>1</v>
      </c>
      <c r="U187" s="100">
        <v>1.5</v>
      </c>
      <c r="V187" s="100">
        <f t="shared" si="15"/>
        <v>25.581199999999999</v>
      </c>
      <c r="W187" s="101">
        <f t="shared" si="17"/>
        <v>24.315972222222221</v>
      </c>
      <c r="X187" s="102">
        <f t="shared" si="18"/>
        <v>7.5833333333333144</v>
      </c>
      <c r="Y187" s="100">
        <f t="shared" si="19"/>
        <v>4.9116666666666671</v>
      </c>
      <c r="Z187" s="100">
        <f t="shared" si="20"/>
        <v>6736</v>
      </c>
    </row>
    <row r="188" spans="1:26">
      <c r="A188" s="108" t="s">
        <v>137</v>
      </c>
      <c r="B188" s="108" t="str">
        <f>IFERROR(VLOOKUP(Tablo518[[#This Row],[ÜRÜN KODU]],YMKODLARI!$A$1:$K$363,2,0)," ")</f>
        <v>DAMAK EMZİK GÖVDE</v>
      </c>
      <c r="C188" s="99">
        <v>44012</v>
      </c>
      <c r="D188" s="100" t="s">
        <v>33</v>
      </c>
      <c r="E188" s="101">
        <v>0.33333333333333331</v>
      </c>
      <c r="F188" s="101">
        <v>0.54166666666666663</v>
      </c>
      <c r="G188" s="100">
        <f>IFERROR(VLOOKUP(Tablo518[[#This Row],[ÜRÜN KODU]],YMKODLARI!$A$1:$K$363,3,0)," ")</f>
        <v>8</v>
      </c>
      <c r="H188" s="100">
        <f>IFERROR(VLOOKUP(Tablo518[[#This Row],[ÜRÜN KODU]],YMKODLARI!$A$1:$K$363,4,0)," ")</f>
        <v>21</v>
      </c>
      <c r="I188" s="100">
        <v>687</v>
      </c>
      <c r="J188" s="100" t="str">
        <f>IFERROR(VLOOKUP(Tablo518[[#This Row],[ÜRÜN KODU]],YMKODLARI!$A$1:$K$363,9,0)," ")</f>
        <v>9134A</v>
      </c>
      <c r="K188" s="100" t="str">
        <f>IFERROR(VLOOKUP(Tablo518[[#This Row],[BOYA KODU]],Tablo14[#All],4,0)," ")</f>
        <v>BEYAZ</v>
      </c>
      <c r="L188" s="100">
        <f>IFERROR(VLOOKUP(Tablo518[[#This Row],[BOYA KODU]],Tablo14[#All],6,0)," ")</f>
        <v>7.0000000000000001E-3</v>
      </c>
      <c r="M188" s="100">
        <f t="shared" si="14"/>
        <v>142.34640000000002</v>
      </c>
      <c r="N188" s="100" t="str">
        <f>IFERROR(VLOOKUP(Tablo518[[#This Row],[ÜRÜN KODU]],YMKODLARI!$A$1:$K$363,8,0)," ")</f>
        <v>HM 002</v>
      </c>
      <c r="O188" s="100" t="str">
        <f>IFERROR(VLOOKUP(Tablo518[[#This Row],[HAMMADDE KODU]],Tablo1[#All],3,0)," ")</f>
        <v>NOVAREX</v>
      </c>
      <c r="P188" s="100" t="str">
        <f>IFERROR(VLOOKUP(Tablo518[[#This Row],[HAMMADDE KODU]],Tablo1[#All],4,0)," ")</f>
        <v>PİNHAS</v>
      </c>
      <c r="Q188" s="100">
        <f>IFERROR(VLOOKUP(Tablo518[[#This Row],[ÜRÜN KODU]],YMKODLARI!$A$1:$K$363,5,0)," ")</f>
        <v>29.6</v>
      </c>
      <c r="R188" s="100">
        <f>IFERROR(VLOOKUP(Tablo518[[#This Row],[ÜRÜN KODU]],YMKODLARI!$A$1:$K$363,6,0)," ")</f>
        <v>28.6</v>
      </c>
      <c r="S188" s="100">
        <f>IFERROR(Tablo518[[#This Row],[YOLLUK HARİÇ BASKI GRAMI]]/Tablo518[[#This Row],[KALIP GÖZ ADEDİ]]," ")</f>
        <v>3.5750000000000002</v>
      </c>
      <c r="T188" s="100">
        <f t="shared" si="16"/>
        <v>1</v>
      </c>
      <c r="U188" s="100">
        <v>4.7</v>
      </c>
      <c r="V188" s="100">
        <f t="shared" si="15"/>
        <v>24.348199999999999</v>
      </c>
      <c r="W188" s="101">
        <f t="shared" si="17"/>
        <v>24.208333333333332</v>
      </c>
      <c r="X188" s="102">
        <f t="shared" si="18"/>
        <v>4.9999999999999716</v>
      </c>
      <c r="Y188" s="100">
        <f t="shared" si="19"/>
        <v>4.0075000000000003</v>
      </c>
      <c r="Z188" s="100">
        <f t="shared" si="20"/>
        <v>5496</v>
      </c>
    </row>
    <row r="189" spans="1:26">
      <c r="A189" s="108" t="s">
        <v>169</v>
      </c>
      <c r="B189" s="108" t="str">
        <f>IFERROR(VLOOKUP(Tablo518[[#This Row],[ÜRÜN KODU]],YMKODLARI!$A$1:$K$363,2,0)," ")</f>
        <v>DAMAK EMZİK GÖVDE</v>
      </c>
      <c r="C189" s="99">
        <v>44012</v>
      </c>
      <c r="D189" s="100" t="s">
        <v>33</v>
      </c>
      <c r="E189" s="101">
        <v>0.54166666666666663</v>
      </c>
      <c r="F189" s="101">
        <v>0.75</v>
      </c>
      <c r="G189" s="100">
        <f>IFERROR(VLOOKUP(Tablo518[[#This Row],[ÜRÜN KODU]],YMKODLARI!$A$1:$K$363,3,0)," ")</f>
        <v>8</v>
      </c>
      <c r="H189" s="100">
        <f>IFERROR(VLOOKUP(Tablo518[[#This Row],[ÜRÜN KODU]],YMKODLARI!$A$1:$K$363,4,0)," ")</f>
        <v>21</v>
      </c>
      <c r="I189" s="100">
        <v>643</v>
      </c>
      <c r="J189" s="100">
        <f>IFERROR(VLOOKUP(Tablo518[[#This Row],[ÜRÜN KODU]],YMKODLARI!$A$1:$K$363,9,0)," ")</f>
        <v>3408</v>
      </c>
      <c r="K189" s="100" t="str">
        <f>IFERROR(VLOOKUP(Tablo518[[#This Row],[BOYA KODU]],Tablo14[#All],4,0)," ")</f>
        <v>PEMBE</v>
      </c>
      <c r="L189" s="100">
        <f>IFERROR(VLOOKUP(Tablo518[[#This Row],[BOYA KODU]],Tablo14[#All],6,0)," ")</f>
        <v>5.0000000000000001E-3</v>
      </c>
      <c r="M189" s="100">
        <f t="shared" si="14"/>
        <v>95.164000000000001</v>
      </c>
      <c r="N189" s="100" t="str">
        <f>IFERROR(VLOOKUP(Tablo518[[#This Row],[ÜRÜN KODU]],YMKODLARI!$A$1:$K$363,8,0)," ")</f>
        <v>HM 002</v>
      </c>
      <c r="O189" s="100" t="str">
        <f>IFERROR(VLOOKUP(Tablo518[[#This Row],[HAMMADDE KODU]],Tablo1[#All],3,0)," ")</f>
        <v>NOVAREX</v>
      </c>
      <c r="P189" s="100" t="str">
        <f>IFERROR(VLOOKUP(Tablo518[[#This Row],[HAMMADDE KODU]],Tablo1[#All],4,0)," ")</f>
        <v>PİNHAS</v>
      </c>
      <c r="Q189" s="100">
        <f>IFERROR(VLOOKUP(Tablo518[[#This Row],[ÜRÜN KODU]],YMKODLARI!$A$1:$K$363,5,0)," ")</f>
        <v>29.6</v>
      </c>
      <c r="R189" s="100">
        <f>IFERROR(VLOOKUP(Tablo518[[#This Row],[ÜRÜN KODU]],YMKODLARI!$A$1:$K$363,6,0)," ")</f>
        <v>28.6</v>
      </c>
      <c r="S189" s="100">
        <f>IFERROR(Tablo518[[#This Row],[YOLLUK HARİÇ BASKI GRAMI]]/Tablo518[[#This Row],[KALIP GÖZ ADEDİ]]," ")</f>
        <v>3.5750000000000002</v>
      </c>
      <c r="T189" s="100">
        <f t="shared" si="16"/>
        <v>1</v>
      </c>
      <c r="U189" s="100">
        <v>2.6</v>
      </c>
      <c r="V189" s="100">
        <f t="shared" si="15"/>
        <v>20.989800000000002</v>
      </c>
      <c r="W189" s="101">
        <f t="shared" si="17"/>
        <v>24.208333333333332</v>
      </c>
      <c r="X189" s="102">
        <f t="shared" si="18"/>
        <v>4.9999999999999716</v>
      </c>
      <c r="Y189" s="100">
        <f t="shared" si="19"/>
        <v>3.7508333333333335</v>
      </c>
      <c r="Z189" s="100">
        <f t="shared" si="20"/>
        <v>5144</v>
      </c>
    </row>
    <row r="190" spans="1:26">
      <c r="A190" s="108" t="s">
        <v>169</v>
      </c>
      <c r="B190" s="108" t="str">
        <f>IFERROR(VLOOKUP(Tablo518[[#This Row],[ÜRÜN KODU]],YMKODLARI!$A$1:$K$363,2,0)," ")</f>
        <v>DAMAK EMZİK GÖVDE</v>
      </c>
      <c r="C190" s="99">
        <v>44013</v>
      </c>
      <c r="D190" s="100" t="s">
        <v>33</v>
      </c>
      <c r="E190" s="101">
        <v>0.33333333333333331</v>
      </c>
      <c r="F190" s="101">
        <v>0.75</v>
      </c>
      <c r="G190" s="100">
        <f>IFERROR(VLOOKUP(Tablo518[[#This Row],[ÜRÜN KODU]],YMKODLARI!$A$1:$K$363,3,0)," ")</f>
        <v>8</v>
      </c>
      <c r="H190" s="100">
        <f>IFERROR(VLOOKUP(Tablo518[[#This Row],[ÜRÜN KODU]],YMKODLARI!$A$1:$K$363,4,0)," ")</f>
        <v>21</v>
      </c>
      <c r="I190" s="100">
        <v>1014</v>
      </c>
      <c r="J190" s="100">
        <f>IFERROR(VLOOKUP(Tablo518[[#This Row],[ÜRÜN KODU]],YMKODLARI!$A$1:$K$363,9,0)," ")</f>
        <v>3408</v>
      </c>
      <c r="K190" s="100" t="str">
        <f>IFERROR(VLOOKUP(Tablo518[[#This Row],[BOYA KODU]],Tablo14[#All],4,0)," ")</f>
        <v>PEMBE</v>
      </c>
      <c r="L190" s="100">
        <f>IFERROR(VLOOKUP(Tablo518[[#This Row],[BOYA KODU]],Tablo14[#All],6,0)," ")</f>
        <v>5.0000000000000001E-3</v>
      </c>
      <c r="M190" s="100">
        <f t="shared" si="14"/>
        <v>150.072</v>
      </c>
      <c r="N190" s="100" t="str">
        <f>IFERROR(VLOOKUP(Tablo518[[#This Row],[ÜRÜN KODU]],YMKODLARI!$A$1:$K$363,8,0)," ")</f>
        <v>HM 002</v>
      </c>
      <c r="O190" s="100" t="str">
        <f>IFERROR(VLOOKUP(Tablo518[[#This Row],[HAMMADDE KODU]],Tablo1[#All],3,0)," ")</f>
        <v>NOVAREX</v>
      </c>
      <c r="P190" s="100" t="str">
        <f>IFERROR(VLOOKUP(Tablo518[[#This Row],[HAMMADDE KODU]],Tablo1[#All],4,0)," ")</f>
        <v>PİNHAS</v>
      </c>
      <c r="Q190" s="100">
        <f>IFERROR(VLOOKUP(Tablo518[[#This Row],[ÜRÜN KODU]],YMKODLARI!$A$1:$K$363,5,0)," ")</f>
        <v>29.6</v>
      </c>
      <c r="R190" s="100">
        <f>IFERROR(VLOOKUP(Tablo518[[#This Row],[ÜRÜN KODU]],YMKODLARI!$A$1:$K$363,6,0)," ")</f>
        <v>28.6</v>
      </c>
      <c r="S190" s="100">
        <f>IFERROR(Tablo518[[#This Row],[YOLLUK HARİÇ BASKI GRAMI]]/Tablo518[[#This Row],[KALIP GÖZ ADEDİ]]," ")</f>
        <v>3.5750000000000002</v>
      </c>
      <c r="T190" s="100">
        <f t="shared" si="16"/>
        <v>1</v>
      </c>
      <c r="U190" s="100">
        <v>4.4000000000000004</v>
      </c>
      <c r="V190" s="100">
        <f t="shared" si="15"/>
        <v>33.400400000000005</v>
      </c>
      <c r="W190" s="101">
        <f t="shared" si="17"/>
        <v>24.416666666666668</v>
      </c>
      <c r="X190" s="102">
        <f t="shared" si="18"/>
        <v>10.000000000000028</v>
      </c>
      <c r="Y190" s="100">
        <f t="shared" si="19"/>
        <v>5.915</v>
      </c>
      <c r="Z190" s="100">
        <f t="shared" si="20"/>
        <v>8112</v>
      </c>
    </row>
    <row r="191" spans="1:26">
      <c r="A191" s="108" t="s">
        <v>169</v>
      </c>
      <c r="B191" s="108" t="str">
        <f>IFERROR(VLOOKUP(Tablo518[[#This Row],[ÜRÜN KODU]],YMKODLARI!$A$1:$K$363,2,0)," ")</f>
        <v>DAMAK EMZİK GÖVDE</v>
      </c>
      <c r="C191" s="99">
        <v>44014</v>
      </c>
      <c r="D191" s="100" t="s">
        <v>33</v>
      </c>
      <c r="E191" s="101">
        <v>0.34375</v>
      </c>
      <c r="F191" s="101">
        <v>0.375</v>
      </c>
      <c r="G191" s="100">
        <f>IFERROR(VLOOKUP(Tablo518[[#This Row],[ÜRÜN KODU]],YMKODLARI!$A$1:$K$363,3,0)," ")</f>
        <v>8</v>
      </c>
      <c r="H191" s="100">
        <f>IFERROR(VLOOKUP(Tablo518[[#This Row],[ÜRÜN KODU]],YMKODLARI!$A$1:$K$363,4,0)," ")</f>
        <v>21</v>
      </c>
      <c r="I191" s="100">
        <v>77</v>
      </c>
      <c r="J191" s="100">
        <f>IFERROR(VLOOKUP(Tablo518[[#This Row],[ÜRÜN KODU]],YMKODLARI!$A$1:$K$363,9,0)," ")</f>
        <v>3408</v>
      </c>
      <c r="K191" s="100" t="str">
        <f>IFERROR(VLOOKUP(Tablo518[[#This Row],[BOYA KODU]],Tablo14[#All],4,0)," ")</f>
        <v>PEMBE</v>
      </c>
      <c r="L191" s="100">
        <f>IFERROR(VLOOKUP(Tablo518[[#This Row],[BOYA KODU]],Tablo14[#All],6,0)," ")</f>
        <v>5.0000000000000001E-3</v>
      </c>
      <c r="M191" s="100">
        <f t="shared" si="14"/>
        <v>11.396000000000001</v>
      </c>
      <c r="N191" s="100" t="str">
        <f>IFERROR(VLOOKUP(Tablo518[[#This Row],[ÜRÜN KODU]],YMKODLARI!$A$1:$K$363,8,0)," ")</f>
        <v>HM 002</v>
      </c>
      <c r="O191" s="100" t="str">
        <f>IFERROR(VLOOKUP(Tablo518[[#This Row],[HAMMADDE KODU]],Tablo1[#All],3,0)," ")</f>
        <v>NOVAREX</v>
      </c>
      <c r="P191" s="100" t="str">
        <f>IFERROR(VLOOKUP(Tablo518[[#This Row],[HAMMADDE KODU]],Tablo1[#All],4,0)," ")</f>
        <v>PİNHAS</v>
      </c>
      <c r="Q191" s="100">
        <f>IFERROR(VLOOKUP(Tablo518[[#This Row],[ÜRÜN KODU]],YMKODLARI!$A$1:$K$363,5,0)," ")</f>
        <v>29.6</v>
      </c>
      <c r="R191" s="100">
        <f>IFERROR(VLOOKUP(Tablo518[[#This Row],[ÜRÜN KODU]],YMKODLARI!$A$1:$K$363,6,0)," ")</f>
        <v>28.6</v>
      </c>
      <c r="S191" s="100">
        <f>IFERROR(Tablo518[[#This Row],[YOLLUK HARİÇ BASKI GRAMI]]/Tablo518[[#This Row],[KALIP GÖZ ADEDİ]]," ")</f>
        <v>3.5750000000000002</v>
      </c>
      <c r="T191" s="100">
        <f t="shared" si="16"/>
        <v>1</v>
      </c>
      <c r="U191" s="100">
        <v>2.4</v>
      </c>
      <c r="V191" s="100">
        <f t="shared" si="15"/>
        <v>4.6021999999999998</v>
      </c>
      <c r="W191" s="101">
        <f t="shared" si="17"/>
        <v>24.03125</v>
      </c>
      <c r="X191" s="102">
        <f t="shared" si="18"/>
        <v>0.75</v>
      </c>
      <c r="Y191" s="100">
        <f t="shared" si="19"/>
        <v>0.44916666666666666</v>
      </c>
      <c r="Z191" s="100">
        <f t="shared" si="20"/>
        <v>616</v>
      </c>
    </row>
    <row r="192" spans="1:26">
      <c r="A192" s="108" t="s">
        <v>166</v>
      </c>
      <c r="B192" s="108" t="str">
        <f>IFERROR(VLOOKUP(Tablo518[[#This Row],[ÜRÜN KODU]],YMKODLARI!$A$1:$K$363,2,0)," ")</f>
        <v>DAMAK EMZİK GÖVDE</v>
      </c>
      <c r="C192" s="99">
        <v>44014</v>
      </c>
      <c r="D192" s="100" t="s">
        <v>33</v>
      </c>
      <c r="E192" s="101">
        <v>0.375</v>
      </c>
      <c r="F192" s="101">
        <v>0.75</v>
      </c>
      <c r="G192" s="100">
        <f>IFERROR(VLOOKUP(Tablo518[[#This Row],[ÜRÜN KODU]],YMKODLARI!$A$1:$K$363,3,0)," ")</f>
        <v>8</v>
      </c>
      <c r="H192" s="100">
        <f>IFERROR(VLOOKUP(Tablo518[[#This Row],[ÜRÜN KODU]],YMKODLARI!$A$1:$K$363,4,0)," ")</f>
        <v>21</v>
      </c>
      <c r="I192" s="100">
        <v>687</v>
      </c>
      <c r="J192" s="100" t="str">
        <f>IFERROR(VLOOKUP(Tablo518[[#This Row],[ÜRÜN KODU]],YMKODLARI!$A$1:$K$363,9,0)," ")</f>
        <v>5249A</v>
      </c>
      <c r="K192" s="100" t="str">
        <f>IFERROR(VLOOKUP(Tablo518[[#This Row],[BOYA KODU]],Tablo14[#All],4,0)," ")</f>
        <v>MAVİ</v>
      </c>
      <c r="L192" s="100">
        <f>IFERROR(VLOOKUP(Tablo518[[#This Row],[BOYA KODU]],Tablo14[#All],6,0)," ")</f>
        <v>5.0000000000000001E-3</v>
      </c>
      <c r="M192" s="100">
        <f t="shared" si="14"/>
        <v>101.676</v>
      </c>
      <c r="N192" s="100" t="str">
        <f>IFERROR(VLOOKUP(Tablo518[[#This Row],[ÜRÜN KODU]],YMKODLARI!$A$1:$K$363,8,0)," ")</f>
        <v>HM 002</v>
      </c>
      <c r="O192" s="100" t="str">
        <f>IFERROR(VLOOKUP(Tablo518[[#This Row],[HAMMADDE KODU]],Tablo1[#All],3,0)," ")</f>
        <v>NOVAREX</v>
      </c>
      <c r="P192" s="100" t="str">
        <f>IFERROR(VLOOKUP(Tablo518[[#This Row],[HAMMADDE KODU]],Tablo1[#All],4,0)," ")</f>
        <v>PİNHAS</v>
      </c>
      <c r="Q192" s="100">
        <f>IFERROR(VLOOKUP(Tablo518[[#This Row],[ÜRÜN KODU]],YMKODLARI!$A$1:$K$363,5,0)," ")</f>
        <v>29.6</v>
      </c>
      <c r="R192" s="100">
        <f>IFERROR(VLOOKUP(Tablo518[[#This Row],[ÜRÜN KODU]],YMKODLARI!$A$1:$K$363,6,0)," ")</f>
        <v>28.6</v>
      </c>
      <c r="S192" s="100">
        <f>IFERROR(Tablo518[[#This Row],[YOLLUK HARİÇ BASKI GRAMI]]/Tablo518[[#This Row],[KALIP GÖZ ADEDİ]]," ")</f>
        <v>3.5750000000000002</v>
      </c>
      <c r="T192" s="100">
        <f t="shared" si="16"/>
        <v>1</v>
      </c>
      <c r="U192" s="100">
        <v>2.7</v>
      </c>
      <c r="V192" s="100">
        <f t="shared" si="15"/>
        <v>22.348199999999999</v>
      </c>
      <c r="W192" s="101">
        <f t="shared" si="17"/>
        <v>24.375</v>
      </c>
      <c r="X192" s="102">
        <f t="shared" si="18"/>
        <v>9</v>
      </c>
      <c r="Y192" s="100">
        <f t="shared" si="19"/>
        <v>4.0075000000000003</v>
      </c>
      <c r="Z192" s="100">
        <f t="shared" si="20"/>
        <v>5496</v>
      </c>
    </row>
    <row r="193" spans="1:26">
      <c r="A193" s="108" t="s">
        <v>166</v>
      </c>
      <c r="B193" s="108" t="str">
        <f>IFERROR(VLOOKUP(Tablo518[[#This Row],[ÜRÜN KODU]],YMKODLARI!$A$1:$K$363,2,0)," ")</f>
        <v>DAMAK EMZİK GÖVDE</v>
      </c>
      <c r="C193" s="99">
        <v>44015</v>
      </c>
      <c r="D193" s="100" t="s">
        <v>33</v>
      </c>
      <c r="E193" s="101">
        <v>0.33333333333333331</v>
      </c>
      <c r="F193" s="101">
        <v>0.4826388888888889</v>
      </c>
      <c r="G193" s="100">
        <f>IFERROR(VLOOKUP(Tablo518[[#This Row],[ÜRÜN KODU]],YMKODLARI!$A$1:$K$363,3,0)," ")</f>
        <v>8</v>
      </c>
      <c r="H193" s="100">
        <f>IFERROR(VLOOKUP(Tablo518[[#This Row],[ÜRÜN KODU]],YMKODLARI!$A$1:$K$363,4,0)," ")</f>
        <v>21</v>
      </c>
      <c r="I193" s="100">
        <v>496</v>
      </c>
      <c r="J193" s="100" t="str">
        <f>IFERROR(VLOOKUP(Tablo518[[#This Row],[ÜRÜN KODU]],YMKODLARI!$A$1:$K$363,9,0)," ")</f>
        <v>5249A</v>
      </c>
      <c r="K193" s="100" t="str">
        <f>IFERROR(VLOOKUP(Tablo518[[#This Row],[BOYA KODU]],Tablo14[#All],4,0)," ")</f>
        <v>MAVİ</v>
      </c>
      <c r="L193" s="100">
        <f>IFERROR(VLOOKUP(Tablo518[[#This Row],[BOYA KODU]],Tablo14[#All],6,0)," ")</f>
        <v>5.0000000000000001E-3</v>
      </c>
      <c r="M193" s="100">
        <f t="shared" si="14"/>
        <v>73.408000000000001</v>
      </c>
      <c r="N193" s="100" t="str">
        <f>IFERROR(VLOOKUP(Tablo518[[#This Row],[ÜRÜN KODU]],YMKODLARI!$A$1:$K$363,8,0)," ")</f>
        <v>HM 002</v>
      </c>
      <c r="O193" s="100" t="str">
        <f>IFERROR(VLOOKUP(Tablo518[[#This Row],[HAMMADDE KODU]],Tablo1[#All],3,0)," ")</f>
        <v>NOVAREX</v>
      </c>
      <c r="P193" s="100" t="str">
        <f>IFERROR(VLOOKUP(Tablo518[[#This Row],[HAMMADDE KODU]],Tablo1[#All],4,0)," ")</f>
        <v>PİNHAS</v>
      </c>
      <c r="Q193" s="100">
        <f>IFERROR(VLOOKUP(Tablo518[[#This Row],[ÜRÜN KODU]],YMKODLARI!$A$1:$K$363,5,0)," ")</f>
        <v>29.6</v>
      </c>
      <c r="R193" s="100">
        <f>IFERROR(VLOOKUP(Tablo518[[#This Row],[ÜRÜN KODU]],YMKODLARI!$A$1:$K$363,6,0)," ")</f>
        <v>28.6</v>
      </c>
      <c r="S193" s="100">
        <f>IFERROR(Tablo518[[#This Row],[YOLLUK HARİÇ BASKI GRAMI]]/Tablo518[[#This Row],[KALIP GÖZ ADEDİ]]," ")</f>
        <v>3.5750000000000002</v>
      </c>
      <c r="T193" s="100">
        <f t="shared" si="16"/>
        <v>1</v>
      </c>
      <c r="U193" s="100">
        <v>8</v>
      </c>
      <c r="V193" s="100">
        <f t="shared" si="15"/>
        <v>22.185600000000001</v>
      </c>
      <c r="W193" s="101">
        <f t="shared" si="17"/>
        <v>24.149305555555557</v>
      </c>
      <c r="X193" s="102">
        <f t="shared" si="18"/>
        <v>3.5833333333333712</v>
      </c>
      <c r="Y193" s="100">
        <f t="shared" si="19"/>
        <v>2.8933333333333335</v>
      </c>
      <c r="Z193" s="100">
        <f t="shared" si="20"/>
        <v>3968</v>
      </c>
    </row>
    <row r="194" spans="1:26">
      <c r="A194" s="108" t="s">
        <v>167</v>
      </c>
      <c r="B194" s="108" t="str">
        <f>IFERROR(VLOOKUP(Tablo518[[#This Row],[ÜRÜN KODU]],YMKODLARI!$A$1:$K$363,2,0)," ")</f>
        <v>DAMAK EMZİK GÖVDE</v>
      </c>
      <c r="C194" s="99">
        <v>44015</v>
      </c>
      <c r="D194" s="100" t="s">
        <v>33</v>
      </c>
      <c r="E194" s="101">
        <v>0.4826388888888889</v>
      </c>
      <c r="F194" s="101">
        <v>0.75</v>
      </c>
      <c r="G194" s="100">
        <f>IFERROR(VLOOKUP(Tablo518[[#This Row],[ÜRÜN KODU]],YMKODLARI!$A$1:$K$363,3,0)," ")</f>
        <v>8</v>
      </c>
      <c r="H194" s="100">
        <f>IFERROR(VLOOKUP(Tablo518[[#This Row],[ÜRÜN KODU]],YMKODLARI!$A$1:$K$363,4,0)," ")</f>
        <v>21</v>
      </c>
      <c r="I194" s="100">
        <v>686</v>
      </c>
      <c r="J194" s="100" t="str">
        <f>IFERROR(VLOOKUP(Tablo518[[#This Row],[ÜRÜN KODU]],YMKODLARI!$A$1:$K$363,9,0)," ")</f>
        <v>3407A</v>
      </c>
      <c r="K194" s="100" t="str">
        <f>IFERROR(VLOOKUP(Tablo518[[#This Row],[BOYA KODU]],Tablo14[#All],4,0)," ")</f>
        <v>KIRMIZI</v>
      </c>
      <c r="L194" s="100">
        <f>IFERROR(VLOOKUP(Tablo518[[#This Row],[BOYA KODU]],Tablo14[#All],6,0)," ")</f>
        <v>5.0000000000000001E-3</v>
      </c>
      <c r="M194" s="100">
        <f t="shared" si="14"/>
        <v>101.52800000000002</v>
      </c>
      <c r="N194" s="100" t="str">
        <f>IFERROR(VLOOKUP(Tablo518[[#This Row],[ÜRÜN KODU]],YMKODLARI!$A$1:$K$363,8,0)," ")</f>
        <v>HM 002</v>
      </c>
      <c r="O194" s="100" t="str">
        <f>IFERROR(VLOOKUP(Tablo518[[#This Row],[HAMMADDE KODU]],Tablo1[#All],3,0)," ")</f>
        <v>NOVAREX</v>
      </c>
      <c r="P194" s="100" t="str">
        <f>IFERROR(VLOOKUP(Tablo518[[#This Row],[HAMMADDE KODU]],Tablo1[#All],4,0)," ")</f>
        <v>PİNHAS</v>
      </c>
      <c r="Q194" s="100">
        <f>IFERROR(VLOOKUP(Tablo518[[#This Row],[ÜRÜN KODU]],YMKODLARI!$A$1:$K$363,5,0)," ")</f>
        <v>29.6</v>
      </c>
      <c r="R194" s="100">
        <f>IFERROR(VLOOKUP(Tablo518[[#This Row],[ÜRÜN KODU]],YMKODLARI!$A$1:$K$363,6,0)," ")</f>
        <v>28.6</v>
      </c>
      <c r="S194" s="100">
        <f>IFERROR(Tablo518[[#This Row],[YOLLUK HARİÇ BASKI GRAMI]]/Tablo518[[#This Row],[KALIP GÖZ ADEDİ]]," ")</f>
        <v>3.5750000000000002</v>
      </c>
      <c r="T194" s="100">
        <f t="shared" si="16"/>
        <v>1</v>
      </c>
      <c r="U194" s="100">
        <v>7</v>
      </c>
      <c r="V194" s="100">
        <f t="shared" si="15"/>
        <v>26.619600000000002</v>
      </c>
      <c r="W194" s="101">
        <f t="shared" si="17"/>
        <v>24.267361111111111</v>
      </c>
      <c r="X194" s="102">
        <f t="shared" si="18"/>
        <v>6.4166666666666572</v>
      </c>
      <c r="Y194" s="100">
        <f t="shared" si="19"/>
        <v>4.0016666666666669</v>
      </c>
      <c r="Z194" s="100">
        <f t="shared" si="20"/>
        <v>5488</v>
      </c>
    </row>
    <row r="195" spans="1:26">
      <c r="A195" s="108" t="s">
        <v>167</v>
      </c>
      <c r="B195" s="108" t="str">
        <f>IFERROR(VLOOKUP(Tablo518[[#This Row],[ÜRÜN KODU]],YMKODLARI!$A$1:$K$363,2,0)," ")</f>
        <v>DAMAK EMZİK GÖVDE</v>
      </c>
      <c r="C195" s="99">
        <v>44018</v>
      </c>
      <c r="D195" s="100" t="s">
        <v>33</v>
      </c>
      <c r="E195" s="101">
        <v>0.41666666666666669</v>
      </c>
      <c r="F195" s="101">
        <v>0.75</v>
      </c>
      <c r="G195" s="100">
        <f>IFERROR(VLOOKUP(Tablo518[[#This Row],[ÜRÜN KODU]],YMKODLARI!$A$1:$K$363,3,0)," ")</f>
        <v>8</v>
      </c>
      <c r="H195" s="100">
        <f>IFERROR(VLOOKUP(Tablo518[[#This Row],[ÜRÜN KODU]],YMKODLARI!$A$1:$K$363,4,0)," ")</f>
        <v>21</v>
      </c>
      <c r="I195" s="100">
        <v>981</v>
      </c>
      <c r="J195" s="100" t="str">
        <f>IFERROR(VLOOKUP(Tablo518[[#This Row],[ÜRÜN KODU]],YMKODLARI!$A$1:$K$363,9,0)," ")</f>
        <v>3407A</v>
      </c>
      <c r="K195" s="100" t="str">
        <f>IFERROR(VLOOKUP(Tablo518[[#This Row],[BOYA KODU]],Tablo14[#All],4,0)," ")</f>
        <v>KIRMIZI</v>
      </c>
      <c r="L195" s="100">
        <f>IFERROR(VLOOKUP(Tablo518[[#This Row],[BOYA KODU]],Tablo14[#All],6,0)," ")</f>
        <v>5.0000000000000001E-3</v>
      </c>
      <c r="M195" s="100">
        <f t="shared" si="14"/>
        <v>145.18800000000002</v>
      </c>
      <c r="N195" s="100" t="str">
        <f>IFERROR(VLOOKUP(Tablo518[[#This Row],[ÜRÜN KODU]],YMKODLARI!$A$1:$K$363,8,0)," ")</f>
        <v>HM 002</v>
      </c>
      <c r="O195" s="100" t="str">
        <f>IFERROR(VLOOKUP(Tablo518[[#This Row],[HAMMADDE KODU]],Tablo1[#All],3,0)," ")</f>
        <v>NOVAREX</v>
      </c>
      <c r="P195" s="100" t="str">
        <f>IFERROR(VLOOKUP(Tablo518[[#This Row],[HAMMADDE KODU]],Tablo1[#All],4,0)," ")</f>
        <v>PİNHAS</v>
      </c>
      <c r="Q195" s="100">
        <f>IFERROR(VLOOKUP(Tablo518[[#This Row],[ÜRÜN KODU]],YMKODLARI!$A$1:$K$363,5,0)," ")</f>
        <v>29.6</v>
      </c>
      <c r="R195" s="100">
        <f>IFERROR(VLOOKUP(Tablo518[[#This Row],[ÜRÜN KODU]],YMKODLARI!$A$1:$K$363,6,0)," ")</f>
        <v>28.6</v>
      </c>
      <c r="S195" s="100">
        <f>IFERROR(Tablo518[[#This Row],[YOLLUK HARİÇ BASKI GRAMI]]/Tablo518[[#This Row],[KALIP GÖZ ADEDİ]]," ")</f>
        <v>3.5750000000000002</v>
      </c>
      <c r="T195" s="100">
        <f t="shared" si="16"/>
        <v>1</v>
      </c>
      <c r="U195" s="100">
        <v>0.5</v>
      </c>
      <c r="V195" s="100">
        <f t="shared" si="15"/>
        <v>28.556600000000003</v>
      </c>
      <c r="W195" s="101">
        <f t="shared" si="17"/>
        <v>24.333333333333332</v>
      </c>
      <c r="X195" s="102">
        <f t="shared" si="18"/>
        <v>7.9999999999999716</v>
      </c>
      <c r="Y195" s="100">
        <f t="shared" si="19"/>
        <v>5.7225000000000001</v>
      </c>
      <c r="Z195" s="100">
        <f t="shared" si="20"/>
        <v>7848</v>
      </c>
    </row>
    <row r="196" spans="1:26">
      <c r="A196" s="108" t="s">
        <v>167</v>
      </c>
      <c r="B196" s="108" t="str">
        <f>IFERROR(VLOOKUP(Tablo518[[#This Row],[ÜRÜN KODU]],YMKODLARI!$A$1:$K$363,2,0)," ")</f>
        <v>DAMAK EMZİK GÖVDE</v>
      </c>
      <c r="C196" s="99">
        <v>44019</v>
      </c>
      <c r="D196" s="100" t="s">
        <v>33</v>
      </c>
      <c r="E196" s="101">
        <v>0.33333333333333331</v>
      </c>
      <c r="F196" s="101">
        <v>0.51388888888888895</v>
      </c>
      <c r="G196" s="100">
        <f>IFERROR(VLOOKUP(Tablo518[[#This Row],[ÜRÜN KODU]],YMKODLARI!$A$1:$K$363,3,0)," ")</f>
        <v>8</v>
      </c>
      <c r="H196" s="100">
        <f>IFERROR(VLOOKUP(Tablo518[[#This Row],[ÜRÜN KODU]],YMKODLARI!$A$1:$K$363,4,0)," ")</f>
        <v>21</v>
      </c>
      <c r="I196" s="100">
        <v>569</v>
      </c>
      <c r="J196" s="100" t="str">
        <f>IFERROR(VLOOKUP(Tablo518[[#This Row],[ÜRÜN KODU]],YMKODLARI!$A$1:$K$363,9,0)," ")</f>
        <v>3407A</v>
      </c>
      <c r="K196" s="100" t="str">
        <f>IFERROR(VLOOKUP(Tablo518[[#This Row],[BOYA KODU]],Tablo14[#All],4,0)," ")</f>
        <v>KIRMIZI</v>
      </c>
      <c r="L196" s="100">
        <f>IFERROR(VLOOKUP(Tablo518[[#This Row],[BOYA KODU]],Tablo14[#All],6,0)," ")</f>
        <v>5.0000000000000001E-3</v>
      </c>
      <c r="M196" s="100">
        <f t="shared" si="14"/>
        <v>84.212000000000003</v>
      </c>
      <c r="N196" s="100" t="str">
        <f>IFERROR(VLOOKUP(Tablo518[[#This Row],[ÜRÜN KODU]],YMKODLARI!$A$1:$K$363,8,0)," ")</f>
        <v>HM 002</v>
      </c>
      <c r="O196" s="100" t="str">
        <f>IFERROR(VLOOKUP(Tablo518[[#This Row],[HAMMADDE KODU]],Tablo1[#All],3,0)," ")</f>
        <v>NOVAREX</v>
      </c>
      <c r="P196" s="100" t="str">
        <f>IFERROR(VLOOKUP(Tablo518[[#This Row],[HAMMADDE KODU]],Tablo1[#All],4,0)," ")</f>
        <v>PİNHAS</v>
      </c>
      <c r="Q196" s="100">
        <f>IFERROR(VLOOKUP(Tablo518[[#This Row],[ÜRÜN KODU]],YMKODLARI!$A$1:$K$363,5,0)," ")</f>
        <v>29.6</v>
      </c>
      <c r="R196" s="100">
        <f>IFERROR(VLOOKUP(Tablo518[[#This Row],[ÜRÜN KODU]],YMKODLARI!$A$1:$K$363,6,0)," ")</f>
        <v>28.6</v>
      </c>
      <c r="S196" s="100">
        <f>IFERROR(Tablo518[[#This Row],[YOLLUK HARİÇ BASKI GRAMI]]/Tablo518[[#This Row],[KALIP GÖZ ADEDİ]]," ")</f>
        <v>3.5750000000000002</v>
      </c>
      <c r="T196" s="100">
        <f t="shared" si="16"/>
        <v>1</v>
      </c>
      <c r="U196" s="100">
        <v>0.55000000000000004</v>
      </c>
      <c r="V196" s="100">
        <f t="shared" si="15"/>
        <v>16.823400000000003</v>
      </c>
      <c r="W196" s="101">
        <f t="shared" si="17"/>
        <v>24.180555555555557</v>
      </c>
      <c r="X196" s="102">
        <f t="shared" si="18"/>
        <v>4.3333333333333712</v>
      </c>
      <c r="Y196" s="100">
        <f t="shared" si="19"/>
        <v>3.3191666666666668</v>
      </c>
      <c r="Z196" s="100">
        <f t="shared" si="20"/>
        <v>4552</v>
      </c>
    </row>
    <row r="197" spans="1:26">
      <c r="A197" s="108" t="s">
        <v>136</v>
      </c>
      <c r="B197" s="108" t="str">
        <f>IFERROR(VLOOKUP(Tablo518[[#This Row],[ÜRÜN KODU]],YMKODLARI!$A$1:$K$363,2,0)," ")</f>
        <v>DAMAK EMZİK TIPA</v>
      </c>
      <c r="C197" s="99">
        <v>44019</v>
      </c>
      <c r="D197" s="100" t="s">
        <v>33</v>
      </c>
      <c r="E197" s="101">
        <v>0.70138888888888884</v>
      </c>
      <c r="F197" s="101">
        <v>0.75</v>
      </c>
      <c r="G197" s="100">
        <f>IFERROR(VLOOKUP(Tablo518[[#This Row],[ÜRÜN KODU]],YMKODLARI!$A$1:$K$363,3,0)," ")</f>
        <v>8</v>
      </c>
      <c r="H197" s="100">
        <f>IFERROR(VLOOKUP(Tablo518[[#This Row],[ÜRÜN KODU]],YMKODLARI!$A$1:$K$363,4,0)," ")</f>
        <v>20</v>
      </c>
      <c r="I197" s="100">
        <v>166</v>
      </c>
      <c r="J197" s="100" t="str">
        <f>IFERROR(VLOOKUP(Tablo518[[#This Row],[ÜRÜN KODU]],YMKODLARI!$A$1:$K$363,9,0)," ")</f>
        <v>9134A</v>
      </c>
      <c r="K197" s="100" t="str">
        <f>IFERROR(VLOOKUP(Tablo518[[#This Row],[BOYA KODU]],Tablo14[#All],4,0)," ")</f>
        <v>BEYAZ</v>
      </c>
      <c r="L197" s="100">
        <f>IFERROR(VLOOKUP(Tablo518[[#This Row],[BOYA KODU]],Tablo14[#All],6,0)," ")</f>
        <v>7.0000000000000001E-3</v>
      </c>
      <c r="M197" s="100">
        <f t="shared" si="14"/>
        <v>19.9864</v>
      </c>
      <c r="N197" s="100" t="str">
        <f>IFERROR(VLOOKUP(Tablo518[[#This Row],[ÜRÜN KODU]],YMKODLARI!$A$1:$K$363,8,0)," ")</f>
        <v>HM 002</v>
      </c>
      <c r="O197" s="100" t="str">
        <f>IFERROR(VLOOKUP(Tablo518[[#This Row],[HAMMADDE KODU]],Tablo1[#All],3,0)," ")</f>
        <v>NOVAREX</v>
      </c>
      <c r="P197" s="100" t="str">
        <f>IFERROR(VLOOKUP(Tablo518[[#This Row],[HAMMADDE KODU]],Tablo1[#All],4,0)," ")</f>
        <v>PİNHAS</v>
      </c>
      <c r="Q197" s="100">
        <f>IFERROR(VLOOKUP(Tablo518[[#This Row],[ÜRÜN KODU]],YMKODLARI!$A$1:$K$363,5,0)," ")</f>
        <v>17.2</v>
      </c>
      <c r="R197" s="100">
        <f>IFERROR(VLOOKUP(Tablo518[[#This Row],[ÜRÜN KODU]],YMKODLARI!$A$1:$K$363,6,0)," ")</f>
        <v>15.4</v>
      </c>
      <c r="S197" s="100">
        <f>IFERROR(Tablo518[[#This Row],[YOLLUK HARİÇ BASKI GRAMI]]/Tablo518[[#This Row],[KALIP GÖZ ADEDİ]]," ")</f>
        <v>1.925</v>
      </c>
      <c r="T197" s="100">
        <f t="shared" si="16"/>
        <v>1.7999999999999989</v>
      </c>
      <c r="U197" s="100">
        <v>0.6</v>
      </c>
      <c r="V197" s="100">
        <f t="shared" si="15"/>
        <v>3.1564000000000001</v>
      </c>
      <c r="W197" s="101">
        <f t="shared" si="17"/>
        <v>24.048611111111111</v>
      </c>
      <c r="X197" s="102">
        <f t="shared" si="18"/>
        <v>1.1666666666666572</v>
      </c>
      <c r="Y197" s="100">
        <f t="shared" si="19"/>
        <v>0.92222222222222228</v>
      </c>
      <c r="Z197" s="100">
        <f t="shared" si="20"/>
        <v>1328</v>
      </c>
    </row>
    <row r="198" spans="1:26">
      <c r="A198" s="108" t="s">
        <v>136</v>
      </c>
      <c r="B198" s="108" t="str">
        <f>IFERROR(VLOOKUP(Tablo518[[#This Row],[ÜRÜN KODU]],YMKODLARI!$A$1:$K$363,2,0)," ")</f>
        <v>DAMAK EMZİK TIPA</v>
      </c>
      <c r="C198" s="99">
        <v>44020</v>
      </c>
      <c r="D198" s="100" t="s">
        <v>33</v>
      </c>
      <c r="E198" s="101">
        <v>0.33333333333333331</v>
      </c>
      <c r="F198" s="101">
        <v>0.40277777777777773</v>
      </c>
      <c r="G198" s="100">
        <f>IFERROR(VLOOKUP(Tablo518[[#This Row],[ÜRÜN KODU]],YMKODLARI!$A$1:$K$363,3,0)," ")</f>
        <v>8</v>
      </c>
      <c r="H198" s="100">
        <f>IFERROR(VLOOKUP(Tablo518[[#This Row],[ÜRÜN KODU]],YMKODLARI!$A$1:$K$363,4,0)," ")</f>
        <v>20</v>
      </c>
      <c r="I198" s="100">
        <v>247</v>
      </c>
      <c r="J198" s="100" t="str">
        <f>IFERROR(VLOOKUP(Tablo518[[#This Row],[ÜRÜN KODU]],YMKODLARI!$A$1:$K$363,9,0)," ")</f>
        <v>9134A</v>
      </c>
      <c r="K198" s="100" t="str">
        <f>IFERROR(VLOOKUP(Tablo518[[#This Row],[BOYA KODU]],Tablo14[#All],4,0)," ")</f>
        <v>BEYAZ</v>
      </c>
      <c r="L198" s="100">
        <f>IFERROR(VLOOKUP(Tablo518[[#This Row],[BOYA KODU]],Tablo14[#All],6,0)," ")</f>
        <v>7.0000000000000001E-3</v>
      </c>
      <c r="M198" s="100">
        <f t="shared" ref="M198:M260" si="21">IFERROR((I198*Q198)*L198," ")</f>
        <v>29.738799999999998</v>
      </c>
      <c r="N198" s="100" t="str">
        <f>IFERROR(VLOOKUP(Tablo518[[#This Row],[ÜRÜN KODU]],YMKODLARI!$A$1:$K$363,8,0)," ")</f>
        <v>HM 002</v>
      </c>
      <c r="O198" s="100" t="str">
        <f>IFERROR(VLOOKUP(Tablo518[[#This Row],[HAMMADDE KODU]],Tablo1[#All],3,0)," ")</f>
        <v>NOVAREX</v>
      </c>
      <c r="P198" s="100" t="str">
        <f>IFERROR(VLOOKUP(Tablo518[[#This Row],[HAMMADDE KODU]],Tablo1[#All],4,0)," ")</f>
        <v>PİNHAS</v>
      </c>
      <c r="Q198" s="100">
        <f>IFERROR(VLOOKUP(Tablo518[[#This Row],[ÜRÜN KODU]],YMKODLARI!$A$1:$K$363,5,0)," ")</f>
        <v>17.2</v>
      </c>
      <c r="R198" s="100">
        <f>IFERROR(VLOOKUP(Tablo518[[#This Row],[ÜRÜN KODU]],YMKODLARI!$A$1:$K$363,6,0)," ")</f>
        <v>15.4</v>
      </c>
      <c r="S198" s="100">
        <f>IFERROR(Tablo518[[#This Row],[YOLLUK HARİÇ BASKI GRAMI]]/Tablo518[[#This Row],[KALIP GÖZ ADEDİ]]," ")</f>
        <v>1.925</v>
      </c>
      <c r="T198" s="100">
        <f t="shared" si="16"/>
        <v>1.7999999999999989</v>
      </c>
      <c r="U198" s="100">
        <v>4</v>
      </c>
      <c r="V198" s="100">
        <f t="shared" ref="V198:V260" si="22">IFERROR(U198+(R198*I198) /1000," ")</f>
        <v>7.8038000000000007</v>
      </c>
      <c r="W198" s="101">
        <f t="shared" si="17"/>
        <v>24.069444444444443</v>
      </c>
      <c r="X198" s="102">
        <f t="shared" si="18"/>
        <v>1.6666666666666288</v>
      </c>
      <c r="Y198" s="100">
        <f t="shared" si="19"/>
        <v>1.3722222222222222</v>
      </c>
      <c r="Z198" s="100">
        <f t="shared" si="20"/>
        <v>1976</v>
      </c>
    </row>
    <row r="199" spans="1:26">
      <c r="A199" s="108" t="s">
        <v>136</v>
      </c>
      <c r="B199" s="108" t="str">
        <f>IFERROR(VLOOKUP(Tablo518[[#This Row],[ÜRÜN KODU]],YMKODLARI!$A$1:$K$363,2,0)," ")</f>
        <v>DAMAK EMZİK TIPA</v>
      </c>
      <c r="C199" s="99">
        <v>44020</v>
      </c>
      <c r="D199" s="100" t="s">
        <v>33</v>
      </c>
      <c r="E199" s="101">
        <v>0.66666666666666663</v>
      </c>
      <c r="F199" s="101">
        <v>0.75</v>
      </c>
      <c r="G199" s="100">
        <f>IFERROR(VLOOKUP(Tablo518[[#This Row],[ÜRÜN KODU]],YMKODLARI!$A$1:$K$363,3,0)," ")</f>
        <v>8</v>
      </c>
      <c r="H199" s="100">
        <f>IFERROR(VLOOKUP(Tablo518[[#This Row],[ÜRÜN KODU]],YMKODLARI!$A$1:$K$363,4,0)," ")</f>
        <v>20</v>
      </c>
      <c r="I199" s="100">
        <v>275</v>
      </c>
      <c r="J199" s="100" t="str">
        <f>IFERROR(VLOOKUP(Tablo518[[#This Row],[ÜRÜN KODU]],YMKODLARI!$A$1:$K$363,9,0)," ")</f>
        <v>9134A</v>
      </c>
      <c r="K199" s="100" t="str">
        <f>IFERROR(VLOOKUP(Tablo518[[#This Row],[BOYA KODU]],Tablo14[#All],4,0)," ")</f>
        <v>BEYAZ</v>
      </c>
      <c r="L199" s="100">
        <f>IFERROR(VLOOKUP(Tablo518[[#This Row],[BOYA KODU]],Tablo14[#All],6,0)," ")</f>
        <v>7.0000000000000001E-3</v>
      </c>
      <c r="M199" s="100">
        <f t="shared" si="21"/>
        <v>33.11</v>
      </c>
      <c r="N199" s="100" t="str">
        <f>IFERROR(VLOOKUP(Tablo518[[#This Row],[ÜRÜN KODU]],YMKODLARI!$A$1:$K$363,8,0)," ")</f>
        <v>HM 002</v>
      </c>
      <c r="O199" s="100" t="str">
        <f>IFERROR(VLOOKUP(Tablo518[[#This Row],[HAMMADDE KODU]],Tablo1[#All],3,0)," ")</f>
        <v>NOVAREX</v>
      </c>
      <c r="P199" s="100" t="str">
        <f>IFERROR(VLOOKUP(Tablo518[[#This Row],[HAMMADDE KODU]],Tablo1[#All],4,0)," ")</f>
        <v>PİNHAS</v>
      </c>
      <c r="Q199" s="100">
        <f>IFERROR(VLOOKUP(Tablo518[[#This Row],[ÜRÜN KODU]],YMKODLARI!$A$1:$K$363,5,0)," ")</f>
        <v>17.2</v>
      </c>
      <c r="R199" s="100">
        <f>IFERROR(VLOOKUP(Tablo518[[#This Row],[ÜRÜN KODU]],YMKODLARI!$A$1:$K$363,6,0)," ")</f>
        <v>15.4</v>
      </c>
      <c r="S199" s="100">
        <f>IFERROR(Tablo518[[#This Row],[YOLLUK HARİÇ BASKI GRAMI]]/Tablo518[[#This Row],[KALIP GÖZ ADEDİ]]," ")</f>
        <v>1.925</v>
      </c>
      <c r="T199" s="100">
        <f t="shared" ref="T199:T261" si="23">IFERROR(Q199-R199," ")</f>
        <v>1.7999999999999989</v>
      </c>
      <c r="U199" s="100">
        <v>2.8</v>
      </c>
      <c r="V199" s="100">
        <f t="shared" si="22"/>
        <v>7.0350000000000001</v>
      </c>
      <c r="W199" s="101">
        <f t="shared" ref="W199:W261" si="24">IFERROR(24-(E199-F199)," ")</f>
        <v>24.083333333333332</v>
      </c>
      <c r="X199" s="102">
        <f t="shared" ref="X199:X261" si="25">IFERROR((W199-INT(W199))*24," ")</f>
        <v>1.9999999999999716</v>
      </c>
      <c r="Y199" s="100">
        <f t="shared" ref="Y199:Y261" si="26">IFERROR(H199*I199/3600," ")</f>
        <v>1.5277777777777777</v>
      </c>
      <c r="Z199" s="100">
        <f t="shared" ref="Z199:Z261" si="27">IFERROR(I199*G199," " )</f>
        <v>2200</v>
      </c>
    </row>
    <row r="200" spans="1:26">
      <c r="A200" s="108" t="s">
        <v>136</v>
      </c>
      <c r="B200" s="108" t="str">
        <f>IFERROR(VLOOKUP(Tablo518[[#This Row],[ÜRÜN KODU]],YMKODLARI!$A$1:$K$363,2,0)," ")</f>
        <v>DAMAK EMZİK TIPA</v>
      </c>
      <c r="C200" s="99">
        <v>44021</v>
      </c>
      <c r="D200" s="100" t="s">
        <v>33</v>
      </c>
      <c r="E200" s="101">
        <v>0.33333333333333331</v>
      </c>
      <c r="F200" s="101">
        <v>0.75</v>
      </c>
      <c r="G200" s="100">
        <f>IFERROR(VLOOKUP(Tablo518[[#This Row],[ÜRÜN KODU]],YMKODLARI!$A$1:$K$363,3,0)," ")</f>
        <v>8</v>
      </c>
      <c r="H200" s="100">
        <f>IFERROR(VLOOKUP(Tablo518[[#This Row],[ÜRÜN KODU]],YMKODLARI!$A$1:$K$363,4,0)," ")</f>
        <v>20</v>
      </c>
      <c r="I200" s="100">
        <v>1427</v>
      </c>
      <c r="J200" s="100" t="str">
        <f>IFERROR(VLOOKUP(Tablo518[[#This Row],[ÜRÜN KODU]],YMKODLARI!$A$1:$K$363,9,0)," ")</f>
        <v>9134A</v>
      </c>
      <c r="K200" s="100" t="str">
        <f>IFERROR(VLOOKUP(Tablo518[[#This Row],[BOYA KODU]],Tablo14[#All],4,0)," ")</f>
        <v>BEYAZ</v>
      </c>
      <c r="L200" s="100">
        <f>IFERROR(VLOOKUP(Tablo518[[#This Row],[BOYA KODU]],Tablo14[#All],6,0)," ")</f>
        <v>7.0000000000000001E-3</v>
      </c>
      <c r="M200" s="100">
        <f t="shared" si="21"/>
        <v>171.8108</v>
      </c>
      <c r="N200" s="100" t="str">
        <f>IFERROR(VLOOKUP(Tablo518[[#This Row],[ÜRÜN KODU]],YMKODLARI!$A$1:$K$363,8,0)," ")</f>
        <v>HM 002</v>
      </c>
      <c r="O200" s="100" t="str">
        <f>IFERROR(VLOOKUP(Tablo518[[#This Row],[HAMMADDE KODU]],Tablo1[#All],3,0)," ")</f>
        <v>NOVAREX</v>
      </c>
      <c r="P200" s="100" t="str">
        <f>IFERROR(VLOOKUP(Tablo518[[#This Row],[HAMMADDE KODU]],Tablo1[#All],4,0)," ")</f>
        <v>PİNHAS</v>
      </c>
      <c r="Q200" s="100">
        <f>IFERROR(VLOOKUP(Tablo518[[#This Row],[ÜRÜN KODU]],YMKODLARI!$A$1:$K$363,5,0)," ")</f>
        <v>17.2</v>
      </c>
      <c r="R200" s="100">
        <f>IFERROR(VLOOKUP(Tablo518[[#This Row],[ÜRÜN KODU]],YMKODLARI!$A$1:$K$363,6,0)," ")</f>
        <v>15.4</v>
      </c>
      <c r="S200" s="100">
        <f>IFERROR(Tablo518[[#This Row],[YOLLUK HARİÇ BASKI GRAMI]]/Tablo518[[#This Row],[KALIP GÖZ ADEDİ]]," ")</f>
        <v>1.925</v>
      </c>
      <c r="T200" s="100">
        <f t="shared" si="23"/>
        <v>1.7999999999999989</v>
      </c>
      <c r="U200" s="100"/>
      <c r="V200" s="100">
        <f t="shared" si="22"/>
        <v>21.9758</v>
      </c>
      <c r="W200" s="101">
        <f t="shared" si="24"/>
        <v>24.416666666666668</v>
      </c>
      <c r="X200" s="102">
        <f t="shared" si="25"/>
        <v>10.000000000000028</v>
      </c>
      <c r="Y200" s="100">
        <f t="shared" si="26"/>
        <v>7.927777777777778</v>
      </c>
      <c r="Z200" s="100">
        <f t="shared" si="27"/>
        <v>11416</v>
      </c>
    </row>
    <row r="201" spans="1:26">
      <c r="A201" s="108" t="s">
        <v>136</v>
      </c>
      <c r="B201" s="108" t="str">
        <f>IFERROR(VLOOKUP(Tablo518[[#This Row],[ÜRÜN KODU]],YMKODLARI!$A$1:$K$363,2,0)," ")</f>
        <v>DAMAK EMZİK TIPA</v>
      </c>
      <c r="C201" s="99">
        <v>44022</v>
      </c>
      <c r="D201" s="100" t="s">
        <v>27</v>
      </c>
      <c r="E201" s="101">
        <v>0.33333333333333331</v>
      </c>
      <c r="F201" s="101">
        <v>0.54166666666666663</v>
      </c>
      <c r="G201" s="100">
        <f>IFERROR(VLOOKUP(Tablo518[[#This Row],[ÜRÜN KODU]],YMKODLARI!$A$1:$K$363,3,0)," ")</f>
        <v>8</v>
      </c>
      <c r="H201" s="100">
        <f>IFERROR(VLOOKUP(Tablo518[[#This Row],[ÜRÜN KODU]],YMKODLARI!$A$1:$K$363,4,0)," ")</f>
        <v>20</v>
      </c>
      <c r="I201" s="100">
        <v>597</v>
      </c>
      <c r="J201" s="100" t="str">
        <f>IFERROR(VLOOKUP(Tablo518[[#This Row],[ÜRÜN KODU]],YMKODLARI!$A$1:$K$363,9,0)," ")</f>
        <v>9134A</v>
      </c>
      <c r="K201" s="100" t="str">
        <f>IFERROR(VLOOKUP(Tablo518[[#This Row],[BOYA KODU]],Tablo14[#All],4,0)," ")</f>
        <v>BEYAZ</v>
      </c>
      <c r="L201" s="100">
        <f>IFERROR(VLOOKUP(Tablo518[[#This Row],[BOYA KODU]],Tablo14[#All],6,0)," ")</f>
        <v>7.0000000000000001E-3</v>
      </c>
      <c r="M201" s="100">
        <f t="shared" si="21"/>
        <v>71.878799999999998</v>
      </c>
      <c r="N201" s="100" t="str">
        <f>IFERROR(VLOOKUP(Tablo518[[#This Row],[ÜRÜN KODU]],YMKODLARI!$A$1:$K$363,8,0)," ")</f>
        <v>HM 002</v>
      </c>
      <c r="O201" s="100" t="str">
        <f>IFERROR(VLOOKUP(Tablo518[[#This Row],[HAMMADDE KODU]],Tablo1[#All],3,0)," ")</f>
        <v>NOVAREX</v>
      </c>
      <c r="P201" s="100" t="str">
        <f>IFERROR(VLOOKUP(Tablo518[[#This Row],[HAMMADDE KODU]],Tablo1[#All],4,0)," ")</f>
        <v>PİNHAS</v>
      </c>
      <c r="Q201" s="100">
        <f>IFERROR(VLOOKUP(Tablo518[[#This Row],[ÜRÜN KODU]],YMKODLARI!$A$1:$K$363,5,0)," ")</f>
        <v>17.2</v>
      </c>
      <c r="R201" s="100">
        <f>IFERROR(VLOOKUP(Tablo518[[#This Row],[ÜRÜN KODU]],YMKODLARI!$A$1:$K$363,6,0)," ")</f>
        <v>15.4</v>
      </c>
      <c r="S201" s="100">
        <f>IFERROR(Tablo518[[#This Row],[YOLLUK HARİÇ BASKI GRAMI]]/Tablo518[[#This Row],[KALIP GÖZ ADEDİ]]," ")</f>
        <v>1.925</v>
      </c>
      <c r="T201" s="100">
        <f t="shared" si="23"/>
        <v>1.7999999999999989</v>
      </c>
      <c r="U201" s="100">
        <v>4.4000000000000004</v>
      </c>
      <c r="V201" s="100">
        <f t="shared" si="22"/>
        <v>13.593800000000002</v>
      </c>
      <c r="W201" s="101">
        <f t="shared" si="24"/>
        <v>24.208333333333332</v>
      </c>
      <c r="X201" s="102">
        <f t="shared" si="25"/>
        <v>4.9999999999999716</v>
      </c>
      <c r="Y201" s="100">
        <f t="shared" si="26"/>
        <v>3.3166666666666669</v>
      </c>
      <c r="Z201" s="100">
        <f t="shared" si="27"/>
        <v>4776</v>
      </c>
    </row>
    <row r="202" spans="1:26">
      <c r="A202" s="108" t="s">
        <v>136</v>
      </c>
      <c r="B202" s="108" t="str">
        <f>IFERROR(VLOOKUP(Tablo518[[#This Row],[ÜRÜN KODU]],YMKODLARI!$A$1:$K$363,2,0)," ")</f>
        <v>DAMAK EMZİK TIPA</v>
      </c>
      <c r="C202" s="99">
        <v>44039</v>
      </c>
      <c r="D202" s="100" t="s">
        <v>37</v>
      </c>
      <c r="E202" s="101">
        <v>0.4375</v>
      </c>
      <c r="F202" s="101">
        <v>0.54166666666666663</v>
      </c>
      <c r="G202" s="100">
        <f>IFERROR(VLOOKUP(Tablo518[[#This Row],[ÜRÜN KODU]],YMKODLARI!$A$1:$K$363,3,0)," ")</f>
        <v>8</v>
      </c>
      <c r="H202" s="100">
        <f>IFERROR(VLOOKUP(Tablo518[[#This Row],[ÜRÜN KODU]],YMKODLARI!$A$1:$K$363,4,0)," ")</f>
        <v>20</v>
      </c>
      <c r="I202" s="100">
        <v>628</v>
      </c>
      <c r="J202" s="100" t="str">
        <f>IFERROR(VLOOKUP(Tablo518[[#This Row],[ÜRÜN KODU]],YMKODLARI!$A$1:$K$363,9,0)," ")</f>
        <v>9134A</v>
      </c>
      <c r="K202" s="100" t="str">
        <f>IFERROR(VLOOKUP(Tablo518[[#This Row],[BOYA KODU]],Tablo14[#All],4,0)," ")</f>
        <v>BEYAZ</v>
      </c>
      <c r="L202" s="100">
        <f>IFERROR(VLOOKUP(Tablo518[[#This Row],[BOYA KODU]],Tablo14[#All],6,0)," ")</f>
        <v>7.0000000000000001E-3</v>
      </c>
      <c r="M202" s="100">
        <f t="shared" si="21"/>
        <v>75.611200000000011</v>
      </c>
      <c r="N202" s="100" t="str">
        <f>IFERROR(VLOOKUP(Tablo518[[#This Row],[ÜRÜN KODU]],YMKODLARI!$A$1:$K$363,8,0)," ")</f>
        <v>HM 002</v>
      </c>
      <c r="O202" s="100" t="str">
        <f>IFERROR(VLOOKUP(Tablo518[[#This Row],[HAMMADDE KODU]],Tablo1[#All],3,0)," ")</f>
        <v>NOVAREX</v>
      </c>
      <c r="P202" s="100" t="str">
        <f>IFERROR(VLOOKUP(Tablo518[[#This Row],[HAMMADDE KODU]],Tablo1[#All],4,0)," ")</f>
        <v>PİNHAS</v>
      </c>
      <c r="Q202" s="100">
        <f>IFERROR(VLOOKUP(Tablo518[[#This Row],[ÜRÜN KODU]],YMKODLARI!$A$1:$K$363,5,0)," ")</f>
        <v>17.2</v>
      </c>
      <c r="R202" s="100">
        <f>IFERROR(VLOOKUP(Tablo518[[#This Row],[ÜRÜN KODU]],YMKODLARI!$A$1:$K$363,6,0)," ")</f>
        <v>15.4</v>
      </c>
      <c r="S202" s="100">
        <f>IFERROR(Tablo518[[#This Row],[YOLLUK HARİÇ BASKI GRAMI]]/Tablo518[[#This Row],[KALIP GÖZ ADEDİ]]," ")</f>
        <v>1.925</v>
      </c>
      <c r="T202" s="100">
        <f t="shared" si="23"/>
        <v>1.7999999999999989</v>
      </c>
      <c r="U202" s="100"/>
      <c r="V202" s="100">
        <f t="shared" si="22"/>
        <v>9.6712000000000007</v>
      </c>
      <c r="W202" s="101">
        <f t="shared" si="24"/>
        <v>24.104166666666668</v>
      </c>
      <c r="X202" s="102">
        <f t="shared" si="25"/>
        <v>2.5000000000000284</v>
      </c>
      <c r="Y202" s="100">
        <f t="shared" si="26"/>
        <v>3.4888888888888889</v>
      </c>
      <c r="Z202" s="100">
        <f t="shared" si="27"/>
        <v>5024</v>
      </c>
    </row>
    <row r="203" spans="1:26">
      <c r="A203" s="108" t="s">
        <v>136</v>
      </c>
      <c r="B203" s="108" t="str">
        <f>IFERROR(VLOOKUP(Tablo518[[#This Row],[ÜRÜN KODU]],YMKODLARI!$A$1:$K$363,2,0)," ")</f>
        <v>DAMAK EMZİK TIPA</v>
      </c>
      <c r="C203" s="99">
        <v>44040</v>
      </c>
      <c r="D203" s="100" t="s">
        <v>37</v>
      </c>
      <c r="E203" s="101">
        <v>0.33333333333333331</v>
      </c>
      <c r="F203" s="101">
        <v>0.5625</v>
      </c>
      <c r="G203" s="100">
        <f>IFERROR(VLOOKUP(Tablo518[[#This Row],[ÜRÜN KODU]],YMKODLARI!$A$1:$K$363,3,0)," ")</f>
        <v>8</v>
      </c>
      <c r="H203" s="100">
        <f>IFERROR(VLOOKUP(Tablo518[[#This Row],[ÜRÜN KODU]],YMKODLARI!$A$1:$K$363,4,0)," ")</f>
        <v>20</v>
      </c>
      <c r="I203" s="100">
        <v>1168</v>
      </c>
      <c r="J203" s="100" t="str">
        <f>IFERROR(VLOOKUP(Tablo518[[#This Row],[ÜRÜN KODU]],YMKODLARI!$A$1:$K$363,9,0)," ")</f>
        <v>9134A</v>
      </c>
      <c r="K203" s="100" t="str">
        <f>IFERROR(VLOOKUP(Tablo518[[#This Row],[BOYA KODU]],Tablo14[#All],4,0)," ")</f>
        <v>BEYAZ</v>
      </c>
      <c r="L203" s="100">
        <f>IFERROR(VLOOKUP(Tablo518[[#This Row],[BOYA KODU]],Tablo14[#All],6,0)," ")</f>
        <v>7.0000000000000001E-3</v>
      </c>
      <c r="M203" s="100">
        <f t="shared" si="21"/>
        <v>140.62719999999999</v>
      </c>
      <c r="N203" s="100" t="str">
        <f>IFERROR(VLOOKUP(Tablo518[[#This Row],[ÜRÜN KODU]],YMKODLARI!$A$1:$K$363,8,0)," ")</f>
        <v>HM 002</v>
      </c>
      <c r="O203" s="100" t="str">
        <f>IFERROR(VLOOKUP(Tablo518[[#This Row],[HAMMADDE KODU]],Tablo1[#All],3,0)," ")</f>
        <v>NOVAREX</v>
      </c>
      <c r="P203" s="100" t="str">
        <f>IFERROR(VLOOKUP(Tablo518[[#This Row],[HAMMADDE KODU]],Tablo1[#All],4,0)," ")</f>
        <v>PİNHAS</v>
      </c>
      <c r="Q203" s="100">
        <f>IFERROR(VLOOKUP(Tablo518[[#This Row],[ÜRÜN KODU]],YMKODLARI!$A$1:$K$363,5,0)," ")</f>
        <v>17.2</v>
      </c>
      <c r="R203" s="100">
        <f>IFERROR(VLOOKUP(Tablo518[[#This Row],[ÜRÜN KODU]],YMKODLARI!$A$1:$K$363,6,0)," ")</f>
        <v>15.4</v>
      </c>
      <c r="S203" s="100">
        <f>IFERROR(Tablo518[[#This Row],[YOLLUK HARİÇ BASKI GRAMI]]/Tablo518[[#This Row],[KALIP GÖZ ADEDİ]]," ")</f>
        <v>1.925</v>
      </c>
      <c r="T203" s="100">
        <f t="shared" si="23"/>
        <v>1.7999999999999989</v>
      </c>
      <c r="U203" s="100">
        <v>2.9</v>
      </c>
      <c r="V203" s="100">
        <f t="shared" si="22"/>
        <v>20.8872</v>
      </c>
      <c r="W203" s="101">
        <f t="shared" si="24"/>
        <v>24.229166666666668</v>
      </c>
      <c r="X203" s="102">
        <f t="shared" si="25"/>
        <v>5.5000000000000284</v>
      </c>
      <c r="Y203" s="100">
        <f t="shared" si="26"/>
        <v>6.4888888888888889</v>
      </c>
      <c r="Z203" s="100">
        <f t="shared" si="27"/>
        <v>9344</v>
      </c>
    </row>
    <row r="204" spans="1:26">
      <c r="A204" s="108" t="s">
        <v>170</v>
      </c>
      <c r="B204" s="108" t="str">
        <f>IFERROR(VLOOKUP(Tablo518[[#This Row],[ÜRÜN KODU]],YMKODLARI!$A$1:$K$363,2,0)," ")</f>
        <v>UYKU EMZİK TIPA</v>
      </c>
      <c r="C204" s="99">
        <v>44050</v>
      </c>
      <c r="D204" s="100" t="s">
        <v>33</v>
      </c>
      <c r="E204" s="101">
        <v>0.71875</v>
      </c>
      <c r="F204" s="101">
        <v>0.75</v>
      </c>
      <c r="G204" s="100">
        <f>IFERROR(VLOOKUP(Tablo518[[#This Row],[ÜRÜN KODU]],YMKODLARI!$A$1:$K$363,3,0)," ")</f>
        <v>8</v>
      </c>
      <c r="H204" s="100">
        <f>IFERROR(VLOOKUP(Tablo518[[#This Row],[ÜRÜN KODU]],YMKODLARI!$A$1:$K$363,4,0)," ")</f>
        <v>25</v>
      </c>
      <c r="I204" s="100">
        <v>130</v>
      </c>
      <c r="J204" s="100" t="str">
        <f>IFERROR(VLOOKUP(Tablo518[[#This Row],[ÜRÜN KODU]],YMKODLARI!$A$1:$K$363,9,0)," ")</f>
        <v>5139C</v>
      </c>
      <c r="K204" s="100" t="str">
        <f>IFERROR(VLOOKUP(Tablo518[[#This Row],[BOYA KODU]],Tablo14[#All],4,0)," ")</f>
        <v>T.MAVİ</v>
      </c>
      <c r="L204" s="100">
        <f>IFERROR(VLOOKUP(Tablo518[[#This Row],[BOYA KODU]],Tablo14[#All],6,0)," ")</f>
        <v>1E-3</v>
      </c>
      <c r="M204" s="100">
        <f t="shared" si="21"/>
        <v>3.6139999999999999</v>
      </c>
      <c r="N204" s="100" t="str">
        <f>IFERROR(VLOOKUP(Tablo518[[#This Row],[ÜRÜN KODU]],YMKODLARI!$A$1:$K$363,8,0)," ")</f>
        <v>HM 002</v>
      </c>
      <c r="O204" s="100" t="str">
        <f>IFERROR(VLOOKUP(Tablo518[[#This Row],[HAMMADDE KODU]],Tablo1[#All],3,0)," ")</f>
        <v>NOVAREX</v>
      </c>
      <c r="P204" s="100" t="str">
        <f>IFERROR(VLOOKUP(Tablo518[[#This Row],[HAMMADDE KODU]],Tablo1[#All],4,0)," ")</f>
        <v>PİNHAS</v>
      </c>
      <c r="Q204" s="100">
        <f>IFERROR(VLOOKUP(Tablo518[[#This Row],[ÜRÜN KODU]],YMKODLARI!$A$1:$K$363,5,0)," ")</f>
        <v>27.8</v>
      </c>
      <c r="R204" s="100">
        <f>IFERROR(VLOOKUP(Tablo518[[#This Row],[ÜRÜN KODU]],YMKODLARI!$A$1:$K$363,6,0)," ")</f>
        <v>22.3</v>
      </c>
      <c r="S204" s="100">
        <f>IFERROR(Tablo518[[#This Row],[YOLLUK HARİÇ BASKI GRAMI]]/Tablo518[[#This Row],[KALIP GÖZ ADEDİ]]," ")</f>
        <v>2.7875000000000001</v>
      </c>
      <c r="T204" s="100">
        <f t="shared" si="23"/>
        <v>5.5</v>
      </c>
      <c r="U204" s="100"/>
      <c r="V204" s="100">
        <f t="shared" si="22"/>
        <v>2.899</v>
      </c>
      <c r="W204" s="101">
        <f t="shared" si="24"/>
        <v>24.03125</v>
      </c>
      <c r="X204" s="102">
        <f t="shared" si="25"/>
        <v>0.75</v>
      </c>
      <c r="Y204" s="100">
        <f t="shared" si="26"/>
        <v>0.90277777777777779</v>
      </c>
      <c r="Z204" s="100">
        <f t="shared" si="27"/>
        <v>1040</v>
      </c>
    </row>
    <row r="205" spans="1:26">
      <c r="A205" s="108" t="s">
        <v>170</v>
      </c>
      <c r="B205" s="108" t="str">
        <f>IFERROR(VLOOKUP(Tablo518[[#This Row],[ÜRÜN KODU]],YMKODLARI!$A$1:$K$363,2,0)," ")</f>
        <v>UYKU EMZİK TIPA</v>
      </c>
      <c r="C205" s="99">
        <v>44053</v>
      </c>
      <c r="D205" s="100" t="s">
        <v>33</v>
      </c>
      <c r="E205" s="101">
        <v>0.42708333333333331</v>
      </c>
      <c r="F205" s="101">
        <v>0.625</v>
      </c>
      <c r="G205" s="100">
        <f>IFERROR(VLOOKUP(Tablo518[[#This Row],[ÜRÜN KODU]],YMKODLARI!$A$1:$K$363,3,0)," ")</f>
        <v>8</v>
      </c>
      <c r="H205" s="100">
        <f>IFERROR(VLOOKUP(Tablo518[[#This Row],[ÜRÜN KODU]],YMKODLARI!$A$1:$K$363,4,0)," ")</f>
        <v>25</v>
      </c>
      <c r="I205" s="100">
        <v>735</v>
      </c>
      <c r="J205" s="100" t="str">
        <f>IFERROR(VLOOKUP(Tablo518[[#This Row],[ÜRÜN KODU]],YMKODLARI!$A$1:$K$363,9,0)," ")</f>
        <v>5139C</v>
      </c>
      <c r="K205" s="100" t="str">
        <f>IFERROR(VLOOKUP(Tablo518[[#This Row],[BOYA KODU]],Tablo14[#All],4,0)," ")</f>
        <v>T.MAVİ</v>
      </c>
      <c r="L205" s="100">
        <f>IFERROR(VLOOKUP(Tablo518[[#This Row],[BOYA KODU]],Tablo14[#All],6,0)," ")</f>
        <v>1E-3</v>
      </c>
      <c r="M205" s="100">
        <f t="shared" si="21"/>
        <v>20.433</v>
      </c>
      <c r="N205" s="100" t="str">
        <f>IFERROR(VLOOKUP(Tablo518[[#This Row],[ÜRÜN KODU]],YMKODLARI!$A$1:$K$363,8,0)," ")</f>
        <v>HM 002</v>
      </c>
      <c r="O205" s="100" t="str">
        <f>IFERROR(VLOOKUP(Tablo518[[#This Row],[HAMMADDE KODU]],Tablo1[#All],3,0)," ")</f>
        <v>NOVAREX</v>
      </c>
      <c r="P205" s="100" t="str">
        <f>IFERROR(VLOOKUP(Tablo518[[#This Row],[HAMMADDE KODU]],Tablo1[#All],4,0)," ")</f>
        <v>PİNHAS</v>
      </c>
      <c r="Q205" s="100">
        <f>IFERROR(VLOOKUP(Tablo518[[#This Row],[ÜRÜN KODU]],YMKODLARI!$A$1:$K$363,5,0)," ")</f>
        <v>27.8</v>
      </c>
      <c r="R205" s="100">
        <f>IFERROR(VLOOKUP(Tablo518[[#This Row],[ÜRÜN KODU]],YMKODLARI!$A$1:$K$363,6,0)," ")</f>
        <v>22.3</v>
      </c>
      <c r="S205" s="100">
        <f>IFERROR(Tablo518[[#This Row],[YOLLUK HARİÇ BASKI GRAMI]]/Tablo518[[#This Row],[KALIP GÖZ ADEDİ]]," ")</f>
        <v>2.7875000000000001</v>
      </c>
      <c r="T205" s="100">
        <f t="shared" si="23"/>
        <v>5.5</v>
      </c>
      <c r="U205" s="100">
        <v>8.6999999999999993</v>
      </c>
      <c r="V205" s="100">
        <f t="shared" si="22"/>
        <v>25.090499999999999</v>
      </c>
      <c r="W205" s="101">
        <f t="shared" si="24"/>
        <v>24.197916666666668</v>
      </c>
      <c r="X205" s="102">
        <f t="shared" si="25"/>
        <v>4.7500000000000284</v>
      </c>
      <c r="Y205" s="100">
        <f t="shared" si="26"/>
        <v>5.104166666666667</v>
      </c>
      <c r="Z205" s="100">
        <f t="shared" si="27"/>
        <v>5880</v>
      </c>
    </row>
    <row r="206" spans="1:26">
      <c r="A206" s="108" t="s">
        <v>172</v>
      </c>
      <c r="B206" s="108" t="str">
        <f>IFERROR(VLOOKUP(Tablo518[[#This Row],[ÜRÜN KODU]],YMKODLARI!$A$1:$K$363,2,0)," ")</f>
        <v>UYKU EMZİK TIPA</v>
      </c>
      <c r="C206" s="99">
        <v>44053</v>
      </c>
      <c r="D206" s="100" t="s">
        <v>33</v>
      </c>
      <c r="E206" s="101">
        <v>0.625</v>
      </c>
      <c r="F206" s="101">
        <v>0.75</v>
      </c>
      <c r="G206" s="100">
        <f>IFERROR(VLOOKUP(Tablo518[[#This Row],[ÜRÜN KODU]],YMKODLARI!$A$1:$K$363,3,0)," ")</f>
        <v>8</v>
      </c>
      <c r="H206" s="100">
        <f>IFERROR(VLOOKUP(Tablo518[[#This Row],[ÜRÜN KODU]],YMKODLARI!$A$1:$K$363,4,0)," ")</f>
        <v>25</v>
      </c>
      <c r="I206" s="100">
        <v>300</v>
      </c>
      <c r="J206" s="100" t="str">
        <f>IFERROR(VLOOKUP(Tablo518[[#This Row],[ÜRÜN KODU]],YMKODLARI!$A$1:$K$363,9,0)," ")</f>
        <v>708VI0502G</v>
      </c>
      <c r="K206" s="100" t="str">
        <f>IFERROR(VLOOKUP(Tablo518[[#This Row],[BOYA KODU]],Tablo14[#All],4,0)," ")</f>
        <v>T.VİOLET</v>
      </c>
      <c r="L206" s="100">
        <f>IFERROR(VLOOKUP(Tablo518[[#This Row],[BOYA KODU]],Tablo14[#All],6,0)," ")</f>
        <v>2E-3</v>
      </c>
      <c r="M206" s="100">
        <f t="shared" si="21"/>
        <v>16.68</v>
      </c>
      <c r="N206" s="100" t="str">
        <f>IFERROR(VLOOKUP(Tablo518[[#This Row],[ÜRÜN KODU]],YMKODLARI!$A$1:$K$363,8,0)," ")</f>
        <v>HM 002</v>
      </c>
      <c r="O206" s="100" t="str">
        <f>IFERROR(VLOOKUP(Tablo518[[#This Row],[HAMMADDE KODU]],Tablo1[#All],3,0)," ")</f>
        <v>NOVAREX</v>
      </c>
      <c r="P206" s="100" t="str">
        <f>IFERROR(VLOOKUP(Tablo518[[#This Row],[HAMMADDE KODU]],Tablo1[#All],4,0)," ")</f>
        <v>PİNHAS</v>
      </c>
      <c r="Q206" s="100">
        <f>IFERROR(VLOOKUP(Tablo518[[#This Row],[ÜRÜN KODU]],YMKODLARI!$A$1:$K$363,5,0)," ")</f>
        <v>27.8</v>
      </c>
      <c r="R206" s="100">
        <f>IFERROR(VLOOKUP(Tablo518[[#This Row],[ÜRÜN KODU]],YMKODLARI!$A$1:$K$363,6,0)," ")</f>
        <v>22.3</v>
      </c>
      <c r="S206" s="100">
        <f>IFERROR(Tablo518[[#This Row],[YOLLUK HARİÇ BASKI GRAMI]]/Tablo518[[#This Row],[KALIP GÖZ ADEDİ]]," ")</f>
        <v>2.7875000000000001</v>
      </c>
      <c r="T206" s="100">
        <f t="shared" si="23"/>
        <v>5.5</v>
      </c>
      <c r="U206" s="100">
        <v>3.5</v>
      </c>
      <c r="V206" s="100">
        <f t="shared" si="22"/>
        <v>10.190000000000001</v>
      </c>
      <c r="W206" s="101">
        <f t="shared" si="24"/>
        <v>24.125</v>
      </c>
      <c r="X206" s="102">
        <f t="shared" si="25"/>
        <v>3</v>
      </c>
      <c r="Y206" s="100">
        <f t="shared" si="26"/>
        <v>2.0833333333333335</v>
      </c>
      <c r="Z206" s="100">
        <f t="shared" si="27"/>
        <v>2400</v>
      </c>
    </row>
    <row r="207" spans="1:26">
      <c r="A207" s="108" t="s">
        <v>172</v>
      </c>
      <c r="B207" s="108" t="str">
        <f>IFERROR(VLOOKUP(Tablo518[[#This Row],[ÜRÜN KODU]],YMKODLARI!$A$1:$K$363,2,0)," ")</f>
        <v>UYKU EMZİK TIPA</v>
      </c>
      <c r="C207" s="99">
        <v>44054</v>
      </c>
      <c r="D207" s="100" t="s">
        <v>37</v>
      </c>
      <c r="E207" s="101">
        <v>0.34027777777777773</v>
      </c>
      <c r="F207" s="101">
        <v>0.3611111111111111</v>
      </c>
      <c r="G207" s="100">
        <f>IFERROR(VLOOKUP(Tablo518[[#This Row],[ÜRÜN KODU]],YMKODLARI!$A$1:$K$363,3,0)," ")</f>
        <v>8</v>
      </c>
      <c r="H207" s="100">
        <f>IFERROR(VLOOKUP(Tablo518[[#This Row],[ÜRÜN KODU]],YMKODLARI!$A$1:$K$363,4,0)," ")</f>
        <v>25</v>
      </c>
      <c r="I207" s="100">
        <v>281</v>
      </c>
      <c r="J207" s="100" t="str">
        <f>IFERROR(VLOOKUP(Tablo518[[#This Row],[ÜRÜN KODU]],YMKODLARI!$A$1:$K$363,9,0)," ")</f>
        <v>708VI0502G</v>
      </c>
      <c r="K207" s="100" t="str">
        <f>IFERROR(VLOOKUP(Tablo518[[#This Row],[BOYA KODU]],Tablo14[#All],4,0)," ")</f>
        <v>T.VİOLET</v>
      </c>
      <c r="L207" s="100">
        <f>IFERROR(VLOOKUP(Tablo518[[#This Row],[BOYA KODU]],Tablo14[#All],6,0)," ")</f>
        <v>2E-3</v>
      </c>
      <c r="M207" s="100">
        <f t="shared" si="21"/>
        <v>15.623600000000001</v>
      </c>
      <c r="N207" s="100" t="str">
        <f>IFERROR(VLOOKUP(Tablo518[[#This Row],[ÜRÜN KODU]],YMKODLARI!$A$1:$K$363,8,0)," ")</f>
        <v>HM 002</v>
      </c>
      <c r="O207" s="100" t="str">
        <f>IFERROR(VLOOKUP(Tablo518[[#This Row],[HAMMADDE KODU]],Tablo1[#All],3,0)," ")</f>
        <v>NOVAREX</v>
      </c>
      <c r="P207" s="100" t="str">
        <f>IFERROR(VLOOKUP(Tablo518[[#This Row],[HAMMADDE KODU]],Tablo1[#All],4,0)," ")</f>
        <v>PİNHAS</v>
      </c>
      <c r="Q207" s="100">
        <f>IFERROR(VLOOKUP(Tablo518[[#This Row],[ÜRÜN KODU]],YMKODLARI!$A$1:$K$363,5,0)," ")</f>
        <v>27.8</v>
      </c>
      <c r="R207" s="100">
        <f>IFERROR(VLOOKUP(Tablo518[[#This Row],[ÜRÜN KODU]],YMKODLARI!$A$1:$K$363,6,0)," ")</f>
        <v>22.3</v>
      </c>
      <c r="S207" s="100">
        <f>IFERROR(Tablo518[[#This Row],[YOLLUK HARİÇ BASKI GRAMI]]/Tablo518[[#This Row],[KALIP GÖZ ADEDİ]]," ")</f>
        <v>2.7875000000000001</v>
      </c>
      <c r="T207" s="100">
        <f t="shared" si="23"/>
        <v>5.5</v>
      </c>
      <c r="U207" s="100">
        <v>10.6</v>
      </c>
      <c r="V207" s="100">
        <f t="shared" si="22"/>
        <v>16.866299999999999</v>
      </c>
      <c r="W207" s="101">
        <f t="shared" si="24"/>
        <v>24.020833333333332</v>
      </c>
      <c r="X207" s="102">
        <f t="shared" si="25"/>
        <v>0.49999999999997158</v>
      </c>
      <c r="Y207" s="100">
        <f t="shared" si="26"/>
        <v>1.9513888888888888</v>
      </c>
      <c r="Z207" s="100">
        <f t="shared" si="27"/>
        <v>2248</v>
      </c>
    </row>
    <row r="208" spans="1:26">
      <c r="A208" s="108" t="s">
        <v>173</v>
      </c>
      <c r="B208" s="108" t="str">
        <f>IFERROR(VLOOKUP(Tablo518[[#This Row],[ÜRÜN KODU]],YMKODLARI!$A$1:$K$363,2,0)," ")</f>
        <v>UYKU EMZİK TIPA</v>
      </c>
      <c r="C208" s="99">
        <v>44054</v>
      </c>
      <c r="D208" s="100" t="s">
        <v>37</v>
      </c>
      <c r="E208" s="101">
        <v>0.4236111111111111</v>
      </c>
      <c r="F208" s="101">
        <v>0.75</v>
      </c>
      <c r="G208" s="100">
        <f>IFERROR(VLOOKUP(Tablo518[[#This Row],[ÜRÜN KODU]],YMKODLARI!$A$1:$K$363,3,0)," ")</f>
        <v>8</v>
      </c>
      <c r="H208" s="100">
        <f>IFERROR(VLOOKUP(Tablo518[[#This Row],[ÜRÜN KODU]],YMKODLARI!$A$1:$K$363,4,0)," ")</f>
        <v>25</v>
      </c>
      <c r="I208" s="100">
        <v>984</v>
      </c>
      <c r="J208" s="100">
        <f>IFERROR(VLOOKUP(Tablo518[[#This Row],[ÜRÜN KODU]],YMKODLARI!$A$1:$K$363,9,0)," ")</f>
        <v>3408</v>
      </c>
      <c r="K208" s="100" t="str">
        <f>IFERROR(VLOOKUP(Tablo518[[#This Row],[BOYA KODU]],Tablo14[#All],4,0)," ")</f>
        <v>PEMBE</v>
      </c>
      <c r="L208" s="100">
        <f>IFERROR(VLOOKUP(Tablo518[[#This Row],[BOYA KODU]],Tablo14[#All],6,0)," ")</f>
        <v>5.0000000000000001E-3</v>
      </c>
      <c r="M208" s="100">
        <f t="shared" si="21"/>
        <v>138.25200000000001</v>
      </c>
      <c r="N208" s="100" t="str">
        <f>IFERROR(VLOOKUP(Tablo518[[#This Row],[ÜRÜN KODU]],YMKODLARI!$A$1:$K$363,8,0)," ")</f>
        <v>HM 002</v>
      </c>
      <c r="O208" s="100" t="str">
        <f>IFERROR(VLOOKUP(Tablo518[[#This Row],[HAMMADDE KODU]],Tablo1[#All],3,0)," ")</f>
        <v>NOVAREX</v>
      </c>
      <c r="P208" s="100" t="str">
        <f>IFERROR(VLOOKUP(Tablo518[[#This Row],[HAMMADDE KODU]],Tablo1[#All],4,0)," ")</f>
        <v>PİNHAS</v>
      </c>
      <c r="Q208" s="100">
        <f>IFERROR(VLOOKUP(Tablo518[[#This Row],[ÜRÜN KODU]],YMKODLARI!$A$1:$K$363,5,0)," ")</f>
        <v>28.1</v>
      </c>
      <c r="R208" s="100">
        <f>IFERROR(VLOOKUP(Tablo518[[#This Row],[ÜRÜN KODU]],YMKODLARI!$A$1:$K$363,6,0)," ")</f>
        <v>22.6</v>
      </c>
      <c r="S208" s="100">
        <f>IFERROR(Tablo518[[#This Row],[YOLLUK HARİÇ BASKI GRAMI]]/Tablo518[[#This Row],[KALIP GÖZ ADEDİ]]," ")</f>
        <v>2.8250000000000002</v>
      </c>
      <c r="T208" s="100">
        <f t="shared" si="23"/>
        <v>5.5</v>
      </c>
      <c r="U208" s="100">
        <v>9</v>
      </c>
      <c r="V208" s="100">
        <f t="shared" si="22"/>
        <v>31.238400000000002</v>
      </c>
      <c r="W208" s="101">
        <f t="shared" si="24"/>
        <v>24.326388888888889</v>
      </c>
      <c r="X208" s="102">
        <f t="shared" si="25"/>
        <v>7.8333333333333428</v>
      </c>
      <c r="Y208" s="100">
        <f t="shared" si="26"/>
        <v>6.833333333333333</v>
      </c>
      <c r="Z208" s="100">
        <f t="shared" si="27"/>
        <v>7872</v>
      </c>
    </row>
    <row r="209" spans="1:26">
      <c r="A209" s="108" t="s">
        <v>173</v>
      </c>
      <c r="B209" s="108" t="str">
        <f>IFERROR(VLOOKUP(Tablo518[[#This Row],[ÜRÜN KODU]],YMKODLARI!$A$1:$K$363,2,0)," ")</f>
        <v>UYKU EMZİK TIPA</v>
      </c>
      <c r="C209" s="99">
        <v>44055</v>
      </c>
      <c r="D209" s="100" t="s">
        <v>37</v>
      </c>
      <c r="E209" s="101">
        <v>0.35416666666666669</v>
      </c>
      <c r="F209" s="101">
        <v>0.58333333333333337</v>
      </c>
      <c r="G209" s="100">
        <f>IFERROR(VLOOKUP(Tablo518[[#This Row],[ÜRÜN KODU]],YMKODLARI!$A$1:$K$363,3,0)," ")</f>
        <v>8</v>
      </c>
      <c r="H209" s="100">
        <f>IFERROR(VLOOKUP(Tablo518[[#This Row],[ÜRÜN KODU]],YMKODLARI!$A$1:$K$363,4,0)," ")</f>
        <v>25</v>
      </c>
      <c r="I209" s="100">
        <v>744</v>
      </c>
      <c r="J209" s="100">
        <f>IFERROR(VLOOKUP(Tablo518[[#This Row],[ÜRÜN KODU]],YMKODLARI!$A$1:$K$363,9,0)," ")</f>
        <v>3408</v>
      </c>
      <c r="K209" s="100" t="str">
        <f>IFERROR(VLOOKUP(Tablo518[[#This Row],[BOYA KODU]],Tablo14[#All],4,0)," ")</f>
        <v>PEMBE</v>
      </c>
      <c r="L209" s="100">
        <f>IFERROR(VLOOKUP(Tablo518[[#This Row],[BOYA KODU]],Tablo14[#All],6,0)," ")</f>
        <v>5.0000000000000001E-3</v>
      </c>
      <c r="M209" s="100">
        <f t="shared" si="21"/>
        <v>104.53200000000001</v>
      </c>
      <c r="N209" s="100" t="str">
        <f>IFERROR(VLOOKUP(Tablo518[[#This Row],[ÜRÜN KODU]],YMKODLARI!$A$1:$K$363,8,0)," ")</f>
        <v>HM 002</v>
      </c>
      <c r="O209" s="100" t="str">
        <f>IFERROR(VLOOKUP(Tablo518[[#This Row],[HAMMADDE KODU]],Tablo1[#All],3,0)," ")</f>
        <v>NOVAREX</v>
      </c>
      <c r="P209" s="100" t="str">
        <f>IFERROR(VLOOKUP(Tablo518[[#This Row],[HAMMADDE KODU]],Tablo1[#All],4,0)," ")</f>
        <v>PİNHAS</v>
      </c>
      <c r="Q209" s="100">
        <f>IFERROR(VLOOKUP(Tablo518[[#This Row],[ÜRÜN KODU]],YMKODLARI!$A$1:$K$363,5,0)," ")</f>
        <v>28.1</v>
      </c>
      <c r="R209" s="100">
        <f>IFERROR(VLOOKUP(Tablo518[[#This Row],[ÜRÜN KODU]],YMKODLARI!$A$1:$K$363,6,0)," ")</f>
        <v>22.6</v>
      </c>
      <c r="S209" s="100">
        <f>IFERROR(Tablo518[[#This Row],[YOLLUK HARİÇ BASKI GRAMI]]/Tablo518[[#This Row],[KALIP GÖZ ADEDİ]]," ")</f>
        <v>2.8250000000000002</v>
      </c>
      <c r="T209" s="100">
        <f t="shared" si="23"/>
        <v>5.5</v>
      </c>
      <c r="U209" s="100">
        <v>5</v>
      </c>
      <c r="V209" s="100">
        <f t="shared" si="22"/>
        <v>21.814400000000003</v>
      </c>
      <c r="W209" s="101">
        <f t="shared" si="24"/>
        <v>24.229166666666668</v>
      </c>
      <c r="X209" s="102">
        <f t="shared" si="25"/>
        <v>5.5000000000000284</v>
      </c>
      <c r="Y209" s="100">
        <f t="shared" si="26"/>
        <v>5.166666666666667</v>
      </c>
      <c r="Z209" s="100">
        <f t="shared" si="27"/>
        <v>5952</v>
      </c>
    </row>
    <row r="210" spans="1:26">
      <c r="A210" s="108" t="s">
        <v>174</v>
      </c>
      <c r="B210" s="108" t="str">
        <f>IFERROR(VLOOKUP(Tablo518[[#This Row],[ÜRÜN KODU]],YMKODLARI!$A$1:$K$363,2,0)," ")</f>
        <v>UYKU EMZİK TIPA</v>
      </c>
      <c r="C210" s="99">
        <v>44055</v>
      </c>
      <c r="D210" s="100" t="s">
        <v>37</v>
      </c>
      <c r="E210" s="101">
        <v>0.58333333333333337</v>
      </c>
      <c r="F210" s="101">
        <v>0.75</v>
      </c>
      <c r="G210" s="100">
        <f>IFERROR(VLOOKUP(Tablo518[[#This Row],[ÜRÜN KODU]],YMKODLARI!$A$1:$K$363,3,0)," ")</f>
        <v>8</v>
      </c>
      <c r="H210" s="100">
        <f>IFERROR(VLOOKUP(Tablo518[[#This Row],[ÜRÜN KODU]],YMKODLARI!$A$1:$K$363,4,0)," ")</f>
        <v>25</v>
      </c>
      <c r="I210" s="100">
        <v>551</v>
      </c>
      <c r="J210" s="100" t="str">
        <f>IFERROR(VLOOKUP(Tablo518[[#This Row],[ÜRÜN KODU]],YMKODLARI!$A$1:$K$363,9,0)," ")</f>
        <v>5249A</v>
      </c>
      <c r="K210" s="100" t="str">
        <f>IFERROR(VLOOKUP(Tablo518[[#This Row],[BOYA KODU]],Tablo14[#All],4,0)," ")</f>
        <v>MAVİ</v>
      </c>
      <c r="L210" s="100">
        <f>IFERROR(VLOOKUP(Tablo518[[#This Row],[BOYA KODU]],Tablo14[#All],6,0)," ")</f>
        <v>5.0000000000000001E-3</v>
      </c>
      <c r="M210" s="100">
        <f t="shared" si="21"/>
        <v>77.415500000000009</v>
      </c>
      <c r="N210" s="100" t="str">
        <f>IFERROR(VLOOKUP(Tablo518[[#This Row],[ÜRÜN KODU]],YMKODLARI!$A$1:$K$363,8,0)," ")</f>
        <v>HM 002</v>
      </c>
      <c r="O210" s="100" t="str">
        <f>IFERROR(VLOOKUP(Tablo518[[#This Row],[HAMMADDE KODU]],Tablo1[#All],3,0)," ")</f>
        <v>NOVAREX</v>
      </c>
      <c r="P210" s="100" t="str">
        <f>IFERROR(VLOOKUP(Tablo518[[#This Row],[HAMMADDE KODU]],Tablo1[#All],4,0)," ")</f>
        <v>PİNHAS</v>
      </c>
      <c r="Q210" s="100">
        <f>IFERROR(VLOOKUP(Tablo518[[#This Row],[ÜRÜN KODU]],YMKODLARI!$A$1:$K$363,5,0)," ")</f>
        <v>28.1</v>
      </c>
      <c r="R210" s="100">
        <f>IFERROR(VLOOKUP(Tablo518[[#This Row],[ÜRÜN KODU]],YMKODLARI!$A$1:$K$363,6,0)," ")</f>
        <v>22.6</v>
      </c>
      <c r="S210" s="100">
        <f>IFERROR(Tablo518[[#This Row],[YOLLUK HARİÇ BASKI GRAMI]]/Tablo518[[#This Row],[KALIP GÖZ ADEDİ]]," ")</f>
        <v>2.8250000000000002</v>
      </c>
      <c r="T210" s="100">
        <f t="shared" si="23"/>
        <v>5.5</v>
      </c>
      <c r="U210" s="100">
        <v>15</v>
      </c>
      <c r="V210" s="100">
        <f t="shared" si="22"/>
        <v>27.4526</v>
      </c>
      <c r="W210" s="101">
        <f t="shared" si="24"/>
        <v>24.166666666666668</v>
      </c>
      <c r="X210" s="102">
        <f t="shared" si="25"/>
        <v>4.0000000000000284</v>
      </c>
      <c r="Y210" s="100">
        <f t="shared" si="26"/>
        <v>3.8263888888888888</v>
      </c>
      <c r="Z210" s="100">
        <f t="shared" si="27"/>
        <v>4408</v>
      </c>
    </row>
    <row r="211" spans="1:26">
      <c r="A211" s="108" t="s">
        <v>174</v>
      </c>
      <c r="B211" s="108" t="str">
        <f>IFERROR(VLOOKUP(Tablo518[[#This Row],[ÜRÜN KODU]],YMKODLARI!$A$1:$K$363,2,0)," ")</f>
        <v>UYKU EMZİK TIPA</v>
      </c>
      <c r="C211" s="99">
        <v>44056</v>
      </c>
      <c r="D211" s="100" t="s">
        <v>37</v>
      </c>
      <c r="E211" s="101">
        <v>0.33333333333333331</v>
      </c>
      <c r="F211" s="101">
        <v>0.74305555555555547</v>
      </c>
      <c r="G211" s="100">
        <f>IFERROR(VLOOKUP(Tablo518[[#This Row],[ÜRÜN KODU]],YMKODLARI!$A$1:$K$363,3,0)," ")</f>
        <v>8</v>
      </c>
      <c r="H211" s="100">
        <f>IFERROR(VLOOKUP(Tablo518[[#This Row],[ÜRÜN KODU]],YMKODLARI!$A$1:$K$363,4,0)," ")</f>
        <v>25</v>
      </c>
      <c r="I211" s="100">
        <v>1196</v>
      </c>
      <c r="J211" s="100" t="str">
        <f>IFERROR(VLOOKUP(Tablo518[[#This Row],[ÜRÜN KODU]],YMKODLARI!$A$1:$K$363,9,0)," ")</f>
        <v>5249A</v>
      </c>
      <c r="K211" s="100" t="str">
        <f>IFERROR(VLOOKUP(Tablo518[[#This Row],[BOYA KODU]],Tablo14[#All],4,0)," ")</f>
        <v>MAVİ</v>
      </c>
      <c r="L211" s="100">
        <f>IFERROR(VLOOKUP(Tablo518[[#This Row],[BOYA KODU]],Tablo14[#All],6,0)," ")</f>
        <v>5.0000000000000001E-3</v>
      </c>
      <c r="M211" s="100">
        <f t="shared" si="21"/>
        <v>168.03799999999998</v>
      </c>
      <c r="N211" s="100" t="str">
        <f>IFERROR(VLOOKUP(Tablo518[[#This Row],[ÜRÜN KODU]],YMKODLARI!$A$1:$K$363,8,0)," ")</f>
        <v>HM 002</v>
      </c>
      <c r="O211" s="100" t="str">
        <f>IFERROR(VLOOKUP(Tablo518[[#This Row],[HAMMADDE KODU]],Tablo1[#All],3,0)," ")</f>
        <v>NOVAREX</v>
      </c>
      <c r="P211" s="100" t="str">
        <f>IFERROR(VLOOKUP(Tablo518[[#This Row],[HAMMADDE KODU]],Tablo1[#All],4,0)," ")</f>
        <v>PİNHAS</v>
      </c>
      <c r="Q211" s="100">
        <f>IFERROR(VLOOKUP(Tablo518[[#This Row],[ÜRÜN KODU]],YMKODLARI!$A$1:$K$363,5,0)," ")</f>
        <v>28.1</v>
      </c>
      <c r="R211" s="100">
        <f>IFERROR(VLOOKUP(Tablo518[[#This Row],[ÜRÜN KODU]],YMKODLARI!$A$1:$K$363,6,0)," ")</f>
        <v>22.6</v>
      </c>
      <c r="S211" s="100">
        <f>IFERROR(Tablo518[[#This Row],[YOLLUK HARİÇ BASKI GRAMI]]/Tablo518[[#This Row],[KALIP GÖZ ADEDİ]]," ")</f>
        <v>2.8250000000000002</v>
      </c>
      <c r="T211" s="100">
        <f t="shared" si="23"/>
        <v>5.5</v>
      </c>
      <c r="U211" s="100"/>
      <c r="V211" s="100">
        <f t="shared" si="22"/>
        <v>27.029600000000002</v>
      </c>
      <c r="W211" s="101">
        <f t="shared" si="24"/>
        <v>24.409722222222221</v>
      </c>
      <c r="X211" s="102">
        <f t="shared" si="25"/>
        <v>9.8333333333333144</v>
      </c>
      <c r="Y211" s="100">
        <f t="shared" si="26"/>
        <v>8.3055555555555554</v>
      </c>
      <c r="Z211" s="100">
        <f t="shared" si="27"/>
        <v>9568</v>
      </c>
    </row>
    <row r="212" spans="1:26">
      <c r="A212" s="108" t="s">
        <v>175</v>
      </c>
      <c r="B212" s="108" t="str">
        <f>IFERROR(VLOOKUP(Tablo518[[#This Row],[ÜRÜN KODU]],YMKODLARI!$A$1:$K$363,2,0)," ")</f>
        <v>UYKU EMZİK TIPA</v>
      </c>
      <c r="C212" s="99">
        <v>44057</v>
      </c>
      <c r="D212" s="100" t="s">
        <v>37</v>
      </c>
      <c r="E212" s="101">
        <v>0.34027777777777773</v>
      </c>
      <c r="F212" s="101">
        <v>0.72916666666666663</v>
      </c>
      <c r="G212" s="100">
        <f>IFERROR(VLOOKUP(Tablo518[[#This Row],[ÜRÜN KODU]],YMKODLARI!$A$1:$K$363,3,0)," ")</f>
        <v>8</v>
      </c>
      <c r="H212" s="100">
        <f>IFERROR(VLOOKUP(Tablo518[[#This Row],[ÜRÜN KODU]],YMKODLARI!$A$1:$K$363,4,0)," ")</f>
        <v>25</v>
      </c>
      <c r="I212" s="100">
        <v>1017</v>
      </c>
      <c r="J212" s="100" t="str">
        <f>IFERROR(VLOOKUP(Tablo518[[#This Row],[ÜRÜN KODU]],YMKODLARI!$A$1:$K$363,9,0)," ")</f>
        <v>3407A</v>
      </c>
      <c r="K212" s="100" t="str">
        <f>IFERROR(VLOOKUP(Tablo518[[#This Row],[BOYA KODU]],Tablo14[#All],4,0)," ")</f>
        <v>KIRMIZI</v>
      </c>
      <c r="L212" s="100">
        <f>IFERROR(VLOOKUP(Tablo518[[#This Row],[BOYA KODU]],Tablo14[#All],6,0)," ")</f>
        <v>5.0000000000000001E-3</v>
      </c>
      <c r="M212" s="100">
        <f t="shared" si="21"/>
        <v>142.88849999999999</v>
      </c>
      <c r="N212" s="100" t="str">
        <f>IFERROR(VLOOKUP(Tablo518[[#This Row],[ÜRÜN KODU]],YMKODLARI!$A$1:$K$363,8,0)," ")</f>
        <v>HM 002</v>
      </c>
      <c r="O212" s="100" t="str">
        <f>IFERROR(VLOOKUP(Tablo518[[#This Row],[HAMMADDE KODU]],Tablo1[#All],3,0)," ")</f>
        <v>NOVAREX</v>
      </c>
      <c r="P212" s="100" t="str">
        <f>IFERROR(VLOOKUP(Tablo518[[#This Row],[HAMMADDE KODU]],Tablo1[#All],4,0)," ")</f>
        <v>PİNHAS</v>
      </c>
      <c r="Q212" s="100">
        <f>IFERROR(VLOOKUP(Tablo518[[#This Row],[ÜRÜN KODU]],YMKODLARI!$A$1:$K$363,5,0)," ")</f>
        <v>28.1</v>
      </c>
      <c r="R212" s="100">
        <f>IFERROR(VLOOKUP(Tablo518[[#This Row],[ÜRÜN KODU]],YMKODLARI!$A$1:$K$363,6,0)," ")</f>
        <v>22.6</v>
      </c>
      <c r="S212" s="100">
        <f>IFERROR(Tablo518[[#This Row],[YOLLUK HARİÇ BASKI GRAMI]]/Tablo518[[#This Row],[KALIP GÖZ ADEDİ]]," ")</f>
        <v>2.8250000000000002</v>
      </c>
      <c r="T212" s="100">
        <f t="shared" si="23"/>
        <v>5.5</v>
      </c>
      <c r="U212" s="100">
        <v>18</v>
      </c>
      <c r="V212" s="100">
        <f t="shared" si="22"/>
        <v>40.984200000000001</v>
      </c>
      <c r="W212" s="101">
        <f t="shared" si="24"/>
        <v>24.388888888888889</v>
      </c>
      <c r="X212" s="102">
        <f t="shared" si="25"/>
        <v>9.3333333333333428</v>
      </c>
      <c r="Y212" s="100">
        <f t="shared" si="26"/>
        <v>7.0625</v>
      </c>
      <c r="Z212" s="100">
        <f t="shared" si="27"/>
        <v>8136</v>
      </c>
    </row>
    <row r="213" spans="1:26">
      <c r="A213" s="108" t="s">
        <v>175</v>
      </c>
      <c r="B213" s="108" t="str">
        <f>IFERROR(VLOOKUP(Tablo518[[#This Row],[ÜRÜN KODU]],YMKODLARI!$A$1:$K$363,2,0)," ")</f>
        <v>UYKU EMZİK TIPA</v>
      </c>
      <c r="C213" s="99">
        <v>44060</v>
      </c>
      <c r="D213" s="100" t="s">
        <v>37</v>
      </c>
      <c r="E213" s="101">
        <v>0.4236111111111111</v>
      </c>
      <c r="F213" s="101">
        <v>0.6875</v>
      </c>
      <c r="G213" s="100">
        <f>IFERROR(VLOOKUP(Tablo518[[#This Row],[ÜRÜN KODU]],YMKODLARI!$A$1:$K$363,3,0)," ")</f>
        <v>8</v>
      </c>
      <c r="H213" s="100">
        <f>IFERROR(VLOOKUP(Tablo518[[#This Row],[ÜRÜN KODU]],YMKODLARI!$A$1:$K$363,4,0)," ")</f>
        <v>25</v>
      </c>
      <c r="I213" s="100">
        <v>784</v>
      </c>
      <c r="J213" s="100" t="str">
        <f>IFERROR(VLOOKUP(Tablo518[[#This Row],[ÜRÜN KODU]],YMKODLARI!$A$1:$K$363,9,0)," ")</f>
        <v>3407A</v>
      </c>
      <c r="K213" s="100" t="str">
        <f>IFERROR(VLOOKUP(Tablo518[[#This Row],[BOYA KODU]],Tablo14[#All],4,0)," ")</f>
        <v>KIRMIZI</v>
      </c>
      <c r="L213" s="100">
        <f>IFERROR(VLOOKUP(Tablo518[[#This Row],[BOYA KODU]],Tablo14[#All],6,0)," ")</f>
        <v>5.0000000000000001E-3</v>
      </c>
      <c r="M213" s="100">
        <f t="shared" si="21"/>
        <v>110.15200000000002</v>
      </c>
      <c r="N213" s="100" t="str">
        <f>IFERROR(VLOOKUP(Tablo518[[#This Row],[ÜRÜN KODU]],YMKODLARI!$A$1:$K$363,8,0)," ")</f>
        <v>HM 002</v>
      </c>
      <c r="O213" s="100" t="str">
        <f>IFERROR(VLOOKUP(Tablo518[[#This Row],[HAMMADDE KODU]],Tablo1[#All],3,0)," ")</f>
        <v>NOVAREX</v>
      </c>
      <c r="P213" s="100" t="str">
        <f>IFERROR(VLOOKUP(Tablo518[[#This Row],[HAMMADDE KODU]],Tablo1[#All],4,0)," ")</f>
        <v>PİNHAS</v>
      </c>
      <c r="Q213" s="100">
        <f>IFERROR(VLOOKUP(Tablo518[[#This Row],[ÜRÜN KODU]],YMKODLARI!$A$1:$K$363,5,0)," ")</f>
        <v>28.1</v>
      </c>
      <c r="R213" s="100">
        <f>IFERROR(VLOOKUP(Tablo518[[#This Row],[ÜRÜN KODU]],YMKODLARI!$A$1:$K$363,6,0)," ")</f>
        <v>22.6</v>
      </c>
      <c r="S213" s="100">
        <f>IFERROR(Tablo518[[#This Row],[YOLLUK HARİÇ BASKI GRAMI]]/Tablo518[[#This Row],[KALIP GÖZ ADEDİ]]," ")</f>
        <v>2.8250000000000002</v>
      </c>
      <c r="T213" s="100">
        <f t="shared" si="23"/>
        <v>5.5</v>
      </c>
      <c r="U213" s="100">
        <v>11.5</v>
      </c>
      <c r="V213" s="100">
        <f t="shared" si="22"/>
        <v>29.218400000000003</v>
      </c>
      <c r="W213" s="101">
        <f t="shared" si="24"/>
        <v>24.263888888888889</v>
      </c>
      <c r="X213" s="102">
        <f t="shared" si="25"/>
        <v>6.3333333333333428</v>
      </c>
      <c r="Y213" s="100">
        <f t="shared" si="26"/>
        <v>5.4444444444444446</v>
      </c>
      <c r="Z213" s="100">
        <f t="shared" si="27"/>
        <v>6272</v>
      </c>
    </row>
    <row r="214" spans="1:26">
      <c r="A214" s="120" t="s">
        <v>157</v>
      </c>
      <c r="B214" s="108" t="str">
        <f>IFERROR(VLOOKUP(Tablo518[[#This Row],[ÜRÜN KODU]],YMKODLARI!$A$1:$K$363,2,0)," ")</f>
        <v>NEŞELİ ÇINGIRAK</v>
      </c>
      <c r="C214" s="99">
        <v>44061</v>
      </c>
      <c r="D214" s="100" t="s">
        <v>37</v>
      </c>
      <c r="E214" s="101"/>
      <c r="F214" s="101"/>
      <c r="G214" s="100">
        <f>IFERROR(VLOOKUP(Tablo518[[#This Row],[ÜRÜN KODU]],YMKODLARI!$A$1:$K$363,3,0)," ")</f>
        <v>2</v>
      </c>
      <c r="H214" s="100">
        <f>IFERROR(VLOOKUP(Tablo518[[#This Row],[ÜRÜN KODU]],YMKODLARI!$A$1:$K$363,4,0)," ")</f>
        <v>38</v>
      </c>
      <c r="I214" s="100">
        <v>511</v>
      </c>
      <c r="J214" s="100" t="str">
        <f>IFERROR(VLOOKUP(Tablo518[[#This Row],[ÜRÜN KODU]],YMKODLARI!$A$1:$K$363,9,0)," ")</f>
        <v>BOYASIZ</v>
      </c>
      <c r="K214" s="100" t="str">
        <f>IFERROR(VLOOKUP(Tablo518[[#This Row],[BOYA KODU]],Tablo14[#All],4,0)," ")</f>
        <v xml:space="preserve"> </v>
      </c>
      <c r="L214" s="100" t="str">
        <f>IFERROR(VLOOKUP(Tablo518[[#This Row],[BOYA KODU]],Tablo14[#All],6,0)," ")</f>
        <v xml:space="preserve"> </v>
      </c>
      <c r="M214" s="100" t="str">
        <f t="shared" si="21"/>
        <v xml:space="preserve"> </v>
      </c>
      <c r="N214" s="100" t="str">
        <f>IFERROR(VLOOKUP(Tablo518[[#This Row],[ÜRÜN KODU]],YMKODLARI!$A$1:$K$363,8,0)," ")</f>
        <v>HM 011</v>
      </c>
      <c r="O214" s="100" t="str">
        <f>IFERROR(VLOOKUP(Tablo518[[#This Row],[HAMMADDE KODU]],Tablo1[#All],3,0)," ")</f>
        <v>KIRMA PC</v>
      </c>
      <c r="P214" s="100" t="str">
        <f>IFERROR(VLOOKUP(Tablo518[[#This Row],[HAMMADDE KODU]],Tablo1[#All],4,0)," ")</f>
        <v>KIRMA</v>
      </c>
      <c r="Q214" s="100">
        <f>IFERROR(VLOOKUP(Tablo518[[#This Row],[ÜRÜN KODU]],YMKODLARI!$A$1:$K$363,5,0)," ")</f>
        <v>30.8</v>
      </c>
      <c r="R214" s="100">
        <f>IFERROR(VLOOKUP(Tablo518[[#This Row],[ÜRÜN KODU]],YMKODLARI!$A$1:$K$363,6,0)," ")</f>
        <v>19</v>
      </c>
      <c r="S214" s="100">
        <f>IFERROR(Tablo518[[#This Row],[YOLLUK HARİÇ BASKI GRAMI]]/Tablo518[[#This Row],[KALIP GÖZ ADEDİ]]," ")</f>
        <v>9.5</v>
      </c>
      <c r="T214" s="100">
        <f t="shared" si="23"/>
        <v>11.8</v>
      </c>
      <c r="U214" s="100">
        <v>13</v>
      </c>
      <c r="V214" s="100">
        <f t="shared" si="22"/>
        <v>22.709</v>
      </c>
      <c r="W214" s="101">
        <f t="shared" si="24"/>
        <v>24</v>
      </c>
      <c r="X214" s="102">
        <f t="shared" si="25"/>
        <v>0</v>
      </c>
      <c r="Y214" s="100">
        <f t="shared" si="26"/>
        <v>5.3938888888888892</v>
      </c>
      <c r="Z214" s="100">
        <f t="shared" si="27"/>
        <v>1022</v>
      </c>
    </row>
    <row r="215" spans="1:26">
      <c r="A215" s="120" t="s">
        <v>158</v>
      </c>
      <c r="B215" s="108" t="str">
        <f>IFERROR(VLOOKUP(Tablo518[[#This Row],[ÜRÜN KODU]],YMKODLARI!$A$1:$K$363,2,0)," ")</f>
        <v>NEŞELİ ÇINGIRAK</v>
      </c>
      <c r="C215" s="99">
        <v>44061</v>
      </c>
      <c r="D215" s="100" t="s">
        <v>37</v>
      </c>
      <c r="E215" s="101"/>
      <c r="F215" s="101"/>
      <c r="G215" s="100">
        <f>IFERROR(VLOOKUP(Tablo518[[#This Row],[ÜRÜN KODU]],YMKODLARI!$A$1:$K$363,3,0)," ")</f>
        <v>2</v>
      </c>
      <c r="H215" s="100">
        <f>IFERROR(VLOOKUP(Tablo518[[#This Row],[ÜRÜN KODU]],YMKODLARI!$A$1:$K$363,4,0)," ")</f>
        <v>38</v>
      </c>
      <c r="I215" s="100">
        <v>511</v>
      </c>
      <c r="J215" s="100" t="str">
        <f>IFERROR(VLOOKUP(Tablo518[[#This Row],[ÜRÜN KODU]],YMKODLARI!$A$1:$K$363,9,0)," ")</f>
        <v>BOYASIZ</v>
      </c>
      <c r="K215" s="100" t="str">
        <f>IFERROR(VLOOKUP(Tablo518[[#This Row],[BOYA KODU]],Tablo14[#All],4,0)," ")</f>
        <v xml:space="preserve"> </v>
      </c>
      <c r="L215" s="100" t="str">
        <f>IFERROR(VLOOKUP(Tablo518[[#This Row],[BOYA KODU]],Tablo14[#All],6,0)," ")</f>
        <v xml:space="preserve"> </v>
      </c>
      <c r="M215" s="100" t="str">
        <f t="shared" si="21"/>
        <v xml:space="preserve"> </v>
      </c>
      <c r="N215" s="100" t="str">
        <f>IFERROR(VLOOKUP(Tablo518[[#This Row],[ÜRÜN KODU]],YMKODLARI!$A$1:$K$363,8,0)," ")</f>
        <v>HM 011</v>
      </c>
      <c r="O215" s="100" t="str">
        <f>IFERROR(VLOOKUP(Tablo518[[#This Row],[HAMMADDE KODU]],Tablo1[#All],3,0)," ")</f>
        <v>KIRMA PC</v>
      </c>
      <c r="P215" s="100" t="str">
        <f>IFERROR(VLOOKUP(Tablo518[[#This Row],[HAMMADDE KODU]],Tablo1[#All],4,0)," ")</f>
        <v>KIRMA</v>
      </c>
      <c r="Q215" s="100">
        <f>IFERROR(VLOOKUP(Tablo518[[#This Row],[ÜRÜN KODU]],YMKODLARI!$A$1:$K$363,5,0)," ")</f>
        <v>17.100000000000001</v>
      </c>
      <c r="R215" s="100">
        <f>IFERROR(VLOOKUP(Tablo518[[#This Row],[ÜRÜN KODU]],YMKODLARI!$A$1:$K$363,6,0)," ")</f>
        <v>17.100000000000001</v>
      </c>
      <c r="S215" s="100">
        <f>IFERROR(Tablo518[[#This Row],[YOLLUK HARİÇ BASKI GRAMI]]/Tablo518[[#This Row],[KALIP GÖZ ADEDİ]]," ")</f>
        <v>8.5500000000000007</v>
      </c>
      <c r="T215" s="100">
        <f t="shared" si="23"/>
        <v>0</v>
      </c>
      <c r="U215" s="100"/>
      <c r="V215" s="100">
        <f t="shared" si="22"/>
        <v>8.7381000000000011</v>
      </c>
      <c r="W215" s="101">
        <f t="shared" si="24"/>
        <v>24</v>
      </c>
      <c r="X215" s="102">
        <f t="shared" si="25"/>
        <v>0</v>
      </c>
      <c r="Y215" s="100">
        <f t="shared" si="26"/>
        <v>5.3938888888888892</v>
      </c>
      <c r="Z215" s="100">
        <f t="shared" si="27"/>
        <v>1022</v>
      </c>
    </row>
    <row r="216" spans="1:26">
      <c r="A216" s="120" t="s">
        <v>159</v>
      </c>
      <c r="B216" s="108" t="str">
        <f>IFERROR(VLOOKUP(Tablo518[[#This Row],[ÜRÜN KODU]],YMKODLARI!$A$1:$K$363,2,0)," ")</f>
        <v>NEŞELİ ÇINGIRAK</v>
      </c>
      <c r="C216" s="99">
        <v>44061</v>
      </c>
      <c r="D216" s="100" t="s">
        <v>37</v>
      </c>
      <c r="E216" s="101"/>
      <c r="F216" s="101"/>
      <c r="G216" s="100">
        <f>IFERROR(VLOOKUP(Tablo518[[#This Row],[ÜRÜN KODU]],YMKODLARI!$A$1:$K$363,3,0)," ")</f>
        <v>2</v>
      </c>
      <c r="H216" s="100">
        <f>IFERROR(VLOOKUP(Tablo518[[#This Row],[ÜRÜN KODU]],YMKODLARI!$A$1:$K$363,4,0)," ")</f>
        <v>38</v>
      </c>
      <c r="I216" s="100">
        <v>511</v>
      </c>
      <c r="J216" s="100" t="str">
        <f>IFERROR(VLOOKUP(Tablo518[[#This Row],[ÜRÜN KODU]],YMKODLARI!$A$1:$K$363,9,0)," ")</f>
        <v>BOYASIZ</v>
      </c>
      <c r="K216" s="100" t="str">
        <f>IFERROR(VLOOKUP(Tablo518[[#This Row],[BOYA KODU]],Tablo14[#All],4,0)," ")</f>
        <v xml:space="preserve"> </v>
      </c>
      <c r="L216" s="100" t="str">
        <f>IFERROR(VLOOKUP(Tablo518[[#This Row],[BOYA KODU]],Tablo14[#All],6,0)," ")</f>
        <v xml:space="preserve"> </v>
      </c>
      <c r="M216" s="100" t="str">
        <f t="shared" si="21"/>
        <v xml:space="preserve"> </v>
      </c>
      <c r="N216" s="100" t="str">
        <f>IFERROR(VLOOKUP(Tablo518[[#This Row],[ÜRÜN KODU]],YMKODLARI!$A$1:$K$363,8,0)," ")</f>
        <v>HM 011</v>
      </c>
      <c r="O216" s="100" t="str">
        <f>IFERROR(VLOOKUP(Tablo518[[#This Row],[HAMMADDE KODU]],Tablo1[#All],3,0)," ")</f>
        <v>KIRMA PC</v>
      </c>
      <c r="P216" s="100" t="str">
        <f>IFERROR(VLOOKUP(Tablo518[[#This Row],[HAMMADDE KODU]],Tablo1[#All],4,0)," ")</f>
        <v>KIRMA</v>
      </c>
      <c r="Q216" s="100">
        <f>IFERROR(VLOOKUP(Tablo518[[#This Row],[ÜRÜN KODU]],YMKODLARI!$A$1:$K$363,5,0)," ")</f>
        <v>20.100000000000001</v>
      </c>
      <c r="R216" s="100">
        <f>IFERROR(VLOOKUP(Tablo518[[#This Row],[ÜRÜN KODU]],YMKODLARI!$A$1:$K$363,6,0)," ")</f>
        <v>20.100000000000001</v>
      </c>
      <c r="S216" s="100">
        <f>IFERROR(Tablo518[[#This Row],[YOLLUK HARİÇ BASKI GRAMI]]/Tablo518[[#This Row],[KALIP GÖZ ADEDİ]]," ")</f>
        <v>10.050000000000001</v>
      </c>
      <c r="T216" s="100">
        <f t="shared" si="23"/>
        <v>0</v>
      </c>
      <c r="U216" s="100"/>
      <c r="V216" s="100">
        <f t="shared" si="22"/>
        <v>10.271100000000001</v>
      </c>
      <c r="W216" s="101">
        <f t="shared" si="24"/>
        <v>24</v>
      </c>
      <c r="X216" s="102">
        <f t="shared" si="25"/>
        <v>0</v>
      </c>
      <c r="Y216" s="100">
        <f t="shared" si="26"/>
        <v>5.3938888888888892</v>
      </c>
      <c r="Z216" s="100">
        <f t="shared" si="27"/>
        <v>1022</v>
      </c>
    </row>
    <row r="217" spans="1:26">
      <c r="A217" s="120" t="s">
        <v>160</v>
      </c>
      <c r="B217" s="108" t="str">
        <f>IFERROR(VLOOKUP(Tablo518[[#This Row],[ÜRÜN KODU]],YMKODLARI!$A$1:$K$363,2,0)," ")</f>
        <v>NEŞELİ ÇINGIRAK</v>
      </c>
      <c r="C217" s="99">
        <v>44061</v>
      </c>
      <c r="D217" s="100" t="s">
        <v>37</v>
      </c>
      <c r="E217" s="101">
        <v>0.41666666666666669</v>
      </c>
      <c r="F217" s="101">
        <v>0.75</v>
      </c>
      <c r="G217" s="100">
        <f>IFERROR(VLOOKUP(Tablo518[[#This Row],[ÜRÜN KODU]],YMKODLARI!$A$1:$K$363,3,0)," ")</f>
        <v>2</v>
      </c>
      <c r="H217" s="100">
        <f>IFERROR(VLOOKUP(Tablo518[[#This Row],[ÜRÜN KODU]],YMKODLARI!$A$1:$K$363,4,0)," ")</f>
        <v>38</v>
      </c>
      <c r="I217" s="100">
        <v>511</v>
      </c>
      <c r="J217" s="100" t="str">
        <f>IFERROR(VLOOKUP(Tablo518[[#This Row],[ÜRÜN KODU]],YMKODLARI!$A$1:$K$363,9,0)," ")</f>
        <v>BOYASIZ</v>
      </c>
      <c r="K217" s="100" t="str">
        <f>IFERROR(VLOOKUP(Tablo518[[#This Row],[BOYA KODU]],Tablo14[#All],4,0)," ")</f>
        <v xml:space="preserve"> </v>
      </c>
      <c r="L217" s="100" t="str">
        <f>IFERROR(VLOOKUP(Tablo518[[#This Row],[BOYA KODU]],Tablo14[#All],6,0)," ")</f>
        <v xml:space="preserve"> </v>
      </c>
      <c r="M217" s="100" t="str">
        <f t="shared" si="21"/>
        <v xml:space="preserve"> </v>
      </c>
      <c r="N217" s="100" t="str">
        <f>IFERROR(VLOOKUP(Tablo518[[#This Row],[ÜRÜN KODU]],YMKODLARI!$A$1:$K$363,8,0)," ")</f>
        <v>HM 011</v>
      </c>
      <c r="O217" s="100" t="str">
        <f>IFERROR(VLOOKUP(Tablo518[[#This Row],[HAMMADDE KODU]],Tablo1[#All],3,0)," ")</f>
        <v>KIRMA PC</v>
      </c>
      <c r="P217" s="100" t="str">
        <f>IFERROR(VLOOKUP(Tablo518[[#This Row],[HAMMADDE KODU]],Tablo1[#All],4,0)," ")</f>
        <v>KIRMA</v>
      </c>
      <c r="Q217" s="100">
        <f>IFERROR(VLOOKUP(Tablo518[[#This Row],[ÜRÜN KODU]],YMKODLARI!$A$1:$K$363,5,0)," ")</f>
        <v>18.7</v>
      </c>
      <c r="R217" s="100">
        <f>IFERROR(VLOOKUP(Tablo518[[#This Row],[ÜRÜN KODU]],YMKODLARI!$A$1:$K$363,6,0)," ")</f>
        <v>18.7</v>
      </c>
      <c r="S217" s="100">
        <f>IFERROR(Tablo518[[#This Row],[YOLLUK HARİÇ BASKI GRAMI]]/Tablo518[[#This Row],[KALIP GÖZ ADEDİ]]," ")</f>
        <v>9.35</v>
      </c>
      <c r="T217" s="100">
        <f t="shared" si="23"/>
        <v>0</v>
      </c>
      <c r="U217" s="100"/>
      <c r="V217" s="100">
        <f t="shared" si="22"/>
        <v>9.5556999999999981</v>
      </c>
      <c r="W217" s="101">
        <f t="shared" si="24"/>
        <v>24.333333333333332</v>
      </c>
      <c r="X217" s="102">
        <f t="shared" si="25"/>
        <v>7.9999999999999716</v>
      </c>
      <c r="Y217" s="100">
        <f t="shared" si="26"/>
        <v>5.3938888888888892</v>
      </c>
      <c r="Z217" s="100">
        <f t="shared" si="27"/>
        <v>1022</v>
      </c>
    </row>
    <row r="218" spans="1:26">
      <c r="A218" s="120" t="s">
        <v>157</v>
      </c>
      <c r="B218" s="108" t="str">
        <f>IFERROR(VLOOKUP(Tablo518[[#This Row],[ÜRÜN KODU]],YMKODLARI!$A$1:$K$363,2,0)," ")</f>
        <v>NEŞELİ ÇINGIRAK</v>
      </c>
      <c r="C218" s="99">
        <v>44062</v>
      </c>
      <c r="D218" s="100" t="s">
        <v>37</v>
      </c>
      <c r="E218" s="101"/>
      <c r="F218" s="101"/>
      <c r="G218" s="100">
        <f>IFERROR(VLOOKUP(Tablo518[[#This Row],[ÜRÜN KODU]],YMKODLARI!$A$1:$K$363,3,0)," ")</f>
        <v>2</v>
      </c>
      <c r="H218" s="100">
        <f>IFERROR(VLOOKUP(Tablo518[[#This Row],[ÜRÜN KODU]],YMKODLARI!$A$1:$K$363,4,0)," ")</f>
        <v>38</v>
      </c>
      <c r="I218" s="100">
        <v>146</v>
      </c>
      <c r="J218" s="100" t="str">
        <f>IFERROR(VLOOKUP(Tablo518[[#This Row],[ÜRÜN KODU]],YMKODLARI!$A$1:$K$363,9,0)," ")</f>
        <v>BOYASIZ</v>
      </c>
      <c r="K218" s="100" t="str">
        <f>IFERROR(VLOOKUP(Tablo518[[#This Row],[BOYA KODU]],Tablo14[#All],4,0)," ")</f>
        <v xml:space="preserve"> </v>
      </c>
      <c r="L218" s="100" t="str">
        <f>IFERROR(VLOOKUP(Tablo518[[#This Row],[BOYA KODU]],Tablo14[#All],6,0)," ")</f>
        <v xml:space="preserve"> </v>
      </c>
      <c r="M218" s="100" t="str">
        <f t="shared" si="21"/>
        <v xml:space="preserve"> </v>
      </c>
      <c r="N218" s="100" t="str">
        <f>IFERROR(VLOOKUP(Tablo518[[#This Row],[ÜRÜN KODU]],YMKODLARI!$A$1:$K$363,8,0)," ")</f>
        <v>HM 011</v>
      </c>
      <c r="O218" s="100" t="str">
        <f>IFERROR(VLOOKUP(Tablo518[[#This Row],[HAMMADDE KODU]],Tablo1[#All],3,0)," ")</f>
        <v>KIRMA PC</v>
      </c>
      <c r="P218" s="100" t="str">
        <f>IFERROR(VLOOKUP(Tablo518[[#This Row],[HAMMADDE KODU]],Tablo1[#All],4,0)," ")</f>
        <v>KIRMA</v>
      </c>
      <c r="Q218" s="100">
        <f>IFERROR(VLOOKUP(Tablo518[[#This Row],[ÜRÜN KODU]],YMKODLARI!$A$1:$K$363,5,0)," ")</f>
        <v>30.8</v>
      </c>
      <c r="R218" s="100">
        <f>IFERROR(VLOOKUP(Tablo518[[#This Row],[ÜRÜN KODU]],YMKODLARI!$A$1:$K$363,6,0)," ")</f>
        <v>19</v>
      </c>
      <c r="S218" s="100">
        <f>IFERROR(Tablo518[[#This Row],[YOLLUK HARİÇ BASKI GRAMI]]/Tablo518[[#This Row],[KALIP GÖZ ADEDİ]]," ")</f>
        <v>9.5</v>
      </c>
      <c r="T218" s="100">
        <f t="shared" si="23"/>
        <v>11.8</v>
      </c>
      <c r="U218" s="100">
        <v>7.4</v>
      </c>
      <c r="V218" s="100">
        <f t="shared" si="22"/>
        <v>10.173999999999999</v>
      </c>
      <c r="W218" s="101">
        <f t="shared" si="24"/>
        <v>24</v>
      </c>
      <c r="X218" s="102">
        <f t="shared" si="25"/>
        <v>0</v>
      </c>
      <c r="Y218" s="100">
        <f t="shared" si="26"/>
        <v>1.5411111111111111</v>
      </c>
      <c r="Z218" s="100">
        <f t="shared" si="27"/>
        <v>292</v>
      </c>
    </row>
    <row r="219" spans="1:26">
      <c r="A219" s="120" t="s">
        <v>158</v>
      </c>
      <c r="B219" s="108" t="str">
        <f>IFERROR(VLOOKUP(Tablo518[[#This Row],[ÜRÜN KODU]],YMKODLARI!$A$1:$K$363,2,0)," ")</f>
        <v>NEŞELİ ÇINGIRAK</v>
      </c>
      <c r="C219" s="99">
        <v>44062</v>
      </c>
      <c r="D219" s="100" t="s">
        <v>37</v>
      </c>
      <c r="E219" s="101"/>
      <c r="F219" s="101"/>
      <c r="G219" s="100">
        <f>IFERROR(VLOOKUP(Tablo518[[#This Row],[ÜRÜN KODU]],YMKODLARI!$A$1:$K$363,3,0)," ")</f>
        <v>2</v>
      </c>
      <c r="H219" s="100">
        <f>IFERROR(VLOOKUP(Tablo518[[#This Row],[ÜRÜN KODU]],YMKODLARI!$A$1:$K$363,4,0)," ")</f>
        <v>38</v>
      </c>
      <c r="I219" s="100">
        <v>146</v>
      </c>
      <c r="J219" s="100" t="str">
        <f>IFERROR(VLOOKUP(Tablo518[[#This Row],[ÜRÜN KODU]],YMKODLARI!$A$1:$K$363,9,0)," ")</f>
        <v>BOYASIZ</v>
      </c>
      <c r="K219" s="100" t="str">
        <f>IFERROR(VLOOKUP(Tablo518[[#This Row],[BOYA KODU]],Tablo14[#All],4,0)," ")</f>
        <v xml:space="preserve"> </v>
      </c>
      <c r="L219" s="100" t="str">
        <f>IFERROR(VLOOKUP(Tablo518[[#This Row],[BOYA KODU]],Tablo14[#All],6,0)," ")</f>
        <v xml:space="preserve"> </v>
      </c>
      <c r="M219" s="100" t="str">
        <f t="shared" si="21"/>
        <v xml:space="preserve"> </v>
      </c>
      <c r="N219" s="100" t="str">
        <f>IFERROR(VLOOKUP(Tablo518[[#This Row],[ÜRÜN KODU]],YMKODLARI!$A$1:$K$363,8,0)," ")</f>
        <v>HM 011</v>
      </c>
      <c r="O219" s="100" t="str">
        <f>IFERROR(VLOOKUP(Tablo518[[#This Row],[HAMMADDE KODU]],Tablo1[#All],3,0)," ")</f>
        <v>KIRMA PC</v>
      </c>
      <c r="P219" s="100" t="str">
        <f>IFERROR(VLOOKUP(Tablo518[[#This Row],[HAMMADDE KODU]],Tablo1[#All],4,0)," ")</f>
        <v>KIRMA</v>
      </c>
      <c r="Q219" s="100">
        <f>IFERROR(VLOOKUP(Tablo518[[#This Row],[ÜRÜN KODU]],YMKODLARI!$A$1:$K$363,5,0)," ")</f>
        <v>17.100000000000001</v>
      </c>
      <c r="R219" s="100">
        <f>IFERROR(VLOOKUP(Tablo518[[#This Row],[ÜRÜN KODU]],YMKODLARI!$A$1:$K$363,6,0)," ")</f>
        <v>17.100000000000001</v>
      </c>
      <c r="S219" s="100">
        <f>IFERROR(Tablo518[[#This Row],[YOLLUK HARİÇ BASKI GRAMI]]/Tablo518[[#This Row],[KALIP GÖZ ADEDİ]]," ")</f>
        <v>8.5500000000000007</v>
      </c>
      <c r="T219" s="100">
        <f t="shared" si="23"/>
        <v>0</v>
      </c>
      <c r="U219" s="100"/>
      <c r="V219" s="100">
        <f t="shared" si="22"/>
        <v>2.4966000000000004</v>
      </c>
      <c r="W219" s="101">
        <f t="shared" si="24"/>
        <v>24</v>
      </c>
      <c r="X219" s="102">
        <f t="shared" si="25"/>
        <v>0</v>
      </c>
      <c r="Y219" s="100">
        <f t="shared" si="26"/>
        <v>1.5411111111111111</v>
      </c>
      <c r="Z219" s="100">
        <f t="shared" si="27"/>
        <v>292</v>
      </c>
    </row>
    <row r="220" spans="1:26">
      <c r="A220" s="120" t="s">
        <v>159</v>
      </c>
      <c r="B220" s="108" t="str">
        <f>IFERROR(VLOOKUP(Tablo518[[#This Row],[ÜRÜN KODU]],YMKODLARI!$A$1:$K$363,2,0)," ")</f>
        <v>NEŞELİ ÇINGIRAK</v>
      </c>
      <c r="C220" s="99">
        <v>44062</v>
      </c>
      <c r="D220" s="100" t="s">
        <v>37</v>
      </c>
      <c r="E220" s="101"/>
      <c r="F220" s="101"/>
      <c r="G220" s="100">
        <f>IFERROR(VLOOKUP(Tablo518[[#This Row],[ÜRÜN KODU]],YMKODLARI!$A$1:$K$363,3,0)," ")</f>
        <v>2</v>
      </c>
      <c r="H220" s="100">
        <f>IFERROR(VLOOKUP(Tablo518[[#This Row],[ÜRÜN KODU]],YMKODLARI!$A$1:$K$363,4,0)," ")</f>
        <v>38</v>
      </c>
      <c r="I220" s="100">
        <v>146</v>
      </c>
      <c r="J220" s="100" t="str">
        <f>IFERROR(VLOOKUP(Tablo518[[#This Row],[ÜRÜN KODU]],YMKODLARI!$A$1:$K$363,9,0)," ")</f>
        <v>BOYASIZ</v>
      </c>
      <c r="K220" s="100" t="str">
        <f>IFERROR(VLOOKUP(Tablo518[[#This Row],[BOYA KODU]],Tablo14[#All],4,0)," ")</f>
        <v xml:space="preserve"> </v>
      </c>
      <c r="L220" s="100" t="str">
        <f>IFERROR(VLOOKUP(Tablo518[[#This Row],[BOYA KODU]],Tablo14[#All],6,0)," ")</f>
        <v xml:space="preserve"> </v>
      </c>
      <c r="M220" s="100" t="str">
        <f t="shared" si="21"/>
        <v xml:space="preserve"> </v>
      </c>
      <c r="N220" s="100" t="str">
        <f>IFERROR(VLOOKUP(Tablo518[[#This Row],[ÜRÜN KODU]],YMKODLARI!$A$1:$K$363,8,0)," ")</f>
        <v>HM 011</v>
      </c>
      <c r="O220" s="100" t="str">
        <f>IFERROR(VLOOKUP(Tablo518[[#This Row],[HAMMADDE KODU]],Tablo1[#All],3,0)," ")</f>
        <v>KIRMA PC</v>
      </c>
      <c r="P220" s="100" t="str">
        <f>IFERROR(VLOOKUP(Tablo518[[#This Row],[HAMMADDE KODU]],Tablo1[#All],4,0)," ")</f>
        <v>KIRMA</v>
      </c>
      <c r="Q220" s="100">
        <f>IFERROR(VLOOKUP(Tablo518[[#This Row],[ÜRÜN KODU]],YMKODLARI!$A$1:$K$363,5,0)," ")</f>
        <v>20.100000000000001</v>
      </c>
      <c r="R220" s="100">
        <f>IFERROR(VLOOKUP(Tablo518[[#This Row],[ÜRÜN KODU]],YMKODLARI!$A$1:$K$363,6,0)," ")</f>
        <v>20.100000000000001</v>
      </c>
      <c r="S220" s="100">
        <f>IFERROR(Tablo518[[#This Row],[YOLLUK HARİÇ BASKI GRAMI]]/Tablo518[[#This Row],[KALIP GÖZ ADEDİ]]," ")</f>
        <v>10.050000000000001</v>
      </c>
      <c r="T220" s="100">
        <f t="shared" si="23"/>
        <v>0</v>
      </c>
      <c r="U220" s="100"/>
      <c r="V220" s="100">
        <f t="shared" si="22"/>
        <v>2.9346000000000005</v>
      </c>
      <c r="W220" s="101">
        <f t="shared" si="24"/>
        <v>24</v>
      </c>
      <c r="X220" s="102">
        <f t="shared" si="25"/>
        <v>0</v>
      </c>
      <c r="Y220" s="100">
        <f t="shared" si="26"/>
        <v>1.5411111111111111</v>
      </c>
      <c r="Z220" s="100">
        <f t="shared" si="27"/>
        <v>292</v>
      </c>
    </row>
    <row r="221" spans="1:26">
      <c r="A221" s="120" t="s">
        <v>160</v>
      </c>
      <c r="B221" s="108" t="str">
        <f>IFERROR(VLOOKUP(Tablo518[[#This Row],[ÜRÜN KODU]],YMKODLARI!$A$1:$K$363,2,0)," ")</f>
        <v>NEŞELİ ÇINGIRAK</v>
      </c>
      <c r="C221" s="99">
        <v>44062</v>
      </c>
      <c r="D221" s="100" t="s">
        <v>37</v>
      </c>
      <c r="E221" s="101">
        <v>0.33333333333333331</v>
      </c>
      <c r="F221" s="101">
        <v>0.41666666666666669</v>
      </c>
      <c r="G221" s="100">
        <f>IFERROR(VLOOKUP(Tablo518[[#This Row],[ÜRÜN KODU]],YMKODLARI!$A$1:$K$363,3,0)," ")</f>
        <v>2</v>
      </c>
      <c r="H221" s="100">
        <f>IFERROR(VLOOKUP(Tablo518[[#This Row],[ÜRÜN KODU]],YMKODLARI!$A$1:$K$363,4,0)," ")</f>
        <v>38</v>
      </c>
      <c r="I221" s="100">
        <v>146</v>
      </c>
      <c r="J221" s="100" t="str">
        <f>IFERROR(VLOOKUP(Tablo518[[#This Row],[ÜRÜN KODU]],YMKODLARI!$A$1:$K$363,9,0)," ")</f>
        <v>BOYASIZ</v>
      </c>
      <c r="K221" s="100" t="str">
        <f>IFERROR(VLOOKUP(Tablo518[[#This Row],[BOYA KODU]],Tablo14[#All],4,0)," ")</f>
        <v xml:space="preserve"> </v>
      </c>
      <c r="L221" s="100" t="str">
        <f>IFERROR(VLOOKUP(Tablo518[[#This Row],[BOYA KODU]],Tablo14[#All],6,0)," ")</f>
        <v xml:space="preserve"> </v>
      </c>
      <c r="M221" s="100" t="str">
        <f t="shared" si="21"/>
        <v xml:space="preserve"> </v>
      </c>
      <c r="N221" s="100" t="str">
        <f>IFERROR(VLOOKUP(Tablo518[[#This Row],[ÜRÜN KODU]],YMKODLARI!$A$1:$K$363,8,0)," ")</f>
        <v>HM 011</v>
      </c>
      <c r="O221" s="100" t="str">
        <f>IFERROR(VLOOKUP(Tablo518[[#This Row],[HAMMADDE KODU]],Tablo1[#All],3,0)," ")</f>
        <v>KIRMA PC</v>
      </c>
      <c r="P221" s="100" t="str">
        <f>IFERROR(VLOOKUP(Tablo518[[#This Row],[HAMMADDE KODU]],Tablo1[#All],4,0)," ")</f>
        <v>KIRMA</v>
      </c>
      <c r="Q221" s="100">
        <f>IFERROR(VLOOKUP(Tablo518[[#This Row],[ÜRÜN KODU]],YMKODLARI!$A$1:$K$363,5,0)," ")</f>
        <v>18.7</v>
      </c>
      <c r="R221" s="100">
        <f>IFERROR(VLOOKUP(Tablo518[[#This Row],[ÜRÜN KODU]],YMKODLARI!$A$1:$K$363,6,0)," ")</f>
        <v>18.7</v>
      </c>
      <c r="S221" s="100">
        <f>IFERROR(Tablo518[[#This Row],[YOLLUK HARİÇ BASKI GRAMI]]/Tablo518[[#This Row],[KALIP GÖZ ADEDİ]]," ")</f>
        <v>9.35</v>
      </c>
      <c r="T221" s="100">
        <f t="shared" si="23"/>
        <v>0</v>
      </c>
      <c r="U221" s="100"/>
      <c r="V221" s="100">
        <f t="shared" si="22"/>
        <v>2.7302</v>
      </c>
      <c r="W221" s="101">
        <f t="shared" si="24"/>
        <v>24.083333333333332</v>
      </c>
      <c r="X221" s="102">
        <f t="shared" si="25"/>
        <v>1.9999999999999716</v>
      </c>
      <c r="Y221" s="100">
        <f t="shared" si="26"/>
        <v>1.5411111111111111</v>
      </c>
      <c r="Z221" s="100">
        <f t="shared" si="27"/>
        <v>292</v>
      </c>
    </row>
    <row r="222" spans="1:26">
      <c r="A222" s="120" t="s">
        <v>145</v>
      </c>
      <c r="B222" s="108" t="str">
        <f>IFERROR(VLOOKUP(Tablo518[[#This Row],[ÜRÜN KODU]],YMKODLARI!$A$1:$K$363,2,0)," ")</f>
        <v>NEŞELİ ÇINGIRAK</v>
      </c>
      <c r="C222" s="99">
        <v>44062</v>
      </c>
      <c r="D222" s="100" t="s">
        <v>37</v>
      </c>
      <c r="E222" s="101"/>
      <c r="F222" s="101"/>
      <c r="G222" s="100">
        <f>IFERROR(VLOOKUP(Tablo518[[#This Row],[ÜRÜN KODU]],YMKODLARI!$A$1:$K$363,3,0)," ")</f>
        <v>2</v>
      </c>
      <c r="H222" s="100">
        <f>IFERROR(VLOOKUP(Tablo518[[#This Row],[ÜRÜN KODU]],YMKODLARI!$A$1:$K$363,4,0)," ")</f>
        <v>38</v>
      </c>
      <c r="I222" s="100">
        <v>563</v>
      </c>
      <c r="J222" s="100" t="str">
        <f>IFERROR(VLOOKUP(Tablo518[[#This Row],[ÜRÜN KODU]],YMKODLARI!$A$1:$K$363,9,0)," ")</f>
        <v>BOYASIZ</v>
      </c>
      <c r="K222" s="100" t="str">
        <f>IFERROR(VLOOKUP(Tablo518[[#This Row],[BOYA KODU]],Tablo14[#All],4,0)," ")</f>
        <v xml:space="preserve"> </v>
      </c>
      <c r="L222" s="100" t="str">
        <f>IFERROR(VLOOKUP(Tablo518[[#This Row],[BOYA KODU]],Tablo14[#All],6,0)," ")</f>
        <v xml:space="preserve"> </v>
      </c>
      <c r="M222" s="100" t="str">
        <f t="shared" si="21"/>
        <v xml:space="preserve"> </v>
      </c>
      <c r="N222" s="100" t="str">
        <f>IFERROR(VLOOKUP(Tablo518[[#This Row],[ÜRÜN KODU]],YMKODLARI!$A$1:$K$363,8,0)," ")</f>
        <v>HM 011</v>
      </c>
      <c r="O222" s="100" t="str">
        <f>IFERROR(VLOOKUP(Tablo518[[#This Row],[HAMMADDE KODU]],Tablo1[#All],3,0)," ")</f>
        <v>KIRMA PC</v>
      </c>
      <c r="P222" s="100" t="str">
        <f>IFERROR(VLOOKUP(Tablo518[[#This Row],[HAMMADDE KODU]],Tablo1[#All],4,0)," ")</f>
        <v>KIRMA</v>
      </c>
      <c r="Q222" s="100">
        <f>IFERROR(VLOOKUP(Tablo518[[#This Row],[ÜRÜN KODU]],YMKODLARI!$A$1:$K$363,5,0)," ")</f>
        <v>30.8</v>
      </c>
      <c r="R222" s="100">
        <f>IFERROR(VLOOKUP(Tablo518[[#This Row],[ÜRÜN KODU]],YMKODLARI!$A$1:$K$363,6,0)," ")</f>
        <v>19</v>
      </c>
      <c r="S222" s="100">
        <f>IFERROR(Tablo518[[#This Row],[YOLLUK HARİÇ BASKI GRAMI]]/Tablo518[[#This Row],[KALIP GÖZ ADEDİ]]," ")</f>
        <v>9.5</v>
      </c>
      <c r="T222" s="100">
        <f t="shared" si="23"/>
        <v>11.8</v>
      </c>
      <c r="U222" s="100"/>
      <c r="V222" s="100">
        <f t="shared" si="22"/>
        <v>10.696999999999999</v>
      </c>
      <c r="W222" s="101">
        <f t="shared" si="24"/>
        <v>24</v>
      </c>
      <c r="X222" s="102">
        <f t="shared" si="25"/>
        <v>0</v>
      </c>
      <c r="Y222" s="100">
        <f t="shared" si="26"/>
        <v>5.9427777777777777</v>
      </c>
      <c r="Z222" s="100">
        <f t="shared" si="27"/>
        <v>1126</v>
      </c>
    </row>
    <row r="223" spans="1:26">
      <c r="A223" s="120" t="s">
        <v>146</v>
      </c>
      <c r="B223" s="108" t="str">
        <f>IFERROR(VLOOKUP(Tablo518[[#This Row],[ÜRÜN KODU]],YMKODLARI!$A$1:$K$363,2,0)," ")</f>
        <v>NEŞELİ ÇINGIRAK</v>
      </c>
      <c r="C223" s="99">
        <v>44062</v>
      </c>
      <c r="D223" s="100" t="s">
        <v>37</v>
      </c>
      <c r="E223" s="101"/>
      <c r="F223" s="101"/>
      <c r="G223" s="100">
        <f>IFERROR(VLOOKUP(Tablo518[[#This Row],[ÜRÜN KODU]],YMKODLARI!$A$1:$K$363,3,0)," ")</f>
        <v>2</v>
      </c>
      <c r="H223" s="100">
        <f>IFERROR(VLOOKUP(Tablo518[[#This Row],[ÜRÜN KODU]],YMKODLARI!$A$1:$K$363,4,0)," ")</f>
        <v>38</v>
      </c>
      <c r="I223" s="100">
        <v>563</v>
      </c>
      <c r="J223" s="100" t="str">
        <f>IFERROR(VLOOKUP(Tablo518[[#This Row],[ÜRÜN KODU]],YMKODLARI!$A$1:$K$363,9,0)," ")</f>
        <v>BOYASIZ</v>
      </c>
      <c r="K223" s="100" t="str">
        <f>IFERROR(VLOOKUP(Tablo518[[#This Row],[BOYA KODU]],Tablo14[#All],4,0)," ")</f>
        <v xml:space="preserve"> </v>
      </c>
      <c r="L223" s="100" t="str">
        <f>IFERROR(VLOOKUP(Tablo518[[#This Row],[BOYA KODU]],Tablo14[#All],6,0)," ")</f>
        <v xml:space="preserve"> </v>
      </c>
      <c r="M223" s="100" t="str">
        <f t="shared" si="21"/>
        <v xml:space="preserve"> </v>
      </c>
      <c r="N223" s="100" t="str">
        <f>IFERROR(VLOOKUP(Tablo518[[#This Row],[ÜRÜN KODU]],YMKODLARI!$A$1:$K$363,8,0)," ")</f>
        <v>HM 011</v>
      </c>
      <c r="O223" s="100" t="str">
        <f>IFERROR(VLOOKUP(Tablo518[[#This Row],[HAMMADDE KODU]],Tablo1[#All],3,0)," ")</f>
        <v>KIRMA PC</v>
      </c>
      <c r="P223" s="100" t="str">
        <f>IFERROR(VLOOKUP(Tablo518[[#This Row],[HAMMADDE KODU]],Tablo1[#All],4,0)," ")</f>
        <v>KIRMA</v>
      </c>
      <c r="Q223" s="100">
        <f>IFERROR(VLOOKUP(Tablo518[[#This Row],[ÜRÜN KODU]],YMKODLARI!$A$1:$K$363,5,0)," ")</f>
        <v>17.100000000000001</v>
      </c>
      <c r="R223" s="100">
        <f>IFERROR(VLOOKUP(Tablo518[[#This Row],[ÜRÜN KODU]],YMKODLARI!$A$1:$K$363,6,0)," ")</f>
        <v>17.100000000000001</v>
      </c>
      <c r="S223" s="100">
        <f>IFERROR(Tablo518[[#This Row],[YOLLUK HARİÇ BASKI GRAMI]]/Tablo518[[#This Row],[KALIP GÖZ ADEDİ]]," ")</f>
        <v>8.5500000000000007</v>
      </c>
      <c r="T223" s="100">
        <f t="shared" si="23"/>
        <v>0</v>
      </c>
      <c r="U223" s="100"/>
      <c r="V223" s="100">
        <f t="shared" si="22"/>
        <v>9.6273000000000017</v>
      </c>
      <c r="W223" s="101">
        <f t="shared" si="24"/>
        <v>24</v>
      </c>
      <c r="X223" s="102">
        <f t="shared" si="25"/>
        <v>0</v>
      </c>
      <c r="Y223" s="100">
        <f t="shared" si="26"/>
        <v>5.9427777777777777</v>
      </c>
      <c r="Z223" s="100">
        <f t="shared" si="27"/>
        <v>1126</v>
      </c>
    </row>
    <row r="224" spans="1:26">
      <c r="A224" s="120" t="s">
        <v>147</v>
      </c>
      <c r="B224" s="108" t="str">
        <f>IFERROR(VLOOKUP(Tablo518[[#This Row],[ÜRÜN KODU]],YMKODLARI!$A$1:$K$363,2,0)," ")</f>
        <v>NEŞELİ ÇINGIRAK</v>
      </c>
      <c r="C224" s="99">
        <v>44062</v>
      </c>
      <c r="D224" s="100" t="s">
        <v>37</v>
      </c>
      <c r="E224" s="101"/>
      <c r="F224" s="101"/>
      <c r="G224" s="100">
        <f>IFERROR(VLOOKUP(Tablo518[[#This Row],[ÜRÜN KODU]],YMKODLARI!$A$1:$K$363,3,0)," ")</f>
        <v>2</v>
      </c>
      <c r="H224" s="100">
        <f>IFERROR(VLOOKUP(Tablo518[[#This Row],[ÜRÜN KODU]],YMKODLARI!$A$1:$K$363,4,0)," ")</f>
        <v>38</v>
      </c>
      <c r="I224" s="100">
        <v>563</v>
      </c>
      <c r="J224" s="100" t="str">
        <f>IFERROR(VLOOKUP(Tablo518[[#This Row],[ÜRÜN KODU]],YMKODLARI!$A$1:$K$363,9,0)," ")</f>
        <v>BOYASIZ</v>
      </c>
      <c r="K224" s="100" t="str">
        <f>IFERROR(VLOOKUP(Tablo518[[#This Row],[BOYA KODU]],Tablo14[#All],4,0)," ")</f>
        <v xml:space="preserve"> </v>
      </c>
      <c r="L224" s="100" t="str">
        <f>IFERROR(VLOOKUP(Tablo518[[#This Row],[BOYA KODU]],Tablo14[#All],6,0)," ")</f>
        <v xml:space="preserve"> </v>
      </c>
      <c r="M224" s="100" t="str">
        <f t="shared" si="21"/>
        <v xml:space="preserve"> </v>
      </c>
      <c r="N224" s="100" t="str">
        <f>IFERROR(VLOOKUP(Tablo518[[#This Row],[ÜRÜN KODU]],YMKODLARI!$A$1:$K$363,8,0)," ")</f>
        <v>HM 011</v>
      </c>
      <c r="O224" s="100" t="str">
        <f>IFERROR(VLOOKUP(Tablo518[[#This Row],[HAMMADDE KODU]],Tablo1[#All],3,0)," ")</f>
        <v>KIRMA PC</v>
      </c>
      <c r="P224" s="100" t="str">
        <f>IFERROR(VLOOKUP(Tablo518[[#This Row],[HAMMADDE KODU]],Tablo1[#All],4,0)," ")</f>
        <v>KIRMA</v>
      </c>
      <c r="Q224" s="100">
        <f>IFERROR(VLOOKUP(Tablo518[[#This Row],[ÜRÜN KODU]],YMKODLARI!$A$1:$K$363,5,0)," ")</f>
        <v>20.100000000000001</v>
      </c>
      <c r="R224" s="100">
        <f>IFERROR(VLOOKUP(Tablo518[[#This Row],[ÜRÜN KODU]],YMKODLARI!$A$1:$K$363,6,0)," ")</f>
        <v>20.100000000000001</v>
      </c>
      <c r="S224" s="100">
        <f>IFERROR(Tablo518[[#This Row],[YOLLUK HARİÇ BASKI GRAMI]]/Tablo518[[#This Row],[KALIP GÖZ ADEDİ]]," ")</f>
        <v>10.050000000000001</v>
      </c>
      <c r="T224" s="100">
        <f t="shared" si="23"/>
        <v>0</v>
      </c>
      <c r="U224" s="100"/>
      <c r="V224" s="100">
        <f t="shared" si="22"/>
        <v>11.316300000000002</v>
      </c>
      <c r="W224" s="101">
        <f t="shared" si="24"/>
        <v>24</v>
      </c>
      <c r="X224" s="102">
        <f t="shared" si="25"/>
        <v>0</v>
      </c>
      <c r="Y224" s="100">
        <f t="shared" si="26"/>
        <v>5.9427777777777777</v>
      </c>
      <c r="Z224" s="100">
        <f t="shared" si="27"/>
        <v>1126</v>
      </c>
    </row>
    <row r="225" spans="1:26">
      <c r="A225" s="120" t="s">
        <v>148</v>
      </c>
      <c r="B225" s="108" t="str">
        <f>IFERROR(VLOOKUP(Tablo518[[#This Row],[ÜRÜN KODU]],YMKODLARI!$A$1:$K$363,2,0)," ")</f>
        <v>NEŞELİ ÇINGIRAK</v>
      </c>
      <c r="C225" s="99">
        <v>44062</v>
      </c>
      <c r="D225" s="100" t="s">
        <v>37</v>
      </c>
      <c r="E225" s="101">
        <v>0.41666666666666669</v>
      </c>
      <c r="F225" s="101">
        <v>0.70138888888888884</v>
      </c>
      <c r="G225" s="100">
        <f>IFERROR(VLOOKUP(Tablo518[[#This Row],[ÜRÜN KODU]],YMKODLARI!$A$1:$K$363,3,0)," ")</f>
        <v>2</v>
      </c>
      <c r="H225" s="100">
        <f>IFERROR(VLOOKUP(Tablo518[[#This Row],[ÜRÜN KODU]],YMKODLARI!$A$1:$K$363,4,0)," ")</f>
        <v>38</v>
      </c>
      <c r="I225" s="100">
        <v>563</v>
      </c>
      <c r="J225" s="100" t="str">
        <f>IFERROR(VLOOKUP(Tablo518[[#This Row],[ÜRÜN KODU]],YMKODLARI!$A$1:$K$363,9,0)," ")</f>
        <v>BOYASIZ</v>
      </c>
      <c r="K225" s="100" t="str">
        <f>IFERROR(VLOOKUP(Tablo518[[#This Row],[BOYA KODU]],Tablo14[#All],4,0)," ")</f>
        <v xml:space="preserve"> </v>
      </c>
      <c r="L225" s="100" t="str">
        <f>IFERROR(VLOOKUP(Tablo518[[#This Row],[BOYA KODU]],Tablo14[#All],6,0)," ")</f>
        <v xml:space="preserve"> </v>
      </c>
      <c r="M225" s="100" t="str">
        <f t="shared" si="21"/>
        <v xml:space="preserve"> </v>
      </c>
      <c r="N225" s="100" t="str">
        <f>IFERROR(VLOOKUP(Tablo518[[#This Row],[ÜRÜN KODU]],YMKODLARI!$A$1:$K$363,8,0)," ")</f>
        <v>HM 011</v>
      </c>
      <c r="O225" s="100" t="str">
        <f>IFERROR(VLOOKUP(Tablo518[[#This Row],[HAMMADDE KODU]],Tablo1[#All],3,0)," ")</f>
        <v>KIRMA PC</v>
      </c>
      <c r="P225" s="100" t="str">
        <f>IFERROR(VLOOKUP(Tablo518[[#This Row],[HAMMADDE KODU]],Tablo1[#All],4,0)," ")</f>
        <v>KIRMA</v>
      </c>
      <c r="Q225" s="100">
        <f>IFERROR(VLOOKUP(Tablo518[[#This Row],[ÜRÜN KODU]],YMKODLARI!$A$1:$K$363,5,0)," ")</f>
        <v>18.7</v>
      </c>
      <c r="R225" s="100">
        <f>IFERROR(VLOOKUP(Tablo518[[#This Row],[ÜRÜN KODU]],YMKODLARI!$A$1:$K$363,6,0)," ")</f>
        <v>18.7</v>
      </c>
      <c r="S225" s="100">
        <f>IFERROR(Tablo518[[#This Row],[YOLLUK HARİÇ BASKI GRAMI]]/Tablo518[[#This Row],[KALIP GÖZ ADEDİ]]," ")</f>
        <v>9.35</v>
      </c>
      <c r="T225" s="100">
        <f t="shared" si="23"/>
        <v>0</v>
      </c>
      <c r="U225" s="100"/>
      <c r="V225" s="100">
        <f t="shared" si="22"/>
        <v>10.5281</v>
      </c>
      <c r="W225" s="101">
        <f t="shared" si="24"/>
        <v>24.284722222222221</v>
      </c>
      <c r="X225" s="102">
        <f t="shared" si="25"/>
        <v>6.8333333333333144</v>
      </c>
      <c r="Y225" s="100">
        <f t="shared" si="26"/>
        <v>5.9427777777777777</v>
      </c>
      <c r="Z225" s="100">
        <f t="shared" si="27"/>
        <v>1126</v>
      </c>
    </row>
    <row r="226" spans="1:26">
      <c r="A226" s="120" t="s">
        <v>157</v>
      </c>
      <c r="B226" s="108" t="str">
        <f>IFERROR(VLOOKUP(Tablo518[[#This Row],[ÜRÜN KODU]],YMKODLARI!$A$1:$K$363,2,0)," ")</f>
        <v>NEŞELİ ÇINGIRAK</v>
      </c>
      <c r="C226" s="99">
        <v>44062</v>
      </c>
      <c r="D226" s="100" t="s">
        <v>37</v>
      </c>
      <c r="E226" s="101"/>
      <c r="F226" s="101"/>
      <c r="G226" s="100">
        <f>IFERROR(VLOOKUP(Tablo518[[#This Row],[ÜRÜN KODU]],YMKODLARI!$A$1:$K$363,3,0)," ")</f>
        <v>2</v>
      </c>
      <c r="H226" s="100">
        <f>IFERROR(VLOOKUP(Tablo518[[#This Row],[ÜRÜN KODU]],YMKODLARI!$A$1:$K$363,4,0)," ")</f>
        <v>38</v>
      </c>
      <c r="I226" s="100">
        <v>110</v>
      </c>
      <c r="J226" s="100" t="str">
        <f>IFERROR(VLOOKUP(Tablo518[[#This Row],[ÜRÜN KODU]],YMKODLARI!$A$1:$K$363,9,0)," ")</f>
        <v>BOYASIZ</v>
      </c>
      <c r="K226" s="100" t="str">
        <f>IFERROR(VLOOKUP(Tablo518[[#This Row],[BOYA KODU]],Tablo14[#All],4,0)," ")</f>
        <v xml:space="preserve"> </v>
      </c>
      <c r="L226" s="100" t="str">
        <f>IFERROR(VLOOKUP(Tablo518[[#This Row],[BOYA KODU]],Tablo14[#All],6,0)," ")</f>
        <v xml:space="preserve"> </v>
      </c>
      <c r="M226" s="100" t="str">
        <f t="shared" si="21"/>
        <v xml:space="preserve"> </v>
      </c>
      <c r="N226" s="100" t="str">
        <f>IFERROR(VLOOKUP(Tablo518[[#This Row],[ÜRÜN KODU]],YMKODLARI!$A$1:$K$363,8,0)," ")</f>
        <v>HM 011</v>
      </c>
      <c r="O226" s="100" t="str">
        <f>IFERROR(VLOOKUP(Tablo518[[#This Row],[HAMMADDE KODU]],Tablo1[#All],3,0)," ")</f>
        <v>KIRMA PC</v>
      </c>
      <c r="P226" s="100" t="str">
        <f>IFERROR(VLOOKUP(Tablo518[[#This Row],[HAMMADDE KODU]],Tablo1[#All],4,0)," ")</f>
        <v>KIRMA</v>
      </c>
      <c r="Q226" s="100">
        <f>IFERROR(VLOOKUP(Tablo518[[#This Row],[ÜRÜN KODU]],YMKODLARI!$A$1:$K$363,5,0)," ")</f>
        <v>30.8</v>
      </c>
      <c r="R226" s="100">
        <f>IFERROR(VLOOKUP(Tablo518[[#This Row],[ÜRÜN KODU]],YMKODLARI!$A$1:$K$363,6,0)," ")</f>
        <v>19</v>
      </c>
      <c r="S226" s="100">
        <f>IFERROR(Tablo518[[#This Row],[YOLLUK HARİÇ BASKI GRAMI]]/Tablo518[[#This Row],[KALIP GÖZ ADEDİ]]," ")</f>
        <v>9.5</v>
      </c>
      <c r="T226" s="100">
        <f t="shared" si="23"/>
        <v>11.8</v>
      </c>
      <c r="U226" s="100"/>
      <c r="V226" s="100">
        <f t="shared" si="22"/>
        <v>2.09</v>
      </c>
      <c r="W226" s="101">
        <f t="shared" si="24"/>
        <v>24</v>
      </c>
      <c r="X226" s="102">
        <f t="shared" si="25"/>
        <v>0</v>
      </c>
      <c r="Y226" s="100">
        <f t="shared" si="26"/>
        <v>1.1611111111111112</v>
      </c>
      <c r="Z226" s="100">
        <f t="shared" si="27"/>
        <v>220</v>
      </c>
    </row>
    <row r="227" spans="1:26">
      <c r="A227" s="120" t="s">
        <v>158</v>
      </c>
      <c r="B227" s="108" t="str">
        <f>IFERROR(VLOOKUP(Tablo518[[#This Row],[ÜRÜN KODU]],YMKODLARI!$A$1:$K$363,2,0)," ")</f>
        <v>NEŞELİ ÇINGIRAK</v>
      </c>
      <c r="C227" s="99">
        <v>44062</v>
      </c>
      <c r="D227" s="100" t="s">
        <v>37</v>
      </c>
      <c r="E227" s="101"/>
      <c r="F227" s="101"/>
      <c r="G227" s="100">
        <f>IFERROR(VLOOKUP(Tablo518[[#This Row],[ÜRÜN KODU]],YMKODLARI!$A$1:$K$363,3,0)," ")</f>
        <v>2</v>
      </c>
      <c r="H227" s="100">
        <f>IFERROR(VLOOKUP(Tablo518[[#This Row],[ÜRÜN KODU]],YMKODLARI!$A$1:$K$363,4,0)," ")</f>
        <v>38</v>
      </c>
      <c r="I227" s="100">
        <v>110</v>
      </c>
      <c r="J227" s="100" t="str">
        <f>IFERROR(VLOOKUP(Tablo518[[#This Row],[ÜRÜN KODU]],YMKODLARI!$A$1:$K$363,9,0)," ")</f>
        <v>BOYASIZ</v>
      </c>
      <c r="K227" s="100" t="str">
        <f>IFERROR(VLOOKUP(Tablo518[[#This Row],[BOYA KODU]],Tablo14[#All],4,0)," ")</f>
        <v xml:space="preserve"> </v>
      </c>
      <c r="L227" s="100" t="str">
        <f>IFERROR(VLOOKUP(Tablo518[[#This Row],[BOYA KODU]],Tablo14[#All],6,0)," ")</f>
        <v xml:space="preserve"> </v>
      </c>
      <c r="M227" s="100" t="str">
        <f t="shared" si="21"/>
        <v xml:space="preserve"> </v>
      </c>
      <c r="N227" s="100" t="str">
        <f>IFERROR(VLOOKUP(Tablo518[[#This Row],[ÜRÜN KODU]],YMKODLARI!$A$1:$K$363,8,0)," ")</f>
        <v>HM 011</v>
      </c>
      <c r="O227" s="100" t="str">
        <f>IFERROR(VLOOKUP(Tablo518[[#This Row],[HAMMADDE KODU]],Tablo1[#All],3,0)," ")</f>
        <v>KIRMA PC</v>
      </c>
      <c r="P227" s="100" t="str">
        <f>IFERROR(VLOOKUP(Tablo518[[#This Row],[HAMMADDE KODU]],Tablo1[#All],4,0)," ")</f>
        <v>KIRMA</v>
      </c>
      <c r="Q227" s="100">
        <f>IFERROR(VLOOKUP(Tablo518[[#This Row],[ÜRÜN KODU]],YMKODLARI!$A$1:$K$363,5,0)," ")</f>
        <v>17.100000000000001</v>
      </c>
      <c r="R227" s="100">
        <f>IFERROR(VLOOKUP(Tablo518[[#This Row],[ÜRÜN KODU]],YMKODLARI!$A$1:$K$363,6,0)," ")</f>
        <v>17.100000000000001</v>
      </c>
      <c r="S227" s="100">
        <f>IFERROR(Tablo518[[#This Row],[YOLLUK HARİÇ BASKI GRAMI]]/Tablo518[[#This Row],[KALIP GÖZ ADEDİ]]," ")</f>
        <v>8.5500000000000007</v>
      </c>
      <c r="T227" s="100">
        <f t="shared" si="23"/>
        <v>0</v>
      </c>
      <c r="U227" s="100"/>
      <c r="V227" s="100">
        <f t="shared" si="22"/>
        <v>1.8810000000000002</v>
      </c>
      <c r="W227" s="101">
        <f t="shared" si="24"/>
        <v>24</v>
      </c>
      <c r="X227" s="102">
        <f t="shared" si="25"/>
        <v>0</v>
      </c>
      <c r="Y227" s="100">
        <f t="shared" si="26"/>
        <v>1.1611111111111112</v>
      </c>
      <c r="Z227" s="100">
        <f t="shared" si="27"/>
        <v>220</v>
      </c>
    </row>
    <row r="228" spans="1:26">
      <c r="A228" s="120" t="s">
        <v>159</v>
      </c>
      <c r="B228" s="108" t="str">
        <f>IFERROR(VLOOKUP(Tablo518[[#This Row],[ÜRÜN KODU]],YMKODLARI!$A$1:$K$363,2,0)," ")</f>
        <v>NEŞELİ ÇINGIRAK</v>
      </c>
      <c r="C228" s="99">
        <v>44062</v>
      </c>
      <c r="D228" s="100" t="s">
        <v>37</v>
      </c>
      <c r="E228" s="101"/>
      <c r="F228" s="101"/>
      <c r="G228" s="100">
        <f>IFERROR(VLOOKUP(Tablo518[[#This Row],[ÜRÜN KODU]],YMKODLARI!$A$1:$K$363,3,0)," ")</f>
        <v>2</v>
      </c>
      <c r="H228" s="100">
        <f>IFERROR(VLOOKUP(Tablo518[[#This Row],[ÜRÜN KODU]],YMKODLARI!$A$1:$K$363,4,0)," ")</f>
        <v>38</v>
      </c>
      <c r="I228" s="100">
        <v>110</v>
      </c>
      <c r="J228" s="100" t="str">
        <f>IFERROR(VLOOKUP(Tablo518[[#This Row],[ÜRÜN KODU]],YMKODLARI!$A$1:$K$363,9,0)," ")</f>
        <v>BOYASIZ</v>
      </c>
      <c r="K228" s="100" t="str">
        <f>IFERROR(VLOOKUP(Tablo518[[#This Row],[BOYA KODU]],Tablo14[#All],4,0)," ")</f>
        <v xml:space="preserve"> </v>
      </c>
      <c r="L228" s="100" t="str">
        <f>IFERROR(VLOOKUP(Tablo518[[#This Row],[BOYA KODU]],Tablo14[#All],6,0)," ")</f>
        <v xml:space="preserve"> </v>
      </c>
      <c r="M228" s="100" t="str">
        <f t="shared" si="21"/>
        <v xml:space="preserve"> </v>
      </c>
      <c r="N228" s="100" t="str">
        <f>IFERROR(VLOOKUP(Tablo518[[#This Row],[ÜRÜN KODU]],YMKODLARI!$A$1:$K$363,8,0)," ")</f>
        <v>HM 011</v>
      </c>
      <c r="O228" s="100" t="str">
        <f>IFERROR(VLOOKUP(Tablo518[[#This Row],[HAMMADDE KODU]],Tablo1[#All],3,0)," ")</f>
        <v>KIRMA PC</v>
      </c>
      <c r="P228" s="100" t="str">
        <f>IFERROR(VLOOKUP(Tablo518[[#This Row],[HAMMADDE KODU]],Tablo1[#All],4,0)," ")</f>
        <v>KIRMA</v>
      </c>
      <c r="Q228" s="100">
        <f>IFERROR(VLOOKUP(Tablo518[[#This Row],[ÜRÜN KODU]],YMKODLARI!$A$1:$K$363,5,0)," ")</f>
        <v>20.100000000000001</v>
      </c>
      <c r="R228" s="100">
        <f>IFERROR(VLOOKUP(Tablo518[[#This Row],[ÜRÜN KODU]],YMKODLARI!$A$1:$K$363,6,0)," ")</f>
        <v>20.100000000000001</v>
      </c>
      <c r="S228" s="100">
        <f>IFERROR(Tablo518[[#This Row],[YOLLUK HARİÇ BASKI GRAMI]]/Tablo518[[#This Row],[KALIP GÖZ ADEDİ]]," ")</f>
        <v>10.050000000000001</v>
      </c>
      <c r="T228" s="100">
        <f t="shared" si="23"/>
        <v>0</v>
      </c>
      <c r="U228" s="100"/>
      <c r="V228" s="100">
        <f t="shared" si="22"/>
        <v>2.2109999999999999</v>
      </c>
      <c r="W228" s="101">
        <f t="shared" si="24"/>
        <v>24</v>
      </c>
      <c r="X228" s="102">
        <f t="shared" si="25"/>
        <v>0</v>
      </c>
      <c r="Y228" s="100">
        <f t="shared" si="26"/>
        <v>1.1611111111111112</v>
      </c>
      <c r="Z228" s="100">
        <f t="shared" si="27"/>
        <v>220</v>
      </c>
    </row>
    <row r="229" spans="1:26">
      <c r="A229" s="120" t="s">
        <v>160</v>
      </c>
      <c r="B229" s="108" t="str">
        <f>IFERROR(VLOOKUP(Tablo518[[#This Row],[ÜRÜN KODU]],YMKODLARI!$A$1:$K$363,2,0)," ")</f>
        <v>NEŞELİ ÇINGIRAK</v>
      </c>
      <c r="C229" s="99">
        <v>44062</v>
      </c>
      <c r="D229" s="100" t="s">
        <v>37</v>
      </c>
      <c r="E229" s="101">
        <v>0.70138888888888884</v>
      </c>
      <c r="F229" s="101">
        <v>0.75</v>
      </c>
      <c r="G229" s="100">
        <f>IFERROR(VLOOKUP(Tablo518[[#This Row],[ÜRÜN KODU]],YMKODLARI!$A$1:$K$363,3,0)," ")</f>
        <v>2</v>
      </c>
      <c r="H229" s="100">
        <f>IFERROR(VLOOKUP(Tablo518[[#This Row],[ÜRÜN KODU]],YMKODLARI!$A$1:$K$363,4,0)," ")</f>
        <v>38</v>
      </c>
      <c r="I229" s="100">
        <v>110</v>
      </c>
      <c r="J229" s="100" t="str">
        <f>IFERROR(VLOOKUP(Tablo518[[#This Row],[ÜRÜN KODU]],YMKODLARI!$A$1:$K$363,9,0)," ")</f>
        <v>BOYASIZ</v>
      </c>
      <c r="K229" s="100" t="str">
        <f>IFERROR(VLOOKUP(Tablo518[[#This Row],[BOYA KODU]],Tablo14[#All],4,0)," ")</f>
        <v xml:space="preserve"> </v>
      </c>
      <c r="L229" s="100" t="str">
        <f>IFERROR(VLOOKUP(Tablo518[[#This Row],[BOYA KODU]],Tablo14[#All],6,0)," ")</f>
        <v xml:space="preserve"> </v>
      </c>
      <c r="M229" s="100" t="str">
        <f t="shared" si="21"/>
        <v xml:space="preserve"> </v>
      </c>
      <c r="N229" s="100" t="str">
        <f>IFERROR(VLOOKUP(Tablo518[[#This Row],[ÜRÜN KODU]],YMKODLARI!$A$1:$K$363,8,0)," ")</f>
        <v>HM 011</v>
      </c>
      <c r="O229" s="100" t="str">
        <f>IFERROR(VLOOKUP(Tablo518[[#This Row],[HAMMADDE KODU]],Tablo1[#All],3,0)," ")</f>
        <v>KIRMA PC</v>
      </c>
      <c r="P229" s="100" t="str">
        <f>IFERROR(VLOOKUP(Tablo518[[#This Row],[HAMMADDE KODU]],Tablo1[#All],4,0)," ")</f>
        <v>KIRMA</v>
      </c>
      <c r="Q229" s="100">
        <f>IFERROR(VLOOKUP(Tablo518[[#This Row],[ÜRÜN KODU]],YMKODLARI!$A$1:$K$363,5,0)," ")</f>
        <v>18.7</v>
      </c>
      <c r="R229" s="100">
        <f>IFERROR(VLOOKUP(Tablo518[[#This Row],[ÜRÜN KODU]],YMKODLARI!$A$1:$K$363,6,0)," ")</f>
        <v>18.7</v>
      </c>
      <c r="S229" s="100">
        <f>IFERROR(Tablo518[[#This Row],[YOLLUK HARİÇ BASKI GRAMI]]/Tablo518[[#This Row],[KALIP GÖZ ADEDİ]]," ")</f>
        <v>9.35</v>
      </c>
      <c r="T229" s="100">
        <f t="shared" si="23"/>
        <v>0</v>
      </c>
      <c r="U229" s="100"/>
      <c r="V229" s="100">
        <f t="shared" si="22"/>
        <v>2.0569999999999999</v>
      </c>
      <c r="W229" s="101">
        <f t="shared" si="24"/>
        <v>24.048611111111111</v>
      </c>
      <c r="X229" s="102">
        <f t="shared" si="25"/>
        <v>1.1666666666666572</v>
      </c>
      <c r="Y229" s="100">
        <f t="shared" si="26"/>
        <v>1.1611111111111112</v>
      </c>
      <c r="Z229" s="100">
        <f t="shared" si="27"/>
        <v>220</v>
      </c>
    </row>
    <row r="230" spans="1:26">
      <c r="A230" s="120" t="s">
        <v>157</v>
      </c>
      <c r="B230" s="108" t="str">
        <f>IFERROR(VLOOKUP(Tablo518[[#This Row],[ÜRÜN KODU]],YMKODLARI!$A$1:$K$363,2,0)," ")</f>
        <v>NEŞELİ ÇINGIRAK</v>
      </c>
      <c r="C230" s="99">
        <v>44063</v>
      </c>
      <c r="D230" s="100" t="s">
        <v>37</v>
      </c>
      <c r="E230" s="101"/>
      <c r="F230" s="101"/>
      <c r="G230" s="100">
        <f>IFERROR(VLOOKUP(Tablo518[[#This Row],[ÜRÜN KODU]],YMKODLARI!$A$1:$K$363,3,0)," ")</f>
        <v>2</v>
      </c>
      <c r="H230" s="100">
        <f>IFERROR(VLOOKUP(Tablo518[[#This Row],[ÜRÜN KODU]],YMKODLARI!$A$1:$K$363,4,0)," ")</f>
        <v>38</v>
      </c>
      <c r="I230" s="100">
        <v>653</v>
      </c>
      <c r="J230" s="100" t="str">
        <f>IFERROR(VLOOKUP(Tablo518[[#This Row],[ÜRÜN KODU]],YMKODLARI!$A$1:$K$363,9,0)," ")</f>
        <v>BOYASIZ</v>
      </c>
      <c r="K230" s="100" t="str">
        <f>IFERROR(VLOOKUP(Tablo518[[#This Row],[BOYA KODU]],Tablo14[#All],4,0)," ")</f>
        <v xml:space="preserve"> </v>
      </c>
      <c r="L230" s="100" t="str">
        <f>IFERROR(VLOOKUP(Tablo518[[#This Row],[BOYA KODU]],Tablo14[#All],6,0)," ")</f>
        <v xml:space="preserve"> </v>
      </c>
      <c r="M230" s="100" t="str">
        <f t="shared" si="21"/>
        <v xml:space="preserve"> </v>
      </c>
      <c r="N230" s="100" t="str">
        <f>IFERROR(VLOOKUP(Tablo518[[#This Row],[ÜRÜN KODU]],YMKODLARI!$A$1:$K$363,8,0)," ")</f>
        <v>HM 011</v>
      </c>
      <c r="O230" s="100" t="str">
        <f>IFERROR(VLOOKUP(Tablo518[[#This Row],[HAMMADDE KODU]],Tablo1[#All],3,0)," ")</f>
        <v>KIRMA PC</v>
      </c>
      <c r="P230" s="100" t="str">
        <f>IFERROR(VLOOKUP(Tablo518[[#This Row],[HAMMADDE KODU]],Tablo1[#All],4,0)," ")</f>
        <v>KIRMA</v>
      </c>
      <c r="Q230" s="100">
        <f>IFERROR(VLOOKUP(Tablo518[[#This Row],[ÜRÜN KODU]],YMKODLARI!$A$1:$K$363,5,0)," ")</f>
        <v>30.8</v>
      </c>
      <c r="R230" s="100">
        <f>IFERROR(VLOOKUP(Tablo518[[#This Row],[ÜRÜN KODU]],YMKODLARI!$A$1:$K$363,6,0)," ")</f>
        <v>19</v>
      </c>
      <c r="S230" s="100">
        <f>IFERROR(Tablo518[[#This Row],[YOLLUK HARİÇ BASKI GRAMI]]/Tablo518[[#This Row],[KALIP GÖZ ADEDİ]]," ")</f>
        <v>9.5</v>
      </c>
      <c r="T230" s="100">
        <f t="shared" si="23"/>
        <v>11.8</v>
      </c>
      <c r="U230" s="100"/>
      <c r="V230" s="100">
        <f t="shared" si="22"/>
        <v>12.407</v>
      </c>
      <c r="W230" s="101">
        <f t="shared" si="24"/>
        <v>24</v>
      </c>
      <c r="X230" s="102">
        <f t="shared" si="25"/>
        <v>0</v>
      </c>
      <c r="Y230" s="100">
        <f t="shared" si="26"/>
        <v>6.8927777777777779</v>
      </c>
      <c r="Z230" s="100">
        <f t="shared" si="27"/>
        <v>1306</v>
      </c>
    </row>
    <row r="231" spans="1:26">
      <c r="A231" s="120" t="s">
        <v>158</v>
      </c>
      <c r="B231" s="108" t="str">
        <f>IFERROR(VLOOKUP(Tablo518[[#This Row],[ÜRÜN KODU]],YMKODLARI!$A$1:$K$363,2,0)," ")</f>
        <v>NEŞELİ ÇINGIRAK</v>
      </c>
      <c r="C231" s="99">
        <v>44063</v>
      </c>
      <c r="D231" s="100" t="s">
        <v>37</v>
      </c>
      <c r="E231" s="101"/>
      <c r="F231" s="101"/>
      <c r="G231" s="100">
        <f>IFERROR(VLOOKUP(Tablo518[[#This Row],[ÜRÜN KODU]],YMKODLARI!$A$1:$K$363,3,0)," ")</f>
        <v>2</v>
      </c>
      <c r="H231" s="100">
        <f>IFERROR(VLOOKUP(Tablo518[[#This Row],[ÜRÜN KODU]],YMKODLARI!$A$1:$K$363,4,0)," ")</f>
        <v>38</v>
      </c>
      <c r="I231" s="100">
        <v>653</v>
      </c>
      <c r="J231" s="100" t="str">
        <f>IFERROR(VLOOKUP(Tablo518[[#This Row],[ÜRÜN KODU]],YMKODLARI!$A$1:$K$363,9,0)," ")</f>
        <v>BOYASIZ</v>
      </c>
      <c r="K231" s="100" t="str">
        <f>IFERROR(VLOOKUP(Tablo518[[#This Row],[BOYA KODU]],Tablo14[#All],4,0)," ")</f>
        <v xml:space="preserve"> </v>
      </c>
      <c r="L231" s="100" t="str">
        <f>IFERROR(VLOOKUP(Tablo518[[#This Row],[BOYA KODU]],Tablo14[#All],6,0)," ")</f>
        <v xml:space="preserve"> </v>
      </c>
      <c r="M231" s="100" t="str">
        <f t="shared" si="21"/>
        <v xml:space="preserve"> </v>
      </c>
      <c r="N231" s="100" t="str">
        <f>IFERROR(VLOOKUP(Tablo518[[#This Row],[ÜRÜN KODU]],YMKODLARI!$A$1:$K$363,8,0)," ")</f>
        <v>HM 011</v>
      </c>
      <c r="O231" s="100" t="str">
        <f>IFERROR(VLOOKUP(Tablo518[[#This Row],[HAMMADDE KODU]],Tablo1[#All],3,0)," ")</f>
        <v>KIRMA PC</v>
      </c>
      <c r="P231" s="100" t="str">
        <f>IFERROR(VLOOKUP(Tablo518[[#This Row],[HAMMADDE KODU]],Tablo1[#All],4,0)," ")</f>
        <v>KIRMA</v>
      </c>
      <c r="Q231" s="100">
        <f>IFERROR(VLOOKUP(Tablo518[[#This Row],[ÜRÜN KODU]],YMKODLARI!$A$1:$K$363,5,0)," ")</f>
        <v>17.100000000000001</v>
      </c>
      <c r="R231" s="100">
        <f>IFERROR(VLOOKUP(Tablo518[[#This Row],[ÜRÜN KODU]],YMKODLARI!$A$1:$K$363,6,0)," ")</f>
        <v>17.100000000000001</v>
      </c>
      <c r="S231" s="100">
        <f>IFERROR(Tablo518[[#This Row],[YOLLUK HARİÇ BASKI GRAMI]]/Tablo518[[#This Row],[KALIP GÖZ ADEDİ]]," ")</f>
        <v>8.5500000000000007</v>
      </c>
      <c r="T231" s="100">
        <f t="shared" si="23"/>
        <v>0</v>
      </c>
      <c r="U231" s="100"/>
      <c r="V231" s="100">
        <f t="shared" si="22"/>
        <v>11.166300000000001</v>
      </c>
      <c r="W231" s="101">
        <f t="shared" si="24"/>
        <v>24</v>
      </c>
      <c r="X231" s="102">
        <f t="shared" si="25"/>
        <v>0</v>
      </c>
      <c r="Y231" s="100">
        <f t="shared" si="26"/>
        <v>6.8927777777777779</v>
      </c>
      <c r="Z231" s="100">
        <f t="shared" si="27"/>
        <v>1306</v>
      </c>
    </row>
    <row r="232" spans="1:26">
      <c r="A232" s="120" t="s">
        <v>159</v>
      </c>
      <c r="B232" s="108" t="str">
        <f>IFERROR(VLOOKUP(Tablo518[[#This Row],[ÜRÜN KODU]],YMKODLARI!$A$1:$K$363,2,0)," ")</f>
        <v>NEŞELİ ÇINGIRAK</v>
      </c>
      <c r="C232" s="99">
        <v>44063</v>
      </c>
      <c r="D232" s="100" t="s">
        <v>37</v>
      </c>
      <c r="E232" s="101"/>
      <c r="F232" s="101"/>
      <c r="G232" s="100">
        <f>IFERROR(VLOOKUP(Tablo518[[#This Row],[ÜRÜN KODU]],YMKODLARI!$A$1:$K$363,3,0)," ")</f>
        <v>2</v>
      </c>
      <c r="H232" s="100">
        <f>IFERROR(VLOOKUP(Tablo518[[#This Row],[ÜRÜN KODU]],YMKODLARI!$A$1:$K$363,4,0)," ")</f>
        <v>38</v>
      </c>
      <c r="I232" s="100">
        <v>653</v>
      </c>
      <c r="J232" s="100" t="str">
        <f>IFERROR(VLOOKUP(Tablo518[[#This Row],[ÜRÜN KODU]],YMKODLARI!$A$1:$K$363,9,0)," ")</f>
        <v>BOYASIZ</v>
      </c>
      <c r="K232" s="100" t="str">
        <f>IFERROR(VLOOKUP(Tablo518[[#This Row],[BOYA KODU]],Tablo14[#All],4,0)," ")</f>
        <v xml:space="preserve"> </v>
      </c>
      <c r="L232" s="100" t="str">
        <f>IFERROR(VLOOKUP(Tablo518[[#This Row],[BOYA KODU]],Tablo14[#All],6,0)," ")</f>
        <v xml:space="preserve"> </v>
      </c>
      <c r="M232" s="100" t="str">
        <f t="shared" si="21"/>
        <v xml:space="preserve"> </v>
      </c>
      <c r="N232" s="100" t="str">
        <f>IFERROR(VLOOKUP(Tablo518[[#This Row],[ÜRÜN KODU]],YMKODLARI!$A$1:$K$363,8,0)," ")</f>
        <v>HM 011</v>
      </c>
      <c r="O232" s="100" t="str">
        <f>IFERROR(VLOOKUP(Tablo518[[#This Row],[HAMMADDE KODU]],Tablo1[#All],3,0)," ")</f>
        <v>KIRMA PC</v>
      </c>
      <c r="P232" s="100" t="str">
        <f>IFERROR(VLOOKUP(Tablo518[[#This Row],[HAMMADDE KODU]],Tablo1[#All],4,0)," ")</f>
        <v>KIRMA</v>
      </c>
      <c r="Q232" s="100">
        <f>IFERROR(VLOOKUP(Tablo518[[#This Row],[ÜRÜN KODU]],YMKODLARI!$A$1:$K$363,5,0)," ")</f>
        <v>20.100000000000001</v>
      </c>
      <c r="R232" s="100">
        <f>IFERROR(VLOOKUP(Tablo518[[#This Row],[ÜRÜN KODU]],YMKODLARI!$A$1:$K$363,6,0)," ")</f>
        <v>20.100000000000001</v>
      </c>
      <c r="S232" s="100">
        <f>IFERROR(Tablo518[[#This Row],[YOLLUK HARİÇ BASKI GRAMI]]/Tablo518[[#This Row],[KALIP GÖZ ADEDİ]]," ")</f>
        <v>10.050000000000001</v>
      </c>
      <c r="T232" s="100">
        <f t="shared" si="23"/>
        <v>0</v>
      </c>
      <c r="U232" s="100"/>
      <c r="V232" s="100">
        <f t="shared" si="22"/>
        <v>13.125300000000001</v>
      </c>
      <c r="W232" s="101">
        <f t="shared" si="24"/>
        <v>24</v>
      </c>
      <c r="X232" s="102">
        <f t="shared" si="25"/>
        <v>0</v>
      </c>
      <c r="Y232" s="100">
        <f t="shared" si="26"/>
        <v>6.8927777777777779</v>
      </c>
      <c r="Z232" s="100">
        <f t="shared" si="27"/>
        <v>1306</v>
      </c>
    </row>
    <row r="233" spans="1:26">
      <c r="A233" s="120" t="s">
        <v>160</v>
      </c>
      <c r="B233" s="108" t="str">
        <f>IFERROR(VLOOKUP(Tablo518[[#This Row],[ÜRÜN KODU]],YMKODLARI!$A$1:$K$363,2,0)," ")</f>
        <v>NEŞELİ ÇINGIRAK</v>
      </c>
      <c r="C233" s="99">
        <v>44063</v>
      </c>
      <c r="D233" s="100" t="s">
        <v>37</v>
      </c>
      <c r="E233" s="101">
        <v>0.33333333333333331</v>
      </c>
      <c r="F233" s="101">
        <v>0.70138888888888884</v>
      </c>
      <c r="G233" s="100">
        <f>IFERROR(VLOOKUP(Tablo518[[#This Row],[ÜRÜN KODU]],YMKODLARI!$A$1:$K$363,3,0)," ")</f>
        <v>2</v>
      </c>
      <c r="H233" s="100">
        <f>IFERROR(VLOOKUP(Tablo518[[#This Row],[ÜRÜN KODU]],YMKODLARI!$A$1:$K$363,4,0)," ")</f>
        <v>38</v>
      </c>
      <c r="I233" s="100">
        <v>653</v>
      </c>
      <c r="J233" s="100" t="str">
        <f>IFERROR(VLOOKUP(Tablo518[[#This Row],[ÜRÜN KODU]],YMKODLARI!$A$1:$K$363,9,0)," ")</f>
        <v>BOYASIZ</v>
      </c>
      <c r="K233" s="100" t="str">
        <f>IFERROR(VLOOKUP(Tablo518[[#This Row],[BOYA KODU]],Tablo14[#All],4,0)," ")</f>
        <v xml:space="preserve"> </v>
      </c>
      <c r="L233" s="100" t="str">
        <f>IFERROR(VLOOKUP(Tablo518[[#This Row],[BOYA KODU]],Tablo14[#All],6,0)," ")</f>
        <v xml:space="preserve"> </v>
      </c>
      <c r="M233" s="100" t="str">
        <f t="shared" si="21"/>
        <v xml:space="preserve"> </v>
      </c>
      <c r="N233" s="100" t="str">
        <f>IFERROR(VLOOKUP(Tablo518[[#This Row],[ÜRÜN KODU]],YMKODLARI!$A$1:$K$363,8,0)," ")</f>
        <v>HM 011</v>
      </c>
      <c r="O233" s="100" t="str">
        <f>IFERROR(VLOOKUP(Tablo518[[#This Row],[HAMMADDE KODU]],Tablo1[#All],3,0)," ")</f>
        <v>KIRMA PC</v>
      </c>
      <c r="P233" s="100" t="str">
        <f>IFERROR(VLOOKUP(Tablo518[[#This Row],[HAMMADDE KODU]],Tablo1[#All],4,0)," ")</f>
        <v>KIRMA</v>
      </c>
      <c r="Q233" s="100">
        <f>IFERROR(VLOOKUP(Tablo518[[#This Row],[ÜRÜN KODU]],YMKODLARI!$A$1:$K$363,5,0)," ")</f>
        <v>18.7</v>
      </c>
      <c r="R233" s="100">
        <f>IFERROR(VLOOKUP(Tablo518[[#This Row],[ÜRÜN KODU]],YMKODLARI!$A$1:$K$363,6,0)," ")</f>
        <v>18.7</v>
      </c>
      <c r="S233" s="100">
        <f>IFERROR(Tablo518[[#This Row],[YOLLUK HARİÇ BASKI GRAMI]]/Tablo518[[#This Row],[KALIP GÖZ ADEDİ]]," ")</f>
        <v>9.35</v>
      </c>
      <c r="T233" s="100">
        <f t="shared" si="23"/>
        <v>0</v>
      </c>
      <c r="U233" s="100"/>
      <c r="V233" s="100">
        <f t="shared" si="22"/>
        <v>12.2111</v>
      </c>
      <c r="W233" s="101">
        <f t="shared" si="24"/>
        <v>24.368055555555557</v>
      </c>
      <c r="X233" s="102">
        <f t="shared" si="25"/>
        <v>8.8333333333333712</v>
      </c>
      <c r="Y233" s="100">
        <f t="shared" si="26"/>
        <v>6.8927777777777779</v>
      </c>
      <c r="Z233" s="100">
        <f t="shared" si="27"/>
        <v>1306</v>
      </c>
    </row>
    <row r="234" spans="1:26">
      <c r="A234" s="120" t="s">
        <v>149</v>
      </c>
      <c r="B234" s="108" t="str">
        <f>IFERROR(VLOOKUP(Tablo518[[#This Row],[ÜRÜN KODU]],YMKODLARI!$A$1:$K$363,2,0)," ")</f>
        <v>NEŞELİ ÇINGIRAK</v>
      </c>
      <c r="C234" s="99">
        <v>44063</v>
      </c>
      <c r="D234" s="100" t="s">
        <v>37</v>
      </c>
      <c r="E234" s="101"/>
      <c r="F234" s="101"/>
      <c r="G234" s="100">
        <f>IFERROR(VLOOKUP(Tablo518[[#This Row],[ÜRÜN KODU]],YMKODLARI!$A$1:$K$363,3,0)," ")</f>
        <v>2</v>
      </c>
      <c r="H234" s="100">
        <f>IFERROR(VLOOKUP(Tablo518[[#This Row],[ÜRÜN KODU]],YMKODLARI!$A$1:$K$363,4,0)," ")</f>
        <v>38</v>
      </c>
      <c r="I234" s="100">
        <v>116</v>
      </c>
      <c r="J234" s="100" t="str">
        <f>IFERROR(VLOOKUP(Tablo518[[#This Row],[ÜRÜN KODU]],YMKODLARI!$A$1:$K$363,9,0)," ")</f>
        <v>BOYASIZ</v>
      </c>
      <c r="K234" s="100" t="str">
        <f>IFERROR(VLOOKUP(Tablo518[[#This Row],[BOYA KODU]],Tablo14[#All],4,0)," ")</f>
        <v xml:space="preserve"> </v>
      </c>
      <c r="L234" s="100" t="str">
        <f>IFERROR(VLOOKUP(Tablo518[[#This Row],[BOYA KODU]],Tablo14[#All],6,0)," ")</f>
        <v xml:space="preserve"> </v>
      </c>
      <c r="M234" s="100" t="str">
        <f t="shared" si="21"/>
        <v xml:space="preserve"> </v>
      </c>
      <c r="N234" s="100" t="str">
        <f>IFERROR(VLOOKUP(Tablo518[[#This Row],[ÜRÜN KODU]],YMKODLARI!$A$1:$K$363,8,0)," ")</f>
        <v>HM 011</v>
      </c>
      <c r="O234" s="100" t="str">
        <f>IFERROR(VLOOKUP(Tablo518[[#This Row],[HAMMADDE KODU]],Tablo1[#All],3,0)," ")</f>
        <v>KIRMA PC</v>
      </c>
      <c r="P234" s="100" t="str">
        <f>IFERROR(VLOOKUP(Tablo518[[#This Row],[HAMMADDE KODU]],Tablo1[#All],4,0)," ")</f>
        <v>KIRMA</v>
      </c>
      <c r="Q234" s="100">
        <f>IFERROR(VLOOKUP(Tablo518[[#This Row],[ÜRÜN KODU]],YMKODLARI!$A$1:$K$363,5,0)," ")</f>
        <v>30.8</v>
      </c>
      <c r="R234" s="100">
        <f>IFERROR(VLOOKUP(Tablo518[[#This Row],[ÜRÜN KODU]],YMKODLARI!$A$1:$K$363,6,0)," ")</f>
        <v>19</v>
      </c>
      <c r="S234" s="100">
        <f>IFERROR(Tablo518[[#This Row],[YOLLUK HARİÇ BASKI GRAMI]]/Tablo518[[#This Row],[KALIP GÖZ ADEDİ]]," ")</f>
        <v>9.5</v>
      </c>
      <c r="T234" s="100">
        <f t="shared" si="23"/>
        <v>11.8</v>
      </c>
      <c r="U234" s="100"/>
      <c r="V234" s="100">
        <f t="shared" si="22"/>
        <v>2.2040000000000002</v>
      </c>
      <c r="W234" s="101">
        <f t="shared" si="24"/>
        <v>24</v>
      </c>
      <c r="X234" s="102">
        <f t="shared" si="25"/>
        <v>0</v>
      </c>
      <c r="Y234" s="100">
        <f t="shared" si="26"/>
        <v>1.2244444444444444</v>
      </c>
      <c r="Z234" s="100">
        <f t="shared" si="27"/>
        <v>232</v>
      </c>
    </row>
    <row r="235" spans="1:26">
      <c r="A235" s="120" t="s">
        <v>150</v>
      </c>
      <c r="B235" s="108" t="str">
        <f>IFERROR(VLOOKUP(Tablo518[[#This Row],[ÜRÜN KODU]],YMKODLARI!$A$1:$K$363,2,0)," ")</f>
        <v>NEŞELİ ÇINGIRAK</v>
      </c>
      <c r="C235" s="99">
        <v>44063</v>
      </c>
      <c r="D235" s="100" t="s">
        <v>37</v>
      </c>
      <c r="E235" s="101"/>
      <c r="F235" s="101"/>
      <c r="G235" s="100">
        <f>IFERROR(VLOOKUP(Tablo518[[#This Row],[ÜRÜN KODU]],YMKODLARI!$A$1:$K$363,3,0)," ")</f>
        <v>2</v>
      </c>
      <c r="H235" s="100">
        <f>IFERROR(VLOOKUP(Tablo518[[#This Row],[ÜRÜN KODU]],YMKODLARI!$A$1:$K$363,4,0)," ")</f>
        <v>38</v>
      </c>
      <c r="I235" s="100">
        <v>116</v>
      </c>
      <c r="J235" s="100" t="str">
        <f>IFERROR(VLOOKUP(Tablo518[[#This Row],[ÜRÜN KODU]],YMKODLARI!$A$1:$K$363,9,0)," ")</f>
        <v>BOYASIZ</v>
      </c>
      <c r="K235" s="100" t="str">
        <f>IFERROR(VLOOKUP(Tablo518[[#This Row],[BOYA KODU]],Tablo14[#All],4,0)," ")</f>
        <v xml:space="preserve"> </v>
      </c>
      <c r="L235" s="100" t="str">
        <f>IFERROR(VLOOKUP(Tablo518[[#This Row],[BOYA KODU]],Tablo14[#All],6,0)," ")</f>
        <v xml:space="preserve"> </v>
      </c>
      <c r="M235" s="100" t="str">
        <f t="shared" si="21"/>
        <v xml:space="preserve"> </v>
      </c>
      <c r="N235" s="100" t="str">
        <f>IFERROR(VLOOKUP(Tablo518[[#This Row],[ÜRÜN KODU]],YMKODLARI!$A$1:$K$363,8,0)," ")</f>
        <v>HM 011</v>
      </c>
      <c r="O235" s="100" t="str">
        <f>IFERROR(VLOOKUP(Tablo518[[#This Row],[HAMMADDE KODU]],Tablo1[#All],3,0)," ")</f>
        <v>KIRMA PC</v>
      </c>
      <c r="P235" s="100" t="str">
        <f>IFERROR(VLOOKUP(Tablo518[[#This Row],[HAMMADDE KODU]],Tablo1[#All],4,0)," ")</f>
        <v>KIRMA</v>
      </c>
      <c r="Q235" s="100">
        <f>IFERROR(VLOOKUP(Tablo518[[#This Row],[ÜRÜN KODU]],YMKODLARI!$A$1:$K$363,5,0)," ")</f>
        <v>17.100000000000001</v>
      </c>
      <c r="R235" s="100">
        <f>IFERROR(VLOOKUP(Tablo518[[#This Row],[ÜRÜN KODU]],YMKODLARI!$A$1:$K$363,6,0)," ")</f>
        <v>17.100000000000001</v>
      </c>
      <c r="S235" s="100">
        <f>IFERROR(Tablo518[[#This Row],[YOLLUK HARİÇ BASKI GRAMI]]/Tablo518[[#This Row],[KALIP GÖZ ADEDİ]]," ")</f>
        <v>8.5500000000000007</v>
      </c>
      <c r="T235" s="100">
        <f t="shared" si="23"/>
        <v>0</v>
      </c>
      <c r="U235" s="100"/>
      <c r="V235" s="100">
        <f t="shared" si="22"/>
        <v>1.9836</v>
      </c>
      <c r="W235" s="101">
        <f t="shared" si="24"/>
        <v>24</v>
      </c>
      <c r="X235" s="102">
        <f t="shared" si="25"/>
        <v>0</v>
      </c>
      <c r="Y235" s="100">
        <f t="shared" si="26"/>
        <v>1.2244444444444444</v>
      </c>
      <c r="Z235" s="100">
        <f t="shared" si="27"/>
        <v>232</v>
      </c>
    </row>
    <row r="236" spans="1:26">
      <c r="A236" s="120" t="s">
        <v>151</v>
      </c>
      <c r="B236" s="108" t="str">
        <f>IFERROR(VLOOKUP(Tablo518[[#This Row],[ÜRÜN KODU]],YMKODLARI!$A$1:$K$363,2,0)," ")</f>
        <v>NEŞELİ ÇINGIRAK</v>
      </c>
      <c r="C236" s="99">
        <v>44063</v>
      </c>
      <c r="D236" s="100" t="s">
        <v>37</v>
      </c>
      <c r="E236" s="101"/>
      <c r="F236" s="101"/>
      <c r="G236" s="100">
        <f>IFERROR(VLOOKUP(Tablo518[[#This Row],[ÜRÜN KODU]],YMKODLARI!$A$1:$K$363,3,0)," ")</f>
        <v>2</v>
      </c>
      <c r="H236" s="100">
        <f>IFERROR(VLOOKUP(Tablo518[[#This Row],[ÜRÜN KODU]],YMKODLARI!$A$1:$K$363,4,0)," ")</f>
        <v>38</v>
      </c>
      <c r="I236" s="100">
        <v>116</v>
      </c>
      <c r="J236" s="100" t="str">
        <f>IFERROR(VLOOKUP(Tablo518[[#This Row],[ÜRÜN KODU]],YMKODLARI!$A$1:$K$363,9,0)," ")</f>
        <v>BOYASIZ</v>
      </c>
      <c r="K236" s="100" t="str">
        <f>IFERROR(VLOOKUP(Tablo518[[#This Row],[BOYA KODU]],Tablo14[#All],4,0)," ")</f>
        <v xml:space="preserve"> </v>
      </c>
      <c r="L236" s="100" t="str">
        <f>IFERROR(VLOOKUP(Tablo518[[#This Row],[BOYA KODU]],Tablo14[#All],6,0)," ")</f>
        <v xml:space="preserve"> </v>
      </c>
      <c r="M236" s="100" t="str">
        <f t="shared" si="21"/>
        <v xml:space="preserve"> </v>
      </c>
      <c r="N236" s="100" t="str">
        <f>IFERROR(VLOOKUP(Tablo518[[#This Row],[ÜRÜN KODU]],YMKODLARI!$A$1:$K$363,8,0)," ")</f>
        <v>HM 011</v>
      </c>
      <c r="O236" s="100" t="str">
        <f>IFERROR(VLOOKUP(Tablo518[[#This Row],[HAMMADDE KODU]],Tablo1[#All],3,0)," ")</f>
        <v>KIRMA PC</v>
      </c>
      <c r="P236" s="100" t="str">
        <f>IFERROR(VLOOKUP(Tablo518[[#This Row],[HAMMADDE KODU]],Tablo1[#All],4,0)," ")</f>
        <v>KIRMA</v>
      </c>
      <c r="Q236" s="100">
        <f>IFERROR(VLOOKUP(Tablo518[[#This Row],[ÜRÜN KODU]],YMKODLARI!$A$1:$K$363,5,0)," ")</f>
        <v>20.100000000000001</v>
      </c>
      <c r="R236" s="100">
        <f>IFERROR(VLOOKUP(Tablo518[[#This Row],[ÜRÜN KODU]],YMKODLARI!$A$1:$K$363,6,0)," ")</f>
        <v>20.100000000000001</v>
      </c>
      <c r="S236" s="100">
        <f>IFERROR(Tablo518[[#This Row],[YOLLUK HARİÇ BASKI GRAMI]]/Tablo518[[#This Row],[KALIP GÖZ ADEDİ]]," ")</f>
        <v>10.050000000000001</v>
      </c>
      <c r="T236" s="100">
        <f t="shared" si="23"/>
        <v>0</v>
      </c>
      <c r="U236" s="100"/>
      <c r="V236" s="100">
        <f t="shared" si="22"/>
        <v>2.3316000000000003</v>
      </c>
      <c r="W236" s="101">
        <f t="shared" si="24"/>
        <v>24</v>
      </c>
      <c r="X236" s="102">
        <f t="shared" si="25"/>
        <v>0</v>
      </c>
      <c r="Y236" s="100">
        <f t="shared" si="26"/>
        <v>1.2244444444444444</v>
      </c>
      <c r="Z236" s="100">
        <f t="shared" si="27"/>
        <v>232</v>
      </c>
    </row>
    <row r="237" spans="1:26">
      <c r="A237" s="120" t="s">
        <v>152</v>
      </c>
      <c r="B237" s="108" t="str">
        <f>IFERROR(VLOOKUP(Tablo518[[#This Row],[ÜRÜN KODU]],YMKODLARI!$A$1:$K$363,2,0)," ")</f>
        <v>NEŞELİ ÇINGIRAK</v>
      </c>
      <c r="C237" s="99">
        <v>44063</v>
      </c>
      <c r="D237" s="100" t="s">
        <v>37</v>
      </c>
      <c r="E237" s="101">
        <v>0.70486111111111116</v>
      </c>
      <c r="F237" s="101">
        <v>0.75</v>
      </c>
      <c r="G237" s="100">
        <f>IFERROR(VLOOKUP(Tablo518[[#This Row],[ÜRÜN KODU]],YMKODLARI!$A$1:$K$363,3,0)," ")</f>
        <v>2</v>
      </c>
      <c r="H237" s="100">
        <f>IFERROR(VLOOKUP(Tablo518[[#This Row],[ÜRÜN KODU]],YMKODLARI!$A$1:$K$363,4,0)," ")</f>
        <v>38</v>
      </c>
      <c r="I237" s="100">
        <v>116</v>
      </c>
      <c r="J237" s="100" t="str">
        <f>IFERROR(VLOOKUP(Tablo518[[#This Row],[ÜRÜN KODU]],YMKODLARI!$A$1:$K$363,9,0)," ")</f>
        <v>BOYASIZ</v>
      </c>
      <c r="K237" s="100" t="str">
        <f>IFERROR(VLOOKUP(Tablo518[[#This Row],[BOYA KODU]],Tablo14[#All],4,0)," ")</f>
        <v xml:space="preserve"> </v>
      </c>
      <c r="L237" s="100" t="str">
        <f>IFERROR(VLOOKUP(Tablo518[[#This Row],[BOYA KODU]],Tablo14[#All],6,0)," ")</f>
        <v xml:space="preserve"> </v>
      </c>
      <c r="M237" s="100" t="str">
        <f t="shared" si="21"/>
        <v xml:space="preserve"> </v>
      </c>
      <c r="N237" s="100" t="str">
        <f>IFERROR(VLOOKUP(Tablo518[[#This Row],[ÜRÜN KODU]],YMKODLARI!$A$1:$K$363,8,0)," ")</f>
        <v>HM 011</v>
      </c>
      <c r="O237" s="100" t="str">
        <f>IFERROR(VLOOKUP(Tablo518[[#This Row],[HAMMADDE KODU]],Tablo1[#All],3,0)," ")</f>
        <v>KIRMA PC</v>
      </c>
      <c r="P237" s="100" t="str">
        <f>IFERROR(VLOOKUP(Tablo518[[#This Row],[HAMMADDE KODU]],Tablo1[#All],4,0)," ")</f>
        <v>KIRMA</v>
      </c>
      <c r="Q237" s="100">
        <f>IFERROR(VLOOKUP(Tablo518[[#This Row],[ÜRÜN KODU]],YMKODLARI!$A$1:$K$363,5,0)," ")</f>
        <v>18.7</v>
      </c>
      <c r="R237" s="100">
        <f>IFERROR(VLOOKUP(Tablo518[[#This Row],[ÜRÜN KODU]],YMKODLARI!$A$1:$K$363,6,0)," ")</f>
        <v>18.7</v>
      </c>
      <c r="S237" s="100">
        <f>IFERROR(Tablo518[[#This Row],[YOLLUK HARİÇ BASKI GRAMI]]/Tablo518[[#This Row],[KALIP GÖZ ADEDİ]]," ")</f>
        <v>9.35</v>
      </c>
      <c r="T237" s="100">
        <f t="shared" si="23"/>
        <v>0</v>
      </c>
      <c r="U237" s="100"/>
      <c r="V237" s="100">
        <f t="shared" si="22"/>
        <v>2.1692</v>
      </c>
      <c r="W237" s="101">
        <f t="shared" si="24"/>
        <v>24.045138888888889</v>
      </c>
      <c r="X237" s="102">
        <f t="shared" si="25"/>
        <v>1.0833333333333428</v>
      </c>
      <c r="Y237" s="100">
        <f t="shared" si="26"/>
        <v>1.2244444444444444</v>
      </c>
      <c r="Z237" s="100">
        <f t="shared" si="27"/>
        <v>232</v>
      </c>
    </row>
    <row r="238" spans="1:26">
      <c r="A238" s="120" t="s">
        <v>149</v>
      </c>
      <c r="B238" s="108" t="str">
        <f>IFERROR(VLOOKUP(Tablo518[[#This Row],[ÜRÜN KODU]],YMKODLARI!$A$1:$K$363,2,0)," ")</f>
        <v>NEŞELİ ÇINGIRAK</v>
      </c>
      <c r="C238" s="99">
        <v>44064</v>
      </c>
      <c r="D238" s="100" t="s">
        <v>37</v>
      </c>
      <c r="E238" s="101"/>
      <c r="F238" s="101"/>
      <c r="G238" s="100">
        <f>IFERROR(VLOOKUP(Tablo518[[#This Row],[ÜRÜN KODU]],YMKODLARI!$A$1:$K$363,3,0)," ")</f>
        <v>2</v>
      </c>
      <c r="H238" s="100">
        <f>IFERROR(VLOOKUP(Tablo518[[#This Row],[ÜRÜN KODU]],YMKODLARI!$A$1:$K$363,4,0)," ")</f>
        <v>38</v>
      </c>
      <c r="I238" s="100">
        <v>765</v>
      </c>
      <c r="J238" s="100" t="str">
        <f>IFERROR(VLOOKUP(Tablo518[[#This Row],[ÜRÜN KODU]],YMKODLARI!$A$1:$K$363,9,0)," ")</f>
        <v>BOYASIZ</v>
      </c>
      <c r="K238" s="100" t="str">
        <f>IFERROR(VLOOKUP(Tablo518[[#This Row],[BOYA KODU]],Tablo14[#All],4,0)," ")</f>
        <v xml:space="preserve"> </v>
      </c>
      <c r="L238" s="100" t="str">
        <f>IFERROR(VLOOKUP(Tablo518[[#This Row],[BOYA KODU]],Tablo14[#All],6,0)," ")</f>
        <v xml:space="preserve"> </v>
      </c>
      <c r="M238" s="100" t="str">
        <f t="shared" si="21"/>
        <v xml:space="preserve"> </v>
      </c>
      <c r="N238" s="100" t="str">
        <f>IFERROR(VLOOKUP(Tablo518[[#This Row],[ÜRÜN KODU]],YMKODLARI!$A$1:$K$363,8,0)," ")</f>
        <v>HM 011</v>
      </c>
      <c r="O238" s="100" t="str">
        <f>IFERROR(VLOOKUP(Tablo518[[#This Row],[HAMMADDE KODU]],Tablo1[#All],3,0)," ")</f>
        <v>KIRMA PC</v>
      </c>
      <c r="P238" s="100" t="str">
        <f>IFERROR(VLOOKUP(Tablo518[[#This Row],[HAMMADDE KODU]],Tablo1[#All],4,0)," ")</f>
        <v>KIRMA</v>
      </c>
      <c r="Q238" s="100">
        <f>IFERROR(VLOOKUP(Tablo518[[#This Row],[ÜRÜN KODU]],YMKODLARI!$A$1:$K$363,5,0)," ")</f>
        <v>30.8</v>
      </c>
      <c r="R238" s="100">
        <f>IFERROR(VLOOKUP(Tablo518[[#This Row],[ÜRÜN KODU]],YMKODLARI!$A$1:$K$363,6,0)," ")</f>
        <v>19</v>
      </c>
      <c r="S238" s="100">
        <f>IFERROR(Tablo518[[#This Row],[YOLLUK HARİÇ BASKI GRAMI]]/Tablo518[[#This Row],[KALIP GÖZ ADEDİ]]," ")</f>
        <v>9.5</v>
      </c>
      <c r="T238" s="100">
        <f t="shared" si="23"/>
        <v>11.8</v>
      </c>
      <c r="U238" s="100"/>
      <c r="V238" s="100">
        <f t="shared" si="22"/>
        <v>14.535</v>
      </c>
      <c r="W238" s="101">
        <f t="shared" si="24"/>
        <v>24</v>
      </c>
      <c r="X238" s="102">
        <f t="shared" si="25"/>
        <v>0</v>
      </c>
      <c r="Y238" s="100">
        <f t="shared" si="26"/>
        <v>8.0749999999999993</v>
      </c>
      <c r="Z238" s="100">
        <f t="shared" si="27"/>
        <v>1530</v>
      </c>
    </row>
    <row r="239" spans="1:26">
      <c r="A239" s="120" t="s">
        <v>150</v>
      </c>
      <c r="B239" s="108" t="str">
        <f>IFERROR(VLOOKUP(Tablo518[[#This Row],[ÜRÜN KODU]],YMKODLARI!$A$1:$K$363,2,0)," ")</f>
        <v>NEŞELİ ÇINGIRAK</v>
      </c>
      <c r="C239" s="99">
        <v>44064</v>
      </c>
      <c r="D239" s="100" t="s">
        <v>37</v>
      </c>
      <c r="E239" s="101"/>
      <c r="F239" s="101"/>
      <c r="G239" s="100">
        <f>IFERROR(VLOOKUP(Tablo518[[#This Row],[ÜRÜN KODU]],YMKODLARI!$A$1:$K$363,3,0)," ")</f>
        <v>2</v>
      </c>
      <c r="H239" s="100">
        <f>IFERROR(VLOOKUP(Tablo518[[#This Row],[ÜRÜN KODU]],YMKODLARI!$A$1:$K$363,4,0)," ")</f>
        <v>38</v>
      </c>
      <c r="I239" s="100">
        <v>765</v>
      </c>
      <c r="J239" s="100" t="str">
        <f>IFERROR(VLOOKUP(Tablo518[[#This Row],[ÜRÜN KODU]],YMKODLARI!$A$1:$K$363,9,0)," ")</f>
        <v>BOYASIZ</v>
      </c>
      <c r="K239" s="100" t="str">
        <f>IFERROR(VLOOKUP(Tablo518[[#This Row],[BOYA KODU]],Tablo14[#All],4,0)," ")</f>
        <v xml:space="preserve"> </v>
      </c>
      <c r="L239" s="100" t="str">
        <f>IFERROR(VLOOKUP(Tablo518[[#This Row],[BOYA KODU]],Tablo14[#All],6,0)," ")</f>
        <v xml:space="preserve"> </v>
      </c>
      <c r="M239" s="100" t="str">
        <f t="shared" si="21"/>
        <v xml:space="preserve"> </v>
      </c>
      <c r="N239" s="100" t="str">
        <f>IFERROR(VLOOKUP(Tablo518[[#This Row],[ÜRÜN KODU]],YMKODLARI!$A$1:$K$363,8,0)," ")</f>
        <v>HM 011</v>
      </c>
      <c r="O239" s="100" t="str">
        <f>IFERROR(VLOOKUP(Tablo518[[#This Row],[HAMMADDE KODU]],Tablo1[#All],3,0)," ")</f>
        <v>KIRMA PC</v>
      </c>
      <c r="P239" s="100" t="str">
        <f>IFERROR(VLOOKUP(Tablo518[[#This Row],[HAMMADDE KODU]],Tablo1[#All],4,0)," ")</f>
        <v>KIRMA</v>
      </c>
      <c r="Q239" s="100">
        <f>IFERROR(VLOOKUP(Tablo518[[#This Row],[ÜRÜN KODU]],YMKODLARI!$A$1:$K$363,5,0)," ")</f>
        <v>17.100000000000001</v>
      </c>
      <c r="R239" s="100">
        <f>IFERROR(VLOOKUP(Tablo518[[#This Row],[ÜRÜN KODU]],YMKODLARI!$A$1:$K$363,6,0)," ")</f>
        <v>17.100000000000001</v>
      </c>
      <c r="S239" s="100">
        <f>IFERROR(Tablo518[[#This Row],[YOLLUK HARİÇ BASKI GRAMI]]/Tablo518[[#This Row],[KALIP GÖZ ADEDİ]]," ")</f>
        <v>8.5500000000000007</v>
      </c>
      <c r="T239" s="100">
        <f t="shared" si="23"/>
        <v>0</v>
      </c>
      <c r="U239" s="100"/>
      <c r="V239" s="100">
        <f t="shared" si="22"/>
        <v>13.081500000000002</v>
      </c>
      <c r="W239" s="101">
        <f t="shared" si="24"/>
        <v>24</v>
      </c>
      <c r="X239" s="102">
        <f t="shared" si="25"/>
        <v>0</v>
      </c>
      <c r="Y239" s="100">
        <f t="shared" si="26"/>
        <v>8.0749999999999993</v>
      </c>
      <c r="Z239" s="100">
        <f t="shared" si="27"/>
        <v>1530</v>
      </c>
    </row>
    <row r="240" spans="1:26">
      <c r="A240" s="120" t="s">
        <v>151</v>
      </c>
      <c r="B240" s="108" t="str">
        <f>IFERROR(VLOOKUP(Tablo518[[#This Row],[ÜRÜN KODU]],YMKODLARI!$A$1:$K$363,2,0)," ")</f>
        <v>NEŞELİ ÇINGIRAK</v>
      </c>
      <c r="C240" s="99">
        <v>44064</v>
      </c>
      <c r="D240" s="100" t="s">
        <v>37</v>
      </c>
      <c r="E240" s="101"/>
      <c r="F240" s="101"/>
      <c r="G240" s="100">
        <f>IFERROR(VLOOKUP(Tablo518[[#This Row],[ÜRÜN KODU]],YMKODLARI!$A$1:$K$363,3,0)," ")</f>
        <v>2</v>
      </c>
      <c r="H240" s="100">
        <f>IFERROR(VLOOKUP(Tablo518[[#This Row],[ÜRÜN KODU]],YMKODLARI!$A$1:$K$363,4,0)," ")</f>
        <v>38</v>
      </c>
      <c r="I240" s="100">
        <v>765</v>
      </c>
      <c r="J240" s="100" t="str">
        <f>IFERROR(VLOOKUP(Tablo518[[#This Row],[ÜRÜN KODU]],YMKODLARI!$A$1:$K$363,9,0)," ")</f>
        <v>BOYASIZ</v>
      </c>
      <c r="K240" s="100" t="str">
        <f>IFERROR(VLOOKUP(Tablo518[[#This Row],[BOYA KODU]],Tablo14[#All],4,0)," ")</f>
        <v xml:space="preserve"> </v>
      </c>
      <c r="L240" s="100" t="str">
        <f>IFERROR(VLOOKUP(Tablo518[[#This Row],[BOYA KODU]],Tablo14[#All],6,0)," ")</f>
        <v xml:space="preserve"> </v>
      </c>
      <c r="M240" s="100" t="str">
        <f t="shared" si="21"/>
        <v xml:space="preserve"> </v>
      </c>
      <c r="N240" s="100" t="str">
        <f>IFERROR(VLOOKUP(Tablo518[[#This Row],[ÜRÜN KODU]],YMKODLARI!$A$1:$K$363,8,0)," ")</f>
        <v>HM 011</v>
      </c>
      <c r="O240" s="100" t="str">
        <f>IFERROR(VLOOKUP(Tablo518[[#This Row],[HAMMADDE KODU]],Tablo1[#All],3,0)," ")</f>
        <v>KIRMA PC</v>
      </c>
      <c r="P240" s="100" t="str">
        <f>IFERROR(VLOOKUP(Tablo518[[#This Row],[HAMMADDE KODU]],Tablo1[#All],4,0)," ")</f>
        <v>KIRMA</v>
      </c>
      <c r="Q240" s="100">
        <f>IFERROR(VLOOKUP(Tablo518[[#This Row],[ÜRÜN KODU]],YMKODLARI!$A$1:$K$363,5,0)," ")</f>
        <v>20.100000000000001</v>
      </c>
      <c r="R240" s="100">
        <f>IFERROR(VLOOKUP(Tablo518[[#This Row],[ÜRÜN KODU]],YMKODLARI!$A$1:$K$363,6,0)," ")</f>
        <v>20.100000000000001</v>
      </c>
      <c r="S240" s="100">
        <f>IFERROR(Tablo518[[#This Row],[YOLLUK HARİÇ BASKI GRAMI]]/Tablo518[[#This Row],[KALIP GÖZ ADEDİ]]," ")</f>
        <v>10.050000000000001</v>
      </c>
      <c r="T240" s="100">
        <f t="shared" si="23"/>
        <v>0</v>
      </c>
      <c r="U240" s="100"/>
      <c r="V240" s="100">
        <f t="shared" si="22"/>
        <v>15.376500000000002</v>
      </c>
      <c r="W240" s="101">
        <f t="shared" si="24"/>
        <v>24</v>
      </c>
      <c r="X240" s="102">
        <f t="shared" si="25"/>
        <v>0</v>
      </c>
      <c r="Y240" s="100">
        <f t="shared" si="26"/>
        <v>8.0749999999999993</v>
      </c>
      <c r="Z240" s="100">
        <f t="shared" si="27"/>
        <v>1530</v>
      </c>
    </row>
    <row r="241" spans="1:26">
      <c r="A241" s="120" t="s">
        <v>152</v>
      </c>
      <c r="B241" s="108" t="str">
        <f>IFERROR(VLOOKUP(Tablo518[[#This Row],[ÜRÜN KODU]],YMKODLARI!$A$1:$K$363,2,0)," ")</f>
        <v>NEŞELİ ÇINGIRAK</v>
      </c>
      <c r="C241" s="99">
        <v>44064</v>
      </c>
      <c r="D241" s="100" t="s">
        <v>37</v>
      </c>
      <c r="E241" s="101">
        <v>0.33333333333333331</v>
      </c>
      <c r="F241" s="101">
        <v>0.75</v>
      </c>
      <c r="G241" s="100">
        <f>IFERROR(VLOOKUP(Tablo518[[#This Row],[ÜRÜN KODU]],YMKODLARI!$A$1:$K$363,3,0)," ")</f>
        <v>2</v>
      </c>
      <c r="H241" s="100">
        <f>IFERROR(VLOOKUP(Tablo518[[#This Row],[ÜRÜN KODU]],YMKODLARI!$A$1:$K$363,4,0)," ")</f>
        <v>38</v>
      </c>
      <c r="I241" s="100">
        <v>765</v>
      </c>
      <c r="J241" s="100" t="str">
        <f>IFERROR(VLOOKUP(Tablo518[[#This Row],[ÜRÜN KODU]],YMKODLARI!$A$1:$K$363,9,0)," ")</f>
        <v>BOYASIZ</v>
      </c>
      <c r="K241" s="100" t="str">
        <f>IFERROR(VLOOKUP(Tablo518[[#This Row],[BOYA KODU]],Tablo14[#All],4,0)," ")</f>
        <v xml:space="preserve"> </v>
      </c>
      <c r="L241" s="100" t="str">
        <f>IFERROR(VLOOKUP(Tablo518[[#This Row],[BOYA KODU]],Tablo14[#All],6,0)," ")</f>
        <v xml:space="preserve"> </v>
      </c>
      <c r="M241" s="100" t="str">
        <f t="shared" si="21"/>
        <v xml:space="preserve"> </v>
      </c>
      <c r="N241" s="100" t="str">
        <f>IFERROR(VLOOKUP(Tablo518[[#This Row],[ÜRÜN KODU]],YMKODLARI!$A$1:$K$363,8,0)," ")</f>
        <v>HM 011</v>
      </c>
      <c r="O241" s="100" t="str">
        <f>IFERROR(VLOOKUP(Tablo518[[#This Row],[HAMMADDE KODU]],Tablo1[#All],3,0)," ")</f>
        <v>KIRMA PC</v>
      </c>
      <c r="P241" s="100" t="str">
        <f>IFERROR(VLOOKUP(Tablo518[[#This Row],[HAMMADDE KODU]],Tablo1[#All],4,0)," ")</f>
        <v>KIRMA</v>
      </c>
      <c r="Q241" s="100">
        <f>IFERROR(VLOOKUP(Tablo518[[#This Row],[ÜRÜN KODU]],YMKODLARI!$A$1:$K$363,5,0)," ")</f>
        <v>18.7</v>
      </c>
      <c r="R241" s="100">
        <f>IFERROR(VLOOKUP(Tablo518[[#This Row],[ÜRÜN KODU]],YMKODLARI!$A$1:$K$363,6,0)," ")</f>
        <v>18.7</v>
      </c>
      <c r="S241" s="100">
        <f>IFERROR(Tablo518[[#This Row],[YOLLUK HARİÇ BASKI GRAMI]]/Tablo518[[#This Row],[KALIP GÖZ ADEDİ]]," ")</f>
        <v>9.35</v>
      </c>
      <c r="T241" s="100">
        <f t="shared" si="23"/>
        <v>0</v>
      </c>
      <c r="U241" s="100"/>
      <c r="V241" s="100">
        <f t="shared" si="22"/>
        <v>14.3055</v>
      </c>
      <c r="W241" s="101">
        <f t="shared" si="24"/>
        <v>24.416666666666668</v>
      </c>
      <c r="X241" s="102">
        <f t="shared" si="25"/>
        <v>10.000000000000028</v>
      </c>
      <c r="Y241" s="100">
        <f t="shared" si="26"/>
        <v>8.0749999999999993</v>
      </c>
      <c r="Z241" s="100">
        <f t="shared" si="27"/>
        <v>1530</v>
      </c>
    </row>
    <row r="242" spans="1:26">
      <c r="A242" s="120" t="s">
        <v>153</v>
      </c>
      <c r="B242" s="108" t="str">
        <f>IFERROR(VLOOKUP(Tablo518[[#This Row],[ÜRÜN KODU]],YMKODLARI!$A$1:$K$363,2,0)," ")</f>
        <v>NEŞELİ ÇINGIRAK</v>
      </c>
      <c r="C242" s="99">
        <v>44067</v>
      </c>
      <c r="D242" s="100" t="s">
        <v>37</v>
      </c>
      <c r="E242" s="101"/>
      <c r="F242" s="101"/>
      <c r="G242" s="100">
        <f>IFERROR(VLOOKUP(Tablo518[[#This Row],[ÜRÜN KODU]],YMKODLARI!$A$1:$K$363,3,0)," ")</f>
        <v>2</v>
      </c>
      <c r="H242" s="100">
        <f>IFERROR(VLOOKUP(Tablo518[[#This Row],[ÜRÜN KODU]],YMKODLARI!$A$1:$K$363,4,0)," ")</f>
        <v>38</v>
      </c>
      <c r="I242" s="100">
        <v>553</v>
      </c>
      <c r="J242" s="100" t="str">
        <f>IFERROR(VLOOKUP(Tablo518[[#This Row],[ÜRÜN KODU]],YMKODLARI!$A$1:$K$363,9,0)," ")</f>
        <v>BOYASIZ</v>
      </c>
      <c r="K242" s="100" t="str">
        <f>IFERROR(VLOOKUP(Tablo518[[#This Row],[BOYA KODU]],Tablo14[#All],4,0)," ")</f>
        <v xml:space="preserve"> </v>
      </c>
      <c r="L242" s="100" t="str">
        <f>IFERROR(VLOOKUP(Tablo518[[#This Row],[BOYA KODU]],Tablo14[#All],6,0)," ")</f>
        <v xml:space="preserve"> </v>
      </c>
      <c r="M242" s="100" t="str">
        <f t="shared" si="21"/>
        <v xml:space="preserve"> </v>
      </c>
      <c r="N242" s="100" t="str">
        <f>IFERROR(VLOOKUP(Tablo518[[#This Row],[ÜRÜN KODU]],YMKODLARI!$A$1:$K$363,8,0)," ")</f>
        <v>HM 011</v>
      </c>
      <c r="O242" s="100" t="str">
        <f>IFERROR(VLOOKUP(Tablo518[[#This Row],[HAMMADDE KODU]],Tablo1[#All],3,0)," ")</f>
        <v>KIRMA PC</v>
      </c>
      <c r="P242" s="100" t="str">
        <f>IFERROR(VLOOKUP(Tablo518[[#This Row],[HAMMADDE KODU]],Tablo1[#All],4,0)," ")</f>
        <v>KIRMA</v>
      </c>
      <c r="Q242" s="100">
        <f>IFERROR(VLOOKUP(Tablo518[[#This Row],[ÜRÜN KODU]],YMKODLARI!$A$1:$K$363,5,0)," ")</f>
        <v>30.8</v>
      </c>
      <c r="R242" s="100">
        <f>IFERROR(VLOOKUP(Tablo518[[#This Row],[ÜRÜN KODU]],YMKODLARI!$A$1:$K$363,6,0)," ")</f>
        <v>19</v>
      </c>
      <c r="S242" s="100">
        <f>IFERROR(Tablo518[[#This Row],[YOLLUK HARİÇ BASKI GRAMI]]/Tablo518[[#This Row],[KALIP GÖZ ADEDİ]]," ")</f>
        <v>9.5</v>
      </c>
      <c r="T242" s="100">
        <f t="shared" si="23"/>
        <v>11.8</v>
      </c>
      <c r="U242" s="100"/>
      <c r="V242" s="100">
        <f t="shared" si="22"/>
        <v>10.507</v>
      </c>
      <c r="W242" s="101">
        <f t="shared" si="24"/>
        <v>24</v>
      </c>
      <c r="X242" s="102">
        <f t="shared" si="25"/>
        <v>0</v>
      </c>
      <c r="Y242" s="100">
        <f t="shared" si="26"/>
        <v>5.8372222222222225</v>
      </c>
      <c r="Z242" s="100">
        <f t="shared" si="27"/>
        <v>1106</v>
      </c>
    </row>
    <row r="243" spans="1:26">
      <c r="A243" s="120" t="s">
        <v>154</v>
      </c>
      <c r="B243" s="108" t="str">
        <f>IFERROR(VLOOKUP(Tablo518[[#This Row],[ÜRÜN KODU]],YMKODLARI!$A$1:$K$363,2,0)," ")</f>
        <v>NEŞELİ ÇINGIRAK</v>
      </c>
      <c r="C243" s="99">
        <v>44067</v>
      </c>
      <c r="D243" s="100" t="s">
        <v>37</v>
      </c>
      <c r="E243" s="101"/>
      <c r="F243" s="101"/>
      <c r="G243" s="100">
        <f>IFERROR(VLOOKUP(Tablo518[[#This Row],[ÜRÜN KODU]],YMKODLARI!$A$1:$K$363,3,0)," ")</f>
        <v>2</v>
      </c>
      <c r="H243" s="100">
        <f>IFERROR(VLOOKUP(Tablo518[[#This Row],[ÜRÜN KODU]],YMKODLARI!$A$1:$K$363,4,0)," ")</f>
        <v>38</v>
      </c>
      <c r="I243" s="100">
        <v>553</v>
      </c>
      <c r="J243" s="100" t="str">
        <f>IFERROR(VLOOKUP(Tablo518[[#This Row],[ÜRÜN KODU]],YMKODLARI!$A$1:$K$363,9,0)," ")</f>
        <v>BOYASIZ</v>
      </c>
      <c r="K243" s="100" t="str">
        <f>IFERROR(VLOOKUP(Tablo518[[#This Row],[BOYA KODU]],Tablo14[#All],4,0)," ")</f>
        <v xml:space="preserve"> </v>
      </c>
      <c r="L243" s="100" t="str">
        <f>IFERROR(VLOOKUP(Tablo518[[#This Row],[BOYA KODU]],Tablo14[#All],6,0)," ")</f>
        <v xml:space="preserve"> </v>
      </c>
      <c r="M243" s="100" t="str">
        <f t="shared" si="21"/>
        <v xml:space="preserve"> </v>
      </c>
      <c r="N243" s="100" t="str">
        <f>IFERROR(VLOOKUP(Tablo518[[#This Row],[ÜRÜN KODU]],YMKODLARI!$A$1:$K$363,8,0)," ")</f>
        <v>HM 011</v>
      </c>
      <c r="O243" s="100" t="str">
        <f>IFERROR(VLOOKUP(Tablo518[[#This Row],[HAMMADDE KODU]],Tablo1[#All],3,0)," ")</f>
        <v>KIRMA PC</v>
      </c>
      <c r="P243" s="100" t="str">
        <f>IFERROR(VLOOKUP(Tablo518[[#This Row],[HAMMADDE KODU]],Tablo1[#All],4,0)," ")</f>
        <v>KIRMA</v>
      </c>
      <c r="Q243" s="100">
        <f>IFERROR(VLOOKUP(Tablo518[[#This Row],[ÜRÜN KODU]],YMKODLARI!$A$1:$K$363,5,0)," ")</f>
        <v>17.100000000000001</v>
      </c>
      <c r="R243" s="100">
        <f>IFERROR(VLOOKUP(Tablo518[[#This Row],[ÜRÜN KODU]],YMKODLARI!$A$1:$K$363,6,0)," ")</f>
        <v>17.100000000000001</v>
      </c>
      <c r="S243" s="100">
        <f>IFERROR(Tablo518[[#This Row],[YOLLUK HARİÇ BASKI GRAMI]]/Tablo518[[#This Row],[KALIP GÖZ ADEDİ]]," ")</f>
        <v>8.5500000000000007</v>
      </c>
      <c r="T243" s="100">
        <f t="shared" si="23"/>
        <v>0</v>
      </c>
      <c r="U243" s="100"/>
      <c r="V243" s="100">
        <f t="shared" si="22"/>
        <v>9.4563000000000006</v>
      </c>
      <c r="W243" s="101">
        <f t="shared" si="24"/>
        <v>24</v>
      </c>
      <c r="X243" s="102">
        <f t="shared" si="25"/>
        <v>0</v>
      </c>
      <c r="Y243" s="100">
        <f t="shared" si="26"/>
        <v>5.8372222222222225</v>
      </c>
      <c r="Z243" s="100">
        <f t="shared" si="27"/>
        <v>1106</v>
      </c>
    </row>
    <row r="244" spans="1:26">
      <c r="A244" s="120" t="s">
        <v>155</v>
      </c>
      <c r="B244" s="108" t="str">
        <f>IFERROR(VLOOKUP(Tablo518[[#This Row],[ÜRÜN KODU]],YMKODLARI!$A$1:$K$363,2,0)," ")</f>
        <v>NEŞELİ ÇINGIRAK</v>
      </c>
      <c r="C244" s="99">
        <v>44067</v>
      </c>
      <c r="D244" s="100" t="s">
        <v>37</v>
      </c>
      <c r="E244" s="101"/>
      <c r="F244" s="101"/>
      <c r="G244" s="100">
        <f>IFERROR(VLOOKUP(Tablo518[[#This Row],[ÜRÜN KODU]],YMKODLARI!$A$1:$K$363,3,0)," ")</f>
        <v>2</v>
      </c>
      <c r="H244" s="100">
        <f>IFERROR(VLOOKUP(Tablo518[[#This Row],[ÜRÜN KODU]],YMKODLARI!$A$1:$K$363,4,0)," ")</f>
        <v>38</v>
      </c>
      <c r="I244" s="100">
        <v>553</v>
      </c>
      <c r="J244" s="100" t="str">
        <f>IFERROR(VLOOKUP(Tablo518[[#This Row],[ÜRÜN KODU]],YMKODLARI!$A$1:$K$363,9,0)," ")</f>
        <v>BOYASIZ</v>
      </c>
      <c r="K244" s="100" t="str">
        <f>IFERROR(VLOOKUP(Tablo518[[#This Row],[BOYA KODU]],Tablo14[#All],4,0)," ")</f>
        <v xml:space="preserve"> </v>
      </c>
      <c r="L244" s="100" t="str">
        <f>IFERROR(VLOOKUP(Tablo518[[#This Row],[BOYA KODU]],Tablo14[#All],6,0)," ")</f>
        <v xml:space="preserve"> </v>
      </c>
      <c r="M244" s="100" t="str">
        <f t="shared" si="21"/>
        <v xml:space="preserve"> </v>
      </c>
      <c r="N244" s="100" t="str">
        <f>IFERROR(VLOOKUP(Tablo518[[#This Row],[ÜRÜN KODU]],YMKODLARI!$A$1:$K$363,8,0)," ")</f>
        <v>HM 011</v>
      </c>
      <c r="O244" s="100" t="str">
        <f>IFERROR(VLOOKUP(Tablo518[[#This Row],[HAMMADDE KODU]],Tablo1[#All],3,0)," ")</f>
        <v>KIRMA PC</v>
      </c>
      <c r="P244" s="100" t="str">
        <f>IFERROR(VLOOKUP(Tablo518[[#This Row],[HAMMADDE KODU]],Tablo1[#All],4,0)," ")</f>
        <v>KIRMA</v>
      </c>
      <c r="Q244" s="100">
        <f>IFERROR(VLOOKUP(Tablo518[[#This Row],[ÜRÜN KODU]],YMKODLARI!$A$1:$K$363,5,0)," ")</f>
        <v>20.100000000000001</v>
      </c>
      <c r="R244" s="100">
        <f>IFERROR(VLOOKUP(Tablo518[[#This Row],[ÜRÜN KODU]],YMKODLARI!$A$1:$K$363,6,0)," ")</f>
        <v>20.100000000000001</v>
      </c>
      <c r="S244" s="100">
        <f>IFERROR(Tablo518[[#This Row],[YOLLUK HARİÇ BASKI GRAMI]]/Tablo518[[#This Row],[KALIP GÖZ ADEDİ]]," ")</f>
        <v>10.050000000000001</v>
      </c>
      <c r="T244" s="100">
        <f t="shared" si="23"/>
        <v>0</v>
      </c>
      <c r="U244" s="100"/>
      <c r="V244" s="100">
        <f t="shared" si="22"/>
        <v>11.115300000000001</v>
      </c>
      <c r="W244" s="101">
        <f t="shared" si="24"/>
        <v>24</v>
      </c>
      <c r="X244" s="102">
        <f t="shared" si="25"/>
        <v>0</v>
      </c>
      <c r="Y244" s="100">
        <f t="shared" si="26"/>
        <v>5.8372222222222225</v>
      </c>
      <c r="Z244" s="100">
        <f t="shared" si="27"/>
        <v>1106</v>
      </c>
    </row>
    <row r="245" spans="1:26">
      <c r="A245" s="120" t="s">
        <v>156</v>
      </c>
      <c r="B245" s="108" t="str">
        <f>IFERROR(VLOOKUP(Tablo518[[#This Row],[ÜRÜN KODU]],YMKODLARI!$A$1:$K$363,2,0)," ")</f>
        <v>NEŞELİ ÇINGIRAK</v>
      </c>
      <c r="C245" s="99">
        <v>44067</v>
      </c>
      <c r="D245" s="100" t="s">
        <v>37</v>
      </c>
      <c r="E245" s="101">
        <v>0.43055555555555558</v>
      </c>
      <c r="F245" s="101">
        <v>0.75</v>
      </c>
      <c r="G245" s="100">
        <f>IFERROR(VLOOKUP(Tablo518[[#This Row],[ÜRÜN KODU]],YMKODLARI!$A$1:$K$363,3,0)," ")</f>
        <v>2</v>
      </c>
      <c r="H245" s="100">
        <f>IFERROR(VLOOKUP(Tablo518[[#This Row],[ÜRÜN KODU]],YMKODLARI!$A$1:$K$363,4,0)," ")</f>
        <v>38</v>
      </c>
      <c r="I245" s="100">
        <v>553</v>
      </c>
      <c r="J245" s="100" t="str">
        <f>IFERROR(VLOOKUP(Tablo518[[#This Row],[ÜRÜN KODU]],YMKODLARI!$A$1:$K$363,9,0)," ")</f>
        <v>BOYASIZ</v>
      </c>
      <c r="K245" s="100" t="str">
        <f>IFERROR(VLOOKUP(Tablo518[[#This Row],[BOYA KODU]],Tablo14[#All],4,0)," ")</f>
        <v xml:space="preserve"> </v>
      </c>
      <c r="L245" s="100" t="str">
        <f>IFERROR(VLOOKUP(Tablo518[[#This Row],[BOYA KODU]],Tablo14[#All],6,0)," ")</f>
        <v xml:space="preserve"> </v>
      </c>
      <c r="M245" s="100" t="str">
        <f t="shared" si="21"/>
        <v xml:space="preserve"> </v>
      </c>
      <c r="N245" s="100" t="str">
        <f>IFERROR(VLOOKUP(Tablo518[[#This Row],[ÜRÜN KODU]],YMKODLARI!$A$1:$K$363,8,0)," ")</f>
        <v>HM 011</v>
      </c>
      <c r="O245" s="100" t="str">
        <f>IFERROR(VLOOKUP(Tablo518[[#This Row],[HAMMADDE KODU]],Tablo1[#All],3,0)," ")</f>
        <v>KIRMA PC</v>
      </c>
      <c r="P245" s="100" t="str">
        <f>IFERROR(VLOOKUP(Tablo518[[#This Row],[HAMMADDE KODU]],Tablo1[#All],4,0)," ")</f>
        <v>KIRMA</v>
      </c>
      <c r="Q245" s="100">
        <f>IFERROR(VLOOKUP(Tablo518[[#This Row],[ÜRÜN KODU]],YMKODLARI!$A$1:$K$363,5,0)," ")</f>
        <v>18.7</v>
      </c>
      <c r="R245" s="100">
        <f>IFERROR(VLOOKUP(Tablo518[[#This Row],[ÜRÜN KODU]],YMKODLARI!$A$1:$K$363,6,0)," ")</f>
        <v>18.7</v>
      </c>
      <c r="S245" s="100">
        <f>IFERROR(Tablo518[[#This Row],[YOLLUK HARİÇ BASKI GRAMI]]/Tablo518[[#This Row],[KALIP GÖZ ADEDİ]]," ")</f>
        <v>9.35</v>
      </c>
      <c r="T245" s="100">
        <f t="shared" si="23"/>
        <v>0</v>
      </c>
      <c r="U245" s="100"/>
      <c r="V245" s="100">
        <f t="shared" si="22"/>
        <v>10.341100000000001</v>
      </c>
      <c r="W245" s="101">
        <f t="shared" si="24"/>
        <v>24.319444444444443</v>
      </c>
      <c r="X245" s="102">
        <f t="shared" si="25"/>
        <v>7.6666666666666288</v>
      </c>
      <c r="Y245" s="100">
        <f t="shared" si="26"/>
        <v>5.8372222222222225</v>
      </c>
      <c r="Z245" s="100">
        <f t="shared" si="27"/>
        <v>1106</v>
      </c>
    </row>
    <row r="246" spans="1:26">
      <c r="A246" s="120" t="s">
        <v>153</v>
      </c>
      <c r="B246" s="108" t="str">
        <f>IFERROR(VLOOKUP(Tablo518[[#This Row],[ÜRÜN KODU]],YMKODLARI!$A$1:$K$363,2,0)," ")</f>
        <v>NEŞELİ ÇINGIRAK</v>
      </c>
      <c r="C246" s="99">
        <v>44068</v>
      </c>
      <c r="D246" s="100" t="s">
        <v>37</v>
      </c>
      <c r="E246" s="101"/>
      <c r="F246" s="101"/>
      <c r="G246" s="100">
        <f>IFERROR(VLOOKUP(Tablo518[[#This Row],[ÜRÜN KODU]],YMKODLARI!$A$1:$K$363,3,0)," ")</f>
        <v>2</v>
      </c>
      <c r="H246" s="100">
        <f>IFERROR(VLOOKUP(Tablo518[[#This Row],[ÜRÜN KODU]],YMKODLARI!$A$1:$K$363,4,0)," ")</f>
        <v>38</v>
      </c>
      <c r="I246" s="100">
        <v>212</v>
      </c>
      <c r="J246" s="100" t="str">
        <f>IFERROR(VLOOKUP(Tablo518[[#This Row],[ÜRÜN KODU]],YMKODLARI!$A$1:$K$363,9,0)," ")</f>
        <v>BOYASIZ</v>
      </c>
      <c r="K246" s="100" t="str">
        <f>IFERROR(VLOOKUP(Tablo518[[#This Row],[BOYA KODU]],Tablo14[#All],4,0)," ")</f>
        <v xml:space="preserve"> </v>
      </c>
      <c r="L246" s="100" t="str">
        <f>IFERROR(VLOOKUP(Tablo518[[#This Row],[BOYA KODU]],Tablo14[#All],6,0)," ")</f>
        <v xml:space="preserve"> </v>
      </c>
      <c r="M246" s="100" t="str">
        <f t="shared" si="21"/>
        <v xml:space="preserve"> </v>
      </c>
      <c r="N246" s="100" t="str">
        <f>IFERROR(VLOOKUP(Tablo518[[#This Row],[ÜRÜN KODU]],YMKODLARI!$A$1:$K$363,8,0)," ")</f>
        <v>HM 011</v>
      </c>
      <c r="O246" s="100" t="str">
        <f>IFERROR(VLOOKUP(Tablo518[[#This Row],[HAMMADDE KODU]],Tablo1[#All],3,0)," ")</f>
        <v>KIRMA PC</v>
      </c>
      <c r="P246" s="100" t="str">
        <f>IFERROR(VLOOKUP(Tablo518[[#This Row],[HAMMADDE KODU]],Tablo1[#All],4,0)," ")</f>
        <v>KIRMA</v>
      </c>
      <c r="Q246" s="100">
        <f>IFERROR(VLOOKUP(Tablo518[[#This Row],[ÜRÜN KODU]],YMKODLARI!$A$1:$K$363,5,0)," ")</f>
        <v>30.8</v>
      </c>
      <c r="R246" s="100">
        <f>IFERROR(VLOOKUP(Tablo518[[#This Row],[ÜRÜN KODU]],YMKODLARI!$A$1:$K$363,6,0)," ")</f>
        <v>19</v>
      </c>
      <c r="S246" s="100">
        <f>IFERROR(Tablo518[[#This Row],[YOLLUK HARİÇ BASKI GRAMI]]/Tablo518[[#This Row],[KALIP GÖZ ADEDİ]]," ")</f>
        <v>9.5</v>
      </c>
      <c r="T246" s="100">
        <f t="shared" si="23"/>
        <v>11.8</v>
      </c>
      <c r="U246" s="100"/>
      <c r="V246" s="100">
        <f t="shared" si="22"/>
        <v>4.0279999999999996</v>
      </c>
      <c r="W246" s="101">
        <f t="shared" si="24"/>
        <v>24</v>
      </c>
      <c r="X246" s="102">
        <f t="shared" si="25"/>
        <v>0</v>
      </c>
      <c r="Y246" s="100">
        <f t="shared" si="26"/>
        <v>2.2377777777777776</v>
      </c>
      <c r="Z246" s="100">
        <f t="shared" si="27"/>
        <v>424</v>
      </c>
    </row>
    <row r="247" spans="1:26">
      <c r="A247" s="120" t="s">
        <v>154</v>
      </c>
      <c r="B247" s="108" t="str">
        <f>IFERROR(VLOOKUP(Tablo518[[#This Row],[ÜRÜN KODU]],YMKODLARI!$A$1:$K$363,2,0)," ")</f>
        <v>NEŞELİ ÇINGIRAK</v>
      </c>
      <c r="C247" s="99">
        <v>44068</v>
      </c>
      <c r="D247" s="100" t="s">
        <v>37</v>
      </c>
      <c r="E247" s="101"/>
      <c r="F247" s="101"/>
      <c r="G247" s="100">
        <f>IFERROR(VLOOKUP(Tablo518[[#This Row],[ÜRÜN KODU]],YMKODLARI!$A$1:$K$363,3,0)," ")</f>
        <v>2</v>
      </c>
      <c r="H247" s="100">
        <f>IFERROR(VLOOKUP(Tablo518[[#This Row],[ÜRÜN KODU]],YMKODLARI!$A$1:$K$363,4,0)," ")</f>
        <v>38</v>
      </c>
      <c r="I247" s="100">
        <v>212</v>
      </c>
      <c r="J247" s="100" t="str">
        <f>IFERROR(VLOOKUP(Tablo518[[#This Row],[ÜRÜN KODU]],YMKODLARI!$A$1:$K$363,9,0)," ")</f>
        <v>BOYASIZ</v>
      </c>
      <c r="K247" s="100" t="str">
        <f>IFERROR(VLOOKUP(Tablo518[[#This Row],[BOYA KODU]],Tablo14[#All],4,0)," ")</f>
        <v xml:space="preserve"> </v>
      </c>
      <c r="L247" s="100" t="str">
        <f>IFERROR(VLOOKUP(Tablo518[[#This Row],[BOYA KODU]],Tablo14[#All],6,0)," ")</f>
        <v xml:space="preserve"> </v>
      </c>
      <c r="M247" s="100" t="str">
        <f t="shared" si="21"/>
        <v xml:space="preserve"> </v>
      </c>
      <c r="N247" s="100" t="str">
        <f>IFERROR(VLOOKUP(Tablo518[[#This Row],[ÜRÜN KODU]],YMKODLARI!$A$1:$K$363,8,0)," ")</f>
        <v>HM 011</v>
      </c>
      <c r="O247" s="100" t="str">
        <f>IFERROR(VLOOKUP(Tablo518[[#This Row],[HAMMADDE KODU]],Tablo1[#All],3,0)," ")</f>
        <v>KIRMA PC</v>
      </c>
      <c r="P247" s="100" t="str">
        <f>IFERROR(VLOOKUP(Tablo518[[#This Row],[HAMMADDE KODU]],Tablo1[#All],4,0)," ")</f>
        <v>KIRMA</v>
      </c>
      <c r="Q247" s="100">
        <f>IFERROR(VLOOKUP(Tablo518[[#This Row],[ÜRÜN KODU]],YMKODLARI!$A$1:$K$363,5,0)," ")</f>
        <v>17.100000000000001</v>
      </c>
      <c r="R247" s="100">
        <f>IFERROR(VLOOKUP(Tablo518[[#This Row],[ÜRÜN KODU]],YMKODLARI!$A$1:$K$363,6,0)," ")</f>
        <v>17.100000000000001</v>
      </c>
      <c r="S247" s="100">
        <f>IFERROR(Tablo518[[#This Row],[YOLLUK HARİÇ BASKI GRAMI]]/Tablo518[[#This Row],[KALIP GÖZ ADEDİ]]," ")</f>
        <v>8.5500000000000007</v>
      </c>
      <c r="T247" s="100">
        <f t="shared" si="23"/>
        <v>0</v>
      </c>
      <c r="U247" s="100"/>
      <c r="V247" s="100">
        <f t="shared" si="22"/>
        <v>3.6252000000000004</v>
      </c>
      <c r="W247" s="101">
        <f t="shared" si="24"/>
        <v>24</v>
      </c>
      <c r="X247" s="102">
        <f t="shared" si="25"/>
        <v>0</v>
      </c>
      <c r="Y247" s="100">
        <f t="shared" si="26"/>
        <v>2.2377777777777776</v>
      </c>
      <c r="Z247" s="100">
        <f t="shared" si="27"/>
        <v>424</v>
      </c>
    </row>
    <row r="248" spans="1:26">
      <c r="A248" s="120" t="s">
        <v>155</v>
      </c>
      <c r="B248" s="108" t="str">
        <f>IFERROR(VLOOKUP(Tablo518[[#This Row],[ÜRÜN KODU]],YMKODLARI!$A$1:$K$363,2,0)," ")</f>
        <v>NEŞELİ ÇINGIRAK</v>
      </c>
      <c r="C248" s="99">
        <v>44068</v>
      </c>
      <c r="D248" s="100" t="s">
        <v>37</v>
      </c>
      <c r="E248" s="101"/>
      <c r="F248" s="101"/>
      <c r="G248" s="100">
        <f>IFERROR(VLOOKUP(Tablo518[[#This Row],[ÜRÜN KODU]],YMKODLARI!$A$1:$K$363,3,0)," ")</f>
        <v>2</v>
      </c>
      <c r="H248" s="100">
        <f>IFERROR(VLOOKUP(Tablo518[[#This Row],[ÜRÜN KODU]],YMKODLARI!$A$1:$K$363,4,0)," ")</f>
        <v>38</v>
      </c>
      <c r="I248" s="100">
        <v>212</v>
      </c>
      <c r="J248" s="100" t="str">
        <f>IFERROR(VLOOKUP(Tablo518[[#This Row],[ÜRÜN KODU]],YMKODLARI!$A$1:$K$363,9,0)," ")</f>
        <v>BOYASIZ</v>
      </c>
      <c r="K248" s="100" t="str">
        <f>IFERROR(VLOOKUP(Tablo518[[#This Row],[BOYA KODU]],Tablo14[#All],4,0)," ")</f>
        <v xml:space="preserve"> </v>
      </c>
      <c r="L248" s="100" t="str">
        <f>IFERROR(VLOOKUP(Tablo518[[#This Row],[BOYA KODU]],Tablo14[#All],6,0)," ")</f>
        <v xml:space="preserve"> </v>
      </c>
      <c r="M248" s="100" t="str">
        <f t="shared" si="21"/>
        <v xml:space="preserve"> </v>
      </c>
      <c r="N248" s="100" t="str">
        <f>IFERROR(VLOOKUP(Tablo518[[#This Row],[ÜRÜN KODU]],YMKODLARI!$A$1:$K$363,8,0)," ")</f>
        <v>HM 011</v>
      </c>
      <c r="O248" s="100" t="str">
        <f>IFERROR(VLOOKUP(Tablo518[[#This Row],[HAMMADDE KODU]],Tablo1[#All],3,0)," ")</f>
        <v>KIRMA PC</v>
      </c>
      <c r="P248" s="100" t="str">
        <f>IFERROR(VLOOKUP(Tablo518[[#This Row],[HAMMADDE KODU]],Tablo1[#All],4,0)," ")</f>
        <v>KIRMA</v>
      </c>
      <c r="Q248" s="100">
        <f>IFERROR(VLOOKUP(Tablo518[[#This Row],[ÜRÜN KODU]],YMKODLARI!$A$1:$K$363,5,0)," ")</f>
        <v>20.100000000000001</v>
      </c>
      <c r="R248" s="100">
        <f>IFERROR(VLOOKUP(Tablo518[[#This Row],[ÜRÜN KODU]],YMKODLARI!$A$1:$K$363,6,0)," ")</f>
        <v>20.100000000000001</v>
      </c>
      <c r="S248" s="100">
        <f>IFERROR(Tablo518[[#This Row],[YOLLUK HARİÇ BASKI GRAMI]]/Tablo518[[#This Row],[KALIP GÖZ ADEDİ]]," ")</f>
        <v>10.050000000000001</v>
      </c>
      <c r="T248" s="100">
        <f t="shared" si="23"/>
        <v>0</v>
      </c>
      <c r="U248" s="100"/>
      <c r="V248" s="100">
        <f t="shared" si="22"/>
        <v>4.2612000000000005</v>
      </c>
      <c r="W248" s="101">
        <f t="shared" si="24"/>
        <v>24</v>
      </c>
      <c r="X248" s="102">
        <f t="shared" si="25"/>
        <v>0</v>
      </c>
      <c r="Y248" s="100">
        <f t="shared" si="26"/>
        <v>2.2377777777777776</v>
      </c>
      <c r="Z248" s="100">
        <f t="shared" si="27"/>
        <v>424</v>
      </c>
    </row>
    <row r="249" spans="1:26">
      <c r="A249" s="120" t="s">
        <v>156</v>
      </c>
      <c r="B249" s="108" t="str">
        <f>IFERROR(VLOOKUP(Tablo518[[#This Row],[ÜRÜN KODU]],YMKODLARI!$A$1:$K$363,2,0)," ")</f>
        <v>NEŞELİ ÇINGIRAK</v>
      </c>
      <c r="C249" s="99">
        <v>44068</v>
      </c>
      <c r="D249" s="100" t="s">
        <v>37</v>
      </c>
      <c r="E249" s="101">
        <v>0.4236111111111111</v>
      </c>
      <c r="F249" s="101">
        <v>0.51041666666666663</v>
      </c>
      <c r="G249" s="100">
        <f>IFERROR(VLOOKUP(Tablo518[[#This Row],[ÜRÜN KODU]],YMKODLARI!$A$1:$K$363,3,0)," ")</f>
        <v>2</v>
      </c>
      <c r="H249" s="100">
        <f>IFERROR(VLOOKUP(Tablo518[[#This Row],[ÜRÜN KODU]],YMKODLARI!$A$1:$K$363,4,0)," ")</f>
        <v>38</v>
      </c>
      <c r="I249" s="100">
        <v>212</v>
      </c>
      <c r="J249" s="100" t="str">
        <f>IFERROR(VLOOKUP(Tablo518[[#This Row],[ÜRÜN KODU]],YMKODLARI!$A$1:$K$363,9,0)," ")</f>
        <v>BOYASIZ</v>
      </c>
      <c r="K249" s="100" t="str">
        <f>IFERROR(VLOOKUP(Tablo518[[#This Row],[BOYA KODU]],Tablo14[#All],4,0)," ")</f>
        <v xml:space="preserve"> </v>
      </c>
      <c r="L249" s="100" t="str">
        <f>IFERROR(VLOOKUP(Tablo518[[#This Row],[BOYA KODU]],Tablo14[#All],6,0)," ")</f>
        <v xml:space="preserve"> </v>
      </c>
      <c r="M249" s="100" t="str">
        <f t="shared" si="21"/>
        <v xml:space="preserve"> </v>
      </c>
      <c r="N249" s="100" t="str">
        <f>IFERROR(VLOOKUP(Tablo518[[#This Row],[ÜRÜN KODU]],YMKODLARI!$A$1:$K$363,8,0)," ")</f>
        <v>HM 011</v>
      </c>
      <c r="O249" s="100" t="str">
        <f>IFERROR(VLOOKUP(Tablo518[[#This Row],[HAMMADDE KODU]],Tablo1[#All],3,0)," ")</f>
        <v>KIRMA PC</v>
      </c>
      <c r="P249" s="100" t="str">
        <f>IFERROR(VLOOKUP(Tablo518[[#This Row],[HAMMADDE KODU]],Tablo1[#All],4,0)," ")</f>
        <v>KIRMA</v>
      </c>
      <c r="Q249" s="100">
        <f>IFERROR(VLOOKUP(Tablo518[[#This Row],[ÜRÜN KODU]],YMKODLARI!$A$1:$K$363,5,0)," ")</f>
        <v>18.7</v>
      </c>
      <c r="R249" s="100">
        <f>IFERROR(VLOOKUP(Tablo518[[#This Row],[ÜRÜN KODU]],YMKODLARI!$A$1:$K$363,6,0)," ")</f>
        <v>18.7</v>
      </c>
      <c r="S249" s="100">
        <f>IFERROR(Tablo518[[#This Row],[YOLLUK HARİÇ BASKI GRAMI]]/Tablo518[[#This Row],[KALIP GÖZ ADEDİ]]," ")</f>
        <v>9.35</v>
      </c>
      <c r="T249" s="100">
        <f t="shared" si="23"/>
        <v>0</v>
      </c>
      <c r="U249" s="100"/>
      <c r="V249" s="100">
        <f t="shared" si="22"/>
        <v>3.9643999999999995</v>
      </c>
      <c r="W249" s="101">
        <f t="shared" si="24"/>
        <v>24.086805555555557</v>
      </c>
      <c r="X249" s="102">
        <f t="shared" si="25"/>
        <v>2.0833333333333712</v>
      </c>
      <c r="Y249" s="100">
        <f t="shared" si="26"/>
        <v>2.2377777777777776</v>
      </c>
      <c r="Z249" s="100">
        <f t="shared" si="27"/>
        <v>424</v>
      </c>
    </row>
    <row r="250" spans="1:26">
      <c r="A250" s="120" t="s">
        <v>189</v>
      </c>
      <c r="B250" s="108" t="str">
        <f>IFERROR(VLOOKUP(Tablo518[[#This Row],[ÜRÜN KODU]],YMKODLARI!$A$1:$K$363,2,0)," ")</f>
        <v>NEŞELİ ÇINGIRAK</v>
      </c>
      <c r="C250" s="99">
        <v>44068</v>
      </c>
      <c r="D250" s="100" t="s">
        <v>37</v>
      </c>
      <c r="E250" s="101"/>
      <c r="F250" s="101"/>
      <c r="G250" s="100">
        <f>IFERROR(VLOOKUP(Tablo518[[#This Row],[ÜRÜN KODU]],YMKODLARI!$A$1:$K$363,3,0)," ")</f>
        <v>2</v>
      </c>
      <c r="H250" s="100">
        <f>IFERROR(VLOOKUP(Tablo518[[#This Row],[ÜRÜN KODU]],YMKODLARI!$A$1:$K$363,4,0)," ")</f>
        <v>38</v>
      </c>
      <c r="I250" s="100">
        <v>221</v>
      </c>
      <c r="J250" s="100" t="str">
        <f>IFERROR(VLOOKUP(Tablo518[[#This Row],[ÜRÜN KODU]],YMKODLARI!$A$1:$K$363,9,0)," ")</f>
        <v>BOYASIZ</v>
      </c>
      <c r="K250" s="100" t="str">
        <f>IFERROR(VLOOKUP(Tablo518[[#This Row],[BOYA KODU]],Tablo14[#All],4,0)," ")</f>
        <v xml:space="preserve"> </v>
      </c>
      <c r="L250" s="100" t="str">
        <f>IFERROR(VLOOKUP(Tablo518[[#This Row],[BOYA KODU]],Tablo14[#All],6,0)," ")</f>
        <v xml:space="preserve"> </v>
      </c>
      <c r="M250" s="100" t="str">
        <f t="shared" si="21"/>
        <v xml:space="preserve"> </v>
      </c>
      <c r="N250" s="100" t="str">
        <f>IFERROR(VLOOKUP(Tablo518[[#This Row],[ÜRÜN KODU]],YMKODLARI!$A$1:$K$363,8,0)," ")</f>
        <v>HM 011</v>
      </c>
      <c r="O250" s="100" t="str">
        <f>IFERROR(VLOOKUP(Tablo518[[#This Row],[HAMMADDE KODU]],Tablo1[#All],3,0)," ")</f>
        <v>KIRMA PC</v>
      </c>
      <c r="P250" s="100" t="str">
        <f>IFERROR(VLOOKUP(Tablo518[[#This Row],[HAMMADDE KODU]],Tablo1[#All],4,0)," ")</f>
        <v>KIRMA</v>
      </c>
      <c r="Q250" s="100">
        <f>IFERROR(VLOOKUP(Tablo518[[#This Row],[ÜRÜN KODU]],YMKODLARI!$A$1:$K$363,5,0)," ")</f>
        <v>30.8</v>
      </c>
      <c r="R250" s="100">
        <f>IFERROR(VLOOKUP(Tablo518[[#This Row],[ÜRÜN KODU]],YMKODLARI!$A$1:$K$363,6,0)," ")</f>
        <v>19</v>
      </c>
      <c r="S250" s="100">
        <f>IFERROR(Tablo518[[#This Row],[YOLLUK HARİÇ BASKI GRAMI]]/Tablo518[[#This Row],[KALIP GÖZ ADEDİ]]," ")</f>
        <v>9.5</v>
      </c>
      <c r="T250" s="100">
        <f t="shared" si="23"/>
        <v>11.8</v>
      </c>
      <c r="U250" s="100"/>
      <c r="V250" s="100">
        <f t="shared" si="22"/>
        <v>4.1989999999999998</v>
      </c>
      <c r="W250" s="101">
        <f t="shared" si="24"/>
        <v>24</v>
      </c>
      <c r="X250" s="102">
        <f t="shared" si="25"/>
        <v>0</v>
      </c>
      <c r="Y250" s="100">
        <f t="shared" si="26"/>
        <v>2.3327777777777778</v>
      </c>
      <c r="Z250" s="100">
        <f t="shared" si="27"/>
        <v>442</v>
      </c>
    </row>
    <row r="251" spans="1:26">
      <c r="A251" s="120" t="s">
        <v>190</v>
      </c>
      <c r="B251" s="108" t="str">
        <f>IFERROR(VLOOKUP(Tablo518[[#This Row],[ÜRÜN KODU]],YMKODLARI!$A$1:$K$363,2,0)," ")</f>
        <v>NEŞELİ ÇINGIRAK</v>
      </c>
      <c r="C251" s="99">
        <v>44068</v>
      </c>
      <c r="D251" s="100" t="s">
        <v>37</v>
      </c>
      <c r="E251" s="101"/>
      <c r="F251" s="101"/>
      <c r="G251" s="100">
        <f>IFERROR(VLOOKUP(Tablo518[[#This Row],[ÜRÜN KODU]],YMKODLARI!$A$1:$K$363,3,0)," ")</f>
        <v>2</v>
      </c>
      <c r="H251" s="100">
        <f>IFERROR(VLOOKUP(Tablo518[[#This Row],[ÜRÜN KODU]],YMKODLARI!$A$1:$K$363,4,0)," ")</f>
        <v>38</v>
      </c>
      <c r="I251" s="100">
        <v>221</v>
      </c>
      <c r="J251" s="100" t="str">
        <f>IFERROR(VLOOKUP(Tablo518[[#This Row],[ÜRÜN KODU]],YMKODLARI!$A$1:$K$363,9,0)," ")</f>
        <v>BOYASIZ</v>
      </c>
      <c r="K251" s="100" t="str">
        <f>IFERROR(VLOOKUP(Tablo518[[#This Row],[BOYA KODU]],Tablo14[#All],4,0)," ")</f>
        <v xml:space="preserve"> </v>
      </c>
      <c r="L251" s="100" t="str">
        <f>IFERROR(VLOOKUP(Tablo518[[#This Row],[BOYA KODU]],Tablo14[#All],6,0)," ")</f>
        <v xml:space="preserve"> </v>
      </c>
      <c r="M251" s="100" t="str">
        <f t="shared" si="21"/>
        <v xml:space="preserve"> </v>
      </c>
      <c r="N251" s="100" t="str">
        <f>IFERROR(VLOOKUP(Tablo518[[#This Row],[ÜRÜN KODU]],YMKODLARI!$A$1:$K$363,8,0)," ")</f>
        <v>HM 011</v>
      </c>
      <c r="O251" s="100" t="str">
        <f>IFERROR(VLOOKUP(Tablo518[[#This Row],[HAMMADDE KODU]],Tablo1[#All],3,0)," ")</f>
        <v>KIRMA PC</v>
      </c>
      <c r="P251" s="100" t="str">
        <f>IFERROR(VLOOKUP(Tablo518[[#This Row],[HAMMADDE KODU]],Tablo1[#All],4,0)," ")</f>
        <v>KIRMA</v>
      </c>
      <c r="Q251" s="100">
        <f>IFERROR(VLOOKUP(Tablo518[[#This Row],[ÜRÜN KODU]],YMKODLARI!$A$1:$K$363,5,0)," ")</f>
        <v>17.100000000000001</v>
      </c>
      <c r="R251" s="100">
        <f>IFERROR(VLOOKUP(Tablo518[[#This Row],[ÜRÜN KODU]],YMKODLARI!$A$1:$K$363,6,0)," ")</f>
        <v>17.100000000000001</v>
      </c>
      <c r="S251" s="100">
        <f>IFERROR(Tablo518[[#This Row],[YOLLUK HARİÇ BASKI GRAMI]]/Tablo518[[#This Row],[KALIP GÖZ ADEDİ]]," ")</f>
        <v>8.5500000000000007</v>
      </c>
      <c r="T251" s="100">
        <f t="shared" si="23"/>
        <v>0</v>
      </c>
      <c r="U251" s="100"/>
      <c r="V251" s="100">
        <f t="shared" si="22"/>
        <v>3.7791000000000006</v>
      </c>
      <c r="W251" s="101">
        <f t="shared" si="24"/>
        <v>24</v>
      </c>
      <c r="X251" s="102">
        <f t="shared" si="25"/>
        <v>0</v>
      </c>
      <c r="Y251" s="100">
        <f t="shared" si="26"/>
        <v>2.3327777777777778</v>
      </c>
      <c r="Z251" s="100">
        <f t="shared" si="27"/>
        <v>442</v>
      </c>
    </row>
    <row r="252" spans="1:26">
      <c r="A252" s="120" t="s">
        <v>191</v>
      </c>
      <c r="B252" s="108" t="str">
        <f>IFERROR(VLOOKUP(Tablo518[[#This Row],[ÜRÜN KODU]],YMKODLARI!$A$1:$K$363,2,0)," ")</f>
        <v>NEŞELİ ÇINGIRAK</v>
      </c>
      <c r="C252" s="99">
        <v>44068</v>
      </c>
      <c r="D252" s="100" t="s">
        <v>37</v>
      </c>
      <c r="E252" s="101"/>
      <c r="F252" s="101"/>
      <c r="G252" s="100">
        <f>IFERROR(VLOOKUP(Tablo518[[#This Row],[ÜRÜN KODU]],YMKODLARI!$A$1:$K$363,3,0)," ")</f>
        <v>2</v>
      </c>
      <c r="H252" s="100">
        <f>IFERROR(VLOOKUP(Tablo518[[#This Row],[ÜRÜN KODU]],YMKODLARI!$A$1:$K$363,4,0)," ")</f>
        <v>38</v>
      </c>
      <c r="I252" s="100">
        <v>221</v>
      </c>
      <c r="J252" s="100" t="str">
        <f>IFERROR(VLOOKUP(Tablo518[[#This Row],[ÜRÜN KODU]],YMKODLARI!$A$1:$K$363,9,0)," ")</f>
        <v>BOYASIZ</v>
      </c>
      <c r="K252" s="100" t="str">
        <f>IFERROR(VLOOKUP(Tablo518[[#This Row],[BOYA KODU]],Tablo14[#All],4,0)," ")</f>
        <v xml:space="preserve"> </v>
      </c>
      <c r="L252" s="100" t="str">
        <f>IFERROR(VLOOKUP(Tablo518[[#This Row],[BOYA KODU]],Tablo14[#All],6,0)," ")</f>
        <v xml:space="preserve"> </v>
      </c>
      <c r="M252" s="100" t="str">
        <f t="shared" si="21"/>
        <v xml:space="preserve"> </v>
      </c>
      <c r="N252" s="100" t="str">
        <f>IFERROR(VLOOKUP(Tablo518[[#This Row],[ÜRÜN KODU]],YMKODLARI!$A$1:$K$363,8,0)," ")</f>
        <v>HM 011</v>
      </c>
      <c r="O252" s="100" t="str">
        <f>IFERROR(VLOOKUP(Tablo518[[#This Row],[HAMMADDE KODU]],Tablo1[#All],3,0)," ")</f>
        <v>KIRMA PC</v>
      </c>
      <c r="P252" s="100" t="str">
        <f>IFERROR(VLOOKUP(Tablo518[[#This Row],[HAMMADDE KODU]],Tablo1[#All],4,0)," ")</f>
        <v>KIRMA</v>
      </c>
      <c r="Q252" s="100">
        <f>IFERROR(VLOOKUP(Tablo518[[#This Row],[ÜRÜN KODU]],YMKODLARI!$A$1:$K$363,5,0)," ")</f>
        <v>20.100000000000001</v>
      </c>
      <c r="R252" s="100">
        <f>IFERROR(VLOOKUP(Tablo518[[#This Row],[ÜRÜN KODU]],YMKODLARI!$A$1:$K$363,6,0)," ")</f>
        <v>20.100000000000001</v>
      </c>
      <c r="S252" s="100">
        <f>IFERROR(Tablo518[[#This Row],[YOLLUK HARİÇ BASKI GRAMI]]/Tablo518[[#This Row],[KALIP GÖZ ADEDİ]]," ")</f>
        <v>10.050000000000001</v>
      </c>
      <c r="T252" s="100">
        <f t="shared" si="23"/>
        <v>0</v>
      </c>
      <c r="U252" s="100"/>
      <c r="V252" s="100">
        <f t="shared" si="22"/>
        <v>4.4420999999999999</v>
      </c>
      <c r="W252" s="101">
        <f t="shared" si="24"/>
        <v>24</v>
      </c>
      <c r="X252" s="102">
        <f t="shared" si="25"/>
        <v>0</v>
      </c>
      <c r="Y252" s="100">
        <f t="shared" si="26"/>
        <v>2.3327777777777778</v>
      </c>
      <c r="Z252" s="100">
        <f t="shared" si="27"/>
        <v>442</v>
      </c>
    </row>
    <row r="253" spans="1:26">
      <c r="A253" s="120" t="s">
        <v>192</v>
      </c>
      <c r="B253" s="108" t="str">
        <f>IFERROR(VLOOKUP(Tablo518[[#This Row],[ÜRÜN KODU]],YMKODLARI!$A$1:$K$363,2,0)," ")</f>
        <v>NEŞELİ ÇINGIRAK</v>
      </c>
      <c r="C253" s="99">
        <v>44068</v>
      </c>
      <c r="D253" s="100" t="s">
        <v>37</v>
      </c>
      <c r="E253" s="101">
        <v>0.57291666666666663</v>
      </c>
      <c r="F253" s="101">
        <v>0.75</v>
      </c>
      <c r="G253" s="100">
        <f>IFERROR(VLOOKUP(Tablo518[[#This Row],[ÜRÜN KODU]],YMKODLARI!$A$1:$K$363,3,0)," ")</f>
        <v>2</v>
      </c>
      <c r="H253" s="100">
        <f>IFERROR(VLOOKUP(Tablo518[[#This Row],[ÜRÜN KODU]],YMKODLARI!$A$1:$K$363,4,0)," ")</f>
        <v>38</v>
      </c>
      <c r="I253" s="100">
        <v>221</v>
      </c>
      <c r="J253" s="100" t="str">
        <f>IFERROR(VLOOKUP(Tablo518[[#This Row],[ÜRÜN KODU]],YMKODLARI!$A$1:$K$363,9,0)," ")</f>
        <v>BOYASIZ</v>
      </c>
      <c r="K253" s="100" t="str">
        <f>IFERROR(VLOOKUP(Tablo518[[#This Row],[BOYA KODU]],Tablo14[#All],4,0)," ")</f>
        <v xml:space="preserve"> </v>
      </c>
      <c r="L253" s="100" t="str">
        <f>IFERROR(VLOOKUP(Tablo518[[#This Row],[BOYA KODU]],Tablo14[#All],6,0)," ")</f>
        <v xml:space="preserve"> </v>
      </c>
      <c r="M253" s="100" t="str">
        <f t="shared" si="21"/>
        <v xml:space="preserve"> </v>
      </c>
      <c r="N253" s="100" t="str">
        <f>IFERROR(VLOOKUP(Tablo518[[#This Row],[ÜRÜN KODU]],YMKODLARI!$A$1:$K$363,8,0)," ")</f>
        <v>HM 011</v>
      </c>
      <c r="O253" s="100" t="str">
        <f>IFERROR(VLOOKUP(Tablo518[[#This Row],[HAMMADDE KODU]],Tablo1[#All],3,0)," ")</f>
        <v>KIRMA PC</v>
      </c>
      <c r="P253" s="100" t="str">
        <f>IFERROR(VLOOKUP(Tablo518[[#This Row],[HAMMADDE KODU]],Tablo1[#All],4,0)," ")</f>
        <v>KIRMA</v>
      </c>
      <c r="Q253" s="100">
        <f>IFERROR(VLOOKUP(Tablo518[[#This Row],[ÜRÜN KODU]],YMKODLARI!$A$1:$K$363,5,0)," ")</f>
        <v>18.7</v>
      </c>
      <c r="R253" s="100">
        <f>IFERROR(VLOOKUP(Tablo518[[#This Row],[ÜRÜN KODU]],YMKODLARI!$A$1:$K$363,6,0)," ")</f>
        <v>18.7</v>
      </c>
      <c r="S253" s="100">
        <f>IFERROR(Tablo518[[#This Row],[YOLLUK HARİÇ BASKI GRAMI]]/Tablo518[[#This Row],[KALIP GÖZ ADEDİ]]," ")</f>
        <v>9.35</v>
      </c>
      <c r="T253" s="100">
        <f t="shared" si="23"/>
        <v>0</v>
      </c>
      <c r="U253" s="100"/>
      <c r="V253" s="100">
        <f t="shared" si="22"/>
        <v>4.1326999999999998</v>
      </c>
      <c r="W253" s="101">
        <f t="shared" si="24"/>
        <v>24.177083333333332</v>
      </c>
      <c r="X253" s="102">
        <f t="shared" si="25"/>
        <v>4.2499999999999716</v>
      </c>
      <c r="Y253" s="100">
        <f t="shared" si="26"/>
        <v>2.3327777777777778</v>
      </c>
      <c r="Z253" s="100">
        <f t="shared" si="27"/>
        <v>442</v>
      </c>
    </row>
    <row r="254" spans="1:26">
      <c r="A254" s="120" t="s">
        <v>189</v>
      </c>
      <c r="B254" s="108" t="str">
        <f>IFERROR(VLOOKUP(Tablo518[[#This Row],[ÜRÜN KODU]],YMKODLARI!$A$1:$K$363,2,0)," ")</f>
        <v>NEŞELİ ÇINGIRAK</v>
      </c>
      <c r="C254" s="99">
        <v>44069</v>
      </c>
      <c r="D254" s="100" t="s">
        <v>37</v>
      </c>
      <c r="E254" s="101"/>
      <c r="F254" s="101"/>
      <c r="G254" s="100">
        <f>IFERROR(VLOOKUP(Tablo518[[#This Row],[ÜRÜN KODU]],YMKODLARI!$A$1:$K$363,3,0)," ")</f>
        <v>2</v>
      </c>
      <c r="H254" s="100">
        <f>IFERROR(VLOOKUP(Tablo518[[#This Row],[ÜRÜN KODU]],YMKODLARI!$A$1:$K$363,4,0)," ")</f>
        <v>38</v>
      </c>
      <c r="I254" s="100">
        <v>270</v>
      </c>
      <c r="J254" s="100" t="str">
        <f>IFERROR(VLOOKUP(Tablo518[[#This Row],[ÜRÜN KODU]],YMKODLARI!$A$1:$K$363,9,0)," ")</f>
        <v>BOYASIZ</v>
      </c>
      <c r="K254" s="100" t="str">
        <f>IFERROR(VLOOKUP(Tablo518[[#This Row],[BOYA KODU]],Tablo14[#All],4,0)," ")</f>
        <v xml:space="preserve"> </v>
      </c>
      <c r="L254" s="100" t="str">
        <f>IFERROR(VLOOKUP(Tablo518[[#This Row],[BOYA KODU]],Tablo14[#All],6,0)," ")</f>
        <v xml:space="preserve"> </v>
      </c>
      <c r="M254" s="100" t="str">
        <f t="shared" si="21"/>
        <v xml:space="preserve"> </v>
      </c>
      <c r="N254" s="100" t="str">
        <f>IFERROR(VLOOKUP(Tablo518[[#This Row],[ÜRÜN KODU]],YMKODLARI!$A$1:$K$363,8,0)," ")</f>
        <v>HM 011</v>
      </c>
      <c r="O254" s="100" t="str">
        <f>IFERROR(VLOOKUP(Tablo518[[#This Row],[HAMMADDE KODU]],Tablo1[#All],3,0)," ")</f>
        <v>KIRMA PC</v>
      </c>
      <c r="P254" s="100" t="str">
        <f>IFERROR(VLOOKUP(Tablo518[[#This Row],[HAMMADDE KODU]],Tablo1[#All],4,0)," ")</f>
        <v>KIRMA</v>
      </c>
      <c r="Q254" s="100">
        <f>IFERROR(VLOOKUP(Tablo518[[#This Row],[ÜRÜN KODU]],YMKODLARI!$A$1:$K$363,5,0)," ")</f>
        <v>30.8</v>
      </c>
      <c r="R254" s="100">
        <f>IFERROR(VLOOKUP(Tablo518[[#This Row],[ÜRÜN KODU]],YMKODLARI!$A$1:$K$363,6,0)," ")</f>
        <v>19</v>
      </c>
      <c r="S254" s="100">
        <f>IFERROR(Tablo518[[#This Row],[YOLLUK HARİÇ BASKI GRAMI]]/Tablo518[[#This Row],[KALIP GÖZ ADEDİ]]," ")</f>
        <v>9.5</v>
      </c>
      <c r="T254" s="100">
        <f t="shared" si="23"/>
        <v>11.8</v>
      </c>
      <c r="U254" s="100">
        <v>8.5</v>
      </c>
      <c r="V254" s="100">
        <f t="shared" si="22"/>
        <v>13.629999999999999</v>
      </c>
      <c r="W254" s="101">
        <f t="shared" si="24"/>
        <v>24</v>
      </c>
      <c r="X254" s="102">
        <f t="shared" si="25"/>
        <v>0</v>
      </c>
      <c r="Y254" s="100">
        <f t="shared" si="26"/>
        <v>2.85</v>
      </c>
      <c r="Z254" s="100">
        <f t="shared" si="27"/>
        <v>540</v>
      </c>
    </row>
    <row r="255" spans="1:26">
      <c r="A255" s="120" t="s">
        <v>190</v>
      </c>
      <c r="B255" s="108" t="str">
        <f>IFERROR(VLOOKUP(Tablo518[[#This Row],[ÜRÜN KODU]],YMKODLARI!$A$1:$K$363,2,0)," ")</f>
        <v>NEŞELİ ÇINGIRAK</v>
      </c>
      <c r="C255" s="99">
        <v>44069</v>
      </c>
      <c r="D255" s="100" t="s">
        <v>37</v>
      </c>
      <c r="E255" s="101"/>
      <c r="F255" s="101"/>
      <c r="G255" s="100">
        <f>IFERROR(VLOOKUP(Tablo518[[#This Row],[ÜRÜN KODU]],YMKODLARI!$A$1:$K$363,3,0)," ")</f>
        <v>2</v>
      </c>
      <c r="H255" s="100">
        <f>IFERROR(VLOOKUP(Tablo518[[#This Row],[ÜRÜN KODU]],YMKODLARI!$A$1:$K$363,4,0)," ")</f>
        <v>38</v>
      </c>
      <c r="I255" s="100">
        <v>270</v>
      </c>
      <c r="J255" s="100" t="str">
        <f>IFERROR(VLOOKUP(Tablo518[[#This Row],[ÜRÜN KODU]],YMKODLARI!$A$1:$K$363,9,0)," ")</f>
        <v>BOYASIZ</v>
      </c>
      <c r="K255" s="100" t="str">
        <f>IFERROR(VLOOKUP(Tablo518[[#This Row],[BOYA KODU]],Tablo14[#All],4,0)," ")</f>
        <v xml:space="preserve"> </v>
      </c>
      <c r="L255" s="100" t="str">
        <f>IFERROR(VLOOKUP(Tablo518[[#This Row],[BOYA KODU]],Tablo14[#All],6,0)," ")</f>
        <v xml:space="preserve"> </v>
      </c>
      <c r="M255" s="100" t="str">
        <f t="shared" si="21"/>
        <v xml:space="preserve"> </v>
      </c>
      <c r="N255" s="100" t="str">
        <f>IFERROR(VLOOKUP(Tablo518[[#This Row],[ÜRÜN KODU]],YMKODLARI!$A$1:$K$363,8,0)," ")</f>
        <v>HM 011</v>
      </c>
      <c r="O255" s="100" t="str">
        <f>IFERROR(VLOOKUP(Tablo518[[#This Row],[HAMMADDE KODU]],Tablo1[#All],3,0)," ")</f>
        <v>KIRMA PC</v>
      </c>
      <c r="P255" s="100" t="str">
        <f>IFERROR(VLOOKUP(Tablo518[[#This Row],[HAMMADDE KODU]],Tablo1[#All],4,0)," ")</f>
        <v>KIRMA</v>
      </c>
      <c r="Q255" s="100">
        <f>IFERROR(VLOOKUP(Tablo518[[#This Row],[ÜRÜN KODU]],YMKODLARI!$A$1:$K$363,5,0)," ")</f>
        <v>17.100000000000001</v>
      </c>
      <c r="R255" s="100">
        <f>IFERROR(VLOOKUP(Tablo518[[#This Row],[ÜRÜN KODU]],YMKODLARI!$A$1:$K$363,6,0)," ")</f>
        <v>17.100000000000001</v>
      </c>
      <c r="S255" s="100">
        <f>IFERROR(Tablo518[[#This Row],[YOLLUK HARİÇ BASKI GRAMI]]/Tablo518[[#This Row],[KALIP GÖZ ADEDİ]]," ")</f>
        <v>8.5500000000000007</v>
      </c>
      <c r="T255" s="100">
        <f t="shared" si="23"/>
        <v>0</v>
      </c>
      <c r="U255" s="100"/>
      <c r="V255" s="100">
        <f t="shared" si="22"/>
        <v>4.617</v>
      </c>
      <c r="W255" s="101">
        <f t="shared" si="24"/>
        <v>24</v>
      </c>
      <c r="X255" s="102">
        <f t="shared" si="25"/>
        <v>0</v>
      </c>
      <c r="Y255" s="100">
        <f t="shared" si="26"/>
        <v>2.85</v>
      </c>
      <c r="Z255" s="100">
        <f t="shared" si="27"/>
        <v>540</v>
      </c>
    </row>
    <row r="256" spans="1:26">
      <c r="A256" s="120" t="s">
        <v>191</v>
      </c>
      <c r="B256" s="108" t="str">
        <f>IFERROR(VLOOKUP(Tablo518[[#This Row],[ÜRÜN KODU]],YMKODLARI!$A$1:$K$363,2,0)," ")</f>
        <v>NEŞELİ ÇINGIRAK</v>
      </c>
      <c r="C256" s="99">
        <v>44069</v>
      </c>
      <c r="D256" s="100" t="s">
        <v>37</v>
      </c>
      <c r="E256" s="101"/>
      <c r="F256" s="101"/>
      <c r="G256" s="100">
        <f>IFERROR(VLOOKUP(Tablo518[[#This Row],[ÜRÜN KODU]],YMKODLARI!$A$1:$K$363,3,0)," ")</f>
        <v>2</v>
      </c>
      <c r="H256" s="100">
        <f>IFERROR(VLOOKUP(Tablo518[[#This Row],[ÜRÜN KODU]],YMKODLARI!$A$1:$K$363,4,0)," ")</f>
        <v>38</v>
      </c>
      <c r="I256" s="100">
        <v>270</v>
      </c>
      <c r="J256" s="100" t="str">
        <f>IFERROR(VLOOKUP(Tablo518[[#This Row],[ÜRÜN KODU]],YMKODLARI!$A$1:$K$363,9,0)," ")</f>
        <v>BOYASIZ</v>
      </c>
      <c r="K256" s="100" t="str">
        <f>IFERROR(VLOOKUP(Tablo518[[#This Row],[BOYA KODU]],Tablo14[#All],4,0)," ")</f>
        <v xml:space="preserve"> </v>
      </c>
      <c r="L256" s="100" t="str">
        <f>IFERROR(VLOOKUP(Tablo518[[#This Row],[BOYA KODU]],Tablo14[#All],6,0)," ")</f>
        <v xml:space="preserve"> </v>
      </c>
      <c r="M256" s="100" t="str">
        <f t="shared" si="21"/>
        <v xml:space="preserve"> </v>
      </c>
      <c r="N256" s="100" t="str">
        <f>IFERROR(VLOOKUP(Tablo518[[#This Row],[ÜRÜN KODU]],YMKODLARI!$A$1:$K$363,8,0)," ")</f>
        <v>HM 011</v>
      </c>
      <c r="O256" s="100" t="str">
        <f>IFERROR(VLOOKUP(Tablo518[[#This Row],[HAMMADDE KODU]],Tablo1[#All],3,0)," ")</f>
        <v>KIRMA PC</v>
      </c>
      <c r="P256" s="100" t="str">
        <f>IFERROR(VLOOKUP(Tablo518[[#This Row],[HAMMADDE KODU]],Tablo1[#All],4,0)," ")</f>
        <v>KIRMA</v>
      </c>
      <c r="Q256" s="100">
        <f>IFERROR(VLOOKUP(Tablo518[[#This Row],[ÜRÜN KODU]],YMKODLARI!$A$1:$K$363,5,0)," ")</f>
        <v>20.100000000000001</v>
      </c>
      <c r="R256" s="100">
        <f>IFERROR(VLOOKUP(Tablo518[[#This Row],[ÜRÜN KODU]],YMKODLARI!$A$1:$K$363,6,0)," ")</f>
        <v>20.100000000000001</v>
      </c>
      <c r="S256" s="100">
        <f>IFERROR(Tablo518[[#This Row],[YOLLUK HARİÇ BASKI GRAMI]]/Tablo518[[#This Row],[KALIP GÖZ ADEDİ]]," ")</f>
        <v>10.050000000000001</v>
      </c>
      <c r="T256" s="100">
        <f t="shared" si="23"/>
        <v>0</v>
      </c>
      <c r="U256" s="100"/>
      <c r="V256" s="100">
        <f t="shared" si="22"/>
        <v>5.4269999999999996</v>
      </c>
      <c r="W256" s="101">
        <f t="shared" si="24"/>
        <v>24</v>
      </c>
      <c r="X256" s="102">
        <f t="shared" si="25"/>
        <v>0</v>
      </c>
      <c r="Y256" s="100">
        <f t="shared" si="26"/>
        <v>2.85</v>
      </c>
      <c r="Z256" s="100">
        <f t="shared" si="27"/>
        <v>540</v>
      </c>
    </row>
    <row r="257" spans="1:26">
      <c r="A257" s="120" t="s">
        <v>192</v>
      </c>
      <c r="B257" s="108" t="str">
        <f>IFERROR(VLOOKUP(Tablo518[[#This Row],[ÜRÜN KODU]],YMKODLARI!$A$1:$K$363,2,0)," ")</f>
        <v>NEŞELİ ÇINGIRAK</v>
      </c>
      <c r="C257" s="99">
        <v>44069</v>
      </c>
      <c r="D257" s="100" t="s">
        <v>37</v>
      </c>
      <c r="E257" s="101">
        <v>0.33333333333333331</v>
      </c>
      <c r="F257" s="101">
        <v>0.47569444444444442</v>
      </c>
      <c r="G257" s="100">
        <f>IFERROR(VLOOKUP(Tablo518[[#This Row],[ÜRÜN KODU]],YMKODLARI!$A$1:$K$363,3,0)," ")</f>
        <v>2</v>
      </c>
      <c r="H257" s="100">
        <f>IFERROR(VLOOKUP(Tablo518[[#This Row],[ÜRÜN KODU]],YMKODLARI!$A$1:$K$363,4,0)," ")</f>
        <v>38</v>
      </c>
      <c r="I257" s="100">
        <v>270</v>
      </c>
      <c r="J257" s="100" t="str">
        <f>IFERROR(VLOOKUP(Tablo518[[#This Row],[ÜRÜN KODU]],YMKODLARI!$A$1:$K$363,9,0)," ")</f>
        <v>BOYASIZ</v>
      </c>
      <c r="K257" s="100" t="str">
        <f>IFERROR(VLOOKUP(Tablo518[[#This Row],[BOYA KODU]],Tablo14[#All],4,0)," ")</f>
        <v xml:space="preserve"> </v>
      </c>
      <c r="L257" s="100" t="str">
        <f>IFERROR(VLOOKUP(Tablo518[[#This Row],[BOYA KODU]],Tablo14[#All],6,0)," ")</f>
        <v xml:space="preserve"> </v>
      </c>
      <c r="M257" s="100" t="str">
        <f t="shared" si="21"/>
        <v xml:space="preserve"> </v>
      </c>
      <c r="N257" s="100" t="str">
        <f>IFERROR(VLOOKUP(Tablo518[[#This Row],[ÜRÜN KODU]],YMKODLARI!$A$1:$K$363,8,0)," ")</f>
        <v>HM 011</v>
      </c>
      <c r="O257" s="100" t="str">
        <f>IFERROR(VLOOKUP(Tablo518[[#This Row],[HAMMADDE KODU]],Tablo1[#All],3,0)," ")</f>
        <v>KIRMA PC</v>
      </c>
      <c r="P257" s="100" t="str">
        <f>IFERROR(VLOOKUP(Tablo518[[#This Row],[HAMMADDE KODU]],Tablo1[#All],4,0)," ")</f>
        <v>KIRMA</v>
      </c>
      <c r="Q257" s="100">
        <f>IFERROR(VLOOKUP(Tablo518[[#This Row],[ÜRÜN KODU]],YMKODLARI!$A$1:$K$363,5,0)," ")</f>
        <v>18.7</v>
      </c>
      <c r="R257" s="100">
        <f>IFERROR(VLOOKUP(Tablo518[[#This Row],[ÜRÜN KODU]],YMKODLARI!$A$1:$K$363,6,0)," ")</f>
        <v>18.7</v>
      </c>
      <c r="S257" s="100">
        <f>IFERROR(Tablo518[[#This Row],[YOLLUK HARİÇ BASKI GRAMI]]/Tablo518[[#This Row],[KALIP GÖZ ADEDİ]]," ")</f>
        <v>9.35</v>
      </c>
      <c r="T257" s="100">
        <f t="shared" si="23"/>
        <v>0</v>
      </c>
      <c r="U257" s="100"/>
      <c r="V257" s="100">
        <f t="shared" si="22"/>
        <v>5.0490000000000004</v>
      </c>
      <c r="W257" s="101">
        <f t="shared" si="24"/>
        <v>24.142361111111111</v>
      </c>
      <c r="X257" s="102">
        <f t="shared" si="25"/>
        <v>3.4166666666666572</v>
      </c>
      <c r="Y257" s="100">
        <f t="shared" si="26"/>
        <v>2.85</v>
      </c>
      <c r="Z257" s="100">
        <f t="shared" si="27"/>
        <v>540</v>
      </c>
    </row>
    <row r="258" spans="1:26">
      <c r="A258" s="108" t="s">
        <v>193</v>
      </c>
      <c r="B258" s="108" t="str">
        <f>IFERROR(VLOOKUP(Tablo518[[#This Row],[ÜRÜN KODU]],YMKODLARI!$A$1:$K$363,2,0)," ")</f>
        <v>KİRAZ EMZİK TIPA</v>
      </c>
      <c r="C258" s="99">
        <v>44069</v>
      </c>
      <c r="D258" s="100" t="s">
        <v>33</v>
      </c>
      <c r="E258" s="101">
        <v>0.6875</v>
      </c>
      <c r="F258" s="101">
        <v>0.75</v>
      </c>
      <c r="G258" s="100">
        <f>IFERROR(VLOOKUP(Tablo518[[#This Row],[ÜRÜN KODU]],YMKODLARI!$A$1:$K$363,3,0)," ")</f>
        <v>8</v>
      </c>
      <c r="H258" s="100">
        <v>29</v>
      </c>
      <c r="I258" s="100">
        <v>180</v>
      </c>
      <c r="J258" s="100" t="str">
        <f>IFERROR(VLOOKUP(Tablo518[[#This Row],[ÜRÜN KODU]],YMKODLARI!$A$1:$K$363,9,0)," ")</f>
        <v>9134A</v>
      </c>
      <c r="K258" s="100" t="str">
        <f>IFERROR(VLOOKUP(Tablo518[[#This Row],[BOYA KODU]],Tablo14[#All],4,0)," ")</f>
        <v>BEYAZ</v>
      </c>
      <c r="L258" s="100">
        <f>IFERROR(VLOOKUP(Tablo518[[#This Row],[BOYA KODU]],Tablo14[#All],6,0)," ")</f>
        <v>7.0000000000000001E-3</v>
      </c>
      <c r="M258" s="100">
        <f t="shared" si="21"/>
        <v>24.57</v>
      </c>
      <c r="N258" s="100" t="str">
        <f>IFERROR(VLOOKUP(Tablo518[[#This Row],[ÜRÜN KODU]],YMKODLARI!$A$1:$K$363,8,0)," ")</f>
        <v>HM 002</v>
      </c>
      <c r="O258" s="100" t="str">
        <f>IFERROR(VLOOKUP(Tablo518[[#This Row],[HAMMADDE KODU]],Tablo1[#All],3,0)," ")</f>
        <v>NOVAREX</v>
      </c>
      <c r="P258" s="100" t="str">
        <f>IFERROR(VLOOKUP(Tablo518[[#This Row],[HAMMADDE KODU]],Tablo1[#All],4,0)," ")</f>
        <v>PİNHAS</v>
      </c>
      <c r="Q258" s="100">
        <f>IFERROR(VLOOKUP(Tablo518[[#This Row],[ÜRÜN KODU]],YMKODLARI!$A$1:$K$363,5,0)," ")</f>
        <v>19.5</v>
      </c>
      <c r="R258" s="100">
        <f>IFERROR(VLOOKUP(Tablo518[[#This Row],[ÜRÜN KODU]],YMKODLARI!$A$1:$K$363,6,0)," ")</f>
        <v>18.2</v>
      </c>
      <c r="S258" s="100">
        <f>IFERROR(Tablo518[[#This Row],[YOLLUK HARİÇ BASKI GRAMI]]/Tablo518[[#This Row],[KALIP GÖZ ADEDİ]]," ")</f>
        <v>2.2749999999999999</v>
      </c>
      <c r="T258" s="100">
        <f t="shared" si="23"/>
        <v>1.3000000000000007</v>
      </c>
      <c r="U258" s="100">
        <v>7</v>
      </c>
      <c r="V258" s="100">
        <f t="shared" si="22"/>
        <v>10.276</v>
      </c>
      <c r="W258" s="101">
        <f t="shared" si="24"/>
        <v>24.0625</v>
      </c>
      <c r="X258" s="102">
        <f t="shared" si="25"/>
        <v>1.5</v>
      </c>
      <c r="Y258" s="100">
        <f t="shared" si="26"/>
        <v>1.45</v>
      </c>
      <c r="Z258" s="100">
        <f t="shared" si="27"/>
        <v>1440</v>
      </c>
    </row>
    <row r="259" spans="1:26">
      <c r="A259" s="108" t="s">
        <v>193</v>
      </c>
      <c r="B259" s="108" t="str">
        <f>IFERROR(VLOOKUP(Tablo518[[#This Row],[ÜRÜN KODU]],YMKODLARI!$A$1:$K$363,2,0)," ")</f>
        <v>KİRAZ EMZİK TIPA</v>
      </c>
      <c r="C259" s="99">
        <v>44070</v>
      </c>
      <c r="D259" s="100" t="s">
        <v>33</v>
      </c>
      <c r="E259" s="101">
        <v>0.33680555555555558</v>
      </c>
      <c r="F259" s="101">
        <v>0.75</v>
      </c>
      <c r="G259" s="100">
        <f>IFERROR(VLOOKUP(Tablo518[[#This Row],[ÜRÜN KODU]],YMKODLARI!$A$1:$K$363,3,0)," ")</f>
        <v>8</v>
      </c>
      <c r="H259" s="100">
        <v>28</v>
      </c>
      <c r="I259" s="100">
        <v>1087</v>
      </c>
      <c r="J259" s="100" t="str">
        <f>IFERROR(VLOOKUP(Tablo518[[#This Row],[ÜRÜN KODU]],YMKODLARI!$A$1:$K$363,9,0)," ")</f>
        <v>9134A</v>
      </c>
      <c r="K259" s="100" t="str">
        <f>IFERROR(VLOOKUP(Tablo518[[#This Row],[BOYA KODU]],Tablo14[#All],4,0)," ")</f>
        <v>BEYAZ</v>
      </c>
      <c r="L259" s="100">
        <f>IFERROR(VLOOKUP(Tablo518[[#This Row],[BOYA KODU]],Tablo14[#All],6,0)," ")</f>
        <v>7.0000000000000001E-3</v>
      </c>
      <c r="M259" s="100">
        <f t="shared" si="21"/>
        <v>148.37550000000002</v>
      </c>
      <c r="N259" s="100" t="str">
        <f>IFERROR(VLOOKUP(Tablo518[[#This Row],[ÜRÜN KODU]],YMKODLARI!$A$1:$K$363,8,0)," ")</f>
        <v>HM 002</v>
      </c>
      <c r="O259" s="100" t="str">
        <f>IFERROR(VLOOKUP(Tablo518[[#This Row],[HAMMADDE KODU]],Tablo1[#All],3,0)," ")</f>
        <v>NOVAREX</v>
      </c>
      <c r="P259" s="100" t="str">
        <f>IFERROR(VLOOKUP(Tablo518[[#This Row],[HAMMADDE KODU]],Tablo1[#All],4,0)," ")</f>
        <v>PİNHAS</v>
      </c>
      <c r="Q259" s="100">
        <f>IFERROR(VLOOKUP(Tablo518[[#This Row],[ÜRÜN KODU]],YMKODLARI!$A$1:$K$363,5,0)," ")</f>
        <v>19.5</v>
      </c>
      <c r="R259" s="100">
        <f>IFERROR(VLOOKUP(Tablo518[[#This Row],[ÜRÜN KODU]],YMKODLARI!$A$1:$K$363,6,0)," ")</f>
        <v>18.2</v>
      </c>
      <c r="S259" s="100">
        <f>IFERROR(Tablo518[[#This Row],[YOLLUK HARİÇ BASKI GRAMI]]/Tablo518[[#This Row],[KALIP GÖZ ADEDİ]]," ")</f>
        <v>2.2749999999999999</v>
      </c>
      <c r="T259" s="100">
        <f t="shared" si="23"/>
        <v>1.3000000000000007</v>
      </c>
      <c r="U259" s="100">
        <v>4.8</v>
      </c>
      <c r="V259" s="100">
        <f t="shared" si="22"/>
        <v>24.583399999999997</v>
      </c>
      <c r="W259" s="101">
        <f t="shared" si="24"/>
        <v>24.413194444444443</v>
      </c>
      <c r="X259" s="102">
        <f t="shared" si="25"/>
        <v>9.9166666666666288</v>
      </c>
      <c r="Y259" s="100">
        <f t="shared" si="26"/>
        <v>8.4544444444444444</v>
      </c>
      <c r="Z259" s="100">
        <f t="shared" si="27"/>
        <v>8696</v>
      </c>
    </row>
    <row r="260" spans="1:26">
      <c r="A260" s="108" t="s">
        <v>193</v>
      </c>
      <c r="B260" s="108" t="str">
        <f>IFERROR(VLOOKUP(Tablo518[[#This Row],[ÜRÜN KODU]],YMKODLARI!$A$1:$K$363,2,0)," ")</f>
        <v>KİRAZ EMZİK TIPA</v>
      </c>
      <c r="C260" s="99">
        <v>44071</v>
      </c>
      <c r="D260" s="100" t="s">
        <v>33</v>
      </c>
      <c r="E260" s="101">
        <v>0.33333333333333331</v>
      </c>
      <c r="F260" s="101">
        <v>0.3611111111111111</v>
      </c>
      <c r="G260" s="100">
        <f>IFERROR(VLOOKUP(Tablo518[[#This Row],[ÜRÜN KODU]],YMKODLARI!$A$1:$K$363,3,0)," ")</f>
        <v>8</v>
      </c>
      <c r="H260" s="100">
        <v>28</v>
      </c>
      <c r="I260" s="100">
        <v>65</v>
      </c>
      <c r="J260" s="100" t="str">
        <f>IFERROR(VLOOKUP(Tablo518[[#This Row],[ÜRÜN KODU]],YMKODLARI!$A$1:$K$363,9,0)," ")</f>
        <v>9134A</v>
      </c>
      <c r="K260" s="100" t="str">
        <f>IFERROR(VLOOKUP(Tablo518[[#This Row],[BOYA KODU]],Tablo14[#All],4,0)," ")</f>
        <v>BEYAZ</v>
      </c>
      <c r="L260" s="100">
        <f>IFERROR(VLOOKUP(Tablo518[[#This Row],[BOYA KODU]],Tablo14[#All],6,0)," ")</f>
        <v>7.0000000000000001E-3</v>
      </c>
      <c r="M260" s="100">
        <f t="shared" si="21"/>
        <v>8.8725000000000005</v>
      </c>
      <c r="N260" s="100" t="str">
        <f>IFERROR(VLOOKUP(Tablo518[[#This Row],[ÜRÜN KODU]],YMKODLARI!$A$1:$K$363,8,0)," ")</f>
        <v>HM 002</v>
      </c>
      <c r="O260" s="100" t="str">
        <f>IFERROR(VLOOKUP(Tablo518[[#This Row],[HAMMADDE KODU]],Tablo1[#All],3,0)," ")</f>
        <v>NOVAREX</v>
      </c>
      <c r="P260" s="100" t="str">
        <f>IFERROR(VLOOKUP(Tablo518[[#This Row],[HAMMADDE KODU]],Tablo1[#All],4,0)," ")</f>
        <v>PİNHAS</v>
      </c>
      <c r="Q260" s="100">
        <f>IFERROR(VLOOKUP(Tablo518[[#This Row],[ÜRÜN KODU]],YMKODLARI!$A$1:$K$363,5,0)," ")</f>
        <v>19.5</v>
      </c>
      <c r="R260" s="100">
        <f>IFERROR(VLOOKUP(Tablo518[[#This Row],[ÜRÜN KODU]],YMKODLARI!$A$1:$K$363,6,0)," ")</f>
        <v>18.2</v>
      </c>
      <c r="S260" s="100">
        <f>IFERROR(Tablo518[[#This Row],[YOLLUK HARİÇ BASKI GRAMI]]/Tablo518[[#This Row],[KALIP GÖZ ADEDİ]]," ")</f>
        <v>2.2749999999999999</v>
      </c>
      <c r="T260" s="100">
        <f t="shared" si="23"/>
        <v>1.3000000000000007</v>
      </c>
      <c r="U260" s="100"/>
      <c r="V260" s="100">
        <f t="shared" si="22"/>
        <v>1.1830000000000001</v>
      </c>
      <c r="W260" s="101">
        <f t="shared" si="24"/>
        <v>24.027777777777779</v>
      </c>
      <c r="X260" s="102">
        <f t="shared" si="25"/>
        <v>0.66666666666668561</v>
      </c>
      <c r="Y260" s="100">
        <f t="shared" si="26"/>
        <v>0.50555555555555554</v>
      </c>
      <c r="Z260" s="100">
        <f t="shared" si="27"/>
        <v>520</v>
      </c>
    </row>
    <row r="261" spans="1:26">
      <c r="A261" s="108" t="s">
        <v>132</v>
      </c>
      <c r="B261" s="108" t="str">
        <f>IFERROR(VLOOKUP(Tablo518[[#This Row],[ÜRÜN KODU]],YMKODLARI!$A$1:$K$363,2,0)," ")</f>
        <v>KİRAZ EMZİK TIPA</v>
      </c>
      <c r="C261" s="99">
        <v>44071</v>
      </c>
      <c r="D261" s="100" t="s">
        <v>33</v>
      </c>
      <c r="E261" s="101">
        <v>0.3611111111111111</v>
      </c>
      <c r="F261" s="101">
        <v>0.47916666666666669</v>
      </c>
      <c r="G261" s="100">
        <f>IFERROR(VLOOKUP(Tablo518[[#This Row],[ÜRÜN KODU]],YMKODLARI!$A$1:$K$363,3,0)," ")</f>
        <v>8</v>
      </c>
      <c r="H261" s="100">
        <v>28</v>
      </c>
      <c r="I261" s="100">
        <v>342</v>
      </c>
      <c r="J261" s="100">
        <f>IFERROR(VLOOKUP(Tablo518[[#This Row],[ÜRÜN KODU]],YMKODLARI!$A$1:$K$363,9,0)," ")</f>
        <v>6192</v>
      </c>
      <c r="K261" s="100" t="str">
        <f>IFERROR(VLOOKUP(Tablo518[[#This Row],[BOYA KODU]],Tablo14[#All],4,0)," ")</f>
        <v>YEŞİL</v>
      </c>
      <c r="L261" s="100">
        <f>IFERROR(VLOOKUP(Tablo518[[#This Row],[BOYA KODU]],Tablo14[#All],6,0)," ")</f>
        <v>5.0000000000000001E-3</v>
      </c>
      <c r="M261" s="100">
        <f t="shared" ref="M261:M326" si="28">IFERROR((I261*Q261)*L261," ")</f>
        <v>33.344999999999999</v>
      </c>
      <c r="N261" s="100" t="str">
        <f>IFERROR(VLOOKUP(Tablo518[[#This Row],[ÜRÜN KODU]],YMKODLARI!$A$1:$K$363,8,0)," ")</f>
        <v>HM 002</v>
      </c>
      <c r="O261" s="100" t="str">
        <f>IFERROR(VLOOKUP(Tablo518[[#This Row],[HAMMADDE KODU]],Tablo1[#All],3,0)," ")</f>
        <v>NOVAREX</v>
      </c>
      <c r="P261" s="100" t="str">
        <f>IFERROR(VLOOKUP(Tablo518[[#This Row],[HAMMADDE KODU]],Tablo1[#All],4,0)," ")</f>
        <v>PİNHAS</v>
      </c>
      <c r="Q261" s="100">
        <f>IFERROR(VLOOKUP(Tablo518[[#This Row],[ÜRÜN KODU]],YMKODLARI!$A$1:$K$363,5,0)," ")</f>
        <v>19.5</v>
      </c>
      <c r="R261" s="100">
        <f>IFERROR(VLOOKUP(Tablo518[[#This Row],[ÜRÜN KODU]],YMKODLARI!$A$1:$K$363,6,0)," ")</f>
        <v>18.2</v>
      </c>
      <c r="S261" s="100">
        <f>IFERROR(Tablo518[[#This Row],[YOLLUK HARİÇ BASKI GRAMI]]/Tablo518[[#This Row],[KALIP GÖZ ADEDİ]]," ")</f>
        <v>2.2749999999999999</v>
      </c>
      <c r="T261" s="100">
        <f t="shared" si="23"/>
        <v>1.3000000000000007</v>
      </c>
      <c r="U261" s="100">
        <v>4.4000000000000004</v>
      </c>
      <c r="V261" s="100">
        <f t="shared" ref="V261:V326" si="29">IFERROR(U261+(R261*I261) /1000," ")</f>
        <v>10.6244</v>
      </c>
      <c r="W261" s="101">
        <f t="shared" si="24"/>
        <v>24.118055555555557</v>
      </c>
      <c r="X261" s="102">
        <f t="shared" si="25"/>
        <v>2.8333333333333712</v>
      </c>
      <c r="Y261" s="100">
        <f t="shared" si="26"/>
        <v>2.66</v>
      </c>
      <c r="Z261" s="100">
        <f t="shared" si="27"/>
        <v>2736</v>
      </c>
    </row>
    <row r="262" spans="1:26">
      <c r="A262" s="108" t="s">
        <v>133</v>
      </c>
      <c r="B262" s="108" t="str">
        <f>IFERROR(VLOOKUP(Tablo518[[#This Row],[ÜRÜN KODU]],YMKODLARI!$A$1:$K$363,2,0)," ")</f>
        <v>KİRAZ EMZİK TIPA</v>
      </c>
      <c r="C262" s="99">
        <v>44071</v>
      </c>
      <c r="D262" s="100" t="s">
        <v>33</v>
      </c>
      <c r="E262" s="101">
        <v>0.47916666666666669</v>
      </c>
      <c r="F262" s="101">
        <v>0.59722222222222221</v>
      </c>
      <c r="G262" s="100">
        <f>IFERROR(VLOOKUP(Tablo518[[#This Row],[ÜRÜN KODU]],YMKODLARI!$A$1:$K$363,3,0)," ")</f>
        <v>8</v>
      </c>
      <c r="H262" s="100">
        <f>IFERROR(VLOOKUP(Tablo518[[#This Row],[ÜRÜN KODU]],YMKODLARI!$A$1:$K$363,4,0)," ")</f>
        <v>23</v>
      </c>
      <c r="I262" s="100">
        <v>358</v>
      </c>
      <c r="J262" s="100">
        <f>IFERROR(VLOOKUP(Tablo518[[#This Row],[ÜRÜN KODU]],YMKODLARI!$A$1:$K$363,9,0)," ")</f>
        <v>3332</v>
      </c>
      <c r="K262" s="100" t="str">
        <f>IFERROR(VLOOKUP(Tablo518[[#This Row],[BOYA KODU]],Tablo14[#All],4,0)," ")</f>
        <v>E.PEMBE</v>
      </c>
      <c r="L262" s="100">
        <f>IFERROR(VLOOKUP(Tablo518[[#This Row],[BOYA KODU]],Tablo14[#All],6,0)," ")</f>
        <v>5.0000000000000001E-3</v>
      </c>
      <c r="M262" s="100">
        <f t="shared" si="28"/>
        <v>34.905000000000001</v>
      </c>
      <c r="N262" s="100" t="str">
        <f>IFERROR(VLOOKUP(Tablo518[[#This Row],[ÜRÜN KODU]],YMKODLARI!$A$1:$K$363,8,0)," ")</f>
        <v>HM 002</v>
      </c>
      <c r="O262" s="100" t="str">
        <f>IFERROR(VLOOKUP(Tablo518[[#This Row],[HAMMADDE KODU]],Tablo1[#All],3,0)," ")</f>
        <v>NOVAREX</v>
      </c>
      <c r="P262" s="100" t="str">
        <f>IFERROR(VLOOKUP(Tablo518[[#This Row],[HAMMADDE KODU]],Tablo1[#All],4,0)," ")</f>
        <v>PİNHAS</v>
      </c>
      <c r="Q262" s="100">
        <f>IFERROR(VLOOKUP(Tablo518[[#This Row],[ÜRÜN KODU]],YMKODLARI!$A$1:$K$363,5,0)," ")</f>
        <v>19.5</v>
      </c>
      <c r="R262" s="100">
        <f>IFERROR(VLOOKUP(Tablo518[[#This Row],[ÜRÜN KODU]],YMKODLARI!$A$1:$K$363,6,0)," ")</f>
        <v>18.2</v>
      </c>
      <c r="S262" s="100">
        <f>IFERROR(Tablo518[[#This Row],[YOLLUK HARİÇ BASKI GRAMI]]/Tablo518[[#This Row],[KALIP GÖZ ADEDİ]]," ")</f>
        <v>2.2749999999999999</v>
      </c>
      <c r="T262" s="100">
        <f t="shared" ref="T262:T327" si="30">IFERROR(Q262-R262," ")</f>
        <v>1.3000000000000007</v>
      </c>
      <c r="U262" s="100">
        <v>2.5</v>
      </c>
      <c r="V262" s="100">
        <f t="shared" si="29"/>
        <v>9.0155999999999992</v>
      </c>
      <c r="W262" s="101">
        <f t="shared" ref="W262:W327" si="31">IFERROR(24-(E262-F262)," ")</f>
        <v>24.118055555555557</v>
      </c>
      <c r="X262" s="102">
        <f t="shared" ref="X262:X327" si="32">IFERROR((W262-INT(W262))*24," ")</f>
        <v>2.8333333333333712</v>
      </c>
      <c r="Y262" s="100">
        <f t="shared" ref="Y262:Y327" si="33">IFERROR(H262*I262/3600," ")</f>
        <v>2.2872222222222223</v>
      </c>
      <c r="Z262" s="100">
        <f t="shared" ref="Z262:Z327" si="34">IFERROR(I262*G262," " )</f>
        <v>2864</v>
      </c>
    </row>
    <row r="263" spans="1:26">
      <c r="A263" s="108" t="s">
        <v>134</v>
      </c>
      <c r="B263" s="108" t="str">
        <f>IFERROR(VLOOKUP(Tablo518[[#This Row],[ÜRÜN KODU]],YMKODLARI!$A$1:$K$363,2,0)," ")</f>
        <v>KİRAZ EMZİK TIPA</v>
      </c>
      <c r="C263" s="99">
        <v>44071</v>
      </c>
      <c r="D263" s="100" t="s">
        <v>33</v>
      </c>
      <c r="E263" s="101">
        <v>0.59722222222222221</v>
      </c>
      <c r="F263" s="101">
        <v>0.65277777777777779</v>
      </c>
      <c r="G263" s="100">
        <f>IFERROR(VLOOKUP(Tablo518[[#This Row],[ÜRÜN KODU]],YMKODLARI!$A$1:$K$363,3,0)," ")</f>
        <v>8</v>
      </c>
      <c r="H263" s="100">
        <f>IFERROR(VLOOKUP(Tablo518[[#This Row],[ÜRÜN KODU]],YMKODLARI!$A$1:$K$363,4,0)," ")</f>
        <v>23</v>
      </c>
      <c r="I263" s="100">
        <v>240</v>
      </c>
      <c r="J263" s="100">
        <f>IFERROR(VLOOKUP(Tablo518[[#This Row],[ÜRÜN KODU]],YMKODLARI!$A$1:$K$363,9,0)," ")</f>
        <v>4089</v>
      </c>
      <c r="K263" s="100" t="str">
        <f>IFERROR(VLOOKUP(Tablo518[[#This Row],[BOYA KODU]],Tablo14[#All],4,0)," ")</f>
        <v>LİLA</v>
      </c>
      <c r="L263" s="100">
        <f>IFERROR(VLOOKUP(Tablo518[[#This Row],[BOYA KODU]],Tablo14[#All],6,0)," ")</f>
        <v>5.0000000000000001E-3</v>
      </c>
      <c r="M263" s="100">
        <f t="shared" si="28"/>
        <v>23.400000000000002</v>
      </c>
      <c r="N263" s="100" t="str">
        <f>IFERROR(VLOOKUP(Tablo518[[#This Row],[ÜRÜN KODU]],YMKODLARI!$A$1:$K$363,8,0)," ")</f>
        <v>HM 002</v>
      </c>
      <c r="O263" s="100" t="str">
        <f>IFERROR(VLOOKUP(Tablo518[[#This Row],[HAMMADDE KODU]],Tablo1[#All],3,0)," ")</f>
        <v>NOVAREX</v>
      </c>
      <c r="P263" s="100" t="str">
        <f>IFERROR(VLOOKUP(Tablo518[[#This Row],[HAMMADDE KODU]],Tablo1[#All],4,0)," ")</f>
        <v>PİNHAS</v>
      </c>
      <c r="Q263" s="100">
        <f>IFERROR(VLOOKUP(Tablo518[[#This Row],[ÜRÜN KODU]],YMKODLARI!$A$1:$K$363,5,0)," ")</f>
        <v>19.5</v>
      </c>
      <c r="R263" s="100">
        <f>IFERROR(VLOOKUP(Tablo518[[#This Row],[ÜRÜN KODU]],YMKODLARI!$A$1:$K$363,6,0)," ")</f>
        <v>18.2</v>
      </c>
      <c r="S263" s="100">
        <f>IFERROR(Tablo518[[#This Row],[YOLLUK HARİÇ BASKI GRAMI]]/Tablo518[[#This Row],[KALIP GÖZ ADEDİ]]," ")</f>
        <v>2.2749999999999999</v>
      </c>
      <c r="T263" s="100">
        <f t="shared" si="30"/>
        <v>1.3000000000000007</v>
      </c>
      <c r="U263" s="100">
        <v>1.7</v>
      </c>
      <c r="V263" s="100">
        <f t="shared" si="29"/>
        <v>6.0680000000000005</v>
      </c>
      <c r="W263" s="101">
        <f t="shared" si="31"/>
        <v>24.055555555555557</v>
      </c>
      <c r="X263" s="102">
        <f t="shared" si="32"/>
        <v>1.3333333333333712</v>
      </c>
      <c r="Y263" s="100">
        <f t="shared" si="33"/>
        <v>1.5333333333333334</v>
      </c>
      <c r="Z263" s="100">
        <f t="shared" si="34"/>
        <v>1920</v>
      </c>
    </row>
    <row r="264" spans="1:26">
      <c r="A264" s="108" t="s">
        <v>193</v>
      </c>
      <c r="B264" s="108" t="str">
        <f>IFERROR(VLOOKUP(Tablo518[[#This Row],[ÜRÜN KODU]],YMKODLARI!$A$1:$K$363,2,0)," ")</f>
        <v>KİRAZ EMZİK TIPA</v>
      </c>
      <c r="C264" s="99">
        <v>44071</v>
      </c>
      <c r="D264" s="100" t="s">
        <v>36</v>
      </c>
      <c r="E264" s="101">
        <v>0.65625</v>
      </c>
      <c r="F264" s="101">
        <v>0.73958333333333337</v>
      </c>
      <c r="G264" s="100">
        <f>IFERROR(VLOOKUP(Tablo518[[#This Row],[ÜRÜN KODU]],YMKODLARI!$A$1:$K$363,3,0)," ")</f>
        <v>8</v>
      </c>
      <c r="H264" s="100">
        <f>IFERROR(VLOOKUP(Tablo518[[#This Row],[ÜRÜN KODU]],YMKODLARI!$A$1:$K$363,4,0)," ")</f>
        <v>23</v>
      </c>
      <c r="I264" s="100">
        <v>374</v>
      </c>
      <c r="J264" s="100" t="str">
        <f>IFERROR(VLOOKUP(Tablo518[[#This Row],[ÜRÜN KODU]],YMKODLARI!$A$1:$K$363,9,0)," ")</f>
        <v>9134A</v>
      </c>
      <c r="K264" s="100" t="str">
        <f>IFERROR(VLOOKUP(Tablo518[[#This Row],[BOYA KODU]],Tablo14[#All],4,0)," ")</f>
        <v>BEYAZ</v>
      </c>
      <c r="L264" s="100">
        <f>IFERROR(VLOOKUP(Tablo518[[#This Row],[BOYA KODU]],Tablo14[#All],6,0)," ")</f>
        <v>7.0000000000000001E-3</v>
      </c>
      <c r="M264" s="100">
        <f t="shared" si="28"/>
        <v>51.051000000000002</v>
      </c>
      <c r="N264" s="100" t="str">
        <f>IFERROR(VLOOKUP(Tablo518[[#This Row],[ÜRÜN KODU]],YMKODLARI!$A$1:$K$363,8,0)," ")</f>
        <v>HM 002</v>
      </c>
      <c r="O264" s="100" t="str">
        <f>IFERROR(VLOOKUP(Tablo518[[#This Row],[HAMMADDE KODU]],Tablo1[#All],3,0)," ")</f>
        <v>NOVAREX</v>
      </c>
      <c r="P264" s="100" t="str">
        <f>IFERROR(VLOOKUP(Tablo518[[#This Row],[HAMMADDE KODU]],Tablo1[#All],4,0)," ")</f>
        <v>PİNHAS</v>
      </c>
      <c r="Q264" s="100">
        <f>IFERROR(VLOOKUP(Tablo518[[#This Row],[ÜRÜN KODU]],YMKODLARI!$A$1:$K$363,5,0)," ")</f>
        <v>19.5</v>
      </c>
      <c r="R264" s="100">
        <f>IFERROR(VLOOKUP(Tablo518[[#This Row],[ÜRÜN KODU]],YMKODLARI!$A$1:$K$363,6,0)," ")</f>
        <v>18.2</v>
      </c>
      <c r="S264" s="100">
        <f>IFERROR(Tablo518[[#This Row],[YOLLUK HARİÇ BASKI GRAMI]]/Tablo518[[#This Row],[KALIP GÖZ ADEDİ]]," ")</f>
        <v>2.2749999999999999</v>
      </c>
      <c r="T264" s="100">
        <f t="shared" si="30"/>
        <v>1.3000000000000007</v>
      </c>
      <c r="U264" s="100"/>
      <c r="V264" s="100">
        <f t="shared" si="29"/>
        <v>6.8068</v>
      </c>
      <c r="W264" s="101">
        <f t="shared" si="31"/>
        <v>24.083333333333332</v>
      </c>
      <c r="X264" s="102">
        <f t="shared" si="32"/>
        <v>1.9999999999999716</v>
      </c>
      <c r="Y264" s="100">
        <f t="shared" si="33"/>
        <v>2.3894444444444445</v>
      </c>
      <c r="Z264" s="100">
        <f t="shared" si="34"/>
        <v>2992</v>
      </c>
    </row>
    <row r="265" spans="1:26">
      <c r="A265" s="108" t="s">
        <v>193</v>
      </c>
      <c r="B265" s="108" t="str">
        <f>IFERROR(VLOOKUP(Tablo518[[#This Row],[ÜRÜN KODU]],YMKODLARI!$A$1:$K$363,2,0)," ")</f>
        <v>KİRAZ EMZİK TIPA</v>
      </c>
      <c r="C265" s="99">
        <v>44074</v>
      </c>
      <c r="D265" s="100" t="s">
        <v>36</v>
      </c>
      <c r="E265" s="101">
        <v>0.4236111111111111</v>
      </c>
      <c r="F265" s="101">
        <v>0.75</v>
      </c>
      <c r="G265" s="100">
        <f>IFERROR(VLOOKUP(Tablo518[[#This Row],[ÜRÜN KODU]],YMKODLARI!$A$1:$K$363,3,0)," ")</f>
        <v>8</v>
      </c>
      <c r="H265" s="100">
        <f>IFERROR(VLOOKUP(Tablo518[[#This Row],[ÜRÜN KODU]],YMKODLARI!$A$1:$K$363,4,0)," ")</f>
        <v>23</v>
      </c>
      <c r="I265" s="100">
        <v>1227</v>
      </c>
      <c r="J265" s="100" t="str">
        <f>IFERROR(VLOOKUP(Tablo518[[#This Row],[ÜRÜN KODU]],YMKODLARI!$A$1:$K$363,9,0)," ")</f>
        <v>9134A</v>
      </c>
      <c r="K265" s="100" t="str">
        <f>IFERROR(VLOOKUP(Tablo518[[#This Row],[BOYA KODU]],Tablo14[#All],4,0)," ")</f>
        <v>BEYAZ</v>
      </c>
      <c r="L265" s="100">
        <f>IFERROR(VLOOKUP(Tablo518[[#This Row],[BOYA KODU]],Tablo14[#All],6,0)," ")</f>
        <v>7.0000000000000001E-3</v>
      </c>
      <c r="M265" s="100">
        <f t="shared" si="28"/>
        <v>167.4855</v>
      </c>
      <c r="N265" s="100" t="str">
        <f>IFERROR(VLOOKUP(Tablo518[[#This Row],[ÜRÜN KODU]],YMKODLARI!$A$1:$K$363,8,0)," ")</f>
        <v>HM 002</v>
      </c>
      <c r="O265" s="100" t="str">
        <f>IFERROR(VLOOKUP(Tablo518[[#This Row],[HAMMADDE KODU]],Tablo1[#All],3,0)," ")</f>
        <v>NOVAREX</v>
      </c>
      <c r="P265" s="100" t="str">
        <f>IFERROR(VLOOKUP(Tablo518[[#This Row],[HAMMADDE KODU]],Tablo1[#All],4,0)," ")</f>
        <v>PİNHAS</v>
      </c>
      <c r="Q265" s="100">
        <f>IFERROR(VLOOKUP(Tablo518[[#This Row],[ÜRÜN KODU]],YMKODLARI!$A$1:$K$363,5,0)," ")</f>
        <v>19.5</v>
      </c>
      <c r="R265" s="100">
        <f>IFERROR(VLOOKUP(Tablo518[[#This Row],[ÜRÜN KODU]],YMKODLARI!$A$1:$K$363,6,0)," ")</f>
        <v>18.2</v>
      </c>
      <c r="S265" s="100">
        <f>IFERROR(Tablo518[[#This Row],[YOLLUK HARİÇ BASKI GRAMI]]/Tablo518[[#This Row],[KALIP GÖZ ADEDİ]]," ")</f>
        <v>2.2749999999999999</v>
      </c>
      <c r="T265" s="100">
        <f t="shared" si="30"/>
        <v>1.3000000000000007</v>
      </c>
      <c r="U265" s="100">
        <v>3</v>
      </c>
      <c r="V265" s="100">
        <f t="shared" si="29"/>
        <v>25.331399999999999</v>
      </c>
      <c r="W265" s="101">
        <f t="shared" si="31"/>
        <v>24.326388888888889</v>
      </c>
      <c r="X265" s="102">
        <f t="shared" si="32"/>
        <v>7.8333333333333428</v>
      </c>
      <c r="Y265" s="100">
        <f t="shared" si="33"/>
        <v>7.8391666666666664</v>
      </c>
      <c r="Z265" s="100">
        <f t="shared" si="34"/>
        <v>9816</v>
      </c>
    </row>
    <row r="266" spans="1:26">
      <c r="A266" s="108" t="s">
        <v>136</v>
      </c>
      <c r="B266" s="108" t="str">
        <f>IFERROR(VLOOKUP(Tablo518[[#This Row],[ÜRÜN KODU]],YMKODLARI!$A$1:$K$363,2,0)," ")</f>
        <v>DAMAK EMZİK TIPA</v>
      </c>
      <c r="C266" s="99">
        <v>44075</v>
      </c>
      <c r="D266" s="100" t="s">
        <v>36</v>
      </c>
      <c r="E266" s="101">
        <v>0.69444444444444453</v>
      </c>
      <c r="F266" s="101">
        <v>0.75</v>
      </c>
      <c r="G266" s="100">
        <f>IFERROR(VLOOKUP(Tablo518[[#This Row],[ÜRÜN KODU]],YMKODLARI!$A$1:$K$363,3,0)," ")</f>
        <v>8</v>
      </c>
      <c r="H266" s="100">
        <f>IFERROR(VLOOKUP(Tablo518[[#This Row],[ÜRÜN KODU]],YMKODLARI!$A$1:$K$363,4,0)," ")</f>
        <v>20</v>
      </c>
      <c r="I266" s="100">
        <v>208</v>
      </c>
      <c r="J266" s="100" t="str">
        <f>IFERROR(VLOOKUP(Tablo518[[#This Row],[ÜRÜN KODU]],YMKODLARI!$A$1:$K$363,9,0)," ")</f>
        <v>9134A</v>
      </c>
      <c r="K266" s="100" t="str">
        <f>IFERROR(VLOOKUP(Tablo518[[#This Row],[BOYA KODU]],Tablo14[#All],4,0)," ")</f>
        <v>BEYAZ</v>
      </c>
      <c r="L266" s="100">
        <f>IFERROR(VLOOKUP(Tablo518[[#This Row],[BOYA KODU]],Tablo14[#All],6,0)," ")</f>
        <v>7.0000000000000001E-3</v>
      </c>
      <c r="M266" s="100">
        <f t="shared" si="28"/>
        <v>25.043199999999999</v>
      </c>
      <c r="N266" s="100" t="str">
        <f>IFERROR(VLOOKUP(Tablo518[[#This Row],[ÜRÜN KODU]],YMKODLARI!$A$1:$K$363,8,0)," ")</f>
        <v>HM 002</v>
      </c>
      <c r="O266" s="100" t="str">
        <f>IFERROR(VLOOKUP(Tablo518[[#This Row],[HAMMADDE KODU]],Tablo1[#All],3,0)," ")</f>
        <v>NOVAREX</v>
      </c>
      <c r="P266" s="100" t="str">
        <f>IFERROR(VLOOKUP(Tablo518[[#This Row],[HAMMADDE KODU]],Tablo1[#All],4,0)," ")</f>
        <v>PİNHAS</v>
      </c>
      <c r="Q266" s="100">
        <f>IFERROR(VLOOKUP(Tablo518[[#This Row],[ÜRÜN KODU]],YMKODLARI!$A$1:$K$363,5,0)," ")</f>
        <v>17.2</v>
      </c>
      <c r="R266" s="100">
        <f>IFERROR(VLOOKUP(Tablo518[[#This Row],[ÜRÜN KODU]],YMKODLARI!$A$1:$K$363,6,0)," ")</f>
        <v>15.4</v>
      </c>
      <c r="S266" s="100">
        <f>IFERROR(Tablo518[[#This Row],[YOLLUK HARİÇ BASKI GRAMI]]/Tablo518[[#This Row],[KALIP GÖZ ADEDİ]]," ")</f>
        <v>1.925</v>
      </c>
      <c r="T266" s="100">
        <f t="shared" si="30"/>
        <v>1.7999999999999989</v>
      </c>
      <c r="U266" s="100"/>
      <c r="V266" s="100">
        <f t="shared" si="29"/>
        <v>3.2032000000000003</v>
      </c>
      <c r="W266" s="101">
        <f t="shared" si="31"/>
        <v>24.055555555555557</v>
      </c>
      <c r="X266" s="102">
        <f t="shared" si="32"/>
        <v>1.3333333333333712</v>
      </c>
      <c r="Y266" s="100">
        <f t="shared" si="33"/>
        <v>1.1555555555555554</v>
      </c>
      <c r="Z266" s="100">
        <f t="shared" si="34"/>
        <v>1664</v>
      </c>
    </row>
    <row r="267" spans="1:26">
      <c r="A267" s="108" t="s">
        <v>136</v>
      </c>
      <c r="B267" s="108" t="str">
        <f>IFERROR(VLOOKUP(Tablo518[[#This Row],[ÜRÜN KODU]],YMKODLARI!$A$1:$K$363,2,0)," ")</f>
        <v>DAMAK EMZİK TIPA</v>
      </c>
      <c r="C267" s="99">
        <v>44076</v>
      </c>
      <c r="D267" s="100" t="s">
        <v>36</v>
      </c>
      <c r="E267" s="101">
        <v>0.34027777777777773</v>
      </c>
      <c r="F267" s="101">
        <v>0.75</v>
      </c>
      <c r="G267" s="100">
        <f>IFERROR(VLOOKUP(Tablo518[[#This Row],[ÜRÜN KODU]],YMKODLARI!$A$1:$K$363,3,0)," ")</f>
        <v>8</v>
      </c>
      <c r="H267" s="100">
        <f>IFERROR(VLOOKUP(Tablo518[[#This Row],[ÜRÜN KODU]],YMKODLARI!$A$1:$K$363,4,0)," ")</f>
        <v>20</v>
      </c>
      <c r="I267" s="100">
        <v>1350</v>
      </c>
      <c r="J267" s="100" t="str">
        <f>IFERROR(VLOOKUP(Tablo518[[#This Row],[ÜRÜN KODU]],YMKODLARI!$A$1:$K$363,9,0)," ")</f>
        <v>9134A</v>
      </c>
      <c r="K267" s="100" t="str">
        <f>IFERROR(VLOOKUP(Tablo518[[#This Row],[BOYA KODU]],Tablo14[#All],4,0)," ")</f>
        <v>BEYAZ</v>
      </c>
      <c r="L267" s="100">
        <f>IFERROR(VLOOKUP(Tablo518[[#This Row],[BOYA KODU]],Tablo14[#All],6,0)," ")</f>
        <v>7.0000000000000001E-3</v>
      </c>
      <c r="M267" s="100">
        <f t="shared" si="28"/>
        <v>162.54</v>
      </c>
      <c r="N267" s="100" t="str">
        <f>IFERROR(VLOOKUP(Tablo518[[#This Row],[ÜRÜN KODU]],YMKODLARI!$A$1:$K$363,8,0)," ")</f>
        <v>HM 002</v>
      </c>
      <c r="O267" s="100" t="str">
        <f>IFERROR(VLOOKUP(Tablo518[[#This Row],[HAMMADDE KODU]],Tablo1[#All],3,0)," ")</f>
        <v>NOVAREX</v>
      </c>
      <c r="P267" s="100" t="str">
        <f>IFERROR(VLOOKUP(Tablo518[[#This Row],[HAMMADDE KODU]],Tablo1[#All],4,0)," ")</f>
        <v>PİNHAS</v>
      </c>
      <c r="Q267" s="100">
        <f>IFERROR(VLOOKUP(Tablo518[[#This Row],[ÜRÜN KODU]],YMKODLARI!$A$1:$K$363,5,0)," ")</f>
        <v>17.2</v>
      </c>
      <c r="R267" s="100">
        <f>IFERROR(VLOOKUP(Tablo518[[#This Row],[ÜRÜN KODU]],YMKODLARI!$A$1:$K$363,6,0)," ")</f>
        <v>15.4</v>
      </c>
      <c r="S267" s="100">
        <f>IFERROR(Tablo518[[#This Row],[YOLLUK HARİÇ BASKI GRAMI]]/Tablo518[[#This Row],[KALIP GÖZ ADEDİ]]," ")</f>
        <v>1.925</v>
      </c>
      <c r="T267" s="100">
        <f t="shared" si="30"/>
        <v>1.7999999999999989</v>
      </c>
      <c r="U267" s="100">
        <v>4</v>
      </c>
      <c r="V267" s="100">
        <f t="shared" si="29"/>
        <v>24.79</v>
      </c>
      <c r="W267" s="101">
        <f t="shared" si="31"/>
        <v>24.409722222222221</v>
      </c>
      <c r="X267" s="102">
        <f t="shared" si="32"/>
        <v>9.8333333333333144</v>
      </c>
      <c r="Y267" s="100">
        <f t="shared" si="33"/>
        <v>7.5</v>
      </c>
      <c r="Z267" s="100">
        <f t="shared" si="34"/>
        <v>10800</v>
      </c>
    </row>
    <row r="268" spans="1:26">
      <c r="A268" s="108" t="s">
        <v>136</v>
      </c>
      <c r="B268" s="108" t="str">
        <f>IFERROR(VLOOKUP(Tablo518[[#This Row],[ÜRÜN KODU]],YMKODLARI!$A$1:$K$363,2,0)," ")</f>
        <v>DAMAK EMZİK TIPA</v>
      </c>
      <c r="C268" s="99">
        <v>44077</v>
      </c>
      <c r="D268" s="100" t="s">
        <v>36</v>
      </c>
      <c r="E268" s="101">
        <v>0.34027777777777773</v>
      </c>
      <c r="F268" s="101">
        <v>0.75</v>
      </c>
      <c r="G268" s="100">
        <f>IFERROR(VLOOKUP(Tablo518[[#This Row],[ÜRÜN KODU]],YMKODLARI!$A$1:$K$363,3,0)," ")</f>
        <v>8</v>
      </c>
      <c r="H268" s="100">
        <f>IFERROR(VLOOKUP(Tablo518[[#This Row],[ÜRÜN KODU]],YMKODLARI!$A$1:$K$363,4,0)," ")</f>
        <v>20</v>
      </c>
      <c r="I268" s="100">
        <v>1287</v>
      </c>
      <c r="J268" s="100" t="str">
        <f>IFERROR(VLOOKUP(Tablo518[[#This Row],[ÜRÜN KODU]],YMKODLARI!$A$1:$K$363,9,0)," ")</f>
        <v>9134A</v>
      </c>
      <c r="K268" s="100" t="str">
        <f>IFERROR(VLOOKUP(Tablo518[[#This Row],[BOYA KODU]],Tablo14[#All],4,0)," ")</f>
        <v>BEYAZ</v>
      </c>
      <c r="L268" s="100">
        <f>IFERROR(VLOOKUP(Tablo518[[#This Row],[BOYA KODU]],Tablo14[#All],6,0)," ")</f>
        <v>7.0000000000000001E-3</v>
      </c>
      <c r="M268" s="100">
        <f t="shared" si="28"/>
        <v>154.95479999999998</v>
      </c>
      <c r="N268" s="100" t="str">
        <f>IFERROR(VLOOKUP(Tablo518[[#This Row],[ÜRÜN KODU]],YMKODLARI!$A$1:$K$363,8,0)," ")</f>
        <v>HM 002</v>
      </c>
      <c r="O268" s="100" t="str">
        <f>IFERROR(VLOOKUP(Tablo518[[#This Row],[HAMMADDE KODU]],Tablo1[#All],3,0)," ")</f>
        <v>NOVAREX</v>
      </c>
      <c r="P268" s="100" t="str">
        <f>IFERROR(VLOOKUP(Tablo518[[#This Row],[HAMMADDE KODU]],Tablo1[#All],4,0)," ")</f>
        <v>PİNHAS</v>
      </c>
      <c r="Q268" s="100">
        <f>IFERROR(VLOOKUP(Tablo518[[#This Row],[ÜRÜN KODU]],YMKODLARI!$A$1:$K$363,5,0)," ")</f>
        <v>17.2</v>
      </c>
      <c r="R268" s="100">
        <f>IFERROR(VLOOKUP(Tablo518[[#This Row],[ÜRÜN KODU]],YMKODLARI!$A$1:$K$363,6,0)," ")</f>
        <v>15.4</v>
      </c>
      <c r="S268" s="100">
        <f>IFERROR(Tablo518[[#This Row],[YOLLUK HARİÇ BASKI GRAMI]]/Tablo518[[#This Row],[KALIP GÖZ ADEDİ]]," ")</f>
        <v>1.925</v>
      </c>
      <c r="T268" s="100">
        <f t="shared" si="30"/>
        <v>1.7999999999999989</v>
      </c>
      <c r="U268" s="100">
        <v>4</v>
      </c>
      <c r="V268" s="100">
        <f t="shared" si="29"/>
        <v>23.819800000000001</v>
      </c>
      <c r="W268" s="101">
        <f t="shared" si="31"/>
        <v>24.409722222222221</v>
      </c>
      <c r="X268" s="102">
        <f t="shared" si="32"/>
        <v>9.8333333333333144</v>
      </c>
      <c r="Y268" s="100">
        <f t="shared" si="33"/>
        <v>7.15</v>
      </c>
      <c r="Z268" s="100">
        <f t="shared" si="34"/>
        <v>10296</v>
      </c>
    </row>
    <row r="269" spans="1:26">
      <c r="A269" s="108" t="s">
        <v>136</v>
      </c>
      <c r="B269" s="108" t="str">
        <f>IFERROR(VLOOKUP(Tablo518[[#This Row],[ÜRÜN KODU]],YMKODLARI!$A$1:$K$363,2,0)," ")</f>
        <v>DAMAK EMZİK TIPA</v>
      </c>
      <c r="C269" s="99">
        <v>44078</v>
      </c>
      <c r="D269" s="100" t="s">
        <v>36</v>
      </c>
      <c r="E269" s="101">
        <v>0.34027777777777773</v>
      </c>
      <c r="F269" s="101">
        <v>0.75</v>
      </c>
      <c r="G269" s="100">
        <f>IFERROR(VLOOKUP(Tablo518[[#This Row],[ÜRÜN KODU]],YMKODLARI!$A$1:$K$363,3,0)," ")</f>
        <v>8</v>
      </c>
      <c r="H269" s="100">
        <f>IFERROR(VLOOKUP(Tablo518[[#This Row],[ÜRÜN KODU]],YMKODLARI!$A$1:$K$363,4,0)," ")</f>
        <v>20</v>
      </c>
      <c r="I269" s="100">
        <v>1302</v>
      </c>
      <c r="J269" s="100" t="str">
        <f>IFERROR(VLOOKUP(Tablo518[[#This Row],[ÜRÜN KODU]],YMKODLARI!$A$1:$K$363,9,0)," ")</f>
        <v>9134A</v>
      </c>
      <c r="K269" s="100" t="str">
        <f>IFERROR(VLOOKUP(Tablo518[[#This Row],[BOYA KODU]],Tablo14[#All],4,0)," ")</f>
        <v>BEYAZ</v>
      </c>
      <c r="L269" s="100">
        <f>IFERROR(VLOOKUP(Tablo518[[#This Row],[BOYA KODU]],Tablo14[#All],6,0)," ")</f>
        <v>7.0000000000000001E-3</v>
      </c>
      <c r="M269" s="100">
        <f t="shared" si="28"/>
        <v>156.76079999999999</v>
      </c>
      <c r="N269" s="100" t="str">
        <f>IFERROR(VLOOKUP(Tablo518[[#This Row],[ÜRÜN KODU]],YMKODLARI!$A$1:$K$363,8,0)," ")</f>
        <v>HM 002</v>
      </c>
      <c r="O269" s="100" t="str">
        <f>IFERROR(VLOOKUP(Tablo518[[#This Row],[HAMMADDE KODU]],Tablo1[#All],3,0)," ")</f>
        <v>NOVAREX</v>
      </c>
      <c r="P269" s="100" t="str">
        <f>IFERROR(VLOOKUP(Tablo518[[#This Row],[HAMMADDE KODU]],Tablo1[#All],4,0)," ")</f>
        <v>PİNHAS</v>
      </c>
      <c r="Q269" s="100">
        <f>IFERROR(VLOOKUP(Tablo518[[#This Row],[ÜRÜN KODU]],YMKODLARI!$A$1:$K$363,5,0)," ")</f>
        <v>17.2</v>
      </c>
      <c r="R269" s="100">
        <f>IFERROR(VLOOKUP(Tablo518[[#This Row],[ÜRÜN KODU]],YMKODLARI!$A$1:$K$363,6,0)," ")</f>
        <v>15.4</v>
      </c>
      <c r="S269" s="100">
        <f>IFERROR(Tablo518[[#This Row],[YOLLUK HARİÇ BASKI GRAMI]]/Tablo518[[#This Row],[KALIP GÖZ ADEDİ]]," ")</f>
        <v>1.925</v>
      </c>
      <c r="T269" s="100">
        <f t="shared" si="30"/>
        <v>1.7999999999999989</v>
      </c>
      <c r="U269" s="100">
        <v>4</v>
      </c>
      <c r="V269" s="100">
        <f t="shared" si="29"/>
        <v>24.050799999999999</v>
      </c>
      <c r="W269" s="101">
        <f t="shared" si="31"/>
        <v>24.409722222222221</v>
      </c>
      <c r="X269" s="102">
        <f t="shared" si="32"/>
        <v>9.8333333333333144</v>
      </c>
      <c r="Y269" s="100">
        <f t="shared" si="33"/>
        <v>7.2333333333333334</v>
      </c>
      <c r="Z269" s="100">
        <f t="shared" si="34"/>
        <v>10416</v>
      </c>
    </row>
    <row r="270" spans="1:26">
      <c r="A270" s="108" t="s">
        <v>194</v>
      </c>
      <c r="B270" s="108" t="str">
        <f>IFERROR(VLOOKUP(Tablo518[[#This Row],[ÜRÜN KODU]],YMKODLARI!$A$1:$K$363,2,0)," ")</f>
        <v>250 ml BOMBELİ BİBERON KULP</v>
      </c>
      <c r="C270" s="99">
        <v>44082</v>
      </c>
      <c r="D270" s="100" t="s">
        <v>47</v>
      </c>
      <c r="E270" s="101">
        <v>0.51388888888888895</v>
      </c>
      <c r="F270" s="101">
        <v>0.70833333333333337</v>
      </c>
      <c r="G270" s="100">
        <f>IFERROR(VLOOKUP(Tablo518[[#This Row],[ÜRÜN KODU]],YMKODLARI!$A$1:$K$363,3,0)," ")</f>
        <v>2</v>
      </c>
      <c r="H270" s="100">
        <f>IFERROR(VLOOKUP(Tablo518[[#This Row],[ÜRÜN KODU]],YMKODLARI!$A$1:$K$363,4,0)," ")</f>
        <v>26</v>
      </c>
      <c r="I270" s="100">
        <v>550</v>
      </c>
      <c r="J270" s="100" t="str">
        <f>IFERROR(VLOOKUP(Tablo518[[#This Row],[ÜRÜN KODU]],YMKODLARI!$A$1:$K$363,9,0)," ")</f>
        <v>9134A</v>
      </c>
      <c r="K270" s="100" t="str">
        <f>IFERROR(VLOOKUP(Tablo518[[#This Row],[BOYA KODU]],Tablo14[#All],4,0)," ")</f>
        <v>BEYAZ</v>
      </c>
      <c r="L270" s="100">
        <f>IFERROR(VLOOKUP(Tablo518[[#This Row],[BOYA KODU]],Tablo14[#All],6,0)," ")</f>
        <v>7.0000000000000001E-3</v>
      </c>
      <c r="M270" s="100">
        <f t="shared" si="28"/>
        <v>99.33</v>
      </c>
      <c r="N270" s="100" t="str">
        <f>IFERROR(VLOOKUP(Tablo518[[#This Row],[ÜRÜN KODU]],YMKODLARI!$A$1:$K$363,8,0)," ")</f>
        <v>HM 001</v>
      </c>
      <c r="O270" s="100" t="str">
        <f>IFERROR(VLOOKUP(Tablo518[[#This Row],[HAMMADDE KODU]],Tablo1[#All],3,0)," ")</f>
        <v>CAPILENE</v>
      </c>
      <c r="P270" s="100" t="str">
        <f>IFERROR(VLOOKUP(Tablo518[[#This Row],[HAMMADDE KODU]],Tablo1[#All],4,0)," ")</f>
        <v>PİNHAS</v>
      </c>
      <c r="Q270" s="100">
        <f>IFERROR(VLOOKUP(Tablo518[[#This Row],[ÜRÜN KODU]],YMKODLARI!$A$1:$K$363,5,0)," ")</f>
        <v>25.8</v>
      </c>
      <c r="R270" s="100">
        <f>IFERROR(VLOOKUP(Tablo518[[#This Row],[ÜRÜN KODU]],YMKODLARI!$A$1:$K$363,6,0)," ")</f>
        <v>25</v>
      </c>
      <c r="S270" s="100">
        <f>IFERROR(Tablo518[[#This Row],[YOLLUK HARİÇ BASKI GRAMI]]/Tablo518[[#This Row],[KALIP GÖZ ADEDİ]]," ")</f>
        <v>12.5</v>
      </c>
      <c r="T270" s="100">
        <f t="shared" si="30"/>
        <v>0.80000000000000071</v>
      </c>
      <c r="U270" s="100">
        <v>1.7</v>
      </c>
      <c r="V270" s="100">
        <f t="shared" si="29"/>
        <v>15.45</v>
      </c>
      <c r="W270" s="101">
        <f t="shared" si="31"/>
        <v>24.194444444444443</v>
      </c>
      <c r="X270" s="102">
        <f t="shared" si="32"/>
        <v>4.6666666666666288</v>
      </c>
      <c r="Y270" s="100">
        <f t="shared" si="33"/>
        <v>3.9722222222222223</v>
      </c>
      <c r="Z270" s="100">
        <f t="shared" si="34"/>
        <v>1100</v>
      </c>
    </row>
    <row r="271" spans="1:26">
      <c r="A271" s="108" t="s">
        <v>195</v>
      </c>
      <c r="B271" s="108" t="str">
        <f>IFERROR(VLOOKUP(Tablo518[[#This Row],[ÜRÜN KODU]],YMKODLARI!$A$1:$K$363,2,0)," ")</f>
        <v>250 ml BOMBELİ BİBERON KULP</v>
      </c>
      <c r="C271" s="99">
        <v>44082</v>
      </c>
      <c r="D271" s="100" t="s">
        <v>47</v>
      </c>
      <c r="E271" s="101">
        <v>0.70833333333333337</v>
      </c>
      <c r="F271" s="101">
        <v>0.75</v>
      </c>
      <c r="G271" s="100">
        <f>IFERROR(VLOOKUP(Tablo518[[#This Row],[ÜRÜN KODU]],YMKODLARI!$A$1:$K$363,3,0)," ")</f>
        <v>2</v>
      </c>
      <c r="H271" s="100">
        <f>IFERROR(VLOOKUP(Tablo518[[#This Row],[ÜRÜN KODU]],YMKODLARI!$A$1:$K$363,4,0)," ")</f>
        <v>26</v>
      </c>
      <c r="I271" s="100">
        <v>144</v>
      </c>
      <c r="J271" s="100">
        <f>IFERROR(VLOOKUP(Tablo518[[#This Row],[ÜRÜN KODU]],YMKODLARI!$A$1:$K$363,9,0)," ")</f>
        <v>1290</v>
      </c>
      <c r="K271" s="100" t="str">
        <f>IFERROR(VLOOKUP(Tablo518[[#This Row],[BOYA KODU]],Tablo14[#All],4,0)," ")</f>
        <v>SARI</v>
      </c>
      <c r="L271" s="100">
        <f>IFERROR(VLOOKUP(Tablo518[[#This Row],[BOYA KODU]],Tablo14[#All],6,0)," ")</f>
        <v>5.0000000000000001E-3</v>
      </c>
      <c r="M271" s="100">
        <f t="shared" si="28"/>
        <v>18.576000000000001</v>
      </c>
      <c r="N271" s="100" t="str">
        <f>IFERROR(VLOOKUP(Tablo518[[#This Row],[ÜRÜN KODU]],YMKODLARI!$A$1:$K$363,8,0)," ")</f>
        <v>HM 001</v>
      </c>
      <c r="O271" s="100" t="str">
        <f>IFERROR(VLOOKUP(Tablo518[[#This Row],[HAMMADDE KODU]],Tablo1[#All],3,0)," ")</f>
        <v>CAPILENE</v>
      </c>
      <c r="P271" s="100" t="str">
        <f>IFERROR(VLOOKUP(Tablo518[[#This Row],[HAMMADDE KODU]],Tablo1[#All],4,0)," ")</f>
        <v>PİNHAS</v>
      </c>
      <c r="Q271" s="100">
        <f>IFERROR(VLOOKUP(Tablo518[[#This Row],[ÜRÜN KODU]],YMKODLARI!$A$1:$K$363,5,0)," ")</f>
        <v>25.8</v>
      </c>
      <c r="R271" s="100">
        <f>IFERROR(VLOOKUP(Tablo518[[#This Row],[ÜRÜN KODU]],YMKODLARI!$A$1:$K$363,6,0)," ")</f>
        <v>25</v>
      </c>
      <c r="S271" s="100">
        <f>IFERROR(Tablo518[[#This Row],[YOLLUK HARİÇ BASKI GRAMI]]/Tablo518[[#This Row],[KALIP GÖZ ADEDİ]]," ")</f>
        <v>12.5</v>
      </c>
      <c r="T271" s="100">
        <f t="shared" si="30"/>
        <v>0.80000000000000071</v>
      </c>
      <c r="U271" s="100"/>
      <c r="V271" s="100">
        <f t="shared" si="29"/>
        <v>3.6</v>
      </c>
      <c r="W271" s="101">
        <f t="shared" si="31"/>
        <v>24.041666666666668</v>
      </c>
      <c r="X271" s="102">
        <f t="shared" si="32"/>
        <v>1.0000000000000284</v>
      </c>
      <c r="Y271" s="100">
        <f t="shared" si="33"/>
        <v>1.04</v>
      </c>
      <c r="Z271" s="100">
        <f t="shared" si="34"/>
        <v>288</v>
      </c>
    </row>
    <row r="272" spans="1:26">
      <c r="A272" s="108" t="s">
        <v>195</v>
      </c>
      <c r="B272" s="108" t="str">
        <f>IFERROR(VLOOKUP(Tablo518[[#This Row],[ÜRÜN KODU]],YMKODLARI!$A$1:$K$363,2,0)," ")</f>
        <v>250 ml BOMBELİ BİBERON KULP</v>
      </c>
      <c r="C272" s="99">
        <v>44083</v>
      </c>
      <c r="D272" s="100" t="s">
        <v>47</v>
      </c>
      <c r="E272" s="101">
        <v>0.41666666666666669</v>
      </c>
      <c r="F272" s="101">
        <v>0.53819444444444442</v>
      </c>
      <c r="G272" s="100">
        <f>IFERROR(VLOOKUP(Tablo518[[#This Row],[ÜRÜN KODU]],YMKODLARI!$A$1:$K$363,3,0)," ")</f>
        <v>2</v>
      </c>
      <c r="H272" s="100">
        <f>IFERROR(VLOOKUP(Tablo518[[#This Row],[ÜRÜN KODU]],YMKODLARI!$A$1:$K$363,4,0)," ")</f>
        <v>26</v>
      </c>
      <c r="I272" s="100">
        <v>405</v>
      </c>
      <c r="J272" s="100">
        <f>IFERROR(VLOOKUP(Tablo518[[#This Row],[ÜRÜN KODU]],YMKODLARI!$A$1:$K$363,9,0)," ")</f>
        <v>1290</v>
      </c>
      <c r="K272" s="100" t="str">
        <f>IFERROR(VLOOKUP(Tablo518[[#This Row],[BOYA KODU]],Tablo14[#All],4,0)," ")</f>
        <v>SARI</v>
      </c>
      <c r="L272" s="100">
        <f>IFERROR(VLOOKUP(Tablo518[[#This Row],[BOYA KODU]],Tablo14[#All],6,0)," ")</f>
        <v>5.0000000000000001E-3</v>
      </c>
      <c r="M272" s="100">
        <f t="shared" si="28"/>
        <v>52.245000000000005</v>
      </c>
      <c r="N272" s="100" t="str">
        <f>IFERROR(VLOOKUP(Tablo518[[#This Row],[ÜRÜN KODU]],YMKODLARI!$A$1:$K$363,8,0)," ")</f>
        <v>HM 001</v>
      </c>
      <c r="O272" s="100" t="str">
        <f>IFERROR(VLOOKUP(Tablo518[[#This Row],[HAMMADDE KODU]],Tablo1[#All],3,0)," ")</f>
        <v>CAPILENE</v>
      </c>
      <c r="P272" s="100" t="str">
        <f>IFERROR(VLOOKUP(Tablo518[[#This Row],[HAMMADDE KODU]],Tablo1[#All],4,0)," ")</f>
        <v>PİNHAS</v>
      </c>
      <c r="Q272" s="100">
        <f>IFERROR(VLOOKUP(Tablo518[[#This Row],[ÜRÜN KODU]],YMKODLARI!$A$1:$K$363,5,0)," ")</f>
        <v>25.8</v>
      </c>
      <c r="R272" s="100">
        <f>IFERROR(VLOOKUP(Tablo518[[#This Row],[ÜRÜN KODU]],YMKODLARI!$A$1:$K$363,6,0)," ")</f>
        <v>25</v>
      </c>
      <c r="S272" s="100">
        <f>IFERROR(Tablo518[[#This Row],[YOLLUK HARİÇ BASKI GRAMI]]/Tablo518[[#This Row],[KALIP GÖZ ADEDİ]]," ")</f>
        <v>12.5</v>
      </c>
      <c r="T272" s="100">
        <f t="shared" si="30"/>
        <v>0.80000000000000071</v>
      </c>
      <c r="U272" s="100">
        <v>1.4</v>
      </c>
      <c r="V272" s="100">
        <f t="shared" si="29"/>
        <v>11.525</v>
      </c>
      <c r="W272" s="101">
        <f t="shared" si="31"/>
        <v>24.121527777777779</v>
      </c>
      <c r="X272" s="102">
        <f t="shared" si="32"/>
        <v>2.9166666666666856</v>
      </c>
      <c r="Y272" s="100">
        <f t="shared" si="33"/>
        <v>2.9249999999999998</v>
      </c>
      <c r="Z272" s="100">
        <f t="shared" si="34"/>
        <v>810</v>
      </c>
    </row>
    <row r="273" spans="1:26">
      <c r="A273" s="108" t="s">
        <v>196</v>
      </c>
      <c r="B273" s="108" t="str">
        <f>IFERROR(VLOOKUP(Tablo518[[#This Row],[ÜRÜN KODU]],YMKODLARI!$A$1:$K$363,2,0)," ")</f>
        <v>250 ml BOMBELİ BİBERON KULP</v>
      </c>
      <c r="C273" s="99">
        <v>44083</v>
      </c>
      <c r="D273" s="100" t="s">
        <v>47</v>
      </c>
      <c r="E273" s="101">
        <v>0.53819444444444442</v>
      </c>
      <c r="F273" s="101">
        <v>0.65277777777777779</v>
      </c>
      <c r="G273" s="100">
        <f>IFERROR(VLOOKUP(Tablo518[[#This Row],[ÜRÜN KODU]],YMKODLARI!$A$1:$K$363,3,0)," ")</f>
        <v>2</v>
      </c>
      <c r="H273" s="100">
        <f>IFERROR(VLOOKUP(Tablo518[[#This Row],[ÜRÜN KODU]],YMKODLARI!$A$1:$K$363,4,0)," ")</f>
        <v>26</v>
      </c>
      <c r="I273" s="100">
        <v>300</v>
      </c>
      <c r="J273" s="100">
        <f>IFERROR(VLOOKUP(Tablo518[[#This Row],[ÜRÜN KODU]],YMKODLARI!$A$1:$K$363,9,0)," ")</f>
        <v>3409</v>
      </c>
      <c r="K273" s="100" t="str">
        <f>IFERROR(VLOOKUP(Tablo518[[#This Row],[BOYA KODU]],Tablo14[#All],4,0)," ")</f>
        <v>PEMBE</v>
      </c>
      <c r="L273" s="100">
        <f>IFERROR(VLOOKUP(Tablo518[[#This Row],[BOYA KODU]],Tablo14[#All],6,0)," ")</f>
        <v>5.0000000000000001E-3</v>
      </c>
      <c r="M273" s="100">
        <f t="shared" si="28"/>
        <v>38.700000000000003</v>
      </c>
      <c r="N273" s="100" t="str">
        <f>IFERROR(VLOOKUP(Tablo518[[#This Row],[ÜRÜN KODU]],YMKODLARI!$A$1:$K$363,8,0)," ")</f>
        <v>HM 001</v>
      </c>
      <c r="O273" s="100" t="str">
        <f>IFERROR(VLOOKUP(Tablo518[[#This Row],[HAMMADDE KODU]],Tablo1[#All],3,0)," ")</f>
        <v>CAPILENE</v>
      </c>
      <c r="P273" s="100" t="str">
        <f>IFERROR(VLOOKUP(Tablo518[[#This Row],[HAMMADDE KODU]],Tablo1[#All],4,0)," ")</f>
        <v>PİNHAS</v>
      </c>
      <c r="Q273" s="100">
        <f>IFERROR(VLOOKUP(Tablo518[[#This Row],[ÜRÜN KODU]],YMKODLARI!$A$1:$K$363,5,0)," ")</f>
        <v>25.8</v>
      </c>
      <c r="R273" s="100">
        <f>IFERROR(VLOOKUP(Tablo518[[#This Row],[ÜRÜN KODU]],YMKODLARI!$A$1:$K$363,6,0)," ")</f>
        <v>25</v>
      </c>
      <c r="S273" s="100">
        <f>IFERROR(Tablo518[[#This Row],[YOLLUK HARİÇ BASKI GRAMI]]/Tablo518[[#This Row],[KALIP GÖZ ADEDİ]]," ")</f>
        <v>12.5</v>
      </c>
      <c r="T273" s="100">
        <f t="shared" si="30"/>
        <v>0.80000000000000071</v>
      </c>
      <c r="U273" s="100">
        <v>6.5</v>
      </c>
      <c r="V273" s="100">
        <f t="shared" si="29"/>
        <v>14</v>
      </c>
      <c r="W273" s="101">
        <f t="shared" si="31"/>
        <v>24.114583333333332</v>
      </c>
      <c r="X273" s="102">
        <f t="shared" si="32"/>
        <v>2.7499999999999716</v>
      </c>
      <c r="Y273" s="100">
        <f t="shared" si="33"/>
        <v>2.1666666666666665</v>
      </c>
      <c r="Z273" s="100">
        <f t="shared" si="34"/>
        <v>600</v>
      </c>
    </row>
    <row r="274" spans="1:26">
      <c r="A274" s="108" t="s">
        <v>196</v>
      </c>
      <c r="B274" s="108" t="str">
        <f>IFERROR(VLOOKUP(Tablo518[[#This Row],[ÜRÜN KODU]],YMKODLARI!$A$1:$K$363,2,0)," ")</f>
        <v>250 ml BOMBELİ BİBERON KULP</v>
      </c>
      <c r="C274" s="99">
        <v>44084</v>
      </c>
      <c r="D274" s="100" t="s">
        <v>47</v>
      </c>
      <c r="E274" s="101">
        <v>0.34375</v>
      </c>
      <c r="F274" s="101">
        <v>0.4861111111111111</v>
      </c>
      <c r="G274" s="100">
        <f>IFERROR(VLOOKUP(Tablo518[[#This Row],[ÜRÜN KODU]],YMKODLARI!$A$1:$K$363,3,0)," ")</f>
        <v>2</v>
      </c>
      <c r="H274" s="100">
        <f>IFERROR(VLOOKUP(Tablo518[[#This Row],[ÜRÜN KODU]],YMKODLARI!$A$1:$K$363,4,0)," ")</f>
        <v>26</v>
      </c>
      <c r="I274" s="100">
        <v>386</v>
      </c>
      <c r="J274" s="100">
        <f>IFERROR(VLOOKUP(Tablo518[[#This Row],[ÜRÜN KODU]],YMKODLARI!$A$1:$K$363,9,0)," ")</f>
        <v>3409</v>
      </c>
      <c r="K274" s="100" t="str">
        <f>IFERROR(VLOOKUP(Tablo518[[#This Row],[BOYA KODU]],Tablo14[#All],4,0)," ")</f>
        <v>PEMBE</v>
      </c>
      <c r="L274" s="100">
        <f>IFERROR(VLOOKUP(Tablo518[[#This Row],[BOYA KODU]],Tablo14[#All],6,0)," ")</f>
        <v>5.0000000000000001E-3</v>
      </c>
      <c r="M274" s="100">
        <f t="shared" si="28"/>
        <v>49.794000000000004</v>
      </c>
      <c r="N274" s="100" t="str">
        <f>IFERROR(VLOOKUP(Tablo518[[#This Row],[ÜRÜN KODU]],YMKODLARI!$A$1:$K$363,8,0)," ")</f>
        <v>HM 001</v>
      </c>
      <c r="O274" s="100" t="str">
        <f>IFERROR(VLOOKUP(Tablo518[[#This Row],[HAMMADDE KODU]],Tablo1[#All],3,0)," ")</f>
        <v>CAPILENE</v>
      </c>
      <c r="P274" s="100" t="str">
        <f>IFERROR(VLOOKUP(Tablo518[[#This Row],[HAMMADDE KODU]],Tablo1[#All],4,0)," ")</f>
        <v>PİNHAS</v>
      </c>
      <c r="Q274" s="100">
        <f>IFERROR(VLOOKUP(Tablo518[[#This Row],[ÜRÜN KODU]],YMKODLARI!$A$1:$K$363,5,0)," ")</f>
        <v>25.8</v>
      </c>
      <c r="R274" s="100">
        <f>IFERROR(VLOOKUP(Tablo518[[#This Row],[ÜRÜN KODU]],YMKODLARI!$A$1:$K$363,6,0)," ")</f>
        <v>25</v>
      </c>
      <c r="S274" s="100">
        <f>IFERROR(Tablo518[[#This Row],[YOLLUK HARİÇ BASKI GRAMI]]/Tablo518[[#This Row],[KALIP GÖZ ADEDİ]]," ")</f>
        <v>12.5</v>
      </c>
      <c r="T274" s="100">
        <f t="shared" si="30"/>
        <v>0.80000000000000071</v>
      </c>
      <c r="U274" s="100">
        <v>1.4</v>
      </c>
      <c r="V274" s="100">
        <f t="shared" si="29"/>
        <v>11.05</v>
      </c>
      <c r="W274" s="101">
        <f t="shared" si="31"/>
        <v>24.142361111111111</v>
      </c>
      <c r="X274" s="102">
        <f t="shared" si="32"/>
        <v>3.4166666666666572</v>
      </c>
      <c r="Y274" s="100">
        <f t="shared" si="33"/>
        <v>2.7877777777777779</v>
      </c>
      <c r="Z274" s="100">
        <f t="shared" si="34"/>
        <v>772</v>
      </c>
    </row>
    <row r="275" spans="1:26">
      <c r="A275" s="108" t="s">
        <v>197</v>
      </c>
      <c r="B275" s="108" t="str">
        <f>IFERROR(VLOOKUP(Tablo518[[#This Row],[ÜRÜN KODU]],YMKODLARI!$A$1:$K$363,2,0)," ")</f>
        <v>250 ml BOMBELİ BİBERON KULP</v>
      </c>
      <c r="C275" s="99">
        <v>44084</v>
      </c>
      <c r="D275" s="100" t="s">
        <v>47</v>
      </c>
      <c r="E275" s="101">
        <v>0.4861111111111111</v>
      </c>
      <c r="F275" s="101">
        <v>0.72569444444444453</v>
      </c>
      <c r="G275" s="100">
        <f>IFERROR(VLOOKUP(Tablo518[[#This Row],[ÜRÜN KODU]],YMKODLARI!$A$1:$K$363,3,0)," ")</f>
        <v>2</v>
      </c>
      <c r="H275" s="100">
        <f>IFERROR(VLOOKUP(Tablo518[[#This Row],[ÜRÜN KODU]],YMKODLARI!$A$1:$K$363,4,0)," ")</f>
        <v>26</v>
      </c>
      <c r="I275" s="100">
        <v>666</v>
      </c>
      <c r="J275" s="100">
        <f>IFERROR(VLOOKUP(Tablo518[[#This Row],[ÜRÜN KODU]],YMKODLARI!$A$1:$K$363,9,0)," ")</f>
        <v>5287</v>
      </c>
      <c r="K275" s="100" t="str">
        <f>IFERROR(VLOOKUP(Tablo518[[#This Row],[BOYA KODU]],Tablo14[#All],4,0)," ")</f>
        <v>MAVİ</v>
      </c>
      <c r="L275" s="100">
        <f>IFERROR(VLOOKUP(Tablo518[[#This Row],[BOYA KODU]],Tablo14[#All],6,0)," ")</f>
        <v>5.0000000000000001E-3</v>
      </c>
      <c r="M275" s="100">
        <f t="shared" si="28"/>
        <v>85.914000000000001</v>
      </c>
      <c r="N275" s="100" t="str">
        <f>IFERROR(VLOOKUP(Tablo518[[#This Row],[ÜRÜN KODU]],YMKODLARI!$A$1:$K$363,8,0)," ")</f>
        <v>HM 001</v>
      </c>
      <c r="O275" s="100" t="str">
        <f>IFERROR(VLOOKUP(Tablo518[[#This Row],[HAMMADDE KODU]],Tablo1[#All],3,0)," ")</f>
        <v>CAPILENE</v>
      </c>
      <c r="P275" s="100" t="str">
        <f>IFERROR(VLOOKUP(Tablo518[[#This Row],[HAMMADDE KODU]],Tablo1[#All],4,0)," ")</f>
        <v>PİNHAS</v>
      </c>
      <c r="Q275" s="100">
        <f>IFERROR(VLOOKUP(Tablo518[[#This Row],[ÜRÜN KODU]],YMKODLARI!$A$1:$K$363,5,0)," ")</f>
        <v>25.8</v>
      </c>
      <c r="R275" s="100">
        <f>IFERROR(VLOOKUP(Tablo518[[#This Row],[ÜRÜN KODU]],YMKODLARI!$A$1:$K$363,6,0)," ")</f>
        <v>25</v>
      </c>
      <c r="S275" s="100">
        <f>IFERROR(Tablo518[[#This Row],[YOLLUK HARİÇ BASKI GRAMI]]/Tablo518[[#This Row],[KALIP GÖZ ADEDİ]]," ")</f>
        <v>12.5</v>
      </c>
      <c r="T275" s="100">
        <f t="shared" si="30"/>
        <v>0.80000000000000071</v>
      </c>
      <c r="U275" s="100">
        <v>1.3</v>
      </c>
      <c r="V275" s="100">
        <f t="shared" si="29"/>
        <v>17.95</v>
      </c>
      <c r="W275" s="101">
        <f t="shared" si="31"/>
        <v>24.239583333333332</v>
      </c>
      <c r="X275" s="102">
        <f t="shared" si="32"/>
        <v>5.7499999999999716</v>
      </c>
      <c r="Y275" s="100">
        <f t="shared" si="33"/>
        <v>4.8099999999999996</v>
      </c>
      <c r="Z275" s="100">
        <f t="shared" si="34"/>
        <v>1332</v>
      </c>
    </row>
    <row r="276" spans="1:26">
      <c r="A276" s="108" t="s">
        <v>198</v>
      </c>
      <c r="B276" s="108" t="str">
        <f>IFERROR(VLOOKUP(Tablo518[[#This Row],[ÜRÜN KODU]],YMKODLARI!$A$1:$K$363,2,0)," ")</f>
        <v>250 ml BOMBELİ BİBERON KULP</v>
      </c>
      <c r="C276" s="99">
        <v>44084</v>
      </c>
      <c r="D276" s="100" t="s">
        <v>47</v>
      </c>
      <c r="E276" s="101">
        <v>0.72569444444444453</v>
      </c>
      <c r="F276" s="101">
        <v>0.75</v>
      </c>
      <c r="G276" s="100">
        <f>IFERROR(VLOOKUP(Tablo518[[#This Row],[ÜRÜN KODU]],YMKODLARI!$A$1:$K$363,3,0)," ")</f>
        <v>2</v>
      </c>
      <c r="H276" s="100">
        <f>IFERROR(VLOOKUP(Tablo518[[#This Row],[ÜRÜN KODU]],YMKODLARI!$A$1:$K$363,4,0)," ")</f>
        <v>26</v>
      </c>
      <c r="I276" s="100">
        <v>80</v>
      </c>
      <c r="J276" s="100">
        <f>IFERROR(VLOOKUP(Tablo518[[#This Row],[ÜRÜN KODU]],YMKODLARI!$A$1:$K$363,9,0)," ")</f>
        <v>4090</v>
      </c>
      <c r="K276" s="100" t="str">
        <f>IFERROR(VLOOKUP(Tablo518[[#This Row],[BOYA KODU]],Tablo14[#All],4,0)," ")</f>
        <v>LİLA</v>
      </c>
      <c r="L276" s="100">
        <f>IFERROR(VLOOKUP(Tablo518[[#This Row],[BOYA KODU]],Tablo14[#All],6,0)," ")</f>
        <v>5.0000000000000001E-3</v>
      </c>
      <c r="M276" s="100">
        <f t="shared" si="28"/>
        <v>10.32</v>
      </c>
      <c r="N276" s="100" t="str">
        <f>IFERROR(VLOOKUP(Tablo518[[#This Row],[ÜRÜN KODU]],YMKODLARI!$A$1:$K$363,8,0)," ")</f>
        <v>HM 001</v>
      </c>
      <c r="O276" s="100" t="str">
        <f>IFERROR(VLOOKUP(Tablo518[[#This Row],[HAMMADDE KODU]],Tablo1[#All],3,0)," ")</f>
        <v>CAPILENE</v>
      </c>
      <c r="P276" s="100" t="str">
        <f>IFERROR(VLOOKUP(Tablo518[[#This Row],[HAMMADDE KODU]],Tablo1[#All],4,0)," ")</f>
        <v>PİNHAS</v>
      </c>
      <c r="Q276" s="100">
        <f>IFERROR(VLOOKUP(Tablo518[[#This Row],[ÜRÜN KODU]],YMKODLARI!$A$1:$K$363,5,0)," ")</f>
        <v>25.8</v>
      </c>
      <c r="R276" s="100">
        <f>IFERROR(VLOOKUP(Tablo518[[#This Row],[ÜRÜN KODU]],YMKODLARI!$A$1:$K$363,6,0)," ")</f>
        <v>25</v>
      </c>
      <c r="S276" s="100">
        <f>IFERROR(Tablo518[[#This Row],[YOLLUK HARİÇ BASKI GRAMI]]/Tablo518[[#This Row],[KALIP GÖZ ADEDİ]]," ")</f>
        <v>12.5</v>
      </c>
      <c r="T276" s="100">
        <f t="shared" si="30"/>
        <v>0.80000000000000071</v>
      </c>
      <c r="U276" s="100">
        <v>0.8</v>
      </c>
      <c r="V276" s="100">
        <f t="shared" si="29"/>
        <v>2.8</v>
      </c>
      <c r="W276" s="101">
        <f t="shared" si="31"/>
        <v>24.024305555555557</v>
      </c>
      <c r="X276" s="102">
        <f t="shared" si="32"/>
        <v>0.58333333333337123</v>
      </c>
      <c r="Y276" s="100">
        <f t="shared" si="33"/>
        <v>0.57777777777777772</v>
      </c>
      <c r="Z276" s="100">
        <f t="shared" si="34"/>
        <v>160</v>
      </c>
    </row>
    <row r="277" spans="1:26">
      <c r="A277" s="108" t="s">
        <v>198</v>
      </c>
      <c r="B277" s="108" t="str">
        <f>IFERROR(VLOOKUP(Tablo518[[#This Row],[ÜRÜN KODU]],YMKODLARI!$A$1:$K$363,2,0)," ")</f>
        <v>250 ml BOMBELİ BİBERON KULP</v>
      </c>
      <c r="C277" s="99">
        <v>44085</v>
      </c>
      <c r="D277" s="100" t="s">
        <v>47</v>
      </c>
      <c r="E277" s="101">
        <v>0.33333333333333331</v>
      </c>
      <c r="F277" s="101">
        <v>0.39930555555555558</v>
      </c>
      <c r="G277" s="100">
        <f>IFERROR(VLOOKUP(Tablo518[[#This Row],[ÜRÜN KODU]],YMKODLARI!$A$1:$K$363,3,0)," ")</f>
        <v>2</v>
      </c>
      <c r="H277" s="100">
        <f>IFERROR(VLOOKUP(Tablo518[[#This Row],[ÜRÜN KODU]],YMKODLARI!$A$1:$K$363,4,0)," ")</f>
        <v>26</v>
      </c>
      <c r="I277" s="100">
        <v>205</v>
      </c>
      <c r="J277" s="100">
        <f>IFERROR(VLOOKUP(Tablo518[[#This Row],[ÜRÜN KODU]],YMKODLARI!$A$1:$K$363,9,0)," ")</f>
        <v>4090</v>
      </c>
      <c r="K277" s="100" t="str">
        <f>IFERROR(VLOOKUP(Tablo518[[#This Row],[BOYA KODU]],Tablo14[#All],4,0)," ")</f>
        <v>LİLA</v>
      </c>
      <c r="L277" s="100">
        <f>IFERROR(VLOOKUP(Tablo518[[#This Row],[BOYA KODU]],Tablo14[#All],6,0)," ")</f>
        <v>5.0000000000000001E-3</v>
      </c>
      <c r="M277" s="100">
        <f t="shared" si="28"/>
        <v>26.445</v>
      </c>
      <c r="N277" s="100" t="str">
        <f>IFERROR(VLOOKUP(Tablo518[[#This Row],[ÜRÜN KODU]],YMKODLARI!$A$1:$K$363,8,0)," ")</f>
        <v>HM 001</v>
      </c>
      <c r="O277" s="100" t="str">
        <f>IFERROR(VLOOKUP(Tablo518[[#This Row],[HAMMADDE KODU]],Tablo1[#All],3,0)," ")</f>
        <v>CAPILENE</v>
      </c>
      <c r="P277" s="100" t="str">
        <f>IFERROR(VLOOKUP(Tablo518[[#This Row],[HAMMADDE KODU]],Tablo1[#All],4,0)," ")</f>
        <v>PİNHAS</v>
      </c>
      <c r="Q277" s="100">
        <f>IFERROR(VLOOKUP(Tablo518[[#This Row],[ÜRÜN KODU]],YMKODLARI!$A$1:$K$363,5,0)," ")</f>
        <v>25.8</v>
      </c>
      <c r="R277" s="100">
        <f>IFERROR(VLOOKUP(Tablo518[[#This Row],[ÜRÜN KODU]],YMKODLARI!$A$1:$K$363,6,0)," ")</f>
        <v>25</v>
      </c>
      <c r="S277" s="100">
        <f>IFERROR(Tablo518[[#This Row],[YOLLUK HARİÇ BASKI GRAMI]]/Tablo518[[#This Row],[KALIP GÖZ ADEDİ]]," ")</f>
        <v>12.5</v>
      </c>
      <c r="T277" s="100">
        <f t="shared" si="30"/>
        <v>0.80000000000000071</v>
      </c>
      <c r="U277" s="100"/>
      <c r="V277" s="100">
        <f t="shared" si="29"/>
        <v>5.125</v>
      </c>
      <c r="W277" s="101">
        <f t="shared" si="31"/>
        <v>24.065972222222221</v>
      </c>
      <c r="X277" s="102">
        <f t="shared" si="32"/>
        <v>1.5833333333333144</v>
      </c>
      <c r="Y277" s="100">
        <f t="shared" si="33"/>
        <v>1.4805555555555556</v>
      </c>
      <c r="Z277" s="100">
        <f t="shared" si="34"/>
        <v>410</v>
      </c>
    </row>
    <row r="278" spans="1:26">
      <c r="A278" s="108" t="s">
        <v>199</v>
      </c>
      <c r="B278" s="108" t="str">
        <f>IFERROR(VLOOKUP(Tablo518[[#This Row],[ÜRÜN KODU]],YMKODLARI!$A$1:$K$363,2,0)," ")</f>
        <v>250 ml BOMBELİ BİBERON KULP</v>
      </c>
      <c r="C278" s="99">
        <v>44085</v>
      </c>
      <c r="D278" s="100" t="s">
        <v>47</v>
      </c>
      <c r="E278" s="101">
        <v>0.39930555555555558</v>
      </c>
      <c r="F278" s="101">
        <v>0.63194444444444442</v>
      </c>
      <c r="G278" s="100">
        <f>IFERROR(VLOOKUP(Tablo518[[#This Row],[ÜRÜN KODU]],YMKODLARI!$A$1:$K$363,3,0)," ")</f>
        <v>2</v>
      </c>
      <c r="H278" s="100">
        <f>IFERROR(VLOOKUP(Tablo518[[#This Row],[ÜRÜN KODU]],YMKODLARI!$A$1:$K$363,4,0)," ")</f>
        <v>26</v>
      </c>
      <c r="I278" s="100">
        <v>500</v>
      </c>
      <c r="J278" s="100">
        <f>IFERROR(VLOOKUP(Tablo518[[#This Row],[ÜRÜN KODU]],YMKODLARI!$A$1:$K$363,9,0)," ")</f>
        <v>3041</v>
      </c>
      <c r="K278" s="100" t="str">
        <f>IFERROR(VLOOKUP(Tablo518[[#This Row],[BOYA KODU]],Tablo14[#All],4,0)," ")</f>
        <v>KIRMIZI</v>
      </c>
      <c r="L278" s="100">
        <f>IFERROR(VLOOKUP(Tablo518[[#This Row],[BOYA KODU]],Tablo14[#All],6,0)," ")</f>
        <v>5.0000000000000001E-3</v>
      </c>
      <c r="M278" s="100">
        <f t="shared" si="28"/>
        <v>64.5</v>
      </c>
      <c r="N278" s="100" t="str">
        <f>IFERROR(VLOOKUP(Tablo518[[#This Row],[ÜRÜN KODU]],YMKODLARI!$A$1:$K$363,8,0)," ")</f>
        <v>HM 001</v>
      </c>
      <c r="O278" s="100" t="str">
        <f>IFERROR(VLOOKUP(Tablo518[[#This Row],[HAMMADDE KODU]],Tablo1[#All],3,0)," ")</f>
        <v>CAPILENE</v>
      </c>
      <c r="P278" s="100" t="str">
        <f>IFERROR(VLOOKUP(Tablo518[[#This Row],[HAMMADDE KODU]],Tablo1[#All],4,0)," ")</f>
        <v>PİNHAS</v>
      </c>
      <c r="Q278" s="100">
        <f>IFERROR(VLOOKUP(Tablo518[[#This Row],[ÜRÜN KODU]],YMKODLARI!$A$1:$K$363,5,0)," ")</f>
        <v>25.8</v>
      </c>
      <c r="R278" s="100">
        <f>IFERROR(VLOOKUP(Tablo518[[#This Row],[ÜRÜN KODU]],YMKODLARI!$A$1:$K$363,6,0)," ")</f>
        <v>25</v>
      </c>
      <c r="S278" s="100">
        <f>IFERROR(Tablo518[[#This Row],[YOLLUK HARİÇ BASKI GRAMI]]/Tablo518[[#This Row],[KALIP GÖZ ADEDİ]]," ")</f>
        <v>12.5</v>
      </c>
      <c r="T278" s="100">
        <f t="shared" si="30"/>
        <v>0.80000000000000071</v>
      </c>
      <c r="U278" s="100">
        <v>1.7</v>
      </c>
      <c r="V278" s="100">
        <f t="shared" si="29"/>
        <v>14.2</v>
      </c>
      <c r="W278" s="101">
        <f t="shared" si="31"/>
        <v>24.232638888888889</v>
      </c>
      <c r="X278" s="102">
        <f t="shared" si="32"/>
        <v>5.5833333333333428</v>
      </c>
      <c r="Y278" s="100">
        <f t="shared" si="33"/>
        <v>3.6111111111111112</v>
      </c>
      <c r="Z278" s="100">
        <f t="shared" si="34"/>
        <v>1000</v>
      </c>
    </row>
    <row r="279" spans="1:26">
      <c r="A279" s="108" t="s">
        <v>200</v>
      </c>
      <c r="B279" s="108" t="str">
        <f>IFERROR(VLOOKUP(Tablo518[[#This Row],[ÜRÜN KODU]],YMKODLARI!$A$1:$K$363,2,0)," ")</f>
        <v>KLASİK EMZİK GÖVDE</v>
      </c>
      <c r="C279" s="99">
        <v>44088</v>
      </c>
      <c r="D279" s="100" t="s">
        <v>47</v>
      </c>
      <c r="E279" s="101">
        <v>0.5625</v>
      </c>
      <c r="F279" s="101">
        <v>0.75</v>
      </c>
      <c r="G279" s="100">
        <f>IFERROR(VLOOKUP(Tablo518[[#This Row],[ÜRÜN KODU]],YMKODLARI!$A$1:$K$363,3,0)," ")</f>
        <v>8</v>
      </c>
      <c r="H279" s="100">
        <f>IFERROR(VLOOKUP(Tablo518[[#This Row],[ÜRÜN KODU]],YMKODLARI!$A$1:$K$363,4,0)," ")</f>
        <v>21</v>
      </c>
      <c r="I279" s="100">
        <v>835</v>
      </c>
      <c r="J279" s="100" t="str">
        <f>IFERROR(VLOOKUP(Tablo518[[#This Row],[ÜRÜN KODU]],YMKODLARI!$A$1:$K$363,9,0)," ")</f>
        <v>9134A</v>
      </c>
      <c r="K279" s="100" t="str">
        <f>IFERROR(VLOOKUP(Tablo518[[#This Row],[BOYA KODU]],Tablo14[#All],4,0)," ")</f>
        <v>BEYAZ</v>
      </c>
      <c r="L279" s="100">
        <f>IFERROR(VLOOKUP(Tablo518[[#This Row],[BOYA KODU]],Tablo14[#All],6,0)," ")</f>
        <v>7.0000000000000001E-3</v>
      </c>
      <c r="M279" s="100">
        <f t="shared" si="28"/>
        <v>183.53300000000002</v>
      </c>
      <c r="N279" s="100" t="str">
        <f>IFERROR(VLOOKUP(Tablo518[[#This Row],[ÜRÜN KODU]],YMKODLARI!$A$1:$K$363,8,0)," ")</f>
        <v>HM 002</v>
      </c>
      <c r="O279" s="100" t="str">
        <f>IFERROR(VLOOKUP(Tablo518[[#This Row],[HAMMADDE KODU]],Tablo1[#All],3,0)," ")</f>
        <v>NOVAREX</v>
      </c>
      <c r="P279" s="100" t="str">
        <f>IFERROR(VLOOKUP(Tablo518[[#This Row],[HAMMADDE KODU]],Tablo1[#All],4,0)," ")</f>
        <v>PİNHAS</v>
      </c>
      <c r="Q279" s="100">
        <f>IFERROR(VLOOKUP(Tablo518[[#This Row],[ÜRÜN KODU]],YMKODLARI!$A$1:$K$363,5,0)," ")</f>
        <v>31.4</v>
      </c>
      <c r="R279" s="100">
        <f>IFERROR(VLOOKUP(Tablo518[[#This Row],[ÜRÜN KODU]],YMKODLARI!$A$1:$K$363,6,0)," ")</f>
        <v>30.4</v>
      </c>
      <c r="S279" s="100">
        <f>IFERROR(Tablo518[[#This Row],[YOLLUK HARİÇ BASKI GRAMI]]/Tablo518[[#This Row],[KALIP GÖZ ADEDİ]]," ")</f>
        <v>3.8</v>
      </c>
      <c r="T279" s="100">
        <f t="shared" si="30"/>
        <v>1</v>
      </c>
      <c r="U279" s="100"/>
      <c r="V279" s="100">
        <f t="shared" si="29"/>
        <v>25.384</v>
      </c>
      <c r="W279" s="101">
        <f t="shared" si="31"/>
        <v>24.1875</v>
      </c>
      <c r="X279" s="102">
        <f t="shared" si="32"/>
        <v>4.5</v>
      </c>
      <c r="Y279" s="100">
        <f t="shared" si="33"/>
        <v>4.8708333333333336</v>
      </c>
      <c r="Z279" s="100">
        <f t="shared" si="34"/>
        <v>6680</v>
      </c>
    </row>
    <row r="280" spans="1:26">
      <c r="A280" s="108" t="s">
        <v>200</v>
      </c>
      <c r="B280" s="108" t="str">
        <f>IFERROR(VLOOKUP(Tablo518[[#This Row],[ÜRÜN KODU]],YMKODLARI!$A$1:$K$363,2,0)," ")</f>
        <v>KLASİK EMZİK GÖVDE</v>
      </c>
      <c r="C280" s="99">
        <v>44089</v>
      </c>
      <c r="D280" s="100" t="s">
        <v>47</v>
      </c>
      <c r="E280" s="101">
        <v>0.33680555555555558</v>
      </c>
      <c r="F280" s="101">
        <v>0.54166666666666663</v>
      </c>
      <c r="G280" s="100">
        <f>IFERROR(VLOOKUP(Tablo518[[#This Row],[ÜRÜN KODU]],YMKODLARI!$A$1:$K$363,3,0)," ")</f>
        <v>8</v>
      </c>
      <c r="H280" s="100">
        <f>IFERROR(VLOOKUP(Tablo518[[#This Row],[ÜRÜN KODU]],YMKODLARI!$A$1:$K$363,4,0)," ")</f>
        <v>21</v>
      </c>
      <c r="I280" s="100">
        <v>863</v>
      </c>
      <c r="J280" s="100" t="str">
        <f>IFERROR(VLOOKUP(Tablo518[[#This Row],[ÜRÜN KODU]],YMKODLARI!$A$1:$K$363,9,0)," ")</f>
        <v>9134A</v>
      </c>
      <c r="K280" s="100" t="str">
        <f>IFERROR(VLOOKUP(Tablo518[[#This Row],[BOYA KODU]],Tablo14[#All],4,0)," ")</f>
        <v>BEYAZ</v>
      </c>
      <c r="L280" s="100">
        <f>IFERROR(VLOOKUP(Tablo518[[#This Row],[BOYA KODU]],Tablo14[#All],6,0)," ")</f>
        <v>7.0000000000000001E-3</v>
      </c>
      <c r="M280" s="100">
        <f t="shared" si="28"/>
        <v>189.6874</v>
      </c>
      <c r="N280" s="100" t="str">
        <f>IFERROR(VLOOKUP(Tablo518[[#This Row],[ÜRÜN KODU]],YMKODLARI!$A$1:$K$363,8,0)," ")</f>
        <v>HM 002</v>
      </c>
      <c r="O280" s="100" t="str">
        <f>IFERROR(VLOOKUP(Tablo518[[#This Row],[HAMMADDE KODU]],Tablo1[#All],3,0)," ")</f>
        <v>NOVAREX</v>
      </c>
      <c r="P280" s="100" t="str">
        <f>IFERROR(VLOOKUP(Tablo518[[#This Row],[HAMMADDE KODU]],Tablo1[#All],4,0)," ")</f>
        <v>PİNHAS</v>
      </c>
      <c r="Q280" s="100">
        <f>IFERROR(VLOOKUP(Tablo518[[#This Row],[ÜRÜN KODU]],YMKODLARI!$A$1:$K$363,5,0)," ")</f>
        <v>31.4</v>
      </c>
      <c r="R280" s="100">
        <f>IFERROR(VLOOKUP(Tablo518[[#This Row],[ÜRÜN KODU]],YMKODLARI!$A$1:$K$363,6,0)," ")</f>
        <v>30.4</v>
      </c>
      <c r="S280" s="100">
        <f>IFERROR(Tablo518[[#This Row],[YOLLUK HARİÇ BASKI GRAMI]]/Tablo518[[#This Row],[KALIP GÖZ ADEDİ]]," ")</f>
        <v>3.8</v>
      </c>
      <c r="T280" s="100">
        <f t="shared" si="30"/>
        <v>1</v>
      </c>
      <c r="U280" s="100">
        <v>11.5</v>
      </c>
      <c r="V280" s="100">
        <f t="shared" si="29"/>
        <v>37.735199999999992</v>
      </c>
      <c r="W280" s="101">
        <f t="shared" si="31"/>
        <v>24.204861111111111</v>
      </c>
      <c r="X280" s="102">
        <f t="shared" si="32"/>
        <v>4.9166666666666572</v>
      </c>
      <c r="Y280" s="100">
        <f t="shared" si="33"/>
        <v>5.0341666666666667</v>
      </c>
      <c r="Z280" s="100">
        <f t="shared" si="34"/>
        <v>6904</v>
      </c>
    </row>
    <row r="281" spans="1:26">
      <c r="A281" s="108" t="s">
        <v>201</v>
      </c>
      <c r="B281" s="108" t="str">
        <f>IFERROR(VLOOKUP(Tablo518[[#This Row],[ÜRÜN KODU]],YMKODLARI!$A$1:$K$363,2,0)," ")</f>
        <v>DAMAK EMZİK GÖVDE</v>
      </c>
      <c r="C281" s="99">
        <v>44090</v>
      </c>
      <c r="D281" s="100" t="s">
        <v>47</v>
      </c>
      <c r="E281" s="101">
        <v>0.33333333333333331</v>
      </c>
      <c r="F281" s="101">
        <v>0.5625</v>
      </c>
      <c r="G281" s="100">
        <f>IFERROR(VLOOKUP(Tablo518[[#This Row],[ÜRÜN KODU]],YMKODLARI!$A$1:$K$363,3,0)," ")</f>
        <v>8</v>
      </c>
      <c r="H281" s="100">
        <f>IFERROR(VLOOKUP(Tablo518[[#This Row],[ÜRÜN KODU]],YMKODLARI!$A$1:$K$363,4,0)," ")</f>
        <v>21</v>
      </c>
      <c r="I281" s="100">
        <v>415</v>
      </c>
      <c r="J281" s="100">
        <f>IFERROR(VLOOKUP(Tablo518[[#This Row],[ÜRÜN KODU]],YMKODLARI!$A$1:$K$363,9,0)," ")</f>
        <v>1289</v>
      </c>
      <c r="K281" s="100" t="str">
        <f>IFERROR(VLOOKUP(Tablo518[[#This Row],[BOYA KODU]],Tablo14[#All],4,0)," ")</f>
        <v>SARI</v>
      </c>
      <c r="L281" s="100">
        <f>IFERROR(VLOOKUP(Tablo518[[#This Row],[BOYA KODU]],Tablo14[#All],6,0)," ")</f>
        <v>5.0000000000000001E-3</v>
      </c>
      <c r="M281" s="100">
        <f t="shared" si="28"/>
        <v>61.42</v>
      </c>
      <c r="N281" s="100" t="str">
        <f>IFERROR(VLOOKUP(Tablo518[[#This Row],[ÜRÜN KODU]],YMKODLARI!$A$1:$K$363,8,0)," ")</f>
        <v>HM 002</v>
      </c>
      <c r="O281" s="100" t="str">
        <f>IFERROR(VLOOKUP(Tablo518[[#This Row],[HAMMADDE KODU]],Tablo1[#All],3,0)," ")</f>
        <v>NOVAREX</v>
      </c>
      <c r="P281" s="100" t="str">
        <f>IFERROR(VLOOKUP(Tablo518[[#This Row],[HAMMADDE KODU]],Tablo1[#All],4,0)," ")</f>
        <v>PİNHAS</v>
      </c>
      <c r="Q281" s="100">
        <f>IFERROR(VLOOKUP(Tablo518[[#This Row],[ÜRÜN KODU]],YMKODLARI!$A$1:$K$363,5,0)," ")</f>
        <v>29.6</v>
      </c>
      <c r="R281" s="100">
        <f>IFERROR(VLOOKUP(Tablo518[[#This Row],[ÜRÜN KODU]],YMKODLARI!$A$1:$K$363,6,0)," ")</f>
        <v>28.6</v>
      </c>
      <c r="S281" s="100">
        <f>IFERROR(Tablo518[[#This Row],[YOLLUK HARİÇ BASKI GRAMI]]/Tablo518[[#This Row],[KALIP GÖZ ADEDİ]]," ")</f>
        <v>3.5750000000000002</v>
      </c>
      <c r="T281" s="100">
        <f t="shared" si="30"/>
        <v>1</v>
      </c>
      <c r="U281" s="100">
        <v>3.3</v>
      </c>
      <c r="V281" s="100">
        <f t="shared" si="29"/>
        <v>15.169</v>
      </c>
      <c r="W281" s="101">
        <f t="shared" si="31"/>
        <v>24.229166666666668</v>
      </c>
      <c r="X281" s="102">
        <f t="shared" si="32"/>
        <v>5.5000000000000284</v>
      </c>
      <c r="Y281" s="100">
        <f t="shared" si="33"/>
        <v>2.4208333333333334</v>
      </c>
      <c r="Z281" s="100">
        <f t="shared" si="34"/>
        <v>3320</v>
      </c>
    </row>
    <row r="282" spans="1:26">
      <c r="A282" s="108" t="s">
        <v>169</v>
      </c>
      <c r="B282" s="108" t="str">
        <f>IFERROR(VLOOKUP(Tablo518[[#This Row],[ÜRÜN KODU]],YMKODLARI!$A$1:$K$363,2,0)," ")</f>
        <v>DAMAK EMZİK GÖVDE</v>
      </c>
      <c r="C282" s="99">
        <v>44090</v>
      </c>
      <c r="D282" s="100" t="s">
        <v>47</v>
      </c>
      <c r="E282" s="101">
        <v>0.5625</v>
      </c>
      <c r="F282" s="101">
        <v>0.70138888888888884</v>
      </c>
      <c r="G282" s="100">
        <f>IFERROR(VLOOKUP(Tablo518[[#This Row],[ÜRÜN KODU]],YMKODLARI!$A$1:$K$363,3,0)," ")</f>
        <v>8</v>
      </c>
      <c r="H282" s="100">
        <f>IFERROR(VLOOKUP(Tablo518[[#This Row],[ÜRÜN KODU]],YMKODLARI!$A$1:$K$363,4,0)," ")</f>
        <v>21</v>
      </c>
      <c r="I282" s="100">
        <v>627</v>
      </c>
      <c r="J282" s="100">
        <f>IFERROR(VLOOKUP(Tablo518[[#This Row],[ÜRÜN KODU]],YMKODLARI!$A$1:$K$363,9,0)," ")</f>
        <v>3408</v>
      </c>
      <c r="K282" s="100" t="str">
        <f>IFERROR(VLOOKUP(Tablo518[[#This Row],[BOYA KODU]],Tablo14[#All],4,0)," ")</f>
        <v>PEMBE</v>
      </c>
      <c r="L282" s="100">
        <f>IFERROR(VLOOKUP(Tablo518[[#This Row],[BOYA KODU]],Tablo14[#All],6,0)," ")</f>
        <v>5.0000000000000001E-3</v>
      </c>
      <c r="M282" s="100">
        <f t="shared" si="28"/>
        <v>92.796000000000006</v>
      </c>
      <c r="N282" s="100" t="str">
        <f>IFERROR(VLOOKUP(Tablo518[[#This Row],[ÜRÜN KODU]],YMKODLARI!$A$1:$K$363,8,0)," ")</f>
        <v>HM 002</v>
      </c>
      <c r="O282" s="100" t="str">
        <f>IFERROR(VLOOKUP(Tablo518[[#This Row],[HAMMADDE KODU]],Tablo1[#All],3,0)," ")</f>
        <v>NOVAREX</v>
      </c>
      <c r="P282" s="100" t="str">
        <f>IFERROR(VLOOKUP(Tablo518[[#This Row],[HAMMADDE KODU]],Tablo1[#All],4,0)," ")</f>
        <v>PİNHAS</v>
      </c>
      <c r="Q282" s="100">
        <f>IFERROR(VLOOKUP(Tablo518[[#This Row],[ÜRÜN KODU]],YMKODLARI!$A$1:$K$363,5,0)," ")</f>
        <v>29.6</v>
      </c>
      <c r="R282" s="100">
        <f>IFERROR(VLOOKUP(Tablo518[[#This Row],[ÜRÜN KODU]],YMKODLARI!$A$1:$K$363,6,0)," ")</f>
        <v>28.6</v>
      </c>
      <c r="S282" s="100">
        <f>IFERROR(Tablo518[[#This Row],[YOLLUK HARİÇ BASKI GRAMI]]/Tablo518[[#This Row],[KALIP GÖZ ADEDİ]]," ")</f>
        <v>3.5750000000000002</v>
      </c>
      <c r="T282" s="100">
        <f t="shared" si="30"/>
        <v>1</v>
      </c>
      <c r="U282" s="100">
        <v>6.6</v>
      </c>
      <c r="V282" s="100">
        <f t="shared" si="29"/>
        <v>24.532200000000003</v>
      </c>
      <c r="W282" s="101">
        <f t="shared" si="31"/>
        <v>24.138888888888889</v>
      </c>
      <c r="X282" s="102">
        <f t="shared" si="32"/>
        <v>3.3333333333333428</v>
      </c>
      <c r="Y282" s="100">
        <f t="shared" si="33"/>
        <v>3.6575000000000002</v>
      </c>
      <c r="Z282" s="100">
        <f t="shared" si="34"/>
        <v>5016</v>
      </c>
    </row>
    <row r="283" spans="1:26">
      <c r="A283" s="108" t="s">
        <v>166</v>
      </c>
      <c r="B283" s="108" t="str">
        <f>IFERROR(VLOOKUP(Tablo518[[#This Row],[ÜRÜN KODU]],YMKODLARI!$A$1:$K$363,2,0)," ")</f>
        <v>DAMAK EMZİK GÖVDE</v>
      </c>
      <c r="C283" s="99">
        <v>44090</v>
      </c>
      <c r="D283" s="100" t="s">
        <v>47</v>
      </c>
      <c r="E283" s="101">
        <v>0.70833333333333337</v>
      </c>
      <c r="F283" s="101">
        <v>0.75</v>
      </c>
      <c r="G283" s="100">
        <f>IFERROR(VLOOKUP(Tablo518[[#This Row],[ÜRÜN KODU]],YMKODLARI!$A$1:$K$363,3,0)," ")</f>
        <v>8</v>
      </c>
      <c r="H283" s="100">
        <f>IFERROR(VLOOKUP(Tablo518[[#This Row],[ÜRÜN KODU]],YMKODLARI!$A$1:$K$363,4,0)," ")</f>
        <v>21</v>
      </c>
      <c r="I283" s="100">
        <v>1152</v>
      </c>
      <c r="J283" s="100" t="str">
        <f>IFERROR(VLOOKUP(Tablo518[[#This Row],[ÜRÜN KODU]],YMKODLARI!$A$1:$K$363,9,0)," ")</f>
        <v>5249A</v>
      </c>
      <c r="K283" s="100" t="str">
        <f>IFERROR(VLOOKUP(Tablo518[[#This Row],[BOYA KODU]],Tablo14[#All],4,0)," ")</f>
        <v>MAVİ</v>
      </c>
      <c r="L283" s="100">
        <f>IFERROR(VLOOKUP(Tablo518[[#This Row],[BOYA KODU]],Tablo14[#All],6,0)," ")</f>
        <v>5.0000000000000001E-3</v>
      </c>
      <c r="M283" s="100">
        <f t="shared" si="28"/>
        <v>170.49600000000004</v>
      </c>
      <c r="N283" s="100" t="str">
        <f>IFERROR(VLOOKUP(Tablo518[[#This Row],[ÜRÜN KODU]],YMKODLARI!$A$1:$K$363,8,0)," ")</f>
        <v>HM 002</v>
      </c>
      <c r="O283" s="100" t="str">
        <f>IFERROR(VLOOKUP(Tablo518[[#This Row],[HAMMADDE KODU]],Tablo1[#All],3,0)," ")</f>
        <v>NOVAREX</v>
      </c>
      <c r="P283" s="100" t="str">
        <f>IFERROR(VLOOKUP(Tablo518[[#This Row],[HAMMADDE KODU]],Tablo1[#All],4,0)," ")</f>
        <v>PİNHAS</v>
      </c>
      <c r="Q283" s="100">
        <f>IFERROR(VLOOKUP(Tablo518[[#This Row],[ÜRÜN KODU]],YMKODLARI!$A$1:$K$363,5,0)," ")</f>
        <v>29.6</v>
      </c>
      <c r="R283" s="100">
        <f>IFERROR(VLOOKUP(Tablo518[[#This Row],[ÜRÜN KODU]],YMKODLARI!$A$1:$K$363,6,0)," ")</f>
        <v>28.6</v>
      </c>
      <c r="S283" s="100">
        <f>IFERROR(Tablo518[[#This Row],[YOLLUK HARİÇ BASKI GRAMI]]/Tablo518[[#This Row],[KALIP GÖZ ADEDİ]]," ")</f>
        <v>3.5750000000000002</v>
      </c>
      <c r="T283" s="100">
        <f t="shared" si="30"/>
        <v>1</v>
      </c>
      <c r="U283" s="100"/>
      <c r="V283" s="100">
        <f t="shared" si="29"/>
        <v>32.947200000000002</v>
      </c>
      <c r="W283" s="101">
        <f t="shared" si="31"/>
        <v>24.041666666666668</v>
      </c>
      <c r="X283" s="102">
        <f t="shared" si="32"/>
        <v>1.0000000000000284</v>
      </c>
      <c r="Y283" s="100">
        <f t="shared" si="33"/>
        <v>6.72</v>
      </c>
      <c r="Z283" s="100">
        <f t="shared" si="34"/>
        <v>9216</v>
      </c>
    </row>
    <row r="284" spans="1:26">
      <c r="A284" s="108" t="s">
        <v>166</v>
      </c>
      <c r="B284" s="108" t="str">
        <f>IFERROR(VLOOKUP(Tablo518[[#This Row],[ÜRÜN KODU]],YMKODLARI!$A$1:$K$363,2,0)," ")</f>
        <v>DAMAK EMZİK GÖVDE</v>
      </c>
      <c r="C284" s="99">
        <v>44091</v>
      </c>
      <c r="D284" s="100" t="s">
        <v>47</v>
      </c>
      <c r="E284" s="101">
        <v>0.33680555555555558</v>
      </c>
      <c r="F284" s="101">
        <v>0.58333333333333337</v>
      </c>
      <c r="G284" s="100">
        <f>IFERROR(VLOOKUP(Tablo518[[#This Row],[ÜRÜN KODU]],YMKODLARI!$A$1:$K$363,3,0)," ")</f>
        <v>8</v>
      </c>
      <c r="H284" s="100">
        <f>IFERROR(VLOOKUP(Tablo518[[#This Row],[ÜRÜN KODU]],YMKODLARI!$A$1:$K$363,4,0)," ")</f>
        <v>21</v>
      </c>
      <c r="I284" s="100">
        <v>926</v>
      </c>
      <c r="J284" s="100" t="str">
        <f>IFERROR(VLOOKUP(Tablo518[[#This Row],[ÜRÜN KODU]],YMKODLARI!$A$1:$K$363,9,0)," ")</f>
        <v>5249A</v>
      </c>
      <c r="K284" s="100" t="str">
        <f>IFERROR(VLOOKUP(Tablo518[[#This Row],[BOYA KODU]],Tablo14[#All],4,0)," ")</f>
        <v>MAVİ</v>
      </c>
      <c r="L284" s="100">
        <f>IFERROR(VLOOKUP(Tablo518[[#This Row],[BOYA KODU]],Tablo14[#All],6,0)," ")</f>
        <v>5.0000000000000001E-3</v>
      </c>
      <c r="M284" s="100">
        <f t="shared" si="28"/>
        <v>137.048</v>
      </c>
      <c r="N284" s="100" t="str">
        <f>IFERROR(VLOOKUP(Tablo518[[#This Row],[ÜRÜN KODU]],YMKODLARI!$A$1:$K$363,8,0)," ")</f>
        <v>HM 002</v>
      </c>
      <c r="O284" s="100" t="str">
        <f>IFERROR(VLOOKUP(Tablo518[[#This Row],[HAMMADDE KODU]],Tablo1[#All],3,0)," ")</f>
        <v>NOVAREX</v>
      </c>
      <c r="P284" s="100" t="str">
        <f>IFERROR(VLOOKUP(Tablo518[[#This Row],[HAMMADDE KODU]],Tablo1[#All],4,0)," ")</f>
        <v>PİNHAS</v>
      </c>
      <c r="Q284" s="100">
        <f>IFERROR(VLOOKUP(Tablo518[[#This Row],[ÜRÜN KODU]],YMKODLARI!$A$1:$K$363,5,0)," ")</f>
        <v>29.6</v>
      </c>
      <c r="R284" s="100">
        <f>IFERROR(VLOOKUP(Tablo518[[#This Row],[ÜRÜN KODU]],YMKODLARI!$A$1:$K$363,6,0)," ")</f>
        <v>28.6</v>
      </c>
      <c r="S284" s="100">
        <f>IFERROR(Tablo518[[#This Row],[YOLLUK HARİÇ BASKI GRAMI]]/Tablo518[[#This Row],[KALIP GÖZ ADEDİ]]," ")</f>
        <v>3.5750000000000002</v>
      </c>
      <c r="T284" s="100">
        <f t="shared" si="30"/>
        <v>1</v>
      </c>
      <c r="U284" s="100"/>
      <c r="V284" s="100">
        <f t="shared" si="29"/>
        <v>26.483600000000003</v>
      </c>
      <c r="W284" s="101">
        <f t="shared" si="31"/>
        <v>24.246527777777779</v>
      </c>
      <c r="X284" s="102">
        <f t="shared" si="32"/>
        <v>5.9166666666666856</v>
      </c>
      <c r="Y284" s="100">
        <f t="shared" si="33"/>
        <v>5.4016666666666664</v>
      </c>
      <c r="Z284" s="100">
        <f t="shared" si="34"/>
        <v>7408</v>
      </c>
    </row>
    <row r="285" spans="1:26" s="81" customFormat="1">
      <c r="A285" s="108" t="s">
        <v>167</v>
      </c>
      <c r="B285" s="108" t="str">
        <f>IFERROR(VLOOKUP(Tablo518[[#This Row],[ÜRÜN KODU]],YMKODLARI!$A$1:$K$363,2,0)," ")</f>
        <v>DAMAK EMZİK GÖVDE</v>
      </c>
      <c r="C285" s="99">
        <v>44091</v>
      </c>
      <c r="D285" s="100" t="s">
        <v>47</v>
      </c>
      <c r="E285" s="101">
        <v>0.59375</v>
      </c>
      <c r="F285" s="101">
        <v>0.75</v>
      </c>
      <c r="G285" s="100">
        <f>IFERROR(VLOOKUP(Tablo518[[#This Row],[ÜRÜN KODU]],YMKODLARI!$A$1:$K$363,3,0)," ")</f>
        <v>8</v>
      </c>
      <c r="H285" s="100">
        <f>IFERROR(VLOOKUP(Tablo518[[#This Row],[ÜRÜN KODU]],YMKODLARI!$A$1:$K$363,4,0)," ")</f>
        <v>21</v>
      </c>
      <c r="I285" s="100">
        <v>521</v>
      </c>
      <c r="J285" s="100" t="str">
        <f>IFERROR(VLOOKUP(Tablo518[[#This Row],[ÜRÜN KODU]],YMKODLARI!$A$1:$K$363,9,0)," ")</f>
        <v>3407A</v>
      </c>
      <c r="K285" s="100" t="str">
        <f>IFERROR(VLOOKUP(Tablo518[[#This Row],[BOYA KODU]],Tablo14[#All],4,0)," ")</f>
        <v>KIRMIZI</v>
      </c>
      <c r="L285" s="100">
        <f>IFERROR(VLOOKUP(Tablo518[[#This Row],[BOYA KODU]],Tablo14[#All],6,0)," ")</f>
        <v>5.0000000000000001E-3</v>
      </c>
      <c r="M285" s="100">
        <f>IFERROR((I285*Q285)*L285," ")</f>
        <v>77.108000000000004</v>
      </c>
      <c r="N285" s="100" t="str">
        <f>IFERROR(VLOOKUP(Tablo518[[#This Row],[ÜRÜN KODU]],YMKODLARI!$A$1:$K$363,8,0)," ")</f>
        <v>HM 002</v>
      </c>
      <c r="O285" s="100" t="str">
        <f>IFERROR(VLOOKUP(Tablo518[[#This Row],[HAMMADDE KODU]],Tablo1[#All],3,0)," ")</f>
        <v>NOVAREX</v>
      </c>
      <c r="P285" s="100" t="str">
        <f>IFERROR(VLOOKUP(Tablo518[[#This Row],[HAMMADDE KODU]],Tablo1[#All],4,0)," ")</f>
        <v>PİNHAS</v>
      </c>
      <c r="Q285" s="100">
        <f>IFERROR(VLOOKUP(Tablo518[[#This Row],[ÜRÜN KODU]],YMKODLARI!$A$1:$K$363,5,0)," ")</f>
        <v>29.6</v>
      </c>
      <c r="R285" s="100">
        <f>IFERROR(VLOOKUP(Tablo518[[#This Row],[ÜRÜN KODU]],YMKODLARI!$A$1:$K$363,6,0)," ")</f>
        <v>28.6</v>
      </c>
      <c r="S285" s="100">
        <f>IFERROR(Tablo518[[#This Row],[YOLLUK HARİÇ BASKI GRAMI]]/Tablo518[[#This Row],[KALIP GÖZ ADEDİ]]," ")</f>
        <v>3.5750000000000002</v>
      </c>
      <c r="T285" s="100">
        <f>IFERROR(Q285-R285," ")</f>
        <v>1</v>
      </c>
      <c r="U285" s="100">
        <v>16</v>
      </c>
      <c r="V285" s="100">
        <f>IFERROR(U285+(R285*I285) /1000," ")</f>
        <v>30.900600000000001</v>
      </c>
      <c r="W285" s="101">
        <f>IFERROR(24-(E285-F285)," ")</f>
        <v>24.15625</v>
      </c>
      <c r="X285" s="102">
        <f>IFERROR((W285-INT(W285))*24," ")</f>
        <v>3.75</v>
      </c>
      <c r="Y285" s="100">
        <f>IFERROR(H285*I285/3600," ")</f>
        <v>3.0391666666666666</v>
      </c>
      <c r="Z285" s="100">
        <f>IFERROR(I285*G285," " )</f>
        <v>4168</v>
      </c>
    </row>
    <row r="286" spans="1:26">
      <c r="A286" s="108" t="s">
        <v>167</v>
      </c>
      <c r="B286" s="108" t="str">
        <f>IFERROR(VLOOKUP(Tablo518[[#This Row],[ÜRÜN KODU]],YMKODLARI!$A$1:$K$363,2,0)," ")</f>
        <v>DAMAK EMZİK GÖVDE</v>
      </c>
      <c r="C286" s="99">
        <v>44092</v>
      </c>
      <c r="D286" s="100" t="s">
        <v>47</v>
      </c>
      <c r="E286" s="101">
        <v>0.33333333333333331</v>
      </c>
      <c r="F286" s="101">
        <v>0.5</v>
      </c>
      <c r="G286" s="100">
        <f>IFERROR(VLOOKUP(Tablo518[[#This Row],[ÜRÜN KODU]],YMKODLARI!$A$1:$K$363,3,0)," ")</f>
        <v>8</v>
      </c>
      <c r="H286" s="100">
        <f>IFERROR(VLOOKUP(Tablo518[[#This Row],[ÜRÜN KODU]],YMKODLARI!$A$1:$K$363,4,0)," ")</f>
        <v>21</v>
      </c>
      <c r="I286" s="100">
        <v>329</v>
      </c>
      <c r="J286" s="100" t="str">
        <f>IFERROR(VLOOKUP(Tablo518[[#This Row],[ÜRÜN KODU]],YMKODLARI!$A$1:$K$363,9,0)," ")</f>
        <v>3407A</v>
      </c>
      <c r="K286" s="100" t="str">
        <f>IFERROR(VLOOKUP(Tablo518[[#This Row],[BOYA KODU]],Tablo14[#All],4,0)," ")</f>
        <v>KIRMIZI</v>
      </c>
      <c r="L286" s="100">
        <f>IFERROR(VLOOKUP(Tablo518[[#This Row],[BOYA KODU]],Tablo14[#All],6,0)," ")</f>
        <v>5.0000000000000001E-3</v>
      </c>
      <c r="M286" s="100">
        <f t="shared" si="28"/>
        <v>48.692</v>
      </c>
      <c r="N286" s="100" t="str">
        <f>IFERROR(VLOOKUP(Tablo518[[#This Row],[ÜRÜN KODU]],YMKODLARI!$A$1:$K$363,8,0)," ")</f>
        <v>HM 002</v>
      </c>
      <c r="O286" s="100" t="str">
        <f>IFERROR(VLOOKUP(Tablo518[[#This Row],[HAMMADDE KODU]],Tablo1[#All],3,0)," ")</f>
        <v>NOVAREX</v>
      </c>
      <c r="P286" s="100" t="str">
        <f>IFERROR(VLOOKUP(Tablo518[[#This Row],[HAMMADDE KODU]],Tablo1[#All],4,0)," ")</f>
        <v>PİNHAS</v>
      </c>
      <c r="Q286" s="100">
        <f>IFERROR(VLOOKUP(Tablo518[[#This Row],[ÜRÜN KODU]],YMKODLARI!$A$1:$K$363,5,0)," ")</f>
        <v>29.6</v>
      </c>
      <c r="R286" s="100">
        <f>IFERROR(VLOOKUP(Tablo518[[#This Row],[ÜRÜN KODU]],YMKODLARI!$A$1:$K$363,6,0)," ")</f>
        <v>28.6</v>
      </c>
      <c r="S286" s="100">
        <f>IFERROR(Tablo518[[#This Row],[YOLLUK HARİÇ BASKI GRAMI]]/Tablo518[[#This Row],[KALIP GÖZ ADEDİ]]," ")</f>
        <v>3.5750000000000002</v>
      </c>
      <c r="T286" s="100">
        <f t="shared" si="30"/>
        <v>1</v>
      </c>
      <c r="U286" s="100"/>
      <c r="V286" s="100">
        <f t="shared" si="29"/>
        <v>9.4093999999999998</v>
      </c>
      <c r="W286" s="101">
        <f t="shared" si="31"/>
        <v>24.166666666666668</v>
      </c>
      <c r="X286" s="102">
        <f t="shared" si="32"/>
        <v>4.0000000000000284</v>
      </c>
      <c r="Y286" s="100">
        <f t="shared" si="33"/>
        <v>1.9191666666666667</v>
      </c>
      <c r="Z286" s="100">
        <f t="shared" si="34"/>
        <v>2632</v>
      </c>
    </row>
    <row r="287" spans="1:26">
      <c r="A287" s="108" t="s">
        <v>202</v>
      </c>
      <c r="B287" s="108" t="str">
        <f>IFERROR(VLOOKUP(Tablo518[[#This Row],[ÜRÜN KODU]],YMKODLARI!$A$1:$K$363,2,0)," ")</f>
        <v xml:space="preserve"> BİBERON VİDA</v>
      </c>
      <c r="C287" s="99">
        <v>44095</v>
      </c>
      <c r="D287" s="100" t="s">
        <v>37</v>
      </c>
      <c r="E287" s="101">
        <v>0.42708333333333331</v>
      </c>
      <c r="F287" s="101">
        <v>0.75</v>
      </c>
      <c r="G287" s="100">
        <f>IFERROR(VLOOKUP(Tablo518[[#This Row],[ÜRÜN KODU]],YMKODLARI!$A$1:$K$363,3,0)," ")</f>
        <v>4</v>
      </c>
      <c r="H287" s="100">
        <f>IFERROR(VLOOKUP(Tablo518[[#This Row],[ÜRÜN KODU]],YMKODLARI!$A$1:$K$363,4,0)," ")</f>
        <v>25</v>
      </c>
      <c r="I287" s="100">
        <v>842</v>
      </c>
      <c r="J287" s="100" t="str">
        <f>IFERROR(VLOOKUP(Tablo518[[#This Row],[ÜRÜN KODU]],YMKODLARI!$A$1:$K$363,9,0)," ")</f>
        <v>9134A</v>
      </c>
      <c r="K287" s="100" t="str">
        <f>IFERROR(VLOOKUP(Tablo518[[#This Row],[BOYA KODU]],Tablo14[#All],4,0)," ")</f>
        <v>BEYAZ</v>
      </c>
      <c r="L287" s="100">
        <f>IFERROR(VLOOKUP(Tablo518[[#This Row],[BOYA KODU]],Tablo14[#All],6,0)," ")</f>
        <v>7.0000000000000001E-3</v>
      </c>
      <c r="M287" s="100">
        <f t="shared" si="28"/>
        <v>163.26379999999997</v>
      </c>
      <c r="N287" s="100" t="str">
        <f>IFERROR(VLOOKUP(Tablo518[[#This Row],[ÜRÜN KODU]],YMKODLARI!$A$1:$K$363,8,0)," ")</f>
        <v>HM 001</v>
      </c>
      <c r="O287" s="100" t="str">
        <f>IFERROR(VLOOKUP(Tablo518[[#This Row],[HAMMADDE KODU]],Tablo1[#All],3,0)," ")</f>
        <v>CAPILENE</v>
      </c>
      <c r="P287" s="100" t="str">
        <f>IFERROR(VLOOKUP(Tablo518[[#This Row],[HAMMADDE KODU]],Tablo1[#All],4,0)," ")</f>
        <v>PİNHAS</v>
      </c>
      <c r="Q287" s="100">
        <f>IFERROR(VLOOKUP(Tablo518[[#This Row],[ÜRÜN KODU]],YMKODLARI!$A$1:$K$363,5,0)," ")</f>
        <v>27.7</v>
      </c>
      <c r="R287" s="100">
        <f>IFERROR(VLOOKUP(Tablo518[[#This Row],[ÜRÜN KODU]],YMKODLARI!$A$1:$K$363,6,0)," ")</f>
        <v>27.7</v>
      </c>
      <c r="S287" s="100">
        <f>IFERROR(Tablo518[[#This Row],[YOLLUK HARİÇ BASKI GRAMI]]/Tablo518[[#This Row],[KALIP GÖZ ADEDİ]]," ")</f>
        <v>6.9249999999999998</v>
      </c>
      <c r="T287" s="100">
        <f t="shared" si="30"/>
        <v>0</v>
      </c>
      <c r="U287" s="100">
        <v>1.7</v>
      </c>
      <c r="V287" s="100">
        <f t="shared" si="29"/>
        <v>25.023399999999999</v>
      </c>
      <c r="W287" s="101">
        <f t="shared" si="31"/>
        <v>24.322916666666668</v>
      </c>
      <c r="X287" s="102">
        <f t="shared" si="32"/>
        <v>7.7500000000000284</v>
      </c>
      <c r="Y287" s="100">
        <f t="shared" si="33"/>
        <v>5.8472222222222223</v>
      </c>
      <c r="Z287" s="100">
        <f t="shared" si="34"/>
        <v>3368</v>
      </c>
    </row>
    <row r="288" spans="1:26">
      <c r="A288" s="108" t="s">
        <v>202</v>
      </c>
      <c r="B288" s="108" t="str">
        <f>IFERROR(VLOOKUP(Tablo518[[#This Row],[ÜRÜN KODU]],YMKODLARI!$A$1:$K$363,2,0)," ")</f>
        <v xml:space="preserve"> BİBERON VİDA</v>
      </c>
      <c r="C288" s="99">
        <v>44096</v>
      </c>
      <c r="D288" s="100" t="s">
        <v>37</v>
      </c>
      <c r="E288" s="101">
        <v>0.33333333333333331</v>
      </c>
      <c r="F288" s="101">
        <v>0.49305555555555558</v>
      </c>
      <c r="G288" s="100">
        <f>IFERROR(VLOOKUP(Tablo518[[#This Row],[ÜRÜN KODU]],YMKODLARI!$A$1:$K$363,3,0)," ")</f>
        <v>4</v>
      </c>
      <c r="H288" s="100">
        <f>IFERROR(VLOOKUP(Tablo518[[#This Row],[ÜRÜN KODU]],YMKODLARI!$A$1:$K$363,4,0)," ")</f>
        <v>25</v>
      </c>
      <c r="I288" s="100">
        <v>505</v>
      </c>
      <c r="J288" s="100" t="str">
        <f>IFERROR(VLOOKUP(Tablo518[[#This Row],[ÜRÜN KODU]],YMKODLARI!$A$1:$K$363,9,0)," ")</f>
        <v>9134A</v>
      </c>
      <c r="K288" s="100" t="str">
        <f>IFERROR(VLOOKUP(Tablo518[[#This Row],[BOYA KODU]],Tablo14[#All],4,0)," ")</f>
        <v>BEYAZ</v>
      </c>
      <c r="L288" s="100">
        <f>IFERROR(VLOOKUP(Tablo518[[#This Row],[BOYA KODU]],Tablo14[#All],6,0)," ")</f>
        <v>7.0000000000000001E-3</v>
      </c>
      <c r="M288" s="100">
        <f t="shared" si="28"/>
        <v>97.919499999999999</v>
      </c>
      <c r="N288" s="100" t="str">
        <f>IFERROR(VLOOKUP(Tablo518[[#This Row],[ÜRÜN KODU]],YMKODLARI!$A$1:$K$363,8,0)," ")</f>
        <v>HM 001</v>
      </c>
      <c r="O288" s="100" t="str">
        <f>IFERROR(VLOOKUP(Tablo518[[#This Row],[HAMMADDE KODU]],Tablo1[#All],3,0)," ")</f>
        <v>CAPILENE</v>
      </c>
      <c r="P288" s="100" t="str">
        <f>IFERROR(VLOOKUP(Tablo518[[#This Row],[HAMMADDE KODU]],Tablo1[#All],4,0)," ")</f>
        <v>PİNHAS</v>
      </c>
      <c r="Q288" s="100">
        <f>IFERROR(VLOOKUP(Tablo518[[#This Row],[ÜRÜN KODU]],YMKODLARI!$A$1:$K$363,5,0)," ")</f>
        <v>27.7</v>
      </c>
      <c r="R288" s="100">
        <f>IFERROR(VLOOKUP(Tablo518[[#This Row],[ÜRÜN KODU]],YMKODLARI!$A$1:$K$363,6,0)," ")</f>
        <v>27.7</v>
      </c>
      <c r="S288" s="100">
        <f>IFERROR(Tablo518[[#This Row],[YOLLUK HARİÇ BASKI GRAMI]]/Tablo518[[#This Row],[KALIP GÖZ ADEDİ]]," ")</f>
        <v>6.9249999999999998</v>
      </c>
      <c r="T288" s="100">
        <f t="shared" si="30"/>
        <v>0</v>
      </c>
      <c r="U288" s="100"/>
      <c r="V288" s="100">
        <f t="shared" si="29"/>
        <v>13.9885</v>
      </c>
      <c r="W288" s="101">
        <f t="shared" si="31"/>
        <v>24.159722222222221</v>
      </c>
      <c r="X288" s="102">
        <f t="shared" si="32"/>
        <v>3.8333333333333144</v>
      </c>
      <c r="Y288" s="100">
        <f t="shared" si="33"/>
        <v>3.5069444444444446</v>
      </c>
      <c r="Z288" s="100">
        <f t="shared" si="34"/>
        <v>2020</v>
      </c>
    </row>
    <row r="289" spans="1:26">
      <c r="A289" s="108" t="s">
        <v>203</v>
      </c>
      <c r="B289" s="108" t="str">
        <f>IFERROR(VLOOKUP(Tablo518[[#This Row],[ÜRÜN KODU]],YMKODLARI!$A$1:$K$363,2,0)," ")</f>
        <v xml:space="preserve"> BİBERON VİDA</v>
      </c>
      <c r="C289" s="99">
        <v>44096</v>
      </c>
      <c r="D289" s="100" t="s">
        <v>37</v>
      </c>
      <c r="E289" s="101">
        <v>0.49305555555555558</v>
      </c>
      <c r="F289" s="101">
        <v>0.75</v>
      </c>
      <c r="G289" s="100">
        <f>IFERROR(VLOOKUP(Tablo518[[#This Row],[ÜRÜN KODU]],YMKODLARI!$A$1:$K$363,3,0)," ")</f>
        <v>4</v>
      </c>
      <c r="H289" s="100">
        <f>IFERROR(VLOOKUP(Tablo518[[#This Row],[ÜRÜN KODU]],YMKODLARI!$A$1:$K$363,4,0)," ")</f>
        <v>25</v>
      </c>
      <c r="I289" s="100">
        <v>754</v>
      </c>
      <c r="J289" s="100">
        <f>IFERROR(VLOOKUP(Tablo518[[#This Row],[ÜRÜN KODU]],YMKODLARI!$A$1:$K$363,9,0)," ")</f>
        <v>1290</v>
      </c>
      <c r="K289" s="100" t="str">
        <f>IFERROR(VLOOKUP(Tablo518[[#This Row],[BOYA KODU]],Tablo14[#All],4,0)," ")</f>
        <v>SARI</v>
      </c>
      <c r="L289" s="100">
        <f>IFERROR(VLOOKUP(Tablo518[[#This Row],[BOYA KODU]],Tablo14[#All],6,0)," ")</f>
        <v>5.0000000000000001E-3</v>
      </c>
      <c r="M289" s="100">
        <f t="shared" si="28"/>
        <v>104.429</v>
      </c>
      <c r="N289" s="100" t="str">
        <f>IFERROR(VLOOKUP(Tablo518[[#This Row],[ÜRÜN KODU]],YMKODLARI!$A$1:$K$363,8,0)," ")</f>
        <v>HM 001</v>
      </c>
      <c r="O289" s="100" t="str">
        <f>IFERROR(VLOOKUP(Tablo518[[#This Row],[HAMMADDE KODU]],Tablo1[#All],3,0)," ")</f>
        <v>CAPILENE</v>
      </c>
      <c r="P289" s="100" t="str">
        <f>IFERROR(VLOOKUP(Tablo518[[#This Row],[HAMMADDE KODU]],Tablo1[#All],4,0)," ")</f>
        <v>PİNHAS</v>
      </c>
      <c r="Q289" s="100">
        <f>IFERROR(VLOOKUP(Tablo518[[#This Row],[ÜRÜN KODU]],YMKODLARI!$A$1:$K$363,5,0)," ")</f>
        <v>27.7</v>
      </c>
      <c r="R289" s="100">
        <f>IFERROR(VLOOKUP(Tablo518[[#This Row],[ÜRÜN KODU]],YMKODLARI!$A$1:$K$363,6,0)," ")</f>
        <v>27.7</v>
      </c>
      <c r="S289" s="100">
        <f>IFERROR(Tablo518[[#This Row],[YOLLUK HARİÇ BASKI GRAMI]]/Tablo518[[#This Row],[KALIP GÖZ ADEDİ]]," ")</f>
        <v>6.9249999999999998</v>
      </c>
      <c r="T289" s="100">
        <f t="shared" si="30"/>
        <v>0</v>
      </c>
      <c r="U289" s="100">
        <v>2.5</v>
      </c>
      <c r="V289" s="100">
        <f t="shared" si="29"/>
        <v>23.3858</v>
      </c>
      <c r="W289" s="101">
        <f t="shared" si="31"/>
        <v>24.256944444444443</v>
      </c>
      <c r="X289" s="102">
        <f t="shared" si="32"/>
        <v>6.1666666666666288</v>
      </c>
      <c r="Y289" s="100">
        <f t="shared" si="33"/>
        <v>5.2361111111111107</v>
      </c>
      <c r="Z289" s="100">
        <f t="shared" si="34"/>
        <v>3016</v>
      </c>
    </row>
    <row r="290" spans="1:26">
      <c r="A290" s="108" t="s">
        <v>203</v>
      </c>
      <c r="B290" s="108" t="str">
        <f>IFERROR(VLOOKUP(Tablo518[[#This Row],[ÜRÜN KODU]],YMKODLARI!$A$1:$K$363,2,0)," ")</f>
        <v xml:space="preserve"> BİBERON VİDA</v>
      </c>
      <c r="C290" s="99">
        <v>44097</v>
      </c>
      <c r="D290" s="100" t="s">
        <v>37</v>
      </c>
      <c r="E290" s="101">
        <v>0.33333333333333331</v>
      </c>
      <c r="F290" s="101">
        <v>0.75</v>
      </c>
      <c r="G290" s="100">
        <f>IFERROR(VLOOKUP(Tablo518[[#This Row],[ÜRÜN KODU]],YMKODLARI!$A$1:$K$363,3,0)," ")</f>
        <v>4</v>
      </c>
      <c r="H290" s="100">
        <f>IFERROR(VLOOKUP(Tablo518[[#This Row],[ÜRÜN KODU]],YMKODLARI!$A$1:$K$363,4,0)," ")</f>
        <v>25</v>
      </c>
      <c r="I290" s="100">
        <v>106</v>
      </c>
      <c r="J290" s="100">
        <f>IFERROR(VLOOKUP(Tablo518[[#This Row],[ÜRÜN KODU]],YMKODLARI!$A$1:$K$363,9,0)," ")</f>
        <v>1290</v>
      </c>
      <c r="K290" s="100" t="str">
        <f>IFERROR(VLOOKUP(Tablo518[[#This Row],[BOYA KODU]],Tablo14[#All],4,0)," ")</f>
        <v>SARI</v>
      </c>
      <c r="L290" s="100">
        <f>IFERROR(VLOOKUP(Tablo518[[#This Row],[BOYA KODU]],Tablo14[#All],6,0)," ")</f>
        <v>5.0000000000000001E-3</v>
      </c>
      <c r="M290" s="100">
        <f t="shared" si="28"/>
        <v>14.680999999999999</v>
      </c>
      <c r="N290" s="100" t="str">
        <f>IFERROR(VLOOKUP(Tablo518[[#This Row],[ÜRÜN KODU]],YMKODLARI!$A$1:$K$363,8,0)," ")</f>
        <v>HM 001</v>
      </c>
      <c r="O290" s="100" t="str">
        <f>IFERROR(VLOOKUP(Tablo518[[#This Row],[HAMMADDE KODU]],Tablo1[#All],3,0)," ")</f>
        <v>CAPILENE</v>
      </c>
      <c r="P290" s="100" t="str">
        <f>IFERROR(VLOOKUP(Tablo518[[#This Row],[HAMMADDE KODU]],Tablo1[#All],4,0)," ")</f>
        <v>PİNHAS</v>
      </c>
      <c r="Q290" s="100">
        <f>IFERROR(VLOOKUP(Tablo518[[#This Row],[ÜRÜN KODU]],YMKODLARI!$A$1:$K$363,5,0)," ")</f>
        <v>27.7</v>
      </c>
      <c r="R290" s="100">
        <f>IFERROR(VLOOKUP(Tablo518[[#This Row],[ÜRÜN KODU]],YMKODLARI!$A$1:$K$363,6,0)," ")</f>
        <v>27.7</v>
      </c>
      <c r="S290" s="100">
        <f>IFERROR(Tablo518[[#This Row],[YOLLUK HARİÇ BASKI GRAMI]]/Tablo518[[#This Row],[KALIP GÖZ ADEDİ]]," ")</f>
        <v>6.9249999999999998</v>
      </c>
      <c r="T290" s="100">
        <f t="shared" si="30"/>
        <v>0</v>
      </c>
      <c r="U290" s="100"/>
      <c r="V290" s="100">
        <f t="shared" si="29"/>
        <v>2.9361999999999999</v>
      </c>
      <c r="W290" s="101">
        <f t="shared" si="31"/>
        <v>24.416666666666668</v>
      </c>
      <c r="X290" s="102">
        <f t="shared" si="32"/>
        <v>10.000000000000028</v>
      </c>
      <c r="Y290" s="100">
        <f t="shared" si="33"/>
        <v>0.73611111111111116</v>
      </c>
      <c r="Z290" s="100">
        <f t="shared" si="34"/>
        <v>424</v>
      </c>
    </row>
    <row r="291" spans="1:26">
      <c r="A291" s="108" t="s">
        <v>204</v>
      </c>
      <c r="B291" s="108" t="str">
        <f>IFERROR(VLOOKUP(Tablo518[[#This Row],[ÜRÜN KODU]],YMKODLARI!$A$1:$K$363,2,0)," ")</f>
        <v xml:space="preserve"> BİBERON VİDA</v>
      </c>
      <c r="C291" s="99">
        <v>44097</v>
      </c>
      <c r="D291" s="100" t="s">
        <v>37</v>
      </c>
      <c r="E291" s="101">
        <v>0.33680555555555558</v>
      </c>
      <c r="F291" s="101">
        <v>0.75</v>
      </c>
      <c r="G291" s="100">
        <f>IFERROR(VLOOKUP(Tablo518[[#This Row],[ÜRÜN KODU]],YMKODLARI!$A$1:$K$363,3,0)," ")</f>
        <v>4</v>
      </c>
      <c r="H291" s="100">
        <f>IFERROR(VLOOKUP(Tablo518[[#This Row],[ÜRÜN KODU]],YMKODLARI!$A$1:$K$363,4,0)," ")</f>
        <v>25</v>
      </c>
      <c r="I291" s="100">
        <v>1152</v>
      </c>
      <c r="J291" s="100">
        <f>IFERROR(VLOOKUP(Tablo518[[#This Row],[ÜRÜN KODU]],YMKODLARI!$A$1:$K$363,9,0)," ")</f>
        <v>4090</v>
      </c>
      <c r="K291" s="100" t="str">
        <f>IFERROR(VLOOKUP(Tablo518[[#This Row],[BOYA KODU]],Tablo14[#All],4,0)," ")</f>
        <v>LİLA</v>
      </c>
      <c r="L291" s="100">
        <f>IFERROR(VLOOKUP(Tablo518[[#This Row],[BOYA KODU]],Tablo14[#All],6,0)," ")</f>
        <v>5.0000000000000001E-3</v>
      </c>
      <c r="M291" s="100">
        <f t="shared" si="28"/>
        <v>159.55199999999999</v>
      </c>
      <c r="N291" s="100" t="str">
        <f>IFERROR(VLOOKUP(Tablo518[[#This Row],[ÜRÜN KODU]],YMKODLARI!$A$1:$K$363,8,0)," ")</f>
        <v>HM 001</v>
      </c>
      <c r="O291" s="100" t="str">
        <f>IFERROR(VLOOKUP(Tablo518[[#This Row],[HAMMADDE KODU]],Tablo1[#All],3,0)," ")</f>
        <v>CAPILENE</v>
      </c>
      <c r="P291" s="100" t="str">
        <f>IFERROR(VLOOKUP(Tablo518[[#This Row],[HAMMADDE KODU]],Tablo1[#All],4,0)," ")</f>
        <v>PİNHAS</v>
      </c>
      <c r="Q291" s="100">
        <f>IFERROR(VLOOKUP(Tablo518[[#This Row],[ÜRÜN KODU]],YMKODLARI!$A$1:$K$363,5,0)," ")</f>
        <v>27.7</v>
      </c>
      <c r="R291" s="100">
        <f>IFERROR(VLOOKUP(Tablo518[[#This Row],[ÜRÜN KODU]],YMKODLARI!$A$1:$K$363,6,0)," ")</f>
        <v>27.7</v>
      </c>
      <c r="S291" s="100">
        <f>IFERROR(Tablo518[[#This Row],[YOLLUK HARİÇ BASKI GRAMI]]/Tablo518[[#This Row],[KALIP GÖZ ADEDİ]]," ")</f>
        <v>6.9249999999999998</v>
      </c>
      <c r="T291" s="100">
        <f t="shared" si="30"/>
        <v>0</v>
      </c>
      <c r="U291" s="100">
        <v>2.2000000000000002</v>
      </c>
      <c r="V291" s="100">
        <f t="shared" si="29"/>
        <v>34.110399999999998</v>
      </c>
      <c r="W291" s="101">
        <f t="shared" si="31"/>
        <v>24.413194444444443</v>
      </c>
      <c r="X291" s="102">
        <f t="shared" si="32"/>
        <v>9.9166666666666288</v>
      </c>
      <c r="Y291" s="100">
        <f t="shared" si="33"/>
        <v>8</v>
      </c>
      <c r="Z291" s="100">
        <f t="shared" si="34"/>
        <v>4608</v>
      </c>
    </row>
    <row r="292" spans="1:26">
      <c r="A292" s="108" t="s">
        <v>205</v>
      </c>
      <c r="B292" s="108" t="str">
        <f>IFERROR(VLOOKUP(Tablo518[[#This Row],[ÜRÜN KODU]],YMKODLARI!$A$1:$K$363,2,0)," ")</f>
        <v>KULPLU BİBERON VİDA</v>
      </c>
      <c r="C292" s="99">
        <v>44098</v>
      </c>
      <c r="D292" s="100" t="s">
        <v>33</v>
      </c>
      <c r="E292" s="101">
        <v>0.51736111111111105</v>
      </c>
      <c r="F292" s="101">
        <v>0.75</v>
      </c>
      <c r="G292" s="100">
        <f>IFERROR(VLOOKUP(Tablo518[[#This Row],[ÜRÜN KODU]],YMKODLARI!$A$1:$K$363,3,0)," ")</f>
        <v>4</v>
      </c>
      <c r="H292" s="100">
        <f>IFERROR(VLOOKUP(Tablo518[[#This Row],[ÜRÜN KODU]],YMKODLARI!$A$1:$K$363,4,0)," ")</f>
        <v>20</v>
      </c>
      <c r="I292" s="100">
        <v>831</v>
      </c>
      <c r="J292" s="100">
        <f>IFERROR(VLOOKUP(Tablo518[[#This Row],[ÜRÜN KODU]],YMKODLARI!$A$1:$K$363,9,0)," ")</f>
        <v>3409</v>
      </c>
      <c r="K292" s="100" t="str">
        <f>IFERROR(VLOOKUP(Tablo518[[#This Row],[BOYA KODU]],Tablo14[#All],4,0)," ")</f>
        <v>PEMBE</v>
      </c>
      <c r="L292" s="100">
        <f>IFERROR(VLOOKUP(Tablo518[[#This Row],[BOYA KODU]],Tablo14[#All],6,0)," ")</f>
        <v>5.0000000000000001E-3</v>
      </c>
      <c r="M292" s="100">
        <f t="shared" si="28"/>
        <v>93.487499999999997</v>
      </c>
      <c r="N292" s="100" t="str">
        <f>IFERROR(VLOOKUP(Tablo518[[#This Row],[ÜRÜN KODU]],YMKODLARI!$A$1:$K$363,8,0)," ")</f>
        <v>HM 001</v>
      </c>
      <c r="O292" s="100" t="str">
        <f>IFERROR(VLOOKUP(Tablo518[[#This Row],[HAMMADDE KODU]],Tablo1[#All],3,0)," ")</f>
        <v>CAPILENE</v>
      </c>
      <c r="P292" s="100" t="str">
        <f>IFERROR(VLOOKUP(Tablo518[[#This Row],[HAMMADDE KODU]],Tablo1[#All],4,0)," ")</f>
        <v>PİNHAS</v>
      </c>
      <c r="Q292" s="100">
        <f>IFERROR(VLOOKUP(Tablo518[[#This Row],[ÜRÜN KODU]],YMKODLARI!$A$1:$K$363,5,0)," ")</f>
        <v>22.5</v>
      </c>
      <c r="R292" s="100">
        <f>IFERROR(VLOOKUP(Tablo518[[#This Row],[ÜRÜN KODU]],YMKODLARI!$A$1:$K$363,6,0)," ")</f>
        <v>22.5</v>
      </c>
      <c r="S292" s="100">
        <f>IFERROR(Tablo518[[#This Row],[YOLLUK HARİÇ BASKI GRAMI]]/Tablo518[[#This Row],[KALIP GÖZ ADEDİ]]," ")</f>
        <v>5.625</v>
      </c>
      <c r="T292" s="100">
        <f t="shared" si="30"/>
        <v>0</v>
      </c>
      <c r="U292" s="100"/>
      <c r="V292" s="100">
        <f t="shared" si="29"/>
        <v>18.697500000000002</v>
      </c>
      <c r="W292" s="101">
        <f t="shared" si="31"/>
        <v>24.232638888888889</v>
      </c>
      <c r="X292" s="102">
        <f t="shared" si="32"/>
        <v>5.5833333333333428</v>
      </c>
      <c r="Y292" s="100">
        <f t="shared" si="33"/>
        <v>4.6166666666666663</v>
      </c>
      <c r="Z292" s="100">
        <f t="shared" si="34"/>
        <v>3324</v>
      </c>
    </row>
    <row r="293" spans="1:26">
      <c r="A293" s="108" t="s">
        <v>205</v>
      </c>
      <c r="B293" s="108" t="str">
        <f>IFERROR(VLOOKUP(Tablo518[[#This Row],[ÜRÜN KODU]],YMKODLARI!$A$1:$K$363,2,0)," ")</f>
        <v>KULPLU BİBERON VİDA</v>
      </c>
      <c r="C293" s="99">
        <v>44099</v>
      </c>
      <c r="D293" s="100" t="s">
        <v>33</v>
      </c>
      <c r="E293" s="101">
        <v>0.34375</v>
      </c>
      <c r="F293" s="101">
        <v>0.39583333333333331</v>
      </c>
      <c r="G293" s="100">
        <f>IFERROR(VLOOKUP(Tablo518[[#This Row],[ÜRÜN KODU]],YMKODLARI!$A$1:$K$363,3,0)," ")</f>
        <v>4</v>
      </c>
      <c r="H293" s="100">
        <f>IFERROR(VLOOKUP(Tablo518[[#This Row],[ÜRÜN KODU]],YMKODLARI!$A$1:$K$363,4,0)," ")</f>
        <v>20</v>
      </c>
      <c r="I293" s="100">
        <v>243</v>
      </c>
      <c r="J293" s="100">
        <f>IFERROR(VLOOKUP(Tablo518[[#This Row],[ÜRÜN KODU]],YMKODLARI!$A$1:$K$363,9,0)," ")</f>
        <v>3409</v>
      </c>
      <c r="K293" s="100" t="str">
        <f>IFERROR(VLOOKUP(Tablo518[[#This Row],[BOYA KODU]],Tablo14[#All],4,0)," ")</f>
        <v>PEMBE</v>
      </c>
      <c r="L293" s="100">
        <f>IFERROR(VLOOKUP(Tablo518[[#This Row],[BOYA KODU]],Tablo14[#All],6,0)," ")</f>
        <v>5.0000000000000001E-3</v>
      </c>
      <c r="M293" s="100">
        <f t="shared" si="28"/>
        <v>27.337500000000002</v>
      </c>
      <c r="N293" s="100" t="str">
        <f>IFERROR(VLOOKUP(Tablo518[[#This Row],[ÜRÜN KODU]],YMKODLARI!$A$1:$K$363,8,0)," ")</f>
        <v>HM 001</v>
      </c>
      <c r="O293" s="100" t="str">
        <f>IFERROR(VLOOKUP(Tablo518[[#This Row],[HAMMADDE KODU]],Tablo1[#All],3,0)," ")</f>
        <v>CAPILENE</v>
      </c>
      <c r="P293" s="100" t="str">
        <f>IFERROR(VLOOKUP(Tablo518[[#This Row],[HAMMADDE KODU]],Tablo1[#All],4,0)," ")</f>
        <v>PİNHAS</v>
      </c>
      <c r="Q293" s="100">
        <f>IFERROR(VLOOKUP(Tablo518[[#This Row],[ÜRÜN KODU]],YMKODLARI!$A$1:$K$363,5,0)," ")</f>
        <v>22.5</v>
      </c>
      <c r="R293" s="100">
        <f>IFERROR(VLOOKUP(Tablo518[[#This Row],[ÜRÜN KODU]],YMKODLARI!$A$1:$K$363,6,0)," ")</f>
        <v>22.5</v>
      </c>
      <c r="S293" s="100">
        <f>IFERROR(Tablo518[[#This Row],[YOLLUK HARİÇ BASKI GRAMI]]/Tablo518[[#This Row],[KALIP GÖZ ADEDİ]]," ")</f>
        <v>5.625</v>
      </c>
      <c r="T293" s="100">
        <f t="shared" si="30"/>
        <v>0</v>
      </c>
      <c r="U293" s="100">
        <v>1.5</v>
      </c>
      <c r="V293" s="100">
        <f t="shared" si="29"/>
        <v>6.9675000000000002</v>
      </c>
      <c r="W293" s="101">
        <f t="shared" si="31"/>
        <v>24.052083333333332</v>
      </c>
      <c r="X293" s="102">
        <f t="shared" si="32"/>
        <v>1.2499999999999716</v>
      </c>
      <c r="Y293" s="100">
        <f t="shared" si="33"/>
        <v>1.35</v>
      </c>
      <c r="Z293" s="100">
        <f t="shared" si="34"/>
        <v>972</v>
      </c>
    </row>
    <row r="294" spans="1:26">
      <c r="A294" s="108" t="s">
        <v>206</v>
      </c>
      <c r="B294" s="108" t="str">
        <f>IFERROR(VLOOKUP(Tablo518[[#This Row],[ÜRÜN KODU]],YMKODLARI!$A$1:$K$363,2,0)," ")</f>
        <v>KULPLU BİBERON VİDA</v>
      </c>
      <c r="C294" s="99">
        <v>44099</v>
      </c>
      <c r="D294" s="100" t="s">
        <v>33</v>
      </c>
      <c r="E294" s="101">
        <v>0.39583333333333331</v>
      </c>
      <c r="F294" s="101">
        <v>0.69097222222222221</v>
      </c>
      <c r="G294" s="100">
        <f>IFERROR(VLOOKUP(Tablo518[[#This Row],[ÜRÜN KODU]],YMKODLARI!$A$1:$K$363,3,0)," ")</f>
        <v>4</v>
      </c>
      <c r="H294" s="100">
        <f>IFERROR(VLOOKUP(Tablo518[[#This Row],[ÜRÜN KODU]],YMKODLARI!$A$1:$K$363,4,0)," ")</f>
        <v>20</v>
      </c>
      <c r="I294" s="100">
        <v>1088</v>
      </c>
      <c r="J294" s="100">
        <f>IFERROR(VLOOKUP(Tablo518[[#This Row],[ÜRÜN KODU]],YMKODLARI!$A$1:$K$363,9,0)," ")</f>
        <v>5287</v>
      </c>
      <c r="K294" s="100" t="str">
        <f>IFERROR(VLOOKUP(Tablo518[[#This Row],[BOYA KODU]],Tablo14[#All],4,0)," ")</f>
        <v>MAVİ</v>
      </c>
      <c r="L294" s="100">
        <f>IFERROR(VLOOKUP(Tablo518[[#This Row],[BOYA KODU]],Tablo14[#All],6,0)," ")</f>
        <v>5.0000000000000001E-3</v>
      </c>
      <c r="M294" s="100">
        <f t="shared" si="28"/>
        <v>122.4</v>
      </c>
      <c r="N294" s="100" t="str">
        <f>IFERROR(VLOOKUP(Tablo518[[#This Row],[ÜRÜN KODU]],YMKODLARI!$A$1:$K$363,8,0)," ")</f>
        <v>HM 001</v>
      </c>
      <c r="O294" s="100" t="str">
        <f>IFERROR(VLOOKUP(Tablo518[[#This Row],[HAMMADDE KODU]],Tablo1[#All],3,0)," ")</f>
        <v>CAPILENE</v>
      </c>
      <c r="P294" s="100" t="str">
        <f>IFERROR(VLOOKUP(Tablo518[[#This Row],[HAMMADDE KODU]],Tablo1[#All],4,0)," ")</f>
        <v>PİNHAS</v>
      </c>
      <c r="Q294" s="100">
        <f>IFERROR(VLOOKUP(Tablo518[[#This Row],[ÜRÜN KODU]],YMKODLARI!$A$1:$K$363,5,0)," ")</f>
        <v>22.5</v>
      </c>
      <c r="R294" s="100">
        <f>IFERROR(VLOOKUP(Tablo518[[#This Row],[ÜRÜN KODU]],YMKODLARI!$A$1:$K$363,6,0)," ")</f>
        <v>22.5</v>
      </c>
      <c r="S294" s="100">
        <f>IFERROR(Tablo518[[#This Row],[YOLLUK HARİÇ BASKI GRAMI]]/Tablo518[[#This Row],[KALIP GÖZ ADEDİ]]," ")</f>
        <v>5.625</v>
      </c>
      <c r="T294" s="100">
        <f t="shared" si="30"/>
        <v>0</v>
      </c>
      <c r="U294" s="100">
        <v>1.4</v>
      </c>
      <c r="V294" s="100">
        <f t="shared" si="29"/>
        <v>25.88</v>
      </c>
      <c r="W294" s="101">
        <f t="shared" si="31"/>
        <v>24.295138888888889</v>
      </c>
      <c r="X294" s="102">
        <f t="shared" si="32"/>
        <v>7.0833333333333428</v>
      </c>
      <c r="Y294" s="100">
        <f t="shared" si="33"/>
        <v>6.0444444444444443</v>
      </c>
      <c r="Z294" s="100">
        <f t="shared" si="34"/>
        <v>4352</v>
      </c>
    </row>
    <row r="295" spans="1:26">
      <c r="A295" s="108" t="s">
        <v>207</v>
      </c>
      <c r="B295" s="108" t="str">
        <f>IFERROR(VLOOKUP(Tablo518[[#This Row],[ÜRÜN KODU]],YMKODLARI!$A$1:$K$363,2,0)," ")</f>
        <v>KULPLU BİBERON VİDA</v>
      </c>
      <c r="C295" s="99">
        <v>44099</v>
      </c>
      <c r="D295" s="100" t="s">
        <v>33</v>
      </c>
      <c r="E295" s="101">
        <v>0.69097222222222221</v>
      </c>
      <c r="F295" s="101">
        <v>0.70833333333333337</v>
      </c>
      <c r="G295" s="100">
        <f>IFERROR(VLOOKUP(Tablo518[[#This Row],[ÜRÜN KODU]],YMKODLARI!$A$1:$K$363,3,0)," ")</f>
        <v>4</v>
      </c>
      <c r="H295" s="100">
        <f>IFERROR(VLOOKUP(Tablo518[[#This Row],[ÜRÜN KODU]],YMKODLARI!$A$1:$K$363,4,0)," ")</f>
        <v>20</v>
      </c>
      <c r="I295" s="100">
        <v>87</v>
      </c>
      <c r="J295" s="100">
        <f>IFERROR(VLOOKUP(Tablo518[[#This Row],[ÜRÜN KODU]],YMKODLARI!$A$1:$K$363,9,0)," ")</f>
        <v>3041</v>
      </c>
      <c r="K295" s="100" t="str">
        <f>IFERROR(VLOOKUP(Tablo518[[#This Row],[BOYA KODU]],Tablo14[#All],4,0)," ")</f>
        <v>KIRMIZI</v>
      </c>
      <c r="L295" s="100">
        <f>IFERROR(VLOOKUP(Tablo518[[#This Row],[BOYA KODU]],Tablo14[#All],6,0)," ")</f>
        <v>5.0000000000000001E-3</v>
      </c>
      <c r="M295" s="100">
        <f t="shared" si="28"/>
        <v>9.7874999999999996</v>
      </c>
      <c r="N295" s="100" t="str">
        <f>IFERROR(VLOOKUP(Tablo518[[#This Row],[ÜRÜN KODU]],YMKODLARI!$A$1:$K$363,8,0)," ")</f>
        <v>HM 001</v>
      </c>
      <c r="O295" s="100" t="str">
        <f>IFERROR(VLOOKUP(Tablo518[[#This Row],[HAMMADDE KODU]],Tablo1[#All],3,0)," ")</f>
        <v>CAPILENE</v>
      </c>
      <c r="P295" s="100" t="str">
        <f>IFERROR(VLOOKUP(Tablo518[[#This Row],[HAMMADDE KODU]],Tablo1[#All],4,0)," ")</f>
        <v>PİNHAS</v>
      </c>
      <c r="Q295" s="100">
        <f>IFERROR(VLOOKUP(Tablo518[[#This Row],[ÜRÜN KODU]],YMKODLARI!$A$1:$K$363,5,0)," ")</f>
        <v>22.5</v>
      </c>
      <c r="R295" s="100">
        <f>IFERROR(VLOOKUP(Tablo518[[#This Row],[ÜRÜN KODU]],YMKODLARI!$A$1:$K$363,6,0)," ")</f>
        <v>22.5</v>
      </c>
      <c r="S295" s="100">
        <f>IFERROR(Tablo518[[#This Row],[YOLLUK HARİÇ BASKI GRAMI]]/Tablo518[[#This Row],[KALIP GÖZ ADEDİ]]," ")</f>
        <v>5.625</v>
      </c>
      <c r="T295" s="100">
        <f t="shared" si="30"/>
        <v>0</v>
      </c>
      <c r="U295" s="100">
        <v>1.8</v>
      </c>
      <c r="V295" s="100">
        <f t="shared" si="29"/>
        <v>3.7575000000000003</v>
      </c>
      <c r="W295" s="101">
        <f t="shared" si="31"/>
        <v>24.017361111111111</v>
      </c>
      <c r="X295" s="102">
        <f t="shared" si="32"/>
        <v>0.41666666666665719</v>
      </c>
      <c r="Y295" s="100">
        <f t="shared" si="33"/>
        <v>0.48333333333333334</v>
      </c>
      <c r="Z295" s="100">
        <f t="shared" si="34"/>
        <v>348</v>
      </c>
    </row>
    <row r="296" spans="1:26">
      <c r="A296" s="108" t="s">
        <v>207</v>
      </c>
      <c r="B296" s="108" t="str">
        <f>IFERROR(VLOOKUP(Tablo518[[#This Row],[ÜRÜN KODU]],YMKODLARI!$A$1:$K$363,2,0)," ")</f>
        <v>KULPLU BİBERON VİDA</v>
      </c>
      <c r="C296" s="99">
        <v>44102</v>
      </c>
      <c r="D296" s="100" t="s">
        <v>33</v>
      </c>
      <c r="E296" s="101">
        <v>0.34375</v>
      </c>
      <c r="F296" s="101">
        <v>0.52777777777777779</v>
      </c>
      <c r="G296" s="100">
        <f>IFERROR(VLOOKUP(Tablo518[[#This Row],[ÜRÜN KODU]],YMKODLARI!$A$1:$K$363,3,0)," ")</f>
        <v>4</v>
      </c>
      <c r="H296" s="100">
        <f>IFERROR(VLOOKUP(Tablo518[[#This Row],[ÜRÜN KODU]],YMKODLARI!$A$1:$K$363,4,0)," ")</f>
        <v>20</v>
      </c>
      <c r="I296" s="100">
        <v>744</v>
      </c>
      <c r="J296" s="100">
        <f>IFERROR(VLOOKUP(Tablo518[[#This Row],[ÜRÜN KODU]],YMKODLARI!$A$1:$K$363,9,0)," ")</f>
        <v>3041</v>
      </c>
      <c r="K296" s="100" t="str">
        <f>IFERROR(VLOOKUP(Tablo518[[#This Row],[BOYA KODU]],Tablo14[#All],4,0)," ")</f>
        <v>KIRMIZI</v>
      </c>
      <c r="L296" s="100">
        <f>IFERROR(VLOOKUP(Tablo518[[#This Row],[BOYA KODU]],Tablo14[#All],6,0)," ")</f>
        <v>5.0000000000000001E-3</v>
      </c>
      <c r="M296" s="100">
        <f t="shared" si="28"/>
        <v>83.7</v>
      </c>
      <c r="N296" s="100" t="str">
        <f>IFERROR(VLOOKUP(Tablo518[[#This Row],[ÜRÜN KODU]],YMKODLARI!$A$1:$K$363,8,0)," ")</f>
        <v>HM 001</v>
      </c>
      <c r="O296" s="100" t="str">
        <f>IFERROR(VLOOKUP(Tablo518[[#This Row],[HAMMADDE KODU]],Tablo1[#All],3,0)," ")</f>
        <v>CAPILENE</v>
      </c>
      <c r="P296" s="100" t="str">
        <f>IFERROR(VLOOKUP(Tablo518[[#This Row],[HAMMADDE KODU]],Tablo1[#All],4,0)," ")</f>
        <v>PİNHAS</v>
      </c>
      <c r="Q296" s="100">
        <f>IFERROR(VLOOKUP(Tablo518[[#This Row],[ÜRÜN KODU]],YMKODLARI!$A$1:$K$363,5,0)," ")</f>
        <v>22.5</v>
      </c>
      <c r="R296" s="100">
        <f>IFERROR(VLOOKUP(Tablo518[[#This Row],[ÜRÜN KODU]],YMKODLARI!$A$1:$K$363,6,0)," ")</f>
        <v>22.5</v>
      </c>
      <c r="S296" s="100">
        <f>IFERROR(Tablo518[[#This Row],[YOLLUK HARİÇ BASKI GRAMI]]/Tablo518[[#This Row],[KALIP GÖZ ADEDİ]]," ")</f>
        <v>5.625</v>
      </c>
      <c r="T296" s="100">
        <f t="shared" si="30"/>
        <v>0</v>
      </c>
      <c r="U296" s="100"/>
      <c r="V296" s="100">
        <f t="shared" si="29"/>
        <v>16.739999999999998</v>
      </c>
      <c r="W296" s="101">
        <f t="shared" si="31"/>
        <v>24.184027777777779</v>
      </c>
      <c r="X296" s="102">
        <f t="shared" si="32"/>
        <v>4.4166666666666856</v>
      </c>
      <c r="Y296" s="100">
        <f t="shared" si="33"/>
        <v>4.1333333333333337</v>
      </c>
      <c r="Z296" s="100">
        <f t="shared" si="34"/>
        <v>2976</v>
      </c>
    </row>
    <row r="297" spans="1:26">
      <c r="A297" s="108" t="s">
        <v>178</v>
      </c>
      <c r="B297" s="108" t="str">
        <f>IFERROR(VLOOKUP(Tablo518[[#This Row],[ÜRÜN KODU]],YMKODLARI!$A$1:$K$363,2,0)," ")</f>
        <v>KURBAĞA DİŞ KAŞIYICI TUTACAK</v>
      </c>
      <c r="C297" s="99">
        <v>44102</v>
      </c>
      <c r="D297" s="100" t="s">
        <v>37</v>
      </c>
      <c r="E297" s="101">
        <v>0.71180555555555547</v>
      </c>
      <c r="F297" s="101">
        <v>0.75</v>
      </c>
      <c r="G297" s="100">
        <f>IFERROR(VLOOKUP(Tablo518[[#This Row],[ÜRÜN KODU]],YMKODLARI!$A$1:$K$363,3,0)," ")</f>
        <v>2</v>
      </c>
      <c r="H297" s="100">
        <f>IFERROR(VLOOKUP(Tablo518[[#This Row],[ÜRÜN KODU]],YMKODLARI!$A$1:$K$363,4,0)," ")</f>
        <v>22</v>
      </c>
      <c r="I297" s="100">
        <v>114</v>
      </c>
      <c r="J297" s="100" t="str">
        <f>IFERROR(VLOOKUP(Tablo518[[#This Row],[ÜRÜN KODU]],YMKODLARI!$A$1:$K$363,9,0)," ")</f>
        <v>3407A</v>
      </c>
      <c r="K297" s="100" t="str">
        <f>IFERROR(VLOOKUP(Tablo518[[#This Row],[BOYA KODU]],Tablo14[#All],4,0)," ")</f>
        <v>KIRMIZI</v>
      </c>
      <c r="L297" s="100">
        <f>IFERROR(VLOOKUP(Tablo518[[#This Row],[BOYA KODU]],Tablo14[#All],6,0)," ")</f>
        <v>5.0000000000000001E-3</v>
      </c>
      <c r="M297" s="100">
        <f t="shared" si="28"/>
        <v>24.738</v>
      </c>
      <c r="N297" s="100" t="str">
        <f>IFERROR(VLOOKUP(Tablo518[[#This Row],[ÜRÜN KODU]],YMKODLARI!$A$1:$K$363,8,0)," ")</f>
        <v>HM 002</v>
      </c>
      <c r="O297" s="100" t="str">
        <f>IFERROR(VLOOKUP(Tablo518[[#This Row],[HAMMADDE KODU]],Tablo1[#All],3,0)," ")</f>
        <v>NOVAREX</v>
      </c>
      <c r="P297" s="100" t="str">
        <f>IFERROR(VLOOKUP(Tablo518[[#This Row],[HAMMADDE KODU]],Tablo1[#All],4,0)," ")</f>
        <v>PİNHAS</v>
      </c>
      <c r="Q297" s="100">
        <f>IFERROR(VLOOKUP(Tablo518[[#This Row],[ÜRÜN KODU]],YMKODLARI!$A$1:$K$363,5,0)," ")</f>
        <v>43.4</v>
      </c>
      <c r="R297" s="100">
        <f>IFERROR(VLOOKUP(Tablo518[[#This Row],[ÜRÜN KODU]],YMKODLARI!$A$1:$K$363,6,0)," ")</f>
        <v>41.8</v>
      </c>
      <c r="S297" s="100">
        <f>IFERROR(Tablo518[[#This Row],[YOLLUK HARİÇ BASKI GRAMI]]/Tablo518[[#This Row],[KALIP GÖZ ADEDİ]]," ")</f>
        <v>20.9</v>
      </c>
      <c r="T297" s="100">
        <f t="shared" si="30"/>
        <v>1.6000000000000014</v>
      </c>
      <c r="U297" s="100">
        <v>2.6</v>
      </c>
      <c r="V297" s="100">
        <f t="shared" si="29"/>
        <v>7.3651999999999997</v>
      </c>
      <c r="W297" s="101">
        <f t="shared" si="31"/>
        <v>24.038194444444443</v>
      </c>
      <c r="X297" s="102">
        <f t="shared" si="32"/>
        <v>0.91666666666662877</v>
      </c>
      <c r="Y297" s="100">
        <f t="shared" si="33"/>
        <v>0.69666666666666666</v>
      </c>
      <c r="Z297" s="100">
        <f t="shared" si="34"/>
        <v>228</v>
      </c>
    </row>
    <row r="298" spans="1:26">
      <c r="A298" s="108" t="s">
        <v>178</v>
      </c>
      <c r="B298" s="108" t="str">
        <f>IFERROR(VLOOKUP(Tablo518[[#This Row],[ÜRÜN KODU]],YMKODLARI!$A$1:$K$363,2,0)," ")</f>
        <v>KURBAĞA DİŞ KAŞIYICI TUTACAK</v>
      </c>
      <c r="C298" s="99">
        <v>44103</v>
      </c>
      <c r="D298" s="100" t="s">
        <v>37</v>
      </c>
      <c r="E298" s="101">
        <v>0.33333333333333331</v>
      </c>
      <c r="F298" s="101">
        <v>0.75</v>
      </c>
      <c r="G298" s="100">
        <f>IFERROR(VLOOKUP(Tablo518[[#This Row],[ÜRÜN KODU]],YMKODLARI!$A$1:$K$363,3,0)," ")</f>
        <v>2</v>
      </c>
      <c r="H298" s="100">
        <f>IFERROR(VLOOKUP(Tablo518[[#This Row],[ÜRÜN KODU]],YMKODLARI!$A$1:$K$363,4,0)," ")</f>
        <v>22</v>
      </c>
      <c r="I298" s="100">
        <v>927</v>
      </c>
      <c r="J298" s="100" t="str">
        <f>IFERROR(VLOOKUP(Tablo518[[#This Row],[ÜRÜN KODU]],YMKODLARI!$A$1:$K$363,9,0)," ")</f>
        <v>3407A</v>
      </c>
      <c r="K298" s="100" t="str">
        <f>IFERROR(VLOOKUP(Tablo518[[#This Row],[BOYA KODU]],Tablo14[#All],4,0)," ")</f>
        <v>KIRMIZI</v>
      </c>
      <c r="L298" s="100">
        <f>IFERROR(VLOOKUP(Tablo518[[#This Row],[BOYA KODU]],Tablo14[#All],6,0)," ")</f>
        <v>5.0000000000000001E-3</v>
      </c>
      <c r="M298" s="100">
        <f t="shared" si="28"/>
        <v>201.15899999999999</v>
      </c>
      <c r="N298" s="100" t="str">
        <f>IFERROR(VLOOKUP(Tablo518[[#This Row],[ÜRÜN KODU]],YMKODLARI!$A$1:$K$363,8,0)," ")</f>
        <v>HM 002</v>
      </c>
      <c r="O298" s="100" t="str">
        <f>IFERROR(VLOOKUP(Tablo518[[#This Row],[HAMMADDE KODU]],Tablo1[#All],3,0)," ")</f>
        <v>NOVAREX</v>
      </c>
      <c r="P298" s="100" t="str">
        <f>IFERROR(VLOOKUP(Tablo518[[#This Row],[HAMMADDE KODU]],Tablo1[#All],4,0)," ")</f>
        <v>PİNHAS</v>
      </c>
      <c r="Q298" s="100">
        <f>IFERROR(VLOOKUP(Tablo518[[#This Row],[ÜRÜN KODU]],YMKODLARI!$A$1:$K$363,5,0)," ")</f>
        <v>43.4</v>
      </c>
      <c r="R298" s="100">
        <f>IFERROR(VLOOKUP(Tablo518[[#This Row],[ÜRÜN KODU]],YMKODLARI!$A$1:$K$363,6,0)," ")</f>
        <v>41.8</v>
      </c>
      <c r="S298" s="100">
        <f>IFERROR(Tablo518[[#This Row],[YOLLUK HARİÇ BASKI GRAMI]]/Tablo518[[#This Row],[KALIP GÖZ ADEDİ]]," ")</f>
        <v>20.9</v>
      </c>
      <c r="T298" s="100">
        <f t="shared" si="30"/>
        <v>1.6000000000000014</v>
      </c>
      <c r="U298" s="100"/>
      <c r="V298" s="100">
        <f t="shared" si="29"/>
        <v>38.748599999999996</v>
      </c>
      <c r="W298" s="101">
        <f t="shared" si="31"/>
        <v>24.416666666666668</v>
      </c>
      <c r="X298" s="102">
        <f t="shared" si="32"/>
        <v>10.000000000000028</v>
      </c>
      <c r="Y298" s="100">
        <f t="shared" si="33"/>
        <v>5.665</v>
      </c>
      <c r="Z298" s="100">
        <f t="shared" si="34"/>
        <v>1854</v>
      </c>
    </row>
    <row r="299" spans="1:26">
      <c r="A299" s="108" t="s">
        <v>178</v>
      </c>
      <c r="B299" s="108" t="str">
        <f>IFERROR(VLOOKUP(Tablo518[[#This Row],[ÜRÜN KODU]],YMKODLARI!$A$1:$K$363,2,0)," ")</f>
        <v>KURBAĞA DİŞ KAŞIYICI TUTACAK</v>
      </c>
      <c r="C299" s="99">
        <v>44104</v>
      </c>
      <c r="D299" s="100" t="s">
        <v>37</v>
      </c>
      <c r="E299" s="101">
        <v>0.33333333333333331</v>
      </c>
      <c r="F299" s="101">
        <v>0.42708333333333331</v>
      </c>
      <c r="G299" s="100">
        <f>IFERROR(VLOOKUP(Tablo518[[#This Row],[ÜRÜN KODU]],YMKODLARI!$A$1:$K$363,3,0)," ")</f>
        <v>2</v>
      </c>
      <c r="H299" s="100">
        <f>IFERROR(VLOOKUP(Tablo518[[#This Row],[ÜRÜN KODU]],YMKODLARI!$A$1:$K$363,4,0)," ")</f>
        <v>22</v>
      </c>
      <c r="I299" s="100">
        <v>167</v>
      </c>
      <c r="J299" s="100" t="str">
        <f>IFERROR(VLOOKUP(Tablo518[[#This Row],[ÜRÜN KODU]],YMKODLARI!$A$1:$K$363,9,0)," ")</f>
        <v>3407A</v>
      </c>
      <c r="K299" s="100" t="str">
        <f>IFERROR(VLOOKUP(Tablo518[[#This Row],[BOYA KODU]],Tablo14[#All],4,0)," ")</f>
        <v>KIRMIZI</v>
      </c>
      <c r="L299" s="100">
        <f>IFERROR(VLOOKUP(Tablo518[[#This Row],[BOYA KODU]],Tablo14[#All],6,0)," ")</f>
        <v>5.0000000000000001E-3</v>
      </c>
      <c r="M299" s="100">
        <f t="shared" si="28"/>
        <v>36.239000000000004</v>
      </c>
      <c r="N299" s="100" t="str">
        <f>IFERROR(VLOOKUP(Tablo518[[#This Row],[ÜRÜN KODU]],YMKODLARI!$A$1:$K$363,8,0)," ")</f>
        <v>HM 002</v>
      </c>
      <c r="O299" s="100" t="str">
        <f>IFERROR(VLOOKUP(Tablo518[[#This Row],[HAMMADDE KODU]],Tablo1[#All],3,0)," ")</f>
        <v>NOVAREX</v>
      </c>
      <c r="P299" s="100" t="str">
        <f>IFERROR(VLOOKUP(Tablo518[[#This Row],[HAMMADDE KODU]],Tablo1[#All],4,0)," ")</f>
        <v>PİNHAS</v>
      </c>
      <c r="Q299" s="100">
        <f>IFERROR(VLOOKUP(Tablo518[[#This Row],[ÜRÜN KODU]],YMKODLARI!$A$1:$K$363,5,0)," ")</f>
        <v>43.4</v>
      </c>
      <c r="R299" s="100">
        <f>IFERROR(VLOOKUP(Tablo518[[#This Row],[ÜRÜN KODU]],YMKODLARI!$A$1:$K$363,6,0)," ")</f>
        <v>41.8</v>
      </c>
      <c r="S299" s="100">
        <f>IFERROR(Tablo518[[#This Row],[YOLLUK HARİÇ BASKI GRAMI]]/Tablo518[[#This Row],[KALIP GÖZ ADEDİ]]," ")</f>
        <v>20.9</v>
      </c>
      <c r="T299" s="100">
        <f t="shared" si="30"/>
        <v>1.6000000000000014</v>
      </c>
      <c r="U299" s="100">
        <v>3.7</v>
      </c>
      <c r="V299" s="100">
        <f t="shared" si="29"/>
        <v>10.680599999999998</v>
      </c>
      <c r="W299" s="101">
        <f t="shared" si="31"/>
        <v>24.09375</v>
      </c>
      <c r="X299" s="102">
        <f t="shared" si="32"/>
        <v>2.25</v>
      </c>
      <c r="Y299" s="100">
        <f t="shared" si="33"/>
        <v>1.0205555555555557</v>
      </c>
      <c r="Z299" s="100">
        <f t="shared" si="34"/>
        <v>334</v>
      </c>
    </row>
    <row r="300" spans="1:26" s="81" customFormat="1">
      <c r="A300" s="108" t="s">
        <v>138</v>
      </c>
      <c r="B300" s="108" t="str">
        <f>IFERROR(VLOOKUP(Tablo518[[#This Row],[ÜRÜN KODU]],YMKODLARI!$A$1:$K$363,2,0)," ")</f>
        <v>KURBAĞA DİŞ KAŞIYICI TUTACAK</v>
      </c>
      <c r="C300" s="99">
        <v>44104</v>
      </c>
      <c r="D300" s="100" t="s">
        <v>37</v>
      </c>
      <c r="E300" s="101">
        <v>0.33333333333333331</v>
      </c>
      <c r="F300" s="101">
        <v>0.42708333333333331</v>
      </c>
      <c r="G300" s="100">
        <f>IFERROR(VLOOKUP(Tablo518[[#This Row],[ÜRÜN KODU]],YMKODLARI!$A$1:$K$363,3,0)," ")</f>
        <v>2</v>
      </c>
      <c r="H300" s="100">
        <f>IFERROR(VLOOKUP(Tablo518[[#This Row],[ÜRÜN KODU]],YMKODLARI!$A$1:$K$363,4,0)," ")</f>
        <v>22</v>
      </c>
      <c r="I300" s="100">
        <v>854</v>
      </c>
      <c r="J300" s="100">
        <f>IFERROR(VLOOKUP(Tablo518[[#This Row],[ÜRÜN KODU]],YMKODLARI!$A$1:$K$363,9,0)," ")</f>
        <v>3408</v>
      </c>
      <c r="K300" s="100" t="str">
        <f>IFERROR(VLOOKUP(Tablo518[[#This Row],[BOYA KODU]],Tablo14[#All],4,0)," ")</f>
        <v>PEMBE</v>
      </c>
      <c r="L300" s="100">
        <f>IFERROR(VLOOKUP(Tablo518[[#This Row],[BOYA KODU]],Tablo14[#All],6,0)," ")</f>
        <v>5.0000000000000001E-3</v>
      </c>
      <c r="M300" s="100">
        <f>IFERROR((I300*Q300)*L300," ")</f>
        <v>185.31799999999998</v>
      </c>
      <c r="N300" s="100" t="str">
        <f>IFERROR(VLOOKUP(Tablo518[[#This Row],[ÜRÜN KODU]],YMKODLARI!$A$1:$K$363,8,0)," ")</f>
        <v>HM 002</v>
      </c>
      <c r="O300" s="100" t="str">
        <f>IFERROR(VLOOKUP(Tablo518[[#This Row],[HAMMADDE KODU]],Tablo1[#All],3,0)," ")</f>
        <v>NOVAREX</v>
      </c>
      <c r="P300" s="100" t="str">
        <f>IFERROR(VLOOKUP(Tablo518[[#This Row],[HAMMADDE KODU]],Tablo1[#All],4,0)," ")</f>
        <v>PİNHAS</v>
      </c>
      <c r="Q300" s="100">
        <f>IFERROR(VLOOKUP(Tablo518[[#This Row],[ÜRÜN KODU]],YMKODLARI!$A$1:$K$363,5,0)," ")</f>
        <v>43.4</v>
      </c>
      <c r="R300" s="100">
        <f>IFERROR(VLOOKUP(Tablo518[[#This Row],[ÜRÜN KODU]],YMKODLARI!$A$1:$K$363,6,0)," ")</f>
        <v>41.8</v>
      </c>
      <c r="S300" s="100">
        <f>IFERROR(Tablo518[[#This Row],[YOLLUK HARİÇ BASKI GRAMI]]/Tablo518[[#This Row],[KALIP GÖZ ADEDİ]]," ")</f>
        <v>20.9</v>
      </c>
      <c r="T300" s="100">
        <f>IFERROR(Q300-R300," ")</f>
        <v>1.6000000000000014</v>
      </c>
      <c r="U300" s="100">
        <v>11.98</v>
      </c>
      <c r="V300" s="100">
        <f>IFERROR(U300+(R300*I300) /1000," ")</f>
        <v>47.677199999999999</v>
      </c>
      <c r="W300" s="101">
        <f>IFERROR(24-(E300-F300)," ")</f>
        <v>24.09375</v>
      </c>
      <c r="X300" s="102">
        <f>IFERROR((W300-INT(W300))*24," ")</f>
        <v>2.25</v>
      </c>
      <c r="Y300" s="100">
        <f>IFERROR(H300*I300/3600," ")</f>
        <v>5.2188888888888885</v>
      </c>
      <c r="Z300" s="100">
        <f>IFERROR(I300*G300," " )</f>
        <v>1708</v>
      </c>
    </row>
    <row r="301" spans="1:26">
      <c r="A301" s="108" t="s">
        <v>138</v>
      </c>
      <c r="B301" s="108" t="str">
        <f>IFERROR(VLOOKUP(Tablo518[[#This Row],[ÜRÜN KODU]],YMKODLARI!$A$1:$K$363,2,0)," ")</f>
        <v>KURBAĞA DİŞ KAŞIYICI TUTACAK</v>
      </c>
      <c r="C301" s="99">
        <v>44105</v>
      </c>
      <c r="D301" s="100" t="s">
        <v>37</v>
      </c>
      <c r="E301" s="101">
        <v>0.33333333333333331</v>
      </c>
      <c r="F301" s="101">
        <v>0.67708333333333337</v>
      </c>
      <c r="G301" s="100">
        <f>IFERROR(VLOOKUP(Tablo518[[#This Row],[ÜRÜN KODU]],YMKODLARI!$A$1:$K$363,3,0)," ")</f>
        <v>2</v>
      </c>
      <c r="H301" s="100">
        <f>IFERROR(VLOOKUP(Tablo518[[#This Row],[ÜRÜN KODU]],YMKODLARI!$A$1:$K$363,4,0)," ")</f>
        <v>22</v>
      </c>
      <c r="I301" s="100">
        <v>984</v>
      </c>
      <c r="J301" s="100">
        <f>IFERROR(VLOOKUP(Tablo518[[#This Row],[ÜRÜN KODU]],YMKODLARI!$A$1:$K$363,9,0)," ")</f>
        <v>3408</v>
      </c>
      <c r="K301" s="100" t="str">
        <f>IFERROR(VLOOKUP(Tablo518[[#This Row],[BOYA KODU]],Tablo14[#All],4,0)," ")</f>
        <v>PEMBE</v>
      </c>
      <c r="L301" s="100">
        <f>IFERROR(VLOOKUP(Tablo518[[#This Row],[BOYA KODU]],Tablo14[#All],6,0)," ")</f>
        <v>5.0000000000000001E-3</v>
      </c>
      <c r="M301" s="100">
        <f t="shared" si="28"/>
        <v>213.52799999999999</v>
      </c>
      <c r="N301" s="100" t="str">
        <f>IFERROR(VLOOKUP(Tablo518[[#This Row],[ÜRÜN KODU]],YMKODLARI!$A$1:$K$363,8,0)," ")</f>
        <v>HM 002</v>
      </c>
      <c r="O301" s="100" t="str">
        <f>IFERROR(VLOOKUP(Tablo518[[#This Row],[HAMMADDE KODU]],Tablo1[#All],3,0)," ")</f>
        <v>NOVAREX</v>
      </c>
      <c r="P301" s="100" t="str">
        <f>IFERROR(VLOOKUP(Tablo518[[#This Row],[HAMMADDE KODU]],Tablo1[#All],4,0)," ")</f>
        <v>PİNHAS</v>
      </c>
      <c r="Q301" s="100">
        <f>IFERROR(VLOOKUP(Tablo518[[#This Row],[ÜRÜN KODU]],YMKODLARI!$A$1:$K$363,5,0)," ")</f>
        <v>43.4</v>
      </c>
      <c r="R301" s="100">
        <f>IFERROR(VLOOKUP(Tablo518[[#This Row],[ÜRÜN KODU]],YMKODLARI!$A$1:$K$363,6,0)," ")</f>
        <v>41.8</v>
      </c>
      <c r="S301" s="100">
        <f>IFERROR(Tablo518[[#This Row],[YOLLUK HARİÇ BASKI GRAMI]]/Tablo518[[#This Row],[KALIP GÖZ ADEDİ]]," ")</f>
        <v>20.9</v>
      </c>
      <c r="T301" s="100">
        <f t="shared" si="30"/>
        <v>1.6000000000000014</v>
      </c>
      <c r="U301" s="100">
        <v>22</v>
      </c>
      <c r="V301" s="100">
        <f t="shared" si="29"/>
        <v>63.1312</v>
      </c>
      <c r="W301" s="101">
        <f t="shared" si="31"/>
        <v>24.34375</v>
      </c>
      <c r="X301" s="102">
        <f t="shared" si="32"/>
        <v>8.25</v>
      </c>
      <c r="Y301" s="100">
        <f t="shared" si="33"/>
        <v>6.0133333333333336</v>
      </c>
      <c r="Z301" s="100">
        <f t="shared" si="34"/>
        <v>1968</v>
      </c>
    </row>
    <row r="302" spans="1:26">
      <c r="A302" s="108" t="s">
        <v>139</v>
      </c>
      <c r="B302" s="108" t="str">
        <f>IFERROR(VLOOKUP(Tablo518[[#This Row],[ÜRÜN KODU]],YMKODLARI!$A$1:$K$363,2,0)," ")</f>
        <v>KURBAĞA DİŞ KAŞIYICI TUTACAK</v>
      </c>
      <c r="C302" s="99">
        <v>44105</v>
      </c>
      <c r="D302" s="100" t="s">
        <v>37</v>
      </c>
      <c r="E302" s="101">
        <v>0.68055555555555547</v>
      </c>
      <c r="F302" s="101">
        <v>0.75</v>
      </c>
      <c r="G302" s="100">
        <f>IFERROR(VLOOKUP(Tablo518[[#This Row],[ÜRÜN KODU]],YMKODLARI!$A$1:$K$363,3,0)," ")</f>
        <v>2</v>
      </c>
      <c r="H302" s="100">
        <f>IFERROR(VLOOKUP(Tablo518[[#This Row],[ÜRÜN KODU]],YMKODLARI!$A$1:$K$363,4,0)," ")</f>
        <v>22</v>
      </c>
      <c r="I302" s="100">
        <v>209</v>
      </c>
      <c r="J302" s="100" t="str">
        <f>IFERROR(VLOOKUP(Tablo518[[#This Row],[ÜRÜN KODU]],YMKODLARI!$A$1:$K$363,9,0)," ")</f>
        <v>5249A</v>
      </c>
      <c r="K302" s="100" t="str">
        <f>IFERROR(VLOOKUP(Tablo518[[#This Row],[BOYA KODU]],Tablo14[#All],4,0)," ")</f>
        <v>MAVİ</v>
      </c>
      <c r="L302" s="100">
        <f>IFERROR(VLOOKUP(Tablo518[[#This Row],[BOYA KODU]],Tablo14[#All],6,0)," ")</f>
        <v>5.0000000000000001E-3</v>
      </c>
      <c r="M302" s="100">
        <f t="shared" si="28"/>
        <v>45.353000000000002</v>
      </c>
      <c r="N302" s="100" t="str">
        <f>IFERROR(VLOOKUP(Tablo518[[#This Row],[ÜRÜN KODU]],YMKODLARI!$A$1:$K$363,8,0)," ")</f>
        <v>HM 002</v>
      </c>
      <c r="O302" s="100" t="str">
        <f>IFERROR(VLOOKUP(Tablo518[[#This Row],[HAMMADDE KODU]],Tablo1[#All],3,0)," ")</f>
        <v>NOVAREX</v>
      </c>
      <c r="P302" s="100" t="str">
        <f>IFERROR(VLOOKUP(Tablo518[[#This Row],[HAMMADDE KODU]],Tablo1[#All],4,0)," ")</f>
        <v>PİNHAS</v>
      </c>
      <c r="Q302" s="100">
        <f>IFERROR(VLOOKUP(Tablo518[[#This Row],[ÜRÜN KODU]],YMKODLARI!$A$1:$K$363,5,0)," ")</f>
        <v>43.4</v>
      </c>
      <c r="R302" s="100">
        <f>IFERROR(VLOOKUP(Tablo518[[#This Row],[ÜRÜN KODU]],YMKODLARI!$A$1:$K$363,6,0)," ")</f>
        <v>41.8</v>
      </c>
      <c r="S302" s="100">
        <f>IFERROR(Tablo518[[#This Row],[YOLLUK HARİÇ BASKI GRAMI]]/Tablo518[[#This Row],[KALIP GÖZ ADEDİ]]," ")</f>
        <v>20.9</v>
      </c>
      <c r="T302" s="100">
        <f t="shared" si="30"/>
        <v>1.6000000000000014</v>
      </c>
      <c r="U302" s="100"/>
      <c r="V302" s="100">
        <f t="shared" si="29"/>
        <v>8.7361999999999984</v>
      </c>
      <c r="W302" s="101">
        <f t="shared" si="31"/>
        <v>24.069444444444443</v>
      </c>
      <c r="X302" s="102">
        <f t="shared" si="32"/>
        <v>1.6666666666666288</v>
      </c>
      <c r="Y302" s="100">
        <f t="shared" si="33"/>
        <v>1.2772222222222223</v>
      </c>
      <c r="Z302" s="100">
        <f t="shared" si="34"/>
        <v>418</v>
      </c>
    </row>
    <row r="303" spans="1:26">
      <c r="A303" s="108" t="s">
        <v>139</v>
      </c>
      <c r="B303" s="108" t="str">
        <f>IFERROR(VLOOKUP(Tablo518[[#This Row],[ÜRÜN KODU]],YMKODLARI!$A$1:$K$363,2,0)," ")</f>
        <v>KURBAĞA DİŞ KAŞIYICI TUTACAK</v>
      </c>
      <c r="C303" s="99">
        <v>44106</v>
      </c>
      <c r="D303" s="100" t="s">
        <v>37</v>
      </c>
      <c r="E303" s="101">
        <v>0.45833333333333331</v>
      </c>
      <c r="F303" s="101">
        <v>0.75</v>
      </c>
      <c r="G303" s="100">
        <f>IFERROR(VLOOKUP(Tablo518[[#This Row],[ÜRÜN KODU]],YMKODLARI!$A$1:$K$363,3,0)," ")</f>
        <v>2</v>
      </c>
      <c r="H303" s="100">
        <f>IFERROR(VLOOKUP(Tablo518[[#This Row],[ÜRÜN KODU]],YMKODLARI!$A$1:$K$363,4,0)," ")</f>
        <v>22</v>
      </c>
      <c r="I303" s="100">
        <v>1206</v>
      </c>
      <c r="J303" s="100" t="str">
        <f>IFERROR(VLOOKUP(Tablo518[[#This Row],[ÜRÜN KODU]],YMKODLARI!$A$1:$K$363,9,0)," ")</f>
        <v>5249A</v>
      </c>
      <c r="K303" s="100" t="str">
        <f>IFERROR(VLOOKUP(Tablo518[[#This Row],[BOYA KODU]],Tablo14[#All],4,0)," ")</f>
        <v>MAVİ</v>
      </c>
      <c r="L303" s="100">
        <f>IFERROR(VLOOKUP(Tablo518[[#This Row],[BOYA KODU]],Tablo14[#All],6,0)," ")</f>
        <v>5.0000000000000001E-3</v>
      </c>
      <c r="M303" s="100">
        <f t="shared" si="28"/>
        <v>261.702</v>
      </c>
      <c r="N303" s="100" t="str">
        <f>IFERROR(VLOOKUP(Tablo518[[#This Row],[ÜRÜN KODU]],YMKODLARI!$A$1:$K$363,8,0)," ")</f>
        <v>HM 002</v>
      </c>
      <c r="O303" s="100" t="str">
        <f>IFERROR(VLOOKUP(Tablo518[[#This Row],[HAMMADDE KODU]],Tablo1[#All],3,0)," ")</f>
        <v>NOVAREX</v>
      </c>
      <c r="P303" s="100" t="str">
        <f>IFERROR(VLOOKUP(Tablo518[[#This Row],[HAMMADDE KODU]],Tablo1[#All],4,0)," ")</f>
        <v>PİNHAS</v>
      </c>
      <c r="Q303" s="100">
        <f>IFERROR(VLOOKUP(Tablo518[[#This Row],[ÜRÜN KODU]],YMKODLARI!$A$1:$K$363,5,0)," ")</f>
        <v>43.4</v>
      </c>
      <c r="R303" s="100">
        <f>IFERROR(VLOOKUP(Tablo518[[#This Row],[ÜRÜN KODU]],YMKODLARI!$A$1:$K$363,6,0)," ")</f>
        <v>41.8</v>
      </c>
      <c r="S303" s="100">
        <f>IFERROR(Tablo518[[#This Row],[YOLLUK HARİÇ BASKI GRAMI]]/Tablo518[[#This Row],[KALIP GÖZ ADEDİ]]," ")</f>
        <v>20.9</v>
      </c>
      <c r="T303" s="100">
        <f t="shared" si="30"/>
        <v>1.6000000000000014</v>
      </c>
      <c r="U303" s="100">
        <v>17.5</v>
      </c>
      <c r="V303" s="100">
        <f t="shared" si="29"/>
        <v>67.910799999999995</v>
      </c>
      <c r="W303" s="101">
        <f t="shared" si="31"/>
        <v>24.291666666666668</v>
      </c>
      <c r="X303" s="102">
        <f t="shared" si="32"/>
        <v>7.0000000000000284</v>
      </c>
      <c r="Y303" s="100">
        <f t="shared" si="33"/>
        <v>7.37</v>
      </c>
      <c r="Z303" s="100">
        <f t="shared" si="34"/>
        <v>2412</v>
      </c>
    </row>
    <row r="304" spans="1:26">
      <c r="A304" s="108" t="s">
        <v>139</v>
      </c>
      <c r="B304" s="108" t="str">
        <f>IFERROR(VLOOKUP(Tablo518[[#This Row],[ÜRÜN KODU]],YMKODLARI!$A$1:$K$363,2,0)," ")</f>
        <v>KURBAĞA DİŞ KAŞIYICI TUTACAK</v>
      </c>
      <c r="C304" s="99">
        <v>44109</v>
      </c>
      <c r="D304" s="100" t="s">
        <v>37</v>
      </c>
      <c r="E304" s="101">
        <v>0.41666666666666669</v>
      </c>
      <c r="F304" s="101">
        <v>0.49652777777777773</v>
      </c>
      <c r="G304" s="100">
        <f>IFERROR(VLOOKUP(Tablo518[[#This Row],[ÜRÜN KODU]],YMKODLARI!$A$1:$K$363,3,0)," ")</f>
        <v>2</v>
      </c>
      <c r="H304" s="100">
        <f>IFERROR(VLOOKUP(Tablo518[[#This Row],[ÜRÜN KODU]],YMKODLARI!$A$1:$K$363,4,0)," ")</f>
        <v>22</v>
      </c>
      <c r="I304" s="100">
        <v>358</v>
      </c>
      <c r="J304" s="100" t="str">
        <f>IFERROR(VLOOKUP(Tablo518[[#This Row],[ÜRÜN KODU]],YMKODLARI!$A$1:$K$363,9,0)," ")</f>
        <v>5249A</v>
      </c>
      <c r="K304" s="100" t="str">
        <f>IFERROR(VLOOKUP(Tablo518[[#This Row],[BOYA KODU]],Tablo14[#All],4,0)," ")</f>
        <v>MAVİ</v>
      </c>
      <c r="L304" s="100">
        <f>IFERROR(VLOOKUP(Tablo518[[#This Row],[BOYA KODU]],Tablo14[#All],6,0)," ")</f>
        <v>5.0000000000000001E-3</v>
      </c>
      <c r="M304" s="100">
        <f t="shared" si="28"/>
        <v>77.685999999999993</v>
      </c>
      <c r="N304" s="100" t="str">
        <f>IFERROR(VLOOKUP(Tablo518[[#This Row],[ÜRÜN KODU]],YMKODLARI!$A$1:$K$363,8,0)," ")</f>
        <v>HM 002</v>
      </c>
      <c r="O304" s="100" t="str">
        <f>IFERROR(VLOOKUP(Tablo518[[#This Row],[HAMMADDE KODU]],Tablo1[#All],3,0)," ")</f>
        <v>NOVAREX</v>
      </c>
      <c r="P304" s="100" t="str">
        <f>IFERROR(VLOOKUP(Tablo518[[#This Row],[HAMMADDE KODU]],Tablo1[#All],4,0)," ")</f>
        <v>PİNHAS</v>
      </c>
      <c r="Q304" s="100">
        <f>IFERROR(VLOOKUP(Tablo518[[#This Row],[ÜRÜN KODU]],YMKODLARI!$A$1:$K$363,5,0)," ")</f>
        <v>43.4</v>
      </c>
      <c r="R304" s="100">
        <f>IFERROR(VLOOKUP(Tablo518[[#This Row],[ÜRÜN KODU]],YMKODLARI!$A$1:$K$363,6,0)," ")</f>
        <v>41.8</v>
      </c>
      <c r="S304" s="100">
        <f>IFERROR(Tablo518[[#This Row],[YOLLUK HARİÇ BASKI GRAMI]]/Tablo518[[#This Row],[KALIP GÖZ ADEDİ]]," ")</f>
        <v>20.9</v>
      </c>
      <c r="T304" s="100">
        <f t="shared" si="30"/>
        <v>1.6000000000000014</v>
      </c>
      <c r="U304" s="100">
        <v>4.5</v>
      </c>
      <c r="V304" s="100">
        <f t="shared" si="29"/>
        <v>19.464399999999998</v>
      </c>
      <c r="W304" s="101">
        <f t="shared" si="31"/>
        <v>24.079861111111111</v>
      </c>
      <c r="X304" s="102">
        <f t="shared" si="32"/>
        <v>1.9166666666666572</v>
      </c>
      <c r="Y304" s="100">
        <f t="shared" si="33"/>
        <v>2.1877777777777778</v>
      </c>
      <c r="Z304" s="100">
        <f t="shared" si="34"/>
        <v>716</v>
      </c>
    </row>
    <row r="305" spans="1:26">
      <c r="A305" s="108" t="s">
        <v>138</v>
      </c>
      <c r="B305" s="108" t="str">
        <f>IFERROR(VLOOKUP(Tablo518[[#This Row],[ÜRÜN KODU]],YMKODLARI!$A$1:$K$363,2,0)," ")</f>
        <v>KURBAĞA DİŞ KAŞIYICI TUTACAK</v>
      </c>
      <c r="C305" s="99">
        <v>44109</v>
      </c>
      <c r="D305" s="100" t="s">
        <v>37</v>
      </c>
      <c r="E305" s="101">
        <v>0.5</v>
      </c>
      <c r="F305" s="101">
        <v>0.63194444444444442</v>
      </c>
      <c r="G305" s="100">
        <f>IFERROR(VLOOKUP(Tablo518[[#This Row],[ÜRÜN KODU]],YMKODLARI!$A$1:$K$363,3,0)," ")</f>
        <v>2</v>
      </c>
      <c r="H305" s="100">
        <f>IFERROR(VLOOKUP(Tablo518[[#This Row],[ÜRÜN KODU]],YMKODLARI!$A$1:$K$363,4,0)," ")</f>
        <v>22</v>
      </c>
      <c r="I305" s="100">
        <v>472</v>
      </c>
      <c r="J305" s="100">
        <f>IFERROR(VLOOKUP(Tablo518[[#This Row],[ÜRÜN KODU]],YMKODLARI!$A$1:$K$363,9,0)," ")</f>
        <v>3408</v>
      </c>
      <c r="K305" s="100" t="str">
        <f>IFERROR(VLOOKUP(Tablo518[[#This Row],[BOYA KODU]],Tablo14[#All],4,0)," ")</f>
        <v>PEMBE</v>
      </c>
      <c r="L305" s="100">
        <f>IFERROR(VLOOKUP(Tablo518[[#This Row],[BOYA KODU]],Tablo14[#All],6,0)," ")</f>
        <v>5.0000000000000001E-3</v>
      </c>
      <c r="M305" s="100">
        <f t="shared" si="28"/>
        <v>102.42399999999999</v>
      </c>
      <c r="N305" s="100" t="str">
        <f>IFERROR(VLOOKUP(Tablo518[[#This Row],[ÜRÜN KODU]],YMKODLARI!$A$1:$K$363,8,0)," ")</f>
        <v>HM 002</v>
      </c>
      <c r="O305" s="100" t="str">
        <f>IFERROR(VLOOKUP(Tablo518[[#This Row],[HAMMADDE KODU]],Tablo1[#All],3,0)," ")</f>
        <v>NOVAREX</v>
      </c>
      <c r="P305" s="100" t="str">
        <f>IFERROR(VLOOKUP(Tablo518[[#This Row],[HAMMADDE KODU]],Tablo1[#All],4,0)," ")</f>
        <v>PİNHAS</v>
      </c>
      <c r="Q305" s="100">
        <f>IFERROR(VLOOKUP(Tablo518[[#This Row],[ÜRÜN KODU]],YMKODLARI!$A$1:$K$363,5,0)," ")</f>
        <v>43.4</v>
      </c>
      <c r="R305" s="100">
        <f>IFERROR(VLOOKUP(Tablo518[[#This Row],[ÜRÜN KODU]],YMKODLARI!$A$1:$K$363,6,0)," ")</f>
        <v>41.8</v>
      </c>
      <c r="S305" s="100">
        <f>IFERROR(Tablo518[[#This Row],[YOLLUK HARİÇ BASKI GRAMI]]/Tablo518[[#This Row],[KALIP GÖZ ADEDİ]]," ")</f>
        <v>20.9</v>
      </c>
      <c r="T305" s="100">
        <f t="shared" si="30"/>
        <v>1.6000000000000014</v>
      </c>
      <c r="U305" s="100">
        <v>5.2</v>
      </c>
      <c r="V305" s="100">
        <f t="shared" si="29"/>
        <v>24.929599999999997</v>
      </c>
      <c r="W305" s="101">
        <f t="shared" si="31"/>
        <v>24.131944444444443</v>
      </c>
      <c r="X305" s="102">
        <f t="shared" si="32"/>
        <v>3.1666666666666288</v>
      </c>
      <c r="Y305" s="100">
        <f t="shared" si="33"/>
        <v>2.8844444444444446</v>
      </c>
      <c r="Z305" s="100">
        <f t="shared" si="34"/>
        <v>944</v>
      </c>
    </row>
    <row r="306" spans="1:26">
      <c r="A306" s="108" t="s">
        <v>178</v>
      </c>
      <c r="B306" s="108" t="str">
        <f>IFERROR(VLOOKUP(Tablo518[[#This Row],[ÜRÜN KODU]],YMKODLARI!$A$1:$K$363,2,0)," ")</f>
        <v>KURBAĞA DİŞ KAŞIYICI TUTACAK</v>
      </c>
      <c r="C306" s="99">
        <v>44109</v>
      </c>
      <c r="D306" s="100" t="s">
        <v>37</v>
      </c>
      <c r="E306" s="101">
        <v>0.63541666666666663</v>
      </c>
      <c r="F306" s="101">
        <v>0.75</v>
      </c>
      <c r="G306" s="100">
        <f>IFERROR(VLOOKUP(Tablo518[[#This Row],[ÜRÜN KODU]],YMKODLARI!$A$1:$K$363,3,0)," ")</f>
        <v>2</v>
      </c>
      <c r="H306" s="100">
        <f>IFERROR(VLOOKUP(Tablo518[[#This Row],[ÜRÜN KODU]],YMKODLARI!$A$1:$K$363,4,0)," ")</f>
        <v>22</v>
      </c>
      <c r="I306" s="100">
        <v>290</v>
      </c>
      <c r="J306" s="100" t="str">
        <f>IFERROR(VLOOKUP(Tablo518[[#This Row],[ÜRÜN KODU]],YMKODLARI!$A$1:$K$363,9,0)," ")</f>
        <v>3407A</v>
      </c>
      <c r="K306" s="100" t="str">
        <f>IFERROR(VLOOKUP(Tablo518[[#This Row],[BOYA KODU]],Tablo14[#All],4,0)," ")</f>
        <v>KIRMIZI</v>
      </c>
      <c r="L306" s="100">
        <f>IFERROR(VLOOKUP(Tablo518[[#This Row],[BOYA KODU]],Tablo14[#All],6,0)," ")</f>
        <v>5.0000000000000001E-3</v>
      </c>
      <c r="M306" s="100">
        <f t="shared" si="28"/>
        <v>62.93</v>
      </c>
      <c r="N306" s="100" t="str">
        <f>IFERROR(VLOOKUP(Tablo518[[#This Row],[ÜRÜN KODU]],YMKODLARI!$A$1:$K$363,8,0)," ")</f>
        <v>HM 002</v>
      </c>
      <c r="O306" s="100" t="str">
        <f>IFERROR(VLOOKUP(Tablo518[[#This Row],[HAMMADDE KODU]],Tablo1[#All],3,0)," ")</f>
        <v>NOVAREX</v>
      </c>
      <c r="P306" s="100" t="str">
        <f>IFERROR(VLOOKUP(Tablo518[[#This Row],[HAMMADDE KODU]],Tablo1[#All],4,0)," ")</f>
        <v>PİNHAS</v>
      </c>
      <c r="Q306" s="100">
        <f>IFERROR(VLOOKUP(Tablo518[[#This Row],[ÜRÜN KODU]],YMKODLARI!$A$1:$K$363,5,0)," ")</f>
        <v>43.4</v>
      </c>
      <c r="R306" s="100">
        <f>IFERROR(VLOOKUP(Tablo518[[#This Row],[ÜRÜN KODU]],YMKODLARI!$A$1:$K$363,6,0)," ")</f>
        <v>41.8</v>
      </c>
      <c r="S306" s="100">
        <f>IFERROR(Tablo518[[#This Row],[YOLLUK HARİÇ BASKI GRAMI]]/Tablo518[[#This Row],[KALIP GÖZ ADEDİ]]," ")</f>
        <v>20.9</v>
      </c>
      <c r="T306" s="100">
        <f t="shared" si="30"/>
        <v>1.6000000000000014</v>
      </c>
      <c r="U306" s="100">
        <v>5.2</v>
      </c>
      <c r="V306" s="100">
        <f t="shared" si="29"/>
        <v>17.321999999999999</v>
      </c>
      <c r="W306" s="101">
        <f t="shared" si="31"/>
        <v>24.114583333333332</v>
      </c>
      <c r="X306" s="102">
        <f t="shared" si="32"/>
        <v>2.7499999999999716</v>
      </c>
      <c r="Y306" s="100">
        <f t="shared" si="33"/>
        <v>1.7722222222222221</v>
      </c>
      <c r="Z306" s="100">
        <f t="shared" si="34"/>
        <v>580</v>
      </c>
    </row>
    <row r="307" spans="1:26">
      <c r="A307" s="108" t="s">
        <v>178</v>
      </c>
      <c r="B307" s="108" t="str">
        <f>IFERROR(VLOOKUP(Tablo518[[#This Row],[ÜRÜN KODU]],YMKODLARI!$A$1:$K$363,2,0)," ")</f>
        <v>KURBAĞA DİŞ KAŞIYICI TUTACAK</v>
      </c>
      <c r="C307" s="99">
        <v>44110</v>
      </c>
      <c r="D307" s="100" t="s">
        <v>37</v>
      </c>
      <c r="E307" s="101">
        <v>0.33333333333333331</v>
      </c>
      <c r="F307" s="101">
        <v>0.75</v>
      </c>
      <c r="G307" s="100">
        <f>IFERROR(VLOOKUP(Tablo518[[#This Row],[ÜRÜN KODU]],YMKODLARI!$A$1:$K$363,3,0)," ")</f>
        <v>2</v>
      </c>
      <c r="H307" s="100">
        <f>IFERROR(VLOOKUP(Tablo518[[#This Row],[ÜRÜN KODU]],YMKODLARI!$A$1:$K$363,4,0)," ")</f>
        <v>22</v>
      </c>
      <c r="I307" s="100">
        <v>1168</v>
      </c>
      <c r="J307" s="100" t="str">
        <f>IFERROR(VLOOKUP(Tablo518[[#This Row],[ÜRÜN KODU]],YMKODLARI!$A$1:$K$363,9,0)," ")</f>
        <v>3407A</v>
      </c>
      <c r="K307" s="100" t="str">
        <f>IFERROR(VLOOKUP(Tablo518[[#This Row],[BOYA KODU]],Tablo14[#All],4,0)," ")</f>
        <v>KIRMIZI</v>
      </c>
      <c r="L307" s="100">
        <f>IFERROR(VLOOKUP(Tablo518[[#This Row],[BOYA KODU]],Tablo14[#All],6,0)," ")</f>
        <v>5.0000000000000001E-3</v>
      </c>
      <c r="M307" s="100">
        <f t="shared" si="28"/>
        <v>253.45599999999999</v>
      </c>
      <c r="N307" s="100" t="str">
        <f>IFERROR(VLOOKUP(Tablo518[[#This Row],[ÜRÜN KODU]],YMKODLARI!$A$1:$K$363,8,0)," ")</f>
        <v>HM 002</v>
      </c>
      <c r="O307" s="100" t="str">
        <f>IFERROR(VLOOKUP(Tablo518[[#This Row],[HAMMADDE KODU]],Tablo1[#All],3,0)," ")</f>
        <v>NOVAREX</v>
      </c>
      <c r="P307" s="100" t="str">
        <f>IFERROR(VLOOKUP(Tablo518[[#This Row],[HAMMADDE KODU]],Tablo1[#All],4,0)," ")</f>
        <v>PİNHAS</v>
      </c>
      <c r="Q307" s="100">
        <f>IFERROR(VLOOKUP(Tablo518[[#This Row],[ÜRÜN KODU]],YMKODLARI!$A$1:$K$363,5,0)," ")</f>
        <v>43.4</v>
      </c>
      <c r="R307" s="100">
        <f>IFERROR(VLOOKUP(Tablo518[[#This Row],[ÜRÜN KODU]],YMKODLARI!$A$1:$K$363,6,0)," ")</f>
        <v>41.8</v>
      </c>
      <c r="S307" s="100">
        <f>IFERROR(Tablo518[[#This Row],[YOLLUK HARİÇ BASKI GRAMI]]/Tablo518[[#This Row],[KALIP GÖZ ADEDİ]]," ")</f>
        <v>20.9</v>
      </c>
      <c r="T307" s="100">
        <f t="shared" si="30"/>
        <v>1.6000000000000014</v>
      </c>
      <c r="U307" s="100">
        <v>1</v>
      </c>
      <c r="V307" s="100">
        <f t="shared" si="29"/>
        <v>49.822399999999995</v>
      </c>
      <c r="W307" s="101">
        <f t="shared" si="31"/>
        <v>24.416666666666668</v>
      </c>
      <c r="X307" s="102">
        <f t="shared" si="32"/>
        <v>10.000000000000028</v>
      </c>
      <c r="Y307" s="100">
        <f t="shared" si="33"/>
        <v>7.137777777777778</v>
      </c>
      <c r="Z307" s="100">
        <f t="shared" si="34"/>
        <v>2336</v>
      </c>
    </row>
    <row r="308" spans="1:26">
      <c r="A308" s="108" t="s">
        <v>178</v>
      </c>
      <c r="B308" s="108" t="str">
        <f>IFERROR(VLOOKUP(Tablo518[[#This Row],[ÜRÜN KODU]],YMKODLARI!$A$1:$K$363,2,0)," ")</f>
        <v>KURBAĞA DİŞ KAŞIYICI TUTACAK</v>
      </c>
      <c r="C308" s="99">
        <v>44111</v>
      </c>
      <c r="D308" s="100" t="s">
        <v>37</v>
      </c>
      <c r="E308" s="101">
        <v>0.33333333333333331</v>
      </c>
      <c r="F308" s="101">
        <v>0.41666666666666669</v>
      </c>
      <c r="G308" s="100">
        <f>IFERROR(VLOOKUP(Tablo518[[#This Row],[ÜRÜN KODU]],YMKODLARI!$A$1:$K$363,3,0)," ")</f>
        <v>2</v>
      </c>
      <c r="H308" s="100">
        <f>IFERROR(VLOOKUP(Tablo518[[#This Row],[ÜRÜN KODU]],YMKODLARI!$A$1:$K$363,4,0)," ")</f>
        <v>22</v>
      </c>
      <c r="I308" s="100">
        <v>164</v>
      </c>
      <c r="J308" s="100" t="str">
        <f>IFERROR(VLOOKUP(Tablo518[[#This Row],[ÜRÜN KODU]],YMKODLARI!$A$1:$K$363,9,0)," ")</f>
        <v>3407A</v>
      </c>
      <c r="K308" s="100" t="str">
        <f>IFERROR(VLOOKUP(Tablo518[[#This Row],[BOYA KODU]],Tablo14[#All],4,0)," ")</f>
        <v>KIRMIZI</v>
      </c>
      <c r="L308" s="100">
        <f>IFERROR(VLOOKUP(Tablo518[[#This Row],[BOYA KODU]],Tablo14[#All],6,0)," ")</f>
        <v>5.0000000000000001E-3</v>
      </c>
      <c r="M308" s="100">
        <f t="shared" si="28"/>
        <v>35.588000000000001</v>
      </c>
      <c r="N308" s="100" t="str">
        <f>IFERROR(VLOOKUP(Tablo518[[#This Row],[ÜRÜN KODU]],YMKODLARI!$A$1:$K$363,8,0)," ")</f>
        <v>HM 002</v>
      </c>
      <c r="O308" s="100" t="str">
        <f>IFERROR(VLOOKUP(Tablo518[[#This Row],[HAMMADDE KODU]],Tablo1[#All],3,0)," ")</f>
        <v>NOVAREX</v>
      </c>
      <c r="P308" s="100" t="str">
        <f>IFERROR(VLOOKUP(Tablo518[[#This Row],[HAMMADDE KODU]],Tablo1[#All],4,0)," ")</f>
        <v>PİNHAS</v>
      </c>
      <c r="Q308" s="100">
        <f>IFERROR(VLOOKUP(Tablo518[[#This Row],[ÜRÜN KODU]],YMKODLARI!$A$1:$K$363,5,0)," ")</f>
        <v>43.4</v>
      </c>
      <c r="R308" s="100">
        <f>IFERROR(VLOOKUP(Tablo518[[#This Row],[ÜRÜN KODU]],YMKODLARI!$A$1:$K$363,6,0)," ")</f>
        <v>41.8</v>
      </c>
      <c r="S308" s="100">
        <f>IFERROR(Tablo518[[#This Row],[YOLLUK HARİÇ BASKI GRAMI]]/Tablo518[[#This Row],[KALIP GÖZ ADEDİ]]," ")</f>
        <v>20.9</v>
      </c>
      <c r="T308" s="100">
        <f t="shared" si="30"/>
        <v>1.6000000000000014</v>
      </c>
      <c r="U308" s="100">
        <v>2</v>
      </c>
      <c r="V308" s="100">
        <f t="shared" si="29"/>
        <v>8.8552</v>
      </c>
      <c r="W308" s="101">
        <f t="shared" si="31"/>
        <v>24.083333333333332</v>
      </c>
      <c r="X308" s="102">
        <f t="shared" si="32"/>
        <v>1.9999999999999716</v>
      </c>
      <c r="Y308" s="100">
        <f t="shared" si="33"/>
        <v>1.0022222222222221</v>
      </c>
      <c r="Z308" s="100">
        <f t="shared" si="34"/>
        <v>328</v>
      </c>
    </row>
    <row r="309" spans="1:26">
      <c r="A309" s="108" t="s">
        <v>167</v>
      </c>
      <c r="B309" s="108" t="str">
        <f>IFERROR(VLOOKUP(Tablo518[[#This Row],[ÜRÜN KODU]],YMKODLARI!$A$1:$K$363,2,0)," ")</f>
        <v>DAMAK EMZİK GÖVDE</v>
      </c>
      <c r="C309" s="99">
        <v>44112</v>
      </c>
      <c r="D309" s="100" t="s">
        <v>37</v>
      </c>
      <c r="E309" s="101">
        <v>0.33333333333333331</v>
      </c>
      <c r="F309" s="101">
        <v>0.63194444444444442</v>
      </c>
      <c r="G309" s="100">
        <f>IFERROR(VLOOKUP(Tablo518[[#This Row],[ÜRÜN KODU]],YMKODLARI!$A$1:$K$363,3,0)," ")</f>
        <v>8</v>
      </c>
      <c r="H309" s="100">
        <f>IFERROR(VLOOKUP(Tablo518[[#This Row],[ÜRÜN KODU]],YMKODLARI!$A$1:$K$363,4,0)," ")</f>
        <v>21</v>
      </c>
      <c r="I309" s="100">
        <v>944</v>
      </c>
      <c r="J309" s="100" t="str">
        <f>IFERROR(VLOOKUP(Tablo518[[#This Row],[ÜRÜN KODU]],YMKODLARI!$A$1:$K$363,9,0)," ")</f>
        <v>3407A</v>
      </c>
      <c r="K309" s="100" t="str">
        <f>IFERROR(VLOOKUP(Tablo518[[#This Row],[BOYA KODU]],Tablo14[#All],4,0)," ")</f>
        <v>KIRMIZI</v>
      </c>
      <c r="L309" s="100">
        <f>IFERROR(VLOOKUP(Tablo518[[#This Row],[BOYA KODU]],Tablo14[#All],6,0)," ")</f>
        <v>5.0000000000000001E-3</v>
      </c>
      <c r="M309" s="100">
        <f t="shared" si="28"/>
        <v>139.71200000000002</v>
      </c>
      <c r="N309" s="100" t="str">
        <f>IFERROR(VLOOKUP(Tablo518[[#This Row],[ÜRÜN KODU]],YMKODLARI!$A$1:$K$363,8,0)," ")</f>
        <v>HM 002</v>
      </c>
      <c r="O309" s="100" t="str">
        <f>IFERROR(VLOOKUP(Tablo518[[#This Row],[HAMMADDE KODU]],Tablo1[#All],3,0)," ")</f>
        <v>NOVAREX</v>
      </c>
      <c r="P309" s="100" t="str">
        <f>IFERROR(VLOOKUP(Tablo518[[#This Row],[HAMMADDE KODU]],Tablo1[#All],4,0)," ")</f>
        <v>PİNHAS</v>
      </c>
      <c r="Q309" s="100">
        <f>IFERROR(VLOOKUP(Tablo518[[#This Row],[ÜRÜN KODU]],YMKODLARI!$A$1:$K$363,5,0)," ")</f>
        <v>29.6</v>
      </c>
      <c r="R309" s="100">
        <f>IFERROR(VLOOKUP(Tablo518[[#This Row],[ÜRÜN KODU]],YMKODLARI!$A$1:$K$363,6,0)," ")</f>
        <v>28.6</v>
      </c>
      <c r="S309" s="100">
        <f>IFERROR(Tablo518[[#This Row],[YOLLUK HARİÇ BASKI GRAMI]]/Tablo518[[#This Row],[KALIP GÖZ ADEDİ]]," ")</f>
        <v>3.5750000000000002</v>
      </c>
      <c r="T309" s="100">
        <f t="shared" si="30"/>
        <v>1</v>
      </c>
      <c r="U309" s="100">
        <v>9</v>
      </c>
      <c r="V309" s="100">
        <f t="shared" si="29"/>
        <v>35.998400000000004</v>
      </c>
      <c r="W309" s="101">
        <f t="shared" si="31"/>
        <v>24.298611111111111</v>
      </c>
      <c r="X309" s="102">
        <f t="shared" si="32"/>
        <v>7.1666666666666572</v>
      </c>
      <c r="Y309" s="100">
        <f t="shared" si="33"/>
        <v>5.5066666666666668</v>
      </c>
      <c r="Z309" s="100">
        <f t="shared" si="34"/>
        <v>7552</v>
      </c>
    </row>
    <row r="310" spans="1:26">
      <c r="A310" s="108" t="s">
        <v>169</v>
      </c>
      <c r="B310" s="108" t="str">
        <f>IFERROR(VLOOKUP(Tablo518[[#This Row],[ÜRÜN KODU]],YMKODLARI!$A$1:$K$363,2,0)," ")</f>
        <v>DAMAK EMZİK GÖVDE</v>
      </c>
      <c r="C310" s="99">
        <v>44112</v>
      </c>
      <c r="D310" s="100" t="s">
        <v>37</v>
      </c>
      <c r="E310" s="101">
        <v>0.63888888888888895</v>
      </c>
      <c r="F310" s="101">
        <v>0.75</v>
      </c>
      <c r="G310" s="100">
        <f>IFERROR(VLOOKUP(Tablo518[[#This Row],[ÜRÜN KODU]],YMKODLARI!$A$1:$K$363,3,0)," ")</f>
        <v>8</v>
      </c>
      <c r="H310" s="100">
        <f>IFERROR(VLOOKUP(Tablo518[[#This Row],[ÜRÜN KODU]],YMKODLARI!$A$1:$K$363,4,0)," ")</f>
        <v>21</v>
      </c>
      <c r="I310" s="100">
        <v>513</v>
      </c>
      <c r="J310" s="100">
        <f>IFERROR(VLOOKUP(Tablo518[[#This Row],[ÜRÜN KODU]],YMKODLARI!$A$1:$K$363,9,0)," ")</f>
        <v>3408</v>
      </c>
      <c r="K310" s="100" t="str">
        <f>IFERROR(VLOOKUP(Tablo518[[#This Row],[BOYA KODU]],Tablo14[#All],4,0)," ")</f>
        <v>PEMBE</v>
      </c>
      <c r="L310" s="100">
        <f>IFERROR(VLOOKUP(Tablo518[[#This Row],[BOYA KODU]],Tablo14[#All],6,0)," ")</f>
        <v>5.0000000000000001E-3</v>
      </c>
      <c r="M310" s="100">
        <f t="shared" si="28"/>
        <v>75.924000000000007</v>
      </c>
      <c r="N310" s="100" t="str">
        <f>IFERROR(VLOOKUP(Tablo518[[#This Row],[ÜRÜN KODU]],YMKODLARI!$A$1:$K$363,8,0)," ")</f>
        <v>HM 002</v>
      </c>
      <c r="O310" s="100" t="str">
        <f>IFERROR(VLOOKUP(Tablo518[[#This Row],[HAMMADDE KODU]],Tablo1[#All],3,0)," ")</f>
        <v>NOVAREX</v>
      </c>
      <c r="P310" s="100" t="str">
        <f>IFERROR(VLOOKUP(Tablo518[[#This Row],[HAMMADDE KODU]],Tablo1[#All],4,0)," ")</f>
        <v>PİNHAS</v>
      </c>
      <c r="Q310" s="100">
        <f>IFERROR(VLOOKUP(Tablo518[[#This Row],[ÜRÜN KODU]],YMKODLARI!$A$1:$K$363,5,0)," ")</f>
        <v>29.6</v>
      </c>
      <c r="R310" s="100">
        <f>IFERROR(VLOOKUP(Tablo518[[#This Row],[ÜRÜN KODU]],YMKODLARI!$A$1:$K$363,6,0)," ")</f>
        <v>28.6</v>
      </c>
      <c r="S310" s="100">
        <f>IFERROR(Tablo518[[#This Row],[YOLLUK HARİÇ BASKI GRAMI]]/Tablo518[[#This Row],[KALIP GÖZ ADEDİ]]," ")</f>
        <v>3.5750000000000002</v>
      </c>
      <c r="T310" s="100">
        <f t="shared" si="30"/>
        <v>1</v>
      </c>
      <c r="U310" s="100"/>
      <c r="V310" s="100">
        <f t="shared" si="29"/>
        <v>14.671800000000001</v>
      </c>
      <c r="W310" s="101">
        <f t="shared" si="31"/>
        <v>24.111111111111111</v>
      </c>
      <c r="X310" s="102">
        <f t="shared" si="32"/>
        <v>2.6666666666666572</v>
      </c>
      <c r="Y310" s="100">
        <f t="shared" si="33"/>
        <v>2.9925000000000002</v>
      </c>
      <c r="Z310" s="100">
        <f t="shared" si="34"/>
        <v>4104</v>
      </c>
    </row>
    <row r="311" spans="1:26">
      <c r="A311" s="108" t="s">
        <v>169</v>
      </c>
      <c r="B311" s="108" t="str">
        <f>IFERROR(VLOOKUP(Tablo518[[#This Row],[ÜRÜN KODU]],YMKODLARI!$A$1:$K$363,2,0)," ")</f>
        <v>DAMAK EMZİK GÖVDE</v>
      </c>
      <c r="C311" s="99">
        <v>44113</v>
      </c>
      <c r="D311" s="100" t="s">
        <v>37</v>
      </c>
      <c r="E311" s="101">
        <v>0.34375</v>
      </c>
      <c r="F311" s="101">
        <v>0.38541666666666669</v>
      </c>
      <c r="G311" s="100">
        <f>IFERROR(VLOOKUP(Tablo518[[#This Row],[ÜRÜN KODU]],YMKODLARI!$A$1:$K$363,3,0)," ")</f>
        <v>8</v>
      </c>
      <c r="H311" s="100">
        <f>IFERROR(VLOOKUP(Tablo518[[#This Row],[ÜRÜN KODU]],YMKODLARI!$A$1:$K$363,4,0)," ")</f>
        <v>21</v>
      </c>
      <c r="I311" s="100">
        <v>170</v>
      </c>
      <c r="J311" s="100">
        <f>IFERROR(VLOOKUP(Tablo518[[#This Row],[ÜRÜN KODU]],YMKODLARI!$A$1:$K$363,9,0)," ")</f>
        <v>3408</v>
      </c>
      <c r="K311" s="100" t="str">
        <f>IFERROR(VLOOKUP(Tablo518[[#This Row],[BOYA KODU]],Tablo14[#All],4,0)," ")</f>
        <v>PEMBE</v>
      </c>
      <c r="L311" s="100">
        <f>IFERROR(VLOOKUP(Tablo518[[#This Row],[BOYA KODU]],Tablo14[#All],6,0)," ")</f>
        <v>5.0000000000000001E-3</v>
      </c>
      <c r="M311" s="100">
        <f t="shared" si="28"/>
        <v>25.16</v>
      </c>
      <c r="N311" s="100" t="str">
        <f>IFERROR(VLOOKUP(Tablo518[[#This Row],[ÜRÜN KODU]],YMKODLARI!$A$1:$K$363,8,0)," ")</f>
        <v>HM 002</v>
      </c>
      <c r="O311" s="100" t="str">
        <f>IFERROR(VLOOKUP(Tablo518[[#This Row],[HAMMADDE KODU]],Tablo1[#All],3,0)," ")</f>
        <v>NOVAREX</v>
      </c>
      <c r="P311" s="100" t="str">
        <f>IFERROR(VLOOKUP(Tablo518[[#This Row],[HAMMADDE KODU]],Tablo1[#All],4,0)," ")</f>
        <v>PİNHAS</v>
      </c>
      <c r="Q311" s="100">
        <f>IFERROR(VLOOKUP(Tablo518[[#This Row],[ÜRÜN KODU]],YMKODLARI!$A$1:$K$363,5,0)," ")</f>
        <v>29.6</v>
      </c>
      <c r="R311" s="100">
        <f>IFERROR(VLOOKUP(Tablo518[[#This Row],[ÜRÜN KODU]],YMKODLARI!$A$1:$K$363,6,0)," ")</f>
        <v>28.6</v>
      </c>
      <c r="S311" s="100">
        <f>IFERROR(Tablo518[[#This Row],[YOLLUK HARİÇ BASKI GRAMI]]/Tablo518[[#This Row],[KALIP GÖZ ADEDİ]]," ")</f>
        <v>3.5750000000000002</v>
      </c>
      <c r="T311" s="100">
        <f t="shared" si="30"/>
        <v>1</v>
      </c>
      <c r="U311" s="100">
        <v>5</v>
      </c>
      <c r="V311" s="100">
        <f t="shared" si="29"/>
        <v>9.8620000000000001</v>
      </c>
      <c r="W311" s="101">
        <f t="shared" si="31"/>
        <v>24.041666666666668</v>
      </c>
      <c r="X311" s="102">
        <f t="shared" si="32"/>
        <v>1.0000000000000284</v>
      </c>
      <c r="Y311" s="100">
        <f t="shared" si="33"/>
        <v>0.9916666666666667</v>
      </c>
      <c r="Z311" s="100">
        <f t="shared" si="34"/>
        <v>1360</v>
      </c>
    </row>
    <row r="312" spans="1:26">
      <c r="A312" s="108" t="s">
        <v>166</v>
      </c>
      <c r="B312" s="108" t="str">
        <f>IFERROR(VLOOKUP(Tablo518[[#This Row],[ÜRÜN KODU]],YMKODLARI!$A$1:$K$363,2,0)," ")</f>
        <v>DAMAK EMZİK GÖVDE</v>
      </c>
      <c r="C312" s="99">
        <v>44113</v>
      </c>
      <c r="D312" s="100" t="s">
        <v>37</v>
      </c>
      <c r="E312" s="101">
        <v>0.3888888888888889</v>
      </c>
      <c r="F312" s="101">
        <v>0.67708333333333337</v>
      </c>
      <c r="G312" s="100">
        <f>IFERROR(VLOOKUP(Tablo518[[#This Row],[ÜRÜN KODU]],YMKODLARI!$A$1:$K$363,3,0)," ")</f>
        <v>8</v>
      </c>
      <c r="H312" s="100">
        <f>IFERROR(VLOOKUP(Tablo518[[#This Row],[ÜRÜN KODU]],YMKODLARI!$A$1:$K$363,4,0)," ")</f>
        <v>21</v>
      </c>
      <c r="I312" s="100">
        <v>1090</v>
      </c>
      <c r="J312" s="100" t="str">
        <f>IFERROR(VLOOKUP(Tablo518[[#This Row],[ÜRÜN KODU]],YMKODLARI!$A$1:$K$363,9,0)," ")</f>
        <v>5249A</v>
      </c>
      <c r="K312" s="100" t="str">
        <f>IFERROR(VLOOKUP(Tablo518[[#This Row],[BOYA KODU]],Tablo14[#All],4,0)," ")</f>
        <v>MAVİ</v>
      </c>
      <c r="L312" s="100">
        <f>IFERROR(VLOOKUP(Tablo518[[#This Row],[BOYA KODU]],Tablo14[#All],6,0)," ")</f>
        <v>5.0000000000000001E-3</v>
      </c>
      <c r="M312" s="100">
        <f t="shared" si="28"/>
        <v>161.32</v>
      </c>
      <c r="N312" s="100" t="str">
        <f>IFERROR(VLOOKUP(Tablo518[[#This Row],[ÜRÜN KODU]],YMKODLARI!$A$1:$K$363,8,0)," ")</f>
        <v>HM 002</v>
      </c>
      <c r="O312" s="100" t="str">
        <f>IFERROR(VLOOKUP(Tablo518[[#This Row],[HAMMADDE KODU]],Tablo1[#All],3,0)," ")</f>
        <v>NOVAREX</v>
      </c>
      <c r="P312" s="100" t="str">
        <f>IFERROR(VLOOKUP(Tablo518[[#This Row],[HAMMADDE KODU]],Tablo1[#All],4,0)," ")</f>
        <v>PİNHAS</v>
      </c>
      <c r="Q312" s="100">
        <f>IFERROR(VLOOKUP(Tablo518[[#This Row],[ÜRÜN KODU]],YMKODLARI!$A$1:$K$363,5,0)," ")</f>
        <v>29.6</v>
      </c>
      <c r="R312" s="100">
        <f>IFERROR(VLOOKUP(Tablo518[[#This Row],[ÜRÜN KODU]],YMKODLARI!$A$1:$K$363,6,0)," ")</f>
        <v>28.6</v>
      </c>
      <c r="S312" s="100">
        <f>IFERROR(Tablo518[[#This Row],[YOLLUK HARİÇ BASKI GRAMI]]/Tablo518[[#This Row],[KALIP GÖZ ADEDİ]]," ")</f>
        <v>3.5750000000000002</v>
      </c>
      <c r="T312" s="100">
        <f t="shared" si="30"/>
        <v>1</v>
      </c>
      <c r="U312" s="100">
        <v>4.5</v>
      </c>
      <c r="V312" s="100">
        <f t="shared" si="29"/>
        <v>35.673999999999999</v>
      </c>
      <c r="W312" s="101">
        <f t="shared" si="31"/>
        <v>24.288194444444443</v>
      </c>
      <c r="X312" s="102">
        <f t="shared" si="32"/>
        <v>6.9166666666666288</v>
      </c>
      <c r="Y312" s="100">
        <f t="shared" si="33"/>
        <v>6.3583333333333334</v>
      </c>
      <c r="Z312" s="100">
        <f t="shared" si="34"/>
        <v>8720</v>
      </c>
    </row>
    <row r="313" spans="1:26">
      <c r="A313" s="108" t="s">
        <v>137</v>
      </c>
      <c r="B313" s="108" t="str">
        <f>IFERROR(VLOOKUP(Tablo518[[#This Row],[ÜRÜN KODU]],YMKODLARI!$A$1:$K$363,2,0)," ")</f>
        <v>DAMAK EMZİK GÖVDE</v>
      </c>
      <c r="C313" s="99">
        <v>44113</v>
      </c>
      <c r="D313" s="100" t="s">
        <v>37</v>
      </c>
      <c r="E313" s="101">
        <v>0.67708333333333337</v>
      </c>
      <c r="F313" s="101">
        <v>0.75</v>
      </c>
      <c r="G313" s="100">
        <f>IFERROR(VLOOKUP(Tablo518[[#This Row],[ÜRÜN KODU]],YMKODLARI!$A$1:$K$363,3,0)," ")</f>
        <v>8</v>
      </c>
      <c r="H313" s="100">
        <f>IFERROR(VLOOKUP(Tablo518[[#This Row],[ÜRÜN KODU]],YMKODLARI!$A$1:$K$363,4,0)," ")</f>
        <v>21</v>
      </c>
      <c r="I313" s="100">
        <v>324</v>
      </c>
      <c r="J313" s="100" t="str">
        <f>IFERROR(VLOOKUP(Tablo518[[#This Row],[ÜRÜN KODU]],YMKODLARI!$A$1:$K$363,9,0)," ")</f>
        <v>9134A</v>
      </c>
      <c r="K313" s="100" t="str">
        <f>IFERROR(VLOOKUP(Tablo518[[#This Row],[BOYA KODU]],Tablo14[#All],4,0)," ")</f>
        <v>BEYAZ</v>
      </c>
      <c r="L313" s="100">
        <f>IFERROR(VLOOKUP(Tablo518[[#This Row],[BOYA KODU]],Tablo14[#All],6,0)," ")</f>
        <v>7.0000000000000001E-3</v>
      </c>
      <c r="M313" s="100">
        <f t="shared" si="28"/>
        <v>67.132800000000003</v>
      </c>
      <c r="N313" s="100" t="str">
        <f>IFERROR(VLOOKUP(Tablo518[[#This Row],[ÜRÜN KODU]],YMKODLARI!$A$1:$K$363,8,0)," ")</f>
        <v>HM 002</v>
      </c>
      <c r="O313" s="100" t="str">
        <f>IFERROR(VLOOKUP(Tablo518[[#This Row],[HAMMADDE KODU]],Tablo1[#All],3,0)," ")</f>
        <v>NOVAREX</v>
      </c>
      <c r="P313" s="100" t="str">
        <f>IFERROR(VLOOKUP(Tablo518[[#This Row],[HAMMADDE KODU]],Tablo1[#All],4,0)," ")</f>
        <v>PİNHAS</v>
      </c>
      <c r="Q313" s="100">
        <f>IFERROR(VLOOKUP(Tablo518[[#This Row],[ÜRÜN KODU]],YMKODLARI!$A$1:$K$363,5,0)," ")</f>
        <v>29.6</v>
      </c>
      <c r="R313" s="100">
        <f>IFERROR(VLOOKUP(Tablo518[[#This Row],[ÜRÜN KODU]],YMKODLARI!$A$1:$K$363,6,0)," ")</f>
        <v>28.6</v>
      </c>
      <c r="S313" s="100">
        <f>IFERROR(Tablo518[[#This Row],[YOLLUK HARİÇ BASKI GRAMI]]/Tablo518[[#This Row],[KALIP GÖZ ADEDİ]]," ")</f>
        <v>3.5750000000000002</v>
      </c>
      <c r="T313" s="100">
        <f t="shared" si="30"/>
        <v>1</v>
      </c>
      <c r="U313" s="100"/>
      <c r="V313" s="100">
        <f t="shared" si="29"/>
        <v>9.2663999999999991</v>
      </c>
      <c r="W313" s="101">
        <f t="shared" si="31"/>
        <v>24.072916666666668</v>
      </c>
      <c r="X313" s="102">
        <f t="shared" si="32"/>
        <v>1.7500000000000284</v>
      </c>
      <c r="Y313" s="100">
        <f t="shared" si="33"/>
        <v>1.89</v>
      </c>
      <c r="Z313" s="100">
        <f t="shared" si="34"/>
        <v>2592</v>
      </c>
    </row>
    <row r="314" spans="1:26">
      <c r="A314" s="108" t="s">
        <v>137</v>
      </c>
      <c r="B314" s="108" t="str">
        <f>IFERROR(VLOOKUP(Tablo518[[#This Row],[ÜRÜN KODU]],YMKODLARI!$A$1:$K$363,2,0)," ")</f>
        <v>DAMAK EMZİK GÖVDE</v>
      </c>
      <c r="C314" s="99">
        <v>44116</v>
      </c>
      <c r="D314" s="100" t="s">
        <v>37</v>
      </c>
      <c r="E314" s="101">
        <v>0.4236111111111111</v>
      </c>
      <c r="F314" s="101">
        <v>0.75</v>
      </c>
      <c r="G314" s="100">
        <f>IFERROR(VLOOKUP(Tablo518[[#This Row],[ÜRÜN KODU]],YMKODLARI!$A$1:$K$363,3,0)," ")</f>
        <v>8</v>
      </c>
      <c r="H314" s="100">
        <f>IFERROR(VLOOKUP(Tablo518[[#This Row],[ÜRÜN KODU]],YMKODLARI!$A$1:$K$363,4,0)," ")</f>
        <v>21</v>
      </c>
      <c r="I314" s="100">
        <v>1235</v>
      </c>
      <c r="J314" s="100" t="str">
        <f>IFERROR(VLOOKUP(Tablo518[[#This Row],[ÜRÜN KODU]],YMKODLARI!$A$1:$K$363,9,0)," ")</f>
        <v>9134A</v>
      </c>
      <c r="K314" s="100" t="str">
        <f>IFERROR(VLOOKUP(Tablo518[[#This Row],[BOYA KODU]],Tablo14[#All],4,0)," ")</f>
        <v>BEYAZ</v>
      </c>
      <c r="L314" s="100">
        <f>IFERROR(VLOOKUP(Tablo518[[#This Row],[BOYA KODU]],Tablo14[#All],6,0)," ")</f>
        <v>7.0000000000000001E-3</v>
      </c>
      <c r="M314" s="100">
        <f t="shared" si="28"/>
        <v>255.892</v>
      </c>
      <c r="N314" s="100" t="str">
        <f>IFERROR(VLOOKUP(Tablo518[[#This Row],[ÜRÜN KODU]],YMKODLARI!$A$1:$K$363,8,0)," ")</f>
        <v>HM 002</v>
      </c>
      <c r="O314" s="100" t="str">
        <f>IFERROR(VLOOKUP(Tablo518[[#This Row],[HAMMADDE KODU]],Tablo1[#All],3,0)," ")</f>
        <v>NOVAREX</v>
      </c>
      <c r="P314" s="100" t="str">
        <f>IFERROR(VLOOKUP(Tablo518[[#This Row],[HAMMADDE KODU]],Tablo1[#All],4,0)," ")</f>
        <v>PİNHAS</v>
      </c>
      <c r="Q314" s="100">
        <f>IFERROR(VLOOKUP(Tablo518[[#This Row],[ÜRÜN KODU]],YMKODLARI!$A$1:$K$363,5,0)," ")</f>
        <v>29.6</v>
      </c>
      <c r="R314" s="100">
        <f>IFERROR(VLOOKUP(Tablo518[[#This Row],[ÜRÜN KODU]],YMKODLARI!$A$1:$K$363,6,0)," ")</f>
        <v>28.6</v>
      </c>
      <c r="S314" s="100">
        <f>IFERROR(Tablo518[[#This Row],[YOLLUK HARİÇ BASKI GRAMI]]/Tablo518[[#This Row],[KALIP GÖZ ADEDİ]]," ")</f>
        <v>3.5750000000000002</v>
      </c>
      <c r="T314" s="100">
        <f t="shared" si="30"/>
        <v>1</v>
      </c>
      <c r="U314" s="100">
        <v>8.5</v>
      </c>
      <c r="V314" s="100">
        <f t="shared" si="29"/>
        <v>43.820999999999998</v>
      </c>
      <c r="W314" s="101">
        <f t="shared" si="31"/>
        <v>24.326388888888889</v>
      </c>
      <c r="X314" s="102">
        <f t="shared" si="32"/>
        <v>7.8333333333333428</v>
      </c>
      <c r="Y314" s="100">
        <f t="shared" si="33"/>
        <v>7.2041666666666666</v>
      </c>
      <c r="Z314" s="100">
        <f t="shared" si="34"/>
        <v>9880</v>
      </c>
    </row>
    <row r="315" spans="1:26">
      <c r="A315" s="108" t="s">
        <v>137</v>
      </c>
      <c r="B315" s="108" t="str">
        <f>IFERROR(VLOOKUP(Tablo518[[#This Row],[ÜRÜN KODU]],YMKODLARI!$A$1:$K$363,2,0)," ")</f>
        <v>DAMAK EMZİK GÖVDE</v>
      </c>
      <c r="C315" s="99">
        <v>44117</v>
      </c>
      <c r="D315" s="100" t="s">
        <v>33</v>
      </c>
      <c r="E315" s="101">
        <v>0.34027777777777773</v>
      </c>
      <c r="F315" s="101">
        <v>0.3923611111111111</v>
      </c>
      <c r="G315" s="100">
        <f>IFERROR(VLOOKUP(Tablo518[[#This Row],[ÜRÜN KODU]],YMKODLARI!$A$1:$K$363,3,0)," ")</f>
        <v>8</v>
      </c>
      <c r="H315" s="100">
        <f>IFERROR(VLOOKUP(Tablo518[[#This Row],[ÜRÜN KODU]],YMKODLARI!$A$1:$K$363,4,0)," ")</f>
        <v>21</v>
      </c>
      <c r="I315" s="100">
        <v>417</v>
      </c>
      <c r="J315" s="100" t="str">
        <f>IFERROR(VLOOKUP(Tablo518[[#This Row],[ÜRÜN KODU]],YMKODLARI!$A$1:$K$363,9,0)," ")</f>
        <v>9134A</v>
      </c>
      <c r="K315" s="100" t="str">
        <f>IFERROR(VLOOKUP(Tablo518[[#This Row],[BOYA KODU]],Tablo14[#All],4,0)," ")</f>
        <v>BEYAZ</v>
      </c>
      <c r="L315" s="100">
        <f>IFERROR(VLOOKUP(Tablo518[[#This Row],[BOYA KODU]],Tablo14[#All],6,0)," ")</f>
        <v>7.0000000000000001E-3</v>
      </c>
      <c r="M315" s="100">
        <f t="shared" si="28"/>
        <v>86.4024</v>
      </c>
      <c r="N315" s="100" t="str">
        <f>IFERROR(VLOOKUP(Tablo518[[#This Row],[ÜRÜN KODU]],YMKODLARI!$A$1:$K$363,8,0)," ")</f>
        <v>HM 002</v>
      </c>
      <c r="O315" s="100" t="str">
        <f>IFERROR(VLOOKUP(Tablo518[[#This Row],[HAMMADDE KODU]],Tablo1[#All],3,0)," ")</f>
        <v>NOVAREX</v>
      </c>
      <c r="P315" s="100" t="str">
        <f>IFERROR(VLOOKUP(Tablo518[[#This Row],[HAMMADDE KODU]],Tablo1[#All],4,0)," ")</f>
        <v>PİNHAS</v>
      </c>
      <c r="Q315" s="100">
        <f>IFERROR(VLOOKUP(Tablo518[[#This Row],[ÜRÜN KODU]],YMKODLARI!$A$1:$K$363,5,0)," ")</f>
        <v>29.6</v>
      </c>
      <c r="R315" s="100">
        <f>IFERROR(VLOOKUP(Tablo518[[#This Row],[ÜRÜN KODU]],YMKODLARI!$A$1:$K$363,6,0)," ")</f>
        <v>28.6</v>
      </c>
      <c r="S315" s="100">
        <f>IFERROR(Tablo518[[#This Row],[YOLLUK HARİÇ BASKI GRAMI]]/Tablo518[[#This Row],[KALIP GÖZ ADEDİ]]," ")</f>
        <v>3.5750000000000002</v>
      </c>
      <c r="T315" s="100">
        <f t="shared" si="30"/>
        <v>1</v>
      </c>
      <c r="U315" s="100"/>
      <c r="V315" s="100">
        <f t="shared" si="29"/>
        <v>11.926200000000001</v>
      </c>
      <c r="W315" s="101">
        <f t="shared" si="31"/>
        <v>24.052083333333332</v>
      </c>
      <c r="X315" s="102">
        <f t="shared" si="32"/>
        <v>1.2499999999999716</v>
      </c>
      <c r="Y315" s="100">
        <f t="shared" si="33"/>
        <v>2.4325000000000001</v>
      </c>
      <c r="Z315" s="100">
        <f t="shared" si="34"/>
        <v>3336</v>
      </c>
    </row>
    <row r="316" spans="1:26">
      <c r="A316" s="108" t="s">
        <v>163</v>
      </c>
      <c r="B316" s="108" t="str">
        <f>IFERROR(VLOOKUP(Tablo518[[#This Row],[ÜRÜN KODU]],YMKODLARI!$A$1:$K$363,2,0)," ")</f>
        <v>DAMAK EMZİK GÖVDE</v>
      </c>
      <c r="C316" s="99">
        <v>44117</v>
      </c>
      <c r="D316" s="100" t="s">
        <v>33</v>
      </c>
      <c r="E316" s="101">
        <v>0.39583333333333331</v>
      </c>
      <c r="F316" s="101">
        <v>0.75</v>
      </c>
      <c r="G316" s="100">
        <f>IFERROR(VLOOKUP(Tablo518[[#This Row],[ÜRÜN KODU]],YMKODLARI!$A$1:$K$363,3,0)," ")</f>
        <v>8</v>
      </c>
      <c r="H316" s="100">
        <f>IFERROR(VLOOKUP(Tablo518[[#This Row],[ÜRÜN KODU]],YMKODLARI!$A$1:$K$363,4,0)," ")</f>
        <v>21</v>
      </c>
      <c r="I316" s="100">
        <v>1218</v>
      </c>
      <c r="J316" s="100" t="str">
        <f>IFERROR(VLOOKUP(Tablo518[[#This Row],[ÜRÜN KODU]],YMKODLARI!$A$1:$K$363,9,0)," ")</f>
        <v>Şeffaf</v>
      </c>
      <c r="K316" s="100" t="str">
        <f>IFERROR(VLOOKUP(Tablo518[[#This Row],[BOYA KODU]],Tablo14[#All],4,0)," ")</f>
        <v xml:space="preserve"> </v>
      </c>
      <c r="L316" s="100" t="str">
        <f>IFERROR(VLOOKUP(Tablo518[[#This Row],[BOYA KODU]],Tablo14[#All],6,0)," ")</f>
        <v xml:space="preserve"> </v>
      </c>
      <c r="M316" s="100" t="str">
        <f t="shared" si="28"/>
        <v xml:space="preserve"> </v>
      </c>
      <c r="N316" s="100" t="str">
        <f>IFERROR(VLOOKUP(Tablo518[[#This Row],[ÜRÜN KODU]],YMKODLARI!$A$1:$K$363,8,0)," ")</f>
        <v>HM 002</v>
      </c>
      <c r="O316" s="100" t="str">
        <f>IFERROR(VLOOKUP(Tablo518[[#This Row],[HAMMADDE KODU]],Tablo1[#All],3,0)," ")</f>
        <v>NOVAREX</v>
      </c>
      <c r="P316" s="100" t="str">
        <f>IFERROR(VLOOKUP(Tablo518[[#This Row],[HAMMADDE KODU]],Tablo1[#All],4,0)," ")</f>
        <v>PİNHAS</v>
      </c>
      <c r="Q316" s="100">
        <f>IFERROR(VLOOKUP(Tablo518[[#This Row],[ÜRÜN KODU]],YMKODLARI!$A$1:$K$363,5,0)," ")</f>
        <v>29.6</v>
      </c>
      <c r="R316" s="100">
        <f>IFERROR(VLOOKUP(Tablo518[[#This Row],[ÜRÜN KODU]],YMKODLARI!$A$1:$K$363,6,0)," ")</f>
        <v>28.6</v>
      </c>
      <c r="S316" s="100">
        <f>IFERROR(Tablo518[[#This Row],[YOLLUK HARİÇ BASKI GRAMI]]/Tablo518[[#This Row],[KALIP GÖZ ADEDİ]]," ")</f>
        <v>3.5750000000000002</v>
      </c>
      <c r="T316" s="100">
        <f t="shared" si="30"/>
        <v>1</v>
      </c>
      <c r="U316" s="100">
        <v>3</v>
      </c>
      <c r="V316" s="100">
        <f t="shared" si="29"/>
        <v>37.834800000000001</v>
      </c>
      <c r="W316" s="101">
        <f t="shared" si="31"/>
        <v>24.354166666666668</v>
      </c>
      <c r="X316" s="102">
        <f t="shared" si="32"/>
        <v>8.5000000000000284</v>
      </c>
      <c r="Y316" s="100">
        <f t="shared" si="33"/>
        <v>7.1050000000000004</v>
      </c>
      <c r="Z316" s="100">
        <f t="shared" si="34"/>
        <v>9744</v>
      </c>
    </row>
    <row r="317" spans="1:26">
      <c r="A317" s="108" t="s">
        <v>163</v>
      </c>
      <c r="B317" s="108" t="str">
        <f>IFERROR(VLOOKUP(Tablo518[[#This Row],[ÜRÜN KODU]],YMKODLARI!$A$1:$K$363,2,0)," ")</f>
        <v>DAMAK EMZİK GÖVDE</v>
      </c>
      <c r="C317" s="99">
        <v>44118</v>
      </c>
      <c r="D317" s="100" t="s">
        <v>47</v>
      </c>
      <c r="E317" s="101">
        <v>0.34027777777777773</v>
      </c>
      <c r="F317" s="101">
        <v>0.49652777777777773</v>
      </c>
      <c r="G317" s="100">
        <f>IFERROR(VLOOKUP(Tablo518[[#This Row],[ÜRÜN KODU]],YMKODLARI!$A$1:$K$363,3,0)," ")</f>
        <v>8</v>
      </c>
      <c r="H317" s="100">
        <f>IFERROR(VLOOKUP(Tablo518[[#This Row],[ÜRÜN KODU]],YMKODLARI!$A$1:$K$363,4,0)," ")</f>
        <v>21</v>
      </c>
      <c r="I317" s="100">
        <v>580</v>
      </c>
      <c r="J317" s="100" t="str">
        <f>IFERROR(VLOOKUP(Tablo518[[#This Row],[ÜRÜN KODU]],YMKODLARI!$A$1:$K$363,9,0)," ")</f>
        <v>Şeffaf</v>
      </c>
      <c r="K317" s="100" t="str">
        <f>IFERROR(VLOOKUP(Tablo518[[#This Row],[BOYA KODU]],Tablo14[#All],4,0)," ")</f>
        <v xml:space="preserve"> </v>
      </c>
      <c r="L317" s="100" t="str">
        <f>IFERROR(VLOOKUP(Tablo518[[#This Row],[BOYA KODU]],Tablo14[#All],6,0)," ")</f>
        <v xml:space="preserve"> </v>
      </c>
      <c r="M317" s="100" t="str">
        <f t="shared" si="28"/>
        <v xml:space="preserve"> </v>
      </c>
      <c r="N317" s="100" t="str">
        <f>IFERROR(VLOOKUP(Tablo518[[#This Row],[ÜRÜN KODU]],YMKODLARI!$A$1:$K$363,8,0)," ")</f>
        <v>HM 002</v>
      </c>
      <c r="O317" s="100" t="str">
        <f>IFERROR(VLOOKUP(Tablo518[[#This Row],[HAMMADDE KODU]],Tablo1[#All],3,0)," ")</f>
        <v>NOVAREX</v>
      </c>
      <c r="P317" s="100" t="str">
        <f>IFERROR(VLOOKUP(Tablo518[[#This Row],[HAMMADDE KODU]],Tablo1[#All],4,0)," ")</f>
        <v>PİNHAS</v>
      </c>
      <c r="Q317" s="100">
        <f>IFERROR(VLOOKUP(Tablo518[[#This Row],[ÜRÜN KODU]],YMKODLARI!$A$1:$K$363,5,0)," ")</f>
        <v>29.6</v>
      </c>
      <c r="R317" s="100">
        <f>IFERROR(VLOOKUP(Tablo518[[#This Row],[ÜRÜN KODU]],YMKODLARI!$A$1:$K$363,6,0)," ")</f>
        <v>28.6</v>
      </c>
      <c r="S317" s="100">
        <f>IFERROR(Tablo518[[#This Row],[YOLLUK HARİÇ BASKI GRAMI]]/Tablo518[[#This Row],[KALIP GÖZ ADEDİ]]," ")</f>
        <v>3.5750000000000002</v>
      </c>
      <c r="T317" s="100">
        <f t="shared" si="30"/>
        <v>1</v>
      </c>
      <c r="U317" s="100">
        <v>2.6</v>
      </c>
      <c r="V317" s="100">
        <f t="shared" si="29"/>
        <v>19.188000000000002</v>
      </c>
      <c r="W317" s="101">
        <f t="shared" si="31"/>
        <v>24.15625</v>
      </c>
      <c r="X317" s="102">
        <f t="shared" si="32"/>
        <v>3.75</v>
      </c>
      <c r="Y317" s="100">
        <f t="shared" si="33"/>
        <v>3.3833333333333333</v>
      </c>
      <c r="Z317" s="100">
        <f t="shared" si="34"/>
        <v>4640</v>
      </c>
    </row>
    <row r="318" spans="1:26">
      <c r="A318" s="108" t="s">
        <v>125</v>
      </c>
      <c r="B318" s="108" t="str">
        <f>IFERROR(VLOOKUP(Tablo518[[#This Row],[ÜRÜN KODU]],YMKODLARI!$A$1:$K$363,2,0)," ")</f>
        <v>DAMAK EMZİK GÖVDE</v>
      </c>
      <c r="C318" s="99">
        <v>44118</v>
      </c>
      <c r="D318" s="100" t="s">
        <v>47</v>
      </c>
      <c r="E318" s="101">
        <v>0.5</v>
      </c>
      <c r="F318" s="101">
        <v>0.57638888888888895</v>
      </c>
      <c r="G318" s="100">
        <f>IFERROR(VLOOKUP(Tablo518[[#This Row],[ÜRÜN KODU]],YMKODLARI!$A$1:$K$363,3,0)," ")</f>
        <v>8</v>
      </c>
      <c r="H318" s="100">
        <f>IFERROR(VLOOKUP(Tablo518[[#This Row],[ÜRÜN KODU]],YMKODLARI!$A$1:$K$363,4,0)," ")</f>
        <v>21</v>
      </c>
      <c r="I318" s="100">
        <v>196</v>
      </c>
      <c r="J318" s="100">
        <f>IFERROR(VLOOKUP(Tablo518[[#This Row],[ÜRÜN KODU]],YMKODLARI!$A$1:$K$363,9,0)," ")</f>
        <v>1045</v>
      </c>
      <c r="K318" s="100" t="str">
        <f>IFERROR(VLOOKUP(Tablo518[[#This Row],[BOYA KODU]],Tablo14[#All],4,0)," ")</f>
        <v>T.SARI</v>
      </c>
      <c r="L318" s="100">
        <f>IFERROR(VLOOKUP(Tablo518[[#This Row],[BOYA KODU]],Tablo14[#All],6,0)," ")</f>
        <v>2E-3</v>
      </c>
      <c r="M318" s="100">
        <f t="shared" si="28"/>
        <v>11.603200000000001</v>
      </c>
      <c r="N318" s="100" t="str">
        <f>IFERROR(VLOOKUP(Tablo518[[#This Row],[ÜRÜN KODU]],YMKODLARI!$A$1:$K$363,8,0)," ")</f>
        <v>HM 002</v>
      </c>
      <c r="O318" s="100" t="str">
        <f>IFERROR(VLOOKUP(Tablo518[[#This Row],[HAMMADDE KODU]],Tablo1[#All],3,0)," ")</f>
        <v>NOVAREX</v>
      </c>
      <c r="P318" s="100" t="str">
        <f>IFERROR(VLOOKUP(Tablo518[[#This Row],[HAMMADDE KODU]],Tablo1[#All],4,0)," ")</f>
        <v>PİNHAS</v>
      </c>
      <c r="Q318" s="100">
        <f>IFERROR(VLOOKUP(Tablo518[[#This Row],[ÜRÜN KODU]],YMKODLARI!$A$1:$K$363,5,0)," ")</f>
        <v>29.6</v>
      </c>
      <c r="R318" s="100">
        <f>IFERROR(VLOOKUP(Tablo518[[#This Row],[ÜRÜN KODU]],YMKODLARI!$A$1:$K$363,6,0)," ")</f>
        <v>28.6</v>
      </c>
      <c r="S318" s="100">
        <f>IFERROR(Tablo518[[#This Row],[YOLLUK HARİÇ BASKI GRAMI]]/Tablo518[[#This Row],[KALIP GÖZ ADEDİ]]," ")</f>
        <v>3.5750000000000002</v>
      </c>
      <c r="T318" s="100">
        <f t="shared" si="30"/>
        <v>1</v>
      </c>
      <c r="U318" s="100">
        <v>2.4</v>
      </c>
      <c r="V318" s="100">
        <f t="shared" si="29"/>
        <v>8.0056000000000012</v>
      </c>
      <c r="W318" s="101">
        <f t="shared" si="31"/>
        <v>24.076388888888889</v>
      </c>
      <c r="X318" s="102">
        <f t="shared" si="32"/>
        <v>1.8333333333333428</v>
      </c>
      <c r="Y318" s="100">
        <f t="shared" si="33"/>
        <v>1.1433333333333333</v>
      </c>
      <c r="Z318" s="100">
        <f t="shared" si="34"/>
        <v>1568</v>
      </c>
    </row>
    <row r="319" spans="1:26">
      <c r="A319" s="108" t="s">
        <v>128</v>
      </c>
      <c r="B319" s="108" t="str">
        <f>IFERROR(VLOOKUP(Tablo518[[#This Row],[ÜRÜN KODU]],YMKODLARI!$A$1:$K$363,2,0)," ")</f>
        <v>DAMAK EMZİK GÖVDE</v>
      </c>
      <c r="C319" s="99">
        <v>44118</v>
      </c>
      <c r="D319" s="100" t="s">
        <v>47</v>
      </c>
      <c r="E319" s="101">
        <v>0.57986111111111105</v>
      </c>
      <c r="F319" s="101">
        <v>0.62847222222222221</v>
      </c>
      <c r="G319" s="100">
        <f>IFERROR(VLOOKUP(Tablo518[[#This Row],[ÜRÜN KODU]],YMKODLARI!$A$1:$K$363,3,0)," ")</f>
        <v>8</v>
      </c>
      <c r="H319" s="100">
        <f>IFERROR(VLOOKUP(Tablo518[[#This Row],[ÜRÜN KODU]],YMKODLARI!$A$1:$K$363,4,0)," ")</f>
        <v>21</v>
      </c>
      <c r="I319" s="100">
        <v>225</v>
      </c>
      <c r="J319" s="100" t="str">
        <f>IFERROR(VLOOKUP(Tablo518[[#This Row],[ÜRÜN KODU]],YMKODLARI!$A$1:$K$363,9,0)," ")</f>
        <v>708PK532G</v>
      </c>
      <c r="K319" s="100" t="str">
        <f>IFERROR(VLOOKUP(Tablo518[[#This Row],[BOYA KODU]],Tablo14[#All],4,0)," ")</f>
        <v>T.PEMBE</v>
      </c>
      <c r="L319" s="100">
        <f>IFERROR(VLOOKUP(Tablo518[[#This Row],[BOYA KODU]],Tablo14[#All],6,0)," ")</f>
        <v>2E-3</v>
      </c>
      <c r="M319" s="100">
        <f t="shared" si="28"/>
        <v>13.32</v>
      </c>
      <c r="N319" s="100" t="str">
        <f>IFERROR(VLOOKUP(Tablo518[[#This Row],[ÜRÜN KODU]],YMKODLARI!$A$1:$K$363,8,0)," ")</f>
        <v>HM 002</v>
      </c>
      <c r="O319" s="100" t="str">
        <f>IFERROR(VLOOKUP(Tablo518[[#This Row],[HAMMADDE KODU]],Tablo1[#All],3,0)," ")</f>
        <v>NOVAREX</v>
      </c>
      <c r="P319" s="100" t="str">
        <f>IFERROR(VLOOKUP(Tablo518[[#This Row],[HAMMADDE KODU]],Tablo1[#All],4,0)," ")</f>
        <v>PİNHAS</v>
      </c>
      <c r="Q319" s="100">
        <f>IFERROR(VLOOKUP(Tablo518[[#This Row],[ÜRÜN KODU]],YMKODLARI!$A$1:$K$363,5,0)," ")</f>
        <v>29.6</v>
      </c>
      <c r="R319" s="100">
        <f>IFERROR(VLOOKUP(Tablo518[[#This Row],[ÜRÜN KODU]],YMKODLARI!$A$1:$K$363,6,0)," ")</f>
        <v>28.6</v>
      </c>
      <c r="S319" s="100">
        <f>IFERROR(Tablo518[[#This Row],[YOLLUK HARİÇ BASKI GRAMI]]/Tablo518[[#This Row],[KALIP GÖZ ADEDİ]]," ")</f>
        <v>3.5750000000000002</v>
      </c>
      <c r="T319" s="100">
        <f t="shared" si="30"/>
        <v>1</v>
      </c>
      <c r="U319" s="100">
        <v>2.7</v>
      </c>
      <c r="V319" s="100">
        <f t="shared" si="29"/>
        <v>9.1349999999999998</v>
      </c>
      <c r="W319" s="101">
        <f t="shared" si="31"/>
        <v>24.048611111111111</v>
      </c>
      <c r="X319" s="102">
        <f t="shared" si="32"/>
        <v>1.1666666666666572</v>
      </c>
      <c r="Y319" s="100">
        <f t="shared" si="33"/>
        <v>1.3125</v>
      </c>
      <c r="Z319" s="100">
        <f t="shared" si="34"/>
        <v>1800</v>
      </c>
    </row>
    <row r="320" spans="1:26">
      <c r="A320" s="108" t="s">
        <v>124</v>
      </c>
      <c r="B320" s="108" t="str">
        <f>IFERROR(VLOOKUP(Tablo518[[#This Row],[ÜRÜN KODU]],YMKODLARI!$A$1:$K$363,2,0)," ")</f>
        <v>DAMAK EMZİK GÖVDE</v>
      </c>
      <c r="C320" s="99">
        <v>44118</v>
      </c>
      <c r="D320" s="100" t="s">
        <v>47</v>
      </c>
      <c r="E320" s="101">
        <v>0.63541666666666663</v>
      </c>
      <c r="F320" s="101">
        <v>0.75</v>
      </c>
      <c r="G320" s="100">
        <f>IFERROR(VLOOKUP(Tablo518[[#This Row],[ÜRÜN KODU]],YMKODLARI!$A$1:$K$363,3,0)," ")</f>
        <v>8</v>
      </c>
      <c r="H320" s="100">
        <f>IFERROR(VLOOKUP(Tablo518[[#This Row],[ÜRÜN KODU]],YMKODLARI!$A$1:$K$363,4,0)," ")</f>
        <v>21</v>
      </c>
      <c r="I320" s="100">
        <v>521</v>
      </c>
      <c r="J320" s="100" t="str">
        <f>IFERROR(VLOOKUP(Tablo518[[#This Row],[ÜRÜN KODU]],YMKODLARI!$A$1:$K$363,9,0)," ")</f>
        <v>5139C</v>
      </c>
      <c r="K320" s="100" t="str">
        <f>IFERROR(VLOOKUP(Tablo518[[#This Row],[BOYA KODU]],Tablo14[#All],4,0)," ")</f>
        <v>T.MAVİ</v>
      </c>
      <c r="L320" s="100">
        <f>IFERROR(VLOOKUP(Tablo518[[#This Row],[BOYA KODU]],Tablo14[#All],6,0)," ")</f>
        <v>1E-3</v>
      </c>
      <c r="M320" s="100">
        <f t="shared" si="28"/>
        <v>15.421600000000002</v>
      </c>
      <c r="N320" s="100" t="str">
        <f>IFERROR(VLOOKUP(Tablo518[[#This Row],[ÜRÜN KODU]],YMKODLARI!$A$1:$K$363,8,0)," ")</f>
        <v>HM 002</v>
      </c>
      <c r="O320" s="100" t="str">
        <f>IFERROR(VLOOKUP(Tablo518[[#This Row],[HAMMADDE KODU]],Tablo1[#All],3,0)," ")</f>
        <v>NOVAREX</v>
      </c>
      <c r="P320" s="100" t="str">
        <f>IFERROR(VLOOKUP(Tablo518[[#This Row],[HAMMADDE KODU]],Tablo1[#All],4,0)," ")</f>
        <v>PİNHAS</v>
      </c>
      <c r="Q320" s="100">
        <f>IFERROR(VLOOKUP(Tablo518[[#This Row],[ÜRÜN KODU]],YMKODLARI!$A$1:$K$363,5,0)," ")</f>
        <v>29.6</v>
      </c>
      <c r="R320" s="100">
        <f>IFERROR(VLOOKUP(Tablo518[[#This Row],[ÜRÜN KODU]],YMKODLARI!$A$1:$K$363,6,0)," ")</f>
        <v>28.6</v>
      </c>
      <c r="S320" s="100">
        <f>IFERROR(Tablo518[[#This Row],[YOLLUK HARİÇ BASKI GRAMI]]/Tablo518[[#This Row],[KALIP GÖZ ADEDİ]]," ")</f>
        <v>3.5750000000000002</v>
      </c>
      <c r="T320" s="100">
        <f t="shared" si="30"/>
        <v>1</v>
      </c>
      <c r="U320" s="100">
        <v>1.2</v>
      </c>
      <c r="V320" s="100">
        <f t="shared" si="29"/>
        <v>16.1006</v>
      </c>
      <c r="W320" s="101">
        <f t="shared" si="31"/>
        <v>24.114583333333332</v>
      </c>
      <c r="X320" s="102">
        <f t="shared" si="32"/>
        <v>2.7499999999999716</v>
      </c>
      <c r="Y320" s="100">
        <f t="shared" si="33"/>
        <v>3.0391666666666666</v>
      </c>
      <c r="Z320" s="100">
        <f t="shared" si="34"/>
        <v>4168</v>
      </c>
    </row>
    <row r="321" spans="1:26">
      <c r="A321" s="108" t="s">
        <v>124</v>
      </c>
      <c r="B321" s="108" t="str">
        <f>IFERROR(VLOOKUP(Tablo518[[#This Row],[ÜRÜN KODU]],YMKODLARI!$A$1:$K$363,2,0)," ")</f>
        <v>DAMAK EMZİK GÖVDE</v>
      </c>
      <c r="C321" s="99">
        <v>44119</v>
      </c>
      <c r="D321" s="100" t="s">
        <v>47</v>
      </c>
      <c r="E321" s="101">
        <v>0.33333333333333331</v>
      </c>
      <c r="F321" s="101">
        <v>0.71527777777777779</v>
      </c>
      <c r="G321" s="100">
        <f>IFERROR(VLOOKUP(Tablo518[[#This Row],[ÜRÜN KODU]],YMKODLARI!$A$1:$K$363,3,0)," ")</f>
        <v>8</v>
      </c>
      <c r="H321" s="100">
        <f>IFERROR(VLOOKUP(Tablo518[[#This Row],[ÜRÜN KODU]],YMKODLARI!$A$1:$K$363,4,0)," ")</f>
        <v>21</v>
      </c>
      <c r="I321" s="100">
        <v>562</v>
      </c>
      <c r="J321" s="100" t="str">
        <f>IFERROR(VLOOKUP(Tablo518[[#This Row],[ÜRÜN KODU]],YMKODLARI!$A$1:$K$363,9,0)," ")</f>
        <v>5139C</v>
      </c>
      <c r="K321" s="100" t="str">
        <f>IFERROR(VLOOKUP(Tablo518[[#This Row],[BOYA KODU]],Tablo14[#All],4,0)," ")</f>
        <v>T.MAVİ</v>
      </c>
      <c r="L321" s="100">
        <f>IFERROR(VLOOKUP(Tablo518[[#This Row],[BOYA KODU]],Tablo14[#All],6,0)," ")</f>
        <v>1E-3</v>
      </c>
      <c r="M321" s="100">
        <f t="shared" si="28"/>
        <v>16.635200000000001</v>
      </c>
      <c r="N321" s="100" t="str">
        <f>IFERROR(VLOOKUP(Tablo518[[#This Row],[ÜRÜN KODU]],YMKODLARI!$A$1:$K$363,8,0)," ")</f>
        <v>HM 002</v>
      </c>
      <c r="O321" s="100" t="str">
        <f>IFERROR(VLOOKUP(Tablo518[[#This Row],[HAMMADDE KODU]],Tablo1[#All],3,0)," ")</f>
        <v>NOVAREX</v>
      </c>
      <c r="P321" s="100" t="str">
        <f>IFERROR(VLOOKUP(Tablo518[[#This Row],[HAMMADDE KODU]],Tablo1[#All],4,0)," ")</f>
        <v>PİNHAS</v>
      </c>
      <c r="Q321" s="100">
        <f>IFERROR(VLOOKUP(Tablo518[[#This Row],[ÜRÜN KODU]],YMKODLARI!$A$1:$K$363,5,0)," ")</f>
        <v>29.6</v>
      </c>
      <c r="R321" s="100">
        <f>IFERROR(VLOOKUP(Tablo518[[#This Row],[ÜRÜN KODU]],YMKODLARI!$A$1:$K$363,6,0)," ")</f>
        <v>28.6</v>
      </c>
      <c r="S321" s="100">
        <f>IFERROR(Tablo518[[#This Row],[YOLLUK HARİÇ BASKI GRAMI]]/Tablo518[[#This Row],[KALIP GÖZ ADEDİ]]," ")</f>
        <v>3.5750000000000002</v>
      </c>
      <c r="T321" s="100">
        <f t="shared" si="30"/>
        <v>1</v>
      </c>
      <c r="U321" s="100">
        <v>10</v>
      </c>
      <c r="V321" s="100">
        <f t="shared" si="29"/>
        <v>26.0732</v>
      </c>
      <c r="W321" s="101">
        <f t="shared" si="31"/>
        <v>24.381944444444443</v>
      </c>
      <c r="X321" s="102">
        <f t="shared" si="32"/>
        <v>9.1666666666666288</v>
      </c>
      <c r="Y321" s="100">
        <f t="shared" si="33"/>
        <v>3.2783333333333333</v>
      </c>
      <c r="Z321" s="100">
        <f t="shared" si="34"/>
        <v>4496</v>
      </c>
    </row>
    <row r="322" spans="1:26">
      <c r="A322" s="108" t="s">
        <v>127</v>
      </c>
      <c r="B322" s="108" t="str">
        <f>IFERROR(VLOOKUP(Tablo518[[#This Row],[ÜRÜN KODU]],YMKODLARI!$A$1:$K$363,2,0)," ")</f>
        <v>DAMAK EMZİK GÖVDE</v>
      </c>
      <c r="C322" s="99">
        <v>44119</v>
      </c>
      <c r="D322" s="100" t="s">
        <v>47</v>
      </c>
      <c r="E322" s="101">
        <v>0.72569444444444453</v>
      </c>
      <c r="F322" s="101">
        <v>0.75</v>
      </c>
      <c r="G322" s="100">
        <f>IFERROR(VLOOKUP(Tablo518[[#This Row],[ÜRÜN KODU]],YMKODLARI!$A$1:$K$363,3,0)," ")</f>
        <v>8</v>
      </c>
      <c r="H322" s="100">
        <f>IFERROR(VLOOKUP(Tablo518[[#This Row],[ÜRÜN KODU]],YMKODLARI!$A$1:$K$363,4,0)," ")</f>
        <v>21</v>
      </c>
      <c r="I322" s="100">
        <v>95</v>
      </c>
      <c r="J322" s="100" t="str">
        <f>IFERROR(VLOOKUP(Tablo518[[#This Row],[ÜRÜN KODU]],YMKODLARI!$A$1:$K$363,9,0)," ")</f>
        <v>708VI0502G</v>
      </c>
      <c r="K322" s="100" t="str">
        <f>IFERROR(VLOOKUP(Tablo518[[#This Row],[BOYA KODU]],Tablo14[#All],4,0)," ")</f>
        <v>T.VİOLET</v>
      </c>
      <c r="L322" s="100">
        <f>IFERROR(VLOOKUP(Tablo518[[#This Row],[BOYA KODU]],Tablo14[#All],6,0)," ")</f>
        <v>2E-3</v>
      </c>
      <c r="M322" s="100">
        <f t="shared" si="28"/>
        <v>5.681</v>
      </c>
      <c r="N322" s="100" t="str">
        <f>IFERROR(VLOOKUP(Tablo518[[#This Row],[ÜRÜN KODU]],YMKODLARI!$A$1:$K$363,8,0)," ")</f>
        <v>HM 002</v>
      </c>
      <c r="O322" s="100" t="str">
        <f>IFERROR(VLOOKUP(Tablo518[[#This Row],[HAMMADDE KODU]],Tablo1[#All],3,0)," ")</f>
        <v>NOVAREX</v>
      </c>
      <c r="P322" s="100" t="str">
        <f>IFERROR(VLOOKUP(Tablo518[[#This Row],[HAMMADDE KODU]],Tablo1[#All],4,0)," ")</f>
        <v>PİNHAS</v>
      </c>
      <c r="Q322" s="100">
        <f>IFERROR(VLOOKUP(Tablo518[[#This Row],[ÜRÜN KODU]],YMKODLARI!$A$1:$K$363,5,0)," ")</f>
        <v>29.9</v>
      </c>
      <c r="R322" s="100">
        <f>IFERROR(VLOOKUP(Tablo518[[#This Row],[ÜRÜN KODU]],YMKODLARI!$A$1:$K$363,6,0)," ")</f>
        <v>29.1</v>
      </c>
      <c r="S322" s="100">
        <f>IFERROR(Tablo518[[#This Row],[YOLLUK HARİÇ BASKI GRAMI]]/Tablo518[[#This Row],[KALIP GÖZ ADEDİ]]," ")</f>
        <v>3.6375000000000002</v>
      </c>
      <c r="T322" s="100">
        <f t="shared" si="30"/>
        <v>0.79999999999999716</v>
      </c>
      <c r="U322" s="100">
        <v>6</v>
      </c>
      <c r="V322" s="100">
        <f t="shared" si="29"/>
        <v>8.7645</v>
      </c>
      <c r="W322" s="101">
        <f t="shared" si="31"/>
        <v>24.024305555555557</v>
      </c>
      <c r="X322" s="102">
        <f t="shared" si="32"/>
        <v>0.58333333333337123</v>
      </c>
      <c r="Y322" s="100">
        <f t="shared" si="33"/>
        <v>0.5541666666666667</v>
      </c>
      <c r="Z322" s="100">
        <f t="shared" si="34"/>
        <v>760</v>
      </c>
    </row>
    <row r="323" spans="1:26">
      <c r="A323" s="108" t="s">
        <v>127</v>
      </c>
      <c r="B323" s="108" t="str">
        <f>IFERROR(VLOOKUP(Tablo518[[#This Row],[ÜRÜN KODU]],YMKODLARI!$A$1:$K$363,2,0)," ")</f>
        <v>DAMAK EMZİK GÖVDE</v>
      </c>
      <c r="C323" s="99">
        <v>44120</v>
      </c>
      <c r="D323" s="100" t="s">
        <v>33</v>
      </c>
      <c r="E323" s="101">
        <v>0.34027777777777773</v>
      </c>
      <c r="F323" s="101">
        <v>0.375</v>
      </c>
      <c r="G323" s="100">
        <f>IFERROR(VLOOKUP(Tablo518[[#This Row],[ÜRÜN KODU]],YMKODLARI!$A$1:$K$363,3,0)," ")</f>
        <v>8</v>
      </c>
      <c r="H323" s="100">
        <f>IFERROR(VLOOKUP(Tablo518[[#This Row],[ÜRÜN KODU]],YMKODLARI!$A$1:$K$363,4,0)," ")</f>
        <v>21</v>
      </c>
      <c r="I323" s="100">
        <v>120</v>
      </c>
      <c r="J323" s="100" t="str">
        <f>IFERROR(VLOOKUP(Tablo518[[#This Row],[ÜRÜN KODU]],YMKODLARI!$A$1:$K$363,9,0)," ")</f>
        <v>708VI0502G</v>
      </c>
      <c r="K323" s="100" t="str">
        <f>IFERROR(VLOOKUP(Tablo518[[#This Row],[BOYA KODU]],Tablo14[#All],4,0)," ")</f>
        <v>T.VİOLET</v>
      </c>
      <c r="L323" s="100">
        <f>IFERROR(VLOOKUP(Tablo518[[#This Row],[BOYA KODU]],Tablo14[#All],6,0)," ")</f>
        <v>2E-3</v>
      </c>
      <c r="M323" s="100">
        <f t="shared" si="28"/>
        <v>7.1760000000000002</v>
      </c>
      <c r="N323" s="100" t="str">
        <f>IFERROR(VLOOKUP(Tablo518[[#This Row],[ÜRÜN KODU]],YMKODLARI!$A$1:$K$363,8,0)," ")</f>
        <v>HM 002</v>
      </c>
      <c r="O323" s="100" t="str">
        <f>IFERROR(VLOOKUP(Tablo518[[#This Row],[HAMMADDE KODU]],Tablo1[#All],3,0)," ")</f>
        <v>NOVAREX</v>
      </c>
      <c r="P323" s="100" t="str">
        <f>IFERROR(VLOOKUP(Tablo518[[#This Row],[HAMMADDE KODU]],Tablo1[#All],4,0)," ")</f>
        <v>PİNHAS</v>
      </c>
      <c r="Q323" s="100">
        <f>IFERROR(VLOOKUP(Tablo518[[#This Row],[ÜRÜN KODU]],YMKODLARI!$A$1:$K$363,5,0)," ")</f>
        <v>29.9</v>
      </c>
      <c r="R323" s="100">
        <f>IFERROR(VLOOKUP(Tablo518[[#This Row],[ÜRÜN KODU]],YMKODLARI!$A$1:$K$363,6,0)," ")</f>
        <v>29.1</v>
      </c>
      <c r="S323" s="100">
        <f>IFERROR(Tablo518[[#This Row],[YOLLUK HARİÇ BASKI GRAMI]]/Tablo518[[#This Row],[KALIP GÖZ ADEDİ]]," ")</f>
        <v>3.6375000000000002</v>
      </c>
      <c r="T323" s="100">
        <f t="shared" si="30"/>
        <v>0.79999999999999716</v>
      </c>
      <c r="U323" s="100"/>
      <c r="V323" s="100">
        <f t="shared" si="29"/>
        <v>3.492</v>
      </c>
      <c r="W323" s="101">
        <f t="shared" si="31"/>
        <v>24.034722222222221</v>
      </c>
      <c r="X323" s="102">
        <f t="shared" si="32"/>
        <v>0.83333333333331439</v>
      </c>
      <c r="Y323" s="100">
        <f t="shared" si="33"/>
        <v>0.7</v>
      </c>
      <c r="Z323" s="100">
        <f t="shared" si="34"/>
        <v>960</v>
      </c>
    </row>
    <row r="324" spans="1:26">
      <c r="A324" s="108" t="s">
        <v>126</v>
      </c>
      <c r="B324" s="108" t="str">
        <f>IFERROR(VLOOKUP(Tablo518[[#This Row],[ÜRÜN KODU]],YMKODLARI!$A$1:$K$363,2,0)," ")</f>
        <v>DAMAK EMZİK GÖVDE</v>
      </c>
      <c r="C324" s="99">
        <v>44120</v>
      </c>
      <c r="D324" s="100" t="s">
        <v>33</v>
      </c>
      <c r="E324" s="101">
        <v>0.38194444444444442</v>
      </c>
      <c r="F324" s="101">
        <v>0.60069444444444442</v>
      </c>
      <c r="G324" s="100">
        <f>IFERROR(VLOOKUP(Tablo518[[#This Row],[ÜRÜN KODU]],YMKODLARI!$A$1:$K$363,3,0)," ")</f>
        <v>8</v>
      </c>
      <c r="H324" s="100">
        <f>IFERROR(VLOOKUP(Tablo518[[#This Row],[ÜRÜN KODU]],YMKODLARI!$A$1:$K$363,4,0)," ")</f>
        <v>21</v>
      </c>
      <c r="I324" s="100">
        <v>577</v>
      </c>
      <c r="J324" s="100">
        <f>IFERROR(VLOOKUP(Tablo518[[#This Row],[ÜRÜN KODU]],YMKODLARI!$A$1:$K$363,9,0)," ")</f>
        <v>3014</v>
      </c>
      <c r="K324" s="100" t="str">
        <f>IFERROR(VLOOKUP(Tablo518[[#This Row],[BOYA KODU]],Tablo14[#All],4,0)," ")</f>
        <v>T.KIRMIZI</v>
      </c>
      <c r="L324" s="100">
        <f>IFERROR(VLOOKUP(Tablo518[[#This Row],[BOYA KODU]],Tablo14[#All],6,0)," ")</f>
        <v>2E-3</v>
      </c>
      <c r="M324" s="100">
        <f t="shared" si="28"/>
        <v>34.1584</v>
      </c>
      <c r="N324" s="100" t="str">
        <f>IFERROR(VLOOKUP(Tablo518[[#This Row],[ÜRÜN KODU]],YMKODLARI!$A$1:$K$363,8,0)," ")</f>
        <v>HM 002</v>
      </c>
      <c r="O324" s="100" t="str">
        <f>IFERROR(VLOOKUP(Tablo518[[#This Row],[HAMMADDE KODU]],Tablo1[#All],3,0)," ")</f>
        <v>NOVAREX</v>
      </c>
      <c r="P324" s="100" t="str">
        <f>IFERROR(VLOOKUP(Tablo518[[#This Row],[HAMMADDE KODU]],Tablo1[#All],4,0)," ")</f>
        <v>PİNHAS</v>
      </c>
      <c r="Q324" s="100">
        <f>IFERROR(VLOOKUP(Tablo518[[#This Row],[ÜRÜN KODU]],YMKODLARI!$A$1:$K$363,5,0)," ")</f>
        <v>29.6</v>
      </c>
      <c r="R324" s="100">
        <f>IFERROR(VLOOKUP(Tablo518[[#This Row],[ÜRÜN KODU]],YMKODLARI!$A$1:$K$363,6,0)," ")</f>
        <v>28.6</v>
      </c>
      <c r="S324" s="100">
        <f>IFERROR(Tablo518[[#This Row],[YOLLUK HARİÇ BASKI GRAMI]]/Tablo518[[#This Row],[KALIP GÖZ ADEDİ]]," ")</f>
        <v>3.5750000000000002</v>
      </c>
      <c r="T324" s="100">
        <f t="shared" si="30"/>
        <v>1</v>
      </c>
      <c r="U324" s="100">
        <v>6</v>
      </c>
      <c r="V324" s="100">
        <f t="shared" si="29"/>
        <v>22.502200000000002</v>
      </c>
      <c r="W324" s="101">
        <f t="shared" si="31"/>
        <v>24.21875</v>
      </c>
      <c r="X324" s="102">
        <f t="shared" si="32"/>
        <v>5.25</v>
      </c>
      <c r="Y324" s="100">
        <f t="shared" si="33"/>
        <v>3.3658333333333332</v>
      </c>
      <c r="Z324" s="100">
        <f t="shared" si="34"/>
        <v>4616</v>
      </c>
    </row>
    <row r="325" spans="1:26">
      <c r="A325" s="108" t="s">
        <v>578</v>
      </c>
      <c r="B325" s="108" t="str">
        <f>IFERROR(VLOOKUP(Tablo518[[#This Row],[ÜRÜN KODU]],YMKODLARI!$A$1:$K$363,2,0)," ")</f>
        <v>KLASİK EMZİK GÖVDE</v>
      </c>
      <c r="C325" s="99">
        <v>44123</v>
      </c>
      <c r="D325" s="100" t="s">
        <v>33</v>
      </c>
      <c r="E325" s="101">
        <v>0.4236111111111111</v>
      </c>
      <c r="F325" s="101">
        <v>0.63194444444444442</v>
      </c>
      <c r="G325" s="100">
        <f>IFERROR(VLOOKUP(Tablo518[[#This Row],[ÜRÜN KODU]],YMKODLARI!$A$1:$K$363,3,0)," ")</f>
        <v>8</v>
      </c>
      <c r="H325" s="100">
        <f>IFERROR(VLOOKUP(Tablo518[[#This Row],[ÜRÜN KODU]],YMKODLARI!$A$1:$K$363,4,0)," ")</f>
        <v>21</v>
      </c>
      <c r="I325" s="100">
        <v>1040</v>
      </c>
      <c r="J325" s="100">
        <f>IFERROR(VLOOKUP(Tablo518[[#This Row],[ÜRÜN KODU]],YMKODLARI!$A$1:$K$363,9,0)," ")</f>
        <v>3014</v>
      </c>
      <c r="K325" s="100" t="str">
        <f>IFERROR(VLOOKUP(Tablo518[[#This Row],[BOYA KODU]],Tablo14[#All],4,0)," ")</f>
        <v>T.KIRMIZI</v>
      </c>
      <c r="L325" s="100">
        <f>IFERROR(VLOOKUP(Tablo518[[#This Row],[BOYA KODU]],Tablo14[#All],6,0)," ")</f>
        <v>2E-3</v>
      </c>
      <c r="M325" s="100">
        <f t="shared" si="28"/>
        <v>65.311999999999998</v>
      </c>
      <c r="N325" s="100" t="str">
        <f>IFERROR(VLOOKUP(Tablo518[[#This Row],[ÜRÜN KODU]],YMKODLARI!$A$1:$K$363,8,0)," ")</f>
        <v>HM 002</v>
      </c>
      <c r="O325" s="100" t="str">
        <f>IFERROR(VLOOKUP(Tablo518[[#This Row],[HAMMADDE KODU]],Tablo1[#All],3,0)," ")</f>
        <v>NOVAREX</v>
      </c>
      <c r="P325" s="100" t="str">
        <f>IFERROR(VLOOKUP(Tablo518[[#This Row],[HAMMADDE KODU]],Tablo1[#All],4,0)," ")</f>
        <v>PİNHAS</v>
      </c>
      <c r="Q325" s="100">
        <f>IFERROR(VLOOKUP(Tablo518[[#This Row],[ÜRÜN KODU]],YMKODLARI!$A$1:$K$363,5,0)," ")</f>
        <v>31.4</v>
      </c>
      <c r="R325" s="100">
        <f>IFERROR(VLOOKUP(Tablo518[[#This Row],[ÜRÜN KODU]],YMKODLARI!$A$1:$K$363,6,0)," ")</f>
        <v>30.4</v>
      </c>
      <c r="S325" s="100">
        <f>IFERROR(Tablo518[[#This Row],[YOLLUK HARİÇ BASKI GRAMI]]/Tablo518[[#This Row],[KALIP GÖZ ADEDİ]]," ")</f>
        <v>3.8</v>
      </c>
      <c r="T325" s="100">
        <f t="shared" si="30"/>
        <v>1</v>
      </c>
      <c r="U325" s="100">
        <v>3</v>
      </c>
      <c r="V325" s="100">
        <f t="shared" si="29"/>
        <v>34.616</v>
      </c>
      <c r="W325" s="101">
        <f t="shared" si="31"/>
        <v>24.208333333333332</v>
      </c>
      <c r="X325" s="102">
        <f t="shared" si="32"/>
        <v>4.9999999999999716</v>
      </c>
      <c r="Y325" s="100">
        <f t="shared" si="33"/>
        <v>6.0666666666666664</v>
      </c>
      <c r="Z325" s="100">
        <f t="shared" si="34"/>
        <v>8320</v>
      </c>
    </row>
    <row r="326" spans="1:26">
      <c r="A326" s="108" t="s">
        <v>577</v>
      </c>
      <c r="B326" s="108" t="str">
        <f>IFERROR(VLOOKUP(Tablo518[[#This Row],[ÜRÜN KODU]],YMKODLARI!$A$1:$K$363,2,0)," ")</f>
        <v>KLASİK EMZİK GÖVDE</v>
      </c>
      <c r="C326" s="99">
        <v>44123</v>
      </c>
      <c r="D326" s="100" t="s">
        <v>33</v>
      </c>
      <c r="E326" s="101">
        <v>0.63888888888888895</v>
      </c>
      <c r="F326" s="101">
        <v>0.8125</v>
      </c>
      <c r="G326" s="100">
        <f>IFERROR(VLOOKUP(Tablo518[[#This Row],[ÜRÜN KODU]],YMKODLARI!$A$1:$K$363,3,0)," ")</f>
        <v>8</v>
      </c>
      <c r="H326" s="100">
        <f>IFERROR(VLOOKUP(Tablo518[[#This Row],[ÜRÜN KODU]],YMKODLARI!$A$1:$K$363,4,0)," ")</f>
        <v>21</v>
      </c>
      <c r="I326" s="100">
        <v>962</v>
      </c>
      <c r="J326" s="100" t="str">
        <f>IFERROR(VLOOKUP(Tablo518[[#This Row],[ÜRÜN KODU]],YMKODLARI!$A$1:$K$363,9,0)," ")</f>
        <v>708GN0539G</v>
      </c>
      <c r="K326" s="100" t="str">
        <f>IFERROR(VLOOKUP(Tablo518[[#This Row],[BOYA KODU]],Tablo14[#All],4,0)," ")</f>
        <v>T.YEŞİL</v>
      </c>
      <c r="L326" s="100">
        <f>IFERROR(VLOOKUP(Tablo518[[#This Row],[BOYA KODU]],Tablo14[#All],6,0)," ")</f>
        <v>2E-3</v>
      </c>
      <c r="M326" s="100">
        <f t="shared" si="28"/>
        <v>60.413600000000002</v>
      </c>
      <c r="N326" s="100" t="str">
        <f>IFERROR(VLOOKUP(Tablo518[[#This Row],[ÜRÜN KODU]],YMKODLARI!$A$1:$K$363,8,0)," ")</f>
        <v>HM 002</v>
      </c>
      <c r="O326" s="100" t="str">
        <f>IFERROR(VLOOKUP(Tablo518[[#This Row],[HAMMADDE KODU]],Tablo1[#All],3,0)," ")</f>
        <v>NOVAREX</v>
      </c>
      <c r="P326" s="100" t="str">
        <f>IFERROR(VLOOKUP(Tablo518[[#This Row],[HAMMADDE KODU]],Tablo1[#All],4,0)," ")</f>
        <v>PİNHAS</v>
      </c>
      <c r="Q326" s="100">
        <f>IFERROR(VLOOKUP(Tablo518[[#This Row],[ÜRÜN KODU]],YMKODLARI!$A$1:$K$363,5,0)," ")</f>
        <v>31.4</v>
      </c>
      <c r="R326" s="100">
        <f>IFERROR(VLOOKUP(Tablo518[[#This Row],[ÜRÜN KODU]],YMKODLARI!$A$1:$K$363,6,0)," ")</f>
        <v>30.4</v>
      </c>
      <c r="S326" s="100">
        <f>IFERROR(Tablo518[[#This Row],[YOLLUK HARİÇ BASKI GRAMI]]/Tablo518[[#This Row],[KALIP GÖZ ADEDİ]]," ")</f>
        <v>3.8</v>
      </c>
      <c r="T326" s="100">
        <f t="shared" si="30"/>
        <v>1</v>
      </c>
      <c r="U326" s="100">
        <v>1.8</v>
      </c>
      <c r="V326" s="100">
        <f t="shared" si="29"/>
        <v>31.044799999999999</v>
      </c>
      <c r="W326" s="101">
        <f t="shared" si="31"/>
        <v>24.173611111111111</v>
      </c>
      <c r="X326" s="102">
        <f t="shared" si="32"/>
        <v>4.1666666666666572</v>
      </c>
      <c r="Y326" s="100">
        <f t="shared" si="33"/>
        <v>5.6116666666666664</v>
      </c>
      <c r="Z326" s="100">
        <f t="shared" si="34"/>
        <v>7696</v>
      </c>
    </row>
    <row r="327" spans="1:26">
      <c r="A327" s="108" t="s">
        <v>135</v>
      </c>
      <c r="B327" s="108" t="str">
        <f>IFERROR(VLOOKUP(Tablo518[[#This Row],[ÜRÜN KODU]],YMKODLARI!$A$1:$K$363,2,0)," ")</f>
        <v>KLASİK EMZİK GÖVDE</v>
      </c>
      <c r="C327" s="99">
        <v>44123</v>
      </c>
      <c r="D327" s="100" t="s">
        <v>33</v>
      </c>
      <c r="E327" s="101">
        <v>0.81944444444444453</v>
      </c>
      <c r="F327" s="101">
        <v>0.83333333333333337</v>
      </c>
      <c r="G327" s="100">
        <f>IFERROR(VLOOKUP(Tablo518[[#This Row],[ÜRÜN KODU]],YMKODLARI!$A$1:$K$363,3,0)," ")</f>
        <v>8</v>
      </c>
      <c r="H327" s="100">
        <f>IFERROR(VLOOKUP(Tablo518[[#This Row],[ÜRÜN KODU]],YMKODLARI!$A$1:$K$363,4,0)," ")</f>
        <v>21</v>
      </c>
      <c r="I327" s="100">
        <v>96</v>
      </c>
      <c r="J327" s="100" t="str">
        <f>IFERROR(VLOOKUP(Tablo518[[#This Row],[ÜRÜN KODU]],YMKODLARI!$A$1:$K$363,9,0)," ")</f>
        <v>Şeffaf</v>
      </c>
      <c r="K327" s="100" t="str">
        <f>IFERROR(VLOOKUP(Tablo518[[#This Row],[BOYA KODU]],Tablo14[#All],4,0)," ")</f>
        <v xml:space="preserve"> </v>
      </c>
      <c r="L327" s="100" t="str">
        <f>IFERROR(VLOOKUP(Tablo518[[#This Row],[BOYA KODU]],Tablo14[#All],6,0)," ")</f>
        <v xml:space="preserve"> </v>
      </c>
      <c r="M327" s="100" t="str">
        <f t="shared" ref="M327:M390" si="35">IFERROR((I327*Q327)*L327," ")</f>
        <v xml:space="preserve"> </v>
      </c>
      <c r="N327" s="100" t="str">
        <f>IFERROR(VLOOKUP(Tablo518[[#This Row],[ÜRÜN KODU]],YMKODLARI!$A$1:$K$363,8,0)," ")</f>
        <v>HM 002</v>
      </c>
      <c r="O327" s="100" t="str">
        <f>IFERROR(VLOOKUP(Tablo518[[#This Row],[HAMMADDE KODU]],Tablo1[#All],3,0)," ")</f>
        <v>NOVAREX</v>
      </c>
      <c r="P327" s="100" t="str">
        <f>IFERROR(VLOOKUP(Tablo518[[#This Row],[HAMMADDE KODU]],Tablo1[#All],4,0)," ")</f>
        <v>PİNHAS</v>
      </c>
      <c r="Q327" s="100">
        <f>IFERROR(VLOOKUP(Tablo518[[#This Row],[ÜRÜN KODU]],YMKODLARI!$A$1:$K$363,5,0)," ")</f>
        <v>31.4</v>
      </c>
      <c r="R327" s="100">
        <f>IFERROR(VLOOKUP(Tablo518[[#This Row],[ÜRÜN KODU]],YMKODLARI!$A$1:$K$363,6,0)," ")</f>
        <v>30.4</v>
      </c>
      <c r="S327" s="100">
        <f>IFERROR(Tablo518[[#This Row],[YOLLUK HARİÇ BASKI GRAMI]]/Tablo518[[#This Row],[KALIP GÖZ ADEDİ]]," ")</f>
        <v>3.8</v>
      </c>
      <c r="T327" s="100">
        <f t="shared" si="30"/>
        <v>1</v>
      </c>
      <c r="U327" s="100">
        <v>2</v>
      </c>
      <c r="V327" s="100">
        <f t="shared" ref="V327:V390" si="36">IFERROR(U327+(R327*I327) /1000," ")</f>
        <v>4.9184000000000001</v>
      </c>
      <c r="W327" s="101">
        <f t="shared" si="31"/>
        <v>24.013888888888889</v>
      </c>
      <c r="X327" s="102">
        <f t="shared" si="32"/>
        <v>0.33333333333334281</v>
      </c>
      <c r="Y327" s="100">
        <f t="shared" si="33"/>
        <v>0.56000000000000005</v>
      </c>
      <c r="Z327" s="100">
        <f t="shared" si="34"/>
        <v>768</v>
      </c>
    </row>
    <row r="328" spans="1:26">
      <c r="A328" s="108" t="s">
        <v>135</v>
      </c>
      <c r="B328" s="108" t="str">
        <f>IFERROR(VLOOKUP(Tablo518[[#This Row],[ÜRÜN KODU]],YMKODLARI!$A$1:$K$363,2,0)," ")</f>
        <v>KLASİK EMZİK GÖVDE</v>
      </c>
      <c r="C328" s="99">
        <v>44124</v>
      </c>
      <c r="D328" s="100" t="s">
        <v>33</v>
      </c>
      <c r="E328" s="101">
        <v>0.33333333333333331</v>
      </c>
      <c r="F328" s="101">
        <v>0.69444444444444453</v>
      </c>
      <c r="G328" s="100">
        <f>IFERROR(VLOOKUP(Tablo518[[#This Row],[ÜRÜN KODU]],YMKODLARI!$A$1:$K$363,3,0)," ")</f>
        <v>8</v>
      </c>
      <c r="H328" s="100">
        <f>IFERROR(VLOOKUP(Tablo518[[#This Row],[ÜRÜN KODU]],YMKODLARI!$A$1:$K$363,4,0)," ")</f>
        <v>21</v>
      </c>
      <c r="I328" s="100">
        <v>1834</v>
      </c>
      <c r="J328" s="100" t="str">
        <f>IFERROR(VLOOKUP(Tablo518[[#This Row],[ÜRÜN KODU]],YMKODLARI!$A$1:$K$363,9,0)," ")</f>
        <v>Şeffaf</v>
      </c>
      <c r="K328" s="100" t="str">
        <f>IFERROR(VLOOKUP(Tablo518[[#This Row],[BOYA KODU]],Tablo14[#All],4,0)," ")</f>
        <v xml:space="preserve"> </v>
      </c>
      <c r="L328" s="100" t="str">
        <f>IFERROR(VLOOKUP(Tablo518[[#This Row],[BOYA KODU]],Tablo14[#All],6,0)," ")</f>
        <v xml:space="preserve"> </v>
      </c>
      <c r="M328" s="100" t="str">
        <f t="shared" si="35"/>
        <v xml:space="preserve"> </v>
      </c>
      <c r="N328" s="100" t="str">
        <f>IFERROR(VLOOKUP(Tablo518[[#This Row],[ÜRÜN KODU]],YMKODLARI!$A$1:$K$363,8,0)," ")</f>
        <v>HM 002</v>
      </c>
      <c r="O328" s="100" t="str">
        <f>IFERROR(VLOOKUP(Tablo518[[#This Row],[HAMMADDE KODU]],Tablo1[#All],3,0)," ")</f>
        <v>NOVAREX</v>
      </c>
      <c r="P328" s="100" t="str">
        <f>IFERROR(VLOOKUP(Tablo518[[#This Row],[HAMMADDE KODU]],Tablo1[#All],4,0)," ")</f>
        <v>PİNHAS</v>
      </c>
      <c r="Q328" s="100">
        <f>IFERROR(VLOOKUP(Tablo518[[#This Row],[ÜRÜN KODU]],YMKODLARI!$A$1:$K$363,5,0)," ")</f>
        <v>31.4</v>
      </c>
      <c r="R328" s="100">
        <f>IFERROR(VLOOKUP(Tablo518[[#This Row],[ÜRÜN KODU]],YMKODLARI!$A$1:$K$363,6,0)," ")</f>
        <v>30.4</v>
      </c>
      <c r="S328" s="100">
        <f>IFERROR(Tablo518[[#This Row],[YOLLUK HARİÇ BASKI GRAMI]]/Tablo518[[#This Row],[KALIP GÖZ ADEDİ]]," ")</f>
        <v>3.8</v>
      </c>
      <c r="T328" s="100">
        <f t="shared" ref="T328:T391" si="37">IFERROR(Q328-R328," ")</f>
        <v>1</v>
      </c>
      <c r="U328" s="100"/>
      <c r="V328" s="100">
        <f t="shared" si="36"/>
        <v>55.753599999999999</v>
      </c>
      <c r="W328" s="101">
        <f t="shared" ref="W328:W391" si="38">IFERROR(24-(E328-F328)," ")</f>
        <v>24.361111111111111</v>
      </c>
      <c r="X328" s="102">
        <f t="shared" ref="X328:X391" si="39">IFERROR((W328-INT(W328))*24," ")</f>
        <v>8.6666666666666572</v>
      </c>
      <c r="Y328" s="100">
        <f t="shared" ref="Y328:Y391" si="40">IFERROR(H328*I328/3600," ")</f>
        <v>10.698333333333334</v>
      </c>
      <c r="Z328" s="100">
        <f t="shared" ref="Z328:Z391" si="41">IFERROR(I328*G328," " )</f>
        <v>14672</v>
      </c>
    </row>
    <row r="329" spans="1:26">
      <c r="A329" s="108" t="s">
        <v>136</v>
      </c>
      <c r="B329" s="108" t="str">
        <f>IFERROR(VLOOKUP(Tablo518[[#This Row],[ÜRÜN KODU]],YMKODLARI!$A$1:$K$363,2,0)," ")</f>
        <v>DAMAK EMZİK TIPA</v>
      </c>
      <c r="C329" s="99">
        <v>44125</v>
      </c>
      <c r="D329" s="100" t="s">
        <v>33</v>
      </c>
      <c r="E329" s="101">
        <v>0.51388888888888895</v>
      </c>
      <c r="F329" s="101">
        <v>0.83333333333333337</v>
      </c>
      <c r="G329" s="100">
        <f>IFERROR(VLOOKUP(Tablo518[[#This Row],[ÜRÜN KODU]],YMKODLARI!$A$1:$K$363,3,0)," ")</f>
        <v>8</v>
      </c>
      <c r="H329" s="100">
        <f>IFERROR(VLOOKUP(Tablo518[[#This Row],[ÜRÜN KODU]],YMKODLARI!$A$1:$K$363,4,0)," ")</f>
        <v>20</v>
      </c>
      <c r="I329" s="100">
        <v>1197</v>
      </c>
      <c r="J329" s="100" t="str">
        <f>IFERROR(VLOOKUP(Tablo518[[#This Row],[ÜRÜN KODU]],YMKODLARI!$A$1:$K$363,9,0)," ")</f>
        <v>9134A</v>
      </c>
      <c r="K329" s="100" t="str">
        <f>IFERROR(VLOOKUP(Tablo518[[#This Row],[BOYA KODU]],Tablo14[#All],4,0)," ")</f>
        <v>BEYAZ</v>
      </c>
      <c r="L329" s="100">
        <f>IFERROR(VLOOKUP(Tablo518[[#This Row],[BOYA KODU]],Tablo14[#All],6,0)," ")</f>
        <v>7.0000000000000001E-3</v>
      </c>
      <c r="M329" s="100">
        <f t="shared" si="35"/>
        <v>144.11879999999999</v>
      </c>
      <c r="N329" s="100" t="str">
        <f>IFERROR(VLOOKUP(Tablo518[[#This Row],[ÜRÜN KODU]],YMKODLARI!$A$1:$K$363,8,0)," ")</f>
        <v>HM 002</v>
      </c>
      <c r="O329" s="100" t="str">
        <f>IFERROR(VLOOKUP(Tablo518[[#This Row],[HAMMADDE KODU]],Tablo1[#All],3,0)," ")</f>
        <v>NOVAREX</v>
      </c>
      <c r="P329" s="100" t="str">
        <f>IFERROR(VLOOKUP(Tablo518[[#This Row],[HAMMADDE KODU]],Tablo1[#All],4,0)," ")</f>
        <v>PİNHAS</v>
      </c>
      <c r="Q329" s="100">
        <f>IFERROR(VLOOKUP(Tablo518[[#This Row],[ÜRÜN KODU]],YMKODLARI!$A$1:$K$363,5,0)," ")</f>
        <v>17.2</v>
      </c>
      <c r="R329" s="100">
        <f>IFERROR(VLOOKUP(Tablo518[[#This Row],[ÜRÜN KODU]],YMKODLARI!$A$1:$K$363,6,0)," ")</f>
        <v>15.4</v>
      </c>
      <c r="S329" s="100">
        <f>IFERROR(Tablo518[[#This Row],[YOLLUK HARİÇ BASKI GRAMI]]/Tablo518[[#This Row],[KALIP GÖZ ADEDİ]]," ")</f>
        <v>1.925</v>
      </c>
      <c r="T329" s="100">
        <f t="shared" si="37"/>
        <v>1.7999999999999989</v>
      </c>
      <c r="U329" s="100"/>
      <c r="V329" s="100">
        <f t="shared" si="36"/>
        <v>18.433799999999998</v>
      </c>
      <c r="W329" s="101">
        <f t="shared" si="38"/>
        <v>24.319444444444443</v>
      </c>
      <c r="X329" s="102">
        <f t="shared" si="39"/>
        <v>7.6666666666666288</v>
      </c>
      <c r="Y329" s="100">
        <f t="shared" si="40"/>
        <v>6.65</v>
      </c>
      <c r="Z329" s="100">
        <f t="shared" si="41"/>
        <v>9576</v>
      </c>
    </row>
    <row r="330" spans="1:26">
      <c r="A330" s="108" t="s">
        <v>136</v>
      </c>
      <c r="B330" s="108" t="str">
        <f>IFERROR(VLOOKUP(Tablo518[[#This Row],[ÜRÜN KODU]],YMKODLARI!$A$1:$K$363,2,0)," ")</f>
        <v>DAMAK EMZİK TIPA</v>
      </c>
      <c r="C330" s="99">
        <v>44126</v>
      </c>
      <c r="D330" s="100" t="s">
        <v>37</v>
      </c>
      <c r="E330" s="101">
        <v>0.34027777777777773</v>
      </c>
      <c r="F330" s="101">
        <v>0.75</v>
      </c>
      <c r="G330" s="100">
        <f>IFERROR(VLOOKUP(Tablo518[[#This Row],[ÜRÜN KODU]],YMKODLARI!$A$1:$K$363,3,0)," ")</f>
        <v>8</v>
      </c>
      <c r="H330" s="100">
        <f>IFERROR(VLOOKUP(Tablo518[[#This Row],[ÜRÜN KODU]],YMKODLARI!$A$1:$K$363,4,0)," ")</f>
        <v>20</v>
      </c>
      <c r="I330" s="100">
        <v>1615</v>
      </c>
      <c r="J330" s="100" t="str">
        <f>IFERROR(VLOOKUP(Tablo518[[#This Row],[ÜRÜN KODU]],YMKODLARI!$A$1:$K$363,9,0)," ")</f>
        <v>9134A</v>
      </c>
      <c r="K330" s="100" t="str">
        <f>IFERROR(VLOOKUP(Tablo518[[#This Row],[BOYA KODU]],Tablo14[#All],4,0)," ")</f>
        <v>BEYAZ</v>
      </c>
      <c r="L330" s="100">
        <f>IFERROR(VLOOKUP(Tablo518[[#This Row],[BOYA KODU]],Tablo14[#All],6,0)," ")</f>
        <v>7.0000000000000001E-3</v>
      </c>
      <c r="M330" s="100">
        <f t="shared" si="35"/>
        <v>194.446</v>
      </c>
      <c r="N330" s="100" t="str">
        <f>IFERROR(VLOOKUP(Tablo518[[#This Row],[ÜRÜN KODU]],YMKODLARI!$A$1:$K$363,8,0)," ")</f>
        <v>HM 002</v>
      </c>
      <c r="O330" s="100" t="str">
        <f>IFERROR(VLOOKUP(Tablo518[[#This Row],[HAMMADDE KODU]],Tablo1[#All],3,0)," ")</f>
        <v>NOVAREX</v>
      </c>
      <c r="P330" s="100" t="str">
        <f>IFERROR(VLOOKUP(Tablo518[[#This Row],[HAMMADDE KODU]],Tablo1[#All],4,0)," ")</f>
        <v>PİNHAS</v>
      </c>
      <c r="Q330" s="100">
        <f>IFERROR(VLOOKUP(Tablo518[[#This Row],[ÜRÜN KODU]],YMKODLARI!$A$1:$K$363,5,0)," ")</f>
        <v>17.2</v>
      </c>
      <c r="R330" s="100">
        <f>IFERROR(VLOOKUP(Tablo518[[#This Row],[ÜRÜN KODU]],YMKODLARI!$A$1:$K$363,6,0)," ")</f>
        <v>15.4</v>
      </c>
      <c r="S330" s="100">
        <f>IFERROR(Tablo518[[#This Row],[YOLLUK HARİÇ BASKI GRAMI]]/Tablo518[[#This Row],[KALIP GÖZ ADEDİ]]," ")</f>
        <v>1.925</v>
      </c>
      <c r="T330" s="100">
        <f t="shared" si="37"/>
        <v>1.7999999999999989</v>
      </c>
      <c r="U330" s="100">
        <v>1</v>
      </c>
      <c r="V330" s="100">
        <f t="shared" si="36"/>
        <v>25.870999999999999</v>
      </c>
      <c r="W330" s="101">
        <f t="shared" si="38"/>
        <v>24.409722222222221</v>
      </c>
      <c r="X330" s="102">
        <f t="shared" si="39"/>
        <v>9.8333333333333144</v>
      </c>
      <c r="Y330" s="100">
        <f t="shared" si="40"/>
        <v>8.9722222222222214</v>
      </c>
      <c r="Z330" s="100">
        <f t="shared" si="41"/>
        <v>12920</v>
      </c>
    </row>
    <row r="331" spans="1:26">
      <c r="A331" s="108" t="s">
        <v>193</v>
      </c>
      <c r="B331" s="108" t="str">
        <f>IFERROR(VLOOKUP(Tablo518[[#This Row],[ÜRÜN KODU]],YMKODLARI!$A$1:$K$363,2,0)," ")</f>
        <v>KİRAZ EMZİK TIPA</v>
      </c>
      <c r="C331" s="99">
        <v>44127</v>
      </c>
      <c r="D331" s="100" t="s">
        <v>33</v>
      </c>
      <c r="E331" s="101">
        <v>0.57638888888888895</v>
      </c>
      <c r="F331" s="101">
        <v>0.74305555555555547</v>
      </c>
      <c r="G331" s="100">
        <f>IFERROR(VLOOKUP(Tablo518[[#This Row],[ÜRÜN KODU]],YMKODLARI!$A$1:$K$363,3,0)," ")</f>
        <v>8</v>
      </c>
      <c r="H331" s="100">
        <f>IFERROR(VLOOKUP(Tablo518[[#This Row],[ÜRÜN KODU]],YMKODLARI!$A$1:$K$363,4,0)," ")</f>
        <v>23</v>
      </c>
      <c r="I331" s="100">
        <v>671</v>
      </c>
      <c r="J331" s="100" t="str">
        <f>IFERROR(VLOOKUP(Tablo518[[#This Row],[ÜRÜN KODU]],YMKODLARI!$A$1:$K$363,9,0)," ")</f>
        <v>9134A</v>
      </c>
      <c r="K331" s="100" t="str">
        <f>IFERROR(VLOOKUP(Tablo518[[#This Row],[BOYA KODU]],Tablo14[#All],4,0)," ")</f>
        <v>BEYAZ</v>
      </c>
      <c r="L331" s="100">
        <f>IFERROR(VLOOKUP(Tablo518[[#This Row],[BOYA KODU]],Tablo14[#All],6,0)," ")</f>
        <v>7.0000000000000001E-3</v>
      </c>
      <c r="M331" s="100">
        <f t="shared" si="35"/>
        <v>91.591499999999996</v>
      </c>
      <c r="N331" s="100" t="str">
        <f>IFERROR(VLOOKUP(Tablo518[[#This Row],[ÜRÜN KODU]],YMKODLARI!$A$1:$K$363,8,0)," ")</f>
        <v>HM 002</v>
      </c>
      <c r="O331" s="100" t="str">
        <f>IFERROR(VLOOKUP(Tablo518[[#This Row],[HAMMADDE KODU]],Tablo1[#All],3,0)," ")</f>
        <v>NOVAREX</v>
      </c>
      <c r="P331" s="100" t="str">
        <f>IFERROR(VLOOKUP(Tablo518[[#This Row],[HAMMADDE KODU]],Tablo1[#All],4,0)," ")</f>
        <v>PİNHAS</v>
      </c>
      <c r="Q331" s="100">
        <f>IFERROR(VLOOKUP(Tablo518[[#This Row],[ÜRÜN KODU]],YMKODLARI!$A$1:$K$363,5,0)," ")</f>
        <v>19.5</v>
      </c>
      <c r="R331" s="100">
        <f>IFERROR(VLOOKUP(Tablo518[[#This Row],[ÜRÜN KODU]],YMKODLARI!$A$1:$K$363,6,0)," ")</f>
        <v>18.2</v>
      </c>
      <c r="S331" s="100">
        <f>IFERROR(Tablo518[[#This Row],[YOLLUK HARİÇ BASKI GRAMI]]/Tablo518[[#This Row],[KALIP GÖZ ADEDİ]]," ")</f>
        <v>2.2749999999999999</v>
      </c>
      <c r="T331" s="100">
        <f t="shared" si="37"/>
        <v>1.3000000000000007</v>
      </c>
      <c r="U331" s="100"/>
      <c r="V331" s="100">
        <f t="shared" si="36"/>
        <v>12.212199999999999</v>
      </c>
      <c r="W331" s="101">
        <f t="shared" si="38"/>
        <v>24.166666666666668</v>
      </c>
      <c r="X331" s="102">
        <f t="shared" si="39"/>
        <v>4.0000000000000284</v>
      </c>
      <c r="Y331" s="100">
        <f t="shared" si="40"/>
        <v>4.286944444444444</v>
      </c>
      <c r="Z331" s="100">
        <f t="shared" si="41"/>
        <v>5368</v>
      </c>
    </row>
    <row r="332" spans="1:26">
      <c r="A332" s="108" t="s">
        <v>193</v>
      </c>
      <c r="B332" s="108" t="str">
        <f>IFERROR(VLOOKUP(Tablo518[[#This Row],[ÜRÜN KODU]],YMKODLARI!$A$1:$K$363,2,0)," ")</f>
        <v>KİRAZ EMZİK TIPA</v>
      </c>
      <c r="C332" s="99">
        <v>44130</v>
      </c>
      <c r="D332" s="100" t="s">
        <v>33</v>
      </c>
      <c r="E332" s="101">
        <v>0.41666666666666669</v>
      </c>
      <c r="F332" s="101">
        <v>0.75</v>
      </c>
      <c r="G332" s="100">
        <f>IFERROR(VLOOKUP(Tablo518[[#This Row],[ÜRÜN KODU]],YMKODLARI!$A$1:$K$363,3,0)," ")</f>
        <v>8</v>
      </c>
      <c r="H332" s="100">
        <f>IFERROR(VLOOKUP(Tablo518[[#This Row],[ÜRÜN KODU]],YMKODLARI!$A$1:$K$363,4,0)," ")</f>
        <v>23</v>
      </c>
      <c r="I332" s="100">
        <v>1282</v>
      </c>
      <c r="J332" s="100" t="str">
        <f>IFERROR(VLOOKUP(Tablo518[[#This Row],[ÜRÜN KODU]],YMKODLARI!$A$1:$K$363,9,0)," ")</f>
        <v>9134A</v>
      </c>
      <c r="K332" s="100" t="str">
        <f>IFERROR(VLOOKUP(Tablo518[[#This Row],[BOYA KODU]],Tablo14[#All],4,0)," ")</f>
        <v>BEYAZ</v>
      </c>
      <c r="L332" s="100">
        <f>IFERROR(VLOOKUP(Tablo518[[#This Row],[BOYA KODU]],Tablo14[#All],6,0)," ")</f>
        <v>7.0000000000000001E-3</v>
      </c>
      <c r="M332" s="100">
        <f t="shared" si="35"/>
        <v>174.99299999999999</v>
      </c>
      <c r="N332" s="100" t="str">
        <f>IFERROR(VLOOKUP(Tablo518[[#This Row],[ÜRÜN KODU]],YMKODLARI!$A$1:$K$363,8,0)," ")</f>
        <v>HM 002</v>
      </c>
      <c r="O332" s="100" t="str">
        <f>IFERROR(VLOOKUP(Tablo518[[#This Row],[HAMMADDE KODU]],Tablo1[#All],3,0)," ")</f>
        <v>NOVAREX</v>
      </c>
      <c r="P332" s="100" t="str">
        <f>IFERROR(VLOOKUP(Tablo518[[#This Row],[HAMMADDE KODU]],Tablo1[#All],4,0)," ")</f>
        <v>PİNHAS</v>
      </c>
      <c r="Q332" s="100">
        <f>IFERROR(VLOOKUP(Tablo518[[#This Row],[ÜRÜN KODU]],YMKODLARI!$A$1:$K$363,5,0)," ")</f>
        <v>19.5</v>
      </c>
      <c r="R332" s="100">
        <f>IFERROR(VLOOKUP(Tablo518[[#This Row],[ÜRÜN KODU]],YMKODLARI!$A$1:$K$363,6,0)," ")</f>
        <v>18.2</v>
      </c>
      <c r="S332" s="100">
        <f>IFERROR(Tablo518[[#This Row],[YOLLUK HARİÇ BASKI GRAMI]]/Tablo518[[#This Row],[KALIP GÖZ ADEDİ]]," ")</f>
        <v>2.2749999999999999</v>
      </c>
      <c r="T332" s="100">
        <f t="shared" si="37"/>
        <v>1.3000000000000007</v>
      </c>
      <c r="U332" s="100">
        <v>2</v>
      </c>
      <c r="V332" s="100">
        <f t="shared" si="36"/>
        <v>25.332399999999996</v>
      </c>
      <c r="W332" s="101">
        <f t="shared" si="38"/>
        <v>24.333333333333332</v>
      </c>
      <c r="X332" s="102">
        <f t="shared" si="39"/>
        <v>7.9999999999999716</v>
      </c>
      <c r="Y332" s="100">
        <f t="shared" si="40"/>
        <v>8.1905555555555551</v>
      </c>
      <c r="Z332" s="100">
        <f t="shared" si="41"/>
        <v>10256</v>
      </c>
    </row>
    <row r="333" spans="1:26">
      <c r="A333" s="108" t="s">
        <v>193</v>
      </c>
      <c r="B333" s="108" t="str">
        <f>IFERROR(VLOOKUP(Tablo518[[#This Row],[ÜRÜN KODU]],YMKODLARI!$A$1:$K$363,2,0)," ")</f>
        <v>KİRAZ EMZİK TIPA</v>
      </c>
      <c r="C333" s="99">
        <v>44131</v>
      </c>
      <c r="D333" s="100" t="s">
        <v>37</v>
      </c>
      <c r="E333" s="101">
        <v>0.33680555555555558</v>
      </c>
      <c r="F333" s="101">
        <v>0.75</v>
      </c>
      <c r="G333" s="100">
        <f>IFERROR(VLOOKUP(Tablo518[[#This Row],[ÜRÜN KODU]],YMKODLARI!$A$1:$K$363,3,0)," ")</f>
        <v>8</v>
      </c>
      <c r="H333" s="100">
        <f>IFERROR(VLOOKUP(Tablo518[[#This Row],[ÜRÜN KODU]],YMKODLARI!$A$1:$K$363,4,0)," ")</f>
        <v>23</v>
      </c>
      <c r="I333" s="100">
        <v>1464</v>
      </c>
      <c r="J333" s="100" t="str">
        <f>IFERROR(VLOOKUP(Tablo518[[#This Row],[ÜRÜN KODU]],YMKODLARI!$A$1:$K$363,9,0)," ")</f>
        <v>9134A</v>
      </c>
      <c r="K333" s="100" t="str">
        <f>IFERROR(VLOOKUP(Tablo518[[#This Row],[BOYA KODU]],Tablo14[#All],4,0)," ")</f>
        <v>BEYAZ</v>
      </c>
      <c r="L333" s="100">
        <f>IFERROR(VLOOKUP(Tablo518[[#This Row],[BOYA KODU]],Tablo14[#All],6,0)," ")</f>
        <v>7.0000000000000001E-3</v>
      </c>
      <c r="M333" s="100">
        <f t="shared" si="35"/>
        <v>199.83600000000001</v>
      </c>
      <c r="N333" s="100" t="str">
        <f>IFERROR(VLOOKUP(Tablo518[[#This Row],[ÜRÜN KODU]],YMKODLARI!$A$1:$K$363,8,0)," ")</f>
        <v>HM 002</v>
      </c>
      <c r="O333" s="100" t="str">
        <f>IFERROR(VLOOKUP(Tablo518[[#This Row],[HAMMADDE KODU]],Tablo1[#All],3,0)," ")</f>
        <v>NOVAREX</v>
      </c>
      <c r="P333" s="100" t="str">
        <f>IFERROR(VLOOKUP(Tablo518[[#This Row],[HAMMADDE KODU]],Tablo1[#All],4,0)," ")</f>
        <v>PİNHAS</v>
      </c>
      <c r="Q333" s="100">
        <f>IFERROR(VLOOKUP(Tablo518[[#This Row],[ÜRÜN KODU]],YMKODLARI!$A$1:$K$363,5,0)," ")</f>
        <v>19.5</v>
      </c>
      <c r="R333" s="100">
        <f>IFERROR(VLOOKUP(Tablo518[[#This Row],[ÜRÜN KODU]],YMKODLARI!$A$1:$K$363,6,0)," ")</f>
        <v>18.2</v>
      </c>
      <c r="S333" s="100">
        <f>IFERROR(Tablo518[[#This Row],[YOLLUK HARİÇ BASKI GRAMI]]/Tablo518[[#This Row],[KALIP GÖZ ADEDİ]]," ")</f>
        <v>2.2749999999999999</v>
      </c>
      <c r="T333" s="100">
        <f t="shared" si="37"/>
        <v>1.3000000000000007</v>
      </c>
      <c r="U333" s="100">
        <v>2.5</v>
      </c>
      <c r="V333" s="100">
        <f t="shared" si="36"/>
        <v>29.1448</v>
      </c>
      <c r="W333" s="101">
        <f t="shared" si="38"/>
        <v>24.413194444444443</v>
      </c>
      <c r="X333" s="102">
        <f t="shared" si="39"/>
        <v>9.9166666666666288</v>
      </c>
      <c r="Y333" s="100">
        <f t="shared" si="40"/>
        <v>9.3533333333333335</v>
      </c>
      <c r="Z333" s="100">
        <f t="shared" si="41"/>
        <v>11712</v>
      </c>
    </row>
    <row r="334" spans="1:26">
      <c r="A334" s="108" t="s">
        <v>193</v>
      </c>
      <c r="B334" s="108" t="str">
        <f>IFERROR(VLOOKUP(Tablo518[[#This Row],[ÜRÜN KODU]],YMKODLARI!$A$1:$K$363,2,0)," ")</f>
        <v>KİRAZ EMZİK TIPA</v>
      </c>
      <c r="C334" s="99">
        <v>44132</v>
      </c>
      <c r="D334" s="100" t="s">
        <v>37</v>
      </c>
      <c r="E334" s="101">
        <v>0.33333333333333331</v>
      </c>
      <c r="F334" s="101">
        <v>0.75</v>
      </c>
      <c r="G334" s="100">
        <f>IFERROR(VLOOKUP(Tablo518[[#This Row],[ÜRÜN KODU]],YMKODLARI!$A$1:$K$363,3,0)," ")</f>
        <v>8</v>
      </c>
      <c r="H334" s="100">
        <f>IFERROR(VLOOKUP(Tablo518[[#This Row],[ÜRÜN KODU]],YMKODLARI!$A$1:$K$363,4,0)," ")</f>
        <v>23</v>
      </c>
      <c r="I334" s="100">
        <v>1360</v>
      </c>
      <c r="J334" s="100" t="str">
        <f>IFERROR(VLOOKUP(Tablo518[[#This Row],[ÜRÜN KODU]],YMKODLARI!$A$1:$K$363,9,0)," ")</f>
        <v>9134A</v>
      </c>
      <c r="K334" s="100" t="str">
        <f>IFERROR(VLOOKUP(Tablo518[[#This Row],[BOYA KODU]],Tablo14[#All],4,0)," ")</f>
        <v>BEYAZ</v>
      </c>
      <c r="L334" s="100">
        <f>IFERROR(VLOOKUP(Tablo518[[#This Row],[BOYA KODU]],Tablo14[#All],6,0)," ")</f>
        <v>7.0000000000000001E-3</v>
      </c>
      <c r="M334" s="100">
        <f t="shared" si="35"/>
        <v>185.64000000000001</v>
      </c>
      <c r="N334" s="100" t="str">
        <f>IFERROR(VLOOKUP(Tablo518[[#This Row],[ÜRÜN KODU]],YMKODLARI!$A$1:$K$363,8,0)," ")</f>
        <v>HM 002</v>
      </c>
      <c r="O334" s="100" t="str">
        <f>IFERROR(VLOOKUP(Tablo518[[#This Row],[HAMMADDE KODU]],Tablo1[#All],3,0)," ")</f>
        <v>NOVAREX</v>
      </c>
      <c r="P334" s="100" t="str">
        <f>IFERROR(VLOOKUP(Tablo518[[#This Row],[HAMMADDE KODU]],Tablo1[#All],4,0)," ")</f>
        <v>PİNHAS</v>
      </c>
      <c r="Q334" s="100">
        <f>IFERROR(VLOOKUP(Tablo518[[#This Row],[ÜRÜN KODU]],YMKODLARI!$A$1:$K$363,5,0)," ")</f>
        <v>19.5</v>
      </c>
      <c r="R334" s="100">
        <f>IFERROR(VLOOKUP(Tablo518[[#This Row],[ÜRÜN KODU]],YMKODLARI!$A$1:$K$363,6,0)," ")</f>
        <v>18.2</v>
      </c>
      <c r="S334" s="100">
        <f>IFERROR(Tablo518[[#This Row],[YOLLUK HARİÇ BASKI GRAMI]]/Tablo518[[#This Row],[KALIP GÖZ ADEDİ]]," ")</f>
        <v>2.2749999999999999</v>
      </c>
      <c r="T334" s="100">
        <f t="shared" si="37"/>
        <v>1.3000000000000007</v>
      </c>
      <c r="U334" s="100"/>
      <c r="V334" s="100">
        <f t="shared" si="36"/>
        <v>24.751999999999999</v>
      </c>
      <c r="W334" s="101">
        <f t="shared" si="38"/>
        <v>24.416666666666668</v>
      </c>
      <c r="X334" s="102">
        <f t="shared" si="39"/>
        <v>10.000000000000028</v>
      </c>
      <c r="Y334" s="100">
        <f t="shared" si="40"/>
        <v>8.6888888888888882</v>
      </c>
      <c r="Z334" s="100">
        <f t="shared" si="41"/>
        <v>10880</v>
      </c>
    </row>
    <row r="335" spans="1:26">
      <c r="A335" s="108" t="s">
        <v>210</v>
      </c>
      <c r="B335" s="108" t="str">
        <f>IFERROR(VLOOKUP(Tablo518[[#This Row],[ÜRÜN KODU]],YMKODLARI!$A$1:$K$363,2,0)," ")</f>
        <v xml:space="preserve"> BİBERON VİDA</v>
      </c>
      <c r="C335" s="99">
        <v>44133</v>
      </c>
      <c r="D335" s="100" t="s">
        <v>33</v>
      </c>
      <c r="E335" s="101">
        <v>0.43402777777777773</v>
      </c>
      <c r="F335" s="101">
        <v>0.70833333333333337</v>
      </c>
      <c r="G335" s="100">
        <f>IFERROR(VLOOKUP(Tablo518[[#This Row],[ÜRÜN KODU]],YMKODLARI!$A$1:$K$363,3,0)," ")</f>
        <v>4</v>
      </c>
      <c r="H335" s="100">
        <f>IFERROR(VLOOKUP(Tablo518[[#This Row],[ÜRÜN KODU]],YMKODLARI!$A$1:$K$363,4,0)," ")</f>
        <v>25</v>
      </c>
      <c r="I335" s="100">
        <v>857</v>
      </c>
      <c r="J335" s="100">
        <f>IFERROR(VLOOKUP(Tablo518[[#This Row],[ÜRÜN KODU]],YMKODLARI!$A$1:$K$363,9,0)," ")</f>
        <v>3409</v>
      </c>
      <c r="K335" s="100" t="str">
        <f>IFERROR(VLOOKUP(Tablo518[[#This Row],[BOYA KODU]],Tablo14[#All],4,0)," ")</f>
        <v>PEMBE</v>
      </c>
      <c r="L335" s="100">
        <f>IFERROR(VLOOKUP(Tablo518[[#This Row],[BOYA KODU]],Tablo14[#All],6,0)," ")</f>
        <v>5.0000000000000001E-3</v>
      </c>
      <c r="M335" s="100">
        <f t="shared" si="35"/>
        <v>118.69449999999999</v>
      </c>
      <c r="N335" s="100" t="str">
        <f>IFERROR(VLOOKUP(Tablo518[[#This Row],[ÜRÜN KODU]],YMKODLARI!$A$1:$K$363,8,0)," ")</f>
        <v>HM 001</v>
      </c>
      <c r="O335" s="100" t="str">
        <f>IFERROR(VLOOKUP(Tablo518[[#This Row],[HAMMADDE KODU]],Tablo1[#All],3,0)," ")</f>
        <v>CAPILENE</v>
      </c>
      <c r="P335" s="100" t="str">
        <f>IFERROR(VLOOKUP(Tablo518[[#This Row],[HAMMADDE KODU]],Tablo1[#All],4,0)," ")</f>
        <v>PİNHAS</v>
      </c>
      <c r="Q335" s="100">
        <f>IFERROR(VLOOKUP(Tablo518[[#This Row],[ÜRÜN KODU]],YMKODLARI!$A$1:$K$363,5,0)," ")</f>
        <v>27.7</v>
      </c>
      <c r="R335" s="100">
        <f>IFERROR(VLOOKUP(Tablo518[[#This Row],[ÜRÜN KODU]],YMKODLARI!$A$1:$K$363,6,0)," ")</f>
        <v>27.7</v>
      </c>
      <c r="S335" s="100">
        <f>IFERROR(Tablo518[[#This Row],[YOLLUK HARİÇ BASKI GRAMI]]/Tablo518[[#This Row],[KALIP GÖZ ADEDİ]]," ")</f>
        <v>6.9249999999999998</v>
      </c>
      <c r="T335" s="100">
        <f t="shared" si="37"/>
        <v>0</v>
      </c>
      <c r="U335" s="100"/>
      <c r="V335" s="100">
        <f t="shared" si="36"/>
        <v>23.738899999999997</v>
      </c>
      <c r="W335" s="101">
        <f t="shared" si="38"/>
        <v>24.274305555555557</v>
      </c>
      <c r="X335" s="102">
        <f t="shared" si="39"/>
        <v>6.5833333333333712</v>
      </c>
      <c r="Y335" s="100">
        <f t="shared" si="40"/>
        <v>5.9513888888888893</v>
      </c>
      <c r="Z335" s="100">
        <f t="shared" si="41"/>
        <v>3428</v>
      </c>
    </row>
    <row r="336" spans="1:26">
      <c r="A336" s="108" t="s">
        <v>210</v>
      </c>
      <c r="B336" s="108" t="str">
        <f>IFERROR(VLOOKUP(Tablo518[[#This Row],[ÜRÜN KODU]],YMKODLARI!$A$1:$K$363,2,0)," ")</f>
        <v xml:space="preserve"> BİBERON VİDA</v>
      </c>
      <c r="C336" s="99">
        <v>44134</v>
      </c>
      <c r="D336" s="100" t="s">
        <v>37</v>
      </c>
      <c r="E336" s="101">
        <v>0.33333333333333331</v>
      </c>
      <c r="F336" s="101">
        <v>0.73611111111111116</v>
      </c>
      <c r="G336" s="100">
        <f>IFERROR(VLOOKUP(Tablo518[[#This Row],[ÜRÜN KODU]],YMKODLARI!$A$1:$K$363,3,0)," ")</f>
        <v>4</v>
      </c>
      <c r="H336" s="100">
        <f>IFERROR(VLOOKUP(Tablo518[[#This Row],[ÜRÜN KODU]],YMKODLARI!$A$1:$K$363,4,0)," ")</f>
        <v>25</v>
      </c>
      <c r="I336" s="100">
        <v>1210</v>
      </c>
      <c r="J336" s="100">
        <f>IFERROR(VLOOKUP(Tablo518[[#This Row],[ÜRÜN KODU]],YMKODLARI!$A$1:$K$363,9,0)," ")</f>
        <v>3409</v>
      </c>
      <c r="K336" s="100" t="str">
        <f>IFERROR(VLOOKUP(Tablo518[[#This Row],[BOYA KODU]],Tablo14[#All],4,0)," ")</f>
        <v>PEMBE</v>
      </c>
      <c r="L336" s="100">
        <f>IFERROR(VLOOKUP(Tablo518[[#This Row],[BOYA KODU]],Tablo14[#All],6,0)," ")</f>
        <v>5.0000000000000001E-3</v>
      </c>
      <c r="M336" s="100">
        <f t="shared" si="35"/>
        <v>167.58500000000001</v>
      </c>
      <c r="N336" s="100" t="str">
        <f>IFERROR(VLOOKUP(Tablo518[[#This Row],[ÜRÜN KODU]],YMKODLARI!$A$1:$K$363,8,0)," ")</f>
        <v>HM 001</v>
      </c>
      <c r="O336" s="100" t="str">
        <f>IFERROR(VLOOKUP(Tablo518[[#This Row],[HAMMADDE KODU]],Tablo1[#All],3,0)," ")</f>
        <v>CAPILENE</v>
      </c>
      <c r="P336" s="100" t="str">
        <f>IFERROR(VLOOKUP(Tablo518[[#This Row],[HAMMADDE KODU]],Tablo1[#All],4,0)," ")</f>
        <v>PİNHAS</v>
      </c>
      <c r="Q336" s="100">
        <f>IFERROR(VLOOKUP(Tablo518[[#This Row],[ÜRÜN KODU]],YMKODLARI!$A$1:$K$363,5,0)," ")</f>
        <v>27.7</v>
      </c>
      <c r="R336" s="100">
        <f>IFERROR(VLOOKUP(Tablo518[[#This Row],[ÜRÜN KODU]],YMKODLARI!$A$1:$K$363,6,0)," ")</f>
        <v>27.7</v>
      </c>
      <c r="S336" s="100">
        <f>IFERROR(Tablo518[[#This Row],[YOLLUK HARİÇ BASKI GRAMI]]/Tablo518[[#This Row],[KALIP GÖZ ADEDİ]]," ")</f>
        <v>6.9249999999999998</v>
      </c>
      <c r="T336" s="100">
        <f t="shared" si="37"/>
        <v>0</v>
      </c>
      <c r="U336" s="100">
        <v>3.3</v>
      </c>
      <c r="V336" s="100">
        <f t="shared" si="36"/>
        <v>36.817</v>
      </c>
      <c r="W336" s="101">
        <f t="shared" si="38"/>
        <v>24.402777777777779</v>
      </c>
      <c r="X336" s="102">
        <f t="shared" si="39"/>
        <v>9.6666666666666856</v>
      </c>
      <c r="Y336" s="100">
        <f t="shared" si="40"/>
        <v>8.4027777777777786</v>
      </c>
      <c r="Z336" s="100">
        <f t="shared" si="41"/>
        <v>4840</v>
      </c>
    </row>
    <row r="337" spans="1:26">
      <c r="A337" s="108" t="s">
        <v>211</v>
      </c>
      <c r="B337" s="108" t="str">
        <f>IFERROR(VLOOKUP(Tablo518[[#This Row],[ÜRÜN KODU]],YMKODLARI!$A$1:$K$363,2,0)," ")</f>
        <v xml:space="preserve"> BİBERON VİDA</v>
      </c>
      <c r="C337" s="99">
        <v>44137</v>
      </c>
      <c r="D337" s="100" t="s">
        <v>37</v>
      </c>
      <c r="E337" s="101">
        <v>0.33333333333333331</v>
      </c>
      <c r="F337" s="101">
        <v>0.75</v>
      </c>
      <c r="G337" s="100">
        <f>IFERROR(VLOOKUP(Tablo518[[#This Row],[ÜRÜN KODU]],YMKODLARI!$A$1:$K$363,3,0)," ")</f>
        <v>4</v>
      </c>
      <c r="H337" s="100">
        <f>IFERROR(VLOOKUP(Tablo518[[#This Row],[ÜRÜN KODU]],YMKODLARI!$A$1:$K$363,4,0)," ")</f>
        <v>25</v>
      </c>
      <c r="I337" s="100">
        <v>1298</v>
      </c>
      <c r="J337" s="100">
        <f>IFERROR(VLOOKUP(Tablo518[[#This Row],[ÜRÜN KODU]],YMKODLARI!$A$1:$K$363,9,0)," ")</f>
        <v>5287</v>
      </c>
      <c r="K337" s="100" t="str">
        <f>IFERROR(VLOOKUP(Tablo518[[#This Row],[BOYA KODU]],Tablo14[#All],4,0)," ")</f>
        <v>MAVİ</v>
      </c>
      <c r="L337" s="100">
        <f>IFERROR(VLOOKUP(Tablo518[[#This Row],[BOYA KODU]],Tablo14[#All],6,0)," ")</f>
        <v>5.0000000000000001E-3</v>
      </c>
      <c r="M337" s="100">
        <f t="shared" si="35"/>
        <v>179.773</v>
      </c>
      <c r="N337" s="100" t="str">
        <f>IFERROR(VLOOKUP(Tablo518[[#This Row],[ÜRÜN KODU]],YMKODLARI!$A$1:$K$363,8,0)," ")</f>
        <v>HM 001</v>
      </c>
      <c r="O337" s="100" t="str">
        <f>IFERROR(VLOOKUP(Tablo518[[#This Row],[HAMMADDE KODU]],Tablo1[#All],3,0)," ")</f>
        <v>CAPILENE</v>
      </c>
      <c r="P337" s="100" t="str">
        <f>IFERROR(VLOOKUP(Tablo518[[#This Row],[HAMMADDE KODU]],Tablo1[#All],4,0)," ")</f>
        <v>PİNHAS</v>
      </c>
      <c r="Q337" s="100">
        <f>IFERROR(VLOOKUP(Tablo518[[#This Row],[ÜRÜN KODU]],YMKODLARI!$A$1:$K$363,5,0)," ")</f>
        <v>27.7</v>
      </c>
      <c r="R337" s="100">
        <f>IFERROR(VLOOKUP(Tablo518[[#This Row],[ÜRÜN KODU]],YMKODLARI!$A$1:$K$363,6,0)," ")</f>
        <v>27.7</v>
      </c>
      <c r="S337" s="100">
        <f>IFERROR(Tablo518[[#This Row],[YOLLUK HARİÇ BASKI GRAMI]]/Tablo518[[#This Row],[KALIP GÖZ ADEDİ]]," ")</f>
        <v>6.9249999999999998</v>
      </c>
      <c r="T337" s="100">
        <f t="shared" si="37"/>
        <v>0</v>
      </c>
      <c r="U337" s="100"/>
      <c r="V337" s="100">
        <f t="shared" si="36"/>
        <v>35.954599999999999</v>
      </c>
      <c r="W337" s="101">
        <f t="shared" si="38"/>
        <v>24.416666666666668</v>
      </c>
      <c r="X337" s="102">
        <f t="shared" si="39"/>
        <v>10.000000000000028</v>
      </c>
      <c r="Y337" s="100">
        <f t="shared" si="40"/>
        <v>9.0138888888888893</v>
      </c>
      <c r="Z337" s="100">
        <f t="shared" si="41"/>
        <v>5192</v>
      </c>
    </row>
    <row r="338" spans="1:26">
      <c r="A338" s="108" t="s">
        <v>211</v>
      </c>
      <c r="B338" s="108" t="str">
        <f>IFERROR(VLOOKUP(Tablo518[[#This Row],[ÜRÜN KODU]],YMKODLARI!$A$1:$K$363,2,0)," ")</f>
        <v xml:space="preserve"> BİBERON VİDA</v>
      </c>
      <c r="C338" s="99">
        <v>44138</v>
      </c>
      <c r="D338" s="100" t="s">
        <v>37</v>
      </c>
      <c r="E338" s="101">
        <v>0.33333333333333331</v>
      </c>
      <c r="F338" s="101">
        <v>0.59027777777777779</v>
      </c>
      <c r="G338" s="100">
        <f>IFERROR(VLOOKUP(Tablo518[[#This Row],[ÜRÜN KODU]],YMKODLARI!$A$1:$K$363,3,0)," ")</f>
        <v>4</v>
      </c>
      <c r="H338" s="100">
        <f>IFERROR(VLOOKUP(Tablo518[[#This Row],[ÜRÜN KODU]],YMKODLARI!$A$1:$K$363,4,0)," ")</f>
        <v>25</v>
      </c>
      <c r="I338" s="100">
        <v>809</v>
      </c>
      <c r="J338" s="100">
        <f>IFERROR(VLOOKUP(Tablo518[[#This Row],[ÜRÜN KODU]],YMKODLARI!$A$1:$K$363,9,0)," ")</f>
        <v>5287</v>
      </c>
      <c r="K338" s="100" t="str">
        <f>IFERROR(VLOOKUP(Tablo518[[#This Row],[BOYA KODU]],Tablo14[#All],4,0)," ")</f>
        <v>MAVİ</v>
      </c>
      <c r="L338" s="100">
        <f>IFERROR(VLOOKUP(Tablo518[[#This Row],[BOYA KODU]],Tablo14[#All],6,0)," ")</f>
        <v>5.0000000000000001E-3</v>
      </c>
      <c r="M338" s="100">
        <f t="shared" si="35"/>
        <v>112.04649999999999</v>
      </c>
      <c r="N338" s="100" t="str">
        <f>IFERROR(VLOOKUP(Tablo518[[#This Row],[ÜRÜN KODU]],YMKODLARI!$A$1:$K$363,8,0)," ")</f>
        <v>HM 001</v>
      </c>
      <c r="O338" s="100" t="str">
        <f>IFERROR(VLOOKUP(Tablo518[[#This Row],[HAMMADDE KODU]],Tablo1[#All],3,0)," ")</f>
        <v>CAPILENE</v>
      </c>
      <c r="P338" s="100" t="str">
        <f>IFERROR(VLOOKUP(Tablo518[[#This Row],[HAMMADDE KODU]],Tablo1[#All],4,0)," ")</f>
        <v>PİNHAS</v>
      </c>
      <c r="Q338" s="100">
        <f>IFERROR(VLOOKUP(Tablo518[[#This Row],[ÜRÜN KODU]],YMKODLARI!$A$1:$K$363,5,0)," ")</f>
        <v>27.7</v>
      </c>
      <c r="R338" s="100">
        <f>IFERROR(VLOOKUP(Tablo518[[#This Row],[ÜRÜN KODU]],YMKODLARI!$A$1:$K$363,6,0)," ")</f>
        <v>27.7</v>
      </c>
      <c r="S338" s="100">
        <f>IFERROR(Tablo518[[#This Row],[YOLLUK HARİÇ BASKI GRAMI]]/Tablo518[[#This Row],[KALIP GÖZ ADEDİ]]," ")</f>
        <v>6.9249999999999998</v>
      </c>
      <c r="T338" s="100">
        <f t="shared" si="37"/>
        <v>0</v>
      </c>
      <c r="U338" s="100">
        <v>4</v>
      </c>
      <c r="V338" s="100">
        <f t="shared" si="36"/>
        <v>26.409299999999998</v>
      </c>
      <c r="W338" s="101">
        <f t="shared" si="38"/>
        <v>24.256944444444443</v>
      </c>
      <c r="X338" s="102">
        <f t="shared" si="39"/>
        <v>6.1666666666666288</v>
      </c>
      <c r="Y338" s="100">
        <f t="shared" si="40"/>
        <v>5.6180555555555554</v>
      </c>
      <c r="Z338" s="100">
        <f t="shared" si="41"/>
        <v>3236</v>
      </c>
    </row>
    <row r="339" spans="1:26">
      <c r="A339" s="108" t="s">
        <v>202</v>
      </c>
      <c r="B339" s="108" t="str">
        <f>IFERROR(VLOOKUP(Tablo518[[#This Row],[ÜRÜN KODU]],YMKODLARI!$A$1:$K$363,2,0)," ")</f>
        <v xml:space="preserve"> BİBERON VİDA</v>
      </c>
      <c r="C339" s="99">
        <v>44138</v>
      </c>
      <c r="D339" s="100" t="s">
        <v>37</v>
      </c>
      <c r="E339" s="101">
        <v>0.59375</v>
      </c>
      <c r="F339" s="101">
        <v>0.75</v>
      </c>
      <c r="G339" s="100">
        <f>IFERROR(VLOOKUP(Tablo518[[#This Row],[ÜRÜN KODU]],YMKODLARI!$A$1:$K$363,3,0)," ")</f>
        <v>4</v>
      </c>
      <c r="H339" s="100">
        <f>IFERROR(VLOOKUP(Tablo518[[#This Row],[ÜRÜN KODU]],YMKODLARI!$A$1:$K$363,4,0)," ")</f>
        <v>25</v>
      </c>
      <c r="I339" s="100">
        <v>360</v>
      </c>
      <c r="J339" s="100" t="str">
        <f>IFERROR(VLOOKUP(Tablo518[[#This Row],[ÜRÜN KODU]],YMKODLARI!$A$1:$K$363,9,0)," ")</f>
        <v>9134A</v>
      </c>
      <c r="K339" s="100" t="str">
        <f>IFERROR(VLOOKUP(Tablo518[[#This Row],[BOYA KODU]],Tablo14[#All],4,0)," ")</f>
        <v>BEYAZ</v>
      </c>
      <c r="L339" s="100">
        <f>IFERROR(VLOOKUP(Tablo518[[#This Row],[BOYA KODU]],Tablo14[#All],6,0)," ")</f>
        <v>7.0000000000000001E-3</v>
      </c>
      <c r="M339" s="100">
        <f t="shared" si="35"/>
        <v>69.804000000000002</v>
      </c>
      <c r="N339" s="100" t="str">
        <f>IFERROR(VLOOKUP(Tablo518[[#This Row],[ÜRÜN KODU]],YMKODLARI!$A$1:$K$363,8,0)," ")</f>
        <v>HM 001</v>
      </c>
      <c r="O339" s="100" t="str">
        <f>IFERROR(VLOOKUP(Tablo518[[#This Row],[HAMMADDE KODU]],Tablo1[#All],3,0)," ")</f>
        <v>CAPILENE</v>
      </c>
      <c r="P339" s="100" t="str">
        <f>IFERROR(VLOOKUP(Tablo518[[#This Row],[HAMMADDE KODU]],Tablo1[#All],4,0)," ")</f>
        <v>PİNHAS</v>
      </c>
      <c r="Q339" s="100">
        <f>IFERROR(VLOOKUP(Tablo518[[#This Row],[ÜRÜN KODU]],YMKODLARI!$A$1:$K$363,5,0)," ")</f>
        <v>27.7</v>
      </c>
      <c r="R339" s="100">
        <f>IFERROR(VLOOKUP(Tablo518[[#This Row],[ÜRÜN KODU]],YMKODLARI!$A$1:$K$363,6,0)," ")</f>
        <v>27.7</v>
      </c>
      <c r="S339" s="100">
        <f>IFERROR(Tablo518[[#This Row],[YOLLUK HARİÇ BASKI GRAMI]]/Tablo518[[#This Row],[KALIP GÖZ ADEDİ]]," ")</f>
        <v>6.9249999999999998</v>
      </c>
      <c r="T339" s="100">
        <f t="shared" si="37"/>
        <v>0</v>
      </c>
      <c r="U339" s="100">
        <v>0.8</v>
      </c>
      <c r="V339" s="100">
        <f t="shared" si="36"/>
        <v>10.772</v>
      </c>
      <c r="W339" s="101">
        <f t="shared" si="38"/>
        <v>24.15625</v>
      </c>
      <c r="X339" s="102">
        <f t="shared" si="39"/>
        <v>3.75</v>
      </c>
      <c r="Y339" s="100">
        <f t="shared" si="40"/>
        <v>2.5</v>
      </c>
      <c r="Z339" s="100">
        <f t="shared" si="41"/>
        <v>1440</v>
      </c>
    </row>
    <row r="340" spans="1:26">
      <c r="A340" s="108" t="s">
        <v>202</v>
      </c>
      <c r="B340" s="108" t="str">
        <f>IFERROR(VLOOKUP(Tablo518[[#This Row],[ÜRÜN KODU]],YMKODLARI!$A$1:$K$363,2,0)," ")</f>
        <v xml:space="preserve"> BİBERON VİDA</v>
      </c>
      <c r="C340" s="99">
        <v>44139</v>
      </c>
      <c r="D340" s="100" t="s">
        <v>37</v>
      </c>
      <c r="E340" s="101">
        <v>0.33333333333333331</v>
      </c>
      <c r="F340" s="101">
        <v>0.34722222222222227</v>
      </c>
      <c r="G340" s="100">
        <f>IFERROR(VLOOKUP(Tablo518[[#This Row],[ÜRÜN KODU]],YMKODLARI!$A$1:$K$363,3,0)," ")</f>
        <v>4</v>
      </c>
      <c r="H340" s="100">
        <f>IFERROR(VLOOKUP(Tablo518[[#This Row],[ÜRÜN KODU]],YMKODLARI!$A$1:$K$363,4,0)," ")</f>
        <v>25</v>
      </c>
      <c r="I340" s="100">
        <v>37</v>
      </c>
      <c r="J340" s="100" t="str">
        <f>IFERROR(VLOOKUP(Tablo518[[#This Row],[ÜRÜN KODU]],YMKODLARI!$A$1:$K$363,9,0)," ")</f>
        <v>9134A</v>
      </c>
      <c r="K340" s="100" t="str">
        <f>IFERROR(VLOOKUP(Tablo518[[#This Row],[BOYA KODU]],Tablo14[#All],4,0)," ")</f>
        <v>BEYAZ</v>
      </c>
      <c r="L340" s="100">
        <f>IFERROR(VLOOKUP(Tablo518[[#This Row],[BOYA KODU]],Tablo14[#All],6,0)," ")</f>
        <v>7.0000000000000001E-3</v>
      </c>
      <c r="M340" s="100">
        <f t="shared" si="35"/>
        <v>7.1742999999999988</v>
      </c>
      <c r="N340" s="100" t="str">
        <f>IFERROR(VLOOKUP(Tablo518[[#This Row],[ÜRÜN KODU]],YMKODLARI!$A$1:$K$363,8,0)," ")</f>
        <v>HM 001</v>
      </c>
      <c r="O340" s="100" t="str">
        <f>IFERROR(VLOOKUP(Tablo518[[#This Row],[HAMMADDE KODU]],Tablo1[#All],3,0)," ")</f>
        <v>CAPILENE</v>
      </c>
      <c r="P340" s="100" t="str">
        <f>IFERROR(VLOOKUP(Tablo518[[#This Row],[HAMMADDE KODU]],Tablo1[#All],4,0)," ")</f>
        <v>PİNHAS</v>
      </c>
      <c r="Q340" s="100">
        <f>IFERROR(VLOOKUP(Tablo518[[#This Row],[ÜRÜN KODU]],YMKODLARI!$A$1:$K$363,5,0)," ")</f>
        <v>27.7</v>
      </c>
      <c r="R340" s="100">
        <f>IFERROR(VLOOKUP(Tablo518[[#This Row],[ÜRÜN KODU]],YMKODLARI!$A$1:$K$363,6,0)," ")</f>
        <v>27.7</v>
      </c>
      <c r="S340" s="100">
        <f>IFERROR(Tablo518[[#This Row],[YOLLUK HARİÇ BASKI GRAMI]]/Tablo518[[#This Row],[KALIP GÖZ ADEDİ]]," ")</f>
        <v>6.9249999999999998</v>
      </c>
      <c r="T340" s="100">
        <f t="shared" si="37"/>
        <v>0</v>
      </c>
      <c r="U340" s="100">
        <v>0.8</v>
      </c>
      <c r="V340" s="100">
        <f t="shared" si="36"/>
        <v>1.8249</v>
      </c>
      <c r="W340" s="101">
        <f t="shared" si="38"/>
        <v>24.013888888888889</v>
      </c>
      <c r="X340" s="102">
        <f t="shared" si="39"/>
        <v>0.33333333333334281</v>
      </c>
      <c r="Y340" s="100">
        <f t="shared" si="40"/>
        <v>0.25694444444444442</v>
      </c>
      <c r="Z340" s="100">
        <f t="shared" si="41"/>
        <v>148</v>
      </c>
    </row>
    <row r="341" spans="1:26">
      <c r="A341" s="108" t="s">
        <v>203</v>
      </c>
      <c r="B341" s="108" t="str">
        <f>IFERROR(VLOOKUP(Tablo518[[#This Row],[ÜRÜN KODU]],YMKODLARI!$A$1:$K$363,2,0)," ")</f>
        <v xml:space="preserve"> BİBERON VİDA</v>
      </c>
      <c r="C341" s="99">
        <v>44139</v>
      </c>
      <c r="D341" s="100" t="s">
        <v>37</v>
      </c>
      <c r="E341" s="101">
        <v>0.35416666666666669</v>
      </c>
      <c r="F341" s="101">
        <v>0.45833333333333331</v>
      </c>
      <c r="G341" s="100">
        <f>IFERROR(VLOOKUP(Tablo518[[#This Row],[ÜRÜN KODU]],YMKODLARI!$A$1:$K$363,3,0)," ")</f>
        <v>4</v>
      </c>
      <c r="H341" s="100">
        <f>IFERROR(VLOOKUP(Tablo518[[#This Row],[ÜRÜN KODU]],YMKODLARI!$A$1:$K$363,4,0)," ")</f>
        <v>25</v>
      </c>
      <c r="I341" s="100">
        <v>310</v>
      </c>
      <c r="J341" s="100">
        <f>IFERROR(VLOOKUP(Tablo518[[#This Row],[ÜRÜN KODU]],YMKODLARI!$A$1:$K$363,9,0)," ")</f>
        <v>1290</v>
      </c>
      <c r="K341" s="100" t="str">
        <f>IFERROR(VLOOKUP(Tablo518[[#This Row],[BOYA KODU]],Tablo14[#All],4,0)," ")</f>
        <v>SARI</v>
      </c>
      <c r="L341" s="100">
        <f>IFERROR(VLOOKUP(Tablo518[[#This Row],[BOYA KODU]],Tablo14[#All],6,0)," ")</f>
        <v>5.0000000000000001E-3</v>
      </c>
      <c r="M341" s="100">
        <f t="shared" si="35"/>
        <v>42.935000000000002</v>
      </c>
      <c r="N341" s="100" t="str">
        <f>IFERROR(VLOOKUP(Tablo518[[#This Row],[ÜRÜN KODU]],YMKODLARI!$A$1:$K$363,8,0)," ")</f>
        <v>HM 001</v>
      </c>
      <c r="O341" s="100" t="str">
        <f>IFERROR(VLOOKUP(Tablo518[[#This Row],[HAMMADDE KODU]],Tablo1[#All],3,0)," ")</f>
        <v>CAPILENE</v>
      </c>
      <c r="P341" s="100" t="str">
        <f>IFERROR(VLOOKUP(Tablo518[[#This Row],[HAMMADDE KODU]],Tablo1[#All],4,0)," ")</f>
        <v>PİNHAS</v>
      </c>
      <c r="Q341" s="100">
        <f>IFERROR(VLOOKUP(Tablo518[[#This Row],[ÜRÜN KODU]],YMKODLARI!$A$1:$K$363,5,0)," ")</f>
        <v>27.7</v>
      </c>
      <c r="R341" s="100">
        <f>IFERROR(VLOOKUP(Tablo518[[#This Row],[ÜRÜN KODU]],YMKODLARI!$A$1:$K$363,6,0)," ")</f>
        <v>27.7</v>
      </c>
      <c r="S341" s="100">
        <f>IFERROR(Tablo518[[#This Row],[YOLLUK HARİÇ BASKI GRAMI]]/Tablo518[[#This Row],[KALIP GÖZ ADEDİ]]," ")</f>
        <v>6.9249999999999998</v>
      </c>
      <c r="T341" s="100">
        <f t="shared" si="37"/>
        <v>0</v>
      </c>
      <c r="U341" s="100">
        <v>1.5</v>
      </c>
      <c r="V341" s="100">
        <f t="shared" si="36"/>
        <v>10.087</v>
      </c>
      <c r="W341" s="101">
        <f t="shared" si="38"/>
        <v>24.104166666666668</v>
      </c>
      <c r="X341" s="102">
        <f t="shared" si="39"/>
        <v>2.5000000000000284</v>
      </c>
      <c r="Y341" s="100">
        <f t="shared" si="40"/>
        <v>2.1527777777777777</v>
      </c>
      <c r="Z341" s="100">
        <f t="shared" si="41"/>
        <v>1240</v>
      </c>
    </row>
    <row r="342" spans="1:26">
      <c r="A342" s="108" t="s">
        <v>204</v>
      </c>
      <c r="B342" s="108" t="str">
        <f>IFERROR(VLOOKUP(Tablo518[[#This Row],[ÜRÜN KODU]],YMKODLARI!$A$1:$K$363,2,0)," ")</f>
        <v xml:space="preserve"> BİBERON VİDA</v>
      </c>
      <c r="C342" s="99">
        <v>44139</v>
      </c>
      <c r="D342" s="100" t="s">
        <v>37</v>
      </c>
      <c r="E342" s="101">
        <v>0.46527777777777773</v>
      </c>
      <c r="F342" s="101">
        <v>0.64583333333333337</v>
      </c>
      <c r="G342" s="100">
        <f>IFERROR(VLOOKUP(Tablo518[[#This Row],[ÜRÜN KODU]],YMKODLARI!$A$1:$K$363,3,0)," ")</f>
        <v>4</v>
      </c>
      <c r="H342" s="100">
        <f>IFERROR(VLOOKUP(Tablo518[[#This Row],[ÜRÜN KODU]],YMKODLARI!$A$1:$K$363,4,0)," ")</f>
        <v>25</v>
      </c>
      <c r="I342" s="100">
        <v>610</v>
      </c>
      <c r="J342" s="100">
        <f>IFERROR(VLOOKUP(Tablo518[[#This Row],[ÜRÜN KODU]],YMKODLARI!$A$1:$K$363,9,0)," ")</f>
        <v>4090</v>
      </c>
      <c r="K342" s="100" t="str">
        <f>IFERROR(VLOOKUP(Tablo518[[#This Row],[BOYA KODU]],Tablo14[#All],4,0)," ")</f>
        <v>LİLA</v>
      </c>
      <c r="L342" s="100">
        <f>IFERROR(VLOOKUP(Tablo518[[#This Row],[BOYA KODU]],Tablo14[#All],6,0)," ")</f>
        <v>5.0000000000000001E-3</v>
      </c>
      <c r="M342" s="100">
        <f t="shared" si="35"/>
        <v>84.484999999999999</v>
      </c>
      <c r="N342" s="100" t="str">
        <f>IFERROR(VLOOKUP(Tablo518[[#This Row],[ÜRÜN KODU]],YMKODLARI!$A$1:$K$363,8,0)," ")</f>
        <v>HM 001</v>
      </c>
      <c r="O342" s="100" t="str">
        <f>IFERROR(VLOOKUP(Tablo518[[#This Row],[HAMMADDE KODU]],Tablo1[#All],3,0)," ")</f>
        <v>CAPILENE</v>
      </c>
      <c r="P342" s="100" t="str">
        <f>IFERROR(VLOOKUP(Tablo518[[#This Row],[HAMMADDE KODU]],Tablo1[#All],4,0)," ")</f>
        <v>PİNHAS</v>
      </c>
      <c r="Q342" s="100">
        <f>IFERROR(VLOOKUP(Tablo518[[#This Row],[ÜRÜN KODU]],YMKODLARI!$A$1:$K$363,5,0)," ")</f>
        <v>27.7</v>
      </c>
      <c r="R342" s="100">
        <f>IFERROR(VLOOKUP(Tablo518[[#This Row],[ÜRÜN KODU]],YMKODLARI!$A$1:$K$363,6,0)," ")</f>
        <v>27.7</v>
      </c>
      <c r="S342" s="100">
        <f>IFERROR(Tablo518[[#This Row],[YOLLUK HARİÇ BASKI GRAMI]]/Tablo518[[#This Row],[KALIP GÖZ ADEDİ]]," ")</f>
        <v>6.9249999999999998</v>
      </c>
      <c r="T342" s="100">
        <f t="shared" si="37"/>
        <v>0</v>
      </c>
      <c r="U342" s="100">
        <v>3</v>
      </c>
      <c r="V342" s="100">
        <f t="shared" si="36"/>
        <v>19.896999999999998</v>
      </c>
      <c r="W342" s="101">
        <f t="shared" si="38"/>
        <v>24.180555555555557</v>
      </c>
      <c r="X342" s="102">
        <f t="shared" si="39"/>
        <v>4.3333333333333712</v>
      </c>
      <c r="Y342" s="100">
        <f t="shared" si="40"/>
        <v>4.2361111111111107</v>
      </c>
      <c r="Z342" s="100">
        <f t="shared" si="41"/>
        <v>2440</v>
      </c>
    </row>
    <row r="343" spans="1:26">
      <c r="A343" s="108" t="s">
        <v>212</v>
      </c>
      <c r="B343" s="108" t="str">
        <f>IFERROR(VLOOKUP(Tablo518[[#This Row],[ÜRÜN KODU]],YMKODLARI!$A$1:$K$363,2,0)," ")</f>
        <v xml:space="preserve"> BİBERON VİDA</v>
      </c>
      <c r="C343" s="99">
        <v>44139</v>
      </c>
      <c r="D343" s="100" t="s">
        <v>37</v>
      </c>
      <c r="E343" s="101">
        <v>0.64930555555555558</v>
      </c>
      <c r="F343" s="101">
        <v>0.75</v>
      </c>
      <c r="G343" s="100">
        <f>IFERROR(VLOOKUP(Tablo518[[#This Row],[ÜRÜN KODU]],YMKODLARI!$A$1:$K$363,3,0)," ")</f>
        <v>4</v>
      </c>
      <c r="H343" s="100">
        <f>IFERROR(VLOOKUP(Tablo518[[#This Row],[ÜRÜN KODU]],YMKODLARI!$A$1:$K$363,4,0)," ")</f>
        <v>25</v>
      </c>
      <c r="I343" s="100">
        <v>307</v>
      </c>
      <c r="J343" s="100">
        <f>IFERROR(VLOOKUP(Tablo518[[#This Row],[ÜRÜN KODU]],YMKODLARI!$A$1:$K$363,9,0)," ")</f>
        <v>3041</v>
      </c>
      <c r="K343" s="100" t="str">
        <f>IFERROR(VLOOKUP(Tablo518[[#This Row],[BOYA KODU]],Tablo14[#All],4,0)," ")</f>
        <v>KIRMIZI</v>
      </c>
      <c r="L343" s="100">
        <f>IFERROR(VLOOKUP(Tablo518[[#This Row],[BOYA KODU]],Tablo14[#All],6,0)," ")</f>
        <v>5.0000000000000001E-3</v>
      </c>
      <c r="M343" s="100">
        <f t="shared" si="35"/>
        <v>42.519500000000001</v>
      </c>
      <c r="N343" s="100" t="str">
        <f>IFERROR(VLOOKUP(Tablo518[[#This Row],[ÜRÜN KODU]],YMKODLARI!$A$1:$K$363,8,0)," ")</f>
        <v>HM 001</v>
      </c>
      <c r="O343" s="100" t="str">
        <f>IFERROR(VLOOKUP(Tablo518[[#This Row],[HAMMADDE KODU]],Tablo1[#All],3,0)," ")</f>
        <v>CAPILENE</v>
      </c>
      <c r="P343" s="100" t="str">
        <f>IFERROR(VLOOKUP(Tablo518[[#This Row],[HAMMADDE KODU]],Tablo1[#All],4,0)," ")</f>
        <v>PİNHAS</v>
      </c>
      <c r="Q343" s="100">
        <f>IFERROR(VLOOKUP(Tablo518[[#This Row],[ÜRÜN KODU]],YMKODLARI!$A$1:$K$363,5,0)," ")</f>
        <v>27.7</v>
      </c>
      <c r="R343" s="100">
        <f>IFERROR(VLOOKUP(Tablo518[[#This Row],[ÜRÜN KODU]],YMKODLARI!$A$1:$K$363,6,0)," ")</f>
        <v>27.7</v>
      </c>
      <c r="S343" s="100">
        <f>IFERROR(Tablo518[[#This Row],[YOLLUK HARİÇ BASKI GRAMI]]/Tablo518[[#This Row],[KALIP GÖZ ADEDİ]]," ")</f>
        <v>6.9249999999999998</v>
      </c>
      <c r="T343" s="100">
        <f t="shared" si="37"/>
        <v>0</v>
      </c>
      <c r="U343" s="100"/>
      <c r="V343" s="100">
        <f t="shared" si="36"/>
        <v>8.5038999999999998</v>
      </c>
      <c r="W343" s="101">
        <f t="shared" si="38"/>
        <v>24.100694444444443</v>
      </c>
      <c r="X343" s="102">
        <f t="shared" si="39"/>
        <v>2.4166666666666288</v>
      </c>
      <c r="Y343" s="100">
        <f t="shared" si="40"/>
        <v>2.1319444444444446</v>
      </c>
      <c r="Z343" s="100">
        <f t="shared" si="41"/>
        <v>1228</v>
      </c>
    </row>
    <row r="344" spans="1:26">
      <c r="A344" s="108" t="s">
        <v>212</v>
      </c>
      <c r="B344" s="108" t="str">
        <f>IFERROR(VLOOKUP(Tablo518[[#This Row],[ÜRÜN KODU]],YMKODLARI!$A$1:$K$363,2,0)," ")</f>
        <v xml:space="preserve"> BİBERON VİDA</v>
      </c>
      <c r="C344" s="99">
        <v>44140</v>
      </c>
      <c r="D344" s="100" t="s">
        <v>37</v>
      </c>
      <c r="E344" s="101">
        <v>0.33333333333333331</v>
      </c>
      <c r="F344" s="101">
        <v>0.39930555555555558</v>
      </c>
      <c r="G344" s="100">
        <f>IFERROR(VLOOKUP(Tablo518[[#This Row],[ÜRÜN KODU]],YMKODLARI!$A$1:$K$363,3,0)," ")</f>
        <v>4</v>
      </c>
      <c r="H344" s="100">
        <f>IFERROR(VLOOKUP(Tablo518[[#This Row],[ÜRÜN KODU]],YMKODLARI!$A$1:$K$363,4,0)," ")</f>
        <v>25</v>
      </c>
      <c r="I344" s="100">
        <v>354</v>
      </c>
      <c r="J344" s="100">
        <f>IFERROR(VLOOKUP(Tablo518[[#This Row],[ÜRÜN KODU]],YMKODLARI!$A$1:$K$363,9,0)," ")</f>
        <v>3041</v>
      </c>
      <c r="K344" s="100" t="str">
        <f>IFERROR(VLOOKUP(Tablo518[[#This Row],[BOYA KODU]],Tablo14[#All],4,0)," ")</f>
        <v>KIRMIZI</v>
      </c>
      <c r="L344" s="100">
        <f>IFERROR(VLOOKUP(Tablo518[[#This Row],[BOYA KODU]],Tablo14[#All],6,0)," ")</f>
        <v>5.0000000000000001E-3</v>
      </c>
      <c r="M344" s="100">
        <f t="shared" si="35"/>
        <v>49.028999999999996</v>
      </c>
      <c r="N344" s="100" t="str">
        <f>IFERROR(VLOOKUP(Tablo518[[#This Row],[ÜRÜN KODU]],YMKODLARI!$A$1:$K$363,8,0)," ")</f>
        <v>HM 001</v>
      </c>
      <c r="O344" s="100" t="str">
        <f>IFERROR(VLOOKUP(Tablo518[[#This Row],[HAMMADDE KODU]],Tablo1[#All],3,0)," ")</f>
        <v>CAPILENE</v>
      </c>
      <c r="P344" s="100" t="str">
        <f>IFERROR(VLOOKUP(Tablo518[[#This Row],[HAMMADDE KODU]],Tablo1[#All],4,0)," ")</f>
        <v>PİNHAS</v>
      </c>
      <c r="Q344" s="100">
        <f>IFERROR(VLOOKUP(Tablo518[[#This Row],[ÜRÜN KODU]],YMKODLARI!$A$1:$K$363,5,0)," ")</f>
        <v>27.7</v>
      </c>
      <c r="R344" s="100">
        <f>IFERROR(VLOOKUP(Tablo518[[#This Row],[ÜRÜN KODU]],YMKODLARI!$A$1:$K$363,6,0)," ")</f>
        <v>27.7</v>
      </c>
      <c r="S344" s="100">
        <f>IFERROR(Tablo518[[#This Row],[YOLLUK HARİÇ BASKI GRAMI]]/Tablo518[[#This Row],[KALIP GÖZ ADEDİ]]," ")</f>
        <v>6.9249999999999998</v>
      </c>
      <c r="T344" s="100">
        <f t="shared" si="37"/>
        <v>0</v>
      </c>
      <c r="U344" s="100">
        <v>1.7</v>
      </c>
      <c r="V344" s="100">
        <f t="shared" si="36"/>
        <v>11.505799999999999</v>
      </c>
      <c r="W344" s="101">
        <f t="shared" si="38"/>
        <v>24.065972222222221</v>
      </c>
      <c r="X344" s="102">
        <f t="shared" si="39"/>
        <v>1.5833333333333144</v>
      </c>
      <c r="Y344" s="100">
        <f t="shared" si="40"/>
        <v>2.4583333333333335</v>
      </c>
      <c r="Z344" s="100">
        <f t="shared" si="41"/>
        <v>1416</v>
      </c>
    </row>
    <row r="345" spans="1:26">
      <c r="A345" s="108" t="s">
        <v>219</v>
      </c>
      <c r="B345" s="108" t="str">
        <f>IFERROR(VLOOKUP(Tablo518[[#This Row],[ÜRÜN KODU]],YMKODLARI!$A$1:$K$363,2,0)," ")</f>
        <v>GENİŞ AĞIZ BİBERON KULP</v>
      </c>
      <c r="C345" s="99">
        <v>44140</v>
      </c>
      <c r="D345" s="100" t="s">
        <v>33</v>
      </c>
      <c r="E345" s="101">
        <v>0.59375</v>
      </c>
      <c r="F345" s="101">
        <v>0.75</v>
      </c>
      <c r="G345" s="100">
        <f>IFERROR(VLOOKUP(Tablo518[[#This Row],[ÜRÜN KODU]],YMKODLARI!$A$1:$K$363,3,0)," ")</f>
        <v>2</v>
      </c>
      <c r="H345" s="100">
        <f>IFERROR(VLOOKUP(Tablo518[[#This Row],[ÜRÜN KODU]],YMKODLARI!$A$1:$K$363,4,0)," ")</f>
        <v>23</v>
      </c>
      <c r="I345" s="100">
        <v>540</v>
      </c>
      <c r="J345" s="100">
        <f>IFERROR(VLOOKUP(Tablo518[[#This Row],[ÜRÜN KODU]],YMKODLARI!$A$1:$K$363,9,0)," ")</f>
        <v>3409</v>
      </c>
      <c r="K345" s="100" t="str">
        <f>IFERROR(VLOOKUP(Tablo518[[#This Row],[BOYA KODU]],Tablo14[#All],4,0)," ")</f>
        <v>PEMBE</v>
      </c>
      <c r="L345" s="100">
        <f>IFERROR(VLOOKUP(Tablo518[[#This Row],[BOYA KODU]],Tablo14[#All],6,0)," ")</f>
        <v>5.0000000000000001E-3</v>
      </c>
      <c r="M345" s="100">
        <f t="shared" si="35"/>
        <v>45.36</v>
      </c>
      <c r="N345" s="100" t="str">
        <f>IFERROR(VLOOKUP(Tablo518[[#This Row],[ÜRÜN KODU]],YMKODLARI!$A$1:$K$363,8,0)," ")</f>
        <v>HM 001</v>
      </c>
      <c r="O345" s="100" t="str">
        <f>IFERROR(VLOOKUP(Tablo518[[#This Row],[HAMMADDE KODU]],Tablo1[#All],3,0)," ")</f>
        <v>CAPILENE</v>
      </c>
      <c r="P345" s="100" t="str">
        <f>IFERROR(VLOOKUP(Tablo518[[#This Row],[HAMMADDE KODU]],Tablo1[#All],4,0)," ")</f>
        <v>PİNHAS</v>
      </c>
      <c r="Q345" s="100">
        <f>IFERROR(VLOOKUP(Tablo518[[#This Row],[ÜRÜN KODU]],YMKODLARI!$A$1:$K$363,5,0)," ")</f>
        <v>16.8</v>
      </c>
      <c r="R345" s="100">
        <f>IFERROR(VLOOKUP(Tablo518[[#This Row],[ÜRÜN KODU]],YMKODLARI!$A$1:$K$363,6,0)," ")</f>
        <v>16</v>
      </c>
      <c r="S345" s="100">
        <f>IFERROR(Tablo518[[#This Row],[YOLLUK HARİÇ BASKI GRAMI]]/Tablo518[[#This Row],[KALIP GÖZ ADEDİ]]," ")</f>
        <v>8</v>
      </c>
      <c r="T345" s="100">
        <f t="shared" si="37"/>
        <v>0.80000000000000071</v>
      </c>
      <c r="U345" s="100"/>
      <c r="V345" s="100">
        <f t="shared" si="36"/>
        <v>8.64</v>
      </c>
      <c r="W345" s="101">
        <f t="shared" si="38"/>
        <v>24.15625</v>
      </c>
      <c r="X345" s="102">
        <f t="shared" si="39"/>
        <v>3.75</v>
      </c>
      <c r="Y345" s="100">
        <f t="shared" si="40"/>
        <v>3.45</v>
      </c>
      <c r="Z345" s="100">
        <f t="shared" si="41"/>
        <v>1080</v>
      </c>
    </row>
    <row r="346" spans="1:26">
      <c r="A346" s="108" t="s">
        <v>219</v>
      </c>
      <c r="B346" s="108" t="str">
        <f>IFERROR(VLOOKUP(Tablo518[[#This Row],[ÜRÜN KODU]],YMKODLARI!$A$1:$K$363,2,0)," ")</f>
        <v>GENİŞ AĞIZ BİBERON KULP</v>
      </c>
      <c r="C346" s="99">
        <v>44141</v>
      </c>
      <c r="D346" s="100" t="s">
        <v>33</v>
      </c>
      <c r="E346" s="101">
        <v>0.33333333333333331</v>
      </c>
      <c r="F346" s="101">
        <v>0.73611111111111116</v>
      </c>
      <c r="G346" s="100">
        <f>IFERROR(VLOOKUP(Tablo518[[#This Row],[ÜRÜN KODU]],YMKODLARI!$A$1:$K$363,3,0)," ")</f>
        <v>2</v>
      </c>
      <c r="H346" s="100">
        <f>IFERROR(VLOOKUP(Tablo518[[#This Row],[ÜRÜN KODU]],YMKODLARI!$A$1:$K$363,4,0)," ")</f>
        <v>23</v>
      </c>
      <c r="I346" s="100">
        <v>1253</v>
      </c>
      <c r="J346" s="100">
        <f>IFERROR(VLOOKUP(Tablo518[[#This Row],[ÜRÜN KODU]],YMKODLARI!$A$1:$K$363,9,0)," ")</f>
        <v>3409</v>
      </c>
      <c r="K346" s="100" t="str">
        <f>IFERROR(VLOOKUP(Tablo518[[#This Row],[BOYA KODU]],Tablo14[#All],4,0)," ")</f>
        <v>PEMBE</v>
      </c>
      <c r="L346" s="100">
        <f>IFERROR(VLOOKUP(Tablo518[[#This Row],[BOYA KODU]],Tablo14[#All],6,0)," ")</f>
        <v>5.0000000000000001E-3</v>
      </c>
      <c r="M346" s="100">
        <f t="shared" si="35"/>
        <v>105.25200000000001</v>
      </c>
      <c r="N346" s="100" t="str">
        <f>IFERROR(VLOOKUP(Tablo518[[#This Row],[ÜRÜN KODU]],YMKODLARI!$A$1:$K$363,8,0)," ")</f>
        <v>HM 001</v>
      </c>
      <c r="O346" s="100" t="str">
        <f>IFERROR(VLOOKUP(Tablo518[[#This Row],[HAMMADDE KODU]],Tablo1[#All],3,0)," ")</f>
        <v>CAPILENE</v>
      </c>
      <c r="P346" s="100" t="str">
        <f>IFERROR(VLOOKUP(Tablo518[[#This Row],[HAMMADDE KODU]],Tablo1[#All],4,0)," ")</f>
        <v>PİNHAS</v>
      </c>
      <c r="Q346" s="100">
        <f>IFERROR(VLOOKUP(Tablo518[[#This Row],[ÜRÜN KODU]],YMKODLARI!$A$1:$K$363,5,0)," ")</f>
        <v>16.8</v>
      </c>
      <c r="R346" s="100">
        <f>IFERROR(VLOOKUP(Tablo518[[#This Row],[ÜRÜN KODU]],YMKODLARI!$A$1:$K$363,6,0)," ")</f>
        <v>16</v>
      </c>
      <c r="S346" s="100">
        <f>IFERROR(Tablo518[[#This Row],[YOLLUK HARİÇ BASKI GRAMI]]/Tablo518[[#This Row],[KALIP GÖZ ADEDİ]]," ")</f>
        <v>8</v>
      </c>
      <c r="T346" s="100">
        <f t="shared" si="37"/>
        <v>0.80000000000000071</v>
      </c>
      <c r="U346" s="100"/>
      <c r="V346" s="100">
        <f t="shared" si="36"/>
        <v>20.047999999999998</v>
      </c>
      <c r="W346" s="101">
        <f t="shared" si="38"/>
        <v>24.402777777777779</v>
      </c>
      <c r="X346" s="102">
        <f t="shared" si="39"/>
        <v>9.6666666666666856</v>
      </c>
      <c r="Y346" s="100">
        <f t="shared" si="40"/>
        <v>8.0052777777777777</v>
      </c>
      <c r="Z346" s="100">
        <f t="shared" si="41"/>
        <v>2506</v>
      </c>
    </row>
    <row r="347" spans="1:26">
      <c r="A347" s="108" t="s">
        <v>219</v>
      </c>
      <c r="B347" s="108" t="str">
        <f>IFERROR(VLOOKUP(Tablo518[[#This Row],[ÜRÜN KODU]],YMKODLARI!$A$1:$K$363,2,0)," ")</f>
        <v>GENİŞ AĞIZ BİBERON KULP</v>
      </c>
      <c r="C347" s="99">
        <v>44144</v>
      </c>
      <c r="D347" s="100" t="s">
        <v>36</v>
      </c>
      <c r="E347" s="101">
        <v>0.33333333333333331</v>
      </c>
      <c r="F347" s="101">
        <v>0.75</v>
      </c>
      <c r="G347" s="100">
        <f>IFERROR(VLOOKUP(Tablo518[[#This Row],[ÜRÜN KODU]],YMKODLARI!$A$1:$K$363,3,0)," ")</f>
        <v>2</v>
      </c>
      <c r="H347" s="100">
        <f>IFERROR(VLOOKUP(Tablo518[[#This Row],[ÜRÜN KODU]],YMKODLARI!$A$1:$K$363,4,0)," ")</f>
        <v>23</v>
      </c>
      <c r="I347" s="100">
        <v>868</v>
      </c>
      <c r="J347" s="100">
        <f>IFERROR(VLOOKUP(Tablo518[[#This Row],[ÜRÜN KODU]],YMKODLARI!$A$1:$K$363,9,0)," ")</f>
        <v>3409</v>
      </c>
      <c r="K347" s="100" t="str">
        <f>IFERROR(VLOOKUP(Tablo518[[#This Row],[BOYA KODU]],Tablo14[#All],4,0)," ")</f>
        <v>PEMBE</v>
      </c>
      <c r="L347" s="100">
        <f>IFERROR(VLOOKUP(Tablo518[[#This Row],[BOYA KODU]],Tablo14[#All],6,0)," ")</f>
        <v>5.0000000000000001E-3</v>
      </c>
      <c r="M347" s="100">
        <f t="shared" si="35"/>
        <v>72.912000000000006</v>
      </c>
      <c r="N347" s="100" t="str">
        <f>IFERROR(VLOOKUP(Tablo518[[#This Row],[ÜRÜN KODU]],YMKODLARI!$A$1:$K$363,8,0)," ")</f>
        <v>HM 001</v>
      </c>
      <c r="O347" s="100" t="str">
        <f>IFERROR(VLOOKUP(Tablo518[[#This Row],[HAMMADDE KODU]],Tablo1[#All],3,0)," ")</f>
        <v>CAPILENE</v>
      </c>
      <c r="P347" s="100" t="str">
        <f>IFERROR(VLOOKUP(Tablo518[[#This Row],[HAMMADDE KODU]],Tablo1[#All],4,0)," ")</f>
        <v>PİNHAS</v>
      </c>
      <c r="Q347" s="100">
        <f>IFERROR(VLOOKUP(Tablo518[[#This Row],[ÜRÜN KODU]],YMKODLARI!$A$1:$K$363,5,0)," ")</f>
        <v>16.8</v>
      </c>
      <c r="R347" s="100">
        <f>IFERROR(VLOOKUP(Tablo518[[#This Row],[ÜRÜN KODU]],YMKODLARI!$A$1:$K$363,6,0)," ")</f>
        <v>16</v>
      </c>
      <c r="S347" s="100">
        <f>IFERROR(Tablo518[[#This Row],[YOLLUK HARİÇ BASKI GRAMI]]/Tablo518[[#This Row],[KALIP GÖZ ADEDİ]]," ")</f>
        <v>8</v>
      </c>
      <c r="T347" s="100">
        <f t="shared" si="37"/>
        <v>0.80000000000000071</v>
      </c>
      <c r="U347" s="100">
        <v>4.5999999999999996</v>
      </c>
      <c r="V347" s="100">
        <f t="shared" si="36"/>
        <v>18.488</v>
      </c>
      <c r="W347" s="101">
        <f t="shared" si="38"/>
        <v>24.416666666666668</v>
      </c>
      <c r="X347" s="102">
        <f t="shared" si="39"/>
        <v>10.000000000000028</v>
      </c>
      <c r="Y347" s="100">
        <f t="shared" si="40"/>
        <v>5.5455555555555556</v>
      </c>
      <c r="Z347" s="100">
        <f t="shared" si="41"/>
        <v>1736</v>
      </c>
    </row>
    <row r="348" spans="1:26">
      <c r="A348" s="108" t="s">
        <v>219</v>
      </c>
      <c r="B348" s="108" t="str">
        <f>IFERROR(VLOOKUP(Tablo518[[#This Row],[ÜRÜN KODU]],YMKODLARI!$A$1:$K$363,2,0)," ")</f>
        <v>GENİŞ AĞIZ BİBERON KULP</v>
      </c>
      <c r="C348" s="99">
        <v>44145</v>
      </c>
      <c r="D348" s="100" t="s">
        <v>47</v>
      </c>
      <c r="E348" s="101">
        <v>0.33333333333333331</v>
      </c>
      <c r="F348" s="101">
        <v>0.39930555555555558</v>
      </c>
      <c r="G348" s="100">
        <f>IFERROR(VLOOKUP(Tablo518[[#This Row],[ÜRÜN KODU]],YMKODLARI!$A$1:$K$363,3,0)," ")</f>
        <v>2</v>
      </c>
      <c r="H348" s="100">
        <f>IFERROR(VLOOKUP(Tablo518[[#This Row],[ÜRÜN KODU]],YMKODLARI!$A$1:$K$363,4,0)," ")</f>
        <v>23</v>
      </c>
      <c r="I348" s="100">
        <v>290</v>
      </c>
      <c r="J348" s="100">
        <f>IFERROR(VLOOKUP(Tablo518[[#This Row],[ÜRÜN KODU]],YMKODLARI!$A$1:$K$363,9,0)," ")</f>
        <v>3409</v>
      </c>
      <c r="K348" s="100" t="str">
        <f>IFERROR(VLOOKUP(Tablo518[[#This Row],[BOYA KODU]],Tablo14[#All],4,0)," ")</f>
        <v>PEMBE</v>
      </c>
      <c r="L348" s="100">
        <f>IFERROR(VLOOKUP(Tablo518[[#This Row],[BOYA KODU]],Tablo14[#All],6,0)," ")</f>
        <v>5.0000000000000001E-3</v>
      </c>
      <c r="M348" s="100">
        <f t="shared" si="35"/>
        <v>24.36</v>
      </c>
      <c r="N348" s="100" t="str">
        <f>IFERROR(VLOOKUP(Tablo518[[#This Row],[ÜRÜN KODU]],YMKODLARI!$A$1:$K$363,8,0)," ")</f>
        <v>HM 001</v>
      </c>
      <c r="O348" s="100" t="str">
        <f>IFERROR(VLOOKUP(Tablo518[[#This Row],[HAMMADDE KODU]],Tablo1[#All],3,0)," ")</f>
        <v>CAPILENE</v>
      </c>
      <c r="P348" s="100" t="str">
        <f>IFERROR(VLOOKUP(Tablo518[[#This Row],[HAMMADDE KODU]],Tablo1[#All],4,0)," ")</f>
        <v>PİNHAS</v>
      </c>
      <c r="Q348" s="100">
        <f>IFERROR(VLOOKUP(Tablo518[[#This Row],[ÜRÜN KODU]],YMKODLARI!$A$1:$K$363,5,0)," ")</f>
        <v>16.8</v>
      </c>
      <c r="R348" s="100">
        <f>IFERROR(VLOOKUP(Tablo518[[#This Row],[ÜRÜN KODU]],YMKODLARI!$A$1:$K$363,6,0)," ")</f>
        <v>16</v>
      </c>
      <c r="S348" s="100">
        <f>IFERROR(Tablo518[[#This Row],[YOLLUK HARİÇ BASKI GRAMI]]/Tablo518[[#This Row],[KALIP GÖZ ADEDİ]]," ")</f>
        <v>8</v>
      </c>
      <c r="T348" s="100">
        <f t="shared" si="37"/>
        <v>0.80000000000000071</v>
      </c>
      <c r="U348" s="100"/>
      <c r="V348" s="100">
        <f t="shared" si="36"/>
        <v>4.6399999999999997</v>
      </c>
      <c r="W348" s="101">
        <f t="shared" si="38"/>
        <v>24.065972222222221</v>
      </c>
      <c r="X348" s="102">
        <f t="shared" si="39"/>
        <v>1.5833333333333144</v>
      </c>
      <c r="Y348" s="100">
        <f t="shared" si="40"/>
        <v>1.8527777777777779</v>
      </c>
      <c r="Z348" s="100">
        <f t="shared" si="41"/>
        <v>580</v>
      </c>
    </row>
    <row r="349" spans="1:26">
      <c r="A349" s="108" t="s">
        <v>242</v>
      </c>
      <c r="B349" s="108" t="str">
        <f>IFERROR(VLOOKUP(Tablo518[[#This Row],[ÜRÜN KODU]],YMKODLARI!$A$1:$K$363,2,0)," ")</f>
        <v>GENİŞ AĞIZ BİBERON KULP</v>
      </c>
      <c r="C349" s="99">
        <v>44145</v>
      </c>
      <c r="D349" s="100" t="s">
        <v>47</v>
      </c>
      <c r="E349" s="101">
        <v>0.43055555555555558</v>
      </c>
      <c r="F349" s="101">
        <v>0.75</v>
      </c>
      <c r="G349" s="100">
        <f>IFERROR(VLOOKUP(Tablo518[[#This Row],[ÜRÜN KODU]],YMKODLARI!$A$1:$K$363,3,0)," ")</f>
        <v>2</v>
      </c>
      <c r="H349" s="100">
        <f>IFERROR(VLOOKUP(Tablo518[[#This Row],[ÜRÜN KODU]],YMKODLARI!$A$1:$K$363,4,0)," ")</f>
        <v>23</v>
      </c>
      <c r="I349" s="100">
        <v>970</v>
      </c>
      <c r="J349" s="100">
        <f>IFERROR(VLOOKUP(Tablo518[[#This Row],[ÜRÜN KODU]],YMKODLARI!$A$1:$K$363,9,0)," ")</f>
        <v>5287</v>
      </c>
      <c r="K349" s="100" t="str">
        <f>IFERROR(VLOOKUP(Tablo518[[#This Row],[BOYA KODU]],Tablo14[#All],4,0)," ")</f>
        <v>MAVİ</v>
      </c>
      <c r="L349" s="100">
        <f>IFERROR(VLOOKUP(Tablo518[[#This Row],[BOYA KODU]],Tablo14[#All],6,0)," ")</f>
        <v>5.0000000000000001E-3</v>
      </c>
      <c r="M349" s="100">
        <f t="shared" si="35"/>
        <v>81.48</v>
      </c>
      <c r="N349" s="100" t="str">
        <f>IFERROR(VLOOKUP(Tablo518[[#This Row],[ÜRÜN KODU]],YMKODLARI!$A$1:$K$363,8,0)," ")</f>
        <v>HM 001</v>
      </c>
      <c r="O349" s="100" t="str">
        <f>IFERROR(VLOOKUP(Tablo518[[#This Row],[HAMMADDE KODU]],Tablo1[#All],3,0)," ")</f>
        <v>CAPILENE</v>
      </c>
      <c r="P349" s="100" t="str">
        <f>IFERROR(VLOOKUP(Tablo518[[#This Row],[HAMMADDE KODU]],Tablo1[#All],4,0)," ")</f>
        <v>PİNHAS</v>
      </c>
      <c r="Q349" s="100">
        <f>IFERROR(VLOOKUP(Tablo518[[#This Row],[ÜRÜN KODU]],YMKODLARI!$A$1:$K$363,5,0)," ")</f>
        <v>16.8</v>
      </c>
      <c r="R349" s="100">
        <f>IFERROR(VLOOKUP(Tablo518[[#This Row],[ÜRÜN KODU]],YMKODLARI!$A$1:$K$363,6,0)," ")</f>
        <v>16</v>
      </c>
      <c r="S349" s="100">
        <f>IFERROR(Tablo518[[#This Row],[YOLLUK HARİÇ BASKI GRAMI]]/Tablo518[[#This Row],[KALIP GÖZ ADEDİ]]," ")</f>
        <v>8</v>
      </c>
      <c r="T349" s="100">
        <f t="shared" si="37"/>
        <v>0.80000000000000071</v>
      </c>
      <c r="U349" s="100">
        <v>3.2</v>
      </c>
      <c r="V349" s="100">
        <f t="shared" si="36"/>
        <v>18.72</v>
      </c>
      <c r="W349" s="101">
        <f t="shared" si="38"/>
        <v>24.319444444444443</v>
      </c>
      <c r="X349" s="102">
        <f t="shared" si="39"/>
        <v>7.6666666666666288</v>
      </c>
      <c r="Y349" s="100">
        <f t="shared" si="40"/>
        <v>6.197222222222222</v>
      </c>
      <c r="Z349" s="100">
        <f t="shared" si="41"/>
        <v>1940</v>
      </c>
    </row>
    <row r="350" spans="1:26">
      <c r="A350" s="108" t="s">
        <v>242</v>
      </c>
      <c r="B350" s="108" t="str">
        <f>IFERROR(VLOOKUP(Tablo518[[#This Row],[ÜRÜN KODU]],YMKODLARI!$A$1:$K$363,2,0)," ")</f>
        <v>GENİŞ AĞIZ BİBERON KULP</v>
      </c>
      <c r="C350" s="99">
        <v>44146</v>
      </c>
      <c r="D350" s="100" t="s">
        <v>36</v>
      </c>
      <c r="E350" s="101">
        <v>0.33333333333333331</v>
      </c>
      <c r="F350" s="101">
        <v>0.75</v>
      </c>
      <c r="G350" s="100">
        <f>IFERROR(VLOOKUP(Tablo518[[#This Row],[ÜRÜN KODU]],YMKODLARI!$A$1:$K$363,3,0)," ")</f>
        <v>2</v>
      </c>
      <c r="H350" s="100">
        <f>IFERROR(VLOOKUP(Tablo518[[#This Row],[ÜRÜN KODU]],YMKODLARI!$A$1:$K$363,4,0)," ")</f>
        <v>23</v>
      </c>
      <c r="I350" s="100">
        <v>1376</v>
      </c>
      <c r="J350" s="100">
        <f>IFERROR(VLOOKUP(Tablo518[[#This Row],[ÜRÜN KODU]],YMKODLARI!$A$1:$K$363,9,0)," ")</f>
        <v>5287</v>
      </c>
      <c r="K350" s="100" t="str">
        <f>IFERROR(VLOOKUP(Tablo518[[#This Row],[BOYA KODU]],Tablo14[#All],4,0)," ")</f>
        <v>MAVİ</v>
      </c>
      <c r="L350" s="100">
        <f>IFERROR(VLOOKUP(Tablo518[[#This Row],[BOYA KODU]],Tablo14[#All],6,0)," ")</f>
        <v>5.0000000000000001E-3</v>
      </c>
      <c r="M350" s="100">
        <f t="shared" si="35"/>
        <v>115.584</v>
      </c>
      <c r="N350" s="100" t="str">
        <f>IFERROR(VLOOKUP(Tablo518[[#This Row],[ÜRÜN KODU]],YMKODLARI!$A$1:$K$363,8,0)," ")</f>
        <v>HM 001</v>
      </c>
      <c r="O350" s="100" t="str">
        <f>IFERROR(VLOOKUP(Tablo518[[#This Row],[HAMMADDE KODU]],Tablo1[#All],3,0)," ")</f>
        <v>CAPILENE</v>
      </c>
      <c r="P350" s="100" t="str">
        <f>IFERROR(VLOOKUP(Tablo518[[#This Row],[HAMMADDE KODU]],Tablo1[#All],4,0)," ")</f>
        <v>PİNHAS</v>
      </c>
      <c r="Q350" s="100">
        <f>IFERROR(VLOOKUP(Tablo518[[#This Row],[ÜRÜN KODU]],YMKODLARI!$A$1:$K$363,5,0)," ")</f>
        <v>16.8</v>
      </c>
      <c r="R350" s="100">
        <f>IFERROR(VLOOKUP(Tablo518[[#This Row],[ÜRÜN KODU]],YMKODLARI!$A$1:$K$363,6,0)," ")</f>
        <v>16</v>
      </c>
      <c r="S350" s="100">
        <f>IFERROR(Tablo518[[#This Row],[YOLLUK HARİÇ BASKI GRAMI]]/Tablo518[[#This Row],[KALIP GÖZ ADEDİ]]," ")</f>
        <v>8</v>
      </c>
      <c r="T350" s="100">
        <f t="shared" si="37"/>
        <v>0.80000000000000071</v>
      </c>
      <c r="U350" s="100"/>
      <c r="V350" s="100">
        <f t="shared" si="36"/>
        <v>22.015999999999998</v>
      </c>
      <c r="W350" s="101">
        <f t="shared" si="38"/>
        <v>24.416666666666668</v>
      </c>
      <c r="X350" s="102">
        <f t="shared" si="39"/>
        <v>10.000000000000028</v>
      </c>
      <c r="Y350" s="100">
        <f t="shared" si="40"/>
        <v>8.7911111111111104</v>
      </c>
      <c r="Z350" s="100">
        <f t="shared" si="41"/>
        <v>2752</v>
      </c>
    </row>
    <row r="351" spans="1:26">
      <c r="A351" s="108" t="s">
        <v>242</v>
      </c>
      <c r="B351" s="108" t="str">
        <f>IFERROR(VLOOKUP(Tablo518[[#This Row],[ÜRÜN KODU]],YMKODLARI!$A$1:$K$363,2,0)," ")</f>
        <v>GENİŞ AĞIZ BİBERON KULP</v>
      </c>
      <c r="C351" s="99">
        <v>44147</v>
      </c>
      <c r="D351" s="100" t="s">
        <v>36</v>
      </c>
      <c r="E351" s="101">
        <v>0.33333333333333331</v>
      </c>
      <c r="F351" s="101">
        <v>0.50694444444444442</v>
      </c>
      <c r="G351" s="100">
        <f>IFERROR(VLOOKUP(Tablo518[[#This Row],[ÜRÜN KODU]],YMKODLARI!$A$1:$K$363,3,0)," ")</f>
        <v>2</v>
      </c>
      <c r="H351" s="100">
        <f>IFERROR(VLOOKUP(Tablo518[[#This Row],[ÜRÜN KODU]],YMKODLARI!$A$1:$K$363,4,0)," ")</f>
        <v>23</v>
      </c>
      <c r="I351" s="100">
        <v>613</v>
      </c>
      <c r="J351" s="100">
        <f>IFERROR(VLOOKUP(Tablo518[[#This Row],[ÜRÜN KODU]],YMKODLARI!$A$1:$K$363,9,0)," ")</f>
        <v>5287</v>
      </c>
      <c r="K351" s="100" t="str">
        <f>IFERROR(VLOOKUP(Tablo518[[#This Row],[BOYA KODU]],Tablo14[#All],4,0)," ")</f>
        <v>MAVİ</v>
      </c>
      <c r="L351" s="100">
        <f>IFERROR(VLOOKUP(Tablo518[[#This Row],[BOYA KODU]],Tablo14[#All],6,0)," ")</f>
        <v>5.0000000000000001E-3</v>
      </c>
      <c r="M351" s="100">
        <f t="shared" si="35"/>
        <v>51.491999999999997</v>
      </c>
      <c r="N351" s="100" t="str">
        <f>IFERROR(VLOOKUP(Tablo518[[#This Row],[ÜRÜN KODU]],YMKODLARI!$A$1:$K$363,8,0)," ")</f>
        <v>HM 001</v>
      </c>
      <c r="O351" s="100" t="str">
        <f>IFERROR(VLOOKUP(Tablo518[[#This Row],[HAMMADDE KODU]],Tablo1[#All],3,0)," ")</f>
        <v>CAPILENE</v>
      </c>
      <c r="P351" s="100" t="str">
        <f>IFERROR(VLOOKUP(Tablo518[[#This Row],[HAMMADDE KODU]],Tablo1[#All],4,0)," ")</f>
        <v>PİNHAS</v>
      </c>
      <c r="Q351" s="100">
        <f>IFERROR(VLOOKUP(Tablo518[[#This Row],[ÜRÜN KODU]],YMKODLARI!$A$1:$K$363,5,0)," ")</f>
        <v>16.8</v>
      </c>
      <c r="R351" s="100">
        <f>IFERROR(VLOOKUP(Tablo518[[#This Row],[ÜRÜN KODU]],YMKODLARI!$A$1:$K$363,6,0)," ")</f>
        <v>16</v>
      </c>
      <c r="S351" s="100">
        <f>IFERROR(Tablo518[[#This Row],[YOLLUK HARİÇ BASKI GRAMI]]/Tablo518[[#This Row],[KALIP GÖZ ADEDİ]]," ")</f>
        <v>8</v>
      </c>
      <c r="T351" s="100">
        <f t="shared" si="37"/>
        <v>0.80000000000000071</v>
      </c>
      <c r="U351" s="100">
        <v>2.7</v>
      </c>
      <c r="V351" s="100">
        <f t="shared" si="36"/>
        <v>12.507999999999999</v>
      </c>
      <c r="W351" s="101">
        <f t="shared" si="38"/>
        <v>24.173611111111111</v>
      </c>
      <c r="X351" s="102">
        <f t="shared" si="39"/>
        <v>4.1666666666666572</v>
      </c>
      <c r="Y351" s="100">
        <f t="shared" si="40"/>
        <v>3.9163888888888887</v>
      </c>
      <c r="Z351" s="100">
        <f t="shared" si="41"/>
        <v>1226</v>
      </c>
    </row>
    <row r="352" spans="1:26">
      <c r="A352" s="108" t="s">
        <v>347</v>
      </c>
      <c r="B352" s="108" t="str">
        <f>IFERROR(VLOOKUP(Tablo518[[#This Row],[ÜRÜN KODU]],YMKODLARI!$A$1:$K$363,2,0)," ")</f>
        <v>GENİŞ AĞIZ BİBERON KULP</v>
      </c>
      <c r="C352" s="99">
        <v>44147</v>
      </c>
      <c r="D352" s="100" t="s">
        <v>36</v>
      </c>
      <c r="E352" s="101">
        <v>0.51041666666666663</v>
      </c>
      <c r="F352" s="101">
        <v>0.75</v>
      </c>
      <c r="G352" s="100">
        <f>IFERROR(VLOOKUP(Tablo518[[#This Row],[ÜRÜN KODU]],YMKODLARI!$A$1:$K$363,3,0)," ")</f>
        <v>2</v>
      </c>
      <c r="H352" s="100">
        <f>IFERROR(VLOOKUP(Tablo518[[#This Row],[ÜRÜN KODU]],YMKODLARI!$A$1:$K$363,4,0)," ")</f>
        <v>23</v>
      </c>
      <c r="I352" s="100">
        <v>815</v>
      </c>
      <c r="J352" s="100">
        <f>IFERROR(VLOOKUP(Tablo518[[#This Row],[ÜRÜN KODU]],YMKODLARI!$A$1:$K$363,9,0)," ")</f>
        <v>1290</v>
      </c>
      <c r="K352" s="100" t="str">
        <f>IFERROR(VLOOKUP(Tablo518[[#This Row],[BOYA KODU]],Tablo14[#All],4,0)," ")</f>
        <v>SARI</v>
      </c>
      <c r="L352" s="100">
        <f>IFERROR(VLOOKUP(Tablo518[[#This Row],[BOYA KODU]],Tablo14[#All],6,0)," ")</f>
        <v>5.0000000000000001E-3</v>
      </c>
      <c r="M352" s="100">
        <f t="shared" si="35"/>
        <v>68.460000000000008</v>
      </c>
      <c r="N352" s="100" t="str">
        <f>IFERROR(VLOOKUP(Tablo518[[#This Row],[ÜRÜN KODU]],YMKODLARI!$A$1:$K$363,8,0)," ")</f>
        <v>HM 001</v>
      </c>
      <c r="O352" s="100" t="str">
        <f>IFERROR(VLOOKUP(Tablo518[[#This Row],[HAMMADDE KODU]],Tablo1[#All],3,0)," ")</f>
        <v>CAPILENE</v>
      </c>
      <c r="P352" s="100" t="str">
        <f>IFERROR(VLOOKUP(Tablo518[[#This Row],[HAMMADDE KODU]],Tablo1[#All],4,0)," ")</f>
        <v>PİNHAS</v>
      </c>
      <c r="Q352" s="100">
        <f>IFERROR(VLOOKUP(Tablo518[[#This Row],[ÜRÜN KODU]],YMKODLARI!$A$1:$K$363,5,0)," ")</f>
        <v>16.8</v>
      </c>
      <c r="R352" s="100">
        <f>IFERROR(VLOOKUP(Tablo518[[#This Row],[ÜRÜN KODU]],YMKODLARI!$A$1:$K$363,6,0)," ")</f>
        <v>16</v>
      </c>
      <c r="S352" s="100">
        <f>IFERROR(Tablo518[[#This Row],[YOLLUK HARİÇ BASKI GRAMI]]/Tablo518[[#This Row],[KALIP GÖZ ADEDİ]]," ")</f>
        <v>8</v>
      </c>
      <c r="T352" s="100">
        <f t="shared" si="37"/>
        <v>0.80000000000000071</v>
      </c>
      <c r="U352" s="100">
        <v>1.6</v>
      </c>
      <c r="V352" s="100">
        <f t="shared" si="36"/>
        <v>14.639999999999999</v>
      </c>
      <c r="W352" s="101">
        <f t="shared" si="38"/>
        <v>24.239583333333332</v>
      </c>
      <c r="X352" s="102">
        <f t="shared" si="39"/>
        <v>5.7499999999999716</v>
      </c>
      <c r="Y352" s="100">
        <f t="shared" si="40"/>
        <v>5.2069444444444448</v>
      </c>
      <c r="Z352" s="100">
        <f t="shared" si="41"/>
        <v>1630</v>
      </c>
    </row>
    <row r="353" spans="1:26">
      <c r="A353" s="108" t="s">
        <v>347</v>
      </c>
      <c r="B353" s="108" t="str">
        <f>IFERROR(VLOOKUP(Tablo518[[#This Row],[ÜRÜN KODU]],YMKODLARI!$A$1:$K$363,2,0)," ")</f>
        <v>GENİŞ AĞIZ BİBERON KULP</v>
      </c>
      <c r="C353" s="99">
        <v>44148</v>
      </c>
      <c r="D353" s="100" t="s">
        <v>37</v>
      </c>
      <c r="E353" s="101">
        <v>0.33333333333333331</v>
      </c>
      <c r="F353" s="101">
        <v>0.67708333333333337</v>
      </c>
      <c r="G353" s="100">
        <f>IFERROR(VLOOKUP(Tablo518[[#This Row],[ÜRÜN KODU]],YMKODLARI!$A$1:$K$363,3,0)," ")</f>
        <v>2</v>
      </c>
      <c r="H353" s="100">
        <f>IFERROR(VLOOKUP(Tablo518[[#This Row],[ÜRÜN KODU]],YMKODLARI!$A$1:$K$363,4,0)," ")</f>
        <v>23</v>
      </c>
      <c r="I353" s="100">
        <v>1073</v>
      </c>
      <c r="J353" s="100">
        <f>IFERROR(VLOOKUP(Tablo518[[#This Row],[ÜRÜN KODU]],YMKODLARI!$A$1:$K$363,9,0)," ")</f>
        <v>1290</v>
      </c>
      <c r="K353" s="100" t="str">
        <f>IFERROR(VLOOKUP(Tablo518[[#This Row],[BOYA KODU]],Tablo14[#All],4,0)," ")</f>
        <v>SARI</v>
      </c>
      <c r="L353" s="100">
        <f>IFERROR(VLOOKUP(Tablo518[[#This Row],[BOYA KODU]],Tablo14[#All],6,0)," ")</f>
        <v>5.0000000000000001E-3</v>
      </c>
      <c r="M353" s="100">
        <f t="shared" si="35"/>
        <v>90.132000000000005</v>
      </c>
      <c r="N353" s="100" t="str">
        <f>IFERROR(VLOOKUP(Tablo518[[#This Row],[ÜRÜN KODU]],YMKODLARI!$A$1:$K$363,8,0)," ")</f>
        <v>HM 001</v>
      </c>
      <c r="O353" s="100" t="str">
        <f>IFERROR(VLOOKUP(Tablo518[[#This Row],[HAMMADDE KODU]],Tablo1[#All],3,0)," ")</f>
        <v>CAPILENE</v>
      </c>
      <c r="P353" s="100" t="str">
        <f>IFERROR(VLOOKUP(Tablo518[[#This Row],[HAMMADDE KODU]],Tablo1[#All],4,0)," ")</f>
        <v>PİNHAS</v>
      </c>
      <c r="Q353" s="100">
        <f>IFERROR(VLOOKUP(Tablo518[[#This Row],[ÜRÜN KODU]],YMKODLARI!$A$1:$K$363,5,0)," ")</f>
        <v>16.8</v>
      </c>
      <c r="R353" s="100">
        <f>IFERROR(VLOOKUP(Tablo518[[#This Row],[ÜRÜN KODU]],YMKODLARI!$A$1:$K$363,6,0)," ")</f>
        <v>16</v>
      </c>
      <c r="S353" s="100">
        <f>IFERROR(Tablo518[[#This Row],[YOLLUK HARİÇ BASKI GRAMI]]/Tablo518[[#This Row],[KALIP GÖZ ADEDİ]]," ")</f>
        <v>8</v>
      </c>
      <c r="T353" s="100">
        <f t="shared" si="37"/>
        <v>0.80000000000000071</v>
      </c>
      <c r="U353" s="100">
        <v>3.6</v>
      </c>
      <c r="V353" s="100">
        <f t="shared" si="36"/>
        <v>20.768000000000001</v>
      </c>
      <c r="W353" s="101">
        <f t="shared" si="38"/>
        <v>24.34375</v>
      </c>
      <c r="X353" s="102">
        <f t="shared" si="39"/>
        <v>8.25</v>
      </c>
      <c r="Y353" s="100">
        <f t="shared" si="40"/>
        <v>6.8552777777777774</v>
      </c>
      <c r="Z353" s="100">
        <f t="shared" si="41"/>
        <v>2146</v>
      </c>
    </row>
    <row r="354" spans="1:26">
      <c r="A354" s="108" t="s">
        <v>243</v>
      </c>
      <c r="B354" s="108" t="str">
        <f>IFERROR(VLOOKUP(Tablo518[[#This Row],[ÜRÜN KODU]],YMKODLARI!$A$1:$K$363,2,0)," ")</f>
        <v>GENİŞ AĞIZ BİBERON KULP</v>
      </c>
      <c r="C354" s="99">
        <v>44151</v>
      </c>
      <c r="D354" s="100" t="s">
        <v>37</v>
      </c>
      <c r="E354" s="101">
        <v>0.4375</v>
      </c>
      <c r="F354" s="101">
        <v>0.83333333333333337</v>
      </c>
      <c r="G354" s="100">
        <f>IFERROR(VLOOKUP(Tablo518[[#This Row],[ÜRÜN KODU]],YMKODLARI!$A$1:$K$363,3,0)," ")</f>
        <v>2</v>
      </c>
      <c r="H354" s="100">
        <f>IFERROR(VLOOKUP(Tablo518[[#This Row],[ÜRÜN KODU]],YMKODLARI!$A$1:$K$363,4,0)," ")</f>
        <v>23</v>
      </c>
      <c r="I354" s="100">
        <v>1351</v>
      </c>
      <c r="J354" s="100" t="str">
        <f>IFERROR(VLOOKUP(Tablo518[[#This Row],[ÜRÜN KODU]],YMKODLARI!$A$1:$K$363,9,0)," ")</f>
        <v>9134A</v>
      </c>
      <c r="K354" s="100" t="str">
        <f>IFERROR(VLOOKUP(Tablo518[[#This Row],[BOYA KODU]],Tablo14[#All],4,0)," ")</f>
        <v>BEYAZ</v>
      </c>
      <c r="L354" s="100">
        <f>IFERROR(VLOOKUP(Tablo518[[#This Row],[BOYA KODU]],Tablo14[#All],6,0)," ")</f>
        <v>7.0000000000000001E-3</v>
      </c>
      <c r="M354" s="100">
        <f t="shared" si="35"/>
        <v>158.8776</v>
      </c>
      <c r="N354" s="100" t="str">
        <f>IFERROR(VLOOKUP(Tablo518[[#This Row],[ÜRÜN KODU]],YMKODLARI!$A$1:$K$363,8,0)," ")</f>
        <v>HM 001</v>
      </c>
      <c r="O354" s="100" t="str">
        <f>IFERROR(VLOOKUP(Tablo518[[#This Row],[HAMMADDE KODU]],Tablo1[#All],3,0)," ")</f>
        <v>CAPILENE</v>
      </c>
      <c r="P354" s="100" t="str">
        <f>IFERROR(VLOOKUP(Tablo518[[#This Row],[HAMMADDE KODU]],Tablo1[#All],4,0)," ")</f>
        <v>PİNHAS</v>
      </c>
      <c r="Q354" s="100">
        <f>IFERROR(VLOOKUP(Tablo518[[#This Row],[ÜRÜN KODU]],YMKODLARI!$A$1:$K$363,5,0)," ")</f>
        <v>16.8</v>
      </c>
      <c r="R354" s="100">
        <f>IFERROR(VLOOKUP(Tablo518[[#This Row],[ÜRÜN KODU]],YMKODLARI!$A$1:$K$363,6,0)," ")</f>
        <v>16</v>
      </c>
      <c r="S354" s="100">
        <f>IFERROR(Tablo518[[#This Row],[YOLLUK HARİÇ BASKI GRAMI]]/Tablo518[[#This Row],[KALIP GÖZ ADEDİ]]," ")</f>
        <v>8</v>
      </c>
      <c r="T354" s="100">
        <f t="shared" si="37"/>
        <v>0.80000000000000071</v>
      </c>
      <c r="U354" s="100"/>
      <c r="V354" s="100">
        <f t="shared" si="36"/>
        <v>21.616</v>
      </c>
      <c r="W354" s="101">
        <f t="shared" si="38"/>
        <v>24.395833333333332</v>
      </c>
      <c r="X354" s="102">
        <f t="shared" si="39"/>
        <v>9.4999999999999716</v>
      </c>
      <c r="Y354" s="100">
        <f t="shared" si="40"/>
        <v>8.631388888888889</v>
      </c>
      <c r="Z354" s="100">
        <f t="shared" si="41"/>
        <v>2702</v>
      </c>
    </row>
    <row r="355" spans="1:26">
      <c r="A355" s="108" t="s">
        <v>243</v>
      </c>
      <c r="B355" s="108" t="str">
        <f>IFERROR(VLOOKUP(Tablo518[[#This Row],[ÜRÜN KODU]],YMKODLARI!$A$1:$K$363,2,0)," ")</f>
        <v>GENİŞ AĞIZ BİBERON KULP</v>
      </c>
      <c r="C355" s="99">
        <v>44152</v>
      </c>
      <c r="D355" s="100" t="s">
        <v>37</v>
      </c>
      <c r="E355" s="101">
        <v>0.33333333333333331</v>
      </c>
      <c r="F355" s="101">
        <v>0.3888888888888889</v>
      </c>
      <c r="G355" s="100">
        <f>IFERROR(VLOOKUP(Tablo518[[#This Row],[ÜRÜN KODU]],YMKODLARI!$A$1:$K$363,3,0)," ")</f>
        <v>2</v>
      </c>
      <c r="H355" s="100">
        <f>IFERROR(VLOOKUP(Tablo518[[#This Row],[ÜRÜN KODU]],YMKODLARI!$A$1:$K$363,4,0)," ")</f>
        <v>23</v>
      </c>
      <c r="I355" s="100">
        <v>174</v>
      </c>
      <c r="J355" s="100" t="str">
        <f>IFERROR(VLOOKUP(Tablo518[[#This Row],[ÜRÜN KODU]],YMKODLARI!$A$1:$K$363,9,0)," ")</f>
        <v>9134A</v>
      </c>
      <c r="K355" s="100" t="str">
        <f>IFERROR(VLOOKUP(Tablo518[[#This Row],[BOYA KODU]],Tablo14[#All],4,0)," ")</f>
        <v>BEYAZ</v>
      </c>
      <c r="L355" s="100">
        <f>IFERROR(VLOOKUP(Tablo518[[#This Row],[BOYA KODU]],Tablo14[#All],6,0)," ")</f>
        <v>7.0000000000000001E-3</v>
      </c>
      <c r="M355" s="100">
        <f t="shared" si="35"/>
        <v>20.462400000000002</v>
      </c>
      <c r="N355" s="100" t="str">
        <f>IFERROR(VLOOKUP(Tablo518[[#This Row],[ÜRÜN KODU]],YMKODLARI!$A$1:$K$363,8,0)," ")</f>
        <v>HM 001</v>
      </c>
      <c r="O355" s="100" t="str">
        <f>IFERROR(VLOOKUP(Tablo518[[#This Row],[HAMMADDE KODU]],Tablo1[#All],3,0)," ")</f>
        <v>CAPILENE</v>
      </c>
      <c r="P355" s="100" t="str">
        <f>IFERROR(VLOOKUP(Tablo518[[#This Row],[HAMMADDE KODU]],Tablo1[#All],4,0)," ")</f>
        <v>PİNHAS</v>
      </c>
      <c r="Q355" s="100">
        <f>IFERROR(VLOOKUP(Tablo518[[#This Row],[ÜRÜN KODU]],YMKODLARI!$A$1:$K$363,5,0)," ")</f>
        <v>16.8</v>
      </c>
      <c r="R355" s="100">
        <f>IFERROR(VLOOKUP(Tablo518[[#This Row],[ÜRÜN KODU]],YMKODLARI!$A$1:$K$363,6,0)," ")</f>
        <v>16</v>
      </c>
      <c r="S355" s="100">
        <f>IFERROR(Tablo518[[#This Row],[YOLLUK HARİÇ BASKI GRAMI]]/Tablo518[[#This Row],[KALIP GÖZ ADEDİ]]," ")</f>
        <v>8</v>
      </c>
      <c r="T355" s="100">
        <f t="shared" si="37"/>
        <v>0.80000000000000071</v>
      </c>
      <c r="U355" s="100">
        <v>4</v>
      </c>
      <c r="V355" s="100">
        <f t="shared" si="36"/>
        <v>6.7839999999999998</v>
      </c>
      <c r="W355" s="101">
        <f t="shared" si="38"/>
        <v>24.055555555555557</v>
      </c>
      <c r="X355" s="102">
        <f t="shared" si="39"/>
        <v>1.3333333333333712</v>
      </c>
      <c r="Y355" s="100">
        <f t="shared" si="40"/>
        <v>1.1116666666666666</v>
      </c>
      <c r="Z355" s="100">
        <f t="shared" si="41"/>
        <v>348</v>
      </c>
    </row>
    <row r="356" spans="1:26">
      <c r="A356" s="108" t="s">
        <v>348</v>
      </c>
      <c r="B356" s="108" t="str">
        <f>IFERROR(VLOOKUP(Tablo518[[#This Row],[ÜRÜN KODU]],YMKODLARI!$A$1:$K$363,2,0)," ")</f>
        <v>GENİŞ AĞIZ BİBERON KULP</v>
      </c>
      <c r="C356" s="99">
        <v>44152</v>
      </c>
      <c r="D356" s="100" t="s">
        <v>37</v>
      </c>
      <c r="E356" s="101">
        <v>0.39583333333333331</v>
      </c>
      <c r="F356" s="101">
        <v>0.67708333333333337</v>
      </c>
      <c r="G356" s="100">
        <f>IFERROR(VLOOKUP(Tablo518[[#This Row],[ÜRÜN KODU]],YMKODLARI!$A$1:$K$363,3,0)," ")</f>
        <v>2</v>
      </c>
      <c r="H356" s="100">
        <f>IFERROR(VLOOKUP(Tablo518[[#This Row],[ÜRÜN KODU]],YMKODLARI!$A$1:$K$363,4,0)," ")</f>
        <v>23</v>
      </c>
      <c r="I356" s="100">
        <v>1265</v>
      </c>
      <c r="J356" s="100">
        <f>IFERROR(VLOOKUP(Tablo518[[#This Row],[ÜRÜN KODU]],YMKODLARI!$A$1:$K$363,9,0)," ")</f>
        <v>4090</v>
      </c>
      <c r="K356" s="100" t="str">
        <f>IFERROR(VLOOKUP(Tablo518[[#This Row],[BOYA KODU]],Tablo14[#All],4,0)," ")</f>
        <v>LİLA</v>
      </c>
      <c r="L356" s="100">
        <f>IFERROR(VLOOKUP(Tablo518[[#This Row],[BOYA KODU]],Tablo14[#All],6,0)," ")</f>
        <v>5.0000000000000001E-3</v>
      </c>
      <c r="M356" s="100">
        <f t="shared" si="35"/>
        <v>106.26</v>
      </c>
      <c r="N356" s="100" t="str">
        <f>IFERROR(VLOOKUP(Tablo518[[#This Row],[ÜRÜN KODU]],YMKODLARI!$A$1:$K$363,8,0)," ")</f>
        <v>HM 001</v>
      </c>
      <c r="O356" s="100" t="str">
        <f>IFERROR(VLOOKUP(Tablo518[[#This Row],[HAMMADDE KODU]],Tablo1[#All],3,0)," ")</f>
        <v>CAPILENE</v>
      </c>
      <c r="P356" s="100" t="str">
        <f>IFERROR(VLOOKUP(Tablo518[[#This Row],[HAMMADDE KODU]],Tablo1[#All],4,0)," ")</f>
        <v>PİNHAS</v>
      </c>
      <c r="Q356" s="100">
        <f>IFERROR(VLOOKUP(Tablo518[[#This Row],[ÜRÜN KODU]],YMKODLARI!$A$1:$K$363,5,0)," ")</f>
        <v>16.8</v>
      </c>
      <c r="R356" s="100">
        <f>IFERROR(VLOOKUP(Tablo518[[#This Row],[ÜRÜN KODU]],YMKODLARI!$A$1:$K$363,6,0)," ")</f>
        <v>16</v>
      </c>
      <c r="S356" s="100">
        <f>IFERROR(Tablo518[[#This Row],[YOLLUK HARİÇ BASKI GRAMI]]/Tablo518[[#This Row],[KALIP GÖZ ADEDİ]]," ")</f>
        <v>8</v>
      </c>
      <c r="T356" s="100">
        <f t="shared" si="37"/>
        <v>0.80000000000000071</v>
      </c>
      <c r="U356" s="100">
        <v>5.4</v>
      </c>
      <c r="V356" s="100">
        <f t="shared" si="36"/>
        <v>25.64</v>
      </c>
      <c r="W356" s="101">
        <f t="shared" si="38"/>
        <v>24.28125</v>
      </c>
      <c r="X356" s="102">
        <f t="shared" si="39"/>
        <v>6.75</v>
      </c>
      <c r="Y356" s="100">
        <f t="shared" si="40"/>
        <v>8.0819444444444439</v>
      </c>
      <c r="Z356" s="100">
        <f t="shared" si="41"/>
        <v>2530</v>
      </c>
    </row>
    <row r="357" spans="1:26">
      <c r="A357" s="108" t="s">
        <v>241</v>
      </c>
      <c r="B357" s="108" t="str">
        <f>IFERROR(VLOOKUP(Tablo518[[#This Row],[ÜRÜN KODU]],YMKODLARI!$A$1:$K$363,2,0)," ")</f>
        <v>GENİŞ AĞIZ BİBERON KULP</v>
      </c>
      <c r="C357" s="99">
        <v>44152</v>
      </c>
      <c r="D357" s="100" t="s">
        <v>37</v>
      </c>
      <c r="E357" s="101">
        <v>0.68055555555555547</v>
      </c>
      <c r="F357" s="101">
        <v>0.83333333333333337</v>
      </c>
      <c r="G357" s="100">
        <f>IFERROR(VLOOKUP(Tablo518[[#This Row],[ÜRÜN KODU]],YMKODLARI!$A$1:$K$363,3,0)," ")</f>
        <v>2</v>
      </c>
      <c r="H357" s="100">
        <f>IFERROR(VLOOKUP(Tablo518[[#This Row],[ÜRÜN KODU]],YMKODLARI!$A$1:$K$363,4,0)," ")</f>
        <v>23</v>
      </c>
      <c r="I357" s="100">
        <v>760</v>
      </c>
      <c r="J357" s="100">
        <f>IFERROR(VLOOKUP(Tablo518[[#This Row],[ÜRÜN KODU]],YMKODLARI!$A$1:$K$363,9,0)," ")</f>
        <v>3041</v>
      </c>
      <c r="K357" s="100" t="str">
        <f>IFERROR(VLOOKUP(Tablo518[[#This Row],[BOYA KODU]],Tablo14[#All],4,0)," ")</f>
        <v>KIRMIZI</v>
      </c>
      <c r="L357" s="100">
        <f>IFERROR(VLOOKUP(Tablo518[[#This Row],[BOYA KODU]],Tablo14[#All],6,0)," ")</f>
        <v>5.0000000000000001E-3</v>
      </c>
      <c r="M357" s="100">
        <f t="shared" si="35"/>
        <v>63.84</v>
      </c>
      <c r="N357" s="100" t="str">
        <f>IFERROR(VLOOKUP(Tablo518[[#This Row],[ÜRÜN KODU]],YMKODLARI!$A$1:$K$363,8,0)," ")</f>
        <v>HM 001</v>
      </c>
      <c r="O357" s="100" t="str">
        <f>IFERROR(VLOOKUP(Tablo518[[#This Row],[HAMMADDE KODU]],Tablo1[#All],3,0)," ")</f>
        <v>CAPILENE</v>
      </c>
      <c r="P357" s="100" t="str">
        <f>IFERROR(VLOOKUP(Tablo518[[#This Row],[HAMMADDE KODU]],Tablo1[#All],4,0)," ")</f>
        <v>PİNHAS</v>
      </c>
      <c r="Q357" s="100">
        <f>IFERROR(VLOOKUP(Tablo518[[#This Row],[ÜRÜN KODU]],YMKODLARI!$A$1:$K$363,5,0)," ")</f>
        <v>16.8</v>
      </c>
      <c r="R357" s="100">
        <f>IFERROR(VLOOKUP(Tablo518[[#This Row],[ÜRÜN KODU]],YMKODLARI!$A$1:$K$363,6,0)," ")</f>
        <v>16</v>
      </c>
      <c r="S357" s="100">
        <f>IFERROR(Tablo518[[#This Row],[YOLLUK HARİÇ BASKI GRAMI]]/Tablo518[[#This Row],[KALIP GÖZ ADEDİ]]," ")</f>
        <v>8</v>
      </c>
      <c r="T357" s="100">
        <f t="shared" si="37"/>
        <v>0.80000000000000071</v>
      </c>
      <c r="U357" s="100">
        <v>2.2999999999999998</v>
      </c>
      <c r="V357" s="100">
        <f t="shared" si="36"/>
        <v>14.46</v>
      </c>
      <c r="W357" s="101">
        <f t="shared" si="38"/>
        <v>24.152777777777779</v>
      </c>
      <c r="X357" s="102">
        <f t="shared" si="39"/>
        <v>3.6666666666666856</v>
      </c>
      <c r="Y357" s="100">
        <f t="shared" si="40"/>
        <v>4.8555555555555552</v>
      </c>
      <c r="Z357" s="100">
        <f t="shared" si="41"/>
        <v>1520</v>
      </c>
    </row>
    <row r="358" spans="1:26">
      <c r="A358" s="108" t="s">
        <v>241</v>
      </c>
      <c r="B358" s="108" t="str">
        <f>IFERROR(VLOOKUP(Tablo518[[#This Row],[ÜRÜN KODU]],YMKODLARI!$A$1:$K$363,2,0)," ")</f>
        <v>GENİŞ AĞIZ BİBERON KULP</v>
      </c>
      <c r="C358" s="99">
        <v>44153</v>
      </c>
      <c r="D358" s="100" t="s">
        <v>37</v>
      </c>
      <c r="E358" s="101">
        <v>0.33333333333333331</v>
      </c>
      <c r="F358" s="101">
        <v>0.46875</v>
      </c>
      <c r="G358" s="100">
        <f>IFERROR(VLOOKUP(Tablo518[[#This Row],[ÜRÜN KODU]],YMKODLARI!$A$1:$K$363,3,0)," ")</f>
        <v>2</v>
      </c>
      <c r="H358" s="100">
        <f>IFERROR(VLOOKUP(Tablo518[[#This Row],[ÜRÜN KODU]],YMKODLARI!$A$1:$K$363,4,0)," ")</f>
        <v>23</v>
      </c>
      <c r="I358" s="100">
        <v>588</v>
      </c>
      <c r="J358" s="100">
        <f>IFERROR(VLOOKUP(Tablo518[[#This Row],[ÜRÜN KODU]],YMKODLARI!$A$1:$K$363,9,0)," ")</f>
        <v>3041</v>
      </c>
      <c r="K358" s="100" t="str">
        <f>IFERROR(VLOOKUP(Tablo518[[#This Row],[BOYA KODU]],Tablo14[#All],4,0)," ")</f>
        <v>KIRMIZI</v>
      </c>
      <c r="L358" s="100">
        <f>IFERROR(VLOOKUP(Tablo518[[#This Row],[BOYA KODU]],Tablo14[#All],6,0)," ")</f>
        <v>5.0000000000000001E-3</v>
      </c>
      <c r="M358" s="100">
        <f t="shared" si="35"/>
        <v>49.391999999999996</v>
      </c>
      <c r="N358" s="100" t="str">
        <f>IFERROR(VLOOKUP(Tablo518[[#This Row],[ÜRÜN KODU]],YMKODLARI!$A$1:$K$363,8,0)," ")</f>
        <v>HM 001</v>
      </c>
      <c r="O358" s="100" t="str">
        <f>IFERROR(VLOOKUP(Tablo518[[#This Row],[HAMMADDE KODU]],Tablo1[#All],3,0)," ")</f>
        <v>CAPILENE</v>
      </c>
      <c r="P358" s="100" t="str">
        <f>IFERROR(VLOOKUP(Tablo518[[#This Row],[HAMMADDE KODU]],Tablo1[#All],4,0)," ")</f>
        <v>PİNHAS</v>
      </c>
      <c r="Q358" s="100">
        <f>IFERROR(VLOOKUP(Tablo518[[#This Row],[ÜRÜN KODU]],YMKODLARI!$A$1:$K$363,5,0)," ")</f>
        <v>16.8</v>
      </c>
      <c r="R358" s="100">
        <f>IFERROR(VLOOKUP(Tablo518[[#This Row],[ÜRÜN KODU]],YMKODLARI!$A$1:$K$363,6,0)," ")</f>
        <v>16</v>
      </c>
      <c r="S358" s="100">
        <f>IFERROR(Tablo518[[#This Row],[YOLLUK HARİÇ BASKI GRAMI]]/Tablo518[[#This Row],[KALIP GÖZ ADEDİ]]," ")</f>
        <v>8</v>
      </c>
      <c r="T358" s="100">
        <f t="shared" si="37"/>
        <v>0.80000000000000071</v>
      </c>
      <c r="U358" s="100"/>
      <c r="V358" s="100">
        <f t="shared" si="36"/>
        <v>9.4079999999999995</v>
      </c>
      <c r="W358" s="101">
        <f t="shared" si="38"/>
        <v>24.135416666666668</v>
      </c>
      <c r="X358" s="102">
        <f t="shared" si="39"/>
        <v>3.2500000000000284</v>
      </c>
      <c r="Y358" s="100">
        <f t="shared" si="40"/>
        <v>3.7566666666666668</v>
      </c>
      <c r="Z358" s="100">
        <f t="shared" si="41"/>
        <v>1176</v>
      </c>
    </row>
    <row r="359" spans="1:26">
      <c r="A359" s="108" t="s">
        <v>327</v>
      </c>
      <c r="B359" s="108" t="str">
        <f>IFERROR(VLOOKUP(Tablo518[[#This Row],[ÜRÜN KODU]],YMKODLARI!$A$1:$K$363,2,0)," ")</f>
        <v>GENİŞ AĞIZ BİBERON VİDA</v>
      </c>
      <c r="C359" s="99">
        <v>44154</v>
      </c>
      <c r="D359" s="100" t="s">
        <v>37</v>
      </c>
      <c r="E359" s="101">
        <v>0.47222222222222227</v>
      </c>
      <c r="F359" s="101">
        <v>0.66666666666666663</v>
      </c>
      <c r="G359" s="100">
        <f>IFERROR(VLOOKUP(Tablo518[[#This Row],[ÜRÜN KODU]],YMKODLARI!$A$1:$K$363,3,0)," ")</f>
        <v>4</v>
      </c>
      <c r="H359" s="100">
        <f>IFERROR(VLOOKUP(Tablo518[[#This Row],[ÜRÜN KODU]],YMKODLARI!$A$1:$K$363,4,0)," ")</f>
        <v>32</v>
      </c>
      <c r="I359" s="100">
        <v>682</v>
      </c>
      <c r="J359" s="100" t="str">
        <f>IFERROR(VLOOKUP(Tablo518[[#This Row],[ÜRÜN KODU]],YMKODLARI!$A$1:$K$363,9,0)," ")</f>
        <v>9134A</v>
      </c>
      <c r="K359" s="100" t="str">
        <f>IFERROR(VLOOKUP(Tablo518[[#This Row],[BOYA KODU]],Tablo14[#All],4,0)," ")</f>
        <v>BEYAZ</v>
      </c>
      <c r="L359" s="100">
        <f>IFERROR(VLOOKUP(Tablo518[[#This Row],[BOYA KODU]],Tablo14[#All],6,0)," ")</f>
        <v>7.0000000000000001E-3</v>
      </c>
      <c r="M359" s="100">
        <f t="shared" si="35"/>
        <v>180.4572</v>
      </c>
      <c r="N359" s="100" t="str">
        <f>IFERROR(VLOOKUP(Tablo518[[#This Row],[ÜRÜN KODU]],YMKODLARI!$A$1:$K$363,8,0)," ")</f>
        <v>HM 001</v>
      </c>
      <c r="O359" s="100" t="str">
        <f>IFERROR(VLOOKUP(Tablo518[[#This Row],[HAMMADDE KODU]],Tablo1[#All],3,0)," ")</f>
        <v>CAPILENE</v>
      </c>
      <c r="P359" s="100" t="str">
        <f>IFERROR(VLOOKUP(Tablo518[[#This Row],[HAMMADDE KODU]],Tablo1[#All],4,0)," ")</f>
        <v>PİNHAS</v>
      </c>
      <c r="Q359" s="100">
        <f>IFERROR(VLOOKUP(Tablo518[[#This Row],[ÜRÜN KODU]],YMKODLARI!$A$1:$K$363,5,0)," ")</f>
        <v>37.799999999999997</v>
      </c>
      <c r="R359" s="100">
        <f>IFERROR(VLOOKUP(Tablo518[[#This Row],[ÜRÜN KODU]],YMKODLARI!$A$1:$K$363,6,0)," ")</f>
        <v>37.799999999999997</v>
      </c>
      <c r="S359" s="100">
        <f>IFERROR(Tablo518[[#This Row],[YOLLUK HARİÇ BASKI GRAMI]]/Tablo518[[#This Row],[KALIP GÖZ ADEDİ]]," ")</f>
        <v>9.4499999999999993</v>
      </c>
      <c r="T359" s="100">
        <f t="shared" si="37"/>
        <v>0</v>
      </c>
      <c r="U359" s="100">
        <v>2.8</v>
      </c>
      <c r="V359" s="100">
        <f t="shared" si="36"/>
        <v>28.579599999999999</v>
      </c>
      <c r="W359" s="101">
        <f t="shared" si="38"/>
        <v>24.194444444444443</v>
      </c>
      <c r="X359" s="102">
        <f t="shared" si="39"/>
        <v>4.6666666666666288</v>
      </c>
      <c r="Y359" s="100">
        <f t="shared" si="40"/>
        <v>6.0622222222222222</v>
      </c>
      <c r="Z359" s="100">
        <f t="shared" si="41"/>
        <v>2728</v>
      </c>
    </row>
    <row r="360" spans="1:26">
      <c r="A360" s="108" t="s">
        <v>245</v>
      </c>
      <c r="B360" s="108" t="str">
        <f>IFERROR(VLOOKUP(Tablo518[[#This Row],[ÜRÜN KODU]],YMKODLARI!$A$1:$K$363,2,0)," ")</f>
        <v>GENİŞ AĞIZ BİBERON VİDA</v>
      </c>
      <c r="C360" s="99">
        <v>44154</v>
      </c>
      <c r="D360" s="100" t="s">
        <v>37</v>
      </c>
      <c r="E360" s="101">
        <v>0.67361111111111116</v>
      </c>
      <c r="F360" s="101">
        <v>0.75</v>
      </c>
      <c r="G360" s="100">
        <f>IFERROR(VLOOKUP(Tablo518[[#This Row],[ÜRÜN KODU]],YMKODLARI!$A$1:$K$363,3,0)," ")</f>
        <v>4</v>
      </c>
      <c r="H360" s="100">
        <f>IFERROR(VLOOKUP(Tablo518[[#This Row],[ÜRÜN KODU]],YMKODLARI!$A$1:$K$363,4,0)," ")</f>
        <v>32</v>
      </c>
      <c r="I360" s="100">
        <v>228</v>
      </c>
      <c r="J360" s="100">
        <f>IFERROR(VLOOKUP(Tablo518[[#This Row],[ÜRÜN KODU]],YMKODLARI!$A$1:$K$363,9,0)," ")</f>
        <v>1290</v>
      </c>
      <c r="K360" s="100" t="str">
        <f>IFERROR(VLOOKUP(Tablo518[[#This Row],[BOYA KODU]],Tablo14[#All],4,0)," ")</f>
        <v>SARI</v>
      </c>
      <c r="L360" s="100">
        <f>IFERROR(VLOOKUP(Tablo518[[#This Row],[BOYA KODU]],Tablo14[#All],6,0)," ")</f>
        <v>5.0000000000000001E-3</v>
      </c>
      <c r="M360" s="100">
        <f t="shared" si="35"/>
        <v>43.091999999999999</v>
      </c>
      <c r="N360" s="100" t="str">
        <f>IFERROR(VLOOKUP(Tablo518[[#This Row],[ÜRÜN KODU]],YMKODLARI!$A$1:$K$363,8,0)," ")</f>
        <v>HM 001</v>
      </c>
      <c r="O360" s="100" t="str">
        <f>IFERROR(VLOOKUP(Tablo518[[#This Row],[HAMMADDE KODU]],Tablo1[#All],3,0)," ")</f>
        <v>CAPILENE</v>
      </c>
      <c r="P360" s="100" t="str">
        <f>IFERROR(VLOOKUP(Tablo518[[#This Row],[HAMMADDE KODU]],Tablo1[#All],4,0)," ")</f>
        <v>PİNHAS</v>
      </c>
      <c r="Q360" s="100">
        <f>IFERROR(VLOOKUP(Tablo518[[#This Row],[ÜRÜN KODU]],YMKODLARI!$A$1:$K$363,5,0)," ")</f>
        <v>37.799999999999997</v>
      </c>
      <c r="R360" s="100">
        <f>IFERROR(VLOOKUP(Tablo518[[#This Row],[ÜRÜN KODU]],YMKODLARI!$A$1:$K$363,6,0)," ")</f>
        <v>37.799999999999997</v>
      </c>
      <c r="S360" s="100">
        <f>IFERROR(Tablo518[[#This Row],[YOLLUK HARİÇ BASKI GRAMI]]/Tablo518[[#This Row],[KALIP GÖZ ADEDİ]]," ")</f>
        <v>9.4499999999999993</v>
      </c>
      <c r="T360" s="100">
        <f t="shared" si="37"/>
        <v>0</v>
      </c>
      <c r="U360" s="100"/>
      <c r="V360" s="100">
        <f t="shared" si="36"/>
        <v>8.6183999999999994</v>
      </c>
      <c r="W360" s="101">
        <f t="shared" si="38"/>
        <v>24.076388888888889</v>
      </c>
      <c r="X360" s="102">
        <f t="shared" si="39"/>
        <v>1.8333333333333428</v>
      </c>
      <c r="Y360" s="100">
        <f t="shared" si="40"/>
        <v>2.0266666666666668</v>
      </c>
      <c r="Z360" s="100">
        <f t="shared" si="41"/>
        <v>912</v>
      </c>
    </row>
    <row r="361" spans="1:26">
      <c r="A361" s="108" t="s">
        <v>245</v>
      </c>
      <c r="B361" s="108" t="str">
        <f>IFERROR(VLOOKUP(Tablo518[[#This Row],[ÜRÜN KODU]],YMKODLARI!$A$1:$K$363,2,0)," ")</f>
        <v>GENİŞ AĞIZ BİBERON VİDA</v>
      </c>
      <c r="C361" s="99">
        <v>44155</v>
      </c>
      <c r="D361" s="100" t="s">
        <v>37</v>
      </c>
      <c r="E361" s="101">
        <v>0.33333333333333331</v>
      </c>
      <c r="F361" s="101">
        <v>0.52083333333333337</v>
      </c>
      <c r="G361" s="100">
        <f>IFERROR(VLOOKUP(Tablo518[[#This Row],[ÜRÜN KODU]],YMKODLARI!$A$1:$K$363,3,0)," ")</f>
        <v>4</v>
      </c>
      <c r="H361" s="100">
        <f>IFERROR(VLOOKUP(Tablo518[[#This Row],[ÜRÜN KODU]],YMKODLARI!$A$1:$K$363,4,0)," ")</f>
        <v>32</v>
      </c>
      <c r="I361" s="100">
        <v>480</v>
      </c>
      <c r="J361" s="100">
        <f>IFERROR(VLOOKUP(Tablo518[[#This Row],[ÜRÜN KODU]],YMKODLARI!$A$1:$K$363,9,0)," ")</f>
        <v>1290</v>
      </c>
      <c r="K361" s="100" t="str">
        <f>IFERROR(VLOOKUP(Tablo518[[#This Row],[BOYA KODU]],Tablo14[#All],4,0)," ")</f>
        <v>SARI</v>
      </c>
      <c r="L361" s="100">
        <f>IFERROR(VLOOKUP(Tablo518[[#This Row],[BOYA KODU]],Tablo14[#All],6,0)," ")</f>
        <v>5.0000000000000001E-3</v>
      </c>
      <c r="M361" s="100">
        <f t="shared" si="35"/>
        <v>90.72</v>
      </c>
      <c r="N361" s="100" t="str">
        <f>IFERROR(VLOOKUP(Tablo518[[#This Row],[ÜRÜN KODU]],YMKODLARI!$A$1:$K$363,8,0)," ")</f>
        <v>HM 001</v>
      </c>
      <c r="O361" s="100" t="str">
        <f>IFERROR(VLOOKUP(Tablo518[[#This Row],[HAMMADDE KODU]],Tablo1[#All],3,0)," ")</f>
        <v>CAPILENE</v>
      </c>
      <c r="P361" s="100" t="str">
        <f>IFERROR(VLOOKUP(Tablo518[[#This Row],[HAMMADDE KODU]],Tablo1[#All],4,0)," ")</f>
        <v>PİNHAS</v>
      </c>
      <c r="Q361" s="100">
        <f>IFERROR(VLOOKUP(Tablo518[[#This Row],[ÜRÜN KODU]],YMKODLARI!$A$1:$K$363,5,0)," ")</f>
        <v>37.799999999999997</v>
      </c>
      <c r="R361" s="100">
        <f>IFERROR(VLOOKUP(Tablo518[[#This Row],[ÜRÜN KODU]],YMKODLARI!$A$1:$K$363,6,0)," ")</f>
        <v>37.799999999999997</v>
      </c>
      <c r="S361" s="100">
        <f>IFERROR(Tablo518[[#This Row],[YOLLUK HARİÇ BASKI GRAMI]]/Tablo518[[#This Row],[KALIP GÖZ ADEDİ]]," ")</f>
        <v>9.4499999999999993</v>
      </c>
      <c r="T361" s="100">
        <f t="shared" si="37"/>
        <v>0</v>
      </c>
      <c r="U361" s="100">
        <v>3.5</v>
      </c>
      <c r="V361" s="100">
        <f t="shared" si="36"/>
        <v>21.643999999999998</v>
      </c>
      <c r="W361" s="101">
        <f t="shared" si="38"/>
        <v>24.1875</v>
      </c>
      <c r="X361" s="102">
        <f t="shared" si="39"/>
        <v>4.5</v>
      </c>
      <c r="Y361" s="100">
        <f t="shared" si="40"/>
        <v>4.2666666666666666</v>
      </c>
      <c r="Z361" s="100">
        <f t="shared" si="41"/>
        <v>1920</v>
      </c>
    </row>
    <row r="362" spans="1:26">
      <c r="A362" s="108" t="s">
        <v>237</v>
      </c>
      <c r="B362" s="108" t="str">
        <f>IFERROR(VLOOKUP(Tablo518[[#This Row],[ÜRÜN KODU]],YMKODLARI!$A$1:$K$363,2,0)," ")</f>
        <v>GENİŞ AĞIZ BİBERON VİDA</v>
      </c>
      <c r="C362" s="99">
        <v>44155</v>
      </c>
      <c r="D362" s="100" t="s">
        <v>37</v>
      </c>
      <c r="E362" s="101">
        <v>0.52430555555555558</v>
      </c>
      <c r="F362" s="101">
        <v>0.75</v>
      </c>
      <c r="G362" s="100">
        <f>IFERROR(VLOOKUP(Tablo518[[#This Row],[ÜRÜN KODU]],YMKODLARI!$A$1:$K$363,3,0)," ")</f>
        <v>4</v>
      </c>
      <c r="H362" s="100">
        <f>IFERROR(VLOOKUP(Tablo518[[#This Row],[ÜRÜN KODU]],YMKODLARI!$A$1:$K$363,4,0)," ")</f>
        <v>32</v>
      </c>
      <c r="I362" s="100">
        <v>546</v>
      </c>
      <c r="J362" s="100">
        <f>IFERROR(VLOOKUP(Tablo518[[#This Row],[ÜRÜN KODU]],YMKODLARI!$A$1:$K$363,9,0)," ")</f>
        <v>3409</v>
      </c>
      <c r="K362" s="100" t="str">
        <f>IFERROR(VLOOKUP(Tablo518[[#This Row],[BOYA KODU]],Tablo14[#All],4,0)," ")</f>
        <v>PEMBE</v>
      </c>
      <c r="L362" s="100">
        <f>IFERROR(VLOOKUP(Tablo518[[#This Row],[BOYA KODU]],Tablo14[#All],6,0)," ")</f>
        <v>5.0000000000000001E-3</v>
      </c>
      <c r="M362" s="100">
        <f t="shared" si="35"/>
        <v>103.194</v>
      </c>
      <c r="N362" s="100" t="str">
        <f>IFERROR(VLOOKUP(Tablo518[[#This Row],[ÜRÜN KODU]],YMKODLARI!$A$1:$K$363,8,0)," ")</f>
        <v>HM 001</v>
      </c>
      <c r="O362" s="100" t="str">
        <f>IFERROR(VLOOKUP(Tablo518[[#This Row],[HAMMADDE KODU]],Tablo1[#All],3,0)," ")</f>
        <v>CAPILENE</v>
      </c>
      <c r="P362" s="100" t="str">
        <f>IFERROR(VLOOKUP(Tablo518[[#This Row],[HAMMADDE KODU]],Tablo1[#All],4,0)," ")</f>
        <v>PİNHAS</v>
      </c>
      <c r="Q362" s="100">
        <f>IFERROR(VLOOKUP(Tablo518[[#This Row],[ÜRÜN KODU]],YMKODLARI!$A$1:$K$363,5,0)," ")</f>
        <v>37.799999999999997</v>
      </c>
      <c r="R362" s="100">
        <f>IFERROR(VLOOKUP(Tablo518[[#This Row],[ÜRÜN KODU]],YMKODLARI!$A$1:$K$363,6,0)," ")</f>
        <v>37.799999999999997</v>
      </c>
      <c r="S362" s="100">
        <f>IFERROR(Tablo518[[#This Row],[YOLLUK HARİÇ BASKI GRAMI]]/Tablo518[[#This Row],[KALIP GÖZ ADEDİ]]," ")</f>
        <v>9.4499999999999993</v>
      </c>
      <c r="T362" s="100">
        <f t="shared" si="37"/>
        <v>0</v>
      </c>
      <c r="U362" s="100">
        <v>1</v>
      </c>
      <c r="V362" s="100">
        <f t="shared" si="36"/>
        <v>21.6388</v>
      </c>
      <c r="W362" s="101">
        <f t="shared" si="38"/>
        <v>24.225694444444443</v>
      </c>
      <c r="X362" s="102">
        <f t="shared" si="39"/>
        <v>5.4166666666666288</v>
      </c>
      <c r="Y362" s="100">
        <f t="shared" si="40"/>
        <v>4.8533333333333335</v>
      </c>
      <c r="Z362" s="100">
        <f t="shared" si="41"/>
        <v>2184</v>
      </c>
    </row>
    <row r="363" spans="1:26">
      <c r="A363" s="108" t="s">
        <v>237</v>
      </c>
      <c r="B363" s="108" t="str">
        <f>IFERROR(VLOOKUP(Tablo518[[#This Row],[ÜRÜN KODU]],YMKODLARI!$A$1:$K$363,2,0)," ")</f>
        <v>GENİŞ AĞIZ BİBERON VİDA</v>
      </c>
      <c r="C363" s="99">
        <v>44158</v>
      </c>
      <c r="D363" s="100" t="s">
        <v>37</v>
      </c>
      <c r="E363" s="101">
        <v>0.40972222222222227</v>
      </c>
      <c r="F363" s="101">
        <v>0.75</v>
      </c>
      <c r="G363" s="100">
        <f>IFERROR(VLOOKUP(Tablo518[[#This Row],[ÜRÜN KODU]],YMKODLARI!$A$1:$K$363,3,0)," ")</f>
        <v>4</v>
      </c>
      <c r="H363" s="100">
        <f>IFERROR(VLOOKUP(Tablo518[[#This Row],[ÜRÜN KODU]],YMKODLARI!$A$1:$K$363,4,0)," ")</f>
        <v>32</v>
      </c>
      <c r="I363" s="100">
        <v>789</v>
      </c>
      <c r="J363" s="100">
        <f>IFERROR(VLOOKUP(Tablo518[[#This Row],[ÜRÜN KODU]],YMKODLARI!$A$1:$K$363,9,0)," ")</f>
        <v>3409</v>
      </c>
      <c r="K363" s="100" t="str">
        <f>IFERROR(VLOOKUP(Tablo518[[#This Row],[BOYA KODU]],Tablo14[#All],4,0)," ")</f>
        <v>PEMBE</v>
      </c>
      <c r="L363" s="100">
        <f>IFERROR(VLOOKUP(Tablo518[[#This Row],[BOYA KODU]],Tablo14[#All],6,0)," ")</f>
        <v>5.0000000000000001E-3</v>
      </c>
      <c r="M363" s="100">
        <f t="shared" si="35"/>
        <v>149.12099999999998</v>
      </c>
      <c r="N363" s="100" t="str">
        <f>IFERROR(VLOOKUP(Tablo518[[#This Row],[ÜRÜN KODU]],YMKODLARI!$A$1:$K$363,8,0)," ")</f>
        <v>HM 001</v>
      </c>
      <c r="O363" s="100" t="str">
        <f>IFERROR(VLOOKUP(Tablo518[[#This Row],[HAMMADDE KODU]],Tablo1[#All],3,0)," ")</f>
        <v>CAPILENE</v>
      </c>
      <c r="P363" s="100" t="str">
        <f>IFERROR(VLOOKUP(Tablo518[[#This Row],[HAMMADDE KODU]],Tablo1[#All],4,0)," ")</f>
        <v>PİNHAS</v>
      </c>
      <c r="Q363" s="100">
        <f>IFERROR(VLOOKUP(Tablo518[[#This Row],[ÜRÜN KODU]],YMKODLARI!$A$1:$K$363,5,0)," ")</f>
        <v>37.799999999999997</v>
      </c>
      <c r="R363" s="100">
        <f>IFERROR(VLOOKUP(Tablo518[[#This Row],[ÜRÜN KODU]],YMKODLARI!$A$1:$K$363,6,0)," ")</f>
        <v>37.799999999999997</v>
      </c>
      <c r="S363" s="100">
        <f>IFERROR(Tablo518[[#This Row],[YOLLUK HARİÇ BASKI GRAMI]]/Tablo518[[#This Row],[KALIP GÖZ ADEDİ]]," ")</f>
        <v>9.4499999999999993</v>
      </c>
      <c r="T363" s="100">
        <f t="shared" si="37"/>
        <v>0</v>
      </c>
      <c r="U363" s="100">
        <v>1.1499999999999999</v>
      </c>
      <c r="V363" s="100">
        <f t="shared" si="36"/>
        <v>30.974199999999996</v>
      </c>
      <c r="W363" s="101">
        <f t="shared" si="38"/>
        <v>24.340277777777779</v>
      </c>
      <c r="X363" s="102">
        <f t="shared" si="39"/>
        <v>8.1666666666666856</v>
      </c>
      <c r="Y363" s="100">
        <f t="shared" si="40"/>
        <v>7.0133333333333336</v>
      </c>
      <c r="Z363" s="100">
        <f t="shared" si="41"/>
        <v>3156</v>
      </c>
    </row>
    <row r="364" spans="1:26">
      <c r="A364" s="108" t="s">
        <v>238</v>
      </c>
      <c r="B364" s="108" t="str">
        <f>IFERROR(VLOOKUP(Tablo518[[#This Row],[ÜRÜN KODU]],YMKODLARI!$A$1:$K$363,2,0)," ")</f>
        <v>GENİŞ AĞIZ BİBERON VİDA</v>
      </c>
      <c r="C364" s="99">
        <v>44159</v>
      </c>
      <c r="D364" s="100" t="s">
        <v>37</v>
      </c>
      <c r="E364" s="101">
        <v>0.35416666666666669</v>
      </c>
      <c r="F364" s="101">
        <v>0.75</v>
      </c>
      <c r="G364" s="100">
        <f>IFERROR(VLOOKUP(Tablo518[[#This Row],[ÜRÜN KODU]],YMKODLARI!$A$1:$K$363,3,0)," ")</f>
        <v>4</v>
      </c>
      <c r="H364" s="100">
        <f>IFERROR(VLOOKUP(Tablo518[[#This Row],[ÜRÜN KODU]],YMKODLARI!$A$1:$K$363,4,0)," ")</f>
        <v>32</v>
      </c>
      <c r="I364" s="100">
        <v>955</v>
      </c>
      <c r="J364" s="100">
        <f>IFERROR(VLOOKUP(Tablo518[[#This Row],[ÜRÜN KODU]],YMKODLARI!$A$1:$K$363,9,0)," ")</f>
        <v>5287</v>
      </c>
      <c r="K364" s="100" t="str">
        <f>IFERROR(VLOOKUP(Tablo518[[#This Row],[BOYA KODU]],Tablo14[#All],4,0)," ")</f>
        <v>MAVİ</v>
      </c>
      <c r="L364" s="100">
        <f>IFERROR(VLOOKUP(Tablo518[[#This Row],[BOYA KODU]],Tablo14[#All],6,0)," ")</f>
        <v>5.0000000000000001E-3</v>
      </c>
      <c r="M364" s="100">
        <f t="shared" si="35"/>
        <v>180.495</v>
      </c>
      <c r="N364" s="100" t="str">
        <f>IFERROR(VLOOKUP(Tablo518[[#This Row],[ÜRÜN KODU]],YMKODLARI!$A$1:$K$363,8,0)," ")</f>
        <v>HM 001</v>
      </c>
      <c r="O364" s="100" t="str">
        <f>IFERROR(VLOOKUP(Tablo518[[#This Row],[HAMMADDE KODU]],Tablo1[#All],3,0)," ")</f>
        <v>CAPILENE</v>
      </c>
      <c r="P364" s="100" t="str">
        <f>IFERROR(VLOOKUP(Tablo518[[#This Row],[HAMMADDE KODU]],Tablo1[#All],4,0)," ")</f>
        <v>PİNHAS</v>
      </c>
      <c r="Q364" s="100">
        <f>IFERROR(VLOOKUP(Tablo518[[#This Row],[ÜRÜN KODU]],YMKODLARI!$A$1:$K$363,5,0)," ")</f>
        <v>37.799999999999997</v>
      </c>
      <c r="R364" s="100">
        <f>IFERROR(VLOOKUP(Tablo518[[#This Row],[ÜRÜN KODU]],YMKODLARI!$A$1:$K$363,6,0)," ")</f>
        <v>37.799999999999997</v>
      </c>
      <c r="S364" s="100">
        <f>IFERROR(Tablo518[[#This Row],[YOLLUK HARİÇ BASKI GRAMI]]/Tablo518[[#This Row],[KALIP GÖZ ADEDİ]]," ")</f>
        <v>9.4499999999999993</v>
      </c>
      <c r="T364" s="100">
        <f t="shared" si="37"/>
        <v>0</v>
      </c>
      <c r="U364" s="100">
        <v>4.5999999999999996</v>
      </c>
      <c r="V364" s="100">
        <f t="shared" si="36"/>
        <v>40.698999999999998</v>
      </c>
      <c r="W364" s="101">
        <f t="shared" si="38"/>
        <v>24.395833333333332</v>
      </c>
      <c r="X364" s="102">
        <f t="shared" si="39"/>
        <v>9.4999999999999716</v>
      </c>
      <c r="Y364" s="100">
        <f t="shared" si="40"/>
        <v>8.4888888888888889</v>
      </c>
      <c r="Z364" s="100">
        <f t="shared" si="41"/>
        <v>3820</v>
      </c>
    </row>
    <row r="365" spans="1:26">
      <c r="A365" s="108" t="s">
        <v>238</v>
      </c>
      <c r="B365" s="108" t="str">
        <f>IFERROR(VLOOKUP(Tablo518[[#This Row],[ÜRÜN KODU]],YMKODLARI!$A$1:$K$363,2,0)," ")</f>
        <v>GENİŞ AĞIZ BİBERON VİDA</v>
      </c>
      <c r="C365" s="99">
        <v>44160</v>
      </c>
      <c r="D365" s="100" t="s">
        <v>37</v>
      </c>
      <c r="E365" s="101">
        <v>0.33333333333333331</v>
      </c>
      <c r="F365" s="101">
        <v>0.75</v>
      </c>
      <c r="G365" s="100">
        <f>IFERROR(VLOOKUP(Tablo518[[#This Row],[ÜRÜN KODU]],YMKODLARI!$A$1:$K$363,3,0)," ")</f>
        <v>4</v>
      </c>
      <c r="H365" s="100">
        <f>IFERROR(VLOOKUP(Tablo518[[#This Row],[ÜRÜN KODU]],YMKODLARI!$A$1:$K$363,4,0)," ")</f>
        <v>32</v>
      </c>
      <c r="I365" s="100">
        <v>471</v>
      </c>
      <c r="J365" s="100">
        <f>IFERROR(VLOOKUP(Tablo518[[#This Row],[ÜRÜN KODU]],YMKODLARI!$A$1:$K$363,9,0)," ")</f>
        <v>5287</v>
      </c>
      <c r="K365" s="100" t="str">
        <f>IFERROR(VLOOKUP(Tablo518[[#This Row],[BOYA KODU]],Tablo14[#All],4,0)," ")</f>
        <v>MAVİ</v>
      </c>
      <c r="L365" s="100">
        <f>IFERROR(VLOOKUP(Tablo518[[#This Row],[BOYA KODU]],Tablo14[#All],6,0)," ")</f>
        <v>5.0000000000000001E-3</v>
      </c>
      <c r="M365" s="100">
        <f t="shared" si="35"/>
        <v>89.018999999999991</v>
      </c>
      <c r="N365" s="100" t="str">
        <f>IFERROR(VLOOKUP(Tablo518[[#This Row],[ÜRÜN KODU]],YMKODLARI!$A$1:$K$363,8,0)," ")</f>
        <v>HM 001</v>
      </c>
      <c r="O365" s="100" t="str">
        <f>IFERROR(VLOOKUP(Tablo518[[#This Row],[HAMMADDE KODU]],Tablo1[#All],3,0)," ")</f>
        <v>CAPILENE</v>
      </c>
      <c r="P365" s="100" t="str">
        <f>IFERROR(VLOOKUP(Tablo518[[#This Row],[HAMMADDE KODU]],Tablo1[#All],4,0)," ")</f>
        <v>PİNHAS</v>
      </c>
      <c r="Q365" s="100">
        <f>IFERROR(VLOOKUP(Tablo518[[#This Row],[ÜRÜN KODU]],YMKODLARI!$A$1:$K$363,5,0)," ")</f>
        <v>37.799999999999997</v>
      </c>
      <c r="R365" s="100">
        <f>IFERROR(VLOOKUP(Tablo518[[#This Row],[ÜRÜN KODU]],YMKODLARI!$A$1:$K$363,6,0)," ")</f>
        <v>37.799999999999997</v>
      </c>
      <c r="S365" s="100">
        <f>IFERROR(Tablo518[[#This Row],[YOLLUK HARİÇ BASKI GRAMI]]/Tablo518[[#This Row],[KALIP GÖZ ADEDİ]]," ")</f>
        <v>9.4499999999999993</v>
      </c>
      <c r="T365" s="100">
        <f t="shared" si="37"/>
        <v>0</v>
      </c>
      <c r="U365" s="100"/>
      <c r="V365" s="100">
        <f t="shared" si="36"/>
        <v>17.803799999999999</v>
      </c>
      <c r="W365" s="101">
        <f t="shared" si="38"/>
        <v>24.416666666666668</v>
      </c>
      <c r="X365" s="102">
        <f t="shared" si="39"/>
        <v>10.000000000000028</v>
      </c>
      <c r="Y365" s="100">
        <f t="shared" si="40"/>
        <v>4.1866666666666665</v>
      </c>
      <c r="Z365" s="100">
        <f t="shared" si="41"/>
        <v>1884</v>
      </c>
    </row>
    <row r="366" spans="1:26">
      <c r="A366" s="108" t="s">
        <v>244</v>
      </c>
      <c r="B366" s="108" t="str">
        <f>IFERROR(VLOOKUP(Tablo518[[#This Row],[ÜRÜN KODU]],YMKODLARI!$A$1:$K$363,2,0)," ")</f>
        <v>GENİŞ AĞIZ BİBERON VİDA</v>
      </c>
      <c r="C366" s="99">
        <v>44160</v>
      </c>
      <c r="D366" s="100" t="s">
        <v>37</v>
      </c>
      <c r="E366" s="101">
        <v>0.50694444444444442</v>
      </c>
      <c r="F366" s="101">
        <v>0.75</v>
      </c>
      <c r="G366" s="100">
        <f>IFERROR(VLOOKUP(Tablo518[[#This Row],[ÜRÜN KODU]],YMKODLARI!$A$1:$K$363,3,0)," ")</f>
        <v>4</v>
      </c>
      <c r="H366" s="100">
        <f>IFERROR(VLOOKUP(Tablo518[[#This Row],[ÜRÜN KODU]],YMKODLARI!$A$1:$K$363,4,0)," ")</f>
        <v>32</v>
      </c>
      <c r="I366" s="100">
        <v>553</v>
      </c>
      <c r="J366" s="100">
        <f>IFERROR(VLOOKUP(Tablo518[[#This Row],[ÜRÜN KODU]],YMKODLARI!$A$1:$K$363,9,0)," ")</f>
        <v>4090</v>
      </c>
      <c r="K366" s="100" t="str">
        <f>IFERROR(VLOOKUP(Tablo518[[#This Row],[BOYA KODU]],Tablo14[#All],4,0)," ")</f>
        <v>LİLA</v>
      </c>
      <c r="L366" s="100">
        <f>IFERROR(VLOOKUP(Tablo518[[#This Row],[BOYA KODU]],Tablo14[#All],6,0)," ")</f>
        <v>5.0000000000000001E-3</v>
      </c>
      <c r="M366" s="100">
        <f t="shared" si="35"/>
        <v>104.517</v>
      </c>
      <c r="N366" s="100" t="str">
        <f>IFERROR(VLOOKUP(Tablo518[[#This Row],[ÜRÜN KODU]],YMKODLARI!$A$1:$K$363,8,0)," ")</f>
        <v>HM 001</v>
      </c>
      <c r="O366" s="100" t="str">
        <f>IFERROR(VLOOKUP(Tablo518[[#This Row],[HAMMADDE KODU]],Tablo1[#All],3,0)," ")</f>
        <v>CAPILENE</v>
      </c>
      <c r="P366" s="100" t="str">
        <f>IFERROR(VLOOKUP(Tablo518[[#This Row],[HAMMADDE KODU]],Tablo1[#All],4,0)," ")</f>
        <v>PİNHAS</v>
      </c>
      <c r="Q366" s="100">
        <f>IFERROR(VLOOKUP(Tablo518[[#This Row],[ÜRÜN KODU]],YMKODLARI!$A$1:$K$363,5,0)," ")</f>
        <v>37.799999999999997</v>
      </c>
      <c r="R366" s="100">
        <f>IFERROR(VLOOKUP(Tablo518[[#This Row],[ÜRÜN KODU]],YMKODLARI!$A$1:$K$363,6,0)," ")</f>
        <v>37.799999999999997</v>
      </c>
      <c r="S366" s="100">
        <f>IFERROR(Tablo518[[#This Row],[YOLLUK HARİÇ BASKI GRAMI]]/Tablo518[[#This Row],[KALIP GÖZ ADEDİ]]," ")</f>
        <v>9.4499999999999993</v>
      </c>
      <c r="T366" s="100">
        <f t="shared" si="37"/>
        <v>0</v>
      </c>
      <c r="U366" s="100"/>
      <c r="V366" s="100">
        <f t="shared" si="36"/>
        <v>20.903399999999998</v>
      </c>
      <c r="W366" s="101">
        <f t="shared" si="38"/>
        <v>24.243055555555557</v>
      </c>
      <c r="X366" s="102">
        <f t="shared" si="39"/>
        <v>5.8333333333333712</v>
      </c>
      <c r="Y366" s="100">
        <f t="shared" si="40"/>
        <v>4.9155555555555557</v>
      </c>
      <c r="Z366" s="100">
        <f t="shared" si="41"/>
        <v>2212</v>
      </c>
    </row>
    <row r="367" spans="1:26">
      <c r="A367" s="108" t="s">
        <v>244</v>
      </c>
      <c r="B367" s="108" t="str">
        <f>IFERROR(VLOOKUP(Tablo518[[#This Row],[ÜRÜN KODU]],YMKODLARI!$A$1:$K$363,2,0)," ")</f>
        <v>GENİŞ AĞIZ BİBERON VİDA</v>
      </c>
      <c r="C367" s="99">
        <v>44161</v>
      </c>
      <c r="D367" s="100" t="s">
        <v>37</v>
      </c>
      <c r="E367" s="101">
        <v>0.33333333333333331</v>
      </c>
      <c r="F367" s="101">
        <v>0.41666666666666669</v>
      </c>
      <c r="G367" s="100">
        <f>IFERROR(VLOOKUP(Tablo518[[#This Row],[ÜRÜN KODU]],YMKODLARI!$A$1:$K$363,3,0)," ")</f>
        <v>4</v>
      </c>
      <c r="H367" s="100">
        <f>IFERROR(VLOOKUP(Tablo518[[#This Row],[ÜRÜN KODU]],YMKODLARI!$A$1:$K$363,4,0)," ")</f>
        <v>32</v>
      </c>
      <c r="I367" s="100">
        <v>225</v>
      </c>
      <c r="J367" s="100">
        <f>IFERROR(VLOOKUP(Tablo518[[#This Row],[ÜRÜN KODU]],YMKODLARI!$A$1:$K$363,9,0)," ")</f>
        <v>4090</v>
      </c>
      <c r="K367" s="100" t="str">
        <f>IFERROR(VLOOKUP(Tablo518[[#This Row],[BOYA KODU]],Tablo14[#All],4,0)," ")</f>
        <v>LİLA</v>
      </c>
      <c r="L367" s="100">
        <f>IFERROR(VLOOKUP(Tablo518[[#This Row],[BOYA KODU]],Tablo14[#All],6,0)," ")</f>
        <v>5.0000000000000001E-3</v>
      </c>
      <c r="M367" s="100">
        <f t="shared" si="35"/>
        <v>42.524999999999999</v>
      </c>
      <c r="N367" s="100" t="str">
        <f>IFERROR(VLOOKUP(Tablo518[[#This Row],[ÜRÜN KODU]],YMKODLARI!$A$1:$K$363,8,0)," ")</f>
        <v>HM 001</v>
      </c>
      <c r="O367" s="100" t="str">
        <f>IFERROR(VLOOKUP(Tablo518[[#This Row],[HAMMADDE KODU]],Tablo1[#All],3,0)," ")</f>
        <v>CAPILENE</v>
      </c>
      <c r="P367" s="100" t="str">
        <f>IFERROR(VLOOKUP(Tablo518[[#This Row],[HAMMADDE KODU]],Tablo1[#All],4,0)," ")</f>
        <v>PİNHAS</v>
      </c>
      <c r="Q367" s="100">
        <f>IFERROR(VLOOKUP(Tablo518[[#This Row],[ÜRÜN KODU]],YMKODLARI!$A$1:$K$363,5,0)," ")</f>
        <v>37.799999999999997</v>
      </c>
      <c r="R367" s="100">
        <f>IFERROR(VLOOKUP(Tablo518[[#This Row],[ÜRÜN KODU]],YMKODLARI!$A$1:$K$363,6,0)," ")</f>
        <v>37.799999999999997</v>
      </c>
      <c r="S367" s="100">
        <f>IFERROR(Tablo518[[#This Row],[YOLLUK HARİÇ BASKI GRAMI]]/Tablo518[[#This Row],[KALIP GÖZ ADEDİ]]," ")</f>
        <v>9.4499999999999993</v>
      </c>
      <c r="T367" s="100">
        <f t="shared" si="37"/>
        <v>0</v>
      </c>
      <c r="U367" s="100">
        <v>3.8</v>
      </c>
      <c r="V367" s="100">
        <f t="shared" si="36"/>
        <v>12.305</v>
      </c>
      <c r="W367" s="101">
        <f t="shared" si="38"/>
        <v>24.083333333333332</v>
      </c>
      <c r="X367" s="102">
        <f t="shared" si="39"/>
        <v>1.9999999999999716</v>
      </c>
      <c r="Y367" s="100">
        <f t="shared" si="40"/>
        <v>2</v>
      </c>
      <c r="Z367" s="100">
        <f t="shared" si="41"/>
        <v>900</v>
      </c>
    </row>
    <row r="368" spans="1:26">
      <c r="A368" s="108"/>
      <c r="B368" s="108" t="str">
        <f>IFERROR(VLOOKUP(Tablo518[[#This Row],[ÜRÜN KODU]],YMKODLARI!$A$1:$K$363,2,0)," ")</f>
        <v xml:space="preserve"> </v>
      </c>
      <c r="C368" s="99"/>
      <c r="D368" s="100"/>
      <c r="E368" s="101"/>
      <c r="F368" s="101"/>
      <c r="G368" s="100" t="str">
        <f>IFERROR(VLOOKUP(Tablo518[[#This Row],[ÜRÜN KODU]],YMKODLARI!$A$1:$K$363,3,0)," ")</f>
        <v xml:space="preserve"> </v>
      </c>
      <c r="H368" s="100" t="str">
        <f>IFERROR(VLOOKUP(Tablo518[[#This Row],[ÜRÜN KODU]],YMKODLARI!$A$1:$K$363,4,0)," ")</f>
        <v xml:space="preserve"> </v>
      </c>
      <c r="I368" s="100"/>
      <c r="J368" s="100" t="str">
        <f>IFERROR(VLOOKUP(Tablo518[[#This Row],[ÜRÜN KODU]],YMKODLARI!$A$1:$K$363,9,0)," ")</f>
        <v xml:space="preserve"> </v>
      </c>
      <c r="K368" s="100" t="str">
        <f>IFERROR(VLOOKUP(Tablo518[[#This Row],[BOYA KODU]],Tablo14[#All],4,0)," ")</f>
        <v xml:space="preserve"> </v>
      </c>
      <c r="L368" s="100" t="str">
        <f>IFERROR(VLOOKUP(Tablo518[[#This Row],[BOYA KODU]],Tablo14[#All],6,0)," ")</f>
        <v xml:space="preserve"> </v>
      </c>
      <c r="M368" s="100" t="str">
        <f t="shared" si="35"/>
        <v xml:space="preserve"> </v>
      </c>
      <c r="N368" s="100" t="str">
        <f>IFERROR(VLOOKUP(Tablo518[[#This Row],[ÜRÜN KODU]],YMKODLARI!$A$1:$K$363,8,0)," ")</f>
        <v xml:space="preserve"> </v>
      </c>
      <c r="O368" s="100" t="str">
        <f>IFERROR(VLOOKUP(Tablo518[[#This Row],[HAMMADDE KODU]],Tablo1[#All],3,0)," ")</f>
        <v xml:space="preserve"> </v>
      </c>
      <c r="P368" s="100" t="str">
        <f>IFERROR(VLOOKUP(Tablo518[[#This Row],[HAMMADDE KODU]],Tablo1[#All],4,0)," ")</f>
        <v xml:space="preserve"> </v>
      </c>
      <c r="Q368" s="100" t="str">
        <f>IFERROR(VLOOKUP(Tablo518[[#This Row],[ÜRÜN KODU]],YMKODLARI!$A$1:$K$363,5,0)," ")</f>
        <v xml:space="preserve"> </v>
      </c>
      <c r="R368" s="100" t="str">
        <f>IFERROR(VLOOKUP(Tablo518[[#This Row],[ÜRÜN KODU]],YMKODLARI!$A$1:$K$363,6,0)," ")</f>
        <v xml:space="preserve"> </v>
      </c>
      <c r="S368" s="100" t="str">
        <f>IFERROR(Tablo518[[#This Row],[YOLLUK HARİÇ BASKI GRAMI]]/Tablo518[[#This Row],[KALIP GÖZ ADEDİ]]," ")</f>
        <v xml:space="preserve"> </v>
      </c>
      <c r="T368" s="100" t="str">
        <f t="shared" si="37"/>
        <v xml:space="preserve"> </v>
      </c>
      <c r="U368" s="100"/>
      <c r="V368" s="100" t="str">
        <f t="shared" si="36"/>
        <v xml:space="preserve"> </v>
      </c>
      <c r="W368" s="101">
        <f t="shared" si="38"/>
        <v>24</v>
      </c>
      <c r="X368" s="102">
        <f t="shared" si="39"/>
        <v>0</v>
      </c>
      <c r="Y368" s="100" t="str">
        <f t="shared" si="40"/>
        <v xml:space="preserve"> </v>
      </c>
      <c r="Z368" s="100" t="str">
        <f t="shared" si="41"/>
        <v xml:space="preserve"> </v>
      </c>
    </row>
    <row r="369" spans="1:26">
      <c r="A369" s="108"/>
      <c r="B369" s="108" t="str">
        <f>IFERROR(VLOOKUP(Tablo518[[#This Row],[ÜRÜN KODU]],YMKODLARI!$A$1:$K$363,2,0)," ")</f>
        <v xml:space="preserve"> </v>
      </c>
      <c r="C369" s="99"/>
      <c r="D369" s="100"/>
      <c r="E369" s="101"/>
      <c r="F369" s="101"/>
      <c r="G369" s="100" t="str">
        <f>IFERROR(VLOOKUP(Tablo518[[#This Row],[ÜRÜN KODU]],YMKODLARI!$A$1:$K$363,3,0)," ")</f>
        <v xml:space="preserve"> </v>
      </c>
      <c r="H369" s="100" t="str">
        <f>IFERROR(VLOOKUP(Tablo518[[#This Row],[ÜRÜN KODU]],YMKODLARI!$A$1:$K$363,4,0)," ")</f>
        <v xml:space="preserve"> </v>
      </c>
      <c r="I369" s="100"/>
      <c r="J369" s="100" t="str">
        <f>IFERROR(VLOOKUP(Tablo518[[#This Row],[ÜRÜN KODU]],YMKODLARI!$A$1:$K$363,9,0)," ")</f>
        <v xml:space="preserve"> </v>
      </c>
      <c r="K369" s="100" t="str">
        <f>IFERROR(VLOOKUP(Tablo518[[#This Row],[BOYA KODU]],Tablo14[#All],4,0)," ")</f>
        <v xml:space="preserve"> </v>
      </c>
      <c r="L369" s="100" t="str">
        <f>IFERROR(VLOOKUP(Tablo518[[#This Row],[BOYA KODU]],Tablo14[#All],6,0)," ")</f>
        <v xml:space="preserve"> </v>
      </c>
      <c r="M369" s="100" t="str">
        <f t="shared" si="35"/>
        <v xml:space="preserve"> </v>
      </c>
      <c r="N369" s="100" t="str">
        <f>IFERROR(VLOOKUP(Tablo518[[#This Row],[ÜRÜN KODU]],YMKODLARI!$A$1:$K$363,8,0)," ")</f>
        <v xml:space="preserve"> </v>
      </c>
      <c r="O369" s="100" t="str">
        <f>IFERROR(VLOOKUP(Tablo518[[#This Row],[HAMMADDE KODU]],Tablo1[#All],3,0)," ")</f>
        <v xml:space="preserve"> </v>
      </c>
      <c r="P369" s="100" t="str">
        <f>IFERROR(VLOOKUP(Tablo518[[#This Row],[HAMMADDE KODU]],Tablo1[#All],4,0)," ")</f>
        <v xml:space="preserve"> </v>
      </c>
      <c r="Q369" s="100" t="str">
        <f>IFERROR(VLOOKUP(Tablo518[[#This Row],[ÜRÜN KODU]],YMKODLARI!$A$1:$K$363,5,0)," ")</f>
        <v xml:space="preserve"> </v>
      </c>
      <c r="R369" s="100" t="str">
        <f>IFERROR(VLOOKUP(Tablo518[[#This Row],[ÜRÜN KODU]],YMKODLARI!$A$1:$K$363,6,0)," ")</f>
        <v xml:space="preserve"> </v>
      </c>
      <c r="S369" s="100" t="str">
        <f>IFERROR(Tablo518[[#This Row],[YOLLUK HARİÇ BASKI GRAMI]]/Tablo518[[#This Row],[KALIP GÖZ ADEDİ]]," ")</f>
        <v xml:space="preserve"> </v>
      </c>
      <c r="T369" s="100" t="str">
        <f t="shared" si="37"/>
        <v xml:space="preserve"> </v>
      </c>
      <c r="U369" s="100"/>
      <c r="V369" s="100" t="str">
        <f t="shared" si="36"/>
        <v xml:space="preserve"> </v>
      </c>
      <c r="W369" s="101">
        <f t="shared" si="38"/>
        <v>24</v>
      </c>
      <c r="X369" s="102">
        <f t="shared" si="39"/>
        <v>0</v>
      </c>
      <c r="Y369" s="100" t="str">
        <f t="shared" si="40"/>
        <v xml:space="preserve"> </v>
      </c>
      <c r="Z369" s="100" t="str">
        <f t="shared" si="41"/>
        <v xml:space="preserve"> </v>
      </c>
    </row>
    <row r="370" spans="1:26">
      <c r="A370" s="108"/>
      <c r="B370" s="108" t="str">
        <f>IFERROR(VLOOKUP(Tablo518[[#This Row],[ÜRÜN KODU]],YMKODLARI!$A$1:$K$363,2,0)," ")</f>
        <v xml:space="preserve"> </v>
      </c>
      <c r="C370" s="99"/>
      <c r="D370" s="100"/>
      <c r="E370" s="101"/>
      <c r="F370" s="101"/>
      <c r="G370" s="100" t="str">
        <f>IFERROR(VLOOKUP(Tablo518[[#This Row],[ÜRÜN KODU]],YMKODLARI!$A$1:$K$363,3,0)," ")</f>
        <v xml:space="preserve"> </v>
      </c>
      <c r="H370" s="100" t="str">
        <f>IFERROR(VLOOKUP(Tablo518[[#This Row],[ÜRÜN KODU]],YMKODLARI!$A$1:$K$363,4,0)," ")</f>
        <v xml:space="preserve"> </v>
      </c>
      <c r="I370" s="100"/>
      <c r="J370" s="100" t="str">
        <f>IFERROR(VLOOKUP(Tablo518[[#This Row],[ÜRÜN KODU]],YMKODLARI!$A$1:$K$363,9,0)," ")</f>
        <v xml:space="preserve"> </v>
      </c>
      <c r="K370" s="100"/>
      <c r="L370" s="100" t="str">
        <f>IFERROR(VLOOKUP(Tablo518[[#This Row],[BOYA KODU]],Tablo14[#All],6,0)," ")</f>
        <v xml:space="preserve"> </v>
      </c>
      <c r="M370" s="100" t="str">
        <f t="shared" si="35"/>
        <v xml:space="preserve"> </v>
      </c>
      <c r="N370" s="100" t="str">
        <f>IFERROR(VLOOKUP(Tablo518[[#This Row],[ÜRÜN KODU]],YMKODLARI!$A$1:$K$363,8,0)," ")</f>
        <v xml:space="preserve"> </v>
      </c>
      <c r="O370" s="100" t="str">
        <f>IFERROR(VLOOKUP(Tablo518[[#This Row],[HAMMADDE KODU]],Tablo1[#All],3,0)," ")</f>
        <v xml:space="preserve"> </v>
      </c>
      <c r="P370" s="100" t="str">
        <f>IFERROR(VLOOKUP(Tablo518[[#This Row],[HAMMADDE KODU]],Tablo1[#All],4,0)," ")</f>
        <v xml:space="preserve"> </v>
      </c>
      <c r="Q370" s="100" t="str">
        <f>IFERROR(VLOOKUP(Tablo518[[#This Row],[ÜRÜN KODU]],YMKODLARI!$A$1:$K$363,5,0)," ")</f>
        <v xml:space="preserve"> </v>
      </c>
      <c r="R370" s="100" t="str">
        <f>IFERROR(VLOOKUP(Tablo518[[#This Row],[ÜRÜN KODU]],YMKODLARI!$A$1:$K$363,6,0)," ")</f>
        <v xml:space="preserve"> </v>
      </c>
      <c r="S370" s="100" t="str">
        <f>IFERROR(Tablo518[[#This Row],[YOLLUK HARİÇ BASKI GRAMI]]/Tablo518[[#This Row],[KALIP GÖZ ADEDİ]]," ")</f>
        <v xml:space="preserve"> </v>
      </c>
      <c r="T370" s="100" t="str">
        <f t="shared" si="37"/>
        <v xml:space="preserve"> </v>
      </c>
      <c r="U370" s="100"/>
      <c r="V370" s="100" t="str">
        <f t="shared" si="36"/>
        <v xml:space="preserve"> </v>
      </c>
      <c r="W370" s="101">
        <f t="shared" si="38"/>
        <v>24</v>
      </c>
      <c r="X370" s="102">
        <f t="shared" si="39"/>
        <v>0</v>
      </c>
      <c r="Y370" s="100" t="str">
        <f t="shared" si="40"/>
        <v xml:space="preserve"> </v>
      </c>
      <c r="Z370" s="100" t="str">
        <f t="shared" si="41"/>
        <v xml:space="preserve"> </v>
      </c>
    </row>
    <row r="371" spans="1:26">
      <c r="A371" s="108"/>
      <c r="B371" s="108" t="str">
        <f>IFERROR(VLOOKUP(Tablo518[[#This Row],[ÜRÜN KODU]],YMKODLARI!$A$1:$K$363,2,0)," ")</f>
        <v xml:space="preserve"> </v>
      </c>
      <c r="C371" s="99"/>
      <c r="D371" s="100"/>
      <c r="E371" s="101"/>
      <c r="F371" s="101"/>
      <c r="G371" s="100" t="str">
        <f>IFERROR(VLOOKUP(Tablo518[[#This Row],[ÜRÜN KODU]],YMKODLARI!$A$1:$K$363,3,0)," ")</f>
        <v xml:space="preserve"> </v>
      </c>
      <c r="H371" s="100" t="str">
        <f>IFERROR(VLOOKUP(Tablo518[[#This Row],[ÜRÜN KODU]],YMKODLARI!$A$1:$K$363,4,0)," ")</f>
        <v xml:space="preserve"> </v>
      </c>
      <c r="I371" s="100"/>
      <c r="J371" s="100" t="str">
        <f>IFERROR(VLOOKUP(Tablo518[[#This Row],[ÜRÜN KODU]],YMKODLARI!$A$1:$K$363,9,0)," ")</f>
        <v xml:space="preserve"> </v>
      </c>
      <c r="K371" s="100" t="str">
        <f>IFERROR(VLOOKUP(Tablo518[[#This Row],[BOYA KODU]],Tablo14[#All],4,0)," ")</f>
        <v xml:space="preserve"> </v>
      </c>
      <c r="L371" s="100" t="str">
        <f>IFERROR(VLOOKUP(Tablo518[[#This Row],[BOYA KODU]],Tablo14[#All],6,0)," ")</f>
        <v xml:space="preserve"> </v>
      </c>
      <c r="M371" s="100" t="str">
        <f t="shared" si="35"/>
        <v xml:space="preserve"> </v>
      </c>
      <c r="N371" s="100" t="str">
        <f>IFERROR(VLOOKUP(Tablo518[[#This Row],[ÜRÜN KODU]],YMKODLARI!$A$1:$K$363,8,0)," ")</f>
        <v xml:space="preserve"> </v>
      </c>
      <c r="O371" s="100" t="str">
        <f>IFERROR(VLOOKUP(Tablo518[[#This Row],[HAMMADDE KODU]],Tablo1[#All],3,0)," ")</f>
        <v xml:space="preserve"> </v>
      </c>
      <c r="P371" s="100" t="str">
        <f>IFERROR(VLOOKUP(Tablo518[[#This Row],[HAMMADDE KODU]],Tablo1[#All],4,0)," ")</f>
        <v xml:space="preserve"> </v>
      </c>
      <c r="Q371" s="100" t="str">
        <f>IFERROR(VLOOKUP(Tablo518[[#This Row],[ÜRÜN KODU]],YMKODLARI!$A$1:$K$363,5,0)," ")</f>
        <v xml:space="preserve"> </v>
      </c>
      <c r="R371" s="100" t="str">
        <f>IFERROR(VLOOKUP(Tablo518[[#This Row],[ÜRÜN KODU]],YMKODLARI!$A$1:$K$363,6,0)," ")</f>
        <v xml:space="preserve"> </v>
      </c>
      <c r="S371" s="100" t="str">
        <f>IFERROR(Tablo518[[#This Row],[YOLLUK HARİÇ BASKI GRAMI]]/Tablo518[[#This Row],[KALIP GÖZ ADEDİ]]," ")</f>
        <v xml:space="preserve"> </v>
      </c>
      <c r="T371" s="100" t="str">
        <f t="shared" si="37"/>
        <v xml:space="preserve"> </v>
      </c>
      <c r="U371" s="100"/>
      <c r="V371" s="100" t="str">
        <f t="shared" si="36"/>
        <v xml:space="preserve"> </v>
      </c>
      <c r="W371" s="101">
        <f t="shared" si="38"/>
        <v>24</v>
      </c>
      <c r="X371" s="102">
        <f t="shared" si="39"/>
        <v>0</v>
      </c>
      <c r="Y371" s="100" t="str">
        <f t="shared" si="40"/>
        <v xml:space="preserve"> </v>
      </c>
      <c r="Z371" s="100" t="str">
        <f t="shared" si="41"/>
        <v xml:space="preserve"> </v>
      </c>
    </row>
    <row r="372" spans="1:26">
      <c r="A372" s="108"/>
      <c r="B372" s="108" t="str">
        <f>IFERROR(VLOOKUP(Tablo518[[#This Row],[ÜRÜN KODU]],YMKODLARI!$A$1:$K$363,2,0)," ")</f>
        <v xml:space="preserve"> </v>
      </c>
      <c r="C372" s="99"/>
      <c r="D372" s="100"/>
      <c r="E372" s="101"/>
      <c r="F372" s="101"/>
      <c r="G372" s="100" t="str">
        <f>IFERROR(VLOOKUP(Tablo518[[#This Row],[ÜRÜN KODU]],YMKODLARI!$A$1:$K$363,3,0)," ")</f>
        <v xml:space="preserve"> </v>
      </c>
      <c r="H372" s="100" t="str">
        <f>IFERROR(VLOOKUP(Tablo518[[#This Row],[ÜRÜN KODU]],YMKODLARI!$A$1:$K$363,4,0)," ")</f>
        <v xml:space="preserve"> </v>
      </c>
      <c r="I372" s="100"/>
      <c r="J372" s="100" t="str">
        <f>IFERROR(VLOOKUP(Tablo518[[#This Row],[ÜRÜN KODU]],YMKODLARI!$A$1:$K$363,9,0)," ")</f>
        <v xml:space="preserve"> </v>
      </c>
      <c r="K372" s="100" t="str">
        <f>IFERROR(VLOOKUP(Tablo518[[#This Row],[BOYA KODU]],Tablo14[#All],4,0)," ")</f>
        <v xml:space="preserve"> </v>
      </c>
      <c r="L372" s="100" t="str">
        <f>IFERROR(VLOOKUP(Tablo518[[#This Row],[BOYA KODU]],Tablo14[#All],6,0)," ")</f>
        <v xml:space="preserve"> </v>
      </c>
      <c r="M372" s="100" t="str">
        <f t="shared" si="35"/>
        <v xml:space="preserve"> </v>
      </c>
      <c r="N372" s="100" t="str">
        <f>IFERROR(VLOOKUP(Tablo518[[#This Row],[ÜRÜN KODU]],YMKODLARI!$A$1:$K$363,8,0)," ")</f>
        <v xml:space="preserve"> </v>
      </c>
      <c r="O372" s="100" t="str">
        <f>IFERROR(VLOOKUP(Tablo518[[#This Row],[HAMMADDE KODU]],Tablo1[#All],3,0)," ")</f>
        <v xml:space="preserve"> </v>
      </c>
      <c r="P372" s="100" t="str">
        <f>IFERROR(VLOOKUP(Tablo518[[#This Row],[HAMMADDE KODU]],Tablo1[#All],4,0)," ")</f>
        <v xml:space="preserve"> </v>
      </c>
      <c r="Q372" s="100" t="str">
        <f>IFERROR(VLOOKUP(Tablo518[[#This Row],[ÜRÜN KODU]],YMKODLARI!$A$1:$K$363,5,0)," ")</f>
        <v xml:space="preserve"> </v>
      </c>
      <c r="R372" s="100" t="str">
        <f>IFERROR(VLOOKUP(Tablo518[[#This Row],[ÜRÜN KODU]],YMKODLARI!$A$1:$K$363,6,0)," ")</f>
        <v xml:space="preserve"> </v>
      </c>
      <c r="S372" s="100" t="str">
        <f>IFERROR(Tablo518[[#This Row],[YOLLUK HARİÇ BASKI GRAMI]]/Tablo518[[#This Row],[KALIP GÖZ ADEDİ]]," ")</f>
        <v xml:space="preserve"> </v>
      </c>
      <c r="T372" s="100" t="str">
        <f t="shared" si="37"/>
        <v xml:space="preserve"> </v>
      </c>
      <c r="U372" s="100"/>
      <c r="V372" s="100" t="str">
        <f t="shared" si="36"/>
        <v xml:space="preserve"> </v>
      </c>
      <c r="W372" s="101">
        <f t="shared" si="38"/>
        <v>24</v>
      </c>
      <c r="X372" s="102">
        <f t="shared" si="39"/>
        <v>0</v>
      </c>
      <c r="Y372" s="100" t="str">
        <f t="shared" si="40"/>
        <v xml:space="preserve"> </v>
      </c>
      <c r="Z372" s="100" t="str">
        <f t="shared" si="41"/>
        <v xml:space="preserve"> </v>
      </c>
    </row>
    <row r="373" spans="1:26">
      <c r="A373" s="108"/>
      <c r="B373" s="108" t="str">
        <f>IFERROR(VLOOKUP(Tablo518[[#This Row],[ÜRÜN KODU]],YMKODLARI!$A$1:$K$363,2,0)," ")</f>
        <v xml:space="preserve"> </v>
      </c>
      <c r="C373" s="99"/>
      <c r="D373" s="100"/>
      <c r="E373" s="101"/>
      <c r="F373" s="101"/>
      <c r="G373" s="100" t="str">
        <f>IFERROR(VLOOKUP(Tablo518[[#This Row],[ÜRÜN KODU]],YMKODLARI!$A$1:$K$363,3,0)," ")</f>
        <v xml:space="preserve"> </v>
      </c>
      <c r="H373" s="100" t="str">
        <f>IFERROR(VLOOKUP(Tablo518[[#This Row],[ÜRÜN KODU]],YMKODLARI!$A$1:$K$363,4,0)," ")</f>
        <v xml:space="preserve"> </v>
      </c>
      <c r="I373" s="100"/>
      <c r="J373" s="100" t="str">
        <f>IFERROR(VLOOKUP(Tablo518[[#This Row],[ÜRÜN KODU]],YMKODLARI!$A$1:$K$363,9,0)," ")</f>
        <v xml:space="preserve"> </v>
      </c>
      <c r="K373" s="100" t="str">
        <f>IFERROR(VLOOKUP(Tablo518[[#This Row],[BOYA KODU]],Tablo14[#All],4,0)," ")</f>
        <v xml:space="preserve"> </v>
      </c>
      <c r="L373" s="100" t="str">
        <f>IFERROR(VLOOKUP(Tablo518[[#This Row],[BOYA KODU]],Tablo14[#All],6,0)," ")</f>
        <v xml:space="preserve"> </v>
      </c>
      <c r="M373" s="100" t="str">
        <f t="shared" si="35"/>
        <v xml:space="preserve"> </v>
      </c>
      <c r="N373" s="100" t="str">
        <f>IFERROR(VLOOKUP(Tablo518[[#This Row],[ÜRÜN KODU]],YMKODLARI!$A$1:$K$363,8,0)," ")</f>
        <v xml:space="preserve"> </v>
      </c>
      <c r="O373" s="100" t="str">
        <f>IFERROR(VLOOKUP(Tablo518[[#This Row],[HAMMADDE KODU]],Tablo1[#All],3,0)," ")</f>
        <v xml:space="preserve"> </v>
      </c>
      <c r="P373" s="100" t="str">
        <f>IFERROR(VLOOKUP(Tablo518[[#This Row],[HAMMADDE KODU]],Tablo1[#All],4,0)," ")</f>
        <v xml:space="preserve"> </v>
      </c>
      <c r="Q373" s="100" t="str">
        <f>IFERROR(VLOOKUP(Tablo518[[#This Row],[ÜRÜN KODU]],YMKODLARI!$A$1:$K$363,5,0)," ")</f>
        <v xml:space="preserve"> </v>
      </c>
      <c r="R373" s="100" t="str">
        <f>IFERROR(VLOOKUP(Tablo518[[#This Row],[ÜRÜN KODU]],YMKODLARI!$A$1:$K$363,6,0)," ")</f>
        <v xml:space="preserve"> </v>
      </c>
      <c r="S373" s="100" t="str">
        <f>IFERROR(Tablo518[[#This Row],[YOLLUK HARİÇ BASKI GRAMI]]/Tablo518[[#This Row],[KALIP GÖZ ADEDİ]]," ")</f>
        <v xml:space="preserve"> </v>
      </c>
      <c r="T373" s="100" t="str">
        <f t="shared" si="37"/>
        <v xml:space="preserve"> </v>
      </c>
      <c r="U373" s="100"/>
      <c r="V373" s="100" t="str">
        <f t="shared" si="36"/>
        <v xml:space="preserve"> </v>
      </c>
      <c r="W373" s="101">
        <f t="shared" si="38"/>
        <v>24</v>
      </c>
      <c r="X373" s="102">
        <f t="shared" si="39"/>
        <v>0</v>
      </c>
      <c r="Y373" s="100" t="str">
        <f t="shared" si="40"/>
        <v xml:space="preserve"> </v>
      </c>
      <c r="Z373" s="100" t="str">
        <f t="shared" si="41"/>
        <v xml:space="preserve"> </v>
      </c>
    </row>
    <row r="374" spans="1:26">
      <c r="A374" s="108"/>
      <c r="B374" s="108" t="str">
        <f>IFERROR(VLOOKUP(Tablo518[[#This Row],[ÜRÜN KODU]],YMKODLARI!$A$1:$K$363,2,0)," ")</f>
        <v xml:space="preserve"> </v>
      </c>
      <c r="C374" s="99"/>
      <c r="D374" s="100"/>
      <c r="E374" s="101"/>
      <c r="F374" s="101"/>
      <c r="G374" s="100" t="str">
        <f>IFERROR(VLOOKUP(Tablo518[[#This Row],[ÜRÜN KODU]],YMKODLARI!$A$1:$K$363,3,0)," ")</f>
        <v xml:space="preserve"> </v>
      </c>
      <c r="H374" s="100" t="str">
        <f>IFERROR(VLOOKUP(Tablo518[[#This Row],[ÜRÜN KODU]],YMKODLARI!$A$1:$K$363,4,0)," ")</f>
        <v xml:space="preserve"> </v>
      </c>
      <c r="I374" s="100"/>
      <c r="J374" s="100" t="str">
        <f>IFERROR(VLOOKUP(Tablo518[[#This Row],[ÜRÜN KODU]],YMKODLARI!$A$1:$K$363,9,0)," ")</f>
        <v xml:space="preserve"> </v>
      </c>
      <c r="K374" s="100" t="str">
        <f>IFERROR(VLOOKUP(Tablo518[[#This Row],[BOYA KODU]],Tablo14[#All],4,0)," ")</f>
        <v xml:space="preserve"> </v>
      </c>
      <c r="L374" s="100" t="str">
        <f>IFERROR(VLOOKUP(Tablo518[[#This Row],[BOYA KODU]],Tablo14[#All],6,0)," ")</f>
        <v xml:space="preserve"> </v>
      </c>
      <c r="M374" s="100" t="str">
        <f t="shared" si="35"/>
        <v xml:space="preserve"> </v>
      </c>
      <c r="N374" s="100" t="str">
        <f>IFERROR(VLOOKUP(Tablo518[[#This Row],[ÜRÜN KODU]],YMKODLARI!$A$1:$K$363,8,0)," ")</f>
        <v xml:space="preserve"> </v>
      </c>
      <c r="O374" s="100" t="str">
        <f>IFERROR(VLOOKUP(Tablo518[[#This Row],[HAMMADDE KODU]],Tablo1[#All],3,0)," ")</f>
        <v xml:space="preserve"> </v>
      </c>
      <c r="P374" s="100" t="str">
        <f>IFERROR(VLOOKUP(Tablo518[[#This Row],[HAMMADDE KODU]],Tablo1[#All],4,0)," ")</f>
        <v xml:space="preserve"> </v>
      </c>
      <c r="Q374" s="100" t="str">
        <f>IFERROR(VLOOKUP(Tablo518[[#This Row],[ÜRÜN KODU]],YMKODLARI!$A$1:$K$363,5,0)," ")</f>
        <v xml:space="preserve"> </v>
      </c>
      <c r="R374" s="100" t="str">
        <f>IFERROR(VLOOKUP(Tablo518[[#This Row],[ÜRÜN KODU]],YMKODLARI!$A$1:$K$363,6,0)," ")</f>
        <v xml:space="preserve"> </v>
      </c>
      <c r="S374" s="100" t="str">
        <f>IFERROR(Tablo518[[#This Row],[YOLLUK HARİÇ BASKI GRAMI]]/Tablo518[[#This Row],[KALIP GÖZ ADEDİ]]," ")</f>
        <v xml:space="preserve"> </v>
      </c>
      <c r="T374" s="100" t="str">
        <f t="shared" si="37"/>
        <v xml:space="preserve"> </v>
      </c>
      <c r="U374" s="100"/>
      <c r="V374" s="100" t="str">
        <f t="shared" si="36"/>
        <v xml:space="preserve"> </v>
      </c>
      <c r="W374" s="101">
        <f t="shared" si="38"/>
        <v>24</v>
      </c>
      <c r="X374" s="102">
        <f t="shared" si="39"/>
        <v>0</v>
      </c>
      <c r="Y374" s="100" t="str">
        <f t="shared" si="40"/>
        <v xml:space="preserve"> </v>
      </c>
      <c r="Z374" s="100" t="str">
        <f t="shared" si="41"/>
        <v xml:space="preserve"> </v>
      </c>
    </row>
    <row r="375" spans="1:26">
      <c r="A375" s="108"/>
      <c r="B375" s="108" t="str">
        <f>IFERROR(VLOOKUP(Tablo518[[#This Row],[ÜRÜN KODU]],YMKODLARI!$A$1:$K$363,2,0)," ")</f>
        <v xml:space="preserve"> </v>
      </c>
      <c r="C375" s="99"/>
      <c r="D375" s="100"/>
      <c r="E375" s="101"/>
      <c r="F375" s="101"/>
      <c r="G375" s="100" t="str">
        <f>IFERROR(VLOOKUP(Tablo518[[#This Row],[ÜRÜN KODU]],YMKODLARI!$A$1:$K$363,3,0)," ")</f>
        <v xml:space="preserve"> </v>
      </c>
      <c r="H375" s="100" t="str">
        <f>IFERROR(VLOOKUP(Tablo518[[#This Row],[ÜRÜN KODU]],YMKODLARI!$A$1:$K$363,4,0)," ")</f>
        <v xml:space="preserve"> </v>
      </c>
      <c r="I375" s="100"/>
      <c r="J375" s="100" t="str">
        <f>IFERROR(VLOOKUP(Tablo518[[#This Row],[ÜRÜN KODU]],YMKODLARI!$A$1:$K$363,9,0)," ")</f>
        <v xml:space="preserve"> </v>
      </c>
      <c r="K375" s="100" t="str">
        <f>IFERROR(VLOOKUP(Tablo518[[#This Row],[BOYA KODU]],Tablo14[#All],4,0)," ")</f>
        <v xml:space="preserve"> </v>
      </c>
      <c r="L375" s="100" t="str">
        <f>IFERROR(VLOOKUP(Tablo518[[#This Row],[BOYA KODU]],Tablo14[#All],6,0)," ")</f>
        <v xml:space="preserve"> </v>
      </c>
      <c r="M375" s="100" t="str">
        <f t="shared" si="35"/>
        <v xml:space="preserve"> </v>
      </c>
      <c r="N375" s="100" t="str">
        <f>IFERROR(VLOOKUP(Tablo518[[#This Row],[ÜRÜN KODU]],YMKODLARI!$A$1:$K$363,8,0)," ")</f>
        <v xml:space="preserve"> </v>
      </c>
      <c r="O375" s="100" t="str">
        <f>IFERROR(VLOOKUP(Tablo518[[#This Row],[HAMMADDE KODU]],Tablo1[#All],3,0)," ")</f>
        <v xml:space="preserve"> </v>
      </c>
      <c r="P375" s="100" t="str">
        <f>IFERROR(VLOOKUP(Tablo518[[#This Row],[HAMMADDE KODU]],Tablo1[#All],4,0)," ")</f>
        <v xml:space="preserve"> </v>
      </c>
      <c r="Q375" s="100" t="str">
        <f>IFERROR(VLOOKUP(Tablo518[[#This Row],[ÜRÜN KODU]],YMKODLARI!$A$1:$K$363,5,0)," ")</f>
        <v xml:space="preserve"> </v>
      </c>
      <c r="R375" s="100" t="str">
        <f>IFERROR(VLOOKUP(Tablo518[[#This Row],[ÜRÜN KODU]],YMKODLARI!$A$1:$K$363,6,0)," ")</f>
        <v xml:space="preserve"> </v>
      </c>
      <c r="S375" s="100" t="str">
        <f>IFERROR(Tablo518[[#This Row],[YOLLUK HARİÇ BASKI GRAMI]]/Tablo518[[#This Row],[KALIP GÖZ ADEDİ]]," ")</f>
        <v xml:space="preserve"> </v>
      </c>
      <c r="T375" s="100" t="str">
        <f t="shared" si="37"/>
        <v xml:space="preserve"> </v>
      </c>
      <c r="U375" s="100"/>
      <c r="V375" s="100" t="str">
        <f t="shared" si="36"/>
        <v xml:space="preserve"> </v>
      </c>
      <c r="W375" s="101">
        <f t="shared" si="38"/>
        <v>24</v>
      </c>
      <c r="X375" s="102">
        <f t="shared" si="39"/>
        <v>0</v>
      </c>
      <c r="Y375" s="100" t="str">
        <f t="shared" si="40"/>
        <v xml:space="preserve"> </v>
      </c>
      <c r="Z375" s="100" t="str">
        <f t="shared" si="41"/>
        <v xml:space="preserve"> </v>
      </c>
    </row>
    <row r="376" spans="1:26">
      <c r="A376" s="108"/>
      <c r="B376" s="108" t="str">
        <f>IFERROR(VLOOKUP(Tablo518[[#This Row],[ÜRÜN KODU]],YMKODLARI!$A$1:$K$363,2,0)," ")</f>
        <v xml:space="preserve"> </v>
      </c>
      <c r="C376" s="99"/>
      <c r="D376" s="100"/>
      <c r="E376" s="101"/>
      <c r="F376" s="101"/>
      <c r="G376" s="100" t="str">
        <f>IFERROR(VLOOKUP(Tablo518[[#This Row],[ÜRÜN KODU]],YMKODLARI!$A$1:$K$363,3,0)," ")</f>
        <v xml:space="preserve"> </v>
      </c>
      <c r="H376" s="100" t="str">
        <f>IFERROR(VLOOKUP(Tablo518[[#This Row],[ÜRÜN KODU]],YMKODLARI!$A$1:$K$363,4,0)," ")</f>
        <v xml:space="preserve"> </v>
      </c>
      <c r="I376" s="100"/>
      <c r="J376" s="100" t="str">
        <f>IFERROR(VLOOKUP(Tablo518[[#This Row],[ÜRÜN KODU]],YMKODLARI!$A$1:$K$363,9,0)," ")</f>
        <v xml:space="preserve"> </v>
      </c>
      <c r="K376" s="100" t="str">
        <f>IFERROR(VLOOKUP(Tablo518[[#This Row],[BOYA KODU]],Tablo14[#All],4,0)," ")</f>
        <v xml:space="preserve"> </v>
      </c>
      <c r="L376" s="100" t="str">
        <f>IFERROR(VLOOKUP(Tablo518[[#This Row],[BOYA KODU]],Tablo14[#All],6,0)," ")</f>
        <v xml:space="preserve"> </v>
      </c>
      <c r="M376" s="100" t="str">
        <f t="shared" si="35"/>
        <v xml:space="preserve"> </v>
      </c>
      <c r="N376" s="100" t="str">
        <f>IFERROR(VLOOKUP(Tablo518[[#This Row],[ÜRÜN KODU]],YMKODLARI!$A$1:$K$363,8,0)," ")</f>
        <v xml:space="preserve"> </v>
      </c>
      <c r="O376" s="100" t="str">
        <f>IFERROR(VLOOKUP(Tablo518[[#This Row],[HAMMADDE KODU]],Tablo1[#All],3,0)," ")</f>
        <v xml:space="preserve"> </v>
      </c>
      <c r="P376" s="100" t="str">
        <f>IFERROR(VLOOKUP(Tablo518[[#This Row],[HAMMADDE KODU]],Tablo1[#All],4,0)," ")</f>
        <v xml:space="preserve"> </v>
      </c>
      <c r="Q376" s="100" t="str">
        <f>IFERROR(VLOOKUP(Tablo518[[#This Row],[ÜRÜN KODU]],YMKODLARI!$A$1:$K$363,5,0)," ")</f>
        <v xml:space="preserve"> </v>
      </c>
      <c r="R376" s="100" t="str">
        <f>IFERROR(VLOOKUP(Tablo518[[#This Row],[ÜRÜN KODU]],YMKODLARI!$A$1:$K$363,6,0)," ")</f>
        <v xml:space="preserve"> </v>
      </c>
      <c r="S376" s="100" t="str">
        <f>IFERROR(Tablo518[[#This Row],[YOLLUK HARİÇ BASKI GRAMI]]/Tablo518[[#This Row],[KALIP GÖZ ADEDİ]]," ")</f>
        <v xml:space="preserve"> </v>
      </c>
      <c r="T376" s="100" t="str">
        <f t="shared" si="37"/>
        <v xml:space="preserve"> </v>
      </c>
      <c r="U376" s="100"/>
      <c r="V376" s="100" t="str">
        <f t="shared" si="36"/>
        <v xml:space="preserve"> </v>
      </c>
      <c r="W376" s="101">
        <f t="shared" si="38"/>
        <v>24</v>
      </c>
      <c r="X376" s="102">
        <f t="shared" si="39"/>
        <v>0</v>
      </c>
      <c r="Y376" s="100" t="str">
        <f t="shared" si="40"/>
        <v xml:space="preserve"> </v>
      </c>
      <c r="Z376" s="100" t="str">
        <f t="shared" si="41"/>
        <v xml:space="preserve"> </v>
      </c>
    </row>
    <row r="377" spans="1:26">
      <c r="A377" s="108"/>
      <c r="B377" s="108" t="str">
        <f>IFERROR(VLOOKUP(Tablo518[[#This Row],[ÜRÜN KODU]],YMKODLARI!$A$1:$K$363,2,0)," ")</f>
        <v xml:space="preserve"> </v>
      </c>
      <c r="C377" s="99"/>
      <c r="D377" s="100"/>
      <c r="E377" s="101"/>
      <c r="F377" s="101"/>
      <c r="G377" s="100" t="str">
        <f>IFERROR(VLOOKUP(Tablo518[[#This Row],[ÜRÜN KODU]],YMKODLARI!$A$1:$K$363,3,0)," ")</f>
        <v xml:space="preserve"> </v>
      </c>
      <c r="H377" s="100" t="str">
        <f>IFERROR(VLOOKUP(Tablo518[[#This Row],[ÜRÜN KODU]],YMKODLARI!$A$1:$K$363,4,0)," ")</f>
        <v xml:space="preserve"> </v>
      </c>
      <c r="I377" s="100"/>
      <c r="J377" s="100" t="str">
        <f>IFERROR(VLOOKUP(Tablo518[[#This Row],[ÜRÜN KODU]],YMKODLARI!$A$1:$K$363,9,0)," ")</f>
        <v xml:space="preserve"> </v>
      </c>
      <c r="K377" s="100" t="str">
        <f>IFERROR(VLOOKUP(Tablo518[[#This Row],[BOYA KODU]],Tablo14[#All],4,0)," ")</f>
        <v xml:space="preserve"> </v>
      </c>
      <c r="L377" s="100" t="str">
        <f>IFERROR(VLOOKUP(Tablo518[[#This Row],[BOYA KODU]],Tablo14[#All],6,0)," ")</f>
        <v xml:space="preserve"> </v>
      </c>
      <c r="M377" s="100" t="str">
        <f t="shared" si="35"/>
        <v xml:space="preserve"> </v>
      </c>
      <c r="N377" s="100" t="str">
        <f>IFERROR(VLOOKUP(Tablo518[[#This Row],[ÜRÜN KODU]],YMKODLARI!$A$1:$K$363,8,0)," ")</f>
        <v xml:space="preserve"> </v>
      </c>
      <c r="O377" s="100" t="str">
        <f>IFERROR(VLOOKUP(Tablo518[[#This Row],[HAMMADDE KODU]],Tablo1[#All],3,0)," ")</f>
        <v xml:space="preserve"> </v>
      </c>
      <c r="P377" s="100" t="str">
        <f>IFERROR(VLOOKUP(Tablo518[[#This Row],[HAMMADDE KODU]],Tablo1[#All],4,0)," ")</f>
        <v xml:space="preserve"> </v>
      </c>
      <c r="Q377" s="100" t="str">
        <f>IFERROR(VLOOKUP(Tablo518[[#This Row],[ÜRÜN KODU]],YMKODLARI!$A$1:$K$363,5,0)," ")</f>
        <v xml:space="preserve"> </v>
      </c>
      <c r="R377" s="100" t="str">
        <f>IFERROR(VLOOKUP(Tablo518[[#This Row],[ÜRÜN KODU]],YMKODLARI!$A$1:$K$363,6,0)," ")</f>
        <v xml:space="preserve"> </v>
      </c>
      <c r="S377" s="100" t="str">
        <f>IFERROR(Tablo518[[#This Row],[YOLLUK HARİÇ BASKI GRAMI]]/Tablo518[[#This Row],[KALIP GÖZ ADEDİ]]," ")</f>
        <v xml:space="preserve"> </v>
      </c>
      <c r="T377" s="100" t="str">
        <f t="shared" si="37"/>
        <v xml:space="preserve"> </v>
      </c>
      <c r="U377" s="100"/>
      <c r="V377" s="100" t="str">
        <f t="shared" si="36"/>
        <v xml:space="preserve"> </v>
      </c>
      <c r="W377" s="101">
        <f t="shared" si="38"/>
        <v>24</v>
      </c>
      <c r="X377" s="102">
        <f t="shared" si="39"/>
        <v>0</v>
      </c>
      <c r="Y377" s="100" t="str">
        <f t="shared" si="40"/>
        <v xml:space="preserve"> </v>
      </c>
      <c r="Z377" s="100" t="str">
        <f t="shared" si="41"/>
        <v xml:space="preserve"> </v>
      </c>
    </row>
    <row r="378" spans="1:26">
      <c r="A378" s="108"/>
      <c r="B378" s="108" t="str">
        <f>IFERROR(VLOOKUP(Tablo518[[#This Row],[ÜRÜN KODU]],YMKODLARI!$A$1:$K$363,2,0)," ")</f>
        <v xml:space="preserve"> </v>
      </c>
      <c r="C378" s="99"/>
      <c r="D378" s="100"/>
      <c r="E378" s="101"/>
      <c r="F378" s="101"/>
      <c r="G378" s="100" t="str">
        <f>IFERROR(VLOOKUP(Tablo518[[#This Row],[ÜRÜN KODU]],YMKODLARI!$A$1:$K$363,3,0)," ")</f>
        <v xml:space="preserve"> </v>
      </c>
      <c r="H378" s="100" t="str">
        <f>IFERROR(VLOOKUP(Tablo518[[#This Row],[ÜRÜN KODU]],YMKODLARI!$A$1:$K$363,4,0)," ")</f>
        <v xml:space="preserve"> </v>
      </c>
      <c r="I378" s="100"/>
      <c r="J378" s="100" t="str">
        <f>IFERROR(VLOOKUP(Tablo518[[#This Row],[ÜRÜN KODU]],YMKODLARI!$A$1:$K$363,9,0)," ")</f>
        <v xml:space="preserve"> </v>
      </c>
      <c r="K378" s="100" t="str">
        <f>IFERROR(VLOOKUP(Tablo518[[#This Row],[BOYA KODU]],Tablo14[#All],4,0)," ")</f>
        <v xml:space="preserve"> </v>
      </c>
      <c r="L378" s="100" t="str">
        <f>IFERROR(VLOOKUP(Tablo518[[#This Row],[BOYA KODU]],Tablo14[#All],6,0)," ")</f>
        <v xml:space="preserve"> </v>
      </c>
      <c r="M378" s="100" t="str">
        <f t="shared" si="35"/>
        <v xml:space="preserve"> </v>
      </c>
      <c r="N378" s="100" t="str">
        <f>IFERROR(VLOOKUP(Tablo518[[#This Row],[ÜRÜN KODU]],YMKODLARI!$A$1:$K$363,8,0)," ")</f>
        <v xml:space="preserve"> </v>
      </c>
      <c r="O378" s="100" t="str">
        <f>IFERROR(VLOOKUP(Tablo518[[#This Row],[HAMMADDE KODU]],Tablo1[#All],3,0)," ")</f>
        <v xml:space="preserve"> </v>
      </c>
      <c r="P378" s="100" t="str">
        <f>IFERROR(VLOOKUP(Tablo518[[#This Row],[HAMMADDE KODU]],Tablo1[#All],4,0)," ")</f>
        <v xml:space="preserve"> </v>
      </c>
      <c r="Q378" s="100" t="str">
        <f>IFERROR(VLOOKUP(Tablo518[[#This Row],[ÜRÜN KODU]],YMKODLARI!$A$1:$K$363,5,0)," ")</f>
        <v xml:space="preserve"> </v>
      </c>
      <c r="R378" s="100" t="str">
        <f>IFERROR(VLOOKUP(Tablo518[[#This Row],[ÜRÜN KODU]],YMKODLARI!$A$1:$K$363,6,0)," ")</f>
        <v xml:space="preserve"> </v>
      </c>
      <c r="S378" s="100" t="str">
        <f>IFERROR(Tablo518[[#This Row],[YOLLUK HARİÇ BASKI GRAMI]]/Tablo518[[#This Row],[KALIP GÖZ ADEDİ]]," ")</f>
        <v xml:space="preserve"> </v>
      </c>
      <c r="T378" s="100" t="str">
        <f t="shared" si="37"/>
        <v xml:space="preserve"> </v>
      </c>
      <c r="U378" s="100"/>
      <c r="V378" s="100" t="str">
        <f t="shared" si="36"/>
        <v xml:space="preserve"> </v>
      </c>
      <c r="W378" s="101">
        <f t="shared" si="38"/>
        <v>24</v>
      </c>
      <c r="X378" s="102">
        <f t="shared" si="39"/>
        <v>0</v>
      </c>
      <c r="Y378" s="100" t="str">
        <f t="shared" si="40"/>
        <v xml:space="preserve"> </v>
      </c>
      <c r="Z378" s="100" t="str">
        <f t="shared" si="41"/>
        <v xml:space="preserve"> </v>
      </c>
    </row>
    <row r="379" spans="1:26">
      <c r="A379" s="108"/>
      <c r="B379" s="108" t="str">
        <f>IFERROR(VLOOKUP(Tablo518[[#This Row],[ÜRÜN KODU]],YMKODLARI!$A$1:$K$363,2,0)," ")</f>
        <v xml:space="preserve"> </v>
      </c>
      <c r="C379" s="99"/>
      <c r="D379" s="100"/>
      <c r="E379" s="101"/>
      <c r="F379" s="101"/>
      <c r="G379" s="100" t="str">
        <f>IFERROR(VLOOKUP(Tablo518[[#This Row],[ÜRÜN KODU]],YMKODLARI!$A$1:$K$363,3,0)," ")</f>
        <v xml:space="preserve"> </v>
      </c>
      <c r="H379" s="100" t="str">
        <f>IFERROR(VLOOKUP(Tablo518[[#This Row],[ÜRÜN KODU]],YMKODLARI!$A$1:$K$363,4,0)," ")</f>
        <v xml:space="preserve"> </v>
      </c>
      <c r="I379" s="100"/>
      <c r="J379" s="100" t="str">
        <f>IFERROR(VLOOKUP(Tablo518[[#This Row],[ÜRÜN KODU]],YMKODLARI!$A$1:$K$363,9,0)," ")</f>
        <v xml:space="preserve"> </v>
      </c>
      <c r="K379" s="100" t="str">
        <f>IFERROR(VLOOKUP(Tablo518[[#This Row],[BOYA KODU]],Tablo14[#All],4,0)," ")</f>
        <v xml:space="preserve"> </v>
      </c>
      <c r="L379" s="100" t="str">
        <f>IFERROR(VLOOKUP(Tablo518[[#This Row],[BOYA KODU]],Tablo14[#All],6,0)," ")</f>
        <v xml:space="preserve"> </v>
      </c>
      <c r="M379" s="100" t="str">
        <f t="shared" si="35"/>
        <v xml:space="preserve"> </v>
      </c>
      <c r="N379" s="100" t="str">
        <f>IFERROR(VLOOKUP(Tablo518[[#This Row],[ÜRÜN KODU]],YMKODLARI!$A$1:$K$363,8,0)," ")</f>
        <v xml:space="preserve"> </v>
      </c>
      <c r="O379" s="100" t="str">
        <f>IFERROR(VLOOKUP(Tablo518[[#This Row],[HAMMADDE KODU]],Tablo1[#All],3,0)," ")</f>
        <v xml:space="preserve"> </v>
      </c>
      <c r="P379" s="100" t="str">
        <f>IFERROR(VLOOKUP(Tablo518[[#This Row],[HAMMADDE KODU]],Tablo1[#All],4,0)," ")</f>
        <v xml:space="preserve"> </v>
      </c>
      <c r="Q379" s="100" t="str">
        <f>IFERROR(VLOOKUP(Tablo518[[#This Row],[ÜRÜN KODU]],YMKODLARI!$A$1:$K$363,5,0)," ")</f>
        <v xml:space="preserve"> </v>
      </c>
      <c r="R379" s="100" t="str">
        <f>IFERROR(VLOOKUP(Tablo518[[#This Row],[ÜRÜN KODU]],YMKODLARI!$A$1:$K$363,6,0)," ")</f>
        <v xml:space="preserve"> </v>
      </c>
      <c r="S379" s="100" t="str">
        <f>IFERROR(Tablo518[[#This Row],[YOLLUK HARİÇ BASKI GRAMI]]/Tablo518[[#This Row],[KALIP GÖZ ADEDİ]]," ")</f>
        <v xml:space="preserve"> </v>
      </c>
      <c r="T379" s="100" t="str">
        <f t="shared" si="37"/>
        <v xml:space="preserve"> </v>
      </c>
      <c r="U379" s="100"/>
      <c r="V379" s="100" t="str">
        <f t="shared" si="36"/>
        <v xml:space="preserve"> </v>
      </c>
      <c r="W379" s="101">
        <f t="shared" si="38"/>
        <v>24</v>
      </c>
      <c r="X379" s="102">
        <f t="shared" si="39"/>
        <v>0</v>
      </c>
      <c r="Y379" s="100" t="str">
        <f t="shared" si="40"/>
        <v xml:space="preserve"> </v>
      </c>
      <c r="Z379" s="100" t="str">
        <f t="shared" si="41"/>
        <v xml:space="preserve"> </v>
      </c>
    </row>
    <row r="380" spans="1:26">
      <c r="A380" s="108"/>
      <c r="B380" s="108" t="str">
        <f>IFERROR(VLOOKUP(Tablo518[[#This Row],[ÜRÜN KODU]],YMKODLARI!$A$1:$K$363,2,0)," ")</f>
        <v xml:space="preserve"> </v>
      </c>
      <c r="C380" s="99"/>
      <c r="D380" s="100"/>
      <c r="E380" s="101"/>
      <c r="F380" s="101"/>
      <c r="G380" s="100" t="str">
        <f>IFERROR(VLOOKUP(Tablo518[[#This Row],[ÜRÜN KODU]],YMKODLARI!$A$1:$K$363,3,0)," ")</f>
        <v xml:space="preserve"> </v>
      </c>
      <c r="H380" s="100" t="str">
        <f>IFERROR(VLOOKUP(Tablo518[[#This Row],[ÜRÜN KODU]],YMKODLARI!$A$1:$K$363,4,0)," ")</f>
        <v xml:space="preserve"> </v>
      </c>
      <c r="I380" s="100"/>
      <c r="J380" s="100" t="str">
        <f>IFERROR(VLOOKUP(Tablo518[[#This Row],[ÜRÜN KODU]],YMKODLARI!$A$1:$K$363,9,0)," ")</f>
        <v xml:space="preserve"> </v>
      </c>
      <c r="K380" s="100" t="str">
        <f>IFERROR(VLOOKUP(Tablo518[[#This Row],[BOYA KODU]],Tablo14[#All],4,0)," ")</f>
        <v xml:space="preserve"> </v>
      </c>
      <c r="L380" s="100" t="str">
        <f>IFERROR(VLOOKUP(Tablo518[[#This Row],[BOYA KODU]],Tablo14[#All],6,0)," ")</f>
        <v xml:space="preserve"> </v>
      </c>
      <c r="M380" s="100" t="str">
        <f t="shared" si="35"/>
        <v xml:space="preserve"> </v>
      </c>
      <c r="N380" s="100" t="str">
        <f>IFERROR(VLOOKUP(Tablo518[[#This Row],[ÜRÜN KODU]],YMKODLARI!$A$1:$K$363,8,0)," ")</f>
        <v xml:space="preserve"> </v>
      </c>
      <c r="O380" s="100" t="str">
        <f>IFERROR(VLOOKUP(Tablo518[[#This Row],[HAMMADDE KODU]],Tablo1[#All],3,0)," ")</f>
        <v xml:space="preserve"> </v>
      </c>
      <c r="P380" s="100" t="str">
        <f>IFERROR(VLOOKUP(Tablo518[[#This Row],[HAMMADDE KODU]],Tablo1[#All],4,0)," ")</f>
        <v xml:space="preserve"> </v>
      </c>
      <c r="Q380" s="100" t="str">
        <f>IFERROR(VLOOKUP(Tablo518[[#This Row],[ÜRÜN KODU]],YMKODLARI!$A$1:$K$363,5,0)," ")</f>
        <v xml:space="preserve"> </v>
      </c>
      <c r="R380" s="100" t="str">
        <f>IFERROR(VLOOKUP(Tablo518[[#This Row],[ÜRÜN KODU]],YMKODLARI!$A$1:$K$363,6,0)," ")</f>
        <v xml:space="preserve"> </v>
      </c>
      <c r="S380" s="100" t="str">
        <f>IFERROR(Tablo518[[#This Row],[YOLLUK HARİÇ BASKI GRAMI]]/Tablo518[[#This Row],[KALIP GÖZ ADEDİ]]," ")</f>
        <v xml:space="preserve"> </v>
      </c>
      <c r="T380" s="100" t="str">
        <f t="shared" si="37"/>
        <v xml:space="preserve"> </v>
      </c>
      <c r="U380" s="100"/>
      <c r="V380" s="100" t="str">
        <f t="shared" si="36"/>
        <v xml:space="preserve"> </v>
      </c>
      <c r="W380" s="101">
        <f t="shared" si="38"/>
        <v>24</v>
      </c>
      <c r="X380" s="102">
        <f t="shared" si="39"/>
        <v>0</v>
      </c>
      <c r="Y380" s="100" t="str">
        <f t="shared" si="40"/>
        <v xml:space="preserve"> </v>
      </c>
      <c r="Z380" s="100" t="str">
        <f t="shared" si="41"/>
        <v xml:space="preserve"> </v>
      </c>
    </row>
    <row r="381" spans="1:26">
      <c r="A381" s="108"/>
      <c r="B381" s="108" t="str">
        <f>IFERROR(VLOOKUP(Tablo518[[#This Row],[ÜRÜN KODU]],YMKODLARI!$A$1:$K$363,2,0)," ")</f>
        <v xml:space="preserve"> </v>
      </c>
      <c r="C381" s="99"/>
      <c r="D381" s="100"/>
      <c r="E381" s="101"/>
      <c r="F381" s="101"/>
      <c r="G381" s="100" t="str">
        <f>IFERROR(VLOOKUP(Tablo518[[#This Row],[ÜRÜN KODU]],YMKODLARI!$A$1:$K$363,3,0)," ")</f>
        <v xml:space="preserve"> </v>
      </c>
      <c r="H381" s="100" t="str">
        <f>IFERROR(VLOOKUP(Tablo518[[#This Row],[ÜRÜN KODU]],YMKODLARI!$A$1:$K$363,4,0)," ")</f>
        <v xml:space="preserve"> </v>
      </c>
      <c r="I381" s="100"/>
      <c r="J381" s="100" t="str">
        <f>IFERROR(VLOOKUP(Tablo518[[#This Row],[ÜRÜN KODU]],YMKODLARI!$A$1:$K$363,9,0)," ")</f>
        <v xml:space="preserve"> </v>
      </c>
      <c r="K381" s="100" t="str">
        <f>IFERROR(VLOOKUP(Tablo518[[#This Row],[BOYA KODU]],Tablo14[#All],4,0)," ")</f>
        <v xml:space="preserve"> </v>
      </c>
      <c r="L381" s="100" t="str">
        <f>IFERROR(VLOOKUP(Tablo518[[#This Row],[BOYA KODU]],Tablo14[#All],6,0)," ")</f>
        <v xml:space="preserve"> </v>
      </c>
      <c r="M381" s="100" t="str">
        <f t="shared" si="35"/>
        <v xml:space="preserve"> </v>
      </c>
      <c r="N381" s="100" t="str">
        <f>IFERROR(VLOOKUP(Tablo518[[#This Row],[ÜRÜN KODU]],YMKODLARI!$A$1:$K$363,8,0)," ")</f>
        <v xml:space="preserve"> </v>
      </c>
      <c r="O381" s="100" t="str">
        <f>IFERROR(VLOOKUP(Tablo518[[#This Row],[HAMMADDE KODU]],Tablo1[#All],3,0)," ")</f>
        <v xml:space="preserve"> </v>
      </c>
      <c r="P381" s="100" t="str">
        <f>IFERROR(VLOOKUP(Tablo518[[#This Row],[HAMMADDE KODU]],Tablo1[#All],4,0)," ")</f>
        <v xml:space="preserve"> </v>
      </c>
      <c r="Q381" s="100" t="str">
        <f>IFERROR(VLOOKUP(Tablo518[[#This Row],[ÜRÜN KODU]],YMKODLARI!$A$1:$K$363,5,0)," ")</f>
        <v xml:space="preserve"> </v>
      </c>
      <c r="R381" s="100" t="str">
        <f>IFERROR(VLOOKUP(Tablo518[[#This Row],[ÜRÜN KODU]],YMKODLARI!$A$1:$K$363,6,0)," ")</f>
        <v xml:space="preserve"> </v>
      </c>
      <c r="S381" s="100" t="str">
        <f>IFERROR(Tablo518[[#This Row],[YOLLUK HARİÇ BASKI GRAMI]]/Tablo518[[#This Row],[KALIP GÖZ ADEDİ]]," ")</f>
        <v xml:space="preserve"> </v>
      </c>
      <c r="T381" s="100" t="str">
        <f t="shared" si="37"/>
        <v xml:space="preserve"> </v>
      </c>
      <c r="U381" s="100"/>
      <c r="V381" s="100" t="str">
        <f t="shared" si="36"/>
        <v xml:space="preserve"> </v>
      </c>
      <c r="W381" s="101">
        <f t="shared" si="38"/>
        <v>24</v>
      </c>
      <c r="X381" s="102">
        <f t="shared" si="39"/>
        <v>0</v>
      </c>
      <c r="Y381" s="100" t="str">
        <f t="shared" si="40"/>
        <v xml:space="preserve"> </v>
      </c>
      <c r="Z381" s="100" t="str">
        <f t="shared" si="41"/>
        <v xml:space="preserve"> </v>
      </c>
    </row>
    <row r="382" spans="1:26">
      <c r="A382" s="108"/>
      <c r="B382" s="108" t="str">
        <f>IFERROR(VLOOKUP(Tablo518[[#This Row],[ÜRÜN KODU]],YMKODLARI!$A$1:$K$363,2,0)," ")</f>
        <v xml:space="preserve"> </v>
      </c>
      <c r="C382" s="99"/>
      <c r="D382" s="100"/>
      <c r="E382" s="101"/>
      <c r="F382" s="101"/>
      <c r="G382" s="100" t="str">
        <f>IFERROR(VLOOKUP(Tablo518[[#This Row],[ÜRÜN KODU]],YMKODLARI!$A$1:$K$363,3,0)," ")</f>
        <v xml:space="preserve"> </v>
      </c>
      <c r="H382" s="100" t="str">
        <f>IFERROR(VLOOKUP(Tablo518[[#This Row],[ÜRÜN KODU]],YMKODLARI!$A$1:$K$363,4,0)," ")</f>
        <v xml:space="preserve"> </v>
      </c>
      <c r="I382" s="100"/>
      <c r="J382" s="100" t="str">
        <f>IFERROR(VLOOKUP(Tablo518[[#This Row],[ÜRÜN KODU]],YMKODLARI!$A$1:$K$363,9,0)," ")</f>
        <v xml:space="preserve"> </v>
      </c>
      <c r="K382" s="100" t="str">
        <f>IFERROR(VLOOKUP(Tablo518[[#This Row],[BOYA KODU]],Tablo14[#All],4,0)," ")</f>
        <v xml:space="preserve"> </v>
      </c>
      <c r="L382" s="100" t="str">
        <f>IFERROR(VLOOKUP(Tablo518[[#This Row],[BOYA KODU]],Tablo14[#All],6,0)," ")</f>
        <v xml:space="preserve"> </v>
      </c>
      <c r="M382" s="100" t="str">
        <f t="shared" si="35"/>
        <v xml:space="preserve"> </v>
      </c>
      <c r="N382" s="100" t="str">
        <f>IFERROR(VLOOKUP(Tablo518[[#This Row],[ÜRÜN KODU]],YMKODLARI!$A$1:$K$363,8,0)," ")</f>
        <v xml:space="preserve"> </v>
      </c>
      <c r="O382" s="100" t="str">
        <f>IFERROR(VLOOKUP(Tablo518[[#This Row],[HAMMADDE KODU]],Tablo1[#All],3,0)," ")</f>
        <v xml:space="preserve"> </v>
      </c>
      <c r="P382" s="100" t="str">
        <f>IFERROR(VLOOKUP(Tablo518[[#This Row],[HAMMADDE KODU]],Tablo1[#All],4,0)," ")</f>
        <v xml:space="preserve"> </v>
      </c>
      <c r="Q382" s="100" t="str">
        <f>IFERROR(VLOOKUP(Tablo518[[#This Row],[ÜRÜN KODU]],YMKODLARI!$A$1:$K$363,5,0)," ")</f>
        <v xml:space="preserve"> </v>
      </c>
      <c r="R382" s="100" t="str">
        <f>IFERROR(VLOOKUP(Tablo518[[#This Row],[ÜRÜN KODU]],YMKODLARI!$A$1:$K$363,6,0)," ")</f>
        <v xml:space="preserve"> </v>
      </c>
      <c r="S382" s="100" t="str">
        <f>IFERROR(Tablo518[[#This Row],[YOLLUK HARİÇ BASKI GRAMI]]/Tablo518[[#This Row],[KALIP GÖZ ADEDİ]]," ")</f>
        <v xml:space="preserve"> </v>
      </c>
      <c r="T382" s="100" t="str">
        <f t="shared" si="37"/>
        <v xml:space="preserve"> </v>
      </c>
      <c r="U382" s="100"/>
      <c r="V382" s="100" t="str">
        <f t="shared" si="36"/>
        <v xml:space="preserve"> </v>
      </c>
      <c r="W382" s="101">
        <f t="shared" si="38"/>
        <v>24</v>
      </c>
      <c r="X382" s="102">
        <f t="shared" si="39"/>
        <v>0</v>
      </c>
      <c r="Y382" s="100" t="str">
        <f t="shared" si="40"/>
        <v xml:space="preserve"> </v>
      </c>
      <c r="Z382" s="100" t="str">
        <f t="shared" si="41"/>
        <v xml:space="preserve"> </v>
      </c>
    </row>
    <row r="383" spans="1:26">
      <c r="A383" s="108"/>
      <c r="B383" s="108" t="str">
        <f>IFERROR(VLOOKUP(Tablo518[[#This Row],[ÜRÜN KODU]],YMKODLARI!$A$1:$K$363,2,0)," ")</f>
        <v xml:space="preserve"> </v>
      </c>
      <c r="C383" s="99"/>
      <c r="D383" s="100"/>
      <c r="E383" s="101"/>
      <c r="F383" s="101"/>
      <c r="G383" s="100" t="str">
        <f>IFERROR(VLOOKUP(Tablo518[[#This Row],[ÜRÜN KODU]],YMKODLARI!$A$1:$K$363,3,0)," ")</f>
        <v xml:space="preserve"> </v>
      </c>
      <c r="H383" s="100" t="str">
        <f>IFERROR(VLOOKUP(Tablo518[[#This Row],[ÜRÜN KODU]],YMKODLARI!$A$1:$K$363,4,0)," ")</f>
        <v xml:space="preserve"> </v>
      </c>
      <c r="I383" s="100"/>
      <c r="J383" s="100" t="str">
        <f>IFERROR(VLOOKUP(Tablo518[[#This Row],[ÜRÜN KODU]],YMKODLARI!$A$1:$K$363,9,0)," ")</f>
        <v xml:space="preserve"> </v>
      </c>
      <c r="K383" s="100" t="str">
        <f>IFERROR(VLOOKUP(Tablo518[[#This Row],[BOYA KODU]],Tablo14[#All],4,0)," ")</f>
        <v xml:space="preserve"> </v>
      </c>
      <c r="L383" s="100" t="str">
        <f>IFERROR(VLOOKUP(Tablo518[[#This Row],[BOYA KODU]],Tablo14[#All],6,0)," ")</f>
        <v xml:space="preserve"> </v>
      </c>
      <c r="M383" s="100" t="str">
        <f t="shared" si="35"/>
        <v xml:space="preserve"> </v>
      </c>
      <c r="N383" s="100" t="str">
        <f>IFERROR(VLOOKUP(Tablo518[[#This Row],[ÜRÜN KODU]],YMKODLARI!$A$1:$K$363,8,0)," ")</f>
        <v xml:space="preserve"> </v>
      </c>
      <c r="O383" s="100" t="str">
        <f>IFERROR(VLOOKUP(Tablo518[[#This Row],[HAMMADDE KODU]],Tablo1[#All],3,0)," ")</f>
        <v xml:space="preserve"> </v>
      </c>
      <c r="P383" s="100" t="str">
        <f>IFERROR(VLOOKUP(Tablo518[[#This Row],[HAMMADDE KODU]],Tablo1[#All],4,0)," ")</f>
        <v xml:space="preserve"> </v>
      </c>
      <c r="Q383" s="100" t="str">
        <f>IFERROR(VLOOKUP(Tablo518[[#This Row],[ÜRÜN KODU]],YMKODLARI!$A$1:$K$363,5,0)," ")</f>
        <v xml:space="preserve"> </v>
      </c>
      <c r="R383" s="100" t="str">
        <f>IFERROR(VLOOKUP(Tablo518[[#This Row],[ÜRÜN KODU]],YMKODLARI!$A$1:$K$363,6,0)," ")</f>
        <v xml:space="preserve"> </v>
      </c>
      <c r="S383" s="100" t="str">
        <f>IFERROR(Tablo518[[#This Row],[YOLLUK HARİÇ BASKI GRAMI]]/Tablo518[[#This Row],[KALIP GÖZ ADEDİ]]," ")</f>
        <v xml:space="preserve"> </v>
      </c>
      <c r="T383" s="100" t="str">
        <f t="shared" si="37"/>
        <v xml:space="preserve"> </v>
      </c>
      <c r="U383" s="100"/>
      <c r="V383" s="100" t="str">
        <f t="shared" si="36"/>
        <v xml:space="preserve"> </v>
      </c>
      <c r="W383" s="101">
        <f t="shared" si="38"/>
        <v>24</v>
      </c>
      <c r="X383" s="102">
        <f t="shared" si="39"/>
        <v>0</v>
      </c>
      <c r="Y383" s="100" t="str">
        <f t="shared" si="40"/>
        <v xml:space="preserve"> </v>
      </c>
      <c r="Z383" s="100" t="str">
        <f t="shared" si="41"/>
        <v xml:space="preserve"> </v>
      </c>
    </row>
    <row r="384" spans="1:26">
      <c r="A384" s="108"/>
      <c r="B384" s="108" t="str">
        <f>IFERROR(VLOOKUP(Tablo518[[#This Row],[ÜRÜN KODU]],YMKODLARI!$A$1:$K$363,2,0)," ")</f>
        <v xml:space="preserve"> </v>
      </c>
      <c r="C384" s="99"/>
      <c r="D384" s="100"/>
      <c r="E384" s="101"/>
      <c r="F384" s="101"/>
      <c r="G384" s="100" t="str">
        <f>IFERROR(VLOOKUP(Tablo518[[#This Row],[ÜRÜN KODU]],YMKODLARI!$A$1:$K$363,3,0)," ")</f>
        <v xml:space="preserve"> </v>
      </c>
      <c r="H384" s="100" t="str">
        <f>IFERROR(VLOOKUP(Tablo518[[#This Row],[ÜRÜN KODU]],YMKODLARI!$A$1:$K$363,4,0)," ")</f>
        <v xml:space="preserve"> </v>
      </c>
      <c r="I384" s="100"/>
      <c r="J384" s="100" t="str">
        <f>IFERROR(VLOOKUP(Tablo518[[#This Row],[ÜRÜN KODU]],YMKODLARI!$A$1:$K$363,9,0)," ")</f>
        <v xml:space="preserve"> </v>
      </c>
      <c r="K384" s="100" t="str">
        <f>IFERROR(VLOOKUP(Tablo518[[#This Row],[BOYA KODU]],Tablo14[#All],4,0)," ")</f>
        <v xml:space="preserve"> </v>
      </c>
      <c r="L384" s="100" t="str">
        <f>IFERROR(VLOOKUP(Tablo518[[#This Row],[BOYA KODU]],Tablo14[#All],6,0)," ")</f>
        <v xml:space="preserve"> </v>
      </c>
      <c r="M384" s="100" t="str">
        <f t="shared" si="35"/>
        <v xml:space="preserve"> </v>
      </c>
      <c r="N384" s="100" t="str">
        <f>IFERROR(VLOOKUP(Tablo518[[#This Row],[ÜRÜN KODU]],YMKODLARI!$A$1:$K$363,8,0)," ")</f>
        <v xml:space="preserve"> </v>
      </c>
      <c r="O384" s="100" t="str">
        <f>IFERROR(VLOOKUP(Tablo518[[#This Row],[HAMMADDE KODU]],Tablo1[#All],3,0)," ")</f>
        <v xml:space="preserve"> </v>
      </c>
      <c r="P384" s="100" t="str">
        <f>IFERROR(VLOOKUP(Tablo518[[#This Row],[HAMMADDE KODU]],Tablo1[#All],4,0)," ")</f>
        <v xml:space="preserve"> </v>
      </c>
      <c r="Q384" s="100" t="str">
        <f>IFERROR(VLOOKUP(Tablo518[[#This Row],[ÜRÜN KODU]],YMKODLARI!$A$1:$K$363,5,0)," ")</f>
        <v xml:space="preserve"> </v>
      </c>
      <c r="R384" s="100" t="str">
        <f>IFERROR(VLOOKUP(Tablo518[[#This Row],[ÜRÜN KODU]],YMKODLARI!$A$1:$K$363,6,0)," ")</f>
        <v xml:space="preserve"> </v>
      </c>
      <c r="S384" s="100" t="str">
        <f>IFERROR(Tablo518[[#This Row],[YOLLUK HARİÇ BASKI GRAMI]]/Tablo518[[#This Row],[KALIP GÖZ ADEDİ]]," ")</f>
        <v xml:space="preserve"> </v>
      </c>
      <c r="T384" s="100" t="str">
        <f t="shared" si="37"/>
        <v xml:space="preserve"> </v>
      </c>
      <c r="U384" s="100"/>
      <c r="V384" s="100" t="str">
        <f t="shared" si="36"/>
        <v xml:space="preserve"> </v>
      </c>
      <c r="W384" s="101">
        <f t="shared" si="38"/>
        <v>24</v>
      </c>
      <c r="X384" s="102">
        <f t="shared" si="39"/>
        <v>0</v>
      </c>
      <c r="Y384" s="100" t="str">
        <f t="shared" si="40"/>
        <v xml:space="preserve"> </v>
      </c>
      <c r="Z384" s="100" t="str">
        <f t="shared" si="41"/>
        <v xml:space="preserve"> </v>
      </c>
    </row>
    <row r="385" spans="1:26">
      <c r="A385" s="108"/>
      <c r="B385" s="108" t="str">
        <f>IFERROR(VLOOKUP(Tablo518[[#This Row],[ÜRÜN KODU]],YMKODLARI!$A$1:$K$363,2,0)," ")</f>
        <v xml:space="preserve"> </v>
      </c>
      <c r="C385" s="99"/>
      <c r="D385" s="100"/>
      <c r="E385" s="101"/>
      <c r="F385" s="101"/>
      <c r="G385" s="100" t="str">
        <f>IFERROR(VLOOKUP(Tablo518[[#This Row],[ÜRÜN KODU]],YMKODLARI!$A$1:$K$363,3,0)," ")</f>
        <v xml:space="preserve"> </v>
      </c>
      <c r="H385" s="100" t="str">
        <f>IFERROR(VLOOKUP(Tablo518[[#This Row],[ÜRÜN KODU]],YMKODLARI!$A$1:$K$363,4,0)," ")</f>
        <v xml:space="preserve"> </v>
      </c>
      <c r="I385" s="100"/>
      <c r="J385" s="100" t="str">
        <f>IFERROR(VLOOKUP(Tablo518[[#This Row],[ÜRÜN KODU]],YMKODLARI!$A$1:$K$363,9,0)," ")</f>
        <v xml:space="preserve"> </v>
      </c>
      <c r="K385" s="100" t="str">
        <f>IFERROR(VLOOKUP(Tablo518[[#This Row],[BOYA KODU]],Tablo14[#All],4,0)," ")</f>
        <v xml:space="preserve"> </v>
      </c>
      <c r="L385" s="100" t="str">
        <f>IFERROR(VLOOKUP(Tablo518[[#This Row],[BOYA KODU]],Tablo14[#All],6,0)," ")</f>
        <v xml:space="preserve"> </v>
      </c>
      <c r="M385" s="100" t="str">
        <f t="shared" si="35"/>
        <v xml:space="preserve"> </v>
      </c>
      <c r="N385" s="100" t="str">
        <f>IFERROR(VLOOKUP(Tablo518[[#This Row],[ÜRÜN KODU]],YMKODLARI!$A$1:$K$363,8,0)," ")</f>
        <v xml:space="preserve"> </v>
      </c>
      <c r="O385" s="100" t="str">
        <f>IFERROR(VLOOKUP(Tablo518[[#This Row],[HAMMADDE KODU]],Tablo1[#All],3,0)," ")</f>
        <v xml:space="preserve"> </v>
      </c>
      <c r="P385" s="100" t="str">
        <f>IFERROR(VLOOKUP(Tablo518[[#This Row],[HAMMADDE KODU]],Tablo1[#All],4,0)," ")</f>
        <v xml:space="preserve"> </v>
      </c>
      <c r="Q385" s="100" t="str">
        <f>IFERROR(VLOOKUP(Tablo518[[#This Row],[ÜRÜN KODU]],YMKODLARI!$A$1:$K$363,5,0)," ")</f>
        <v xml:space="preserve"> </v>
      </c>
      <c r="R385" s="100" t="str">
        <f>IFERROR(VLOOKUP(Tablo518[[#This Row],[ÜRÜN KODU]],YMKODLARI!$A$1:$K$363,6,0)," ")</f>
        <v xml:space="preserve"> </v>
      </c>
      <c r="S385" s="100" t="str">
        <f>IFERROR(Tablo518[[#This Row],[YOLLUK HARİÇ BASKI GRAMI]]/Tablo518[[#This Row],[KALIP GÖZ ADEDİ]]," ")</f>
        <v xml:space="preserve"> </v>
      </c>
      <c r="T385" s="100" t="str">
        <f t="shared" si="37"/>
        <v xml:space="preserve"> </v>
      </c>
      <c r="U385" s="100"/>
      <c r="V385" s="100" t="str">
        <f t="shared" si="36"/>
        <v xml:space="preserve"> </v>
      </c>
      <c r="W385" s="101">
        <f t="shared" si="38"/>
        <v>24</v>
      </c>
      <c r="X385" s="102">
        <f t="shared" si="39"/>
        <v>0</v>
      </c>
      <c r="Y385" s="100" t="str">
        <f t="shared" si="40"/>
        <v xml:space="preserve"> </v>
      </c>
      <c r="Z385" s="100" t="str">
        <f t="shared" si="41"/>
        <v xml:space="preserve"> </v>
      </c>
    </row>
    <row r="386" spans="1:26">
      <c r="A386" s="108"/>
      <c r="B386" s="108" t="str">
        <f>IFERROR(VLOOKUP(Tablo518[[#This Row],[ÜRÜN KODU]],YMKODLARI!$A$1:$K$363,2,0)," ")</f>
        <v xml:space="preserve"> </v>
      </c>
      <c r="C386" s="99"/>
      <c r="D386" s="100"/>
      <c r="E386" s="101"/>
      <c r="F386" s="101"/>
      <c r="G386" s="100" t="str">
        <f>IFERROR(VLOOKUP(Tablo518[[#This Row],[ÜRÜN KODU]],YMKODLARI!$A$1:$K$363,3,0)," ")</f>
        <v xml:space="preserve"> </v>
      </c>
      <c r="H386" s="100" t="str">
        <f>IFERROR(VLOOKUP(Tablo518[[#This Row],[ÜRÜN KODU]],YMKODLARI!$A$1:$K$363,4,0)," ")</f>
        <v xml:space="preserve"> </v>
      </c>
      <c r="I386" s="100"/>
      <c r="J386" s="100" t="str">
        <f>IFERROR(VLOOKUP(Tablo518[[#This Row],[ÜRÜN KODU]],YMKODLARI!$A$1:$K$363,9,0)," ")</f>
        <v xml:space="preserve"> </v>
      </c>
      <c r="K386" s="100" t="str">
        <f>IFERROR(VLOOKUP(Tablo518[[#This Row],[BOYA KODU]],Tablo14[#All],4,0)," ")</f>
        <v xml:space="preserve"> </v>
      </c>
      <c r="L386" s="100" t="str">
        <f>IFERROR(VLOOKUP(Tablo518[[#This Row],[BOYA KODU]],Tablo14[#All],6,0)," ")</f>
        <v xml:space="preserve"> </v>
      </c>
      <c r="M386" s="100" t="str">
        <f t="shared" si="35"/>
        <v xml:space="preserve"> </v>
      </c>
      <c r="N386" s="100" t="str">
        <f>IFERROR(VLOOKUP(Tablo518[[#This Row],[ÜRÜN KODU]],YMKODLARI!$A$1:$K$363,8,0)," ")</f>
        <v xml:space="preserve"> </v>
      </c>
      <c r="O386" s="100" t="str">
        <f>IFERROR(VLOOKUP(Tablo518[[#This Row],[HAMMADDE KODU]],Tablo1[#All],3,0)," ")</f>
        <v xml:space="preserve"> </v>
      </c>
      <c r="P386" s="100" t="str">
        <f>IFERROR(VLOOKUP(Tablo518[[#This Row],[HAMMADDE KODU]],Tablo1[#All],4,0)," ")</f>
        <v xml:space="preserve"> </v>
      </c>
      <c r="Q386" s="100" t="str">
        <f>IFERROR(VLOOKUP(Tablo518[[#This Row],[ÜRÜN KODU]],YMKODLARI!$A$1:$K$363,5,0)," ")</f>
        <v xml:space="preserve"> </v>
      </c>
      <c r="R386" s="100" t="str">
        <f>IFERROR(VLOOKUP(Tablo518[[#This Row],[ÜRÜN KODU]],YMKODLARI!$A$1:$K$363,6,0)," ")</f>
        <v xml:space="preserve"> </v>
      </c>
      <c r="S386" s="100" t="str">
        <f>IFERROR(Tablo518[[#This Row],[YOLLUK HARİÇ BASKI GRAMI]]/Tablo518[[#This Row],[KALIP GÖZ ADEDİ]]," ")</f>
        <v xml:space="preserve"> </v>
      </c>
      <c r="T386" s="100" t="str">
        <f t="shared" si="37"/>
        <v xml:space="preserve"> </v>
      </c>
      <c r="U386" s="100"/>
      <c r="V386" s="100" t="str">
        <f t="shared" si="36"/>
        <v xml:space="preserve"> </v>
      </c>
      <c r="W386" s="101">
        <f t="shared" si="38"/>
        <v>24</v>
      </c>
      <c r="X386" s="102">
        <f t="shared" si="39"/>
        <v>0</v>
      </c>
      <c r="Y386" s="100" t="str">
        <f t="shared" si="40"/>
        <v xml:space="preserve"> </v>
      </c>
      <c r="Z386" s="100" t="str">
        <f t="shared" si="41"/>
        <v xml:space="preserve"> </v>
      </c>
    </row>
    <row r="387" spans="1:26">
      <c r="A387" s="108"/>
      <c r="B387" s="108" t="str">
        <f>IFERROR(VLOOKUP(Tablo518[[#This Row],[ÜRÜN KODU]],YMKODLARI!$A$1:$K$363,2,0)," ")</f>
        <v xml:space="preserve"> </v>
      </c>
      <c r="C387" s="99"/>
      <c r="D387" s="100"/>
      <c r="E387" s="101"/>
      <c r="F387" s="101"/>
      <c r="G387" s="100" t="str">
        <f>IFERROR(VLOOKUP(Tablo518[[#This Row],[ÜRÜN KODU]],YMKODLARI!$A$1:$K$363,3,0)," ")</f>
        <v xml:space="preserve"> </v>
      </c>
      <c r="H387" s="100" t="str">
        <f>IFERROR(VLOOKUP(Tablo518[[#This Row],[ÜRÜN KODU]],YMKODLARI!$A$1:$K$363,4,0)," ")</f>
        <v xml:space="preserve"> </v>
      </c>
      <c r="I387" s="100"/>
      <c r="J387" s="100" t="str">
        <f>IFERROR(VLOOKUP(Tablo518[[#This Row],[ÜRÜN KODU]],YMKODLARI!$A$1:$K$363,9,0)," ")</f>
        <v xml:space="preserve"> </v>
      </c>
      <c r="K387" s="100" t="str">
        <f>IFERROR(VLOOKUP(Tablo518[[#This Row],[BOYA KODU]],Tablo14[#All],4,0)," ")</f>
        <v xml:space="preserve"> </v>
      </c>
      <c r="L387" s="100" t="str">
        <f>IFERROR(VLOOKUP(Tablo518[[#This Row],[BOYA KODU]],Tablo14[#All],6,0)," ")</f>
        <v xml:space="preserve"> </v>
      </c>
      <c r="M387" s="100" t="str">
        <f t="shared" si="35"/>
        <v xml:space="preserve"> </v>
      </c>
      <c r="N387" s="100" t="str">
        <f>IFERROR(VLOOKUP(Tablo518[[#This Row],[ÜRÜN KODU]],YMKODLARI!$A$1:$K$363,8,0)," ")</f>
        <v xml:space="preserve"> </v>
      </c>
      <c r="O387" s="100" t="str">
        <f>IFERROR(VLOOKUP(Tablo518[[#This Row],[HAMMADDE KODU]],Tablo1[#All],3,0)," ")</f>
        <v xml:space="preserve"> </v>
      </c>
      <c r="P387" s="100" t="str">
        <f>IFERROR(VLOOKUP(Tablo518[[#This Row],[HAMMADDE KODU]],Tablo1[#All],4,0)," ")</f>
        <v xml:space="preserve"> </v>
      </c>
      <c r="Q387" s="100" t="str">
        <f>IFERROR(VLOOKUP(Tablo518[[#This Row],[ÜRÜN KODU]],YMKODLARI!$A$1:$K$363,5,0)," ")</f>
        <v xml:space="preserve"> </v>
      </c>
      <c r="R387" s="100" t="str">
        <f>IFERROR(VLOOKUP(Tablo518[[#This Row],[ÜRÜN KODU]],YMKODLARI!$A$1:$K$363,6,0)," ")</f>
        <v xml:space="preserve"> </v>
      </c>
      <c r="S387" s="100" t="str">
        <f>IFERROR(Tablo518[[#This Row],[YOLLUK HARİÇ BASKI GRAMI]]/Tablo518[[#This Row],[KALIP GÖZ ADEDİ]]," ")</f>
        <v xml:space="preserve"> </v>
      </c>
      <c r="T387" s="100" t="str">
        <f t="shared" si="37"/>
        <v xml:space="preserve"> </v>
      </c>
      <c r="U387" s="100"/>
      <c r="V387" s="100" t="str">
        <f t="shared" si="36"/>
        <v xml:space="preserve"> </v>
      </c>
      <c r="W387" s="101">
        <f t="shared" si="38"/>
        <v>24</v>
      </c>
      <c r="X387" s="102">
        <f t="shared" si="39"/>
        <v>0</v>
      </c>
      <c r="Y387" s="100" t="str">
        <f t="shared" si="40"/>
        <v xml:space="preserve"> </v>
      </c>
      <c r="Z387" s="100" t="str">
        <f t="shared" si="41"/>
        <v xml:space="preserve"> </v>
      </c>
    </row>
    <row r="388" spans="1:26">
      <c r="A388" s="108"/>
      <c r="B388" s="108" t="str">
        <f>IFERROR(VLOOKUP(Tablo518[[#This Row],[ÜRÜN KODU]],YMKODLARI!$A$1:$K$363,2,0)," ")</f>
        <v xml:space="preserve"> </v>
      </c>
      <c r="C388" s="99"/>
      <c r="D388" s="100"/>
      <c r="E388" s="101"/>
      <c r="F388" s="101"/>
      <c r="G388" s="100" t="str">
        <f>IFERROR(VLOOKUP(Tablo518[[#This Row],[ÜRÜN KODU]],YMKODLARI!$A$1:$K$363,3,0)," ")</f>
        <v xml:space="preserve"> </v>
      </c>
      <c r="H388" s="100" t="str">
        <f>IFERROR(VLOOKUP(Tablo518[[#This Row],[ÜRÜN KODU]],YMKODLARI!$A$1:$K$363,4,0)," ")</f>
        <v xml:space="preserve"> </v>
      </c>
      <c r="I388" s="100"/>
      <c r="J388" s="100" t="str">
        <f>IFERROR(VLOOKUP(Tablo518[[#This Row],[ÜRÜN KODU]],YMKODLARI!$A$1:$K$363,9,0)," ")</f>
        <v xml:space="preserve"> </v>
      </c>
      <c r="K388" s="100" t="str">
        <f>IFERROR(VLOOKUP(Tablo518[[#This Row],[BOYA KODU]],Tablo14[#All],4,0)," ")</f>
        <v xml:space="preserve"> </v>
      </c>
      <c r="L388" s="100" t="str">
        <f>IFERROR(VLOOKUP(Tablo518[[#This Row],[BOYA KODU]],Tablo14[#All],6,0)," ")</f>
        <v xml:space="preserve"> </v>
      </c>
      <c r="M388" s="100" t="str">
        <f t="shared" si="35"/>
        <v xml:space="preserve"> </v>
      </c>
      <c r="N388" s="100" t="str">
        <f>IFERROR(VLOOKUP(Tablo518[[#This Row],[ÜRÜN KODU]],YMKODLARI!$A$1:$K$363,8,0)," ")</f>
        <v xml:space="preserve"> </v>
      </c>
      <c r="O388" s="100" t="str">
        <f>IFERROR(VLOOKUP(Tablo518[[#This Row],[HAMMADDE KODU]],Tablo1[#All],3,0)," ")</f>
        <v xml:space="preserve"> </v>
      </c>
      <c r="P388" s="100" t="str">
        <f>IFERROR(VLOOKUP(Tablo518[[#This Row],[HAMMADDE KODU]],Tablo1[#All],4,0)," ")</f>
        <v xml:space="preserve"> </v>
      </c>
      <c r="Q388" s="100" t="str">
        <f>IFERROR(VLOOKUP(Tablo518[[#This Row],[ÜRÜN KODU]],YMKODLARI!$A$1:$K$363,5,0)," ")</f>
        <v xml:space="preserve"> </v>
      </c>
      <c r="R388" s="100" t="str">
        <f>IFERROR(VLOOKUP(Tablo518[[#This Row],[ÜRÜN KODU]],YMKODLARI!$A$1:$K$363,6,0)," ")</f>
        <v xml:space="preserve"> </v>
      </c>
      <c r="S388" s="100" t="str">
        <f>IFERROR(Tablo518[[#This Row],[YOLLUK HARİÇ BASKI GRAMI]]/Tablo518[[#This Row],[KALIP GÖZ ADEDİ]]," ")</f>
        <v xml:space="preserve"> </v>
      </c>
      <c r="T388" s="100" t="str">
        <f t="shared" si="37"/>
        <v xml:space="preserve"> </v>
      </c>
      <c r="U388" s="100"/>
      <c r="V388" s="100" t="str">
        <f t="shared" si="36"/>
        <v xml:space="preserve"> </v>
      </c>
      <c r="W388" s="101">
        <f t="shared" si="38"/>
        <v>24</v>
      </c>
      <c r="X388" s="102">
        <f t="shared" si="39"/>
        <v>0</v>
      </c>
      <c r="Y388" s="100" t="str">
        <f t="shared" si="40"/>
        <v xml:space="preserve"> </v>
      </c>
      <c r="Z388" s="100" t="str">
        <f t="shared" si="41"/>
        <v xml:space="preserve"> </v>
      </c>
    </row>
    <row r="389" spans="1:26">
      <c r="A389" s="108"/>
      <c r="B389" s="108" t="str">
        <f>IFERROR(VLOOKUP(Tablo518[[#This Row],[ÜRÜN KODU]],YMKODLARI!$A$1:$K$363,2,0)," ")</f>
        <v xml:space="preserve"> </v>
      </c>
      <c r="C389" s="99"/>
      <c r="D389" s="100"/>
      <c r="E389" s="101"/>
      <c r="F389" s="101"/>
      <c r="G389" s="100" t="str">
        <f>IFERROR(VLOOKUP(Tablo518[[#This Row],[ÜRÜN KODU]],YMKODLARI!$A$1:$K$363,3,0)," ")</f>
        <v xml:space="preserve"> </v>
      </c>
      <c r="H389" s="100" t="str">
        <f>IFERROR(VLOOKUP(Tablo518[[#This Row],[ÜRÜN KODU]],YMKODLARI!$A$1:$K$363,4,0)," ")</f>
        <v xml:space="preserve"> </v>
      </c>
      <c r="I389" s="100"/>
      <c r="J389" s="100" t="str">
        <f>IFERROR(VLOOKUP(Tablo518[[#This Row],[ÜRÜN KODU]],YMKODLARI!$A$1:$K$363,9,0)," ")</f>
        <v xml:space="preserve"> </v>
      </c>
      <c r="K389" s="100" t="str">
        <f>IFERROR(VLOOKUP(Tablo518[[#This Row],[BOYA KODU]],Tablo14[#All],4,0)," ")</f>
        <v xml:space="preserve"> </v>
      </c>
      <c r="L389" s="100" t="str">
        <f>IFERROR(VLOOKUP(Tablo518[[#This Row],[BOYA KODU]],Tablo14[#All],6,0)," ")</f>
        <v xml:space="preserve"> </v>
      </c>
      <c r="M389" s="100" t="str">
        <f t="shared" si="35"/>
        <v xml:space="preserve"> </v>
      </c>
      <c r="N389" s="100" t="str">
        <f>IFERROR(VLOOKUP(Tablo518[[#This Row],[ÜRÜN KODU]],YMKODLARI!$A$1:$K$363,8,0)," ")</f>
        <v xml:space="preserve"> </v>
      </c>
      <c r="O389" s="100" t="str">
        <f>IFERROR(VLOOKUP(Tablo518[[#This Row],[HAMMADDE KODU]],Tablo1[#All],3,0)," ")</f>
        <v xml:space="preserve"> </v>
      </c>
      <c r="P389" s="100" t="str">
        <f>IFERROR(VLOOKUP(Tablo518[[#This Row],[HAMMADDE KODU]],Tablo1[#All],4,0)," ")</f>
        <v xml:space="preserve"> </v>
      </c>
      <c r="Q389" s="100" t="str">
        <f>IFERROR(VLOOKUP(Tablo518[[#This Row],[ÜRÜN KODU]],YMKODLARI!$A$1:$K$363,5,0)," ")</f>
        <v xml:space="preserve"> </v>
      </c>
      <c r="R389" s="100" t="str">
        <f>IFERROR(VLOOKUP(Tablo518[[#This Row],[ÜRÜN KODU]],YMKODLARI!$A$1:$K$363,6,0)," ")</f>
        <v xml:space="preserve"> </v>
      </c>
      <c r="S389" s="100" t="str">
        <f>IFERROR(Tablo518[[#This Row],[YOLLUK HARİÇ BASKI GRAMI]]/Tablo518[[#This Row],[KALIP GÖZ ADEDİ]]," ")</f>
        <v xml:space="preserve"> </v>
      </c>
      <c r="T389" s="100" t="str">
        <f t="shared" si="37"/>
        <v xml:space="preserve"> </v>
      </c>
      <c r="U389" s="100"/>
      <c r="V389" s="100" t="str">
        <f t="shared" si="36"/>
        <v xml:space="preserve"> </v>
      </c>
      <c r="W389" s="101">
        <f t="shared" si="38"/>
        <v>24</v>
      </c>
      <c r="X389" s="102">
        <f t="shared" si="39"/>
        <v>0</v>
      </c>
      <c r="Y389" s="100" t="str">
        <f t="shared" si="40"/>
        <v xml:space="preserve"> </v>
      </c>
      <c r="Z389" s="100" t="str">
        <f t="shared" si="41"/>
        <v xml:space="preserve"> </v>
      </c>
    </row>
    <row r="390" spans="1:26">
      <c r="A390" s="108"/>
      <c r="B390" s="108" t="str">
        <f>IFERROR(VLOOKUP(Tablo518[[#This Row],[ÜRÜN KODU]],YMKODLARI!$A$1:$K$363,2,0)," ")</f>
        <v xml:space="preserve"> </v>
      </c>
      <c r="C390" s="99"/>
      <c r="D390" s="100"/>
      <c r="E390" s="101"/>
      <c r="F390" s="101"/>
      <c r="G390" s="100" t="str">
        <f>IFERROR(VLOOKUP(Tablo518[[#This Row],[ÜRÜN KODU]],YMKODLARI!$A$1:$K$363,3,0)," ")</f>
        <v xml:space="preserve"> </v>
      </c>
      <c r="H390" s="100" t="str">
        <f>IFERROR(VLOOKUP(Tablo518[[#This Row],[ÜRÜN KODU]],YMKODLARI!$A$1:$K$363,4,0)," ")</f>
        <v xml:space="preserve"> </v>
      </c>
      <c r="I390" s="100"/>
      <c r="J390" s="100" t="str">
        <f>IFERROR(VLOOKUP(Tablo518[[#This Row],[ÜRÜN KODU]],YMKODLARI!$A$1:$K$363,9,0)," ")</f>
        <v xml:space="preserve"> </v>
      </c>
      <c r="K390" s="100" t="str">
        <f>IFERROR(VLOOKUP(Tablo518[[#This Row],[BOYA KODU]],Tablo14[#All],4,0)," ")</f>
        <v xml:space="preserve"> </v>
      </c>
      <c r="L390" s="100" t="str">
        <f>IFERROR(VLOOKUP(Tablo518[[#This Row],[BOYA KODU]],Tablo14[#All],6,0)," ")</f>
        <v xml:space="preserve"> </v>
      </c>
      <c r="M390" s="100" t="str">
        <f t="shared" si="35"/>
        <v xml:space="preserve"> </v>
      </c>
      <c r="N390" s="100" t="str">
        <f>IFERROR(VLOOKUP(Tablo518[[#This Row],[ÜRÜN KODU]],YMKODLARI!$A$1:$K$363,8,0)," ")</f>
        <v xml:space="preserve"> </v>
      </c>
      <c r="O390" s="100" t="str">
        <f>IFERROR(VLOOKUP(Tablo518[[#This Row],[HAMMADDE KODU]],Tablo1[#All],3,0)," ")</f>
        <v xml:space="preserve"> </v>
      </c>
      <c r="P390" s="100" t="str">
        <f>IFERROR(VLOOKUP(Tablo518[[#This Row],[HAMMADDE KODU]],Tablo1[#All],4,0)," ")</f>
        <v xml:space="preserve"> </v>
      </c>
      <c r="Q390" s="100" t="str">
        <f>IFERROR(VLOOKUP(Tablo518[[#This Row],[ÜRÜN KODU]],YMKODLARI!$A$1:$K$363,5,0)," ")</f>
        <v xml:space="preserve"> </v>
      </c>
      <c r="R390" s="100" t="str">
        <f>IFERROR(VLOOKUP(Tablo518[[#This Row],[ÜRÜN KODU]],YMKODLARI!$A$1:$K$363,6,0)," ")</f>
        <v xml:space="preserve"> </v>
      </c>
      <c r="S390" s="100" t="str">
        <f>IFERROR(Tablo518[[#This Row],[YOLLUK HARİÇ BASKI GRAMI]]/Tablo518[[#This Row],[KALIP GÖZ ADEDİ]]," ")</f>
        <v xml:space="preserve"> </v>
      </c>
      <c r="T390" s="100" t="str">
        <f t="shared" si="37"/>
        <v xml:space="preserve"> </v>
      </c>
      <c r="U390" s="100"/>
      <c r="V390" s="100" t="str">
        <f t="shared" si="36"/>
        <v xml:space="preserve"> </v>
      </c>
      <c r="W390" s="101">
        <f t="shared" si="38"/>
        <v>24</v>
      </c>
      <c r="X390" s="102">
        <f t="shared" si="39"/>
        <v>0</v>
      </c>
      <c r="Y390" s="100" t="str">
        <f t="shared" si="40"/>
        <v xml:space="preserve"> </v>
      </c>
      <c r="Z390" s="100" t="str">
        <f t="shared" si="41"/>
        <v xml:space="preserve"> </v>
      </c>
    </row>
    <row r="391" spans="1:26">
      <c r="A391" s="108"/>
      <c r="B391" s="108" t="str">
        <f>IFERROR(VLOOKUP(Tablo518[[#This Row],[ÜRÜN KODU]],YMKODLARI!$A$1:$K$363,2,0)," ")</f>
        <v xml:space="preserve"> </v>
      </c>
      <c r="C391" s="99"/>
      <c r="D391" s="100"/>
      <c r="E391" s="101"/>
      <c r="F391" s="101"/>
      <c r="G391" s="100" t="str">
        <f>IFERROR(VLOOKUP(Tablo518[[#This Row],[ÜRÜN KODU]],YMKODLARI!$A$1:$K$363,3,0)," ")</f>
        <v xml:space="preserve"> </v>
      </c>
      <c r="H391" s="100" t="str">
        <f>IFERROR(VLOOKUP(Tablo518[[#This Row],[ÜRÜN KODU]],YMKODLARI!$A$1:$K$363,4,0)," ")</f>
        <v xml:space="preserve"> </v>
      </c>
      <c r="I391" s="100"/>
      <c r="J391" s="100" t="str">
        <f>IFERROR(VLOOKUP(Tablo518[[#This Row],[ÜRÜN KODU]],YMKODLARI!$A$1:$K$363,9,0)," ")</f>
        <v xml:space="preserve"> </v>
      </c>
      <c r="K391" s="100" t="str">
        <f>IFERROR(VLOOKUP(Tablo518[[#This Row],[BOYA KODU]],Tablo14[#All],4,0)," ")</f>
        <v xml:space="preserve"> </v>
      </c>
      <c r="L391" s="100" t="str">
        <f>IFERROR(VLOOKUP(Tablo518[[#This Row],[BOYA KODU]],Tablo14[#All],6,0)," ")</f>
        <v xml:space="preserve"> </v>
      </c>
      <c r="M391" s="100" t="str">
        <f t="shared" ref="M391:M454" si="42">IFERROR((I391*Q391)*L391," ")</f>
        <v xml:space="preserve"> </v>
      </c>
      <c r="N391" s="100" t="str">
        <f>IFERROR(VLOOKUP(Tablo518[[#This Row],[ÜRÜN KODU]],YMKODLARI!$A$1:$K$363,8,0)," ")</f>
        <v xml:space="preserve"> </v>
      </c>
      <c r="O391" s="100" t="str">
        <f>IFERROR(VLOOKUP(Tablo518[[#This Row],[HAMMADDE KODU]],Tablo1[#All],3,0)," ")</f>
        <v xml:space="preserve"> </v>
      </c>
      <c r="P391" s="100" t="str">
        <f>IFERROR(VLOOKUP(Tablo518[[#This Row],[HAMMADDE KODU]],Tablo1[#All],4,0)," ")</f>
        <v xml:space="preserve"> </v>
      </c>
      <c r="Q391" s="100" t="str">
        <f>IFERROR(VLOOKUP(Tablo518[[#This Row],[ÜRÜN KODU]],YMKODLARI!$A$1:$K$363,5,0)," ")</f>
        <v xml:space="preserve"> </v>
      </c>
      <c r="R391" s="100" t="str">
        <f>IFERROR(VLOOKUP(Tablo518[[#This Row],[ÜRÜN KODU]],YMKODLARI!$A$1:$K$363,6,0)," ")</f>
        <v xml:space="preserve"> </v>
      </c>
      <c r="S391" s="100" t="str">
        <f>IFERROR(Tablo518[[#This Row],[YOLLUK HARİÇ BASKI GRAMI]]/Tablo518[[#This Row],[KALIP GÖZ ADEDİ]]," ")</f>
        <v xml:space="preserve"> </v>
      </c>
      <c r="T391" s="100" t="str">
        <f t="shared" si="37"/>
        <v xml:space="preserve"> </v>
      </c>
      <c r="U391" s="100"/>
      <c r="V391" s="100" t="str">
        <f t="shared" ref="V391:V454" si="43">IFERROR(U391+(R391*I391) /1000," ")</f>
        <v xml:space="preserve"> </v>
      </c>
      <c r="W391" s="101">
        <f t="shared" si="38"/>
        <v>24</v>
      </c>
      <c r="X391" s="102">
        <f t="shared" si="39"/>
        <v>0</v>
      </c>
      <c r="Y391" s="100" t="str">
        <f t="shared" si="40"/>
        <v xml:space="preserve"> </v>
      </c>
      <c r="Z391" s="100" t="str">
        <f t="shared" si="41"/>
        <v xml:space="preserve"> </v>
      </c>
    </row>
    <row r="392" spans="1:26">
      <c r="A392" s="108"/>
      <c r="B392" s="108" t="str">
        <f>IFERROR(VLOOKUP(Tablo518[[#This Row],[ÜRÜN KODU]],YMKODLARI!$A$1:$K$363,2,0)," ")</f>
        <v xml:space="preserve"> </v>
      </c>
      <c r="C392" s="99"/>
      <c r="D392" s="100"/>
      <c r="E392" s="101"/>
      <c r="F392" s="101"/>
      <c r="G392" s="100" t="str">
        <f>IFERROR(VLOOKUP(Tablo518[[#This Row],[ÜRÜN KODU]],YMKODLARI!$A$1:$K$363,3,0)," ")</f>
        <v xml:space="preserve"> </v>
      </c>
      <c r="H392" s="100" t="str">
        <f>IFERROR(VLOOKUP(Tablo518[[#This Row],[ÜRÜN KODU]],YMKODLARI!$A$1:$K$363,4,0)," ")</f>
        <v xml:space="preserve"> </v>
      </c>
      <c r="I392" s="100"/>
      <c r="J392" s="100" t="str">
        <f>IFERROR(VLOOKUP(Tablo518[[#This Row],[ÜRÜN KODU]],YMKODLARI!$A$1:$K$363,9,0)," ")</f>
        <v xml:space="preserve"> </v>
      </c>
      <c r="K392" s="100" t="str">
        <f>IFERROR(VLOOKUP(Tablo518[[#This Row],[BOYA KODU]],Tablo14[#All],4,0)," ")</f>
        <v xml:space="preserve"> </v>
      </c>
      <c r="L392" s="100" t="str">
        <f>IFERROR(VLOOKUP(Tablo518[[#This Row],[BOYA KODU]],Tablo14[#All],6,0)," ")</f>
        <v xml:space="preserve"> </v>
      </c>
      <c r="M392" s="100" t="str">
        <f t="shared" si="42"/>
        <v xml:space="preserve"> </v>
      </c>
      <c r="N392" s="100" t="str">
        <f>IFERROR(VLOOKUP(Tablo518[[#This Row],[ÜRÜN KODU]],YMKODLARI!$A$1:$K$363,8,0)," ")</f>
        <v xml:space="preserve"> </v>
      </c>
      <c r="O392" s="100" t="str">
        <f>IFERROR(VLOOKUP(Tablo518[[#This Row],[HAMMADDE KODU]],Tablo1[#All],3,0)," ")</f>
        <v xml:space="preserve"> </v>
      </c>
      <c r="P392" s="100" t="str">
        <f>IFERROR(VLOOKUP(Tablo518[[#This Row],[HAMMADDE KODU]],Tablo1[#All],4,0)," ")</f>
        <v xml:space="preserve"> </v>
      </c>
      <c r="Q392" s="100" t="str">
        <f>IFERROR(VLOOKUP(Tablo518[[#This Row],[ÜRÜN KODU]],YMKODLARI!$A$1:$K$363,5,0)," ")</f>
        <v xml:space="preserve"> </v>
      </c>
      <c r="R392" s="100" t="str">
        <f>IFERROR(VLOOKUP(Tablo518[[#This Row],[ÜRÜN KODU]],YMKODLARI!$A$1:$K$363,6,0)," ")</f>
        <v xml:space="preserve"> </v>
      </c>
      <c r="S392" s="100" t="str">
        <f>IFERROR(Tablo518[[#This Row],[YOLLUK HARİÇ BASKI GRAMI]]/Tablo518[[#This Row],[KALIP GÖZ ADEDİ]]," ")</f>
        <v xml:space="preserve"> </v>
      </c>
      <c r="T392" s="100" t="str">
        <f t="shared" ref="T392:T455" si="44">IFERROR(Q392-R392," ")</f>
        <v xml:space="preserve"> </v>
      </c>
      <c r="U392" s="100"/>
      <c r="V392" s="100" t="str">
        <f t="shared" si="43"/>
        <v xml:space="preserve"> </v>
      </c>
      <c r="W392" s="101">
        <f t="shared" ref="W392:W455" si="45">IFERROR(24-(E392-F392)," ")</f>
        <v>24</v>
      </c>
      <c r="X392" s="102">
        <f t="shared" ref="X392:X455" si="46">IFERROR((W392-INT(W392))*24," ")</f>
        <v>0</v>
      </c>
      <c r="Y392" s="100" t="str">
        <f t="shared" ref="Y392:Y455" si="47">IFERROR(H392*I392/3600," ")</f>
        <v xml:space="preserve"> </v>
      </c>
      <c r="Z392" s="100" t="str">
        <f t="shared" ref="Z392:Z455" si="48">IFERROR(I392*G392," " )</f>
        <v xml:space="preserve"> </v>
      </c>
    </row>
    <row r="393" spans="1:26">
      <c r="A393" s="108"/>
      <c r="B393" s="108" t="str">
        <f>IFERROR(VLOOKUP(Tablo518[[#This Row],[ÜRÜN KODU]],YMKODLARI!$A$1:$K$363,2,0)," ")</f>
        <v xml:space="preserve"> </v>
      </c>
      <c r="C393" s="99"/>
      <c r="D393" s="100"/>
      <c r="E393" s="101"/>
      <c r="F393" s="101"/>
      <c r="G393" s="100" t="str">
        <f>IFERROR(VLOOKUP(Tablo518[[#This Row],[ÜRÜN KODU]],YMKODLARI!$A$1:$K$363,3,0)," ")</f>
        <v xml:space="preserve"> </v>
      </c>
      <c r="H393" s="100" t="str">
        <f>IFERROR(VLOOKUP(Tablo518[[#This Row],[ÜRÜN KODU]],YMKODLARI!$A$1:$K$363,4,0)," ")</f>
        <v xml:space="preserve"> </v>
      </c>
      <c r="I393" s="100"/>
      <c r="J393" s="100" t="str">
        <f>IFERROR(VLOOKUP(Tablo518[[#This Row],[ÜRÜN KODU]],YMKODLARI!$A$1:$K$363,9,0)," ")</f>
        <v xml:space="preserve"> </v>
      </c>
      <c r="K393" s="100" t="str">
        <f>IFERROR(VLOOKUP(Tablo518[[#This Row],[BOYA KODU]],Tablo14[#All],4,0)," ")</f>
        <v xml:space="preserve"> </v>
      </c>
      <c r="L393" s="100" t="str">
        <f>IFERROR(VLOOKUP(Tablo518[[#This Row],[BOYA KODU]],Tablo14[#All],6,0)," ")</f>
        <v xml:space="preserve"> </v>
      </c>
      <c r="M393" s="100" t="str">
        <f t="shared" si="42"/>
        <v xml:space="preserve"> </v>
      </c>
      <c r="N393" s="100" t="str">
        <f>IFERROR(VLOOKUP(Tablo518[[#This Row],[ÜRÜN KODU]],YMKODLARI!$A$1:$K$363,8,0)," ")</f>
        <v xml:space="preserve"> </v>
      </c>
      <c r="O393" s="100" t="str">
        <f>IFERROR(VLOOKUP(Tablo518[[#This Row],[HAMMADDE KODU]],Tablo1[#All],3,0)," ")</f>
        <v xml:space="preserve"> </v>
      </c>
      <c r="P393" s="100" t="str">
        <f>IFERROR(VLOOKUP(Tablo518[[#This Row],[HAMMADDE KODU]],Tablo1[#All],4,0)," ")</f>
        <v xml:space="preserve"> </v>
      </c>
      <c r="Q393" s="100" t="str">
        <f>IFERROR(VLOOKUP(Tablo518[[#This Row],[ÜRÜN KODU]],YMKODLARI!$A$1:$K$363,5,0)," ")</f>
        <v xml:space="preserve"> </v>
      </c>
      <c r="R393" s="100" t="str">
        <f>IFERROR(VLOOKUP(Tablo518[[#This Row],[ÜRÜN KODU]],YMKODLARI!$A$1:$K$363,6,0)," ")</f>
        <v xml:space="preserve"> </v>
      </c>
      <c r="S393" s="100" t="str">
        <f>IFERROR(Tablo518[[#This Row],[YOLLUK HARİÇ BASKI GRAMI]]/Tablo518[[#This Row],[KALIP GÖZ ADEDİ]]," ")</f>
        <v xml:space="preserve"> </v>
      </c>
      <c r="T393" s="100" t="str">
        <f t="shared" si="44"/>
        <v xml:space="preserve"> </v>
      </c>
      <c r="U393" s="100"/>
      <c r="V393" s="100" t="str">
        <f t="shared" si="43"/>
        <v xml:space="preserve"> </v>
      </c>
      <c r="W393" s="101">
        <f t="shared" si="45"/>
        <v>24</v>
      </c>
      <c r="X393" s="102">
        <f t="shared" si="46"/>
        <v>0</v>
      </c>
      <c r="Y393" s="100" t="str">
        <f t="shared" si="47"/>
        <v xml:space="preserve"> </v>
      </c>
      <c r="Z393" s="100" t="str">
        <f t="shared" si="48"/>
        <v xml:space="preserve"> </v>
      </c>
    </row>
    <row r="394" spans="1:26">
      <c r="A394" s="108"/>
      <c r="B394" s="108" t="str">
        <f>IFERROR(VLOOKUP(Tablo518[[#This Row],[ÜRÜN KODU]],YMKODLARI!$A$1:$K$363,2,0)," ")</f>
        <v xml:space="preserve"> </v>
      </c>
      <c r="C394" s="99"/>
      <c r="D394" s="100"/>
      <c r="E394" s="101"/>
      <c r="F394" s="101"/>
      <c r="G394" s="100" t="str">
        <f>IFERROR(VLOOKUP(Tablo518[[#This Row],[ÜRÜN KODU]],YMKODLARI!$A$1:$K$363,3,0)," ")</f>
        <v xml:space="preserve"> </v>
      </c>
      <c r="H394" s="100" t="str">
        <f>IFERROR(VLOOKUP(Tablo518[[#This Row],[ÜRÜN KODU]],YMKODLARI!$A$1:$K$363,4,0)," ")</f>
        <v xml:space="preserve"> </v>
      </c>
      <c r="I394" s="100"/>
      <c r="J394" s="100" t="str">
        <f>IFERROR(VLOOKUP(Tablo518[[#This Row],[ÜRÜN KODU]],YMKODLARI!$A$1:$K$363,9,0)," ")</f>
        <v xml:space="preserve"> </v>
      </c>
      <c r="K394" s="100" t="str">
        <f>IFERROR(VLOOKUP(Tablo518[[#This Row],[BOYA KODU]],Tablo14[#All],4,0)," ")</f>
        <v xml:space="preserve"> </v>
      </c>
      <c r="L394" s="100" t="str">
        <f>IFERROR(VLOOKUP(Tablo518[[#This Row],[BOYA KODU]],Tablo14[#All],6,0)," ")</f>
        <v xml:space="preserve"> </v>
      </c>
      <c r="M394" s="100" t="str">
        <f t="shared" si="42"/>
        <v xml:space="preserve"> </v>
      </c>
      <c r="N394" s="100" t="str">
        <f>IFERROR(VLOOKUP(Tablo518[[#This Row],[ÜRÜN KODU]],YMKODLARI!$A$1:$K$363,8,0)," ")</f>
        <v xml:space="preserve"> </v>
      </c>
      <c r="O394" s="100" t="str">
        <f>IFERROR(VLOOKUP(Tablo518[[#This Row],[HAMMADDE KODU]],Tablo1[#All],3,0)," ")</f>
        <v xml:space="preserve"> </v>
      </c>
      <c r="P394" s="100" t="str">
        <f>IFERROR(VLOOKUP(Tablo518[[#This Row],[HAMMADDE KODU]],Tablo1[#All],4,0)," ")</f>
        <v xml:space="preserve"> </v>
      </c>
      <c r="Q394" s="100" t="str">
        <f>IFERROR(VLOOKUP(Tablo518[[#This Row],[ÜRÜN KODU]],YMKODLARI!$A$1:$K$363,5,0)," ")</f>
        <v xml:space="preserve"> </v>
      </c>
      <c r="R394" s="100" t="str">
        <f>IFERROR(VLOOKUP(Tablo518[[#This Row],[ÜRÜN KODU]],YMKODLARI!$A$1:$K$363,6,0)," ")</f>
        <v xml:space="preserve"> </v>
      </c>
      <c r="S394" s="100" t="str">
        <f>IFERROR(Tablo518[[#This Row],[YOLLUK HARİÇ BASKI GRAMI]]/Tablo518[[#This Row],[KALIP GÖZ ADEDİ]]," ")</f>
        <v xml:space="preserve"> </v>
      </c>
      <c r="T394" s="100" t="str">
        <f t="shared" si="44"/>
        <v xml:space="preserve"> </v>
      </c>
      <c r="U394" s="100"/>
      <c r="V394" s="100" t="str">
        <f t="shared" si="43"/>
        <v xml:space="preserve"> </v>
      </c>
      <c r="W394" s="101">
        <f t="shared" si="45"/>
        <v>24</v>
      </c>
      <c r="X394" s="102">
        <f t="shared" si="46"/>
        <v>0</v>
      </c>
      <c r="Y394" s="100" t="str">
        <f t="shared" si="47"/>
        <v xml:space="preserve"> </v>
      </c>
      <c r="Z394" s="100" t="str">
        <f t="shared" si="48"/>
        <v xml:space="preserve"> </v>
      </c>
    </row>
    <row r="395" spans="1:26">
      <c r="A395" s="108"/>
      <c r="B395" s="108" t="str">
        <f>IFERROR(VLOOKUP(Tablo518[[#This Row],[ÜRÜN KODU]],YMKODLARI!$A$1:$K$363,2,0)," ")</f>
        <v xml:space="preserve"> </v>
      </c>
      <c r="C395" s="99"/>
      <c r="D395" s="100"/>
      <c r="E395" s="101"/>
      <c r="F395" s="101"/>
      <c r="G395" s="100" t="str">
        <f>IFERROR(VLOOKUP(Tablo518[[#This Row],[ÜRÜN KODU]],YMKODLARI!$A$1:$K$363,3,0)," ")</f>
        <v xml:space="preserve"> </v>
      </c>
      <c r="H395" s="100" t="str">
        <f>IFERROR(VLOOKUP(Tablo518[[#This Row],[ÜRÜN KODU]],YMKODLARI!$A$1:$K$363,4,0)," ")</f>
        <v xml:space="preserve"> </v>
      </c>
      <c r="I395" s="100"/>
      <c r="J395" s="100" t="str">
        <f>IFERROR(VLOOKUP(Tablo518[[#This Row],[ÜRÜN KODU]],YMKODLARI!$A$1:$K$363,9,0)," ")</f>
        <v xml:space="preserve"> </v>
      </c>
      <c r="K395" s="100" t="str">
        <f>IFERROR(VLOOKUP(Tablo518[[#This Row],[BOYA KODU]],Tablo14[#All],4,0)," ")</f>
        <v xml:space="preserve"> </v>
      </c>
      <c r="L395" s="100" t="str">
        <f>IFERROR(VLOOKUP(Tablo518[[#This Row],[BOYA KODU]],Tablo14[#All],6,0)," ")</f>
        <v xml:space="preserve"> </v>
      </c>
      <c r="M395" s="100" t="str">
        <f t="shared" si="42"/>
        <v xml:space="preserve"> </v>
      </c>
      <c r="N395" s="100" t="str">
        <f>IFERROR(VLOOKUP(Tablo518[[#This Row],[ÜRÜN KODU]],YMKODLARI!$A$1:$K$363,8,0)," ")</f>
        <v xml:space="preserve"> </v>
      </c>
      <c r="O395" s="100" t="str">
        <f>IFERROR(VLOOKUP(Tablo518[[#This Row],[HAMMADDE KODU]],Tablo1[#All],3,0)," ")</f>
        <v xml:space="preserve"> </v>
      </c>
      <c r="P395" s="100" t="str">
        <f>IFERROR(VLOOKUP(Tablo518[[#This Row],[HAMMADDE KODU]],Tablo1[#All],4,0)," ")</f>
        <v xml:space="preserve"> </v>
      </c>
      <c r="Q395" s="100" t="str">
        <f>IFERROR(VLOOKUP(Tablo518[[#This Row],[ÜRÜN KODU]],YMKODLARI!$A$1:$K$363,5,0)," ")</f>
        <v xml:space="preserve"> </v>
      </c>
      <c r="R395" s="100" t="str">
        <f>IFERROR(VLOOKUP(Tablo518[[#This Row],[ÜRÜN KODU]],YMKODLARI!$A$1:$K$363,6,0)," ")</f>
        <v xml:space="preserve"> </v>
      </c>
      <c r="S395" s="100" t="str">
        <f>IFERROR(Tablo518[[#This Row],[YOLLUK HARİÇ BASKI GRAMI]]/Tablo518[[#This Row],[KALIP GÖZ ADEDİ]]," ")</f>
        <v xml:space="preserve"> </v>
      </c>
      <c r="T395" s="100" t="str">
        <f t="shared" si="44"/>
        <v xml:space="preserve"> </v>
      </c>
      <c r="U395" s="100"/>
      <c r="V395" s="100" t="str">
        <f t="shared" si="43"/>
        <v xml:space="preserve"> </v>
      </c>
      <c r="W395" s="101">
        <f t="shared" si="45"/>
        <v>24</v>
      </c>
      <c r="X395" s="102">
        <f t="shared" si="46"/>
        <v>0</v>
      </c>
      <c r="Y395" s="100" t="str">
        <f t="shared" si="47"/>
        <v xml:space="preserve"> </v>
      </c>
      <c r="Z395" s="100" t="str">
        <f t="shared" si="48"/>
        <v xml:space="preserve"> </v>
      </c>
    </row>
    <row r="396" spans="1:26">
      <c r="A396" s="108"/>
      <c r="B396" s="108" t="str">
        <f>IFERROR(VLOOKUP(Tablo518[[#This Row],[ÜRÜN KODU]],YMKODLARI!$A$1:$K$363,2,0)," ")</f>
        <v xml:space="preserve"> </v>
      </c>
      <c r="C396" s="99"/>
      <c r="D396" s="100"/>
      <c r="E396" s="101"/>
      <c r="F396" s="101"/>
      <c r="G396" s="100" t="str">
        <f>IFERROR(VLOOKUP(Tablo518[[#This Row],[ÜRÜN KODU]],YMKODLARI!$A$1:$K$363,3,0)," ")</f>
        <v xml:space="preserve"> </v>
      </c>
      <c r="H396" s="100" t="str">
        <f>IFERROR(VLOOKUP(Tablo518[[#This Row],[ÜRÜN KODU]],YMKODLARI!$A$1:$K$363,4,0)," ")</f>
        <v xml:space="preserve"> </v>
      </c>
      <c r="I396" s="100"/>
      <c r="J396" s="100" t="str">
        <f>IFERROR(VLOOKUP(Tablo518[[#This Row],[ÜRÜN KODU]],YMKODLARI!$A$1:$K$363,9,0)," ")</f>
        <v xml:space="preserve"> </v>
      </c>
      <c r="K396" s="100" t="str">
        <f>IFERROR(VLOOKUP(Tablo518[[#This Row],[BOYA KODU]],Tablo14[#All],4,0)," ")</f>
        <v xml:space="preserve"> </v>
      </c>
      <c r="L396" s="100" t="str">
        <f>IFERROR(VLOOKUP(Tablo518[[#This Row],[BOYA KODU]],Tablo14[#All],6,0)," ")</f>
        <v xml:space="preserve"> </v>
      </c>
      <c r="M396" s="100" t="str">
        <f t="shared" si="42"/>
        <v xml:space="preserve"> </v>
      </c>
      <c r="N396" s="100" t="str">
        <f>IFERROR(VLOOKUP(Tablo518[[#This Row],[ÜRÜN KODU]],YMKODLARI!$A$1:$K$363,8,0)," ")</f>
        <v xml:space="preserve"> </v>
      </c>
      <c r="O396" s="100" t="str">
        <f>IFERROR(VLOOKUP(Tablo518[[#This Row],[HAMMADDE KODU]],Tablo1[#All],3,0)," ")</f>
        <v xml:space="preserve"> </v>
      </c>
      <c r="P396" s="100" t="str">
        <f>IFERROR(VLOOKUP(Tablo518[[#This Row],[HAMMADDE KODU]],Tablo1[#All],4,0)," ")</f>
        <v xml:space="preserve"> </v>
      </c>
      <c r="Q396" s="100" t="str">
        <f>IFERROR(VLOOKUP(Tablo518[[#This Row],[ÜRÜN KODU]],YMKODLARI!$A$1:$K$363,5,0)," ")</f>
        <v xml:space="preserve"> </v>
      </c>
      <c r="R396" s="100" t="str">
        <f>IFERROR(VLOOKUP(Tablo518[[#This Row],[ÜRÜN KODU]],YMKODLARI!$A$1:$K$363,6,0)," ")</f>
        <v xml:space="preserve"> </v>
      </c>
      <c r="S396" s="100" t="str">
        <f>IFERROR(Tablo518[[#This Row],[YOLLUK HARİÇ BASKI GRAMI]]/Tablo518[[#This Row],[KALIP GÖZ ADEDİ]]," ")</f>
        <v xml:space="preserve"> </v>
      </c>
      <c r="T396" s="100" t="str">
        <f t="shared" si="44"/>
        <v xml:space="preserve"> </v>
      </c>
      <c r="U396" s="100"/>
      <c r="V396" s="100" t="str">
        <f t="shared" si="43"/>
        <v xml:space="preserve"> </v>
      </c>
      <c r="W396" s="101">
        <f t="shared" si="45"/>
        <v>24</v>
      </c>
      <c r="X396" s="102">
        <f t="shared" si="46"/>
        <v>0</v>
      </c>
      <c r="Y396" s="100" t="str">
        <f t="shared" si="47"/>
        <v xml:space="preserve"> </v>
      </c>
      <c r="Z396" s="100" t="str">
        <f t="shared" si="48"/>
        <v xml:space="preserve"> </v>
      </c>
    </row>
    <row r="397" spans="1:26">
      <c r="A397" s="108"/>
      <c r="B397" s="108" t="str">
        <f>IFERROR(VLOOKUP(Tablo518[[#This Row],[ÜRÜN KODU]],YMKODLARI!$A$1:$K$363,2,0)," ")</f>
        <v xml:space="preserve"> </v>
      </c>
      <c r="C397" s="99"/>
      <c r="D397" s="100"/>
      <c r="E397" s="101"/>
      <c r="F397" s="101"/>
      <c r="G397" s="100" t="str">
        <f>IFERROR(VLOOKUP(Tablo518[[#This Row],[ÜRÜN KODU]],YMKODLARI!$A$1:$K$363,3,0)," ")</f>
        <v xml:space="preserve"> </v>
      </c>
      <c r="H397" s="100" t="str">
        <f>IFERROR(VLOOKUP(Tablo518[[#This Row],[ÜRÜN KODU]],YMKODLARI!$A$1:$K$363,4,0)," ")</f>
        <v xml:space="preserve"> </v>
      </c>
      <c r="I397" s="100"/>
      <c r="J397" s="100" t="str">
        <f>IFERROR(VLOOKUP(Tablo518[[#This Row],[ÜRÜN KODU]],YMKODLARI!$A$1:$K$363,9,0)," ")</f>
        <v xml:space="preserve"> </v>
      </c>
      <c r="K397" s="100" t="str">
        <f>IFERROR(VLOOKUP(Tablo518[[#This Row],[BOYA KODU]],Tablo14[#All],4,0)," ")</f>
        <v xml:space="preserve"> </v>
      </c>
      <c r="L397" s="100" t="str">
        <f>IFERROR(VLOOKUP(Tablo518[[#This Row],[BOYA KODU]],Tablo14[#All],6,0)," ")</f>
        <v xml:space="preserve"> </v>
      </c>
      <c r="M397" s="100" t="str">
        <f t="shared" si="42"/>
        <v xml:space="preserve"> </v>
      </c>
      <c r="N397" s="100" t="str">
        <f>IFERROR(VLOOKUP(Tablo518[[#This Row],[ÜRÜN KODU]],YMKODLARI!$A$1:$K$363,8,0)," ")</f>
        <v xml:space="preserve"> </v>
      </c>
      <c r="O397" s="100" t="str">
        <f>IFERROR(VLOOKUP(Tablo518[[#This Row],[HAMMADDE KODU]],Tablo1[#All],3,0)," ")</f>
        <v xml:space="preserve"> </v>
      </c>
      <c r="P397" s="100" t="str">
        <f>IFERROR(VLOOKUP(Tablo518[[#This Row],[HAMMADDE KODU]],Tablo1[#All],4,0)," ")</f>
        <v xml:space="preserve"> </v>
      </c>
      <c r="Q397" s="100" t="str">
        <f>IFERROR(VLOOKUP(Tablo518[[#This Row],[ÜRÜN KODU]],YMKODLARI!$A$1:$K$363,5,0)," ")</f>
        <v xml:space="preserve"> </v>
      </c>
      <c r="R397" s="100" t="str">
        <f>IFERROR(VLOOKUP(Tablo518[[#This Row],[ÜRÜN KODU]],YMKODLARI!$A$1:$K$363,6,0)," ")</f>
        <v xml:space="preserve"> </v>
      </c>
      <c r="S397" s="100" t="str">
        <f>IFERROR(Tablo518[[#This Row],[YOLLUK HARİÇ BASKI GRAMI]]/Tablo518[[#This Row],[KALIP GÖZ ADEDİ]]," ")</f>
        <v xml:space="preserve"> </v>
      </c>
      <c r="T397" s="100" t="str">
        <f t="shared" si="44"/>
        <v xml:space="preserve"> </v>
      </c>
      <c r="U397" s="100"/>
      <c r="V397" s="100" t="str">
        <f t="shared" si="43"/>
        <v xml:space="preserve"> </v>
      </c>
      <c r="W397" s="101">
        <f t="shared" si="45"/>
        <v>24</v>
      </c>
      <c r="X397" s="102">
        <f t="shared" si="46"/>
        <v>0</v>
      </c>
      <c r="Y397" s="100" t="str">
        <f t="shared" si="47"/>
        <v xml:space="preserve"> </v>
      </c>
      <c r="Z397" s="100" t="str">
        <f t="shared" si="48"/>
        <v xml:space="preserve"> </v>
      </c>
    </row>
    <row r="398" spans="1:26">
      <c r="A398" s="108"/>
      <c r="B398" s="108" t="str">
        <f>IFERROR(VLOOKUP(Tablo518[[#This Row],[ÜRÜN KODU]],YMKODLARI!$A$1:$K$363,2,0)," ")</f>
        <v xml:space="preserve"> </v>
      </c>
      <c r="C398" s="99"/>
      <c r="D398" s="100"/>
      <c r="E398" s="101"/>
      <c r="F398" s="101"/>
      <c r="G398" s="100" t="str">
        <f>IFERROR(VLOOKUP(Tablo518[[#This Row],[ÜRÜN KODU]],YMKODLARI!$A$1:$K$363,3,0)," ")</f>
        <v xml:space="preserve"> </v>
      </c>
      <c r="H398" s="100" t="str">
        <f>IFERROR(VLOOKUP(Tablo518[[#This Row],[ÜRÜN KODU]],YMKODLARI!$A$1:$K$363,4,0)," ")</f>
        <v xml:space="preserve"> </v>
      </c>
      <c r="I398" s="100"/>
      <c r="J398" s="100" t="str">
        <f>IFERROR(VLOOKUP(Tablo518[[#This Row],[ÜRÜN KODU]],YMKODLARI!$A$1:$K$363,9,0)," ")</f>
        <v xml:space="preserve"> </v>
      </c>
      <c r="K398" s="100" t="str">
        <f>IFERROR(VLOOKUP(Tablo518[[#This Row],[BOYA KODU]],Tablo14[#All],4,0)," ")</f>
        <v xml:space="preserve"> </v>
      </c>
      <c r="L398" s="100" t="str">
        <f>IFERROR(VLOOKUP(Tablo518[[#This Row],[BOYA KODU]],Tablo14[#All],6,0)," ")</f>
        <v xml:space="preserve"> </v>
      </c>
      <c r="M398" s="100" t="str">
        <f t="shared" si="42"/>
        <v xml:space="preserve"> </v>
      </c>
      <c r="N398" s="100" t="str">
        <f>IFERROR(VLOOKUP(Tablo518[[#This Row],[ÜRÜN KODU]],YMKODLARI!$A$1:$K$363,8,0)," ")</f>
        <v xml:space="preserve"> </v>
      </c>
      <c r="O398" s="100" t="str">
        <f>IFERROR(VLOOKUP(Tablo518[[#This Row],[HAMMADDE KODU]],Tablo1[#All],3,0)," ")</f>
        <v xml:space="preserve"> </v>
      </c>
      <c r="P398" s="100" t="str">
        <f>IFERROR(VLOOKUP(Tablo518[[#This Row],[HAMMADDE KODU]],Tablo1[#All],4,0)," ")</f>
        <v xml:space="preserve"> </v>
      </c>
      <c r="Q398" s="100" t="str">
        <f>IFERROR(VLOOKUP(Tablo518[[#This Row],[ÜRÜN KODU]],YMKODLARI!$A$1:$K$363,5,0)," ")</f>
        <v xml:space="preserve"> </v>
      </c>
      <c r="R398" s="100" t="str">
        <f>IFERROR(VLOOKUP(Tablo518[[#This Row],[ÜRÜN KODU]],YMKODLARI!$A$1:$K$363,6,0)," ")</f>
        <v xml:space="preserve"> </v>
      </c>
      <c r="S398" s="100" t="str">
        <f>IFERROR(Tablo518[[#This Row],[YOLLUK HARİÇ BASKI GRAMI]]/Tablo518[[#This Row],[KALIP GÖZ ADEDİ]]," ")</f>
        <v xml:space="preserve"> </v>
      </c>
      <c r="T398" s="100" t="str">
        <f t="shared" si="44"/>
        <v xml:space="preserve"> </v>
      </c>
      <c r="U398" s="100"/>
      <c r="V398" s="100" t="str">
        <f t="shared" si="43"/>
        <v xml:space="preserve"> </v>
      </c>
      <c r="W398" s="101">
        <f t="shared" si="45"/>
        <v>24</v>
      </c>
      <c r="X398" s="102">
        <f t="shared" si="46"/>
        <v>0</v>
      </c>
      <c r="Y398" s="100" t="str">
        <f t="shared" si="47"/>
        <v xml:space="preserve"> </v>
      </c>
      <c r="Z398" s="100" t="str">
        <f t="shared" si="48"/>
        <v xml:space="preserve"> </v>
      </c>
    </row>
    <row r="399" spans="1:26">
      <c r="A399" s="108"/>
      <c r="B399" s="108" t="str">
        <f>IFERROR(VLOOKUP(Tablo518[[#This Row],[ÜRÜN KODU]],YMKODLARI!$A$1:$K$363,2,0)," ")</f>
        <v xml:space="preserve"> </v>
      </c>
      <c r="C399" s="99"/>
      <c r="D399" s="100"/>
      <c r="E399" s="101"/>
      <c r="F399" s="101"/>
      <c r="G399" s="100" t="str">
        <f>IFERROR(VLOOKUP(Tablo518[[#This Row],[ÜRÜN KODU]],YMKODLARI!$A$1:$K$363,3,0)," ")</f>
        <v xml:space="preserve"> </v>
      </c>
      <c r="H399" s="100" t="str">
        <f>IFERROR(VLOOKUP(Tablo518[[#This Row],[ÜRÜN KODU]],YMKODLARI!$A$1:$K$363,4,0)," ")</f>
        <v xml:space="preserve"> </v>
      </c>
      <c r="I399" s="100"/>
      <c r="J399" s="100" t="str">
        <f>IFERROR(VLOOKUP(Tablo518[[#This Row],[ÜRÜN KODU]],YMKODLARI!$A$1:$K$363,9,0)," ")</f>
        <v xml:space="preserve"> </v>
      </c>
      <c r="K399" s="100" t="str">
        <f>IFERROR(VLOOKUP(Tablo518[[#This Row],[BOYA KODU]],Tablo14[#All],4,0)," ")</f>
        <v xml:space="preserve"> </v>
      </c>
      <c r="L399" s="100" t="str">
        <f>IFERROR(VLOOKUP(Tablo518[[#This Row],[BOYA KODU]],Tablo14[#All],6,0)," ")</f>
        <v xml:space="preserve"> </v>
      </c>
      <c r="M399" s="100" t="str">
        <f t="shared" si="42"/>
        <v xml:space="preserve"> </v>
      </c>
      <c r="N399" s="100" t="str">
        <f>IFERROR(VLOOKUP(Tablo518[[#This Row],[ÜRÜN KODU]],YMKODLARI!$A$1:$K$363,8,0)," ")</f>
        <v xml:space="preserve"> </v>
      </c>
      <c r="O399" s="100" t="str">
        <f>IFERROR(VLOOKUP(Tablo518[[#This Row],[HAMMADDE KODU]],Tablo1[#All],3,0)," ")</f>
        <v xml:space="preserve"> </v>
      </c>
      <c r="P399" s="100" t="str">
        <f>IFERROR(VLOOKUP(Tablo518[[#This Row],[HAMMADDE KODU]],Tablo1[#All],4,0)," ")</f>
        <v xml:space="preserve"> </v>
      </c>
      <c r="Q399" s="100" t="str">
        <f>IFERROR(VLOOKUP(Tablo518[[#This Row],[ÜRÜN KODU]],YMKODLARI!$A$1:$K$363,5,0)," ")</f>
        <v xml:space="preserve"> </v>
      </c>
      <c r="R399" s="100" t="str">
        <f>IFERROR(VLOOKUP(Tablo518[[#This Row],[ÜRÜN KODU]],YMKODLARI!$A$1:$K$363,6,0)," ")</f>
        <v xml:space="preserve"> </v>
      </c>
      <c r="S399" s="100" t="str">
        <f>IFERROR(Tablo518[[#This Row],[YOLLUK HARİÇ BASKI GRAMI]]/Tablo518[[#This Row],[KALIP GÖZ ADEDİ]]," ")</f>
        <v xml:space="preserve"> </v>
      </c>
      <c r="T399" s="100" t="str">
        <f t="shared" si="44"/>
        <v xml:space="preserve"> </v>
      </c>
      <c r="U399" s="100"/>
      <c r="V399" s="100" t="str">
        <f t="shared" si="43"/>
        <v xml:space="preserve"> </v>
      </c>
      <c r="W399" s="101">
        <f t="shared" si="45"/>
        <v>24</v>
      </c>
      <c r="X399" s="102">
        <f t="shared" si="46"/>
        <v>0</v>
      </c>
      <c r="Y399" s="100" t="str">
        <f t="shared" si="47"/>
        <v xml:space="preserve"> </v>
      </c>
      <c r="Z399" s="100" t="str">
        <f t="shared" si="48"/>
        <v xml:space="preserve"> </v>
      </c>
    </row>
    <row r="400" spans="1:26">
      <c r="A400" s="108"/>
      <c r="B400" s="108" t="str">
        <f>IFERROR(VLOOKUP(Tablo518[[#This Row],[ÜRÜN KODU]],YMKODLARI!$A$1:$K$363,2,0)," ")</f>
        <v xml:space="preserve"> </v>
      </c>
      <c r="C400" s="99"/>
      <c r="D400" s="100"/>
      <c r="E400" s="101"/>
      <c r="F400" s="101"/>
      <c r="G400" s="100" t="str">
        <f>IFERROR(VLOOKUP(Tablo518[[#This Row],[ÜRÜN KODU]],YMKODLARI!$A$1:$K$363,3,0)," ")</f>
        <v xml:space="preserve"> </v>
      </c>
      <c r="H400" s="100" t="str">
        <f>IFERROR(VLOOKUP(Tablo518[[#This Row],[ÜRÜN KODU]],YMKODLARI!$A$1:$K$363,4,0)," ")</f>
        <v xml:space="preserve"> </v>
      </c>
      <c r="I400" s="100"/>
      <c r="J400" s="100" t="str">
        <f>IFERROR(VLOOKUP(Tablo518[[#This Row],[ÜRÜN KODU]],YMKODLARI!$A$1:$K$363,9,0)," ")</f>
        <v xml:space="preserve"> </v>
      </c>
      <c r="K400" s="100" t="str">
        <f>IFERROR(VLOOKUP(Tablo518[[#This Row],[BOYA KODU]],Tablo14[#All],4,0)," ")</f>
        <v xml:space="preserve"> </v>
      </c>
      <c r="L400" s="100" t="str">
        <f>IFERROR(VLOOKUP(Tablo518[[#This Row],[BOYA KODU]],Tablo14[#All],6,0)," ")</f>
        <v xml:space="preserve"> </v>
      </c>
      <c r="M400" s="100" t="str">
        <f t="shared" si="42"/>
        <v xml:space="preserve"> </v>
      </c>
      <c r="N400" s="100" t="str">
        <f>IFERROR(VLOOKUP(Tablo518[[#This Row],[ÜRÜN KODU]],YMKODLARI!$A$1:$K$363,8,0)," ")</f>
        <v xml:space="preserve"> </v>
      </c>
      <c r="O400" s="100" t="str">
        <f>IFERROR(VLOOKUP(Tablo518[[#This Row],[HAMMADDE KODU]],Tablo1[#All],3,0)," ")</f>
        <v xml:space="preserve"> </v>
      </c>
      <c r="P400" s="100" t="str">
        <f>IFERROR(VLOOKUP(Tablo518[[#This Row],[HAMMADDE KODU]],Tablo1[#All],4,0)," ")</f>
        <v xml:space="preserve"> </v>
      </c>
      <c r="Q400" s="100" t="str">
        <f>IFERROR(VLOOKUP(Tablo518[[#This Row],[ÜRÜN KODU]],YMKODLARI!$A$1:$K$363,5,0)," ")</f>
        <v xml:space="preserve"> </v>
      </c>
      <c r="R400" s="100" t="str">
        <f>IFERROR(VLOOKUP(Tablo518[[#This Row],[ÜRÜN KODU]],YMKODLARI!$A$1:$K$363,6,0)," ")</f>
        <v xml:space="preserve"> </v>
      </c>
      <c r="S400" s="100" t="str">
        <f>IFERROR(Tablo518[[#This Row],[YOLLUK HARİÇ BASKI GRAMI]]/Tablo518[[#This Row],[KALIP GÖZ ADEDİ]]," ")</f>
        <v xml:space="preserve"> </v>
      </c>
      <c r="T400" s="100" t="str">
        <f t="shared" si="44"/>
        <v xml:space="preserve"> </v>
      </c>
      <c r="U400" s="100"/>
      <c r="V400" s="100" t="str">
        <f t="shared" si="43"/>
        <v xml:space="preserve"> </v>
      </c>
      <c r="W400" s="101">
        <f t="shared" si="45"/>
        <v>24</v>
      </c>
      <c r="X400" s="102">
        <f t="shared" si="46"/>
        <v>0</v>
      </c>
      <c r="Y400" s="100" t="str">
        <f t="shared" si="47"/>
        <v xml:space="preserve"> </v>
      </c>
      <c r="Z400" s="100" t="str">
        <f t="shared" si="48"/>
        <v xml:space="preserve"> </v>
      </c>
    </row>
    <row r="401" spans="1:26">
      <c r="A401" s="108"/>
      <c r="B401" s="108" t="str">
        <f>IFERROR(VLOOKUP(Tablo518[[#This Row],[ÜRÜN KODU]],YMKODLARI!$A$1:$K$363,2,0)," ")</f>
        <v xml:space="preserve"> </v>
      </c>
      <c r="C401" s="99"/>
      <c r="D401" s="100"/>
      <c r="E401" s="101"/>
      <c r="F401" s="101"/>
      <c r="G401" s="100" t="str">
        <f>IFERROR(VLOOKUP(Tablo518[[#This Row],[ÜRÜN KODU]],YMKODLARI!$A$1:$K$363,3,0)," ")</f>
        <v xml:space="preserve"> </v>
      </c>
      <c r="H401" s="100" t="str">
        <f>IFERROR(VLOOKUP(Tablo518[[#This Row],[ÜRÜN KODU]],YMKODLARI!$A$1:$K$363,4,0)," ")</f>
        <v xml:space="preserve"> </v>
      </c>
      <c r="I401" s="100"/>
      <c r="J401" s="100" t="str">
        <f>IFERROR(VLOOKUP(Tablo518[[#This Row],[ÜRÜN KODU]],YMKODLARI!$A$1:$K$363,9,0)," ")</f>
        <v xml:space="preserve"> </v>
      </c>
      <c r="K401" s="100" t="str">
        <f>IFERROR(VLOOKUP(Tablo518[[#This Row],[BOYA KODU]],Tablo14[#All],4,0)," ")</f>
        <v xml:space="preserve"> </v>
      </c>
      <c r="L401" s="100" t="str">
        <f>IFERROR(VLOOKUP(Tablo518[[#This Row],[BOYA KODU]],Tablo14[#All],6,0)," ")</f>
        <v xml:space="preserve"> </v>
      </c>
      <c r="M401" s="100" t="str">
        <f t="shared" si="42"/>
        <v xml:space="preserve"> </v>
      </c>
      <c r="N401" s="100" t="str">
        <f>IFERROR(VLOOKUP(Tablo518[[#This Row],[ÜRÜN KODU]],YMKODLARI!$A$1:$K$363,8,0)," ")</f>
        <v xml:space="preserve"> </v>
      </c>
      <c r="O401" s="100" t="str">
        <f>IFERROR(VLOOKUP(Tablo518[[#This Row],[HAMMADDE KODU]],Tablo1[#All],3,0)," ")</f>
        <v xml:space="preserve"> </v>
      </c>
      <c r="P401" s="100" t="str">
        <f>IFERROR(VLOOKUP(Tablo518[[#This Row],[HAMMADDE KODU]],Tablo1[#All],4,0)," ")</f>
        <v xml:space="preserve"> </v>
      </c>
      <c r="Q401" s="100" t="str">
        <f>IFERROR(VLOOKUP(Tablo518[[#This Row],[ÜRÜN KODU]],YMKODLARI!$A$1:$K$363,5,0)," ")</f>
        <v xml:space="preserve"> </v>
      </c>
      <c r="R401" s="100" t="str">
        <f>IFERROR(VLOOKUP(Tablo518[[#This Row],[ÜRÜN KODU]],YMKODLARI!$A$1:$K$363,6,0)," ")</f>
        <v xml:space="preserve"> </v>
      </c>
      <c r="S401" s="100" t="str">
        <f>IFERROR(Tablo518[[#This Row],[YOLLUK HARİÇ BASKI GRAMI]]/Tablo518[[#This Row],[KALIP GÖZ ADEDİ]]," ")</f>
        <v xml:space="preserve"> </v>
      </c>
      <c r="T401" s="100" t="str">
        <f t="shared" si="44"/>
        <v xml:space="preserve"> </v>
      </c>
      <c r="U401" s="100"/>
      <c r="V401" s="100" t="str">
        <f t="shared" si="43"/>
        <v xml:space="preserve"> </v>
      </c>
      <c r="W401" s="101">
        <f t="shared" si="45"/>
        <v>24</v>
      </c>
      <c r="X401" s="102">
        <f t="shared" si="46"/>
        <v>0</v>
      </c>
      <c r="Y401" s="100" t="str">
        <f t="shared" si="47"/>
        <v xml:space="preserve"> </v>
      </c>
      <c r="Z401" s="100" t="str">
        <f t="shared" si="48"/>
        <v xml:space="preserve"> </v>
      </c>
    </row>
    <row r="402" spans="1:26">
      <c r="A402" s="108"/>
      <c r="B402" s="108" t="str">
        <f>IFERROR(VLOOKUP(Tablo518[[#This Row],[ÜRÜN KODU]],YMKODLARI!$A$1:$K$363,2,0)," ")</f>
        <v xml:space="preserve"> </v>
      </c>
      <c r="C402" s="99"/>
      <c r="D402" s="100"/>
      <c r="E402" s="101"/>
      <c r="F402" s="101"/>
      <c r="G402" s="100" t="str">
        <f>IFERROR(VLOOKUP(Tablo518[[#This Row],[ÜRÜN KODU]],YMKODLARI!$A$1:$K$363,3,0)," ")</f>
        <v xml:space="preserve"> </v>
      </c>
      <c r="H402" s="100" t="str">
        <f>IFERROR(VLOOKUP(Tablo518[[#This Row],[ÜRÜN KODU]],YMKODLARI!$A$1:$K$363,4,0)," ")</f>
        <v xml:space="preserve"> </v>
      </c>
      <c r="I402" s="100"/>
      <c r="J402" s="100" t="str">
        <f>IFERROR(VLOOKUP(Tablo518[[#This Row],[ÜRÜN KODU]],YMKODLARI!$A$1:$K$363,9,0)," ")</f>
        <v xml:space="preserve"> </v>
      </c>
      <c r="K402" s="100" t="str">
        <f>IFERROR(VLOOKUP(Tablo518[[#This Row],[BOYA KODU]],Tablo14[#All],4,0)," ")</f>
        <v xml:space="preserve"> </v>
      </c>
      <c r="L402" s="100" t="str">
        <f>IFERROR(VLOOKUP(Tablo518[[#This Row],[BOYA KODU]],Tablo14[#All],6,0)," ")</f>
        <v xml:space="preserve"> </v>
      </c>
      <c r="M402" s="100" t="str">
        <f t="shared" si="42"/>
        <v xml:space="preserve"> </v>
      </c>
      <c r="N402" s="100" t="str">
        <f>IFERROR(VLOOKUP(Tablo518[[#This Row],[ÜRÜN KODU]],YMKODLARI!$A$1:$K$363,8,0)," ")</f>
        <v xml:space="preserve"> </v>
      </c>
      <c r="O402" s="100" t="str">
        <f>IFERROR(VLOOKUP(Tablo518[[#This Row],[HAMMADDE KODU]],Tablo1[#All],3,0)," ")</f>
        <v xml:space="preserve"> </v>
      </c>
      <c r="P402" s="100" t="str">
        <f>IFERROR(VLOOKUP(Tablo518[[#This Row],[HAMMADDE KODU]],Tablo1[#All],4,0)," ")</f>
        <v xml:space="preserve"> </v>
      </c>
      <c r="Q402" s="100" t="str">
        <f>IFERROR(VLOOKUP(Tablo518[[#This Row],[ÜRÜN KODU]],YMKODLARI!$A$1:$K$363,5,0)," ")</f>
        <v xml:space="preserve"> </v>
      </c>
      <c r="R402" s="100" t="str">
        <f>IFERROR(VLOOKUP(Tablo518[[#This Row],[ÜRÜN KODU]],YMKODLARI!$A$1:$K$363,6,0)," ")</f>
        <v xml:space="preserve"> </v>
      </c>
      <c r="S402" s="100" t="str">
        <f>IFERROR(Tablo518[[#This Row],[YOLLUK HARİÇ BASKI GRAMI]]/Tablo518[[#This Row],[KALIP GÖZ ADEDİ]]," ")</f>
        <v xml:space="preserve"> </v>
      </c>
      <c r="T402" s="100" t="str">
        <f t="shared" si="44"/>
        <v xml:space="preserve"> </v>
      </c>
      <c r="U402" s="100"/>
      <c r="V402" s="100" t="str">
        <f t="shared" si="43"/>
        <v xml:space="preserve"> </v>
      </c>
      <c r="W402" s="101">
        <f t="shared" si="45"/>
        <v>24</v>
      </c>
      <c r="X402" s="102">
        <f t="shared" si="46"/>
        <v>0</v>
      </c>
      <c r="Y402" s="100" t="str">
        <f t="shared" si="47"/>
        <v xml:space="preserve"> </v>
      </c>
      <c r="Z402" s="100" t="str">
        <f t="shared" si="48"/>
        <v xml:space="preserve"> </v>
      </c>
    </row>
    <row r="403" spans="1:26">
      <c r="A403" s="108"/>
      <c r="B403" s="108" t="str">
        <f>IFERROR(VLOOKUP(Tablo518[[#This Row],[ÜRÜN KODU]],YMKODLARI!$A$1:$K$363,2,0)," ")</f>
        <v xml:space="preserve"> </v>
      </c>
      <c r="C403" s="99"/>
      <c r="D403" s="100"/>
      <c r="E403" s="101"/>
      <c r="F403" s="101"/>
      <c r="G403" s="100" t="str">
        <f>IFERROR(VLOOKUP(Tablo518[[#This Row],[ÜRÜN KODU]],YMKODLARI!$A$1:$K$363,3,0)," ")</f>
        <v xml:space="preserve"> </v>
      </c>
      <c r="H403" s="100" t="str">
        <f>IFERROR(VLOOKUP(Tablo518[[#This Row],[ÜRÜN KODU]],YMKODLARI!$A$1:$K$363,4,0)," ")</f>
        <v xml:space="preserve"> </v>
      </c>
      <c r="I403" s="100"/>
      <c r="J403" s="100" t="str">
        <f>IFERROR(VLOOKUP(Tablo518[[#This Row],[ÜRÜN KODU]],YMKODLARI!$A$1:$K$363,9,0)," ")</f>
        <v xml:space="preserve"> </v>
      </c>
      <c r="K403" s="100" t="str">
        <f>IFERROR(VLOOKUP(Tablo518[[#This Row],[BOYA KODU]],Tablo14[#All],4,0)," ")</f>
        <v xml:space="preserve"> </v>
      </c>
      <c r="L403" s="100" t="str">
        <f>IFERROR(VLOOKUP(Tablo518[[#This Row],[BOYA KODU]],Tablo14[#All],6,0)," ")</f>
        <v xml:space="preserve"> </v>
      </c>
      <c r="M403" s="100" t="str">
        <f t="shared" si="42"/>
        <v xml:space="preserve"> </v>
      </c>
      <c r="N403" s="100" t="str">
        <f>IFERROR(VLOOKUP(Tablo518[[#This Row],[ÜRÜN KODU]],YMKODLARI!$A$1:$K$363,8,0)," ")</f>
        <v xml:space="preserve"> </v>
      </c>
      <c r="O403" s="100" t="str">
        <f>IFERROR(VLOOKUP(Tablo518[[#This Row],[HAMMADDE KODU]],Tablo1[#All],3,0)," ")</f>
        <v xml:space="preserve"> </v>
      </c>
      <c r="P403" s="100" t="str">
        <f>IFERROR(VLOOKUP(Tablo518[[#This Row],[HAMMADDE KODU]],Tablo1[#All],4,0)," ")</f>
        <v xml:space="preserve"> </v>
      </c>
      <c r="Q403" s="100" t="str">
        <f>IFERROR(VLOOKUP(Tablo518[[#This Row],[ÜRÜN KODU]],YMKODLARI!$A$1:$K$363,5,0)," ")</f>
        <v xml:space="preserve"> </v>
      </c>
      <c r="R403" s="100" t="str">
        <f>IFERROR(VLOOKUP(Tablo518[[#This Row],[ÜRÜN KODU]],YMKODLARI!$A$1:$K$363,6,0)," ")</f>
        <v xml:space="preserve"> </v>
      </c>
      <c r="S403" s="100" t="str">
        <f>IFERROR(Tablo518[[#This Row],[YOLLUK HARİÇ BASKI GRAMI]]/Tablo518[[#This Row],[KALIP GÖZ ADEDİ]]," ")</f>
        <v xml:space="preserve"> </v>
      </c>
      <c r="T403" s="100" t="str">
        <f t="shared" si="44"/>
        <v xml:space="preserve"> </v>
      </c>
      <c r="U403" s="100"/>
      <c r="V403" s="100" t="str">
        <f t="shared" si="43"/>
        <v xml:space="preserve"> </v>
      </c>
      <c r="W403" s="101">
        <f t="shared" si="45"/>
        <v>24</v>
      </c>
      <c r="X403" s="102">
        <f t="shared" si="46"/>
        <v>0</v>
      </c>
      <c r="Y403" s="100" t="str">
        <f t="shared" si="47"/>
        <v xml:space="preserve"> </v>
      </c>
      <c r="Z403" s="100" t="str">
        <f t="shared" si="48"/>
        <v xml:space="preserve"> </v>
      </c>
    </row>
    <row r="404" spans="1:26">
      <c r="A404" s="108"/>
      <c r="B404" s="108" t="str">
        <f>IFERROR(VLOOKUP(Tablo518[[#This Row],[ÜRÜN KODU]],YMKODLARI!$A$1:$K$363,2,0)," ")</f>
        <v xml:space="preserve"> </v>
      </c>
      <c r="C404" s="99"/>
      <c r="D404" s="100"/>
      <c r="E404" s="101"/>
      <c r="F404" s="101"/>
      <c r="G404" s="100" t="str">
        <f>IFERROR(VLOOKUP(Tablo518[[#This Row],[ÜRÜN KODU]],YMKODLARI!$A$1:$K$363,3,0)," ")</f>
        <v xml:space="preserve"> </v>
      </c>
      <c r="H404" s="100" t="str">
        <f>IFERROR(VLOOKUP(Tablo518[[#This Row],[ÜRÜN KODU]],YMKODLARI!$A$1:$K$363,4,0)," ")</f>
        <v xml:space="preserve"> </v>
      </c>
      <c r="I404" s="100"/>
      <c r="J404" s="100" t="str">
        <f>IFERROR(VLOOKUP(Tablo518[[#This Row],[ÜRÜN KODU]],YMKODLARI!$A$1:$K$363,9,0)," ")</f>
        <v xml:space="preserve"> </v>
      </c>
      <c r="K404" s="100" t="str">
        <f>IFERROR(VLOOKUP(Tablo518[[#This Row],[BOYA KODU]],Tablo14[#All],4,0)," ")</f>
        <v xml:space="preserve"> </v>
      </c>
      <c r="L404" s="100" t="str">
        <f>IFERROR(VLOOKUP(Tablo518[[#This Row],[BOYA KODU]],Tablo14[#All],6,0)," ")</f>
        <v xml:space="preserve"> </v>
      </c>
      <c r="M404" s="100" t="str">
        <f t="shared" si="42"/>
        <v xml:space="preserve"> </v>
      </c>
      <c r="N404" s="100" t="str">
        <f>IFERROR(VLOOKUP(Tablo518[[#This Row],[ÜRÜN KODU]],YMKODLARI!$A$1:$K$363,8,0)," ")</f>
        <v xml:space="preserve"> </v>
      </c>
      <c r="O404" s="100" t="str">
        <f>IFERROR(VLOOKUP(Tablo518[[#This Row],[HAMMADDE KODU]],Tablo1[#All],3,0)," ")</f>
        <v xml:space="preserve"> </v>
      </c>
      <c r="P404" s="100" t="str">
        <f>IFERROR(VLOOKUP(Tablo518[[#This Row],[HAMMADDE KODU]],Tablo1[#All],4,0)," ")</f>
        <v xml:space="preserve"> </v>
      </c>
      <c r="Q404" s="100" t="str">
        <f>IFERROR(VLOOKUP(Tablo518[[#This Row],[ÜRÜN KODU]],YMKODLARI!$A$1:$K$363,5,0)," ")</f>
        <v xml:space="preserve"> </v>
      </c>
      <c r="R404" s="100" t="str">
        <f>IFERROR(VLOOKUP(Tablo518[[#This Row],[ÜRÜN KODU]],YMKODLARI!$A$1:$K$363,6,0)," ")</f>
        <v xml:space="preserve"> </v>
      </c>
      <c r="S404" s="100" t="str">
        <f>IFERROR(Tablo518[[#This Row],[YOLLUK HARİÇ BASKI GRAMI]]/Tablo518[[#This Row],[KALIP GÖZ ADEDİ]]," ")</f>
        <v xml:space="preserve"> </v>
      </c>
      <c r="T404" s="100" t="str">
        <f t="shared" si="44"/>
        <v xml:space="preserve"> </v>
      </c>
      <c r="U404" s="100"/>
      <c r="V404" s="100" t="str">
        <f t="shared" si="43"/>
        <v xml:space="preserve"> </v>
      </c>
      <c r="W404" s="101">
        <f t="shared" si="45"/>
        <v>24</v>
      </c>
      <c r="X404" s="102">
        <f t="shared" si="46"/>
        <v>0</v>
      </c>
      <c r="Y404" s="100" t="str">
        <f t="shared" si="47"/>
        <v xml:space="preserve"> </v>
      </c>
      <c r="Z404" s="100" t="str">
        <f t="shared" si="48"/>
        <v xml:space="preserve"> </v>
      </c>
    </row>
    <row r="405" spans="1:26">
      <c r="A405" s="108"/>
      <c r="B405" s="108" t="str">
        <f>IFERROR(VLOOKUP(Tablo518[[#This Row],[ÜRÜN KODU]],YMKODLARI!$A$1:$K$363,2,0)," ")</f>
        <v xml:space="preserve"> </v>
      </c>
      <c r="C405" s="99"/>
      <c r="D405" s="100"/>
      <c r="E405" s="101"/>
      <c r="F405" s="101"/>
      <c r="G405" s="100" t="str">
        <f>IFERROR(VLOOKUP(Tablo518[[#This Row],[ÜRÜN KODU]],YMKODLARI!$A$1:$K$363,3,0)," ")</f>
        <v xml:space="preserve"> </v>
      </c>
      <c r="H405" s="100" t="str">
        <f>IFERROR(VLOOKUP(Tablo518[[#This Row],[ÜRÜN KODU]],YMKODLARI!$A$1:$K$363,4,0)," ")</f>
        <v xml:space="preserve"> </v>
      </c>
      <c r="I405" s="100"/>
      <c r="J405" s="100" t="str">
        <f>IFERROR(VLOOKUP(Tablo518[[#This Row],[ÜRÜN KODU]],YMKODLARI!$A$1:$K$363,9,0)," ")</f>
        <v xml:space="preserve"> </v>
      </c>
      <c r="K405" s="100" t="str">
        <f>IFERROR(VLOOKUP(Tablo518[[#This Row],[BOYA KODU]],Tablo14[#All],4,0)," ")</f>
        <v xml:space="preserve"> </v>
      </c>
      <c r="L405" s="100" t="str">
        <f>IFERROR(VLOOKUP(Tablo518[[#This Row],[BOYA KODU]],Tablo14[#All],6,0)," ")</f>
        <v xml:space="preserve"> </v>
      </c>
      <c r="M405" s="100" t="str">
        <f t="shared" si="42"/>
        <v xml:space="preserve"> </v>
      </c>
      <c r="N405" s="100" t="str">
        <f>IFERROR(VLOOKUP(Tablo518[[#This Row],[ÜRÜN KODU]],YMKODLARI!$A$1:$K$363,8,0)," ")</f>
        <v xml:space="preserve"> </v>
      </c>
      <c r="O405" s="100" t="str">
        <f>IFERROR(VLOOKUP(Tablo518[[#This Row],[HAMMADDE KODU]],Tablo1[#All],3,0)," ")</f>
        <v xml:space="preserve"> </v>
      </c>
      <c r="P405" s="100" t="str">
        <f>IFERROR(VLOOKUP(Tablo518[[#This Row],[HAMMADDE KODU]],Tablo1[#All],4,0)," ")</f>
        <v xml:space="preserve"> </v>
      </c>
      <c r="Q405" s="100" t="str">
        <f>IFERROR(VLOOKUP(Tablo518[[#This Row],[ÜRÜN KODU]],YMKODLARI!$A$1:$K$363,5,0)," ")</f>
        <v xml:space="preserve"> </v>
      </c>
      <c r="R405" s="100" t="str">
        <f>IFERROR(VLOOKUP(Tablo518[[#This Row],[ÜRÜN KODU]],YMKODLARI!$A$1:$K$363,6,0)," ")</f>
        <v xml:space="preserve"> </v>
      </c>
      <c r="S405" s="100" t="str">
        <f>IFERROR(Tablo518[[#This Row],[YOLLUK HARİÇ BASKI GRAMI]]/Tablo518[[#This Row],[KALIP GÖZ ADEDİ]]," ")</f>
        <v xml:space="preserve"> </v>
      </c>
      <c r="T405" s="100" t="str">
        <f t="shared" si="44"/>
        <v xml:space="preserve"> </v>
      </c>
      <c r="U405" s="100"/>
      <c r="V405" s="100" t="str">
        <f t="shared" si="43"/>
        <v xml:space="preserve"> </v>
      </c>
      <c r="W405" s="101">
        <f t="shared" si="45"/>
        <v>24</v>
      </c>
      <c r="X405" s="102">
        <f t="shared" si="46"/>
        <v>0</v>
      </c>
      <c r="Y405" s="100" t="str">
        <f t="shared" si="47"/>
        <v xml:space="preserve"> </v>
      </c>
      <c r="Z405" s="100" t="str">
        <f t="shared" si="48"/>
        <v xml:space="preserve"> </v>
      </c>
    </row>
    <row r="406" spans="1:26">
      <c r="A406" s="108"/>
      <c r="B406" s="108" t="str">
        <f>IFERROR(VLOOKUP(Tablo518[[#This Row],[ÜRÜN KODU]],YMKODLARI!$A$1:$K$363,2,0)," ")</f>
        <v xml:space="preserve"> </v>
      </c>
      <c r="C406" s="99"/>
      <c r="D406" s="100"/>
      <c r="E406" s="101"/>
      <c r="F406" s="101"/>
      <c r="G406" s="100" t="str">
        <f>IFERROR(VLOOKUP(Tablo518[[#This Row],[ÜRÜN KODU]],YMKODLARI!$A$1:$K$363,3,0)," ")</f>
        <v xml:space="preserve"> </v>
      </c>
      <c r="H406" s="100" t="str">
        <f>IFERROR(VLOOKUP(Tablo518[[#This Row],[ÜRÜN KODU]],YMKODLARI!$A$1:$K$363,4,0)," ")</f>
        <v xml:space="preserve"> </v>
      </c>
      <c r="I406" s="100"/>
      <c r="J406" s="100" t="str">
        <f>IFERROR(VLOOKUP(Tablo518[[#This Row],[ÜRÜN KODU]],YMKODLARI!$A$1:$K$363,9,0)," ")</f>
        <v xml:space="preserve"> </v>
      </c>
      <c r="K406" s="100" t="str">
        <f>IFERROR(VLOOKUP(Tablo518[[#This Row],[BOYA KODU]],Tablo14[#All],4,0)," ")</f>
        <v xml:space="preserve"> </v>
      </c>
      <c r="L406" s="100" t="str">
        <f>IFERROR(VLOOKUP(Tablo518[[#This Row],[BOYA KODU]],Tablo14[#All],6,0)," ")</f>
        <v xml:space="preserve"> </v>
      </c>
      <c r="M406" s="100" t="str">
        <f t="shared" si="42"/>
        <v xml:space="preserve"> </v>
      </c>
      <c r="N406" s="100" t="str">
        <f>IFERROR(VLOOKUP(Tablo518[[#This Row],[ÜRÜN KODU]],YMKODLARI!$A$1:$K$363,8,0)," ")</f>
        <v xml:space="preserve"> </v>
      </c>
      <c r="O406" s="100" t="str">
        <f>IFERROR(VLOOKUP(Tablo518[[#This Row],[HAMMADDE KODU]],Tablo1[#All],3,0)," ")</f>
        <v xml:space="preserve"> </v>
      </c>
      <c r="P406" s="100" t="str">
        <f>IFERROR(VLOOKUP(Tablo518[[#This Row],[HAMMADDE KODU]],Tablo1[#All],4,0)," ")</f>
        <v xml:space="preserve"> </v>
      </c>
      <c r="Q406" s="100" t="str">
        <f>IFERROR(VLOOKUP(Tablo518[[#This Row],[ÜRÜN KODU]],YMKODLARI!$A$1:$K$363,5,0)," ")</f>
        <v xml:space="preserve"> </v>
      </c>
      <c r="R406" s="100" t="str">
        <f>IFERROR(VLOOKUP(Tablo518[[#This Row],[ÜRÜN KODU]],YMKODLARI!$A$1:$K$363,6,0)," ")</f>
        <v xml:space="preserve"> </v>
      </c>
      <c r="S406" s="100" t="str">
        <f>IFERROR(Tablo518[[#This Row],[YOLLUK HARİÇ BASKI GRAMI]]/Tablo518[[#This Row],[KALIP GÖZ ADEDİ]]," ")</f>
        <v xml:space="preserve"> </v>
      </c>
      <c r="T406" s="100" t="str">
        <f t="shared" si="44"/>
        <v xml:space="preserve"> </v>
      </c>
      <c r="U406" s="100"/>
      <c r="V406" s="100" t="str">
        <f t="shared" si="43"/>
        <v xml:space="preserve"> </v>
      </c>
      <c r="W406" s="101">
        <f t="shared" si="45"/>
        <v>24</v>
      </c>
      <c r="X406" s="102">
        <f t="shared" si="46"/>
        <v>0</v>
      </c>
      <c r="Y406" s="100" t="str">
        <f t="shared" si="47"/>
        <v xml:space="preserve"> </v>
      </c>
      <c r="Z406" s="100" t="str">
        <f t="shared" si="48"/>
        <v xml:space="preserve"> </v>
      </c>
    </row>
    <row r="407" spans="1:26">
      <c r="A407" s="108"/>
      <c r="B407" s="108" t="str">
        <f>IFERROR(VLOOKUP(Tablo518[[#This Row],[ÜRÜN KODU]],YMKODLARI!$A$1:$K$363,2,0)," ")</f>
        <v xml:space="preserve"> </v>
      </c>
      <c r="C407" s="99"/>
      <c r="D407" s="100"/>
      <c r="E407" s="101"/>
      <c r="F407" s="101"/>
      <c r="G407" s="100" t="str">
        <f>IFERROR(VLOOKUP(Tablo518[[#This Row],[ÜRÜN KODU]],YMKODLARI!$A$1:$K$363,3,0)," ")</f>
        <v xml:space="preserve"> </v>
      </c>
      <c r="H407" s="100" t="str">
        <f>IFERROR(VLOOKUP(Tablo518[[#This Row],[ÜRÜN KODU]],YMKODLARI!$A$1:$K$363,4,0)," ")</f>
        <v xml:space="preserve"> </v>
      </c>
      <c r="I407" s="100"/>
      <c r="J407" s="100" t="str">
        <f>IFERROR(VLOOKUP(Tablo518[[#This Row],[ÜRÜN KODU]],YMKODLARI!$A$1:$K$363,9,0)," ")</f>
        <v xml:space="preserve"> </v>
      </c>
      <c r="K407" s="100" t="str">
        <f>IFERROR(VLOOKUP(Tablo518[[#This Row],[BOYA KODU]],Tablo14[#All],4,0)," ")</f>
        <v xml:space="preserve"> </v>
      </c>
      <c r="L407" s="100" t="str">
        <f>IFERROR(VLOOKUP(Tablo518[[#This Row],[BOYA KODU]],Tablo14[#All],6,0)," ")</f>
        <v xml:space="preserve"> </v>
      </c>
      <c r="M407" s="100" t="str">
        <f t="shared" si="42"/>
        <v xml:space="preserve"> </v>
      </c>
      <c r="N407" s="100" t="str">
        <f>IFERROR(VLOOKUP(Tablo518[[#This Row],[ÜRÜN KODU]],YMKODLARI!$A$1:$K$363,8,0)," ")</f>
        <v xml:space="preserve"> </v>
      </c>
      <c r="O407" s="100" t="str">
        <f>IFERROR(VLOOKUP(Tablo518[[#This Row],[HAMMADDE KODU]],Tablo1[#All],3,0)," ")</f>
        <v xml:space="preserve"> </v>
      </c>
      <c r="P407" s="100" t="str">
        <f>IFERROR(VLOOKUP(Tablo518[[#This Row],[HAMMADDE KODU]],Tablo1[#All],4,0)," ")</f>
        <v xml:space="preserve"> </v>
      </c>
      <c r="Q407" s="100" t="str">
        <f>IFERROR(VLOOKUP(Tablo518[[#This Row],[ÜRÜN KODU]],YMKODLARI!$A$1:$K$363,5,0)," ")</f>
        <v xml:space="preserve"> </v>
      </c>
      <c r="R407" s="100" t="str">
        <f>IFERROR(VLOOKUP(Tablo518[[#This Row],[ÜRÜN KODU]],YMKODLARI!$A$1:$K$363,6,0)," ")</f>
        <v xml:space="preserve"> </v>
      </c>
      <c r="S407" s="100" t="str">
        <f>IFERROR(Tablo518[[#This Row],[YOLLUK HARİÇ BASKI GRAMI]]/Tablo518[[#This Row],[KALIP GÖZ ADEDİ]]," ")</f>
        <v xml:space="preserve"> </v>
      </c>
      <c r="T407" s="100" t="str">
        <f t="shared" si="44"/>
        <v xml:space="preserve"> </v>
      </c>
      <c r="U407" s="100"/>
      <c r="V407" s="100" t="str">
        <f t="shared" si="43"/>
        <v xml:space="preserve"> </v>
      </c>
      <c r="W407" s="101">
        <f t="shared" si="45"/>
        <v>24</v>
      </c>
      <c r="X407" s="102">
        <f t="shared" si="46"/>
        <v>0</v>
      </c>
      <c r="Y407" s="100" t="str">
        <f t="shared" si="47"/>
        <v xml:space="preserve"> </v>
      </c>
      <c r="Z407" s="100" t="str">
        <f t="shared" si="48"/>
        <v xml:space="preserve"> </v>
      </c>
    </row>
    <row r="408" spans="1:26">
      <c r="A408" s="108"/>
      <c r="B408" s="108" t="str">
        <f>IFERROR(VLOOKUP(Tablo518[[#This Row],[ÜRÜN KODU]],YMKODLARI!$A$1:$K$363,2,0)," ")</f>
        <v xml:space="preserve"> </v>
      </c>
      <c r="C408" s="99"/>
      <c r="D408" s="100"/>
      <c r="E408" s="101"/>
      <c r="F408" s="101"/>
      <c r="G408" s="100" t="str">
        <f>IFERROR(VLOOKUP(Tablo518[[#This Row],[ÜRÜN KODU]],YMKODLARI!$A$1:$K$363,3,0)," ")</f>
        <v xml:space="preserve"> </v>
      </c>
      <c r="H408" s="100" t="str">
        <f>IFERROR(VLOOKUP(Tablo518[[#This Row],[ÜRÜN KODU]],YMKODLARI!$A$1:$K$363,4,0)," ")</f>
        <v xml:space="preserve"> </v>
      </c>
      <c r="I408" s="100"/>
      <c r="J408" s="100" t="str">
        <f>IFERROR(VLOOKUP(Tablo518[[#This Row],[ÜRÜN KODU]],YMKODLARI!$A$1:$K$363,9,0)," ")</f>
        <v xml:space="preserve"> </v>
      </c>
      <c r="K408" s="100" t="str">
        <f>IFERROR(VLOOKUP(Tablo518[[#This Row],[BOYA KODU]],Tablo14[#All],4,0)," ")</f>
        <v xml:space="preserve"> </v>
      </c>
      <c r="L408" s="100" t="str">
        <f>IFERROR(VLOOKUP(Tablo518[[#This Row],[BOYA KODU]],Tablo14[#All],6,0)," ")</f>
        <v xml:space="preserve"> </v>
      </c>
      <c r="M408" s="100" t="str">
        <f t="shared" si="42"/>
        <v xml:space="preserve"> </v>
      </c>
      <c r="N408" s="100" t="str">
        <f>IFERROR(VLOOKUP(Tablo518[[#This Row],[ÜRÜN KODU]],YMKODLARI!$A$1:$K$363,8,0)," ")</f>
        <v xml:space="preserve"> </v>
      </c>
      <c r="O408" s="100" t="str">
        <f>IFERROR(VLOOKUP(Tablo518[[#This Row],[HAMMADDE KODU]],Tablo1[#All],3,0)," ")</f>
        <v xml:space="preserve"> </v>
      </c>
      <c r="P408" s="100" t="str">
        <f>IFERROR(VLOOKUP(Tablo518[[#This Row],[HAMMADDE KODU]],Tablo1[#All],4,0)," ")</f>
        <v xml:space="preserve"> </v>
      </c>
      <c r="Q408" s="100" t="str">
        <f>IFERROR(VLOOKUP(Tablo518[[#This Row],[ÜRÜN KODU]],YMKODLARI!$A$1:$K$363,5,0)," ")</f>
        <v xml:space="preserve"> </v>
      </c>
      <c r="R408" s="100" t="str">
        <f>IFERROR(VLOOKUP(Tablo518[[#This Row],[ÜRÜN KODU]],YMKODLARI!$A$1:$K$363,6,0)," ")</f>
        <v xml:space="preserve"> </v>
      </c>
      <c r="S408" s="100" t="str">
        <f>IFERROR(Tablo518[[#This Row],[YOLLUK HARİÇ BASKI GRAMI]]/Tablo518[[#This Row],[KALIP GÖZ ADEDİ]]," ")</f>
        <v xml:space="preserve"> </v>
      </c>
      <c r="T408" s="100" t="str">
        <f t="shared" si="44"/>
        <v xml:space="preserve"> </v>
      </c>
      <c r="U408" s="100"/>
      <c r="V408" s="100" t="str">
        <f t="shared" si="43"/>
        <v xml:space="preserve"> </v>
      </c>
      <c r="W408" s="101">
        <f t="shared" si="45"/>
        <v>24</v>
      </c>
      <c r="X408" s="102">
        <f t="shared" si="46"/>
        <v>0</v>
      </c>
      <c r="Y408" s="100" t="str">
        <f t="shared" si="47"/>
        <v xml:space="preserve"> </v>
      </c>
      <c r="Z408" s="100" t="str">
        <f t="shared" si="48"/>
        <v xml:space="preserve"> </v>
      </c>
    </row>
    <row r="409" spans="1:26">
      <c r="A409" s="108"/>
      <c r="B409" s="108" t="str">
        <f>IFERROR(VLOOKUP(Tablo518[[#This Row],[ÜRÜN KODU]],YMKODLARI!$A$1:$K$363,2,0)," ")</f>
        <v xml:space="preserve"> </v>
      </c>
      <c r="C409" s="99"/>
      <c r="D409" s="100"/>
      <c r="E409" s="101"/>
      <c r="F409" s="101"/>
      <c r="G409" s="100" t="str">
        <f>IFERROR(VLOOKUP(Tablo518[[#This Row],[ÜRÜN KODU]],YMKODLARI!$A$1:$K$363,3,0)," ")</f>
        <v xml:space="preserve"> </v>
      </c>
      <c r="H409" s="100" t="str">
        <f>IFERROR(VLOOKUP(Tablo518[[#This Row],[ÜRÜN KODU]],YMKODLARI!$A$1:$K$363,4,0)," ")</f>
        <v xml:space="preserve"> </v>
      </c>
      <c r="I409" s="100"/>
      <c r="J409" s="100" t="str">
        <f>IFERROR(VLOOKUP(Tablo518[[#This Row],[ÜRÜN KODU]],YMKODLARI!$A$1:$K$363,9,0)," ")</f>
        <v xml:space="preserve"> </v>
      </c>
      <c r="K409" s="100" t="str">
        <f>IFERROR(VLOOKUP(Tablo518[[#This Row],[BOYA KODU]],Tablo14[#All],4,0)," ")</f>
        <v xml:space="preserve"> </v>
      </c>
      <c r="L409" s="100" t="str">
        <f>IFERROR(VLOOKUP(Tablo518[[#This Row],[BOYA KODU]],Tablo14[#All],6,0)," ")</f>
        <v xml:space="preserve"> </v>
      </c>
      <c r="M409" s="100" t="str">
        <f t="shared" si="42"/>
        <v xml:space="preserve"> </v>
      </c>
      <c r="N409" s="100" t="str">
        <f>IFERROR(VLOOKUP(Tablo518[[#This Row],[ÜRÜN KODU]],YMKODLARI!$A$1:$K$363,8,0)," ")</f>
        <v xml:space="preserve"> </v>
      </c>
      <c r="O409" s="100" t="str">
        <f>IFERROR(VLOOKUP(Tablo518[[#This Row],[HAMMADDE KODU]],Tablo1[#All],3,0)," ")</f>
        <v xml:space="preserve"> </v>
      </c>
      <c r="P409" s="100" t="str">
        <f>IFERROR(VLOOKUP(Tablo518[[#This Row],[HAMMADDE KODU]],Tablo1[#All],4,0)," ")</f>
        <v xml:space="preserve"> </v>
      </c>
      <c r="Q409" s="100" t="str">
        <f>IFERROR(VLOOKUP(Tablo518[[#This Row],[ÜRÜN KODU]],YMKODLARI!$A$1:$K$363,5,0)," ")</f>
        <v xml:space="preserve"> </v>
      </c>
      <c r="R409" s="100" t="str">
        <f>IFERROR(VLOOKUP(Tablo518[[#This Row],[ÜRÜN KODU]],YMKODLARI!$A$1:$K$363,6,0)," ")</f>
        <v xml:space="preserve"> </v>
      </c>
      <c r="S409" s="100" t="str">
        <f>IFERROR(Tablo518[[#This Row],[YOLLUK HARİÇ BASKI GRAMI]]/Tablo518[[#This Row],[KALIP GÖZ ADEDİ]]," ")</f>
        <v xml:space="preserve"> </v>
      </c>
      <c r="T409" s="100" t="str">
        <f t="shared" si="44"/>
        <v xml:space="preserve"> </v>
      </c>
      <c r="U409" s="100"/>
      <c r="V409" s="100" t="str">
        <f t="shared" si="43"/>
        <v xml:space="preserve"> </v>
      </c>
      <c r="W409" s="101">
        <f t="shared" si="45"/>
        <v>24</v>
      </c>
      <c r="X409" s="102">
        <f t="shared" si="46"/>
        <v>0</v>
      </c>
      <c r="Y409" s="100" t="str">
        <f t="shared" si="47"/>
        <v xml:space="preserve"> </v>
      </c>
      <c r="Z409" s="100" t="str">
        <f t="shared" si="48"/>
        <v xml:space="preserve"> </v>
      </c>
    </row>
    <row r="410" spans="1:26">
      <c r="A410" s="108"/>
      <c r="B410" s="108" t="str">
        <f>IFERROR(VLOOKUP(Tablo518[[#This Row],[ÜRÜN KODU]],YMKODLARI!$A$1:$K$363,2,0)," ")</f>
        <v xml:space="preserve"> </v>
      </c>
      <c r="C410" s="99"/>
      <c r="D410" s="100"/>
      <c r="E410" s="101"/>
      <c r="F410" s="101"/>
      <c r="G410" s="100" t="str">
        <f>IFERROR(VLOOKUP(Tablo518[[#This Row],[ÜRÜN KODU]],YMKODLARI!$A$1:$K$363,3,0)," ")</f>
        <v xml:space="preserve"> </v>
      </c>
      <c r="H410" s="100" t="str">
        <f>IFERROR(VLOOKUP(Tablo518[[#This Row],[ÜRÜN KODU]],YMKODLARI!$A$1:$K$363,4,0)," ")</f>
        <v xml:space="preserve"> </v>
      </c>
      <c r="I410" s="100"/>
      <c r="J410" s="100" t="str">
        <f>IFERROR(VLOOKUP(Tablo518[[#This Row],[ÜRÜN KODU]],YMKODLARI!$A$1:$K$363,9,0)," ")</f>
        <v xml:space="preserve"> </v>
      </c>
      <c r="K410" s="100" t="str">
        <f>IFERROR(VLOOKUP(Tablo518[[#This Row],[BOYA KODU]],Tablo14[#All],4,0)," ")</f>
        <v xml:space="preserve"> </v>
      </c>
      <c r="L410" s="100" t="str">
        <f>IFERROR(VLOOKUP(Tablo518[[#This Row],[BOYA KODU]],Tablo14[#All],6,0)," ")</f>
        <v xml:space="preserve"> </v>
      </c>
      <c r="M410" s="100" t="str">
        <f t="shared" si="42"/>
        <v xml:space="preserve"> </v>
      </c>
      <c r="N410" s="100" t="str">
        <f>IFERROR(VLOOKUP(Tablo518[[#This Row],[ÜRÜN KODU]],YMKODLARI!$A$1:$K$363,8,0)," ")</f>
        <v xml:space="preserve"> </v>
      </c>
      <c r="O410" s="100" t="str">
        <f>IFERROR(VLOOKUP(Tablo518[[#This Row],[HAMMADDE KODU]],Tablo1[#All],3,0)," ")</f>
        <v xml:space="preserve"> </v>
      </c>
      <c r="P410" s="100" t="str">
        <f>IFERROR(VLOOKUP(Tablo518[[#This Row],[HAMMADDE KODU]],Tablo1[#All],4,0)," ")</f>
        <v xml:space="preserve"> </v>
      </c>
      <c r="Q410" s="100" t="str">
        <f>IFERROR(VLOOKUP(Tablo518[[#This Row],[ÜRÜN KODU]],YMKODLARI!$A$1:$K$363,5,0)," ")</f>
        <v xml:space="preserve"> </v>
      </c>
      <c r="R410" s="100" t="str">
        <f>IFERROR(VLOOKUP(Tablo518[[#This Row],[ÜRÜN KODU]],YMKODLARI!$A$1:$K$363,6,0)," ")</f>
        <v xml:space="preserve"> </v>
      </c>
      <c r="S410" s="100" t="str">
        <f>IFERROR(Tablo518[[#This Row],[YOLLUK HARİÇ BASKI GRAMI]]/Tablo518[[#This Row],[KALIP GÖZ ADEDİ]]," ")</f>
        <v xml:space="preserve"> </v>
      </c>
      <c r="T410" s="100" t="str">
        <f t="shared" si="44"/>
        <v xml:space="preserve"> </v>
      </c>
      <c r="U410" s="100"/>
      <c r="V410" s="100" t="str">
        <f t="shared" si="43"/>
        <v xml:space="preserve"> </v>
      </c>
      <c r="W410" s="101">
        <f t="shared" si="45"/>
        <v>24</v>
      </c>
      <c r="X410" s="102">
        <f t="shared" si="46"/>
        <v>0</v>
      </c>
      <c r="Y410" s="100" t="str">
        <f t="shared" si="47"/>
        <v xml:space="preserve"> </v>
      </c>
      <c r="Z410" s="100" t="str">
        <f t="shared" si="48"/>
        <v xml:space="preserve"> </v>
      </c>
    </row>
    <row r="411" spans="1:26">
      <c r="A411" s="108"/>
      <c r="B411" s="108" t="str">
        <f>IFERROR(VLOOKUP(Tablo518[[#This Row],[ÜRÜN KODU]],YMKODLARI!$A$1:$K$363,2,0)," ")</f>
        <v xml:space="preserve"> </v>
      </c>
      <c r="C411" s="99"/>
      <c r="D411" s="100"/>
      <c r="E411" s="101"/>
      <c r="F411" s="101"/>
      <c r="G411" s="100" t="str">
        <f>IFERROR(VLOOKUP(Tablo518[[#This Row],[ÜRÜN KODU]],YMKODLARI!$A$1:$K$363,3,0)," ")</f>
        <v xml:space="preserve"> </v>
      </c>
      <c r="H411" s="100" t="str">
        <f>IFERROR(VLOOKUP(Tablo518[[#This Row],[ÜRÜN KODU]],YMKODLARI!$A$1:$K$363,4,0)," ")</f>
        <v xml:space="preserve"> </v>
      </c>
      <c r="I411" s="100"/>
      <c r="J411" s="100" t="str">
        <f>IFERROR(VLOOKUP(Tablo518[[#This Row],[ÜRÜN KODU]],YMKODLARI!$A$1:$K$363,9,0)," ")</f>
        <v xml:space="preserve"> </v>
      </c>
      <c r="K411" s="100" t="str">
        <f>IFERROR(VLOOKUP(Tablo518[[#This Row],[BOYA KODU]],Tablo14[#All],4,0)," ")</f>
        <v xml:space="preserve"> </v>
      </c>
      <c r="L411" s="100" t="str">
        <f>IFERROR(VLOOKUP(Tablo518[[#This Row],[BOYA KODU]],Tablo14[#All],6,0)," ")</f>
        <v xml:space="preserve"> </v>
      </c>
      <c r="M411" s="100" t="str">
        <f t="shared" si="42"/>
        <v xml:space="preserve"> </v>
      </c>
      <c r="N411" s="100" t="str">
        <f>IFERROR(VLOOKUP(Tablo518[[#This Row],[ÜRÜN KODU]],YMKODLARI!$A$1:$K$363,8,0)," ")</f>
        <v xml:space="preserve"> </v>
      </c>
      <c r="O411" s="100" t="str">
        <f>IFERROR(VLOOKUP(Tablo518[[#This Row],[HAMMADDE KODU]],Tablo1[#All],3,0)," ")</f>
        <v xml:space="preserve"> </v>
      </c>
      <c r="P411" s="100" t="str">
        <f>IFERROR(VLOOKUP(Tablo518[[#This Row],[HAMMADDE KODU]],Tablo1[#All],4,0)," ")</f>
        <v xml:space="preserve"> </v>
      </c>
      <c r="Q411" s="100" t="str">
        <f>IFERROR(VLOOKUP(Tablo518[[#This Row],[ÜRÜN KODU]],YMKODLARI!$A$1:$K$363,5,0)," ")</f>
        <v xml:space="preserve"> </v>
      </c>
      <c r="R411" s="100" t="str">
        <f>IFERROR(VLOOKUP(Tablo518[[#This Row],[ÜRÜN KODU]],YMKODLARI!$A$1:$K$363,6,0)," ")</f>
        <v xml:space="preserve"> </v>
      </c>
      <c r="S411" s="100" t="str">
        <f>IFERROR(Tablo518[[#This Row],[YOLLUK HARİÇ BASKI GRAMI]]/Tablo518[[#This Row],[KALIP GÖZ ADEDİ]]," ")</f>
        <v xml:space="preserve"> </v>
      </c>
      <c r="T411" s="100" t="str">
        <f t="shared" si="44"/>
        <v xml:space="preserve"> </v>
      </c>
      <c r="U411" s="100"/>
      <c r="V411" s="100" t="str">
        <f t="shared" si="43"/>
        <v xml:space="preserve"> </v>
      </c>
      <c r="W411" s="101">
        <f t="shared" si="45"/>
        <v>24</v>
      </c>
      <c r="X411" s="102">
        <f t="shared" si="46"/>
        <v>0</v>
      </c>
      <c r="Y411" s="100" t="str">
        <f t="shared" si="47"/>
        <v xml:space="preserve"> </v>
      </c>
      <c r="Z411" s="100" t="str">
        <f t="shared" si="48"/>
        <v xml:space="preserve"> </v>
      </c>
    </row>
    <row r="412" spans="1:26">
      <c r="A412" s="108"/>
      <c r="B412" s="108" t="str">
        <f>IFERROR(VLOOKUP(Tablo518[[#This Row],[ÜRÜN KODU]],YMKODLARI!$A$1:$K$363,2,0)," ")</f>
        <v xml:space="preserve"> </v>
      </c>
      <c r="C412" s="99"/>
      <c r="D412" s="100"/>
      <c r="E412" s="101"/>
      <c r="F412" s="101"/>
      <c r="G412" s="100" t="str">
        <f>IFERROR(VLOOKUP(Tablo518[[#This Row],[ÜRÜN KODU]],YMKODLARI!$A$1:$K$363,3,0)," ")</f>
        <v xml:space="preserve"> </v>
      </c>
      <c r="H412" s="100" t="str">
        <f>IFERROR(VLOOKUP(Tablo518[[#This Row],[ÜRÜN KODU]],YMKODLARI!$A$1:$K$363,4,0)," ")</f>
        <v xml:space="preserve"> </v>
      </c>
      <c r="I412" s="100"/>
      <c r="J412" s="100" t="str">
        <f>IFERROR(VLOOKUP(Tablo518[[#This Row],[ÜRÜN KODU]],YMKODLARI!$A$1:$K$363,9,0)," ")</f>
        <v xml:space="preserve"> </v>
      </c>
      <c r="K412" s="100" t="str">
        <f>IFERROR(VLOOKUP(Tablo518[[#This Row],[BOYA KODU]],Tablo14[#All],4,0)," ")</f>
        <v xml:space="preserve"> </v>
      </c>
      <c r="L412" s="100" t="str">
        <f>IFERROR(VLOOKUP(Tablo518[[#This Row],[BOYA KODU]],Tablo14[#All],6,0)," ")</f>
        <v xml:space="preserve"> </v>
      </c>
      <c r="M412" s="100" t="str">
        <f t="shared" si="42"/>
        <v xml:space="preserve"> </v>
      </c>
      <c r="N412" s="100" t="str">
        <f>IFERROR(VLOOKUP(Tablo518[[#This Row],[ÜRÜN KODU]],YMKODLARI!$A$1:$K$363,8,0)," ")</f>
        <v xml:space="preserve"> </v>
      </c>
      <c r="O412" s="100" t="str">
        <f>IFERROR(VLOOKUP(Tablo518[[#This Row],[HAMMADDE KODU]],Tablo1[#All],3,0)," ")</f>
        <v xml:space="preserve"> </v>
      </c>
      <c r="P412" s="100" t="str">
        <f>IFERROR(VLOOKUP(Tablo518[[#This Row],[HAMMADDE KODU]],Tablo1[#All],4,0)," ")</f>
        <v xml:space="preserve"> </v>
      </c>
      <c r="Q412" s="100" t="str">
        <f>IFERROR(VLOOKUP(Tablo518[[#This Row],[ÜRÜN KODU]],YMKODLARI!$A$1:$K$363,5,0)," ")</f>
        <v xml:space="preserve"> </v>
      </c>
      <c r="R412" s="100" t="str">
        <f>IFERROR(VLOOKUP(Tablo518[[#This Row],[ÜRÜN KODU]],YMKODLARI!$A$1:$K$363,6,0)," ")</f>
        <v xml:space="preserve"> </v>
      </c>
      <c r="S412" s="100" t="str">
        <f>IFERROR(Tablo518[[#This Row],[YOLLUK HARİÇ BASKI GRAMI]]/Tablo518[[#This Row],[KALIP GÖZ ADEDİ]]," ")</f>
        <v xml:space="preserve"> </v>
      </c>
      <c r="T412" s="100" t="str">
        <f t="shared" si="44"/>
        <v xml:space="preserve"> </v>
      </c>
      <c r="U412" s="100"/>
      <c r="V412" s="100" t="str">
        <f t="shared" si="43"/>
        <v xml:space="preserve"> </v>
      </c>
      <c r="W412" s="101">
        <f t="shared" si="45"/>
        <v>24</v>
      </c>
      <c r="X412" s="102">
        <f t="shared" si="46"/>
        <v>0</v>
      </c>
      <c r="Y412" s="100" t="str">
        <f t="shared" si="47"/>
        <v xml:space="preserve"> </v>
      </c>
      <c r="Z412" s="100" t="str">
        <f t="shared" si="48"/>
        <v xml:space="preserve"> </v>
      </c>
    </row>
    <row r="413" spans="1:26">
      <c r="A413" s="108"/>
      <c r="B413" s="108" t="str">
        <f>IFERROR(VLOOKUP(Tablo518[[#This Row],[ÜRÜN KODU]],YMKODLARI!$A$1:$K$363,2,0)," ")</f>
        <v xml:space="preserve"> </v>
      </c>
      <c r="C413" s="99"/>
      <c r="D413" s="100"/>
      <c r="E413" s="101"/>
      <c r="F413" s="101"/>
      <c r="G413" s="100" t="str">
        <f>IFERROR(VLOOKUP(Tablo518[[#This Row],[ÜRÜN KODU]],YMKODLARI!$A$1:$K$363,3,0)," ")</f>
        <v xml:space="preserve"> </v>
      </c>
      <c r="H413" s="100" t="str">
        <f>IFERROR(VLOOKUP(Tablo518[[#This Row],[ÜRÜN KODU]],YMKODLARI!$A$1:$K$363,4,0)," ")</f>
        <v xml:space="preserve"> </v>
      </c>
      <c r="I413" s="100"/>
      <c r="J413" s="100" t="str">
        <f>IFERROR(VLOOKUP(Tablo518[[#This Row],[ÜRÜN KODU]],YMKODLARI!$A$1:$K$363,9,0)," ")</f>
        <v xml:space="preserve"> </v>
      </c>
      <c r="K413" s="100" t="str">
        <f>IFERROR(VLOOKUP(Tablo518[[#This Row],[BOYA KODU]],Tablo14[#All],4,0)," ")</f>
        <v xml:space="preserve"> </v>
      </c>
      <c r="L413" s="100" t="str">
        <f>IFERROR(VLOOKUP(Tablo518[[#This Row],[BOYA KODU]],Tablo14[#All],6,0)," ")</f>
        <v xml:space="preserve"> </v>
      </c>
      <c r="M413" s="100" t="str">
        <f t="shared" si="42"/>
        <v xml:space="preserve"> </v>
      </c>
      <c r="N413" s="100" t="str">
        <f>IFERROR(VLOOKUP(Tablo518[[#This Row],[ÜRÜN KODU]],YMKODLARI!$A$1:$K$363,8,0)," ")</f>
        <v xml:space="preserve"> </v>
      </c>
      <c r="O413" s="100" t="str">
        <f>IFERROR(VLOOKUP(Tablo518[[#This Row],[HAMMADDE KODU]],Tablo1[#All],3,0)," ")</f>
        <v xml:space="preserve"> </v>
      </c>
      <c r="P413" s="100" t="str">
        <f>IFERROR(VLOOKUP(Tablo518[[#This Row],[HAMMADDE KODU]],Tablo1[#All],4,0)," ")</f>
        <v xml:space="preserve"> </v>
      </c>
      <c r="Q413" s="100" t="str">
        <f>IFERROR(VLOOKUP(Tablo518[[#This Row],[ÜRÜN KODU]],YMKODLARI!$A$1:$K$363,5,0)," ")</f>
        <v xml:space="preserve"> </v>
      </c>
      <c r="R413" s="100" t="str">
        <f>IFERROR(VLOOKUP(Tablo518[[#This Row],[ÜRÜN KODU]],YMKODLARI!$A$1:$K$363,6,0)," ")</f>
        <v xml:space="preserve"> </v>
      </c>
      <c r="S413" s="100" t="str">
        <f>IFERROR(Tablo518[[#This Row],[YOLLUK HARİÇ BASKI GRAMI]]/Tablo518[[#This Row],[KALIP GÖZ ADEDİ]]," ")</f>
        <v xml:space="preserve"> </v>
      </c>
      <c r="T413" s="100" t="str">
        <f t="shared" si="44"/>
        <v xml:space="preserve"> </v>
      </c>
      <c r="U413" s="100"/>
      <c r="V413" s="100" t="str">
        <f t="shared" si="43"/>
        <v xml:space="preserve"> </v>
      </c>
      <c r="W413" s="101">
        <f t="shared" si="45"/>
        <v>24</v>
      </c>
      <c r="X413" s="102">
        <f t="shared" si="46"/>
        <v>0</v>
      </c>
      <c r="Y413" s="100" t="str">
        <f t="shared" si="47"/>
        <v xml:space="preserve"> </v>
      </c>
      <c r="Z413" s="100" t="str">
        <f t="shared" si="48"/>
        <v xml:space="preserve"> </v>
      </c>
    </row>
    <row r="414" spans="1:26">
      <c r="A414" s="108"/>
      <c r="B414" s="108" t="str">
        <f>IFERROR(VLOOKUP(Tablo518[[#This Row],[ÜRÜN KODU]],YMKODLARI!$A$1:$K$363,2,0)," ")</f>
        <v xml:space="preserve"> </v>
      </c>
      <c r="C414" s="99"/>
      <c r="D414" s="100"/>
      <c r="E414" s="101"/>
      <c r="F414" s="101"/>
      <c r="G414" s="100" t="str">
        <f>IFERROR(VLOOKUP(Tablo518[[#This Row],[ÜRÜN KODU]],YMKODLARI!$A$1:$K$363,3,0)," ")</f>
        <v xml:space="preserve"> </v>
      </c>
      <c r="H414" s="100" t="str">
        <f>IFERROR(VLOOKUP(Tablo518[[#This Row],[ÜRÜN KODU]],YMKODLARI!$A$1:$K$363,4,0)," ")</f>
        <v xml:space="preserve"> </v>
      </c>
      <c r="I414" s="100"/>
      <c r="J414" s="100" t="str">
        <f>IFERROR(VLOOKUP(Tablo518[[#This Row],[ÜRÜN KODU]],YMKODLARI!$A$1:$K$363,9,0)," ")</f>
        <v xml:space="preserve"> </v>
      </c>
      <c r="K414" s="100" t="str">
        <f>IFERROR(VLOOKUP(Tablo518[[#This Row],[BOYA KODU]],Tablo14[#All],4,0)," ")</f>
        <v xml:space="preserve"> </v>
      </c>
      <c r="L414" s="100" t="str">
        <f>IFERROR(VLOOKUP(Tablo518[[#This Row],[BOYA KODU]],Tablo14[#All],6,0)," ")</f>
        <v xml:space="preserve"> </v>
      </c>
      <c r="M414" s="100" t="str">
        <f t="shared" si="42"/>
        <v xml:space="preserve"> </v>
      </c>
      <c r="N414" s="100" t="str">
        <f>IFERROR(VLOOKUP(Tablo518[[#This Row],[ÜRÜN KODU]],YMKODLARI!$A$1:$K$363,8,0)," ")</f>
        <v xml:space="preserve"> </v>
      </c>
      <c r="O414" s="100" t="str">
        <f>IFERROR(VLOOKUP(Tablo518[[#This Row],[HAMMADDE KODU]],Tablo1[#All],3,0)," ")</f>
        <v xml:space="preserve"> </v>
      </c>
      <c r="P414" s="100" t="str">
        <f>IFERROR(VLOOKUP(Tablo518[[#This Row],[HAMMADDE KODU]],Tablo1[#All],4,0)," ")</f>
        <v xml:space="preserve"> </v>
      </c>
      <c r="Q414" s="100" t="str">
        <f>IFERROR(VLOOKUP(Tablo518[[#This Row],[ÜRÜN KODU]],YMKODLARI!$A$1:$K$363,5,0)," ")</f>
        <v xml:space="preserve"> </v>
      </c>
      <c r="R414" s="100" t="str">
        <f>IFERROR(VLOOKUP(Tablo518[[#This Row],[ÜRÜN KODU]],YMKODLARI!$A$1:$K$363,6,0)," ")</f>
        <v xml:space="preserve"> </v>
      </c>
      <c r="S414" s="100" t="str">
        <f>IFERROR(Tablo518[[#This Row],[YOLLUK HARİÇ BASKI GRAMI]]/Tablo518[[#This Row],[KALIP GÖZ ADEDİ]]," ")</f>
        <v xml:space="preserve"> </v>
      </c>
      <c r="T414" s="100" t="str">
        <f t="shared" si="44"/>
        <v xml:space="preserve"> </v>
      </c>
      <c r="U414" s="100"/>
      <c r="V414" s="100" t="str">
        <f t="shared" si="43"/>
        <v xml:space="preserve"> </v>
      </c>
      <c r="W414" s="101">
        <f t="shared" si="45"/>
        <v>24</v>
      </c>
      <c r="X414" s="102">
        <f t="shared" si="46"/>
        <v>0</v>
      </c>
      <c r="Y414" s="100" t="str">
        <f t="shared" si="47"/>
        <v xml:space="preserve"> </v>
      </c>
      <c r="Z414" s="100" t="str">
        <f t="shared" si="48"/>
        <v xml:space="preserve"> </v>
      </c>
    </row>
    <row r="415" spans="1:26">
      <c r="A415" s="108"/>
      <c r="B415" s="108" t="str">
        <f>IFERROR(VLOOKUP(Tablo518[[#This Row],[ÜRÜN KODU]],YMKODLARI!$A$1:$K$363,2,0)," ")</f>
        <v xml:space="preserve"> </v>
      </c>
      <c r="C415" s="99"/>
      <c r="D415" s="100"/>
      <c r="E415" s="101"/>
      <c r="F415" s="101"/>
      <c r="G415" s="100" t="str">
        <f>IFERROR(VLOOKUP(Tablo518[[#This Row],[ÜRÜN KODU]],YMKODLARI!$A$1:$K$363,3,0)," ")</f>
        <v xml:space="preserve"> </v>
      </c>
      <c r="H415" s="100" t="str">
        <f>IFERROR(VLOOKUP(Tablo518[[#This Row],[ÜRÜN KODU]],YMKODLARI!$A$1:$K$363,4,0)," ")</f>
        <v xml:space="preserve"> </v>
      </c>
      <c r="I415" s="100"/>
      <c r="J415" s="100" t="str">
        <f>IFERROR(VLOOKUP(Tablo518[[#This Row],[ÜRÜN KODU]],YMKODLARI!$A$1:$K$363,9,0)," ")</f>
        <v xml:space="preserve"> </v>
      </c>
      <c r="K415" s="100" t="str">
        <f>IFERROR(VLOOKUP(Tablo518[[#This Row],[BOYA KODU]],Tablo14[#All],4,0)," ")</f>
        <v xml:space="preserve"> </v>
      </c>
      <c r="L415" s="100" t="str">
        <f>IFERROR(VLOOKUP(Tablo518[[#This Row],[BOYA KODU]],Tablo14[#All],6,0)," ")</f>
        <v xml:space="preserve"> </v>
      </c>
      <c r="M415" s="100" t="str">
        <f t="shared" si="42"/>
        <v xml:space="preserve"> </v>
      </c>
      <c r="N415" s="100" t="str">
        <f>IFERROR(VLOOKUP(Tablo518[[#This Row],[ÜRÜN KODU]],YMKODLARI!$A$1:$K$363,8,0)," ")</f>
        <v xml:space="preserve"> </v>
      </c>
      <c r="O415" s="100" t="str">
        <f>IFERROR(VLOOKUP(Tablo518[[#This Row],[HAMMADDE KODU]],Tablo1[#All],3,0)," ")</f>
        <v xml:space="preserve"> </v>
      </c>
      <c r="P415" s="100" t="str">
        <f>IFERROR(VLOOKUP(Tablo518[[#This Row],[HAMMADDE KODU]],Tablo1[#All],4,0)," ")</f>
        <v xml:space="preserve"> </v>
      </c>
      <c r="Q415" s="100" t="str">
        <f>IFERROR(VLOOKUP(Tablo518[[#This Row],[ÜRÜN KODU]],YMKODLARI!$A$1:$K$363,5,0)," ")</f>
        <v xml:space="preserve"> </v>
      </c>
      <c r="R415" s="100" t="str">
        <f>IFERROR(VLOOKUP(Tablo518[[#This Row],[ÜRÜN KODU]],YMKODLARI!$A$1:$K$363,6,0)," ")</f>
        <v xml:space="preserve"> </v>
      </c>
      <c r="S415" s="100" t="str">
        <f>IFERROR(Tablo518[[#This Row],[YOLLUK HARİÇ BASKI GRAMI]]/Tablo518[[#This Row],[KALIP GÖZ ADEDİ]]," ")</f>
        <v xml:space="preserve"> </v>
      </c>
      <c r="T415" s="100" t="str">
        <f t="shared" si="44"/>
        <v xml:space="preserve"> </v>
      </c>
      <c r="U415" s="100"/>
      <c r="V415" s="100" t="str">
        <f t="shared" si="43"/>
        <v xml:space="preserve"> </v>
      </c>
      <c r="W415" s="101">
        <f t="shared" si="45"/>
        <v>24</v>
      </c>
      <c r="X415" s="102">
        <f t="shared" si="46"/>
        <v>0</v>
      </c>
      <c r="Y415" s="100" t="str">
        <f t="shared" si="47"/>
        <v xml:space="preserve"> </v>
      </c>
      <c r="Z415" s="100" t="str">
        <f t="shared" si="48"/>
        <v xml:space="preserve"> </v>
      </c>
    </row>
    <row r="416" spans="1:26">
      <c r="A416" s="108"/>
      <c r="B416" s="108" t="str">
        <f>IFERROR(VLOOKUP(Tablo518[[#This Row],[ÜRÜN KODU]],YMKODLARI!$A$1:$K$363,2,0)," ")</f>
        <v xml:space="preserve"> </v>
      </c>
      <c r="C416" s="99"/>
      <c r="D416" s="100"/>
      <c r="E416" s="101"/>
      <c r="F416" s="101"/>
      <c r="G416" s="100" t="str">
        <f>IFERROR(VLOOKUP(Tablo518[[#This Row],[ÜRÜN KODU]],YMKODLARI!$A$1:$K$363,3,0)," ")</f>
        <v xml:space="preserve"> </v>
      </c>
      <c r="H416" s="100" t="str">
        <f>IFERROR(VLOOKUP(Tablo518[[#This Row],[ÜRÜN KODU]],YMKODLARI!$A$1:$K$363,4,0)," ")</f>
        <v xml:space="preserve"> </v>
      </c>
      <c r="I416" s="100"/>
      <c r="J416" s="100" t="str">
        <f>IFERROR(VLOOKUP(Tablo518[[#This Row],[ÜRÜN KODU]],YMKODLARI!$A$1:$K$363,9,0)," ")</f>
        <v xml:space="preserve"> </v>
      </c>
      <c r="K416" s="100" t="str">
        <f>IFERROR(VLOOKUP(Tablo518[[#This Row],[BOYA KODU]],Tablo14[#All],4,0)," ")</f>
        <v xml:space="preserve"> </v>
      </c>
      <c r="L416" s="100" t="str">
        <f>IFERROR(VLOOKUP(Tablo518[[#This Row],[BOYA KODU]],Tablo14[#All],6,0)," ")</f>
        <v xml:space="preserve"> </v>
      </c>
      <c r="M416" s="100" t="str">
        <f t="shared" si="42"/>
        <v xml:space="preserve"> </v>
      </c>
      <c r="N416" s="100" t="str">
        <f>IFERROR(VLOOKUP(Tablo518[[#This Row],[ÜRÜN KODU]],YMKODLARI!$A$1:$K$363,8,0)," ")</f>
        <v xml:space="preserve"> </v>
      </c>
      <c r="O416" s="100" t="str">
        <f>IFERROR(VLOOKUP(Tablo518[[#This Row],[HAMMADDE KODU]],Tablo1[#All],3,0)," ")</f>
        <v xml:space="preserve"> </v>
      </c>
      <c r="P416" s="100" t="str">
        <f>IFERROR(VLOOKUP(Tablo518[[#This Row],[HAMMADDE KODU]],Tablo1[#All],4,0)," ")</f>
        <v xml:space="preserve"> </v>
      </c>
      <c r="Q416" s="100" t="str">
        <f>IFERROR(VLOOKUP(Tablo518[[#This Row],[ÜRÜN KODU]],YMKODLARI!$A$1:$K$363,5,0)," ")</f>
        <v xml:space="preserve"> </v>
      </c>
      <c r="R416" s="100" t="str">
        <f>IFERROR(VLOOKUP(Tablo518[[#This Row],[ÜRÜN KODU]],YMKODLARI!$A$1:$K$363,6,0)," ")</f>
        <v xml:space="preserve"> </v>
      </c>
      <c r="S416" s="100" t="str">
        <f>IFERROR(Tablo518[[#This Row],[YOLLUK HARİÇ BASKI GRAMI]]/Tablo518[[#This Row],[KALIP GÖZ ADEDİ]]," ")</f>
        <v xml:space="preserve"> </v>
      </c>
      <c r="T416" s="100" t="str">
        <f t="shared" si="44"/>
        <v xml:space="preserve"> </v>
      </c>
      <c r="U416" s="100"/>
      <c r="V416" s="100" t="str">
        <f t="shared" si="43"/>
        <v xml:space="preserve"> </v>
      </c>
      <c r="W416" s="101">
        <f t="shared" si="45"/>
        <v>24</v>
      </c>
      <c r="X416" s="102">
        <f t="shared" si="46"/>
        <v>0</v>
      </c>
      <c r="Y416" s="100" t="str">
        <f t="shared" si="47"/>
        <v xml:space="preserve"> </v>
      </c>
      <c r="Z416" s="100" t="str">
        <f t="shared" si="48"/>
        <v xml:space="preserve"> </v>
      </c>
    </row>
    <row r="417" spans="1:26">
      <c r="A417" s="108"/>
      <c r="B417" s="108" t="str">
        <f>IFERROR(VLOOKUP(Tablo518[[#This Row],[ÜRÜN KODU]],YMKODLARI!$A$1:$K$363,2,0)," ")</f>
        <v xml:space="preserve"> </v>
      </c>
      <c r="C417" s="99"/>
      <c r="D417" s="100"/>
      <c r="E417" s="101"/>
      <c r="F417" s="101"/>
      <c r="G417" s="100" t="str">
        <f>IFERROR(VLOOKUP(Tablo518[[#This Row],[ÜRÜN KODU]],YMKODLARI!$A$1:$K$363,3,0)," ")</f>
        <v xml:space="preserve"> </v>
      </c>
      <c r="H417" s="100" t="str">
        <f>IFERROR(VLOOKUP(Tablo518[[#This Row],[ÜRÜN KODU]],YMKODLARI!$A$1:$K$363,4,0)," ")</f>
        <v xml:space="preserve"> </v>
      </c>
      <c r="I417" s="100"/>
      <c r="J417" s="100" t="str">
        <f>IFERROR(VLOOKUP(Tablo518[[#This Row],[ÜRÜN KODU]],YMKODLARI!$A$1:$K$363,9,0)," ")</f>
        <v xml:space="preserve"> </v>
      </c>
      <c r="K417" s="100" t="str">
        <f>IFERROR(VLOOKUP(Tablo518[[#This Row],[BOYA KODU]],Tablo14[#All],4,0)," ")</f>
        <v xml:space="preserve"> </v>
      </c>
      <c r="L417" s="100" t="str">
        <f>IFERROR(VLOOKUP(Tablo518[[#This Row],[BOYA KODU]],Tablo14[#All],6,0)," ")</f>
        <v xml:space="preserve"> </v>
      </c>
      <c r="M417" s="100" t="str">
        <f t="shared" si="42"/>
        <v xml:space="preserve"> </v>
      </c>
      <c r="N417" s="100" t="str">
        <f>IFERROR(VLOOKUP(Tablo518[[#This Row],[ÜRÜN KODU]],YMKODLARI!$A$1:$K$363,8,0)," ")</f>
        <v xml:space="preserve"> </v>
      </c>
      <c r="O417" s="100" t="str">
        <f>IFERROR(VLOOKUP(Tablo518[[#This Row],[HAMMADDE KODU]],Tablo1[#All],3,0)," ")</f>
        <v xml:space="preserve"> </v>
      </c>
      <c r="P417" s="100" t="str">
        <f>IFERROR(VLOOKUP(Tablo518[[#This Row],[HAMMADDE KODU]],Tablo1[#All],4,0)," ")</f>
        <v xml:space="preserve"> </v>
      </c>
      <c r="Q417" s="100" t="str">
        <f>IFERROR(VLOOKUP(Tablo518[[#This Row],[ÜRÜN KODU]],YMKODLARI!$A$1:$K$363,5,0)," ")</f>
        <v xml:space="preserve"> </v>
      </c>
      <c r="R417" s="100" t="str">
        <f>IFERROR(VLOOKUP(Tablo518[[#This Row],[ÜRÜN KODU]],YMKODLARI!$A$1:$K$363,6,0)," ")</f>
        <v xml:space="preserve"> </v>
      </c>
      <c r="S417" s="100" t="str">
        <f>IFERROR(Tablo518[[#This Row],[YOLLUK HARİÇ BASKI GRAMI]]/Tablo518[[#This Row],[KALIP GÖZ ADEDİ]]," ")</f>
        <v xml:space="preserve"> </v>
      </c>
      <c r="T417" s="100" t="str">
        <f t="shared" si="44"/>
        <v xml:space="preserve"> </v>
      </c>
      <c r="U417" s="100"/>
      <c r="V417" s="100" t="str">
        <f t="shared" si="43"/>
        <v xml:space="preserve"> </v>
      </c>
      <c r="W417" s="101">
        <f t="shared" si="45"/>
        <v>24</v>
      </c>
      <c r="X417" s="102">
        <f t="shared" si="46"/>
        <v>0</v>
      </c>
      <c r="Y417" s="100" t="str">
        <f t="shared" si="47"/>
        <v xml:space="preserve"> </v>
      </c>
      <c r="Z417" s="100" t="str">
        <f t="shared" si="48"/>
        <v xml:space="preserve"> </v>
      </c>
    </row>
    <row r="418" spans="1:26">
      <c r="A418" s="108"/>
      <c r="B418" s="108" t="str">
        <f>IFERROR(VLOOKUP(Tablo518[[#This Row],[ÜRÜN KODU]],YMKODLARI!$A$1:$K$363,2,0)," ")</f>
        <v xml:space="preserve"> </v>
      </c>
      <c r="C418" s="99"/>
      <c r="D418" s="100"/>
      <c r="E418" s="101"/>
      <c r="F418" s="101"/>
      <c r="G418" s="100" t="str">
        <f>IFERROR(VLOOKUP(Tablo518[[#This Row],[ÜRÜN KODU]],YMKODLARI!$A$1:$K$363,3,0)," ")</f>
        <v xml:space="preserve"> </v>
      </c>
      <c r="H418" s="100" t="str">
        <f>IFERROR(VLOOKUP(Tablo518[[#This Row],[ÜRÜN KODU]],YMKODLARI!$A$1:$K$363,4,0)," ")</f>
        <v xml:space="preserve"> </v>
      </c>
      <c r="I418" s="100"/>
      <c r="J418" s="100" t="str">
        <f>IFERROR(VLOOKUP(Tablo518[[#This Row],[ÜRÜN KODU]],YMKODLARI!$A$1:$K$363,9,0)," ")</f>
        <v xml:space="preserve"> </v>
      </c>
      <c r="K418" s="100" t="str">
        <f>IFERROR(VLOOKUP(Tablo518[[#This Row],[BOYA KODU]],Tablo14[#All],4,0)," ")</f>
        <v xml:space="preserve"> </v>
      </c>
      <c r="L418" s="100" t="str">
        <f>IFERROR(VLOOKUP(Tablo518[[#This Row],[BOYA KODU]],Tablo14[#All],6,0)," ")</f>
        <v xml:space="preserve"> </v>
      </c>
      <c r="M418" s="100" t="str">
        <f t="shared" si="42"/>
        <v xml:space="preserve"> </v>
      </c>
      <c r="N418" s="100" t="str">
        <f>IFERROR(VLOOKUP(Tablo518[[#This Row],[ÜRÜN KODU]],YMKODLARI!$A$1:$K$363,8,0)," ")</f>
        <v xml:space="preserve"> </v>
      </c>
      <c r="O418" s="100" t="str">
        <f>IFERROR(VLOOKUP(Tablo518[[#This Row],[HAMMADDE KODU]],Tablo1[#All],3,0)," ")</f>
        <v xml:space="preserve"> </v>
      </c>
      <c r="P418" s="100" t="str">
        <f>IFERROR(VLOOKUP(Tablo518[[#This Row],[HAMMADDE KODU]],Tablo1[#All],4,0)," ")</f>
        <v xml:space="preserve"> </v>
      </c>
      <c r="Q418" s="100" t="str">
        <f>IFERROR(VLOOKUP(Tablo518[[#This Row],[ÜRÜN KODU]],YMKODLARI!$A$1:$K$363,5,0)," ")</f>
        <v xml:space="preserve"> </v>
      </c>
      <c r="R418" s="100" t="str">
        <f>IFERROR(VLOOKUP(Tablo518[[#This Row],[ÜRÜN KODU]],YMKODLARI!$A$1:$K$363,6,0)," ")</f>
        <v xml:space="preserve"> </v>
      </c>
      <c r="S418" s="100" t="str">
        <f>IFERROR(Tablo518[[#This Row],[YOLLUK HARİÇ BASKI GRAMI]]/Tablo518[[#This Row],[KALIP GÖZ ADEDİ]]," ")</f>
        <v xml:space="preserve"> </v>
      </c>
      <c r="T418" s="100" t="str">
        <f t="shared" si="44"/>
        <v xml:space="preserve"> </v>
      </c>
      <c r="U418" s="100"/>
      <c r="V418" s="100" t="str">
        <f t="shared" si="43"/>
        <v xml:space="preserve"> </v>
      </c>
      <c r="W418" s="101">
        <f t="shared" si="45"/>
        <v>24</v>
      </c>
      <c r="X418" s="102">
        <f t="shared" si="46"/>
        <v>0</v>
      </c>
      <c r="Y418" s="100" t="str">
        <f t="shared" si="47"/>
        <v xml:space="preserve"> </v>
      </c>
      <c r="Z418" s="100" t="str">
        <f t="shared" si="48"/>
        <v xml:space="preserve"> </v>
      </c>
    </row>
    <row r="419" spans="1:26">
      <c r="A419" s="108"/>
      <c r="B419" s="108" t="str">
        <f>IFERROR(VLOOKUP(Tablo518[[#This Row],[ÜRÜN KODU]],YMKODLARI!$A$1:$K$363,2,0)," ")</f>
        <v xml:space="preserve"> </v>
      </c>
      <c r="C419" s="99"/>
      <c r="D419" s="100"/>
      <c r="E419" s="101"/>
      <c r="F419" s="101"/>
      <c r="G419" s="100" t="str">
        <f>IFERROR(VLOOKUP(Tablo518[[#This Row],[ÜRÜN KODU]],YMKODLARI!$A$1:$K$363,3,0)," ")</f>
        <v xml:space="preserve"> </v>
      </c>
      <c r="H419" s="100" t="str">
        <f>IFERROR(VLOOKUP(Tablo518[[#This Row],[ÜRÜN KODU]],YMKODLARI!$A$1:$K$363,4,0)," ")</f>
        <v xml:space="preserve"> </v>
      </c>
      <c r="I419" s="100"/>
      <c r="J419" s="100" t="str">
        <f>IFERROR(VLOOKUP(Tablo518[[#This Row],[ÜRÜN KODU]],YMKODLARI!$A$1:$K$363,9,0)," ")</f>
        <v xml:space="preserve"> </v>
      </c>
      <c r="K419" s="100" t="str">
        <f>IFERROR(VLOOKUP(Tablo518[[#This Row],[BOYA KODU]],Tablo14[#All],4,0)," ")</f>
        <v xml:space="preserve"> </v>
      </c>
      <c r="L419" s="100" t="str">
        <f>IFERROR(VLOOKUP(Tablo518[[#This Row],[BOYA KODU]],Tablo14[#All],6,0)," ")</f>
        <v xml:space="preserve"> </v>
      </c>
      <c r="M419" s="100" t="str">
        <f t="shared" si="42"/>
        <v xml:space="preserve"> </v>
      </c>
      <c r="N419" s="100" t="str">
        <f>IFERROR(VLOOKUP(Tablo518[[#This Row],[ÜRÜN KODU]],YMKODLARI!$A$1:$K$363,8,0)," ")</f>
        <v xml:space="preserve"> </v>
      </c>
      <c r="O419" s="100" t="str">
        <f>IFERROR(VLOOKUP(Tablo518[[#This Row],[HAMMADDE KODU]],Tablo1[#All],3,0)," ")</f>
        <v xml:space="preserve"> </v>
      </c>
      <c r="P419" s="100" t="str">
        <f>IFERROR(VLOOKUP(Tablo518[[#This Row],[HAMMADDE KODU]],Tablo1[#All],4,0)," ")</f>
        <v xml:space="preserve"> </v>
      </c>
      <c r="Q419" s="100" t="str">
        <f>IFERROR(VLOOKUP(Tablo518[[#This Row],[ÜRÜN KODU]],YMKODLARI!$A$1:$K$363,5,0)," ")</f>
        <v xml:space="preserve"> </v>
      </c>
      <c r="R419" s="100" t="str">
        <f>IFERROR(VLOOKUP(Tablo518[[#This Row],[ÜRÜN KODU]],YMKODLARI!$A$1:$K$363,6,0)," ")</f>
        <v xml:space="preserve"> </v>
      </c>
      <c r="S419" s="100" t="str">
        <f>IFERROR(Tablo518[[#This Row],[YOLLUK HARİÇ BASKI GRAMI]]/Tablo518[[#This Row],[KALIP GÖZ ADEDİ]]," ")</f>
        <v xml:space="preserve"> </v>
      </c>
      <c r="T419" s="100" t="str">
        <f t="shared" si="44"/>
        <v xml:space="preserve"> </v>
      </c>
      <c r="U419" s="100"/>
      <c r="V419" s="100" t="str">
        <f t="shared" si="43"/>
        <v xml:space="preserve"> </v>
      </c>
      <c r="W419" s="101">
        <f t="shared" si="45"/>
        <v>24</v>
      </c>
      <c r="X419" s="102">
        <f t="shared" si="46"/>
        <v>0</v>
      </c>
      <c r="Y419" s="100" t="str">
        <f t="shared" si="47"/>
        <v xml:space="preserve"> </v>
      </c>
      <c r="Z419" s="100" t="str">
        <f t="shared" si="48"/>
        <v xml:space="preserve"> </v>
      </c>
    </row>
    <row r="420" spans="1:26">
      <c r="A420" s="108"/>
      <c r="B420" s="108" t="str">
        <f>IFERROR(VLOOKUP(Tablo518[[#This Row],[ÜRÜN KODU]],YMKODLARI!$A$1:$K$363,2,0)," ")</f>
        <v xml:space="preserve"> </v>
      </c>
      <c r="C420" s="99"/>
      <c r="D420" s="100"/>
      <c r="E420" s="101"/>
      <c r="F420" s="101"/>
      <c r="G420" s="100" t="str">
        <f>IFERROR(VLOOKUP(Tablo518[[#This Row],[ÜRÜN KODU]],YMKODLARI!$A$1:$K$363,3,0)," ")</f>
        <v xml:space="preserve"> </v>
      </c>
      <c r="H420" s="100" t="str">
        <f>IFERROR(VLOOKUP(Tablo518[[#This Row],[ÜRÜN KODU]],YMKODLARI!$A$1:$K$363,4,0)," ")</f>
        <v xml:space="preserve"> </v>
      </c>
      <c r="I420" s="100"/>
      <c r="J420" s="100" t="str">
        <f>IFERROR(VLOOKUP(Tablo518[[#This Row],[ÜRÜN KODU]],YMKODLARI!$A$1:$K$363,9,0)," ")</f>
        <v xml:space="preserve"> </v>
      </c>
      <c r="K420" s="100" t="str">
        <f>IFERROR(VLOOKUP(Tablo518[[#This Row],[BOYA KODU]],Tablo14[#All],4,0)," ")</f>
        <v xml:space="preserve"> </v>
      </c>
      <c r="L420" s="100" t="str">
        <f>IFERROR(VLOOKUP(Tablo518[[#This Row],[BOYA KODU]],Tablo14[#All],6,0)," ")</f>
        <v xml:space="preserve"> </v>
      </c>
      <c r="M420" s="100" t="str">
        <f t="shared" si="42"/>
        <v xml:space="preserve"> </v>
      </c>
      <c r="N420" s="100" t="str">
        <f>IFERROR(VLOOKUP(Tablo518[[#This Row],[ÜRÜN KODU]],YMKODLARI!$A$1:$K$363,8,0)," ")</f>
        <v xml:space="preserve"> </v>
      </c>
      <c r="O420" s="100" t="str">
        <f>IFERROR(VLOOKUP(Tablo518[[#This Row],[HAMMADDE KODU]],Tablo1[#All],3,0)," ")</f>
        <v xml:space="preserve"> </v>
      </c>
      <c r="P420" s="100" t="str">
        <f>IFERROR(VLOOKUP(Tablo518[[#This Row],[HAMMADDE KODU]],Tablo1[#All],4,0)," ")</f>
        <v xml:space="preserve"> </v>
      </c>
      <c r="Q420" s="100" t="str">
        <f>IFERROR(VLOOKUP(Tablo518[[#This Row],[ÜRÜN KODU]],YMKODLARI!$A$1:$K$363,5,0)," ")</f>
        <v xml:space="preserve"> </v>
      </c>
      <c r="R420" s="100" t="str">
        <f>IFERROR(VLOOKUP(Tablo518[[#This Row],[ÜRÜN KODU]],YMKODLARI!$A$1:$K$363,6,0)," ")</f>
        <v xml:space="preserve"> </v>
      </c>
      <c r="S420" s="100" t="str">
        <f>IFERROR(Tablo518[[#This Row],[YOLLUK HARİÇ BASKI GRAMI]]/Tablo518[[#This Row],[KALIP GÖZ ADEDİ]]," ")</f>
        <v xml:space="preserve"> </v>
      </c>
      <c r="T420" s="100" t="str">
        <f t="shared" si="44"/>
        <v xml:space="preserve"> </v>
      </c>
      <c r="U420" s="100"/>
      <c r="V420" s="100" t="str">
        <f t="shared" si="43"/>
        <v xml:space="preserve"> </v>
      </c>
      <c r="W420" s="101">
        <f t="shared" si="45"/>
        <v>24</v>
      </c>
      <c r="X420" s="102">
        <f t="shared" si="46"/>
        <v>0</v>
      </c>
      <c r="Y420" s="100" t="str">
        <f t="shared" si="47"/>
        <v xml:space="preserve"> </v>
      </c>
      <c r="Z420" s="100" t="str">
        <f t="shared" si="48"/>
        <v xml:space="preserve"> </v>
      </c>
    </row>
    <row r="421" spans="1:26">
      <c r="A421" s="108"/>
      <c r="B421" s="108" t="str">
        <f>IFERROR(VLOOKUP(Tablo518[[#This Row],[ÜRÜN KODU]],YMKODLARI!$A$1:$K$363,2,0)," ")</f>
        <v xml:space="preserve"> </v>
      </c>
      <c r="C421" s="99"/>
      <c r="D421" s="100"/>
      <c r="E421" s="101"/>
      <c r="F421" s="101"/>
      <c r="G421" s="100" t="str">
        <f>IFERROR(VLOOKUP(Tablo518[[#This Row],[ÜRÜN KODU]],YMKODLARI!$A$1:$K$363,3,0)," ")</f>
        <v xml:space="preserve"> </v>
      </c>
      <c r="H421" s="100" t="str">
        <f>IFERROR(VLOOKUP(Tablo518[[#This Row],[ÜRÜN KODU]],YMKODLARI!$A$1:$K$363,4,0)," ")</f>
        <v xml:space="preserve"> </v>
      </c>
      <c r="I421" s="100"/>
      <c r="J421" s="100" t="str">
        <f>IFERROR(VLOOKUP(Tablo518[[#This Row],[ÜRÜN KODU]],YMKODLARI!$A$1:$K$363,9,0)," ")</f>
        <v xml:space="preserve"> </v>
      </c>
      <c r="K421" s="100" t="str">
        <f>IFERROR(VLOOKUP(Tablo518[[#This Row],[BOYA KODU]],Tablo14[#All],4,0)," ")</f>
        <v xml:space="preserve"> </v>
      </c>
      <c r="L421" s="100" t="str">
        <f>IFERROR(VLOOKUP(Tablo518[[#This Row],[BOYA KODU]],Tablo14[#All],6,0)," ")</f>
        <v xml:space="preserve"> </v>
      </c>
      <c r="M421" s="100" t="str">
        <f t="shared" si="42"/>
        <v xml:space="preserve"> </v>
      </c>
      <c r="N421" s="100" t="str">
        <f>IFERROR(VLOOKUP(Tablo518[[#This Row],[ÜRÜN KODU]],YMKODLARI!$A$1:$K$363,8,0)," ")</f>
        <v xml:space="preserve"> </v>
      </c>
      <c r="O421" s="100" t="str">
        <f>IFERROR(VLOOKUP(Tablo518[[#This Row],[HAMMADDE KODU]],Tablo1[#All],3,0)," ")</f>
        <v xml:space="preserve"> </v>
      </c>
      <c r="P421" s="100" t="str">
        <f>IFERROR(VLOOKUP(Tablo518[[#This Row],[HAMMADDE KODU]],Tablo1[#All],4,0)," ")</f>
        <v xml:space="preserve"> </v>
      </c>
      <c r="Q421" s="100" t="str">
        <f>IFERROR(VLOOKUP(Tablo518[[#This Row],[ÜRÜN KODU]],YMKODLARI!$A$1:$K$363,5,0)," ")</f>
        <v xml:space="preserve"> </v>
      </c>
      <c r="R421" s="100" t="str">
        <f>IFERROR(VLOOKUP(Tablo518[[#This Row],[ÜRÜN KODU]],YMKODLARI!$A$1:$K$363,6,0)," ")</f>
        <v xml:space="preserve"> </v>
      </c>
      <c r="S421" s="100" t="str">
        <f>IFERROR(Tablo518[[#This Row],[YOLLUK HARİÇ BASKI GRAMI]]/Tablo518[[#This Row],[KALIP GÖZ ADEDİ]]," ")</f>
        <v xml:space="preserve"> </v>
      </c>
      <c r="T421" s="100" t="str">
        <f t="shared" si="44"/>
        <v xml:space="preserve"> </v>
      </c>
      <c r="U421" s="100"/>
      <c r="V421" s="100" t="str">
        <f t="shared" si="43"/>
        <v xml:space="preserve"> </v>
      </c>
      <c r="W421" s="101">
        <f t="shared" si="45"/>
        <v>24</v>
      </c>
      <c r="X421" s="102">
        <f t="shared" si="46"/>
        <v>0</v>
      </c>
      <c r="Y421" s="100" t="str">
        <f t="shared" si="47"/>
        <v xml:space="preserve"> </v>
      </c>
      <c r="Z421" s="100" t="str">
        <f t="shared" si="48"/>
        <v xml:space="preserve"> </v>
      </c>
    </row>
    <row r="422" spans="1:26">
      <c r="A422" s="108"/>
      <c r="B422" s="108" t="str">
        <f>IFERROR(VLOOKUP(Tablo518[[#This Row],[ÜRÜN KODU]],YMKODLARI!$A$1:$K$363,2,0)," ")</f>
        <v xml:space="preserve"> </v>
      </c>
      <c r="C422" s="99"/>
      <c r="D422" s="100"/>
      <c r="E422" s="101"/>
      <c r="F422" s="101"/>
      <c r="G422" s="100" t="str">
        <f>IFERROR(VLOOKUP(Tablo518[[#This Row],[ÜRÜN KODU]],YMKODLARI!$A$1:$K$363,3,0)," ")</f>
        <v xml:space="preserve"> </v>
      </c>
      <c r="H422" s="100" t="str">
        <f>IFERROR(VLOOKUP(Tablo518[[#This Row],[ÜRÜN KODU]],YMKODLARI!$A$1:$K$363,4,0)," ")</f>
        <v xml:space="preserve"> </v>
      </c>
      <c r="I422" s="100"/>
      <c r="J422" s="100" t="str">
        <f>IFERROR(VLOOKUP(Tablo518[[#This Row],[ÜRÜN KODU]],YMKODLARI!$A$1:$K$363,9,0)," ")</f>
        <v xml:space="preserve"> </v>
      </c>
      <c r="K422" s="100" t="str">
        <f>IFERROR(VLOOKUP(Tablo518[[#This Row],[BOYA KODU]],Tablo14[#All],4,0)," ")</f>
        <v xml:space="preserve"> </v>
      </c>
      <c r="L422" s="100" t="str">
        <f>IFERROR(VLOOKUP(Tablo518[[#This Row],[BOYA KODU]],Tablo14[#All],6,0)," ")</f>
        <v xml:space="preserve"> </v>
      </c>
      <c r="M422" s="100" t="str">
        <f t="shared" si="42"/>
        <v xml:space="preserve"> </v>
      </c>
      <c r="N422" s="100" t="str">
        <f>IFERROR(VLOOKUP(Tablo518[[#This Row],[ÜRÜN KODU]],YMKODLARI!$A$1:$K$363,8,0)," ")</f>
        <v xml:space="preserve"> </v>
      </c>
      <c r="O422" s="100" t="str">
        <f>IFERROR(VLOOKUP(Tablo518[[#This Row],[HAMMADDE KODU]],Tablo1[#All],3,0)," ")</f>
        <v xml:space="preserve"> </v>
      </c>
      <c r="P422" s="100" t="str">
        <f>IFERROR(VLOOKUP(Tablo518[[#This Row],[HAMMADDE KODU]],Tablo1[#All],4,0)," ")</f>
        <v xml:space="preserve"> </v>
      </c>
      <c r="Q422" s="100" t="str">
        <f>IFERROR(VLOOKUP(Tablo518[[#This Row],[ÜRÜN KODU]],YMKODLARI!$A$1:$K$363,5,0)," ")</f>
        <v xml:space="preserve"> </v>
      </c>
      <c r="R422" s="100" t="str">
        <f>IFERROR(VLOOKUP(Tablo518[[#This Row],[ÜRÜN KODU]],YMKODLARI!$A$1:$K$363,6,0)," ")</f>
        <v xml:space="preserve"> </v>
      </c>
      <c r="S422" s="100" t="str">
        <f>IFERROR(Tablo518[[#This Row],[YOLLUK HARİÇ BASKI GRAMI]]/Tablo518[[#This Row],[KALIP GÖZ ADEDİ]]," ")</f>
        <v xml:space="preserve"> </v>
      </c>
      <c r="T422" s="100" t="str">
        <f t="shared" si="44"/>
        <v xml:space="preserve"> </v>
      </c>
      <c r="U422" s="100"/>
      <c r="V422" s="100" t="str">
        <f t="shared" si="43"/>
        <v xml:space="preserve"> </v>
      </c>
      <c r="W422" s="101">
        <f t="shared" si="45"/>
        <v>24</v>
      </c>
      <c r="X422" s="102">
        <f t="shared" si="46"/>
        <v>0</v>
      </c>
      <c r="Y422" s="100" t="str">
        <f t="shared" si="47"/>
        <v xml:space="preserve"> </v>
      </c>
      <c r="Z422" s="100" t="str">
        <f t="shared" si="48"/>
        <v xml:space="preserve"> </v>
      </c>
    </row>
    <row r="423" spans="1:26">
      <c r="A423" s="108"/>
      <c r="B423" s="108" t="str">
        <f>IFERROR(VLOOKUP(Tablo518[[#This Row],[ÜRÜN KODU]],YMKODLARI!$A$1:$K$363,2,0)," ")</f>
        <v xml:space="preserve"> </v>
      </c>
      <c r="C423" s="99"/>
      <c r="D423" s="100"/>
      <c r="E423" s="101"/>
      <c r="F423" s="101"/>
      <c r="G423" s="100" t="str">
        <f>IFERROR(VLOOKUP(Tablo518[[#This Row],[ÜRÜN KODU]],YMKODLARI!$A$1:$K$363,3,0)," ")</f>
        <v xml:space="preserve"> </v>
      </c>
      <c r="H423" s="100" t="str">
        <f>IFERROR(VLOOKUP(Tablo518[[#This Row],[ÜRÜN KODU]],YMKODLARI!$A$1:$K$363,4,0)," ")</f>
        <v xml:space="preserve"> </v>
      </c>
      <c r="I423" s="100"/>
      <c r="J423" s="100" t="str">
        <f>IFERROR(VLOOKUP(Tablo518[[#This Row],[ÜRÜN KODU]],YMKODLARI!$A$1:$K$363,9,0)," ")</f>
        <v xml:space="preserve"> </v>
      </c>
      <c r="K423" s="100" t="str">
        <f>IFERROR(VLOOKUP(Tablo518[[#This Row],[BOYA KODU]],Tablo14[#All],4,0)," ")</f>
        <v xml:space="preserve"> </v>
      </c>
      <c r="L423" s="100" t="str">
        <f>IFERROR(VLOOKUP(Tablo518[[#This Row],[BOYA KODU]],Tablo14[#All],6,0)," ")</f>
        <v xml:space="preserve"> </v>
      </c>
      <c r="M423" s="100" t="str">
        <f t="shared" si="42"/>
        <v xml:space="preserve"> </v>
      </c>
      <c r="N423" s="100" t="str">
        <f>IFERROR(VLOOKUP(Tablo518[[#This Row],[ÜRÜN KODU]],YMKODLARI!$A$1:$K$363,8,0)," ")</f>
        <v xml:space="preserve"> </v>
      </c>
      <c r="O423" s="100" t="str">
        <f>IFERROR(VLOOKUP(Tablo518[[#This Row],[HAMMADDE KODU]],Tablo1[#All],3,0)," ")</f>
        <v xml:space="preserve"> </v>
      </c>
      <c r="P423" s="100" t="str">
        <f>IFERROR(VLOOKUP(Tablo518[[#This Row],[HAMMADDE KODU]],Tablo1[#All],4,0)," ")</f>
        <v xml:space="preserve"> </v>
      </c>
      <c r="Q423" s="100" t="str">
        <f>IFERROR(VLOOKUP(Tablo518[[#This Row],[ÜRÜN KODU]],YMKODLARI!$A$1:$K$363,5,0)," ")</f>
        <v xml:space="preserve"> </v>
      </c>
      <c r="R423" s="100" t="str">
        <f>IFERROR(VLOOKUP(Tablo518[[#This Row],[ÜRÜN KODU]],YMKODLARI!$A$1:$K$363,6,0)," ")</f>
        <v xml:space="preserve"> </v>
      </c>
      <c r="S423" s="100" t="str">
        <f>IFERROR(Tablo518[[#This Row],[YOLLUK HARİÇ BASKI GRAMI]]/Tablo518[[#This Row],[KALIP GÖZ ADEDİ]]," ")</f>
        <v xml:space="preserve"> </v>
      </c>
      <c r="T423" s="100" t="str">
        <f t="shared" si="44"/>
        <v xml:space="preserve"> </v>
      </c>
      <c r="U423" s="100"/>
      <c r="V423" s="100" t="str">
        <f t="shared" si="43"/>
        <v xml:space="preserve"> </v>
      </c>
      <c r="W423" s="101">
        <f t="shared" si="45"/>
        <v>24</v>
      </c>
      <c r="X423" s="102">
        <f t="shared" si="46"/>
        <v>0</v>
      </c>
      <c r="Y423" s="100" t="str">
        <f t="shared" si="47"/>
        <v xml:space="preserve"> </v>
      </c>
      <c r="Z423" s="100" t="str">
        <f t="shared" si="48"/>
        <v xml:space="preserve"> </v>
      </c>
    </row>
    <row r="424" spans="1:26">
      <c r="A424" s="108"/>
      <c r="B424" s="108" t="str">
        <f>IFERROR(VLOOKUP(Tablo518[[#This Row],[ÜRÜN KODU]],YMKODLARI!$A$1:$K$363,2,0)," ")</f>
        <v xml:space="preserve"> </v>
      </c>
      <c r="C424" s="99"/>
      <c r="D424" s="100"/>
      <c r="E424" s="101"/>
      <c r="F424" s="101"/>
      <c r="G424" s="100" t="str">
        <f>IFERROR(VLOOKUP(Tablo518[[#This Row],[ÜRÜN KODU]],YMKODLARI!$A$1:$K$363,3,0)," ")</f>
        <v xml:space="preserve"> </v>
      </c>
      <c r="H424" s="100" t="str">
        <f>IFERROR(VLOOKUP(Tablo518[[#This Row],[ÜRÜN KODU]],YMKODLARI!$A$1:$K$363,4,0)," ")</f>
        <v xml:space="preserve"> </v>
      </c>
      <c r="I424" s="100"/>
      <c r="J424" s="100" t="str">
        <f>IFERROR(VLOOKUP(Tablo518[[#This Row],[ÜRÜN KODU]],YMKODLARI!$A$1:$K$363,9,0)," ")</f>
        <v xml:space="preserve"> </v>
      </c>
      <c r="K424" s="100" t="str">
        <f>IFERROR(VLOOKUP(Tablo518[[#This Row],[BOYA KODU]],Tablo14[#All],4,0)," ")</f>
        <v xml:space="preserve"> </v>
      </c>
      <c r="L424" s="100" t="str">
        <f>IFERROR(VLOOKUP(Tablo518[[#This Row],[BOYA KODU]],Tablo14[#All],6,0)," ")</f>
        <v xml:space="preserve"> </v>
      </c>
      <c r="M424" s="100" t="str">
        <f t="shared" si="42"/>
        <v xml:space="preserve"> </v>
      </c>
      <c r="N424" s="100" t="str">
        <f>IFERROR(VLOOKUP(Tablo518[[#This Row],[ÜRÜN KODU]],YMKODLARI!$A$1:$K$363,8,0)," ")</f>
        <v xml:space="preserve"> </v>
      </c>
      <c r="O424" s="100" t="str">
        <f>IFERROR(VLOOKUP(Tablo518[[#This Row],[HAMMADDE KODU]],Tablo1[#All],3,0)," ")</f>
        <v xml:space="preserve"> </v>
      </c>
      <c r="P424" s="100" t="str">
        <f>IFERROR(VLOOKUP(Tablo518[[#This Row],[HAMMADDE KODU]],Tablo1[#All],4,0)," ")</f>
        <v xml:space="preserve"> </v>
      </c>
      <c r="Q424" s="100" t="str">
        <f>IFERROR(VLOOKUP(Tablo518[[#This Row],[ÜRÜN KODU]],YMKODLARI!$A$1:$K$363,5,0)," ")</f>
        <v xml:space="preserve"> </v>
      </c>
      <c r="R424" s="100" t="str">
        <f>IFERROR(VLOOKUP(Tablo518[[#This Row],[ÜRÜN KODU]],YMKODLARI!$A$1:$K$363,6,0)," ")</f>
        <v xml:space="preserve"> </v>
      </c>
      <c r="S424" s="100" t="str">
        <f>IFERROR(Tablo518[[#This Row],[YOLLUK HARİÇ BASKI GRAMI]]/Tablo518[[#This Row],[KALIP GÖZ ADEDİ]]," ")</f>
        <v xml:space="preserve"> </v>
      </c>
      <c r="T424" s="100" t="str">
        <f t="shared" si="44"/>
        <v xml:space="preserve"> </v>
      </c>
      <c r="U424" s="100"/>
      <c r="V424" s="100" t="str">
        <f t="shared" si="43"/>
        <v xml:space="preserve"> </v>
      </c>
      <c r="W424" s="101">
        <f t="shared" si="45"/>
        <v>24</v>
      </c>
      <c r="X424" s="102">
        <f t="shared" si="46"/>
        <v>0</v>
      </c>
      <c r="Y424" s="100" t="str">
        <f t="shared" si="47"/>
        <v xml:space="preserve"> </v>
      </c>
      <c r="Z424" s="100" t="str">
        <f t="shared" si="48"/>
        <v xml:space="preserve"> </v>
      </c>
    </row>
    <row r="425" spans="1:26">
      <c r="A425" s="108"/>
      <c r="B425" s="108" t="str">
        <f>IFERROR(VLOOKUP(Tablo518[[#This Row],[ÜRÜN KODU]],YMKODLARI!$A$1:$K$363,2,0)," ")</f>
        <v xml:space="preserve"> </v>
      </c>
      <c r="C425" s="99"/>
      <c r="D425" s="100"/>
      <c r="E425" s="101"/>
      <c r="F425" s="101"/>
      <c r="G425" s="100" t="str">
        <f>IFERROR(VLOOKUP(Tablo518[[#This Row],[ÜRÜN KODU]],YMKODLARI!$A$1:$K$363,3,0)," ")</f>
        <v xml:space="preserve"> </v>
      </c>
      <c r="H425" s="100" t="str">
        <f>IFERROR(VLOOKUP(Tablo518[[#This Row],[ÜRÜN KODU]],YMKODLARI!$A$1:$K$363,4,0)," ")</f>
        <v xml:space="preserve"> </v>
      </c>
      <c r="I425" s="100"/>
      <c r="J425" s="100" t="str">
        <f>IFERROR(VLOOKUP(Tablo518[[#This Row],[ÜRÜN KODU]],YMKODLARI!$A$1:$K$363,9,0)," ")</f>
        <v xml:space="preserve"> </v>
      </c>
      <c r="K425" s="100" t="str">
        <f>IFERROR(VLOOKUP(Tablo518[[#This Row],[BOYA KODU]],Tablo14[#All],4,0)," ")</f>
        <v xml:space="preserve"> </v>
      </c>
      <c r="L425" s="100" t="str">
        <f>IFERROR(VLOOKUP(Tablo518[[#This Row],[BOYA KODU]],Tablo14[#All],6,0)," ")</f>
        <v xml:space="preserve"> </v>
      </c>
      <c r="M425" s="100" t="str">
        <f t="shared" si="42"/>
        <v xml:space="preserve"> </v>
      </c>
      <c r="N425" s="100" t="str">
        <f>IFERROR(VLOOKUP(Tablo518[[#This Row],[ÜRÜN KODU]],YMKODLARI!$A$1:$K$363,8,0)," ")</f>
        <v xml:space="preserve"> </v>
      </c>
      <c r="O425" s="100" t="str">
        <f>IFERROR(VLOOKUP(Tablo518[[#This Row],[HAMMADDE KODU]],Tablo1[#All],3,0)," ")</f>
        <v xml:space="preserve"> </v>
      </c>
      <c r="P425" s="100" t="str">
        <f>IFERROR(VLOOKUP(Tablo518[[#This Row],[HAMMADDE KODU]],Tablo1[#All],4,0)," ")</f>
        <v xml:space="preserve"> </v>
      </c>
      <c r="Q425" s="100" t="str">
        <f>IFERROR(VLOOKUP(Tablo518[[#This Row],[ÜRÜN KODU]],YMKODLARI!$A$1:$K$363,5,0)," ")</f>
        <v xml:space="preserve"> </v>
      </c>
      <c r="R425" s="100" t="str">
        <f>IFERROR(VLOOKUP(Tablo518[[#This Row],[ÜRÜN KODU]],YMKODLARI!$A$1:$K$363,6,0)," ")</f>
        <v xml:space="preserve"> </v>
      </c>
      <c r="S425" s="100" t="str">
        <f>IFERROR(Tablo518[[#This Row],[YOLLUK HARİÇ BASKI GRAMI]]/Tablo518[[#This Row],[KALIP GÖZ ADEDİ]]," ")</f>
        <v xml:space="preserve"> </v>
      </c>
      <c r="T425" s="100" t="str">
        <f t="shared" si="44"/>
        <v xml:space="preserve"> </v>
      </c>
      <c r="U425" s="100"/>
      <c r="V425" s="100" t="str">
        <f t="shared" si="43"/>
        <v xml:space="preserve"> </v>
      </c>
      <c r="W425" s="101">
        <f t="shared" si="45"/>
        <v>24</v>
      </c>
      <c r="X425" s="102">
        <f t="shared" si="46"/>
        <v>0</v>
      </c>
      <c r="Y425" s="100" t="str">
        <f t="shared" si="47"/>
        <v xml:space="preserve"> </v>
      </c>
      <c r="Z425" s="100" t="str">
        <f t="shared" si="48"/>
        <v xml:space="preserve"> </v>
      </c>
    </row>
    <row r="426" spans="1:26">
      <c r="A426" s="108"/>
      <c r="B426" s="108" t="str">
        <f>IFERROR(VLOOKUP(Tablo518[[#This Row],[ÜRÜN KODU]],YMKODLARI!$A$1:$K$363,2,0)," ")</f>
        <v xml:space="preserve"> </v>
      </c>
      <c r="C426" s="99"/>
      <c r="D426" s="100"/>
      <c r="E426" s="101"/>
      <c r="F426" s="101"/>
      <c r="G426" s="100" t="str">
        <f>IFERROR(VLOOKUP(Tablo518[[#This Row],[ÜRÜN KODU]],YMKODLARI!$A$1:$K$363,3,0)," ")</f>
        <v xml:space="preserve"> </v>
      </c>
      <c r="H426" s="100" t="str">
        <f>IFERROR(VLOOKUP(Tablo518[[#This Row],[ÜRÜN KODU]],YMKODLARI!$A$1:$K$363,4,0)," ")</f>
        <v xml:space="preserve"> </v>
      </c>
      <c r="I426" s="100"/>
      <c r="J426" s="100" t="str">
        <f>IFERROR(VLOOKUP(Tablo518[[#This Row],[ÜRÜN KODU]],YMKODLARI!$A$1:$K$363,9,0)," ")</f>
        <v xml:space="preserve"> </v>
      </c>
      <c r="K426" s="100" t="str">
        <f>IFERROR(VLOOKUP(Tablo518[[#This Row],[BOYA KODU]],Tablo14[#All],4,0)," ")</f>
        <v xml:space="preserve"> </v>
      </c>
      <c r="L426" s="100" t="str">
        <f>IFERROR(VLOOKUP(Tablo518[[#This Row],[BOYA KODU]],Tablo14[#All],6,0)," ")</f>
        <v xml:space="preserve"> </v>
      </c>
      <c r="M426" s="100" t="str">
        <f t="shared" si="42"/>
        <v xml:space="preserve"> </v>
      </c>
      <c r="N426" s="100" t="str">
        <f>IFERROR(VLOOKUP(Tablo518[[#This Row],[ÜRÜN KODU]],YMKODLARI!$A$1:$K$363,8,0)," ")</f>
        <v xml:space="preserve"> </v>
      </c>
      <c r="O426" s="100" t="str">
        <f>IFERROR(VLOOKUP(Tablo518[[#This Row],[HAMMADDE KODU]],Tablo1[#All],3,0)," ")</f>
        <v xml:space="preserve"> </v>
      </c>
      <c r="P426" s="100" t="str">
        <f>IFERROR(VLOOKUP(Tablo518[[#This Row],[HAMMADDE KODU]],Tablo1[#All],4,0)," ")</f>
        <v xml:space="preserve"> </v>
      </c>
      <c r="Q426" s="100" t="str">
        <f>IFERROR(VLOOKUP(Tablo518[[#This Row],[ÜRÜN KODU]],YMKODLARI!$A$1:$K$363,5,0)," ")</f>
        <v xml:space="preserve"> </v>
      </c>
      <c r="R426" s="100" t="str">
        <f>IFERROR(VLOOKUP(Tablo518[[#This Row],[ÜRÜN KODU]],YMKODLARI!$A$1:$K$363,6,0)," ")</f>
        <v xml:space="preserve"> </v>
      </c>
      <c r="S426" s="100" t="str">
        <f>IFERROR(Tablo518[[#This Row],[YOLLUK HARİÇ BASKI GRAMI]]/Tablo518[[#This Row],[KALIP GÖZ ADEDİ]]," ")</f>
        <v xml:space="preserve"> </v>
      </c>
      <c r="T426" s="100" t="str">
        <f t="shared" si="44"/>
        <v xml:space="preserve"> </v>
      </c>
      <c r="U426" s="100"/>
      <c r="V426" s="100" t="str">
        <f t="shared" si="43"/>
        <v xml:space="preserve"> </v>
      </c>
      <c r="W426" s="101">
        <f t="shared" si="45"/>
        <v>24</v>
      </c>
      <c r="X426" s="102">
        <f t="shared" si="46"/>
        <v>0</v>
      </c>
      <c r="Y426" s="100" t="str">
        <f t="shared" si="47"/>
        <v xml:space="preserve"> </v>
      </c>
      <c r="Z426" s="100" t="str">
        <f t="shared" si="48"/>
        <v xml:space="preserve"> </v>
      </c>
    </row>
    <row r="427" spans="1:26">
      <c r="A427" s="108"/>
      <c r="B427" s="108" t="str">
        <f>IFERROR(VLOOKUP(Tablo518[[#This Row],[ÜRÜN KODU]],YMKODLARI!$A$1:$K$363,2,0)," ")</f>
        <v xml:space="preserve"> </v>
      </c>
      <c r="C427" s="99"/>
      <c r="D427" s="100"/>
      <c r="E427" s="101"/>
      <c r="F427" s="101"/>
      <c r="G427" s="100" t="str">
        <f>IFERROR(VLOOKUP(Tablo518[[#This Row],[ÜRÜN KODU]],YMKODLARI!$A$1:$K$363,3,0)," ")</f>
        <v xml:space="preserve"> </v>
      </c>
      <c r="H427" s="100" t="str">
        <f>IFERROR(VLOOKUP(Tablo518[[#This Row],[ÜRÜN KODU]],YMKODLARI!$A$1:$K$363,4,0)," ")</f>
        <v xml:space="preserve"> </v>
      </c>
      <c r="I427" s="100"/>
      <c r="J427" s="100" t="str">
        <f>IFERROR(VLOOKUP(Tablo518[[#This Row],[ÜRÜN KODU]],YMKODLARI!$A$1:$K$363,9,0)," ")</f>
        <v xml:space="preserve"> </v>
      </c>
      <c r="K427" s="100" t="str">
        <f>IFERROR(VLOOKUP(Tablo518[[#This Row],[BOYA KODU]],Tablo14[#All],4,0)," ")</f>
        <v xml:space="preserve"> </v>
      </c>
      <c r="L427" s="100" t="str">
        <f>IFERROR(VLOOKUP(Tablo518[[#This Row],[BOYA KODU]],Tablo14[#All],6,0)," ")</f>
        <v xml:space="preserve"> </v>
      </c>
      <c r="M427" s="100" t="str">
        <f t="shared" si="42"/>
        <v xml:space="preserve"> </v>
      </c>
      <c r="N427" s="100" t="str">
        <f>IFERROR(VLOOKUP(Tablo518[[#This Row],[ÜRÜN KODU]],YMKODLARI!$A$1:$K$363,8,0)," ")</f>
        <v xml:space="preserve"> </v>
      </c>
      <c r="O427" s="100" t="str">
        <f>IFERROR(VLOOKUP(Tablo518[[#This Row],[HAMMADDE KODU]],Tablo1[#All],3,0)," ")</f>
        <v xml:space="preserve"> </v>
      </c>
      <c r="P427" s="100" t="str">
        <f>IFERROR(VLOOKUP(Tablo518[[#This Row],[HAMMADDE KODU]],Tablo1[#All],4,0)," ")</f>
        <v xml:space="preserve"> </v>
      </c>
      <c r="Q427" s="100" t="str">
        <f>IFERROR(VLOOKUP(Tablo518[[#This Row],[ÜRÜN KODU]],YMKODLARI!$A$1:$K$363,5,0)," ")</f>
        <v xml:space="preserve"> </v>
      </c>
      <c r="R427" s="100" t="str">
        <f>IFERROR(VLOOKUP(Tablo518[[#This Row],[ÜRÜN KODU]],YMKODLARI!$A$1:$K$363,6,0)," ")</f>
        <v xml:space="preserve"> </v>
      </c>
      <c r="S427" s="100" t="str">
        <f>IFERROR(Tablo518[[#This Row],[YOLLUK HARİÇ BASKI GRAMI]]/Tablo518[[#This Row],[KALIP GÖZ ADEDİ]]," ")</f>
        <v xml:space="preserve"> </v>
      </c>
      <c r="T427" s="100" t="str">
        <f t="shared" si="44"/>
        <v xml:space="preserve"> </v>
      </c>
      <c r="U427" s="100"/>
      <c r="V427" s="100" t="str">
        <f t="shared" si="43"/>
        <v xml:space="preserve"> </v>
      </c>
      <c r="W427" s="101">
        <f t="shared" si="45"/>
        <v>24</v>
      </c>
      <c r="X427" s="102">
        <f t="shared" si="46"/>
        <v>0</v>
      </c>
      <c r="Y427" s="100" t="str">
        <f t="shared" si="47"/>
        <v xml:space="preserve"> </v>
      </c>
      <c r="Z427" s="100" t="str">
        <f t="shared" si="48"/>
        <v xml:space="preserve"> </v>
      </c>
    </row>
    <row r="428" spans="1:26">
      <c r="A428" s="108"/>
      <c r="B428" s="108" t="str">
        <f>IFERROR(VLOOKUP(Tablo518[[#This Row],[ÜRÜN KODU]],YMKODLARI!$A$1:$K$363,2,0)," ")</f>
        <v xml:space="preserve"> </v>
      </c>
      <c r="C428" s="99"/>
      <c r="D428" s="100"/>
      <c r="E428" s="101"/>
      <c r="F428" s="101"/>
      <c r="G428" s="100" t="str">
        <f>IFERROR(VLOOKUP(Tablo518[[#This Row],[ÜRÜN KODU]],YMKODLARI!$A$1:$K$363,3,0)," ")</f>
        <v xml:space="preserve"> </v>
      </c>
      <c r="H428" s="100" t="str">
        <f>IFERROR(VLOOKUP(Tablo518[[#This Row],[ÜRÜN KODU]],YMKODLARI!$A$1:$K$363,4,0)," ")</f>
        <v xml:space="preserve"> </v>
      </c>
      <c r="I428" s="100"/>
      <c r="J428" s="100" t="str">
        <f>IFERROR(VLOOKUP(Tablo518[[#This Row],[ÜRÜN KODU]],YMKODLARI!$A$1:$K$363,9,0)," ")</f>
        <v xml:space="preserve"> </v>
      </c>
      <c r="K428" s="100" t="str">
        <f>IFERROR(VLOOKUP(Tablo518[[#This Row],[BOYA KODU]],Tablo14[#All],4,0)," ")</f>
        <v xml:space="preserve"> </v>
      </c>
      <c r="L428" s="100" t="str">
        <f>IFERROR(VLOOKUP(Tablo518[[#This Row],[BOYA KODU]],Tablo14[#All],6,0)," ")</f>
        <v xml:space="preserve"> </v>
      </c>
      <c r="M428" s="100" t="str">
        <f t="shared" si="42"/>
        <v xml:space="preserve"> </v>
      </c>
      <c r="N428" s="100" t="str">
        <f>IFERROR(VLOOKUP(Tablo518[[#This Row],[ÜRÜN KODU]],YMKODLARI!$A$1:$K$363,8,0)," ")</f>
        <v xml:space="preserve"> </v>
      </c>
      <c r="O428" s="100" t="str">
        <f>IFERROR(VLOOKUP(Tablo518[[#This Row],[HAMMADDE KODU]],Tablo1[#All],3,0)," ")</f>
        <v xml:space="preserve"> </v>
      </c>
      <c r="P428" s="100" t="str">
        <f>IFERROR(VLOOKUP(Tablo518[[#This Row],[HAMMADDE KODU]],Tablo1[#All],4,0)," ")</f>
        <v xml:space="preserve"> </v>
      </c>
      <c r="Q428" s="100" t="str">
        <f>IFERROR(VLOOKUP(Tablo518[[#This Row],[ÜRÜN KODU]],YMKODLARI!$A$1:$K$363,5,0)," ")</f>
        <v xml:space="preserve"> </v>
      </c>
      <c r="R428" s="100" t="str">
        <f>IFERROR(VLOOKUP(Tablo518[[#This Row],[ÜRÜN KODU]],YMKODLARI!$A$1:$K$363,6,0)," ")</f>
        <v xml:space="preserve"> </v>
      </c>
      <c r="S428" s="100" t="str">
        <f>IFERROR(Tablo518[[#This Row],[YOLLUK HARİÇ BASKI GRAMI]]/Tablo518[[#This Row],[KALIP GÖZ ADEDİ]]," ")</f>
        <v xml:space="preserve"> </v>
      </c>
      <c r="T428" s="100" t="str">
        <f t="shared" si="44"/>
        <v xml:space="preserve"> </v>
      </c>
      <c r="U428" s="100"/>
      <c r="V428" s="100" t="str">
        <f t="shared" si="43"/>
        <v xml:space="preserve"> </v>
      </c>
      <c r="W428" s="101">
        <f t="shared" si="45"/>
        <v>24</v>
      </c>
      <c r="X428" s="102">
        <f t="shared" si="46"/>
        <v>0</v>
      </c>
      <c r="Y428" s="100" t="str">
        <f t="shared" si="47"/>
        <v xml:space="preserve"> </v>
      </c>
      <c r="Z428" s="100" t="str">
        <f t="shared" si="48"/>
        <v xml:space="preserve"> </v>
      </c>
    </row>
    <row r="429" spans="1:26">
      <c r="A429" s="108"/>
      <c r="B429" s="108" t="str">
        <f>IFERROR(VLOOKUP(Tablo518[[#This Row],[ÜRÜN KODU]],YMKODLARI!$A$1:$K$363,2,0)," ")</f>
        <v xml:space="preserve"> </v>
      </c>
      <c r="C429" s="99"/>
      <c r="D429" s="100"/>
      <c r="E429" s="101"/>
      <c r="F429" s="101"/>
      <c r="G429" s="100" t="str">
        <f>IFERROR(VLOOKUP(Tablo518[[#This Row],[ÜRÜN KODU]],YMKODLARI!$A$1:$K$363,3,0)," ")</f>
        <v xml:space="preserve"> </v>
      </c>
      <c r="H429" s="100" t="str">
        <f>IFERROR(VLOOKUP(Tablo518[[#This Row],[ÜRÜN KODU]],YMKODLARI!$A$1:$K$363,4,0)," ")</f>
        <v xml:space="preserve"> </v>
      </c>
      <c r="I429" s="100"/>
      <c r="J429" s="100" t="str">
        <f>IFERROR(VLOOKUP(Tablo518[[#This Row],[ÜRÜN KODU]],YMKODLARI!$A$1:$K$363,9,0)," ")</f>
        <v xml:space="preserve"> </v>
      </c>
      <c r="K429" s="100" t="str">
        <f>IFERROR(VLOOKUP(Tablo518[[#This Row],[BOYA KODU]],Tablo14[#All],4,0)," ")</f>
        <v xml:space="preserve"> </v>
      </c>
      <c r="L429" s="100" t="str">
        <f>IFERROR(VLOOKUP(Tablo518[[#This Row],[BOYA KODU]],Tablo14[#All],6,0)," ")</f>
        <v xml:space="preserve"> </v>
      </c>
      <c r="M429" s="100" t="str">
        <f t="shared" si="42"/>
        <v xml:space="preserve"> </v>
      </c>
      <c r="N429" s="100" t="str">
        <f>IFERROR(VLOOKUP(Tablo518[[#This Row],[ÜRÜN KODU]],YMKODLARI!$A$1:$K$363,8,0)," ")</f>
        <v xml:space="preserve"> </v>
      </c>
      <c r="O429" s="100" t="str">
        <f>IFERROR(VLOOKUP(Tablo518[[#This Row],[HAMMADDE KODU]],Tablo1[#All],3,0)," ")</f>
        <v xml:space="preserve"> </v>
      </c>
      <c r="P429" s="100" t="str">
        <f>IFERROR(VLOOKUP(Tablo518[[#This Row],[HAMMADDE KODU]],Tablo1[#All],4,0)," ")</f>
        <v xml:space="preserve"> </v>
      </c>
      <c r="Q429" s="100" t="str">
        <f>IFERROR(VLOOKUP(Tablo518[[#This Row],[ÜRÜN KODU]],YMKODLARI!$A$1:$K$363,5,0)," ")</f>
        <v xml:space="preserve"> </v>
      </c>
      <c r="R429" s="100" t="str">
        <f>IFERROR(VLOOKUP(Tablo518[[#This Row],[ÜRÜN KODU]],YMKODLARI!$A$1:$K$363,6,0)," ")</f>
        <v xml:space="preserve"> </v>
      </c>
      <c r="S429" s="100" t="str">
        <f>IFERROR(Tablo518[[#This Row],[YOLLUK HARİÇ BASKI GRAMI]]/Tablo518[[#This Row],[KALIP GÖZ ADEDİ]]," ")</f>
        <v xml:space="preserve"> </v>
      </c>
      <c r="T429" s="100" t="str">
        <f t="shared" si="44"/>
        <v xml:space="preserve"> </v>
      </c>
      <c r="U429" s="100"/>
      <c r="V429" s="100" t="str">
        <f t="shared" si="43"/>
        <v xml:space="preserve"> </v>
      </c>
      <c r="W429" s="101">
        <f t="shared" si="45"/>
        <v>24</v>
      </c>
      <c r="X429" s="102">
        <f t="shared" si="46"/>
        <v>0</v>
      </c>
      <c r="Y429" s="100" t="str">
        <f t="shared" si="47"/>
        <v xml:space="preserve"> </v>
      </c>
      <c r="Z429" s="100" t="str">
        <f t="shared" si="48"/>
        <v xml:space="preserve"> </v>
      </c>
    </row>
    <row r="430" spans="1:26">
      <c r="A430" s="108"/>
      <c r="B430" s="108" t="str">
        <f>IFERROR(VLOOKUP(Tablo518[[#This Row],[ÜRÜN KODU]],YMKODLARI!$A$1:$K$363,2,0)," ")</f>
        <v xml:space="preserve"> </v>
      </c>
      <c r="C430" s="99"/>
      <c r="D430" s="100"/>
      <c r="E430" s="101"/>
      <c r="F430" s="101"/>
      <c r="G430" s="100" t="str">
        <f>IFERROR(VLOOKUP(Tablo518[[#This Row],[ÜRÜN KODU]],YMKODLARI!$A$1:$K$363,3,0)," ")</f>
        <v xml:space="preserve"> </v>
      </c>
      <c r="H430" s="100" t="str">
        <f>IFERROR(VLOOKUP(Tablo518[[#This Row],[ÜRÜN KODU]],YMKODLARI!$A$1:$K$363,4,0)," ")</f>
        <v xml:space="preserve"> </v>
      </c>
      <c r="I430" s="100"/>
      <c r="J430" s="100" t="str">
        <f>IFERROR(VLOOKUP(Tablo518[[#This Row],[ÜRÜN KODU]],YMKODLARI!$A$1:$K$363,9,0)," ")</f>
        <v xml:space="preserve"> </v>
      </c>
      <c r="K430" s="100" t="str">
        <f>IFERROR(VLOOKUP(Tablo518[[#This Row],[BOYA KODU]],Tablo14[#All],4,0)," ")</f>
        <v xml:space="preserve"> </v>
      </c>
      <c r="L430" s="100" t="str">
        <f>IFERROR(VLOOKUP(Tablo518[[#This Row],[BOYA KODU]],Tablo14[#All],6,0)," ")</f>
        <v xml:space="preserve"> </v>
      </c>
      <c r="M430" s="100" t="str">
        <f t="shared" si="42"/>
        <v xml:space="preserve"> </v>
      </c>
      <c r="N430" s="100" t="str">
        <f>IFERROR(VLOOKUP(Tablo518[[#This Row],[ÜRÜN KODU]],YMKODLARI!$A$1:$K$363,8,0)," ")</f>
        <v xml:space="preserve"> </v>
      </c>
      <c r="O430" s="100" t="str">
        <f>IFERROR(VLOOKUP(Tablo518[[#This Row],[HAMMADDE KODU]],Tablo1[#All],3,0)," ")</f>
        <v xml:space="preserve"> </v>
      </c>
      <c r="P430" s="100" t="str">
        <f>IFERROR(VLOOKUP(Tablo518[[#This Row],[HAMMADDE KODU]],Tablo1[#All],4,0)," ")</f>
        <v xml:space="preserve"> </v>
      </c>
      <c r="Q430" s="100" t="str">
        <f>IFERROR(VLOOKUP(Tablo518[[#This Row],[ÜRÜN KODU]],YMKODLARI!$A$1:$K$363,5,0)," ")</f>
        <v xml:space="preserve"> </v>
      </c>
      <c r="R430" s="100" t="str">
        <f>IFERROR(VLOOKUP(Tablo518[[#This Row],[ÜRÜN KODU]],YMKODLARI!$A$1:$K$363,6,0)," ")</f>
        <v xml:space="preserve"> </v>
      </c>
      <c r="S430" s="100" t="str">
        <f>IFERROR(Tablo518[[#This Row],[YOLLUK HARİÇ BASKI GRAMI]]/Tablo518[[#This Row],[KALIP GÖZ ADEDİ]]," ")</f>
        <v xml:space="preserve"> </v>
      </c>
      <c r="T430" s="100" t="str">
        <f t="shared" si="44"/>
        <v xml:space="preserve"> </v>
      </c>
      <c r="U430" s="100"/>
      <c r="V430" s="100" t="str">
        <f t="shared" si="43"/>
        <v xml:space="preserve"> </v>
      </c>
      <c r="W430" s="101">
        <f t="shared" si="45"/>
        <v>24</v>
      </c>
      <c r="X430" s="102">
        <f t="shared" si="46"/>
        <v>0</v>
      </c>
      <c r="Y430" s="100" t="str">
        <f t="shared" si="47"/>
        <v xml:space="preserve"> </v>
      </c>
      <c r="Z430" s="100" t="str">
        <f t="shared" si="48"/>
        <v xml:space="preserve"> </v>
      </c>
    </row>
    <row r="431" spans="1:26">
      <c r="A431" s="108"/>
      <c r="B431" s="108" t="str">
        <f>IFERROR(VLOOKUP(Tablo518[[#This Row],[ÜRÜN KODU]],YMKODLARI!$A$1:$K$363,2,0)," ")</f>
        <v xml:space="preserve"> </v>
      </c>
      <c r="C431" s="99"/>
      <c r="D431" s="100"/>
      <c r="E431" s="101"/>
      <c r="F431" s="101"/>
      <c r="G431" s="100" t="str">
        <f>IFERROR(VLOOKUP(Tablo518[[#This Row],[ÜRÜN KODU]],YMKODLARI!$A$1:$K$363,3,0)," ")</f>
        <v xml:space="preserve"> </v>
      </c>
      <c r="H431" s="100" t="str">
        <f>IFERROR(VLOOKUP(Tablo518[[#This Row],[ÜRÜN KODU]],YMKODLARI!$A$1:$K$363,4,0)," ")</f>
        <v xml:space="preserve"> </v>
      </c>
      <c r="I431" s="100"/>
      <c r="J431" s="100" t="str">
        <f>IFERROR(VLOOKUP(Tablo518[[#This Row],[ÜRÜN KODU]],YMKODLARI!$A$1:$K$363,9,0)," ")</f>
        <v xml:space="preserve"> </v>
      </c>
      <c r="K431" s="100" t="str">
        <f>IFERROR(VLOOKUP(Tablo518[[#This Row],[BOYA KODU]],Tablo14[#All],4,0)," ")</f>
        <v xml:space="preserve"> </v>
      </c>
      <c r="L431" s="100" t="str">
        <f>IFERROR(VLOOKUP(Tablo518[[#This Row],[BOYA KODU]],Tablo14[#All],6,0)," ")</f>
        <v xml:space="preserve"> </v>
      </c>
      <c r="M431" s="100" t="str">
        <f t="shared" si="42"/>
        <v xml:space="preserve"> </v>
      </c>
      <c r="N431" s="100" t="str">
        <f>IFERROR(VLOOKUP(Tablo518[[#This Row],[ÜRÜN KODU]],YMKODLARI!$A$1:$K$363,8,0)," ")</f>
        <v xml:space="preserve"> </v>
      </c>
      <c r="O431" s="100" t="str">
        <f>IFERROR(VLOOKUP(Tablo518[[#This Row],[HAMMADDE KODU]],Tablo1[#All],3,0)," ")</f>
        <v xml:space="preserve"> </v>
      </c>
      <c r="P431" s="100" t="str">
        <f>IFERROR(VLOOKUP(Tablo518[[#This Row],[HAMMADDE KODU]],Tablo1[#All],4,0)," ")</f>
        <v xml:space="preserve"> </v>
      </c>
      <c r="Q431" s="100" t="str">
        <f>IFERROR(VLOOKUP(Tablo518[[#This Row],[ÜRÜN KODU]],YMKODLARI!$A$1:$K$363,5,0)," ")</f>
        <v xml:space="preserve"> </v>
      </c>
      <c r="R431" s="100" t="str">
        <f>IFERROR(VLOOKUP(Tablo518[[#This Row],[ÜRÜN KODU]],YMKODLARI!$A$1:$K$363,6,0)," ")</f>
        <v xml:space="preserve"> </v>
      </c>
      <c r="S431" s="100" t="str">
        <f>IFERROR(Tablo518[[#This Row],[YOLLUK HARİÇ BASKI GRAMI]]/Tablo518[[#This Row],[KALIP GÖZ ADEDİ]]," ")</f>
        <v xml:space="preserve"> </v>
      </c>
      <c r="T431" s="100" t="str">
        <f t="shared" si="44"/>
        <v xml:space="preserve"> </v>
      </c>
      <c r="U431" s="100"/>
      <c r="V431" s="100" t="str">
        <f t="shared" si="43"/>
        <v xml:space="preserve"> </v>
      </c>
      <c r="W431" s="101">
        <f t="shared" si="45"/>
        <v>24</v>
      </c>
      <c r="X431" s="102">
        <f t="shared" si="46"/>
        <v>0</v>
      </c>
      <c r="Y431" s="100" t="str">
        <f t="shared" si="47"/>
        <v xml:space="preserve"> </v>
      </c>
      <c r="Z431" s="100" t="str">
        <f t="shared" si="48"/>
        <v xml:space="preserve"> </v>
      </c>
    </row>
    <row r="432" spans="1:26">
      <c r="A432" s="108"/>
      <c r="B432" s="108" t="str">
        <f>IFERROR(VLOOKUP(Tablo518[[#This Row],[ÜRÜN KODU]],YMKODLARI!$A$1:$K$363,2,0)," ")</f>
        <v xml:space="preserve"> </v>
      </c>
      <c r="C432" s="99"/>
      <c r="D432" s="100"/>
      <c r="E432" s="101"/>
      <c r="F432" s="101"/>
      <c r="G432" s="100" t="str">
        <f>IFERROR(VLOOKUP(Tablo518[[#This Row],[ÜRÜN KODU]],YMKODLARI!$A$1:$K$363,3,0)," ")</f>
        <v xml:space="preserve"> </v>
      </c>
      <c r="H432" s="100" t="str">
        <f>IFERROR(VLOOKUP(Tablo518[[#This Row],[ÜRÜN KODU]],YMKODLARI!$A$1:$K$363,4,0)," ")</f>
        <v xml:space="preserve"> </v>
      </c>
      <c r="I432" s="100"/>
      <c r="J432" s="100" t="str">
        <f>IFERROR(VLOOKUP(Tablo518[[#This Row],[ÜRÜN KODU]],YMKODLARI!$A$1:$K$363,9,0)," ")</f>
        <v xml:space="preserve"> </v>
      </c>
      <c r="K432" s="100" t="str">
        <f>IFERROR(VLOOKUP(Tablo518[[#This Row],[BOYA KODU]],Tablo14[#All],4,0)," ")</f>
        <v xml:space="preserve"> </v>
      </c>
      <c r="L432" s="100" t="str">
        <f>IFERROR(VLOOKUP(Tablo518[[#This Row],[BOYA KODU]],Tablo14[#All],6,0)," ")</f>
        <v xml:space="preserve"> </v>
      </c>
      <c r="M432" s="100" t="str">
        <f t="shared" si="42"/>
        <v xml:space="preserve"> </v>
      </c>
      <c r="N432" s="100" t="str">
        <f>IFERROR(VLOOKUP(Tablo518[[#This Row],[ÜRÜN KODU]],YMKODLARI!$A$1:$K$363,8,0)," ")</f>
        <v xml:space="preserve"> </v>
      </c>
      <c r="O432" s="100" t="str">
        <f>IFERROR(VLOOKUP(Tablo518[[#This Row],[HAMMADDE KODU]],Tablo1[#All],3,0)," ")</f>
        <v xml:space="preserve"> </v>
      </c>
      <c r="P432" s="100" t="str">
        <f>IFERROR(VLOOKUP(Tablo518[[#This Row],[HAMMADDE KODU]],Tablo1[#All],4,0)," ")</f>
        <v xml:space="preserve"> </v>
      </c>
      <c r="Q432" s="100" t="str">
        <f>IFERROR(VLOOKUP(Tablo518[[#This Row],[ÜRÜN KODU]],YMKODLARI!$A$1:$K$363,5,0)," ")</f>
        <v xml:space="preserve"> </v>
      </c>
      <c r="R432" s="100" t="str">
        <f>IFERROR(VLOOKUP(Tablo518[[#This Row],[ÜRÜN KODU]],YMKODLARI!$A$1:$K$363,6,0)," ")</f>
        <v xml:space="preserve"> </v>
      </c>
      <c r="S432" s="100" t="str">
        <f>IFERROR(Tablo518[[#This Row],[YOLLUK HARİÇ BASKI GRAMI]]/Tablo518[[#This Row],[KALIP GÖZ ADEDİ]]," ")</f>
        <v xml:space="preserve"> </v>
      </c>
      <c r="T432" s="100" t="str">
        <f t="shared" si="44"/>
        <v xml:space="preserve"> </v>
      </c>
      <c r="U432" s="100"/>
      <c r="V432" s="100" t="str">
        <f t="shared" si="43"/>
        <v xml:space="preserve"> </v>
      </c>
      <c r="W432" s="101">
        <f t="shared" si="45"/>
        <v>24</v>
      </c>
      <c r="X432" s="102">
        <f t="shared" si="46"/>
        <v>0</v>
      </c>
      <c r="Y432" s="100" t="str">
        <f t="shared" si="47"/>
        <v xml:space="preserve"> </v>
      </c>
      <c r="Z432" s="100" t="str">
        <f t="shared" si="48"/>
        <v xml:space="preserve"> </v>
      </c>
    </row>
    <row r="433" spans="1:26">
      <c r="A433" s="108"/>
      <c r="B433" s="108" t="str">
        <f>IFERROR(VLOOKUP(Tablo518[[#This Row],[ÜRÜN KODU]],YMKODLARI!$A$1:$K$363,2,0)," ")</f>
        <v xml:space="preserve"> </v>
      </c>
      <c r="C433" s="99"/>
      <c r="D433" s="100"/>
      <c r="E433" s="101"/>
      <c r="F433" s="101"/>
      <c r="G433" s="100" t="str">
        <f>IFERROR(VLOOKUP(Tablo518[[#This Row],[ÜRÜN KODU]],YMKODLARI!$A$1:$K$363,3,0)," ")</f>
        <v xml:space="preserve"> </v>
      </c>
      <c r="H433" s="100" t="str">
        <f>IFERROR(VLOOKUP(Tablo518[[#This Row],[ÜRÜN KODU]],YMKODLARI!$A$1:$K$363,4,0)," ")</f>
        <v xml:space="preserve"> </v>
      </c>
      <c r="I433" s="100"/>
      <c r="J433" s="100" t="str">
        <f>IFERROR(VLOOKUP(Tablo518[[#This Row],[ÜRÜN KODU]],YMKODLARI!$A$1:$K$363,9,0)," ")</f>
        <v xml:space="preserve"> </v>
      </c>
      <c r="K433" s="100" t="str">
        <f>IFERROR(VLOOKUP(Tablo518[[#This Row],[BOYA KODU]],Tablo14[#All],4,0)," ")</f>
        <v xml:space="preserve"> </v>
      </c>
      <c r="L433" s="100" t="str">
        <f>IFERROR(VLOOKUP(Tablo518[[#This Row],[BOYA KODU]],Tablo14[#All],6,0)," ")</f>
        <v xml:space="preserve"> </v>
      </c>
      <c r="M433" s="100" t="str">
        <f t="shared" si="42"/>
        <v xml:space="preserve"> </v>
      </c>
      <c r="N433" s="100" t="str">
        <f>IFERROR(VLOOKUP(Tablo518[[#This Row],[ÜRÜN KODU]],YMKODLARI!$A$1:$K$363,8,0)," ")</f>
        <v xml:space="preserve"> </v>
      </c>
      <c r="O433" s="100" t="str">
        <f>IFERROR(VLOOKUP(Tablo518[[#This Row],[HAMMADDE KODU]],Tablo1[#All],3,0)," ")</f>
        <v xml:space="preserve"> </v>
      </c>
      <c r="P433" s="100" t="str">
        <f>IFERROR(VLOOKUP(Tablo518[[#This Row],[HAMMADDE KODU]],Tablo1[#All],4,0)," ")</f>
        <v xml:space="preserve"> </v>
      </c>
      <c r="Q433" s="100" t="str">
        <f>IFERROR(VLOOKUP(Tablo518[[#This Row],[ÜRÜN KODU]],YMKODLARI!$A$1:$K$363,5,0)," ")</f>
        <v xml:space="preserve"> </v>
      </c>
      <c r="R433" s="100" t="str">
        <f>IFERROR(VLOOKUP(Tablo518[[#This Row],[ÜRÜN KODU]],YMKODLARI!$A$1:$K$363,6,0)," ")</f>
        <v xml:space="preserve"> </v>
      </c>
      <c r="S433" s="100" t="str">
        <f>IFERROR(Tablo518[[#This Row],[YOLLUK HARİÇ BASKI GRAMI]]/Tablo518[[#This Row],[KALIP GÖZ ADEDİ]]," ")</f>
        <v xml:space="preserve"> </v>
      </c>
      <c r="T433" s="100" t="str">
        <f t="shared" si="44"/>
        <v xml:space="preserve"> </v>
      </c>
      <c r="U433" s="100"/>
      <c r="V433" s="100" t="str">
        <f t="shared" si="43"/>
        <v xml:space="preserve"> </v>
      </c>
      <c r="W433" s="101">
        <f t="shared" si="45"/>
        <v>24</v>
      </c>
      <c r="X433" s="102">
        <f t="shared" si="46"/>
        <v>0</v>
      </c>
      <c r="Y433" s="100" t="str">
        <f t="shared" si="47"/>
        <v xml:space="preserve"> </v>
      </c>
      <c r="Z433" s="100" t="str">
        <f t="shared" si="48"/>
        <v xml:space="preserve"> </v>
      </c>
    </row>
    <row r="434" spans="1:26">
      <c r="A434" s="108"/>
      <c r="B434" s="108" t="str">
        <f>IFERROR(VLOOKUP(Tablo518[[#This Row],[ÜRÜN KODU]],YMKODLARI!$A$1:$K$363,2,0)," ")</f>
        <v xml:space="preserve"> </v>
      </c>
      <c r="C434" s="99"/>
      <c r="D434" s="100"/>
      <c r="E434" s="101"/>
      <c r="F434" s="101"/>
      <c r="G434" s="100" t="str">
        <f>IFERROR(VLOOKUP(Tablo518[[#This Row],[ÜRÜN KODU]],YMKODLARI!$A$1:$K$363,3,0)," ")</f>
        <v xml:space="preserve"> </v>
      </c>
      <c r="H434" s="100" t="str">
        <f>IFERROR(VLOOKUP(Tablo518[[#This Row],[ÜRÜN KODU]],YMKODLARI!$A$1:$K$363,4,0)," ")</f>
        <v xml:space="preserve"> </v>
      </c>
      <c r="I434" s="100"/>
      <c r="J434" s="100" t="str">
        <f>IFERROR(VLOOKUP(Tablo518[[#This Row],[ÜRÜN KODU]],YMKODLARI!$A$1:$K$363,9,0)," ")</f>
        <v xml:space="preserve"> </v>
      </c>
      <c r="K434" s="100" t="str">
        <f>IFERROR(VLOOKUP(Tablo518[[#This Row],[BOYA KODU]],Tablo14[#All],4,0)," ")</f>
        <v xml:space="preserve"> </v>
      </c>
      <c r="L434" s="100" t="str">
        <f>IFERROR(VLOOKUP(Tablo518[[#This Row],[BOYA KODU]],Tablo14[#All],6,0)," ")</f>
        <v xml:space="preserve"> </v>
      </c>
      <c r="M434" s="100" t="str">
        <f t="shared" si="42"/>
        <v xml:space="preserve"> </v>
      </c>
      <c r="N434" s="100" t="str">
        <f>IFERROR(VLOOKUP(Tablo518[[#This Row],[ÜRÜN KODU]],YMKODLARI!$A$1:$K$363,8,0)," ")</f>
        <v xml:space="preserve"> </v>
      </c>
      <c r="O434" s="100" t="str">
        <f>IFERROR(VLOOKUP(Tablo518[[#This Row],[HAMMADDE KODU]],Tablo1[#All],3,0)," ")</f>
        <v xml:space="preserve"> </v>
      </c>
      <c r="P434" s="100" t="str">
        <f>IFERROR(VLOOKUP(Tablo518[[#This Row],[HAMMADDE KODU]],Tablo1[#All],4,0)," ")</f>
        <v xml:space="preserve"> </v>
      </c>
      <c r="Q434" s="100" t="str">
        <f>IFERROR(VLOOKUP(Tablo518[[#This Row],[ÜRÜN KODU]],YMKODLARI!$A$1:$K$363,5,0)," ")</f>
        <v xml:space="preserve"> </v>
      </c>
      <c r="R434" s="100" t="str">
        <f>IFERROR(VLOOKUP(Tablo518[[#This Row],[ÜRÜN KODU]],YMKODLARI!$A$1:$K$363,6,0)," ")</f>
        <v xml:space="preserve"> </v>
      </c>
      <c r="S434" s="100" t="str">
        <f>IFERROR(Tablo518[[#This Row],[YOLLUK HARİÇ BASKI GRAMI]]/Tablo518[[#This Row],[KALIP GÖZ ADEDİ]]," ")</f>
        <v xml:space="preserve"> </v>
      </c>
      <c r="T434" s="100" t="str">
        <f t="shared" si="44"/>
        <v xml:space="preserve"> </v>
      </c>
      <c r="U434" s="100"/>
      <c r="V434" s="100" t="str">
        <f t="shared" si="43"/>
        <v xml:space="preserve"> </v>
      </c>
      <c r="W434" s="101">
        <f t="shared" si="45"/>
        <v>24</v>
      </c>
      <c r="X434" s="102">
        <f t="shared" si="46"/>
        <v>0</v>
      </c>
      <c r="Y434" s="100" t="str">
        <f t="shared" si="47"/>
        <v xml:space="preserve"> </v>
      </c>
      <c r="Z434" s="100" t="str">
        <f t="shared" si="48"/>
        <v xml:space="preserve"> </v>
      </c>
    </row>
    <row r="435" spans="1:26">
      <c r="A435" s="108"/>
      <c r="B435" s="108" t="str">
        <f>IFERROR(VLOOKUP(Tablo518[[#This Row],[ÜRÜN KODU]],YMKODLARI!$A$1:$K$363,2,0)," ")</f>
        <v xml:space="preserve"> </v>
      </c>
      <c r="C435" s="99"/>
      <c r="D435" s="100"/>
      <c r="E435" s="101"/>
      <c r="F435" s="101"/>
      <c r="G435" s="100" t="str">
        <f>IFERROR(VLOOKUP(Tablo518[[#This Row],[ÜRÜN KODU]],YMKODLARI!$A$1:$K$363,3,0)," ")</f>
        <v xml:space="preserve"> </v>
      </c>
      <c r="H435" s="100" t="str">
        <f>IFERROR(VLOOKUP(Tablo518[[#This Row],[ÜRÜN KODU]],YMKODLARI!$A$1:$K$363,4,0)," ")</f>
        <v xml:space="preserve"> </v>
      </c>
      <c r="I435" s="100"/>
      <c r="J435" s="100" t="str">
        <f>IFERROR(VLOOKUP(Tablo518[[#This Row],[ÜRÜN KODU]],YMKODLARI!$A$1:$K$363,9,0)," ")</f>
        <v xml:space="preserve"> </v>
      </c>
      <c r="K435" s="100" t="str">
        <f>IFERROR(VLOOKUP(Tablo518[[#This Row],[BOYA KODU]],Tablo14[#All],4,0)," ")</f>
        <v xml:space="preserve"> </v>
      </c>
      <c r="L435" s="100" t="str">
        <f>IFERROR(VLOOKUP(Tablo518[[#This Row],[BOYA KODU]],Tablo14[#All],6,0)," ")</f>
        <v xml:space="preserve"> </v>
      </c>
      <c r="M435" s="100" t="str">
        <f t="shared" si="42"/>
        <v xml:space="preserve"> </v>
      </c>
      <c r="N435" s="100" t="str">
        <f>IFERROR(VLOOKUP(Tablo518[[#This Row],[ÜRÜN KODU]],YMKODLARI!$A$1:$K$363,8,0)," ")</f>
        <v xml:space="preserve"> </v>
      </c>
      <c r="O435" s="100" t="str">
        <f>IFERROR(VLOOKUP(Tablo518[[#This Row],[HAMMADDE KODU]],Tablo1[#All],3,0)," ")</f>
        <v xml:space="preserve"> </v>
      </c>
      <c r="P435" s="100" t="str">
        <f>IFERROR(VLOOKUP(Tablo518[[#This Row],[HAMMADDE KODU]],Tablo1[#All],4,0)," ")</f>
        <v xml:space="preserve"> </v>
      </c>
      <c r="Q435" s="100" t="str">
        <f>IFERROR(VLOOKUP(Tablo518[[#This Row],[ÜRÜN KODU]],YMKODLARI!$A$1:$K$363,5,0)," ")</f>
        <v xml:space="preserve"> </v>
      </c>
      <c r="R435" s="100" t="str">
        <f>IFERROR(VLOOKUP(Tablo518[[#This Row],[ÜRÜN KODU]],YMKODLARI!$A$1:$K$363,6,0)," ")</f>
        <v xml:space="preserve"> </v>
      </c>
      <c r="S435" s="100" t="str">
        <f>IFERROR(Tablo518[[#This Row],[YOLLUK HARİÇ BASKI GRAMI]]/Tablo518[[#This Row],[KALIP GÖZ ADEDİ]]," ")</f>
        <v xml:space="preserve"> </v>
      </c>
      <c r="T435" s="100" t="str">
        <f t="shared" si="44"/>
        <v xml:space="preserve"> </v>
      </c>
      <c r="U435" s="100"/>
      <c r="V435" s="100" t="str">
        <f t="shared" si="43"/>
        <v xml:space="preserve"> </v>
      </c>
      <c r="W435" s="101">
        <f t="shared" si="45"/>
        <v>24</v>
      </c>
      <c r="X435" s="102">
        <f t="shared" si="46"/>
        <v>0</v>
      </c>
      <c r="Y435" s="100" t="str">
        <f t="shared" si="47"/>
        <v xml:space="preserve"> </v>
      </c>
      <c r="Z435" s="100" t="str">
        <f t="shared" si="48"/>
        <v xml:space="preserve"> </v>
      </c>
    </row>
    <row r="436" spans="1:26">
      <c r="A436" s="108"/>
      <c r="B436" s="108" t="str">
        <f>IFERROR(VLOOKUP(Tablo518[[#This Row],[ÜRÜN KODU]],YMKODLARI!$A$1:$K$363,2,0)," ")</f>
        <v xml:space="preserve"> </v>
      </c>
      <c r="C436" s="99"/>
      <c r="D436" s="100"/>
      <c r="E436" s="101"/>
      <c r="F436" s="101"/>
      <c r="G436" s="100" t="str">
        <f>IFERROR(VLOOKUP(Tablo518[[#This Row],[ÜRÜN KODU]],YMKODLARI!$A$1:$K$363,3,0)," ")</f>
        <v xml:space="preserve"> </v>
      </c>
      <c r="H436" s="100" t="str">
        <f>IFERROR(VLOOKUP(Tablo518[[#This Row],[ÜRÜN KODU]],YMKODLARI!$A$1:$K$363,4,0)," ")</f>
        <v xml:space="preserve"> </v>
      </c>
      <c r="I436" s="100"/>
      <c r="J436" s="100" t="str">
        <f>IFERROR(VLOOKUP(Tablo518[[#This Row],[ÜRÜN KODU]],YMKODLARI!$A$1:$K$363,9,0)," ")</f>
        <v xml:space="preserve"> </v>
      </c>
      <c r="K436" s="100" t="str">
        <f>IFERROR(VLOOKUP(Tablo518[[#This Row],[BOYA KODU]],Tablo14[#All],4,0)," ")</f>
        <v xml:space="preserve"> </v>
      </c>
      <c r="L436" s="100" t="str">
        <f>IFERROR(VLOOKUP(Tablo518[[#This Row],[BOYA KODU]],Tablo14[#All],6,0)," ")</f>
        <v xml:space="preserve"> </v>
      </c>
      <c r="M436" s="100" t="str">
        <f t="shared" si="42"/>
        <v xml:space="preserve"> </v>
      </c>
      <c r="N436" s="100" t="str">
        <f>IFERROR(VLOOKUP(Tablo518[[#This Row],[ÜRÜN KODU]],YMKODLARI!$A$1:$K$363,8,0)," ")</f>
        <v xml:space="preserve"> </v>
      </c>
      <c r="O436" s="100" t="str">
        <f>IFERROR(VLOOKUP(Tablo518[[#This Row],[HAMMADDE KODU]],Tablo1[#All],3,0)," ")</f>
        <v xml:space="preserve"> </v>
      </c>
      <c r="P436" s="100" t="str">
        <f>IFERROR(VLOOKUP(Tablo518[[#This Row],[HAMMADDE KODU]],Tablo1[#All],4,0)," ")</f>
        <v xml:space="preserve"> </v>
      </c>
      <c r="Q436" s="100" t="str">
        <f>IFERROR(VLOOKUP(Tablo518[[#This Row],[ÜRÜN KODU]],YMKODLARI!$A$1:$K$363,5,0)," ")</f>
        <v xml:space="preserve"> </v>
      </c>
      <c r="R436" s="100" t="str">
        <f>IFERROR(VLOOKUP(Tablo518[[#This Row],[ÜRÜN KODU]],YMKODLARI!$A$1:$K$363,6,0)," ")</f>
        <v xml:space="preserve"> </v>
      </c>
      <c r="S436" s="100" t="str">
        <f>IFERROR(Tablo518[[#This Row],[YOLLUK HARİÇ BASKI GRAMI]]/Tablo518[[#This Row],[KALIP GÖZ ADEDİ]]," ")</f>
        <v xml:space="preserve"> </v>
      </c>
      <c r="T436" s="100" t="str">
        <f t="shared" si="44"/>
        <v xml:space="preserve"> </v>
      </c>
      <c r="U436" s="100"/>
      <c r="V436" s="100" t="str">
        <f t="shared" si="43"/>
        <v xml:space="preserve"> </v>
      </c>
      <c r="W436" s="101">
        <f t="shared" si="45"/>
        <v>24</v>
      </c>
      <c r="X436" s="102">
        <f t="shared" si="46"/>
        <v>0</v>
      </c>
      <c r="Y436" s="100" t="str">
        <f t="shared" si="47"/>
        <v xml:space="preserve"> </v>
      </c>
      <c r="Z436" s="100" t="str">
        <f t="shared" si="48"/>
        <v xml:space="preserve"> </v>
      </c>
    </row>
    <row r="437" spans="1:26">
      <c r="A437" s="108"/>
      <c r="B437" s="108" t="str">
        <f>IFERROR(VLOOKUP(Tablo518[[#This Row],[ÜRÜN KODU]],YMKODLARI!$A$1:$K$363,2,0)," ")</f>
        <v xml:space="preserve"> </v>
      </c>
      <c r="C437" s="99"/>
      <c r="D437" s="100"/>
      <c r="E437" s="101"/>
      <c r="F437" s="101"/>
      <c r="G437" s="100" t="str">
        <f>IFERROR(VLOOKUP(Tablo518[[#This Row],[ÜRÜN KODU]],YMKODLARI!$A$1:$K$363,3,0)," ")</f>
        <v xml:space="preserve"> </v>
      </c>
      <c r="H437" s="100" t="str">
        <f>IFERROR(VLOOKUP(Tablo518[[#This Row],[ÜRÜN KODU]],YMKODLARI!$A$1:$K$363,4,0)," ")</f>
        <v xml:space="preserve"> </v>
      </c>
      <c r="I437" s="100"/>
      <c r="J437" s="100" t="str">
        <f>IFERROR(VLOOKUP(Tablo518[[#This Row],[ÜRÜN KODU]],YMKODLARI!$A$1:$K$363,9,0)," ")</f>
        <v xml:space="preserve"> </v>
      </c>
      <c r="K437" s="100" t="str">
        <f>IFERROR(VLOOKUP(Tablo518[[#This Row],[BOYA KODU]],Tablo14[#All],4,0)," ")</f>
        <v xml:space="preserve"> </v>
      </c>
      <c r="L437" s="100" t="str">
        <f>IFERROR(VLOOKUP(Tablo518[[#This Row],[BOYA KODU]],Tablo14[#All],6,0)," ")</f>
        <v xml:space="preserve"> </v>
      </c>
      <c r="M437" s="100" t="str">
        <f t="shared" si="42"/>
        <v xml:space="preserve"> </v>
      </c>
      <c r="N437" s="100" t="str">
        <f>IFERROR(VLOOKUP(Tablo518[[#This Row],[ÜRÜN KODU]],YMKODLARI!$A$1:$K$363,8,0)," ")</f>
        <v xml:space="preserve"> </v>
      </c>
      <c r="O437" s="100" t="str">
        <f>IFERROR(VLOOKUP(Tablo518[[#This Row],[HAMMADDE KODU]],Tablo1[#All],3,0)," ")</f>
        <v xml:space="preserve"> </v>
      </c>
      <c r="P437" s="100" t="str">
        <f>IFERROR(VLOOKUP(Tablo518[[#This Row],[HAMMADDE KODU]],Tablo1[#All],4,0)," ")</f>
        <v xml:space="preserve"> </v>
      </c>
      <c r="Q437" s="100" t="str">
        <f>IFERROR(VLOOKUP(Tablo518[[#This Row],[ÜRÜN KODU]],YMKODLARI!$A$1:$K$363,5,0)," ")</f>
        <v xml:space="preserve"> </v>
      </c>
      <c r="R437" s="100" t="str">
        <f>IFERROR(VLOOKUP(Tablo518[[#This Row],[ÜRÜN KODU]],YMKODLARI!$A$1:$K$363,6,0)," ")</f>
        <v xml:space="preserve"> </v>
      </c>
      <c r="S437" s="100" t="str">
        <f>IFERROR(Tablo518[[#This Row],[YOLLUK HARİÇ BASKI GRAMI]]/Tablo518[[#This Row],[KALIP GÖZ ADEDİ]]," ")</f>
        <v xml:space="preserve"> </v>
      </c>
      <c r="T437" s="100" t="str">
        <f t="shared" si="44"/>
        <v xml:space="preserve"> </v>
      </c>
      <c r="U437" s="100"/>
      <c r="V437" s="100" t="str">
        <f t="shared" si="43"/>
        <v xml:space="preserve"> </v>
      </c>
      <c r="W437" s="101">
        <f t="shared" si="45"/>
        <v>24</v>
      </c>
      <c r="X437" s="102">
        <f t="shared" si="46"/>
        <v>0</v>
      </c>
      <c r="Y437" s="100" t="str">
        <f t="shared" si="47"/>
        <v xml:space="preserve"> </v>
      </c>
      <c r="Z437" s="100" t="str">
        <f t="shared" si="48"/>
        <v xml:space="preserve"> </v>
      </c>
    </row>
    <row r="438" spans="1:26">
      <c r="A438" s="108"/>
      <c r="B438" s="108" t="str">
        <f>IFERROR(VLOOKUP(Tablo518[[#This Row],[ÜRÜN KODU]],YMKODLARI!$A$1:$K$363,2,0)," ")</f>
        <v xml:space="preserve"> </v>
      </c>
      <c r="C438" s="99"/>
      <c r="D438" s="100"/>
      <c r="E438" s="101"/>
      <c r="F438" s="101"/>
      <c r="G438" s="100" t="str">
        <f>IFERROR(VLOOKUP(Tablo518[[#This Row],[ÜRÜN KODU]],YMKODLARI!$A$1:$K$363,3,0)," ")</f>
        <v xml:space="preserve"> </v>
      </c>
      <c r="H438" s="100" t="str">
        <f>IFERROR(VLOOKUP(Tablo518[[#This Row],[ÜRÜN KODU]],YMKODLARI!$A$1:$K$363,4,0)," ")</f>
        <v xml:space="preserve"> </v>
      </c>
      <c r="I438" s="100"/>
      <c r="J438" s="100" t="str">
        <f>IFERROR(VLOOKUP(Tablo518[[#This Row],[ÜRÜN KODU]],YMKODLARI!$A$1:$K$363,9,0)," ")</f>
        <v xml:space="preserve"> </v>
      </c>
      <c r="K438" s="100" t="str">
        <f>IFERROR(VLOOKUP(Tablo518[[#This Row],[BOYA KODU]],Tablo14[#All],4,0)," ")</f>
        <v xml:space="preserve"> </v>
      </c>
      <c r="L438" s="100" t="str">
        <f>IFERROR(VLOOKUP(Tablo518[[#This Row],[BOYA KODU]],Tablo14[#All],6,0)," ")</f>
        <v xml:space="preserve"> </v>
      </c>
      <c r="M438" s="100" t="str">
        <f t="shared" si="42"/>
        <v xml:space="preserve"> </v>
      </c>
      <c r="N438" s="100" t="str">
        <f>IFERROR(VLOOKUP(Tablo518[[#This Row],[ÜRÜN KODU]],YMKODLARI!$A$1:$K$363,8,0)," ")</f>
        <v xml:space="preserve"> </v>
      </c>
      <c r="O438" s="100" t="str">
        <f>IFERROR(VLOOKUP(Tablo518[[#This Row],[HAMMADDE KODU]],Tablo1[#All],3,0)," ")</f>
        <v xml:space="preserve"> </v>
      </c>
      <c r="P438" s="100" t="str">
        <f>IFERROR(VLOOKUP(Tablo518[[#This Row],[HAMMADDE KODU]],Tablo1[#All],4,0)," ")</f>
        <v xml:space="preserve"> </v>
      </c>
      <c r="Q438" s="100" t="str">
        <f>IFERROR(VLOOKUP(Tablo518[[#This Row],[ÜRÜN KODU]],YMKODLARI!$A$1:$K$363,5,0)," ")</f>
        <v xml:space="preserve"> </v>
      </c>
      <c r="R438" s="100" t="str">
        <f>IFERROR(VLOOKUP(Tablo518[[#This Row],[ÜRÜN KODU]],YMKODLARI!$A$1:$K$363,6,0)," ")</f>
        <v xml:space="preserve"> </v>
      </c>
      <c r="S438" s="100" t="str">
        <f>IFERROR(Tablo518[[#This Row],[YOLLUK HARİÇ BASKI GRAMI]]/Tablo518[[#This Row],[KALIP GÖZ ADEDİ]]," ")</f>
        <v xml:space="preserve"> </v>
      </c>
      <c r="T438" s="100" t="str">
        <f t="shared" si="44"/>
        <v xml:space="preserve"> </v>
      </c>
      <c r="U438" s="100"/>
      <c r="V438" s="100" t="str">
        <f t="shared" si="43"/>
        <v xml:space="preserve"> </v>
      </c>
      <c r="W438" s="101">
        <f t="shared" si="45"/>
        <v>24</v>
      </c>
      <c r="X438" s="102">
        <f t="shared" si="46"/>
        <v>0</v>
      </c>
      <c r="Y438" s="100" t="str">
        <f t="shared" si="47"/>
        <v xml:space="preserve"> </v>
      </c>
      <c r="Z438" s="100" t="str">
        <f t="shared" si="48"/>
        <v xml:space="preserve"> </v>
      </c>
    </row>
    <row r="439" spans="1:26">
      <c r="A439" s="108"/>
      <c r="B439" s="108" t="str">
        <f>IFERROR(VLOOKUP(Tablo518[[#This Row],[ÜRÜN KODU]],YMKODLARI!$A$1:$K$363,2,0)," ")</f>
        <v xml:space="preserve"> </v>
      </c>
      <c r="C439" s="99"/>
      <c r="D439" s="100"/>
      <c r="E439" s="101"/>
      <c r="F439" s="101"/>
      <c r="G439" s="100" t="str">
        <f>IFERROR(VLOOKUP(Tablo518[[#This Row],[ÜRÜN KODU]],YMKODLARI!$A$1:$K$363,3,0)," ")</f>
        <v xml:space="preserve"> </v>
      </c>
      <c r="H439" s="100" t="str">
        <f>IFERROR(VLOOKUP(Tablo518[[#This Row],[ÜRÜN KODU]],YMKODLARI!$A$1:$K$363,4,0)," ")</f>
        <v xml:space="preserve"> </v>
      </c>
      <c r="I439" s="100"/>
      <c r="J439" s="100" t="str">
        <f>IFERROR(VLOOKUP(Tablo518[[#This Row],[ÜRÜN KODU]],YMKODLARI!$A$1:$K$363,9,0)," ")</f>
        <v xml:space="preserve"> </v>
      </c>
      <c r="K439" s="100" t="str">
        <f>IFERROR(VLOOKUP(Tablo518[[#This Row],[BOYA KODU]],Tablo14[#All],4,0)," ")</f>
        <v xml:space="preserve"> </v>
      </c>
      <c r="L439" s="100" t="str">
        <f>IFERROR(VLOOKUP(Tablo518[[#This Row],[BOYA KODU]],Tablo14[#All],6,0)," ")</f>
        <v xml:space="preserve"> </v>
      </c>
      <c r="M439" s="100" t="str">
        <f t="shared" si="42"/>
        <v xml:space="preserve"> </v>
      </c>
      <c r="N439" s="100" t="str">
        <f>IFERROR(VLOOKUP(Tablo518[[#This Row],[ÜRÜN KODU]],YMKODLARI!$A$1:$K$363,8,0)," ")</f>
        <v xml:space="preserve"> </v>
      </c>
      <c r="O439" s="100" t="str">
        <f>IFERROR(VLOOKUP(Tablo518[[#This Row],[HAMMADDE KODU]],Tablo1[#All],3,0)," ")</f>
        <v xml:space="preserve"> </v>
      </c>
      <c r="P439" s="100" t="str">
        <f>IFERROR(VLOOKUP(Tablo518[[#This Row],[HAMMADDE KODU]],Tablo1[#All],4,0)," ")</f>
        <v xml:space="preserve"> </v>
      </c>
      <c r="Q439" s="100" t="str">
        <f>IFERROR(VLOOKUP(Tablo518[[#This Row],[ÜRÜN KODU]],YMKODLARI!$A$1:$K$363,5,0)," ")</f>
        <v xml:space="preserve"> </v>
      </c>
      <c r="R439" s="100" t="str">
        <f>IFERROR(VLOOKUP(Tablo518[[#This Row],[ÜRÜN KODU]],YMKODLARI!$A$1:$K$363,6,0)," ")</f>
        <v xml:space="preserve"> </v>
      </c>
      <c r="S439" s="100" t="str">
        <f>IFERROR(Tablo518[[#This Row],[YOLLUK HARİÇ BASKI GRAMI]]/Tablo518[[#This Row],[KALIP GÖZ ADEDİ]]," ")</f>
        <v xml:space="preserve"> </v>
      </c>
      <c r="T439" s="100" t="str">
        <f t="shared" si="44"/>
        <v xml:space="preserve"> </v>
      </c>
      <c r="U439" s="100"/>
      <c r="V439" s="100" t="str">
        <f t="shared" si="43"/>
        <v xml:space="preserve"> </v>
      </c>
      <c r="W439" s="101">
        <f t="shared" si="45"/>
        <v>24</v>
      </c>
      <c r="X439" s="102">
        <f t="shared" si="46"/>
        <v>0</v>
      </c>
      <c r="Y439" s="100" t="str">
        <f t="shared" si="47"/>
        <v xml:space="preserve"> </v>
      </c>
      <c r="Z439" s="100" t="str">
        <f t="shared" si="48"/>
        <v xml:space="preserve"> </v>
      </c>
    </row>
    <row r="440" spans="1:26">
      <c r="A440" s="108"/>
      <c r="B440" s="108" t="str">
        <f>IFERROR(VLOOKUP(Tablo518[[#This Row],[ÜRÜN KODU]],YMKODLARI!$A$1:$K$363,2,0)," ")</f>
        <v xml:space="preserve"> </v>
      </c>
      <c r="C440" s="99"/>
      <c r="D440" s="100"/>
      <c r="E440" s="101"/>
      <c r="F440" s="101"/>
      <c r="G440" s="100" t="str">
        <f>IFERROR(VLOOKUP(Tablo518[[#This Row],[ÜRÜN KODU]],YMKODLARI!$A$1:$K$363,3,0)," ")</f>
        <v xml:space="preserve"> </v>
      </c>
      <c r="H440" s="100" t="str">
        <f>IFERROR(VLOOKUP(Tablo518[[#This Row],[ÜRÜN KODU]],YMKODLARI!$A$1:$K$363,4,0)," ")</f>
        <v xml:space="preserve"> </v>
      </c>
      <c r="I440" s="100"/>
      <c r="J440" s="100" t="str">
        <f>IFERROR(VLOOKUP(Tablo518[[#This Row],[ÜRÜN KODU]],YMKODLARI!$A$1:$K$363,9,0)," ")</f>
        <v xml:space="preserve"> </v>
      </c>
      <c r="K440" s="100" t="str">
        <f>IFERROR(VLOOKUP(Tablo518[[#This Row],[BOYA KODU]],Tablo14[#All],4,0)," ")</f>
        <v xml:space="preserve"> </v>
      </c>
      <c r="L440" s="100" t="str">
        <f>IFERROR(VLOOKUP(Tablo518[[#This Row],[BOYA KODU]],Tablo14[#All],6,0)," ")</f>
        <v xml:space="preserve"> </v>
      </c>
      <c r="M440" s="100" t="str">
        <f t="shared" si="42"/>
        <v xml:space="preserve"> </v>
      </c>
      <c r="N440" s="100" t="str">
        <f>IFERROR(VLOOKUP(Tablo518[[#This Row],[ÜRÜN KODU]],YMKODLARI!$A$1:$K$363,8,0)," ")</f>
        <v xml:space="preserve"> </v>
      </c>
      <c r="O440" s="100" t="str">
        <f>IFERROR(VLOOKUP(Tablo518[[#This Row],[HAMMADDE KODU]],Tablo1[#All],3,0)," ")</f>
        <v xml:space="preserve"> </v>
      </c>
      <c r="P440" s="100" t="str">
        <f>IFERROR(VLOOKUP(Tablo518[[#This Row],[HAMMADDE KODU]],Tablo1[#All],4,0)," ")</f>
        <v xml:space="preserve"> </v>
      </c>
      <c r="Q440" s="100" t="str">
        <f>IFERROR(VLOOKUP(Tablo518[[#This Row],[ÜRÜN KODU]],YMKODLARI!$A$1:$K$363,5,0)," ")</f>
        <v xml:space="preserve"> </v>
      </c>
      <c r="R440" s="100" t="str">
        <f>IFERROR(VLOOKUP(Tablo518[[#This Row],[ÜRÜN KODU]],YMKODLARI!$A$1:$K$363,6,0)," ")</f>
        <v xml:space="preserve"> </v>
      </c>
      <c r="S440" s="100" t="str">
        <f>IFERROR(Tablo518[[#This Row],[YOLLUK HARİÇ BASKI GRAMI]]/Tablo518[[#This Row],[KALIP GÖZ ADEDİ]]," ")</f>
        <v xml:space="preserve"> </v>
      </c>
      <c r="T440" s="100" t="str">
        <f t="shared" si="44"/>
        <v xml:space="preserve"> </v>
      </c>
      <c r="U440" s="100"/>
      <c r="V440" s="100" t="str">
        <f t="shared" si="43"/>
        <v xml:space="preserve"> </v>
      </c>
      <c r="W440" s="101">
        <f t="shared" si="45"/>
        <v>24</v>
      </c>
      <c r="X440" s="102">
        <f t="shared" si="46"/>
        <v>0</v>
      </c>
      <c r="Y440" s="100" t="str">
        <f t="shared" si="47"/>
        <v xml:space="preserve"> </v>
      </c>
      <c r="Z440" s="100" t="str">
        <f t="shared" si="48"/>
        <v xml:space="preserve"> </v>
      </c>
    </row>
    <row r="441" spans="1:26">
      <c r="A441" s="108"/>
      <c r="B441" s="108" t="str">
        <f>IFERROR(VLOOKUP(Tablo518[[#This Row],[ÜRÜN KODU]],YMKODLARI!$A$1:$K$363,2,0)," ")</f>
        <v xml:space="preserve"> </v>
      </c>
      <c r="C441" s="99"/>
      <c r="D441" s="100"/>
      <c r="E441" s="101"/>
      <c r="F441" s="101"/>
      <c r="G441" s="100" t="str">
        <f>IFERROR(VLOOKUP(Tablo518[[#This Row],[ÜRÜN KODU]],YMKODLARI!$A$1:$K$363,3,0)," ")</f>
        <v xml:space="preserve"> </v>
      </c>
      <c r="H441" s="100" t="str">
        <f>IFERROR(VLOOKUP(Tablo518[[#This Row],[ÜRÜN KODU]],YMKODLARI!$A$1:$K$363,4,0)," ")</f>
        <v xml:space="preserve"> </v>
      </c>
      <c r="I441" s="100"/>
      <c r="J441" s="100" t="str">
        <f>IFERROR(VLOOKUP(Tablo518[[#This Row],[ÜRÜN KODU]],YMKODLARI!$A$1:$K$363,9,0)," ")</f>
        <v xml:space="preserve"> </v>
      </c>
      <c r="K441" s="100" t="str">
        <f>IFERROR(VLOOKUP(Tablo518[[#This Row],[BOYA KODU]],Tablo14[#All],4,0)," ")</f>
        <v xml:space="preserve"> </v>
      </c>
      <c r="L441" s="100" t="str">
        <f>IFERROR(VLOOKUP(Tablo518[[#This Row],[BOYA KODU]],Tablo14[#All],6,0)," ")</f>
        <v xml:space="preserve"> </v>
      </c>
      <c r="M441" s="100" t="str">
        <f t="shared" si="42"/>
        <v xml:space="preserve"> </v>
      </c>
      <c r="N441" s="100" t="str">
        <f>IFERROR(VLOOKUP(Tablo518[[#This Row],[ÜRÜN KODU]],YMKODLARI!$A$1:$K$363,8,0)," ")</f>
        <v xml:space="preserve"> </v>
      </c>
      <c r="O441" s="100" t="str">
        <f>IFERROR(VLOOKUP(Tablo518[[#This Row],[HAMMADDE KODU]],Tablo1[#All],3,0)," ")</f>
        <v xml:space="preserve"> </v>
      </c>
      <c r="P441" s="100" t="str">
        <f>IFERROR(VLOOKUP(Tablo518[[#This Row],[HAMMADDE KODU]],Tablo1[#All],4,0)," ")</f>
        <v xml:space="preserve"> </v>
      </c>
      <c r="Q441" s="100" t="str">
        <f>IFERROR(VLOOKUP(Tablo518[[#This Row],[ÜRÜN KODU]],YMKODLARI!$A$1:$K$363,5,0)," ")</f>
        <v xml:space="preserve"> </v>
      </c>
      <c r="R441" s="100" t="str">
        <f>IFERROR(VLOOKUP(Tablo518[[#This Row],[ÜRÜN KODU]],YMKODLARI!$A$1:$K$363,6,0)," ")</f>
        <v xml:space="preserve"> </v>
      </c>
      <c r="S441" s="100" t="str">
        <f>IFERROR(Tablo518[[#This Row],[YOLLUK HARİÇ BASKI GRAMI]]/Tablo518[[#This Row],[KALIP GÖZ ADEDİ]]," ")</f>
        <v xml:space="preserve"> </v>
      </c>
      <c r="T441" s="100" t="str">
        <f t="shared" si="44"/>
        <v xml:space="preserve"> </v>
      </c>
      <c r="U441" s="100"/>
      <c r="V441" s="100" t="str">
        <f t="shared" si="43"/>
        <v xml:space="preserve"> </v>
      </c>
      <c r="W441" s="101">
        <f t="shared" si="45"/>
        <v>24</v>
      </c>
      <c r="X441" s="102">
        <f t="shared" si="46"/>
        <v>0</v>
      </c>
      <c r="Y441" s="100" t="str">
        <f t="shared" si="47"/>
        <v xml:space="preserve"> </v>
      </c>
      <c r="Z441" s="100" t="str">
        <f t="shared" si="48"/>
        <v xml:space="preserve"> </v>
      </c>
    </row>
    <row r="442" spans="1:26">
      <c r="A442" s="108"/>
      <c r="B442" s="108" t="str">
        <f>IFERROR(VLOOKUP(Tablo518[[#This Row],[ÜRÜN KODU]],YMKODLARI!$A$1:$K$363,2,0)," ")</f>
        <v xml:space="preserve"> </v>
      </c>
      <c r="C442" s="99"/>
      <c r="D442" s="100"/>
      <c r="E442" s="101"/>
      <c r="F442" s="101"/>
      <c r="G442" s="100" t="str">
        <f>IFERROR(VLOOKUP(Tablo518[[#This Row],[ÜRÜN KODU]],YMKODLARI!$A$1:$K$363,3,0)," ")</f>
        <v xml:space="preserve"> </v>
      </c>
      <c r="H442" s="100" t="str">
        <f>IFERROR(VLOOKUP(Tablo518[[#This Row],[ÜRÜN KODU]],YMKODLARI!$A$1:$K$363,4,0)," ")</f>
        <v xml:space="preserve"> </v>
      </c>
      <c r="I442" s="100"/>
      <c r="J442" s="100" t="str">
        <f>IFERROR(VLOOKUP(Tablo518[[#This Row],[ÜRÜN KODU]],YMKODLARI!$A$1:$K$363,9,0)," ")</f>
        <v xml:space="preserve"> </v>
      </c>
      <c r="K442" s="100" t="str">
        <f>IFERROR(VLOOKUP(Tablo518[[#This Row],[BOYA KODU]],Tablo14[#All],4,0)," ")</f>
        <v xml:space="preserve"> </v>
      </c>
      <c r="L442" s="100" t="str">
        <f>IFERROR(VLOOKUP(Tablo518[[#This Row],[BOYA KODU]],Tablo14[#All],6,0)," ")</f>
        <v xml:space="preserve"> </v>
      </c>
      <c r="M442" s="100" t="str">
        <f t="shared" si="42"/>
        <v xml:space="preserve"> </v>
      </c>
      <c r="N442" s="100" t="str">
        <f>IFERROR(VLOOKUP(Tablo518[[#This Row],[ÜRÜN KODU]],YMKODLARI!$A$1:$K$363,8,0)," ")</f>
        <v xml:space="preserve"> </v>
      </c>
      <c r="O442" s="100" t="str">
        <f>IFERROR(VLOOKUP(Tablo518[[#This Row],[HAMMADDE KODU]],Tablo1[#All],3,0)," ")</f>
        <v xml:space="preserve"> </v>
      </c>
      <c r="P442" s="100" t="str">
        <f>IFERROR(VLOOKUP(Tablo518[[#This Row],[HAMMADDE KODU]],Tablo1[#All],4,0)," ")</f>
        <v xml:space="preserve"> </v>
      </c>
      <c r="Q442" s="100" t="str">
        <f>IFERROR(VLOOKUP(Tablo518[[#This Row],[ÜRÜN KODU]],YMKODLARI!$A$1:$K$363,5,0)," ")</f>
        <v xml:space="preserve"> </v>
      </c>
      <c r="R442" s="100" t="str">
        <f>IFERROR(VLOOKUP(Tablo518[[#This Row],[ÜRÜN KODU]],YMKODLARI!$A$1:$K$363,6,0)," ")</f>
        <v xml:space="preserve"> </v>
      </c>
      <c r="S442" s="100" t="str">
        <f>IFERROR(Tablo518[[#This Row],[YOLLUK HARİÇ BASKI GRAMI]]/Tablo518[[#This Row],[KALIP GÖZ ADEDİ]]," ")</f>
        <v xml:space="preserve"> </v>
      </c>
      <c r="T442" s="100" t="str">
        <f t="shared" si="44"/>
        <v xml:space="preserve"> </v>
      </c>
      <c r="U442" s="100"/>
      <c r="V442" s="100" t="str">
        <f t="shared" si="43"/>
        <v xml:space="preserve"> </v>
      </c>
      <c r="W442" s="101">
        <f t="shared" si="45"/>
        <v>24</v>
      </c>
      <c r="X442" s="102">
        <f t="shared" si="46"/>
        <v>0</v>
      </c>
      <c r="Y442" s="100" t="str">
        <f t="shared" si="47"/>
        <v xml:space="preserve"> </v>
      </c>
      <c r="Z442" s="100" t="str">
        <f t="shared" si="48"/>
        <v xml:space="preserve"> </v>
      </c>
    </row>
    <row r="443" spans="1:26">
      <c r="A443" s="108"/>
      <c r="B443" s="108" t="str">
        <f>IFERROR(VLOOKUP(Tablo518[[#This Row],[ÜRÜN KODU]],YMKODLARI!$A$1:$K$363,2,0)," ")</f>
        <v xml:space="preserve"> </v>
      </c>
      <c r="C443" s="99"/>
      <c r="D443" s="100"/>
      <c r="E443" s="101"/>
      <c r="F443" s="101"/>
      <c r="G443" s="100" t="str">
        <f>IFERROR(VLOOKUP(Tablo518[[#This Row],[ÜRÜN KODU]],YMKODLARI!$A$1:$K$363,3,0)," ")</f>
        <v xml:space="preserve"> </v>
      </c>
      <c r="H443" s="100" t="str">
        <f>IFERROR(VLOOKUP(Tablo518[[#This Row],[ÜRÜN KODU]],YMKODLARI!$A$1:$K$363,4,0)," ")</f>
        <v xml:space="preserve"> </v>
      </c>
      <c r="I443" s="100"/>
      <c r="J443" s="100" t="str">
        <f>IFERROR(VLOOKUP(Tablo518[[#This Row],[ÜRÜN KODU]],YMKODLARI!$A$1:$K$363,9,0)," ")</f>
        <v xml:space="preserve"> </v>
      </c>
      <c r="K443" s="100" t="str">
        <f>IFERROR(VLOOKUP(Tablo518[[#This Row],[BOYA KODU]],Tablo14[#All],4,0)," ")</f>
        <v xml:space="preserve"> </v>
      </c>
      <c r="L443" s="100" t="str">
        <f>IFERROR(VLOOKUP(Tablo518[[#This Row],[BOYA KODU]],Tablo14[#All],6,0)," ")</f>
        <v xml:space="preserve"> </v>
      </c>
      <c r="M443" s="100" t="str">
        <f t="shared" si="42"/>
        <v xml:space="preserve"> </v>
      </c>
      <c r="N443" s="100" t="str">
        <f>IFERROR(VLOOKUP(Tablo518[[#This Row],[ÜRÜN KODU]],YMKODLARI!$A$1:$K$363,8,0)," ")</f>
        <v xml:space="preserve"> </v>
      </c>
      <c r="O443" s="100" t="str">
        <f>IFERROR(VLOOKUP(Tablo518[[#This Row],[HAMMADDE KODU]],Tablo1[#All],3,0)," ")</f>
        <v xml:space="preserve"> </v>
      </c>
      <c r="P443" s="100" t="str">
        <f>IFERROR(VLOOKUP(Tablo518[[#This Row],[HAMMADDE KODU]],Tablo1[#All],4,0)," ")</f>
        <v xml:space="preserve"> </v>
      </c>
      <c r="Q443" s="100" t="str">
        <f>IFERROR(VLOOKUP(Tablo518[[#This Row],[ÜRÜN KODU]],YMKODLARI!$A$1:$K$363,5,0)," ")</f>
        <v xml:space="preserve"> </v>
      </c>
      <c r="R443" s="100" t="str">
        <f>IFERROR(VLOOKUP(Tablo518[[#This Row],[ÜRÜN KODU]],YMKODLARI!$A$1:$K$363,6,0)," ")</f>
        <v xml:space="preserve"> </v>
      </c>
      <c r="S443" s="100" t="str">
        <f>IFERROR(Tablo518[[#This Row],[YOLLUK HARİÇ BASKI GRAMI]]/Tablo518[[#This Row],[KALIP GÖZ ADEDİ]]," ")</f>
        <v xml:space="preserve"> </v>
      </c>
      <c r="T443" s="100" t="str">
        <f t="shared" si="44"/>
        <v xml:space="preserve"> </v>
      </c>
      <c r="U443" s="100"/>
      <c r="V443" s="100" t="str">
        <f t="shared" si="43"/>
        <v xml:space="preserve"> </v>
      </c>
      <c r="W443" s="101">
        <f t="shared" si="45"/>
        <v>24</v>
      </c>
      <c r="X443" s="102">
        <f t="shared" si="46"/>
        <v>0</v>
      </c>
      <c r="Y443" s="100" t="str">
        <f t="shared" si="47"/>
        <v xml:space="preserve"> </v>
      </c>
      <c r="Z443" s="100" t="str">
        <f t="shared" si="48"/>
        <v xml:space="preserve"> </v>
      </c>
    </row>
    <row r="444" spans="1:26">
      <c r="A444" s="108"/>
      <c r="B444" s="108" t="str">
        <f>IFERROR(VLOOKUP(Tablo518[[#This Row],[ÜRÜN KODU]],YMKODLARI!$A$1:$K$363,2,0)," ")</f>
        <v xml:space="preserve"> </v>
      </c>
      <c r="C444" s="99"/>
      <c r="D444" s="100"/>
      <c r="E444" s="101"/>
      <c r="F444" s="101"/>
      <c r="G444" s="100" t="str">
        <f>IFERROR(VLOOKUP(Tablo518[[#This Row],[ÜRÜN KODU]],YMKODLARI!$A$1:$K$363,3,0)," ")</f>
        <v xml:space="preserve"> </v>
      </c>
      <c r="H444" s="100" t="str">
        <f>IFERROR(VLOOKUP(Tablo518[[#This Row],[ÜRÜN KODU]],YMKODLARI!$A$1:$K$363,4,0)," ")</f>
        <v xml:space="preserve"> </v>
      </c>
      <c r="I444" s="100"/>
      <c r="J444" s="100" t="str">
        <f>IFERROR(VLOOKUP(Tablo518[[#This Row],[ÜRÜN KODU]],YMKODLARI!$A$1:$K$363,9,0)," ")</f>
        <v xml:space="preserve"> </v>
      </c>
      <c r="K444" s="100" t="str">
        <f>IFERROR(VLOOKUP(Tablo518[[#This Row],[BOYA KODU]],Tablo14[#All],4,0)," ")</f>
        <v xml:space="preserve"> </v>
      </c>
      <c r="L444" s="100" t="str">
        <f>IFERROR(VLOOKUP(Tablo518[[#This Row],[BOYA KODU]],Tablo14[#All],6,0)," ")</f>
        <v xml:space="preserve"> </v>
      </c>
      <c r="M444" s="100" t="str">
        <f t="shared" si="42"/>
        <v xml:space="preserve"> </v>
      </c>
      <c r="N444" s="100" t="str">
        <f>IFERROR(VLOOKUP(Tablo518[[#This Row],[ÜRÜN KODU]],YMKODLARI!$A$1:$K$363,8,0)," ")</f>
        <v xml:space="preserve"> </v>
      </c>
      <c r="O444" s="100" t="str">
        <f>IFERROR(VLOOKUP(Tablo518[[#This Row],[HAMMADDE KODU]],Tablo1[#All],3,0)," ")</f>
        <v xml:space="preserve"> </v>
      </c>
      <c r="P444" s="100" t="str">
        <f>IFERROR(VLOOKUP(Tablo518[[#This Row],[HAMMADDE KODU]],Tablo1[#All],4,0)," ")</f>
        <v xml:space="preserve"> </v>
      </c>
      <c r="Q444" s="100" t="str">
        <f>IFERROR(VLOOKUP(Tablo518[[#This Row],[ÜRÜN KODU]],YMKODLARI!$A$1:$K$363,5,0)," ")</f>
        <v xml:space="preserve"> </v>
      </c>
      <c r="R444" s="100" t="str">
        <f>IFERROR(VLOOKUP(Tablo518[[#This Row],[ÜRÜN KODU]],YMKODLARI!$A$1:$K$363,6,0)," ")</f>
        <v xml:space="preserve"> </v>
      </c>
      <c r="S444" s="100" t="str">
        <f>IFERROR(Tablo518[[#This Row],[YOLLUK HARİÇ BASKI GRAMI]]/Tablo518[[#This Row],[KALIP GÖZ ADEDİ]]," ")</f>
        <v xml:space="preserve"> </v>
      </c>
      <c r="T444" s="100" t="str">
        <f t="shared" si="44"/>
        <v xml:space="preserve"> </v>
      </c>
      <c r="U444" s="100"/>
      <c r="V444" s="100" t="str">
        <f t="shared" si="43"/>
        <v xml:space="preserve"> </v>
      </c>
      <c r="W444" s="101">
        <f t="shared" si="45"/>
        <v>24</v>
      </c>
      <c r="X444" s="102">
        <f t="shared" si="46"/>
        <v>0</v>
      </c>
      <c r="Y444" s="100" t="str">
        <f t="shared" si="47"/>
        <v xml:space="preserve"> </v>
      </c>
      <c r="Z444" s="100" t="str">
        <f t="shared" si="48"/>
        <v xml:space="preserve"> </v>
      </c>
    </row>
    <row r="445" spans="1:26">
      <c r="A445" s="108"/>
      <c r="B445" s="108" t="str">
        <f>IFERROR(VLOOKUP(Tablo518[[#This Row],[ÜRÜN KODU]],YMKODLARI!$A$1:$K$363,2,0)," ")</f>
        <v xml:space="preserve"> </v>
      </c>
      <c r="C445" s="99"/>
      <c r="D445" s="100"/>
      <c r="E445" s="101"/>
      <c r="F445" s="101"/>
      <c r="G445" s="100" t="str">
        <f>IFERROR(VLOOKUP(Tablo518[[#This Row],[ÜRÜN KODU]],YMKODLARI!$A$1:$K$363,3,0)," ")</f>
        <v xml:space="preserve"> </v>
      </c>
      <c r="H445" s="100" t="str">
        <f>IFERROR(VLOOKUP(Tablo518[[#This Row],[ÜRÜN KODU]],YMKODLARI!$A$1:$K$363,4,0)," ")</f>
        <v xml:space="preserve"> </v>
      </c>
      <c r="I445" s="100"/>
      <c r="J445" s="100" t="str">
        <f>IFERROR(VLOOKUP(Tablo518[[#This Row],[ÜRÜN KODU]],YMKODLARI!$A$1:$K$363,9,0)," ")</f>
        <v xml:space="preserve"> </v>
      </c>
      <c r="K445" s="100" t="str">
        <f>IFERROR(VLOOKUP(Tablo518[[#This Row],[BOYA KODU]],Tablo14[#All],4,0)," ")</f>
        <v xml:space="preserve"> </v>
      </c>
      <c r="L445" s="100" t="str">
        <f>IFERROR(VLOOKUP(Tablo518[[#This Row],[BOYA KODU]],Tablo14[#All],6,0)," ")</f>
        <v xml:space="preserve"> </v>
      </c>
      <c r="M445" s="100" t="str">
        <f t="shared" si="42"/>
        <v xml:space="preserve"> </v>
      </c>
      <c r="N445" s="100" t="str">
        <f>IFERROR(VLOOKUP(Tablo518[[#This Row],[ÜRÜN KODU]],YMKODLARI!$A$1:$K$363,8,0)," ")</f>
        <v xml:space="preserve"> </v>
      </c>
      <c r="O445" s="100" t="str">
        <f>IFERROR(VLOOKUP(Tablo518[[#This Row],[HAMMADDE KODU]],Tablo1[#All],3,0)," ")</f>
        <v xml:space="preserve"> </v>
      </c>
      <c r="P445" s="100" t="str">
        <f>IFERROR(VLOOKUP(Tablo518[[#This Row],[HAMMADDE KODU]],Tablo1[#All],4,0)," ")</f>
        <v xml:space="preserve"> </v>
      </c>
      <c r="Q445" s="100" t="str">
        <f>IFERROR(VLOOKUP(Tablo518[[#This Row],[ÜRÜN KODU]],YMKODLARI!$A$1:$K$363,5,0)," ")</f>
        <v xml:space="preserve"> </v>
      </c>
      <c r="R445" s="100" t="str">
        <f>IFERROR(VLOOKUP(Tablo518[[#This Row],[ÜRÜN KODU]],YMKODLARI!$A$1:$K$363,6,0)," ")</f>
        <v xml:space="preserve"> </v>
      </c>
      <c r="S445" s="100" t="str">
        <f>IFERROR(Tablo518[[#This Row],[YOLLUK HARİÇ BASKI GRAMI]]/Tablo518[[#This Row],[KALIP GÖZ ADEDİ]]," ")</f>
        <v xml:space="preserve"> </v>
      </c>
      <c r="T445" s="100" t="str">
        <f t="shared" si="44"/>
        <v xml:space="preserve"> </v>
      </c>
      <c r="U445" s="100"/>
      <c r="V445" s="100" t="str">
        <f t="shared" si="43"/>
        <v xml:space="preserve"> </v>
      </c>
      <c r="W445" s="101">
        <f t="shared" si="45"/>
        <v>24</v>
      </c>
      <c r="X445" s="102">
        <f t="shared" si="46"/>
        <v>0</v>
      </c>
      <c r="Y445" s="100" t="str">
        <f t="shared" si="47"/>
        <v xml:space="preserve"> </v>
      </c>
      <c r="Z445" s="100" t="str">
        <f t="shared" si="48"/>
        <v xml:space="preserve"> </v>
      </c>
    </row>
    <row r="446" spans="1:26">
      <c r="A446" s="108"/>
      <c r="B446" s="108" t="str">
        <f>IFERROR(VLOOKUP(Tablo518[[#This Row],[ÜRÜN KODU]],YMKODLARI!$A$1:$K$363,2,0)," ")</f>
        <v xml:space="preserve"> </v>
      </c>
      <c r="C446" s="99"/>
      <c r="D446" s="100"/>
      <c r="E446" s="101"/>
      <c r="F446" s="101"/>
      <c r="G446" s="100" t="str">
        <f>IFERROR(VLOOKUP(Tablo518[[#This Row],[ÜRÜN KODU]],YMKODLARI!$A$1:$K$363,3,0)," ")</f>
        <v xml:space="preserve"> </v>
      </c>
      <c r="H446" s="100" t="str">
        <f>IFERROR(VLOOKUP(Tablo518[[#This Row],[ÜRÜN KODU]],YMKODLARI!$A$1:$K$363,4,0)," ")</f>
        <v xml:space="preserve"> </v>
      </c>
      <c r="I446" s="100"/>
      <c r="J446" s="100" t="str">
        <f>IFERROR(VLOOKUP(Tablo518[[#This Row],[ÜRÜN KODU]],YMKODLARI!$A$1:$K$363,9,0)," ")</f>
        <v xml:space="preserve"> </v>
      </c>
      <c r="K446" s="100" t="str">
        <f>IFERROR(VLOOKUP(Tablo518[[#This Row],[BOYA KODU]],Tablo14[#All],4,0)," ")</f>
        <v xml:space="preserve"> </v>
      </c>
      <c r="L446" s="100" t="str">
        <f>IFERROR(VLOOKUP(Tablo518[[#This Row],[BOYA KODU]],Tablo14[#All],6,0)," ")</f>
        <v xml:space="preserve"> </v>
      </c>
      <c r="M446" s="100" t="str">
        <f t="shared" si="42"/>
        <v xml:space="preserve"> </v>
      </c>
      <c r="N446" s="100" t="str">
        <f>IFERROR(VLOOKUP(Tablo518[[#This Row],[ÜRÜN KODU]],YMKODLARI!$A$1:$K$363,8,0)," ")</f>
        <v xml:space="preserve"> </v>
      </c>
      <c r="O446" s="100" t="str">
        <f>IFERROR(VLOOKUP(Tablo518[[#This Row],[HAMMADDE KODU]],Tablo1[#All],3,0)," ")</f>
        <v xml:space="preserve"> </v>
      </c>
      <c r="P446" s="100" t="str">
        <f>IFERROR(VLOOKUP(Tablo518[[#This Row],[HAMMADDE KODU]],Tablo1[#All],4,0)," ")</f>
        <v xml:space="preserve"> </v>
      </c>
      <c r="Q446" s="100" t="str">
        <f>IFERROR(VLOOKUP(Tablo518[[#This Row],[ÜRÜN KODU]],YMKODLARI!$A$1:$K$363,5,0)," ")</f>
        <v xml:space="preserve"> </v>
      </c>
      <c r="R446" s="100" t="str">
        <f>IFERROR(VLOOKUP(Tablo518[[#This Row],[ÜRÜN KODU]],YMKODLARI!$A$1:$K$363,6,0)," ")</f>
        <v xml:space="preserve"> </v>
      </c>
      <c r="S446" s="100" t="str">
        <f>IFERROR(Tablo518[[#This Row],[YOLLUK HARİÇ BASKI GRAMI]]/Tablo518[[#This Row],[KALIP GÖZ ADEDİ]]," ")</f>
        <v xml:space="preserve"> </v>
      </c>
      <c r="T446" s="100" t="str">
        <f t="shared" si="44"/>
        <v xml:space="preserve"> </v>
      </c>
      <c r="U446" s="100"/>
      <c r="V446" s="100" t="str">
        <f t="shared" si="43"/>
        <v xml:space="preserve"> </v>
      </c>
      <c r="W446" s="101">
        <f t="shared" si="45"/>
        <v>24</v>
      </c>
      <c r="X446" s="102">
        <f t="shared" si="46"/>
        <v>0</v>
      </c>
      <c r="Y446" s="100" t="str">
        <f t="shared" si="47"/>
        <v xml:space="preserve"> </v>
      </c>
      <c r="Z446" s="100" t="str">
        <f t="shared" si="48"/>
        <v xml:space="preserve"> </v>
      </c>
    </row>
    <row r="447" spans="1:26">
      <c r="A447" s="108"/>
      <c r="B447" s="108" t="str">
        <f>IFERROR(VLOOKUP(Tablo518[[#This Row],[ÜRÜN KODU]],YMKODLARI!$A$1:$K$363,2,0)," ")</f>
        <v xml:space="preserve"> </v>
      </c>
      <c r="C447" s="99"/>
      <c r="D447" s="100"/>
      <c r="E447" s="101"/>
      <c r="F447" s="101"/>
      <c r="G447" s="100" t="str">
        <f>IFERROR(VLOOKUP(Tablo518[[#This Row],[ÜRÜN KODU]],YMKODLARI!$A$1:$K$363,3,0)," ")</f>
        <v xml:space="preserve"> </v>
      </c>
      <c r="H447" s="100" t="str">
        <f>IFERROR(VLOOKUP(Tablo518[[#This Row],[ÜRÜN KODU]],YMKODLARI!$A$1:$K$363,4,0)," ")</f>
        <v xml:space="preserve"> </v>
      </c>
      <c r="I447" s="100"/>
      <c r="J447" s="100" t="str">
        <f>IFERROR(VLOOKUP(Tablo518[[#This Row],[ÜRÜN KODU]],YMKODLARI!$A$1:$K$363,9,0)," ")</f>
        <v xml:space="preserve"> </v>
      </c>
      <c r="K447" s="100" t="str">
        <f>IFERROR(VLOOKUP(Tablo518[[#This Row],[BOYA KODU]],Tablo14[#All],4,0)," ")</f>
        <v xml:space="preserve"> </v>
      </c>
      <c r="L447" s="100" t="str">
        <f>IFERROR(VLOOKUP(Tablo518[[#This Row],[BOYA KODU]],Tablo14[#All],6,0)," ")</f>
        <v xml:space="preserve"> </v>
      </c>
      <c r="M447" s="100" t="str">
        <f t="shared" si="42"/>
        <v xml:space="preserve"> </v>
      </c>
      <c r="N447" s="100" t="str">
        <f>IFERROR(VLOOKUP(Tablo518[[#This Row],[ÜRÜN KODU]],YMKODLARI!$A$1:$K$363,8,0)," ")</f>
        <v xml:space="preserve"> </v>
      </c>
      <c r="O447" s="100" t="str">
        <f>IFERROR(VLOOKUP(Tablo518[[#This Row],[HAMMADDE KODU]],Tablo1[#All],3,0)," ")</f>
        <v xml:space="preserve"> </v>
      </c>
      <c r="P447" s="100" t="str">
        <f>IFERROR(VLOOKUP(Tablo518[[#This Row],[HAMMADDE KODU]],Tablo1[#All],4,0)," ")</f>
        <v xml:space="preserve"> </v>
      </c>
      <c r="Q447" s="100" t="str">
        <f>IFERROR(VLOOKUP(Tablo518[[#This Row],[ÜRÜN KODU]],YMKODLARI!$A$1:$K$363,5,0)," ")</f>
        <v xml:space="preserve"> </v>
      </c>
      <c r="R447" s="100" t="str">
        <f>IFERROR(VLOOKUP(Tablo518[[#This Row],[ÜRÜN KODU]],YMKODLARI!$A$1:$K$363,6,0)," ")</f>
        <v xml:space="preserve"> </v>
      </c>
      <c r="S447" s="100" t="str">
        <f>IFERROR(Tablo518[[#This Row],[YOLLUK HARİÇ BASKI GRAMI]]/Tablo518[[#This Row],[KALIP GÖZ ADEDİ]]," ")</f>
        <v xml:space="preserve"> </v>
      </c>
      <c r="T447" s="100" t="str">
        <f t="shared" si="44"/>
        <v xml:space="preserve"> </v>
      </c>
      <c r="U447" s="100"/>
      <c r="V447" s="100" t="str">
        <f t="shared" si="43"/>
        <v xml:space="preserve"> </v>
      </c>
      <c r="W447" s="101">
        <f t="shared" si="45"/>
        <v>24</v>
      </c>
      <c r="X447" s="102">
        <f t="shared" si="46"/>
        <v>0</v>
      </c>
      <c r="Y447" s="100" t="str">
        <f t="shared" si="47"/>
        <v xml:space="preserve"> </v>
      </c>
      <c r="Z447" s="100" t="str">
        <f t="shared" si="48"/>
        <v xml:space="preserve"> </v>
      </c>
    </row>
    <row r="448" spans="1:26">
      <c r="A448" s="108"/>
      <c r="B448" s="108" t="str">
        <f>IFERROR(VLOOKUP(Tablo518[[#This Row],[ÜRÜN KODU]],YMKODLARI!$A$1:$K$363,2,0)," ")</f>
        <v xml:space="preserve"> </v>
      </c>
      <c r="C448" s="99"/>
      <c r="D448" s="100"/>
      <c r="E448" s="101"/>
      <c r="F448" s="101"/>
      <c r="G448" s="100" t="str">
        <f>IFERROR(VLOOKUP(Tablo518[[#This Row],[ÜRÜN KODU]],YMKODLARI!$A$1:$K$363,3,0)," ")</f>
        <v xml:space="preserve"> </v>
      </c>
      <c r="H448" s="100" t="str">
        <f>IFERROR(VLOOKUP(Tablo518[[#This Row],[ÜRÜN KODU]],YMKODLARI!$A$1:$K$363,4,0)," ")</f>
        <v xml:space="preserve"> </v>
      </c>
      <c r="I448" s="100"/>
      <c r="J448" s="100" t="str">
        <f>IFERROR(VLOOKUP(Tablo518[[#This Row],[ÜRÜN KODU]],YMKODLARI!$A$1:$K$363,9,0)," ")</f>
        <v xml:space="preserve"> </v>
      </c>
      <c r="K448" s="100" t="str">
        <f>IFERROR(VLOOKUP(Tablo518[[#This Row],[BOYA KODU]],Tablo14[#All],4,0)," ")</f>
        <v xml:space="preserve"> </v>
      </c>
      <c r="L448" s="100" t="str">
        <f>IFERROR(VLOOKUP(Tablo518[[#This Row],[BOYA KODU]],Tablo14[#All],6,0)," ")</f>
        <v xml:space="preserve"> </v>
      </c>
      <c r="M448" s="100" t="str">
        <f t="shared" si="42"/>
        <v xml:space="preserve"> </v>
      </c>
      <c r="N448" s="100" t="str">
        <f>IFERROR(VLOOKUP(Tablo518[[#This Row],[ÜRÜN KODU]],YMKODLARI!$A$1:$K$363,8,0)," ")</f>
        <v xml:space="preserve"> </v>
      </c>
      <c r="O448" s="100" t="str">
        <f>IFERROR(VLOOKUP(Tablo518[[#This Row],[HAMMADDE KODU]],Tablo1[#All],3,0)," ")</f>
        <v xml:space="preserve"> </v>
      </c>
      <c r="P448" s="100" t="str">
        <f>IFERROR(VLOOKUP(Tablo518[[#This Row],[HAMMADDE KODU]],Tablo1[#All],4,0)," ")</f>
        <v xml:space="preserve"> </v>
      </c>
      <c r="Q448" s="100" t="str">
        <f>IFERROR(VLOOKUP(Tablo518[[#This Row],[ÜRÜN KODU]],YMKODLARI!$A$1:$K$363,5,0)," ")</f>
        <v xml:space="preserve"> </v>
      </c>
      <c r="R448" s="100" t="str">
        <f>IFERROR(VLOOKUP(Tablo518[[#This Row],[ÜRÜN KODU]],YMKODLARI!$A$1:$K$363,6,0)," ")</f>
        <v xml:space="preserve"> </v>
      </c>
      <c r="S448" s="100" t="str">
        <f>IFERROR(Tablo518[[#This Row],[YOLLUK HARİÇ BASKI GRAMI]]/Tablo518[[#This Row],[KALIP GÖZ ADEDİ]]," ")</f>
        <v xml:space="preserve"> </v>
      </c>
      <c r="T448" s="100" t="str">
        <f t="shared" si="44"/>
        <v xml:space="preserve"> </v>
      </c>
      <c r="U448" s="100"/>
      <c r="V448" s="100" t="str">
        <f t="shared" si="43"/>
        <v xml:space="preserve"> </v>
      </c>
      <c r="W448" s="101">
        <f t="shared" si="45"/>
        <v>24</v>
      </c>
      <c r="X448" s="102">
        <f t="shared" si="46"/>
        <v>0</v>
      </c>
      <c r="Y448" s="100" t="str">
        <f t="shared" si="47"/>
        <v xml:space="preserve"> </v>
      </c>
      <c r="Z448" s="100" t="str">
        <f t="shared" si="48"/>
        <v xml:space="preserve"> </v>
      </c>
    </row>
    <row r="449" spans="1:26">
      <c r="A449" s="108"/>
      <c r="B449" s="108" t="str">
        <f>IFERROR(VLOOKUP(Tablo518[[#This Row],[ÜRÜN KODU]],YMKODLARI!$A$1:$K$363,2,0)," ")</f>
        <v xml:space="preserve"> </v>
      </c>
      <c r="C449" s="99"/>
      <c r="D449" s="100"/>
      <c r="E449" s="101"/>
      <c r="F449" s="101"/>
      <c r="G449" s="100" t="str">
        <f>IFERROR(VLOOKUP(Tablo518[[#This Row],[ÜRÜN KODU]],YMKODLARI!$A$1:$K$363,3,0)," ")</f>
        <v xml:space="preserve"> </v>
      </c>
      <c r="H449" s="100" t="str">
        <f>IFERROR(VLOOKUP(Tablo518[[#This Row],[ÜRÜN KODU]],YMKODLARI!$A$1:$K$363,4,0)," ")</f>
        <v xml:space="preserve"> </v>
      </c>
      <c r="I449" s="100"/>
      <c r="J449" s="100" t="str">
        <f>IFERROR(VLOOKUP(Tablo518[[#This Row],[ÜRÜN KODU]],YMKODLARI!$A$1:$K$363,9,0)," ")</f>
        <v xml:space="preserve"> </v>
      </c>
      <c r="K449" s="100" t="str">
        <f>IFERROR(VLOOKUP(Tablo518[[#This Row],[BOYA KODU]],Tablo14[#All],4,0)," ")</f>
        <v xml:space="preserve"> </v>
      </c>
      <c r="L449" s="100" t="str">
        <f>IFERROR(VLOOKUP(Tablo518[[#This Row],[BOYA KODU]],Tablo14[#All],6,0)," ")</f>
        <v xml:space="preserve"> </v>
      </c>
      <c r="M449" s="100" t="str">
        <f t="shared" si="42"/>
        <v xml:space="preserve"> </v>
      </c>
      <c r="N449" s="100" t="str">
        <f>IFERROR(VLOOKUP(Tablo518[[#This Row],[ÜRÜN KODU]],YMKODLARI!$A$1:$K$363,8,0)," ")</f>
        <v xml:space="preserve"> </v>
      </c>
      <c r="O449" s="100" t="str">
        <f>IFERROR(VLOOKUP(Tablo518[[#This Row],[HAMMADDE KODU]],Tablo1[#All],3,0)," ")</f>
        <v xml:space="preserve"> </v>
      </c>
      <c r="P449" s="100" t="str">
        <f>IFERROR(VLOOKUP(Tablo518[[#This Row],[HAMMADDE KODU]],Tablo1[#All],4,0)," ")</f>
        <v xml:space="preserve"> </v>
      </c>
      <c r="Q449" s="100" t="str">
        <f>IFERROR(VLOOKUP(Tablo518[[#This Row],[ÜRÜN KODU]],YMKODLARI!$A$1:$K$363,5,0)," ")</f>
        <v xml:space="preserve"> </v>
      </c>
      <c r="R449" s="100" t="str">
        <f>IFERROR(VLOOKUP(Tablo518[[#This Row],[ÜRÜN KODU]],YMKODLARI!$A$1:$K$363,6,0)," ")</f>
        <v xml:space="preserve"> </v>
      </c>
      <c r="S449" s="100" t="str">
        <f>IFERROR(Tablo518[[#This Row],[YOLLUK HARİÇ BASKI GRAMI]]/Tablo518[[#This Row],[KALIP GÖZ ADEDİ]]," ")</f>
        <v xml:space="preserve"> </v>
      </c>
      <c r="T449" s="100" t="str">
        <f t="shared" si="44"/>
        <v xml:space="preserve"> </v>
      </c>
      <c r="U449" s="100"/>
      <c r="V449" s="100" t="str">
        <f t="shared" si="43"/>
        <v xml:space="preserve"> </v>
      </c>
      <c r="W449" s="101">
        <f t="shared" si="45"/>
        <v>24</v>
      </c>
      <c r="X449" s="102">
        <f t="shared" si="46"/>
        <v>0</v>
      </c>
      <c r="Y449" s="100" t="str">
        <f t="shared" si="47"/>
        <v xml:space="preserve"> </v>
      </c>
      <c r="Z449" s="100" t="str">
        <f t="shared" si="48"/>
        <v xml:space="preserve"> </v>
      </c>
    </row>
    <row r="450" spans="1:26">
      <c r="A450" s="108"/>
      <c r="B450" s="108" t="str">
        <f>IFERROR(VLOOKUP(Tablo518[[#This Row],[ÜRÜN KODU]],YMKODLARI!$A$1:$K$363,2,0)," ")</f>
        <v xml:space="preserve"> </v>
      </c>
      <c r="C450" s="99"/>
      <c r="D450" s="100"/>
      <c r="E450" s="101"/>
      <c r="F450" s="101"/>
      <c r="G450" s="100" t="str">
        <f>IFERROR(VLOOKUP(Tablo518[[#This Row],[ÜRÜN KODU]],YMKODLARI!$A$1:$K$363,3,0)," ")</f>
        <v xml:space="preserve"> </v>
      </c>
      <c r="H450" s="100" t="str">
        <f>IFERROR(VLOOKUP(Tablo518[[#This Row],[ÜRÜN KODU]],YMKODLARI!$A$1:$K$363,4,0)," ")</f>
        <v xml:space="preserve"> </v>
      </c>
      <c r="I450" s="100"/>
      <c r="J450" s="100" t="str">
        <f>IFERROR(VLOOKUP(Tablo518[[#This Row],[ÜRÜN KODU]],YMKODLARI!$A$1:$K$363,9,0)," ")</f>
        <v xml:space="preserve"> </v>
      </c>
      <c r="K450" s="100" t="str">
        <f>IFERROR(VLOOKUP(Tablo518[[#This Row],[BOYA KODU]],Tablo14[#All],4,0)," ")</f>
        <v xml:space="preserve"> </v>
      </c>
      <c r="L450" s="100" t="str">
        <f>IFERROR(VLOOKUP(Tablo518[[#This Row],[BOYA KODU]],Tablo14[#All],6,0)," ")</f>
        <v xml:space="preserve"> </v>
      </c>
      <c r="M450" s="100" t="str">
        <f t="shared" si="42"/>
        <v xml:space="preserve"> </v>
      </c>
      <c r="N450" s="100" t="str">
        <f>IFERROR(VLOOKUP(Tablo518[[#This Row],[ÜRÜN KODU]],YMKODLARI!$A$1:$K$363,8,0)," ")</f>
        <v xml:space="preserve"> </v>
      </c>
      <c r="O450" s="100" t="str">
        <f>IFERROR(VLOOKUP(Tablo518[[#This Row],[HAMMADDE KODU]],Tablo1[#All],3,0)," ")</f>
        <v xml:space="preserve"> </v>
      </c>
      <c r="P450" s="100" t="str">
        <f>IFERROR(VLOOKUP(Tablo518[[#This Row],[HAMMADDE KODU]],Tablo1[#All],4,0)," ")</f>
        <v xml:space="preserve"> </v>
      </c>
      <c r="Q450" s="100" t="str">
        <f>IFERROR(VLOOKUP(Tablo518[[#This Row],[ÜRÜN KODU]],YMKODLARI!$A$1:$K$363,5,0)," ")</f>
        <v xml:space="preserve"> </v>
      </c>
      <c r="R450" s="100" t="str">
        <f>IFERROR(VLOOKUP(Tablo518[[#This Row],[ÜRÜN KODU]],YMKODLARI!$A$1:$K$363,6,0)," ")</f>
        <v xml:space="preserve"> </v>
      </c>
      <c r="S450" s="100" t="str">
        <f>IFERROR(Tablo518[[#This Row],[YOLLUK HARİÇ BASKI GRAMI]]/Tablo518[[#This Row],[KALIP GÖZ ADEDİ]]," ")</f>
        <v xml:space="preserve"> </v>
      </c>
      <c r="T450" s="100" t="str">
        <f t="shared" si="44"/>
        <v xml:space="preserve"> </v>
      </c>
      <c r="U450" s="100"/>
      <c r="V450" s="100" t="str">
        <f t="shared" si="43"/>
        <v xml:space="preserve"> </v>
      </c>
      <c r="W450" s="101">
        <f t="shared" si="45"/>
        <v>24</v>
      </c>
      <c r="X450" s="102">
        <f t="shared" si="46"/>
        <v>0</v>
      </c>
      <c r="Y450" s="100" t="str">
        <f t="shared" si="47"/>
        <v xml:space="preserve"> </v>
      </c>
      <c r="Z450" s="100" t="str">
        <f t="shared" si="48"/>
        <v xml:space="preserve"> </v>
      </c>
    </row>
    <row r="451" spans="1:26">
      <c r="A451" s="108"/>
      <c r="B451" s="108" t="str">
        <f>IFERROR(VLOOKUP(Tablo518[[#This Row],[ÜRÜN KODU]],YMKODLARI!$A$1:$K$363,2,0)," ")</f>
        <v xml:space="preserve"> </v>
      </c>
      <c r="C451" s="99"/>
      <c r="D451" s="100"/>
      <c r="E451" s="101"/>
      <c r="F451" s="101"/>
      <c r="G451" s="100" t="str">
        <f>IFERROR(VLOOKUP(Tablo518[[#This Row],[ÜRÜN KODU]],YMKODLARI!$A$1:$K$363,3,0)," ")</f>
        <v xml:space="preserve"> </v>
      </c>
      <c r="H451" s="100" t="str">
        <f>IFERROR(VLOOKUP(Tablo518[[#This Row],[ÜRÜN KODU]],YMKODLARI!$A$1:$K$363,4,0)," ")</f>
        <v xml:space="preserve"> </v>
      </c>
      <c r="I451" s="100"/>
      <c r="J451" s="100" t="str">
        <f>IFERROR(VLOOKUP(Tablo518[[#This Row],[ÜRÜN KODU]],YMKODLARI!$A$1:$K$363,9,0)," ")</f>
        <v xml:space="preserve"> </v>
      </c>
      <c r="K451" s="100" t="str">
        <f>IFERROR(VLOOKUP(Tablo518[[#This Row],[BOYA KODU]],Tablo14[#All],4,0)," ")</f>
        <v xml:space="preserve"> </v>
      </c>
      <c r="L451" s="100" t="str">
        <f>IFERROR(VLOOKUP(Tablo518[[#This Row],[BOYA KODU]],Tablo14[#All],6,0)," ")</f>
        <v xml:space="preserve"> </v>
      </c>
      <c r="M451" s="100" t="str">
        <f t="shared" si="42"/>
        <v xml:space="preserve"> </v>
      </c>
      <c r="N451" s="100" t="str">
        <f>IFERROR(VLOOKUP(Tablo518[[#This Row],[ÜRÜN KODU]],YMKODLARI!$A$1:$K$363,8,0)," ")</f>
        <v xml:space="preserve"> </v>
      </c>
      <c r="O451" s="100" t="str">
        <f>IFERROR(VLOOKUP(Tablo518[[#This Row],[HAMMADDE KODU]],Tablo1[#All],3,0)," ")</f>
        <v xml:space="preserve"> </v>
      </c>
      <c r="P451" s="100" t="str">
        <f>IFERROR(VLOOKUP(Tablo518[[#This Row],[HAMMADDE KODU]],Tablo1[#All],4,0)," ")</f>
        <v xml:space="preserve"> </v>
      </c>
      <c r="Q451" s="100" t="str">
        <f>IFERROR(VLOOKUP(Tablo518[[#This Row],[ÜRÜN KODU]],YMKODLARI!$A$1:$K$363,5,0)," ")</f>
        <v xml:space="preserve"> </v>
      </c>
      <c r="R451" s="100" t="str">
        <f>IFERROR(VLOOKUP(Tablo518[[#This Row],[ÜRÜN KODU]],YMKODLARI!$A$1:$K$363,6,0)," ")</f>
        <v xml:space="preserve"> </v>
      </c>
      <c r="S451" s="100" t="str">
        <f>IFERROR(Tablo518[[#This Row],[YOLLUK HARİÇ BASKI GRAMI]]/Tablo518[[#This Row],[KALIP GÖZ ADEDİ]]," ")</f>
        <v xml:space="preserve"> </v>
      </c>
      <c r="T451" s="100" t="str">
        <f t="shared" si="44"/>
        <v xml:space="preserve"> </v>
      </c>
      <c r="U451" s="100"/>
      <c r="V451" s="100" t="str">
        <f t="shared" si="43"/>
        <v xml:space="preserve"> </v>
      </c>
      <c r="W451" s="101">
        <f t="shared" si="45"/>
        <v>24</v>
      </c>
      <c r="X451" s="102">
        <f t="shared" si="46"/>
        <v>0</v>
      </c>
      <c r="Y451" s="100" t="str">
        <f t="shared" si="47"/>
        <v xml:space="preserve"> </v>
      </c>
      <c r="Z451" s="100" t="str">
        <f t="shared" si="48"/>
        <v xml:space="preserve"> </v>
      </c>
    </row>
    <row r="452" spans="1:26">
      <c r="A452" s="108"/>
      <c r="B452" s="108" t="str">
        <f>IFERROR(VLOOKUP(Tablo518[[#This Row],[ÜRÜN KODU]],YMKODLARI!$A$1:$K$363,2,0)," ")</f>
        <v xml:space="preserve"> </v>
      </c>
      <c r="C452" s="99"/>
      <c r="D452" s="100"/>
      <c r="E452" s="101"/>
      <c r="F452" s="101"/>
      <c r="G452" s="100" t="str">
        <f>IFERROR(VLOOKUP(Tablo518[[#This Row],[ÜRÜN KODU]],YMKODLARI!$A$1:$K$363,3,0)," ")</f>
        <v xml:space="preserve"> </v>
      </c>
      <c r="H452" s="100" t="str">
        <f>IFERROR(VLOOKUP(Tablo518[[#This Row],[ÜRÜN KODU]],YMKODLARI!$A$1:$K$363,4,0)," ")</f>
        <v xml:space="preserve"> </v>
      </c>
      <c r="I452" s="100"/>
      <c r="J452" s="100" t="str">
        <f>IFERROR(VLOOKUP(Tablo518[[#This Row],[ÜRÜN KODU]],YMKODLARI!$A$1:$K$363,9,0)," ")</f>
        <v xml:space="preserve"> </v>
      </c>
      <c r="K452" s="100" t="str">
        <f>IFERROR(VLOOKUP(Tablo518[[#This Row],[BOYA KODU]],Tablo14[#All],4,0)," ")</f>
        <v xml:space="preserve"> </v>
      </c>
      <c r="L452" s="100" t="str">
        <f>IFERROR(VLOOKUP(Tablo518[[#This Row],[BOYA KODU]],Tablo14[#All],6,0)," ")</f>
        <v xml:space="preserve"> </v>
      </c>
      <c r="M452" s="100" t="str">
        <f t="shared" si="42"/>
        <v xml:space="preserve"> </v>
      </c>
      <c r="N452" s="100" t="str">
        <f>IFERROR(VLOOKUP(Tablo518[[#This Row],[ÜRÜN KODU]],YMKODLARI!$A$1:$K$363,8,0)," ")</f>
        <v xml:space="preserve"> </v>
      </c>
      <c r="O452" s="100" t="str">
        <f>IFERROR(VLOOKUP(Tablo518[[#This Row],[HAMMADDE KODU]],Tablo1[#All],3,0)," ")</f>
        <v xml:space="preserve"> </v>
      </c>
      <c r="P452" s="100" t="str">
        <f>IFERROR(VLOOKUP(Tablo518[[#This Row],[HAMMADDE KODU]],Tablo1[#All],4,0)," ")</f>
        <v xml:space="preserve"> </v>
      </c>
      <c r="Q452" s="100" t="str">
        <f>IFERROR(VLOOKUP(Tablo518[[#This Row],[ÜRÜN KODU]],YMKODLARI!$A$1:$K$363,5,0)," ")</f>
        <v xml:space="preserve"> </v>
      </c>
      <c r="R452" s="100" t="str">
        <f>IFERROR(VLOOKUP(Tablo518[[#This Row],[ÜRÜN KODU]],YMKODLARI!$A$1:$K$363,6,0)," ")</f>
        <v xml:space="preserve"> </v>
      </c>
      <c r="S452" s="100" t="str">
        <f>IFERROR(Tablo518[[#This Row],[YOLLUK HARİÇ BASKI GRAMI]]/Tablo518[[#This Row],[KALIP GÖZ ADEDİ]]," ")</f>
        <v xml:space="preserve"> </v>
      </c>
      <c r="T452" s="100" t="str">
        <f t="shared" si="44"/>
        <v xml:space="preserve"> </v>
      </c>
      <c r="U452" s="100"/>
      <c r="V452" s="100" t="str">
        <f t="shared" si="43"/>
        <v xml:space="preserve"> </v>
      </c>
      <c r="W452" s="101">
        <f t="shared" si="45"/>
        <v>24</v>
      </c>
      <c r="X452" s="102">
        <f t="shared" si="46"/>
        <v>0</v>
      </c>
      <c r="Y452" s="100" t="str">
        <f t="shared" si="47"/>
        <v xml:space="preserve"> </v>
      </c>
      <c r="Z452" s="100" t="str">
        <f t="shared" si="48"/>
        <v xml:space="preserve"> </v>
      </c>
    </row>
    <row r="453" spans="1:26">
      <c r="A453" s="108"/>
      <c r="B453" s="108" t="str">
        <f>IFERROR(VLOOKUP(Tablo518[[#This Row],[ÜRÜN KODU]],YMKODLARI!$A$1:$K$363,2,0)," ")</f>
        <v xml:space="preserve"> </v>
      </c>
      <c r="C453" s="99"/>
      <c r="D453" s="100"/>
      <c r="E453" s="101"/>
      <c r="F453" s="101"/>
      <c r="G453" s="100" t="str">
        <f>IFERROR(VLOOKUP(Tablo518[[#This Row],[ÜRÜN KODU]],YMKODLARI!$A$1:$K$363,3,0)," ")</f>
        <v xml:space="preserve"> </v>
      </c>
      <c r="H453" s="100" t="str">
        <f>IFERROR(VLOOKUP(Tablo518[[#This Row],[ÜRÜN KODU]],YMKODLARI!$A$1:$K$363,4,0)," ")</f>
        <v xml:space="preserve"> </v>
      </c>
      <c r="I453" s="100"/>
      <c r="J453" s="100" t="str">
        <f>IFERROR(VLOOKUP(Tablo518[[#This Row],[ÜRÜN KODU]],YMKODLARI!$A$1:$K$363,9,0)," ")</f>
        <v xml:space="preserve"> </v>
      </c>
      <c r="K453" s="100" t="str">
        <f>IFERROR(VLOOKUP(Tablo518[[#This Row],[BOYA KODU]],Tablo14[#All],4,0)," ")</f>
        <v xml:space="preserve"> </v>
      </c>
      <c r="L453" s="100" t="str">
        <f>IFERROR(VLOOKUP(Tablo518[[#This Row],[BOYA KODU]],Tablo14[#All],6,0)," ")</f>
        <v xml:space="preserve"> </v>
      </c>
      <c r="M453" s="100" t="str">
        <f t="shared" si="42"/>
        <v xml:space="preserve"> </v>
      </c>
      <c r="N453" s="100" t="str">
        <f>IFERROR(VLOOKUP(Tablo518[[#This Row],[ÜRÜN KODU]],YMKODLARI!$A$1:$K$363,8,0)," ")</f>
        <v xml:space="preserve"> </v>
      </c>
      <c r="O453" s="100" t="str">
        <f>IFERROR(VLOOKUP(Tablo518[[#This Row],[HAMMADDE KODU]],Tablo1[#All],3,0)," ")</f>
        <v xml:space="preserve"> </v>
      </c>
      <c r="P453" s="100" t="str">
        <f>IFERROR(VLOOKUP(Tablo518[[#This Row],[HAMMADDE KODU]],Tablo1[#All],4,0)," ")</f>
        <v xml:space="preserve"> </v>
      </c>
      <c r="Q453" s="100" t="str">
        <f>IFERROR(VLOOKUP(Tablo518[[#This Row],[ÜRÜN KODU]],YMKODLARI!$A$1:$K$363,5,0)," ")</f>
        <v xml:space="preserve"> </v>
      </c>
      <c r="R453" s="100" t="str">
        <f>IFERROR(VLOOKUP(Tablo518[[#This Row],[ÜRÜN KODU]],YMKODLARI!$A$1:$K$363,6,0)," ")</f>
        <v xml:space="preserve"> </v>
      </c>
      <c r="S453" s="100" t="str">
        <f>IFERROR(Tablo518[[#This Row],[YOLLUK HARİÇ BASKI GRAMI]]/Tablo518[[#This Row],[KALIP GÖZ ADEDİ]]," ")</f>
        <v xml:space="preserve"> </v>
      </c>
      <c r="T453" s="100" t="str">
        <f t="shared" si="44"/>
        <v xml:space="preserve"> </v>
      </c>
      <c r="U453" s="100"/>
      <c r="V453" s="100" t="str">
        <f t="shared" si="43"/>
        <v xml:space="preserve"> </v>
      </c>
      <c r="W453" s="101">
        <f t="shared" si="45"/>
        <v>24</v>
      </c>
      <c r="X453" s="102">
        <f t="shared" si="46"/>
        <v>0</v>
      </c>
      <c r="Y453" s="100" t="str">
        <f t="shared" si="47"/>
        <v xml:space="preserve"> </v>
      </c>
      <c r="Z453" s="100" t="str">
        <f t="shared" si="48"/>
        <v xml:space="preserve"> </v>
      </c>
    </row>
    <row r="454" spans="1:26">
      <c r="A454" s="108"/>
      <c r="B454" s="108" t="str">
        <f>IFERROR(VLOOKUP(Tablo518[[#This Row],[ÜRÜN KODU]],YMKODLARI!$A$1:$K$363,2,0)," ")</f>
        <v xml:space="preserve"> </v>
      </c>
      <c r="C454" s="99"/>
      <c r="D454" s="100"/>
      <c r="E454" s="101"/>
      <c r="F454" s="101"/>
      <c r="G454" s="100" t="str">
        <f>IFERROR(VLOOKUP(Tablo518[[#This Row],[ÜRÜN KODU]],YMKODLARI!$A$1:$K$363,3,0)," ")</f>
        <v xml:space="preserve"> </v>
      </c>
      <c r="H454" s="100" t="str">
        <f>IFERROR(VLOOKUP(Tablo518[[#This Row],[ÜRÜN KODU]],YMKODLARI!$A$1:$K$363,4,0)," ")</f>
        <v xml:space="preserve"> </v>
      </c>
      <c r="I454" s="100"/>
      <c r="J454" s="100" t="str">
        <f>IFERROR(VLOOKUP(Tablo518[[#This Row],[ÜRÜN KODU]],YMKODLARI!$A$1:$K$363,9,0)," ")</f>
        <v xml:space="preserve"> </v>
      </c>
      <c r="K454" s="100" t="str">
        <f>IFERROR(VLOOKUP(Tablo518[[#This Row],[BOYA KODU]],Tablo14[#All],4,0)," ")</f>
        <v xml:space="preserve"> </v>
      </c>
      <c r="L454" s="100" t="str">
        <f>IFERROR(VLOOKUP(Tablo518[[#This Row],[BOYA KODU]],Tablo14[#All],6,0)," ")</f>
        <v xml:space="preserve"> </v>
      </c>
      <c r="M454" s="100" t="str">
        <f t="shared" si="42"/>
        <v xml:space="preserve"> </v>
      </c>
      <c r="N454" s="100" t="str">
        <f>IFERROR(VLOOKUP(Tablo518[[#This Row],[ÜRÜN KODU]],YMKODLARI!$A$1:$K$363,8,0)," ")</f>
        <v xml:space="preserve"> </v>
      </c>
      <c r="O454" s="100" t="str">
        <f>IFERROR(VLOOKUP(Tablo518[[#This Row],[HAMMADDE KODU]],Tablo1[#All],3,0)," ")</f>
        <v xml:space="preserve"> </v>
      </c>
      <c r="P454" s="100" t="str">
        <f>IFERROR(VLOOKUP(Tablo518[[#This Row],[HAMMADDE KODU]],Tablo1[#All],4,0)," ")</f>
        <v xml:space="preserve"> </v>
      </c>
      <c r="Q454" s="100" t="str">
        <f>IFERROR(VLOOKUP(Tablo518[[#This Row],[ÜRÜN KODU]],YMKODLARI!$A$1:$K$363,5,0)," ")</f>
        <v xml:space="preserve"> </v>
      </c>
      <c r="R454" s="100" t="str">
        <f>IFERROR(VLOOKUP(Tablo518[[#This Row],[ÜRÜN KODU]],YMKODLARI!$A$1:$K$363,6,0)," ")</f>
        <v xml:space="preserve"> </v>
      </c>
      <c r="S454" s="100" t="str">
        <f>IFERROR(Tablo518[[#This Row],[YOLLUK HARİÇ BASKI GRAMI]]/Tablo518[[#This Row],[KALIP GÖZ ADEDİ]]," ")</f>
        <v xml:space="preserve"> </v>
      </c>
      <c r="T454" s="100" t="str">
        <f t="shared" si="44"/>
        <v xml:space="preserve"> </v>
      </c>
      <c r="U454" s="100"/>
      <c r="V454" s="100" t="str">
        <f t="shared" si="43"/>
        <v xml:space="preserve"> </v>
      </c>
      <c r="W454" s="101">
        <f t="shared" si="45"/>
        <v>24</v>
      </c>
      <c r="X454" s="102">
        <f t="shared" si="46"/>
        <v>0</v>
      </c>
      <c r="Y454" s="100" t="str">
        <f t="shared" si="47"/>
        <v xml:space="preserve"> </v>
      </c>
      <c r="Z454" s="100" t="str">
        <f t="shared" si="48"/>
        <v xml:space="preserve"> </v>
      </c>
    </row>
    <row r="455" spans="1:26">
      <c r="A455" s="108"/>
      <c r="B455" s="108" t="str">
        <f>IFERROR(VLOOKUP(Tablo518[[#This Row],[ÜRÜN KODU]],YMKODLARI!$A$1:$K$363,2,0)," ")</f>
        <v xml:space="preserve"> </v>
      </c>
      <c r="C455" s="99"/>
      <c r="D455" s="100"/>
      <c r="E455" s="101"/>
      <c r="F455" s="101"/>
      <c r="G455" s="100" t="str">
        <f>IFERROR(VLOOKUP(Tablo518[[#This Row],[ÜRÜN KODU]],YMKODLARI!$A$1:$K$363,3,0)," ")</f>
        <v xml:space="preserve"> </v>
      </c>
      <c r="H455" s="100" t="str">
        <f>IFERROR(VLOOKUP(Tablo518[[#This Row],[ÜRÜN KODU]],YMKODLARI!$A$1:$K$363,4,0)," ")</f>
        <v xml:space="preserve"> </v>
      </c>
      <c r="I455" s="100"/>
      <c r="J455" s="100" t="str">
        <f>IFERROR(VLOOKUP(Tablo518[[#This Row],[ÜRÜN KODU]],YMKODLARI!$A$1:$K$363,9,0)," ")</f>
        <v xml:space="preserve"> </v>
      </c>
      <c r="K455" s="100" t="str">
        <f>IFERROR(VLOOKUP(Tablo518[[#This Row],[BOYA KODU]],Tablo14[#All],4,0)," ")</f>
        <v xml:space="preserve"> </v>
      </c>
      <c r="L455" s="100" t="str">
        <f>IFERROR(VLOOKUP(Tablo518[[#This Row],[BOYA KODU]],Tablo14[#All],6,0)," ")</f>
        <v xml:space="preserve"> </v>
      </c>
      <c r="M455" s="100" t="str">
        <f t="shared" ref="M455:M518" si="49">IFERROR((I455*Q455)*L455," ")</f>
        <v xml:space="preserve"> </v>
      </c>
      <c r="N455" s="100" t="str">
        <f>IFERROR(VLOOKUP(Tablo518[[#This Row],[ÜRÜN KODU]],YMKODLARI!$A$1:$K$363,8,0)," ")</f>
        <v xml:space="preserve"> </v>
      </c>
      <c r="O455" s="100" t="str">
        <f>IFERROR(VLOOKUP(Tablo518[[#This Row],[HAMMADDE KODU]],Tablo1[#All],3,0)," ")</f>
        <v xml:space="preserve"> </v>
      </c>
      <c r="P455" s="100" t="str">
        <f>IFERROR(VLOOKUP(Tablo518[[#This Row],[HAMMADDE KODU]],Tablo1[#All],4,0)," ")</f>
        <v xml:space="preserve"> </v>
      </c>
      <c r="Q455" s="100" t="str">
        <f>IFERROR(VLOOKUP(Tablo518[[#This Row],[ÜRÜN KODU]],YMKODLARI!$A$1:$K$363,5,0)," ")</f>
        <v xml:space="preserve"> </v>
      </c>
      <c r="R455" s="100" t="str">
        <f>IFERROR(VLOOKUP(Tablo518[[#This Row],[ÜRÜN KODU]],YMKODLARI!$A$1:$K$363,6,0)," ")</f>
        <v xml:space="preserve"> </v>
      </c>
      <c r="S455" s="100" t="str">
        <f>IFERROR(Tablo518[[#This Row],[YOLLUK HARİÇ BASKI GRAMI]]/Tablo518[[#This Row],[KALIP GÖZ ADEDİ]]," ")</f>
        <v xml:space="preserve"> </v>
      </c>
      <c r="T455" s="100" t="str">
        <f t="shared" si="44"/>
        <v xml:space="preserve"> </v>
      </c>
      <c r="U455" s="100"/>
      <c r="V455" s="100" t="str">
        <f t="shared" ref="V455:V518" si="50">IFERROR(U455+(R455*I455) /1000," ")</f>
        <v xml:space="preserve"> </v>
      </c>
      <c r="W455" s="101">
        <f t="shared" si="45"/>
        <v>24</v>
      </c>
      <c r="X455" s="102">
        <f t="shared" si="46"/>
        <v>0</v>
      </c>
      <c r="Y455" s="100" t="str">
        <f t="shared" si="47"/>
        <v xml:space="preserve"> </v>
      </c>
      <c r="Z455" s="100" t="str">
        <f t="shared" si="48"/>
        <v xml:space="preserve"> </v>
      </c>
    </row>
    <row r="456" spans="1:26">
      <c r="A456" s="108"/>
      <c r="B456" s="108" t="str">
        <f>IFERROR(VLOOKUP(Tablo518[[#This Row],[ÜRÜN KODU]],YMKODLARI!$A$1:$K$363,2,0)," ")</f>
        <v xml:space="preserve"> </v>
      </c>
      <c r="C456" s="99"/>
      <c r="D456" s="100"/>
      <c r="E456" s="101"/>
      <c r="F456" s="101"/>
      <c r="G456" s="100" t="str">
        <f>IFERROR(VLOOKUP(Tablo518[[#This Row],[ÜRÜN KODU]],YMKODLARI!$A$1:$K$363,3,0)," ")</f>
        <v xml:space="preserve"> </v>
      </c>
      <c r="H456" s="100" t="str">
        <f>IFERROR(VLOOKUP(Tablo518[[#This Row],[ÜRÜN KODU]],YMKODLARI!$A$1:$K$363,4,0)," ")</f>
        <v xml:space="preserve"> </v>
      </c>
      <c r="I456" s="100"/>
      <c r="J456" s="100" t="str">
        <f>IFERROR(VLOOKUP(Tablo518[[#This Row],[ÜRÜN KODU]],YMKODLARI!$A$1:$K$363,9,0)," ")</f>
        <v xml:space="preserve"> </v>
      </c>
      <c r="K456" s="100" t="str">
        <f>IFERROR(VLOOKUP(Tablo518[[#This Row],[BOYA KODU]],Tablo14[#All],4,0)," ")</f>
        <v xml:space="preserve"> </v>
      </c>
      <c r="L456" s="100" t="str">
        <f>IFERROR(VLOOKUP(Tablo518[[#This Row],[BOYA KODU]],Tablo14[#All],6,0)," ")</f>
        <v xml:space="preserve"> </v>
      </c>
      <c r="M456" s="100" t="str">
        <f t="shared" si="49"/>
        <v xml:space="preserve"> </v>
      </c>
      <c r="N456" s="100" t="str">
        <f>IFERROR(VLOOKUP(Tablo518[[#This Row],[ÜRÜN KODU]],YMKODLARI!$A$1:$K$363,8,0)," ")</f>
        <v xml:space="preserve"> </v>
      </c>
      <c r="O456" s="100" t="str">
        <f>IFERROR(VLOOKUP(Tablo518[[#This Row],[HAMMADDE KODU]],Tablo1[#All],3,0)," ")</f>
        <v xml:space="preserve"> </v>
      </c>
      <c r="P456" s="100" t="str">
        <f>IFERROR(VLOOKUP(Tablo518[[#This Row],[HAMMADDE KODU]],Tablo1[#All],4,0)," ")</f>
        <v xml:space="preserve"> </v>
      </c>
      <c r="Q456" s="100" t="str">
        <f>IFERROR(VLOOKUP(Tablo518[[#This Row],[ÜRÜN KODU]],YMKODLARI!$A$1:$K$363,5,0)," ")</f>
        <v xml:space="preserve"> </v>
      </c>
      <c r="R456" s="100" t="str">
        <f>IFERROR(VLOOKUP(Tablo518[[#This Row],[ÜRÜN KODU]],YMKODLARI!$A$1:$K$363,6,0)," ")</f>
        <v xml:space="preserve"> </v>
      </c>
      <c r="S456" s="100" t="str">
        <f>IFERROR(Tablo518[[#This Row],[YOLLUK HARİÇ BASKI GRAMI]]/Tablo518[[#This Row],[KALIP GÖZ ADEDİ]]," ")</f>
        <v xml:space="preserve"> </v>
      </c>
      <c r="T456" s="100" t="str">
        <f t="shared" ref="T456:T519" si="51">IFERROR(Q456-R456," ")</f>
        <v xml:space="preserve"> </v>
      </c>
      <c r="U456" s="100"/>
      <c r="V456" s="100" t="str">
        <f t="shared" si="50"/>
        <v xml:space="preserve"> </v>
      </c>
      <c r="W456" s="101">
        <f t="shared" ref="W456:W519" si="52">IFERROR(24-(E456-F456)," ")</f>
        <v>24</v>
      </c>
      <c r="X456" s="102">
        <f t="shared" ref="X456:X519" si="53">IFERROR((W456-INT(W456))*24," ")</f>
        <v>0</v>
      </c>
      <c r="Y456" s="100" t="str">
        <f t="shared" ref="Y456:Y519" si="54">IFERROR(H456*I456/3600," ")</f>
        <v xml:space="preserve"> </v>
      </c>
      <c r="Z456" s="100" t="str">
        <f t="shared" ref="Z456:Z519" si="55">IFERROR(I456*G456," " )</f>
        <v xml:space="preserve"> </v>
      </c>
    </row>
    <row r="457" spans="1:26">
      <c r="A457" s="108"/>
      <c r="B457" s="108" t="str">
        <f>IFERROR(VLOOKUP(Tablo518[[#This Row],[ÜRÜN KODU]],YMKODLARI!$A$1:$K$363,2,0)," ")</f>
        <v xml:space="preserve"> </v>
      </c>
      <c r="C457" s="99"/>
      <c r="D457" s="100"/>
      <c r="E457" s="101"/>
      <c r="F457" s="101"/>
      <c r="G457" s="100" t="str">
        <f>IFERROR(VLOOKUP(Tablo518[[#This Row],[ÜRÜN KODU]],YMKODLARI!$A$1:$K$363,3,0)," ")</f>
        <v xml:space="preserve"> </v>
      </c>
      <c r="H457" s="100" t="str">
        <f>IFERROR(VLOOKUP(Tablo518[[#This Row],[ÜRÜN KODU]],YMKODLARI!$A$1:$K$363,4,0)," ")</f>
        <v xml:space="preserve"> </v>
      </c>
      <c r="I457" s="100"/>
      <c r="J457" s="100" t="str">
        <f>IFERROR(VLOOKUP(Tablo518[[#This Row],[ÜRÜN KODU]],YMKODLARI!$A$1:$K$363,9,0)," ")</f>
        <v xml:space="preserve"> </v>
      </c>
      <c r="K457" s="100" t="str">
        <f>IFERROR(VLOOKUP(Tablo518[[#This Row],[BOYA KODU]],Tablo14[#All],4,0)," ")</f>
        <v xml:space="preserve"> </v>
      </c>
      <c r="L457" s="100" t="str">
        <f>IFERROR(VLOOKUP(Tablo518[[#This Row],[BOYA KODU]],Tablo14[#All],6,0)," ")</f>
        <v xml:space="preserve"> </v>
      </c>
      <c r="M457" s="100" t="str">
        <f t="shared" si="49"/>
        <v xml:space="preserve"> </v>
      </c>
      <c r="N457" s="100" t="str">
        <f>IFERROR(VLOOKUP(Tablo518[[#This Row],[ÜRÜN KODU]],YMKODLARI!$A$1:$K$363,8,0)," ")</f>
        <v xml:space="preserve"> </v>
      </c>
      <c r="O457" s="100" t="str">
        <f>IFERROR(VLOOKUP(Tablo518[[#This Row],[HAMMADDE KODU]],Tablo1[#All],3,0)," ")</f>
        <v xml:space="preserve"> </v>
      </c>
      <c r="P457" s="100" t="str">
        <f>IFERROR(VLOOKUP(Tablo518[[#This Row],[HAMMADDE KODU]],Tablo1[#All],4,0)," ")</f>
        <v xml:space="preserve"> </v>
      </c>
      <c r="Q457" s="100" t="str">
        <f>IFERROR(VLOOKUP(Tablo518[[#This Row],[ÜRÜN KODU]],YMKODLARI!$A$1:$K$363,5,0)," ")</f>
        <v xml:space="preserve"> </v>
      </c>
      <c r="R457" s="100" t="str">
        <f>IFERROR(VLOOKUP(Tablo518[[#This Row],[ÜRÜN KODU]],YMKODLARI!$A$1:$K$363,6,0)," ")</f>
        <v xml:space="preserve"> </v>
      </c>
      <c r="S457" s="100" t="str">
        <f>IFERROR(Tablo518[[#This Row],[YOLLUK HARİÇ BASKI GRAMI]]/Tablo518[[#This Row],[KALIP GÖZ ADEDİ]]," ")</f>
        <v xml:space="preserve"> </v>
      </c>
      <c r="T457" s="100" t="str">
        <f t="shared" si="51"/>
        <v xml:space="preserve"> </v>
      </c>
      <c r="U457" s="100"/>
      <c r="V457" s="100" t="str">
        <f t="shared" si="50"/>
        <v xml:space="preserve"> </v>
      </c>
      <c r="W457" s="101">
        <f t="shared" si="52"/>
        <v>24</v>
      </c>
      <c r="X457" s="102">
        <f t="shared" si="53"/>
        <v>0</v>
      </c>
      <c r="Y457" s="100" t="str">
        <f t="shared" si="54"/>
        <v xml:space="preserve"> </v>
      </c>
      <c r="Z457" s="100" t="str">
        <f t="shared" si="55"/>
        <v xml:space="preserve"> </v>
      </c>
    </row>
    <row r="458" spans="1:26">
      <c r="A458" s="108"/>
      <c r="B458" s="108" t="str">
        <f>IFERROR(VLOOKUP(Tablo518[[#This Row],[ÜRÜN KODU]],YMKODLARI!$A$1:$K$363,2,0)," ")</f>
        <v xml:space="preserve"> </v>
      </c>
      <c r="C458" s="99"/>
      <c r="D458" s="100"/>
      <c r="E458" s="101"/>
      <c r="F458" s="101"/>
      <c r="G458" s="100" t="str">
        <f>IFERROR(VLOOKUP(Tablo518[[#This Row],[ÜRÜN KODU]],YMKODLARI!$A$1:$K$363,3,0)," ")</f>
        <v xml:space="preserve"> </v>
      </c>
      <c r="H458" s="100" t="str">
        <f>IFERROR(VLOOKUP(Tablo518[[#This Row],[ÜRÜN KODU]],YMKODLARI!$A$1:$K$363,4,0)," ")</f>
        <v xml:space="preserve"> </v>
      </c>
      <c r="I458" s="100"/>
      <c r="J458" s="100" t="str">
        <f>IFERROR(VLOOKUP(Tablo518[[#This Row],[ÜRÜN KODU]],YMKODLARI!$A$1:$K$363,9,0)," ")</f>
        <v xml:space="preserve"> </v>
      </c>
      <c r="K458" s="100" t="str">
        <f>IFERROR(VLOOKUP(Tablo518[[#This Row],[BOYA KODU]],Tablo14[#All],4,0)," ")</f>
        <v xml:space="preserve"> </v>
      </c>
      <c r="L458" s="100" t="str">
        <f>IFERROR(VLOOKUP(Tablo518[[#This Row],[BOYA KODU]],Tablo14[#All],6,0)," ")</f>
        <v xml:space="preserve"> </v>
      </c>
      <c r="M458" s="100" t="str">
        <f t="shared" si="49"/>
        <v xml:space="preserve"> </v>
      </c>
      <c r="N458" s="100" t="str">
        <f>IFERROR(VLOOKUP(Tablo518[[#This Row],[ÜRÜN KODU]],YMKODLARI!$A$1:$K$363,8,0)," ")</f>
        <v xml:space="preserve"> </v>
      </c>
      <c r="O458" s="100" t="str">
        <f>IFERROR(VLOOKUP(Tablo518[[#This Row],[HAMMADDE KODU]],Tablo1[#All],3,0)," ")</f>
        <v xml:space="preserve"> </v>
      </c>
      <c r="P458" s="100" t="str">
        <f>IFERROR(VLOOKUP(Tablo518[[#This Row],[HAMMADDE KODU]],Tablo1[#All],4,0)," ")</f>
        <v xml:space="preserve"> </v>
      </c>
      <c r="Q458" s="100" t="str">
        <f>IFERROR(VLOOKUP(Tablo518[[#This Row],[ÜRÜN KODU]],YMKODLARI!$A$1:$K$363,5,0)," ")</f>
        <v xml:space="preserve"> </v>
      </c>
      <c r="R458" s="100" t="str">
        <f>IFERROR(VLOOKUP(Tablo518[[#This Row],[ÜRÜN KODU]],YMKODLARI!$A$1:$K$363,6,0)," ")</f>
        <v xml:space="preserve"> </v>
      </c>
      <c r="S458" s="100" t="str">
        <f>IFERROR(Tablo518[[#This Row],[YOLLUK HARİÇ BASKI GRAMI]]/Tablo518[[#This Row],[KALIP GÖZ ADEDİ]]," ")</f>
        <v xml:space="preserve"> </v>
      </c>
      <c r="T458" s="100" t="str">
        <f t="shared" si="51"/>
        <v xml:space="preserve"> </v>
      </c>
      <c r="U458" s="100"/>
      <c r="V458" s="100" t="str">
        <f t="shared" si="50"/>
        <v xml:space="preserve"> </v>
      </c>
      <c r="W458" s="101">
        <f t="shared" si="52"/>
        <v>24</v>
      </c>
      <c r="X458" s="102">
        <f t="shared" si="53"/>
        <v>0</v>
      </c>
      <c r="Y458" s="100" t="str">
        <f t="shared" si="54"/>
        <v xml:space="preserve"> </v>
      </c>
      <c r="Z458" s="100" t="str">
        <f t="shared" si="55"/>
        <v xml:space="preserve"> </v>
      </c>
    </row>
    <row r="459" spans="1:26">
      <c r="A459" s="108"/>
      <c r="B459" s="108" t="str">
        <f>IFERROR(VLOOKUP(Tablo518[[#This Row],[ÜRÜN KODU]],YMKODLARI!$A$1:$K$363,2,0)," ")</f>
        <v xml:space="preserve"> </v>
      </c>
      <c r="C459" s="99"/>
      <c r="D459" s="100"/>
      <c r="E459" s="101"/>
      <c r="F459" s="101"/>
      <c r="G459" s="100" t="str">
        <f>IFERROR(VLOOKUP(Tablo518[[#This Row],[ÜRÜN KODU]],YMKODLARI!$A$1:$K$363,3,0)," ")</f>
        <v xml:space="preserve"> </v>
      </c>
      <c r="H459" s="100" t="str">
        <f>IFERROR(VLOOKUP(Tablo518[[#This Row],[ÜRÜN KODU]],YMKODLARI!$A$1:$K$363,4,0)," ")</f>
        <v xml:space="preserve"> </v>
      </c>
      <c r="I459" s="100"/>
      <c r="J459" s="100" t="str">
        <f>IFERROR(VLOOKUP(Tablo518[[#This Row],[ÜRÜN KODU]],YMKODLARI!$A$1:$K$363,9,0)," ")</f>
        <v xml:space="preserve"> </v>
      </c>
      <c r="K459" s="100" t="str">
        <f>IFERROR(VLOOKUP(Tablo518[[#This Row],[BOYA KODU]],Tablo14[#All],4,0)," ")</f>
        <v xml:space="preserve"> </v>
      </c>
      <c r="L459" s="100" t="str">
        <f>IFERROR(VLOOKUP(Tablo518[[#This Row],[BOYA KODU]],Tablo14[#All],6,0)," ")</f>
        <v xml:space="preserve"> </v>
      </c>
      <c r="M459" s="100" t="str">
        <f t="shared" si="49"/>
        <v xml:space="preserve"> </v>
      </c>
      <c r="N459" s="100" t="str">
        <f>IFERROR(VLOOKUP(Tablo518[[#This Row],[ÜRÜN KODU]],YMKODLARI!$A$1:$K$363,8,0)," ")</f>
        <v xml:space="preserve"> </v>
      </c>
      <c r="O459" s="100" t="str">
        <f>IFERROR(VLOOKUP(Tablo518[[#This Row],[HAMMADDE KODU]],Tablo1[#All],3,0)," ")</f>
        <v xml:space="preserve"> </v>
      </c>
      <c r="P459" s="100" t="str">
        <f>IFERROR(VLOOKUP(Tablo518[[#This Row],[HAMMADDE KODU]],Tablo1[#All],4,0)," ")</f>
        <v xml:space="preserve"> </v>
      </c>
      <c r="Q459" s="100" t="str">
        <f>IFERROR(VLOOKUP(Tablo518[[#This Row],[ÜRÜN KODU]],YMKODLARI!$A$1:$K$363,5,0)," ")</f>
        <v xml:space="preserve"> </v>
      </c>
      <c r="R459" s="100" t="str">
        <f>IFERROR(VLOOKUP(Tablo518[[#This Row],[ÜRÜN KODU]],YMKODLARI!$A$1:$K$363,6,0)," ")</f>
        <v xml:space="preserve"> </v>
      </c>
      <c r="S459" s="100" t="str">
        <f>IFERROR(Tablo518[[#This Row],[YOLLUK HARİÇ BASKI GRAMI]]/Tablo518[[#This Row],[KALIP GÖZ ADEDİ]]," ")</f>
        <v xml:space="preserve"> </v>
      </c>
      <c r="T459" s="100" t="str">
        <f t="shared" si="51"/>
        <v xml:space="preserve"> </v>
      </c>
      <c r="U459" s="100"/>
      <c r="V459" s="100" t="str">
        <f t="shared" si="50"/>
        <v xml:space="preserve"> </v>
      </c>
      <c r="W459" s="101">
        <f t="shared" si="52"/>
        <v>24</v>
      </c>
      <c r="X459" s="102">
        <f t="shared" si="53"/>
        <v>0</v>
      </c>
      <c r="Y459" s="100" t="str">
        <f t="shared" si="54"/>
        <v xml:space="preserve"> </v>
      </c>
      <c r="Z459" s="100" t="str">
        <f t="shared" si="55"/>
        <v xml:space="preserve"> </v>
      </c>
    </row>
    <row r="460" spans="1:26">
      <c r="A460" s="108"/>
      <c r="B460" s="108" t="str">
        <f>IFERROR(VLOOKUP(Tablo518[[#This Row],[ÜRÜN KODU]],YMKODLARI!$A$1:$K$363,2,0)," ")</f>
        <v xml:space="preserve"> </v>
      </c>
      <c r="C460" s="99"/>
      <c r="D460" s="100"/>
      <c r="E460" s="101"/>
      <c r="F460" s="101"/>
      <c r="G460" s="100" t="str">
        <f>IFERROR(VLOOKUP(Tablo518[[#This Row],[ÜRÜN KODU]],YMKODLARI!$A$1:$K$363,3,0)," ")</f>
        <v xml:space="preserve"> </v>
      </c>
      <c r="H460" s="100" t="str">
        <f>IFERROR(VLOOKUP(Tablo518[[#This Row],[ÜRÜN KODU]],YMKODLARI!$A$1:$K$363,4,0)," ")</f>
        <v xml:space="preserve"> </v>
      </c>
      <c r="I460" s="100"/>
      <c r="J460" s="100" t="str">
        <f>IFERROR(VLOOKUP(Tablo518[[#This Row],[ÜRÜN KODU]],YMKODLARI!$A$1:$K$363,9,0)," ")</f>
        <v xml:space="preserve"> </v>
      </c>
      <c r="K460" s="100" t="str">
        <f>IFERROR(VLOOKUP(Tablo518[[#This Row],[BOYA KODU]],Tablo14[#All],4,0)," ")</f>
        <v xml:space="preserve"> </v>
      </c>
      <c r="L460" s="100" t="str">
        <f>IFERROR(VLOOKUP(Tablo518[[#This Row],[BOYA KODU]],Tablo14[#All],6,0)," ")</f>
        <v xml:space="preserve"> </v>
      </c>
      <c r="M460" s="100" t="str">
        <f t="shared" si="49"/>
        <v xml:space="preserve"> </v>
      </c>
      <c r="N460" s="100" t="str">
        <f>IFERROR(VLOOKUP(Tablo518[[#This Row],[ÜRÜN KODU]],YMKODLARI!$A$1:$K$363,8,0)," ")</f>
        <v xml:space="preserve"> </v>
      </c>
      <c r="O460" s="100" t="str">
        <f>IFERROR(VLOOKUP(Tablo518[[#This Row],[HAMMADDE KODU]],Tablo1[#All],3,0)," ")</f>
        <v xml:space="preserve"> </v>
      </c>
      <c r="P460" s="100" t="str">
        <f>IFERROR(VLOOKUP(Tablo518[[#This Row],[HAMMADDE KODU]],Tablo1[#All],4,0)," ")</f>
        <v xml:space="preserve"> </v>
      </c>
      <c r="Q460" s="100" t="str">
        <f>IFERROR(VLOOKUP(Tablo518[[#This Row],[ÜRÜN KODU]],YMKODLARI!$A$1:$K$363,5,0)," ")</f>
        <v xml:space="preserve"> </v>
      </c>
      <c r="R460" s="100" t="str">
        <f>IFERROR(VLOOKUP(Tablo518[[#This Row],[ÜRÜN KODU]],YMKODLARI!$A$1:$K$363,6,0)," ")</f>
        <v xml:space="preserve"> </v>
      </c>
      <c r="S460" s="100" t="str">
        <f>IFERROR(Tablo518[[#This Row],[YOLLUK HARİÇ BASKI GRAMI]]/Tablo518[[#This Row],[KALIP GÖZ ADEDİ]]," ")</f>
        <v xml:space="preserve"> </v>
      </c>
      <c r="T460" s="100" t="str">
        <f t="shared" si="51"/>
        <v xml:space="preserve"> </v>
      </c>
      <c r="U460" s="100"/>
      <c r="V460" s="100" t="str">
        <f t="shared" si="50"/>
        <v xml:space="preserve"> </v>
      </c>
      <c r="W460" s="101">
        <f t="shared" si="52"/>
        <v>24</v>
      </c>
      <c r="X460" s="102">
        <f t="shared" si="53"/>
        <v>0</v>
      </c>
      <c r="Y460" s="100" t="str">
        <f t="shared" si="54"/>
        <v xml:space="preserve"> </v>
      </c>
      <c r="Z460" s="100" t="str">
        <f t="shared" si="55"/>
        <v xml:space="preserve"> </v>
      </c>
    </row>
    <row r="461" spans="1:26">
      <c r="A461" s="108"/>
      <c r="B461" s="108" t="str">
        <f>IFERROR(VLOOKUP(Tablo518[[#This Row],[ÜRÜN KODU]],YMKODLARI!$A$1:$K$363,2,0)," ")</f>
        <v xml:space="preserve"> </v>
      </c>
      <c r="C461" s="99"/>
      <c r="D461" s="100"/>
      <c r="E461" s="101"/>
      <c r="F461" s="101"/>
      <c r="G461" s="100" t="str">
        <f>IFERROR(VLOOKUP(Tablo518[[#This Row],[ÜRÜN KODU]],YMKODLARI!$A$1:$K$363,3,0)," ")</f>
        <v xml:space="preserve"> </v>
      </c>
      <c r="H461" s="100" t="str">
        <f>IFERROR(VLOOKUP(Tablo518[[#This Row],[ÜRÜN KODU]],YMKODLARI!$A$1:$K$363,4,0)," ")</f>
        <v xml:space="preserve"> </v>
      </c>
      <c r="I461" s="100"/>
      <c r="J461" s="100" t="str">
        <f>IFERROR(VLOOKUP(Tablo518[[#This Row],[ÜRÜN KODU]],YMKODLARI!$A$1:$K$363,9,0)," ")</f>
        <v xml:space="preserve"> </v>
      </c>
      <c r="K461" s="100" t="str">
        <f>IFERROR(VLOOKUP(Tablo518[[#This Row],[BOYA KODU]],Tablo14[#All],4,0)," ")</f>
        <v xml:space="preserve"> </v>
      </c>
      <c r="L461" s="100" t="str">
        <f>IFERROR(VLOOKUP(Tablo518[[#This Row],[BOYA KODU]],Tablo14[#All],6,0)," ")</f>
        <v xml:space="preserve"> </v>
      </c>
      <c r="M461" s="100" t="str">
        <f t="shared" si="49"/>
        <v xml:space="preserve"> </v>
      </c>
      <c r="N461" s="100" t="str">
        <f>IFERROR(VLOOKUP(Tablo518[[#This Row],[ÜRÜN KODU]],YMKODLARI!$A$1:$K$363,8,0)," ")</f>
        <v xml:space="preserve"> </v>
      </c>
      <c r="O461" s="100" t="str">
        <f>IFERROR(VLOOKUP(Tablo518[[#This Row],[HAMMADDE KODU]],Tablo1[#All],3,0)," ")</f>
        <v xml:space="preserve"> </v>
      </c>
      <c r="P461" s="100" t="str">
        <f>IFERROR(VLOOKUP(Tablo518[[#This Row],[HAMMADDE KODU]],Tablo1[#All],4,0)," ")</f>
        <v xml:space="preserve"> </v>
      </c>
      <c r="Q461" s="100" t="str">
        <f>IFERROR(VLOOKUP(Tablo518[[#This Row],[ÜRÜN KODU]],YMKODLARI!$A$1:$K$363,5,0)," ")</f>
        <v xml:space="preserve"> </v>
      </c>
      <c r="R461" s="100" t="str">
        <f>IFERROR(VLOOKUP(Tablo518[[#This Row],[ÜRÜN KODU]],YMKODLARI!$A$1:$K$363,6,0)," ")</f>
        <v xml:space="preserve"> </v>
      </c>
      <c r="S461" s="100" t="str">
        <f>IFERROR(Tablo518[[#This Row],[YOLLUK HARİÇ BASKI GRAMI]]/Tablo518[[#This Row],[KALIP GÖZ ADEDİ]]," ")</f>
        <v xml:space="preserve"> </v>
      </c>
      <c r="T461" s="100" t="str">
        <f t="shared" si="51"/>
        <v xml:space="preserve"> </v>
      </c>
      <c r="U461" s="100"/>
      <c r="V461" s="100" t="str">
        <f t="shared" si="50"/>
        <v xml:space="preserve"> </v>
      </c>
      <c r="W461" s="101">
        <f t="shared" si="52"/>
        <v>24</v>
      </c>
      <c r="X461" s="102">
        <f t="shared" si="53"/>
        <v>0</v>
      </c>
      <c r="Y461" s="100" t="str">
        <f t="shared" si="54"/>
        <v xml:space="preserve"> </v>
      </c>
      <c r="Z461" s="100" t="str">
        <f t="shared" si="55"/>
        <v xml:space="preserve"> </v>
      </c>
    </row>
    <row r="462" spans="1:26">
      <c r="A462" s="108"/>
      <c r="B462" s="108" t="str">
        <f>IFERROR(VLOOKUP(Tablo518[[#This Row],[ÜRÜN KODU]],YMKODLARI!$A$1:$K$363,2,0)," ")</f>
        <v xml:space="preserve"> </v>
      </c>
      <c r="C462" s="99"/>
      <c r="D462" s="100"/>
      <c r="E462" s="101"/>
      <c r="F462" s="101"/>
      <c r="G462" s="100" t="str">
        <f>IFERROR(VLOOKUP(Tablo518[[#This Row],[ÜRÜN KODU]],YMKODLARI!$A$1:$K$363,3,0)," ")</f>
        <v xml:space="preserve"> </v>
      </c>
      <c r="H462" s="100" t="str">
        <f>IFERROR(VLOOKUP(Tablo518[[#This Row],[ÜRÜN KODU]],YMKODLARI!$A$1:$K$363,4,0)," ")</f>
        <v xml:space="preserve"> </v>
      </c>
      <c r="I462" s="100"/>
      <c r="J462" s="100" t="str">
        <f>IFERROR(VLOOKUP(Tablo518[[#This Row],[ÜRÜN KODU]],YMKODLARI!$A$1:$K$363,9,0)," ")</f>
        <v xml:space="preserve"> </v>
      </c>
      <c r="K462" s="100" t="str">
        <f>IFERROR(VLOOKUP(Tablo518[[#This Row],[BOYA KODU]],Tablo14[#All],4,0)," ")</f>
        <v xml:space="preserve"> </v>
      </c>
      <c r="L462" s="100" t="str">
        <f>IFERROR(VLOOKUP(Tablo518[[#This Row],[BOYA KODU]],Tablo14[#All],6,0)," ")</f>
        <v xml:space="preserve"> </v>
      </c>
      <c r="M462" s="100" t="str">
        <f t="shared" si="49"/>
        <v xml:space="preserve"> </v>
      </c>
      <c r="N462" s="100" t="str">
        <f>IFERROR(VLOOKUP(Tablo518[[#This Row],[ÜRÜN KODU]],YMKODLARI!$A$1:$K$363,8,0)," ")</f>
        <v xml:space="preserve"> </v>
      </c>
      <c r="O462" s="100" t="str">
        <f>IFERROR(VLOOKUP(Tablo518[[#This Row],[HAMMADDE KODU]],Tablo1[#All],3,0)," ")</f>
        <v xml:space="preserve"> </v>
      </c>
      <c r="P462" s="100" t="str">
        <f>IFERROR(VLOOKUP(Tablo518[[#This Row],[HAMMADDE KODU]],Tablo1[#All],4,0)," ")</f>
        <v xml:space="preserve"> </v>
      </c>
      <c r="Q462" s="100" t="str">
        <f>IFERROR(VLOOKUP(Tablo518[[#This Row],[ÜRÜN KODU]],YMKODLARI!$A$1:$K$363,5,0)," ")</f>
        <v xml:space="preserve"> </v>
      </c>
      <c r="R462" s="100" t="str">
        <f>IFERROR(VLOOKUP(Tablo518[[#This Row],[ÜRÜN KODU]],YMKODLARI!$A$1:$K$363,6,0)," ")</f>
        <v xml:space="preserve"> </v>
      </c>
      <c r="S462" s="100" t="str">
        <f>IFERROR(Tablo518[[#This Row],[YOLLUK HARİÇ BASKI GRAMI]]/Tablo518[[#This Row],[KALIP GÖZ ADEDİ]]," ")</f>
        <v xml:space="preserve"> </v>
      </c>
      <c r="T462" s="100" t="str">
        <f t="shared" si="51"/>
        <v xml:space="preserve"> </v>
      </c>
      <c r="U462" s="100"/>
      <c r="V462" s="100" t="str">
        <f t="shared" si="50"/>
        <v xml:space="preserve"> </v>
      </c>
      <c r="W462" s="101">
        <f t="shared" si="52"/>
        <v>24</v>
      </c>
      <c r="X462" s="102">
        <f t="shared" si="53"/>
        <v>0</v>
      </c>
      <c r="Y462" s="100" t="str">
        <f t="shared" si="54"/>
        <v xml:space="preserve"> </v>
      </c>
      <c r="Z462" s="100" t="str">
        <f t="shared" si="55"/>
        <v xml:space="preserve"> </v>
      </c>
    </row>
    <row r="463" spans="1:26">
      <c r="A463" s="108"/>
      <c r="B463" s="108" t="str">
        <f>IFERROR(VLOOKUP(Tablo518[[#This Row],[ÜRÜN KODU]],YMKODLARI!$A$1:$K$363,2,0)," ")</f>
        <v xml:space="preserve"> </v>
      </c>
      <c r="C463" s="99"/>
      <c r="D463" s="100"/>
      <c r="E463" s="101"/>
      <c r="F463" s="101"/>
      <c r="G463" s="100" t="str">
        <f>IFERROR(VLOOKUP(Tablo518[[#This Row],[ÜRÜN KODU]],YMKODLARI!$A$1:$K$363,3,0)," ")</f>
        <v xml:space="preserve"> </v>
      </c>
      <c r="H463" s="100" t="str">
        <f>IFERROR(VLOOKUP(Tablo518[[#This Row],[ÜRÜN KODU]],YMKODLARI!$A$1:$K$363,4,0)," ")</f>
        <v xml:space="preserve"> </v>
      </c>
      <c r="I463" s="100"/>
      <c r="J463" s="100" t="str">
        <f>IFERROR(VLOOKUP(Tablo518[[#This Row],[ÜRÜN KODU]],YMKODLARI!$A$1:$K$363,9,0)," ")</f>
        <v xml:space="preserve"> </v>
      </c>
      <c r="K463" s="100" t="str">
        <f>IFERROR(VLOOKUP(Tablo518[[#This Row],[BOYA KODU]],Tablo14[#All],4,0)," ")</f>
        <v xml:space="preserve"> </v>
      </c>
      <c r="L463" s="100" t="str">
        <f>IFERROR(VLOOKUP(Tablo518[[#This Row],[BOYA KODU]],Tablo14[#All],6,0)," ")</f>
        <v xml:space="preserve"> </v>
      </c>
      <c r="M463" s="100" t="str">
        <f t="shared" si="49"/>
        <v xml:space="preserve"> </v>
      </c>
      <c r="N463" s="100" t="str">
        <f>IFERROR(VLOOKUP(Tablo518[[#This Row],[ÜRÜN KODU]],YMKODLARI!$A$1:$K$363,8,0)," ")</f>
        <v xml:space="preserve"> </v>
      </c>
      <c r="O463" s="100" t="str">
        <f>IFERROR(VLOOKUP(Tablo518[[#This Row],[HAMMADDE KODU]],Tablo1[#All],3,0)," ")</f>
        <v xml:space="preserve"> </v>
      </c>
      <c r="P463" s="100" t="str">
        <f>IFERROR(VLOOKUP(Tablo518[[#This Row],[HAMMADDE KODU]],Tablo1[#All],4,0)," ")</f>
        <v xml:space="preserve"> </v>
      </c>
      <c r="Q463" s="100" t="str">
        <f>IFERROR(VLOOKUP(Tablo518[[#This Row],[ÜRÜN KODU]],YMKODLARI!$A$1:$K$363,5,0)," ")</f>
        <v xml:space="preserve"> </v>
      </c>
      <c r="R463" s="100" t="str">
        <f>IFERROR(VLOOKUP(Tablo518[[#This Row],[ÜRÜN KODU]],YMKODLARI!$A$1:$K$363,6,0)," ")</f>
        <v xml:space="preserve"> </v>
      </c>
      <c r="S463" s="100" t="str">
        <f>IFERROR(Tablo518[[#This Row],[YOLLUK HARİÇ BASKI GRAMI]]/Tablo518[[#This Row],[KALIP GÖZ ADEDİ]]," ")</f>
        <v xml:space="preserve"> </v>
      </c>
      <c r="T463" s="100" t="str">
        <f t="shared" si="51"/>
        <v xml:space="preserve"> </v>
      </c>
      <c r="U463" s="100"/>
      <c r="V463" s="100" t="str">
        <f t="shared" si="50"/>
        <v xml:space="preserve"> </v>
      </c>
      <c r="W463" s="101">
        <f t="shared" si="52"/>
        <v>24</v>
      </c>
      <c r="X463" s="102">
        <f t="shared" si="53"/>
        <v>0</v>
      </c>
      <c r="Y463" s="100" t="str">
        <f t="shared" si="54"/>
        <v xml:space="preserve"> </v>
      </c>
      <c r="Z463" s="100" t="str">
        <f t="shared" si="55"/>
        <v xml:space="preserve"> </v>
      </c>
    </row>
    <row r="464" spans="1:26">
      <c r="A464" s="108"/>
      <c r="B464" s="108" t="str">
        <f>IFERROR(VLOOKUP(Tablo518[[#This Row],[ÜRÜN KODU]],YMKODLARI!$A$1:$K$363,2,0)," ")</f>
        <v xml:space="preserve"> </v>
      </c>
      <c r="C464" s="99"/>
      <c r="D464" s="100"/>
      <c r="E464" s="101"/>
      <c r="F464" s="101"/>
      <c r="G464" s="100" t="str">
        <f>IFERROR(VLOOKUP(Tablo518[[#This Row],[ÜRÜN KODU]],YMKODLARI!$A$1:$K$363,3,0)," ")</f>
        <v xml:space="preserve"> </v>
      </c>
      <c r="H464" s="100" t="str">
        <f>IFERROR(VLOOKUP(Tablo518[[#This Row],[ÜRÜN KODU]],YMKODLARI!$A$1:$K$363,4,0)," ")</f>
        <v xml:space="preserve"> </v>
      </c>
      <c r="I464" s="100"/>
      <c r="J464" s="100" t="str">
        <f>IFERROR(VLOOKUP(Tablo518[[#This Row],[ÜRÜN KODU]],YMKODLARI!$A$1:$K$363,9,0)," ")</f>
        <v xml:space="preserve"> </v>
      </c>
      <c r="K464" s="100" t="str">
        <f>IFERROR(VLOOKUP(Tablo518[[#This Row],[BOYA KODU]],Tablo14[#All],4,0)," ")</f>
        <v xml:space="preserve"> </v>
      </c>
      <c r="L464" s="100" t="str">
        <f>IFERROR(VLOOKUP(Tablo518[[#This Row],[BOYA KODU]],Tablo14[#All],6,0)," ")</f>
        <v xml:space="preserve"> </v>
      </c>
      <c r="M464" s="100" t="str">
        <f t="shared" si="49"/>
        <v xml:space="preserve"> </v>
      </c>
      <c r="N464" s="100" t="str">
        <f>IFERROR(VLOOKUP(Tablo518[[#This Row],[ÜRÜN KODU]],YMKODLARI!$A$1:$K$363,8,0)," ")</f>
        <v xml:space="preserve"> </v>
      </c>
      <c r="O464" s="100" t="str">
        <f>IFERROR(VLOOKUP(Tablo518[[#This Row],[HAMMADDE KODU]],Tablo1[#All],3,0)," ")</f>
        <v xml:space="preserve"> </v>
      </c>
      <c r="P464" s="100" t="str">
        <f>IFERROR(VLOOKUP(Tablo518[[#This Row],[HAMMADDE KODU]],Tablo1[#All],4,0)," ")</f>
        <v xml:space="preserve"> </v>
      </c>
      <c r="Q464" s="100" t="str">
        <f>IFERROR(VLOOKUP(Tablo518[[#This Row],[ÜRÜN KODU]],YMKODLARI!$A$1:$K$363,5,0)," ")</f>
        <v xml:space="preserve"> </v>
      </c>
      <c r="R464" s="100" t="str">
        <f>IFERROR(VLOOKUP(Tablo518[[#This Row],[ÜRÜN KODU]],YMKODLARI!$A$1:$K$363,6,0)," ")</f>
        <v xml:space="preserve"> </v>
      </c>
      <c r="S464" s="100" t="str">
        <f>IFERROR(Tablo518[[#This Row],[YOLLUK HARİÇ BASKI GRAMI]]/Tablo518[[#This Row],[KALIP GÖZ ADEDİ]]," ")</f>
        <v xml:space="preserve"> </v>
      </c>
      <c r="T464" s="100" t="str">
        <f t="shared" si="51"/>
        <v xml:space="preserve"> </v>
      </c>
      <c r="U464" s="100"/>
      <c r="V464" s="100" t="str">
        <f t="shared" si="50"/>
        <v xml:space="preserve"> </v>
      </c>
      <c r="W464" s="101">
        <f t="shared" si="52"/>
        <v>24</v>
      </c>
      <c r="X464" s="102">
        <f t="shared" si="53"/>
        <v>0</v>
      </c>
      <c r="Y464" s="100" t="str">
        <f t="shared" si="54"/>
        <v xml:space="preserve"> </v>
      </c>
      <c r="Z464" s="100" t="str">
        <f t="shared" si="55"/>
        <v xml:space="preserve"> </v>
      </c>
    </row>
    <row r="465" spans="1:26">
      <c r="A465" s="108"/>
      <c r="B465" s="108" t="str">
        <f>IFERROR(VLOOKUP(Tablo518[[#This Row],[ÜRÜN KODU]],YMKODLARI!$A$1:$K$363,2,0)," ")</f>
        <v xml:space="preserve"> </v>
      </c>
      <c r="C465" s="99"/>
      <c r="D465" s="100"/>
      <c r="E465" s="101"/>
      <c r="F465" s="101"/>
      <c r="G465" s="100" t="str">
        <f>IFERROR(VLOOKUP(Tablo518[[#This Row],[ÜRÜN KODU]],YMKODLARI!$A$1:$K$363,3,0)," ")</f>
        <v xml:space="preserve"> </v>
      </c>
      <c r="H465" s="100" t="str">
        <f>IFERROR(VLOOKUP(Tablo518[[#This Row],[ÜRÜN KODU]],YMKODLARI!$A$1:$K$363,4,0)," ")</f>
        <v xml:space="preserve"> </v>
      </c>
      <c r="I465" s="100"/>
      <c r="J465" s="100" t="str">
        <f>IFERROR(VLOOKUP(Tablo518[[#This Row],[ÜRÜN KODU]],YMKODLARI!$A$1:$K$363,9,0)," ")</f>
        <v xml:space="preserve"> </v>
      </c>
      <c r="K465" s="100" t="str">
        <f>IFERROR(VLOOKUP(Tablo518[[#This Row],[BOYA KODU]],Tablo14[#All],4,0)," ")</f>
        <v xml:space="preserve"> </v>
      </c>
      <c r="L465" s="100" t="str">
        <f>IFERROR(VLOOKUP(Tablo518[[#This Row],[BOYA KODU]],Tablo14[#All],6,0)," ")</f>
        <v xml:space="preserve"> </v>
      </c>
      <c r="M465" s="100" t="str">
        <f t="shared" si="49"/>
        <v xml:space="preserve"> </v>
      </c>
      <c r="N465" s="100" t="str">
        <f>IFERROR(VLOOKUP(Tablo518[[#This Row],[ÜRÜN KODU]],YMKODLARI!$A$1:$K$363,8,0)," ")</f>
        <v xml:space="preserve"> </v>
      </c>
      <c r="O465" s="100" t="str">
        <f>IFERROR(VLOOKUP(Tablo518[[#This Row],[HAMMADDE KODU]],Tablo1[#All],3,0)," ")</f>
        <v xml:space="preserve"> </v>
      </c>
      <c r="P465" s="100" t="str">
        <f>IFERROR(VLOOKUP(Tablo518[[#This Row],[HAMMADDE KODU]],Tablo1[#All],4,0)," ")</f>
        <v xml:space="preserve"> </v>
      </c>
      <c r="Q465" s="100" t="str">
        <f>IFERROR(VLOOKUP(Tablo518[[#This Row],[ÜRÜN KODU]],YMKODLARI!$A$1:$K$363,5,0)," ")</f>
        <v xml:space="preserve"> </v>
      </c>
      <c r="R465" s="100" t="str">
        <f>IFERROR(VLOOKUP(Tablo518[[#This Row],[ÜRÜN KODU]],YMKODLARI!$A$1:$K$363,6,0)," ")</f>
        <v xml:space="preserve"> </v>
      </c>
      <c r="S465" s="100" t="str">
        <f>IFERROR(Tablo518[[#This Row],[YOLLUK HARİÇ BASKI GRAMI]]/Tablo518[[#This Row],[KALIP GÖZ ADEDİ]]," ")</f>
        <v xml:space="preserve"> </v>
      </c>
      <c r="T465" s="100" t="str">
        <f t="shared" si="51"/>
        <v xml:space="preserve"> </v>
      </c>
      <c r="U465" s="100"/>
      <c r="V465" s="100" t="str">
        <f t="shared" si="50"/>
        <v xml:space="preserve"> </v>
      </c>
      <c r="W465" s="101">
        <f t="shared" si="52"/>
        <v>24</v>
      </c>
      <c r="X465" s="102">
        <f t="shared" si="53"/>
        <v>0</v>
      </c>
      <c r="Y465" s="100" t="str">
        <f t="shared" si="54"/>
        <v xml:space="preserve"> </v>
      </c>
      <c r="Z465" s="100" t="str">
        <f t="shared" si="55"/>
        <v xml:space="preserve"> </v>
      </c>
    </row>
    <row r="466" spans="1:26">
      <c r="A466" s="108"/>
      <c r="B466" s="108" t="str">
        <f>IFERROR(VLOOKUP(Tablo518[[#This Row],[ÜRÜN KODU]],YMKODLARI!$A$1:$K$363,2,0)," ")</f>
        <v xml:space="preserve"> </v>
      </c>
      <c r="C466" s="99"/>
      <c r="D466" s="100"/>
      <c r="E466" s="101"/>
      <c r="F466" s="101"/>
      <c r="G466" s="100" t="str">
        <f>IFERROR(VLOOKUP(Tablo518[[#This Row],[ÜRÜN KODU]],YMKODLARI!$A$1:$K$363,3,0)," ")</f>
        <v xml:space="preserve"> </v>
      </c>
      <c r="H466" s="100" t="str">
        <f>IFERROR(VLOOKUP(Tablo518[[#This Row],[ÜRÜN KODU]],YMKODLARI!$A$1:$K$363,4,0)," ")</f>
        <v xml:space="preserve"> </v>
      </c>
      <c r="I466" s="100"/>
      <c r="J466" s="100" t="str">
        <f>IFERROR(VLOOKUP(Tablo518[[#This Row],[ÜRÜN KODU]],YMKODLARI!$A$1:$K$363,9,0)," ")</f>
        <v xml:space="preserve"> </v>
      </c>
      <c r="K466" s="100" t="str">
        <f>IFERROR(VLOOKUP(Tablo518[[#This Row],[BOYA KODU]],Tablo14[#All],4,0)," ")</f>
        <v xml:space="preserve"> </v>
      </c>
      <c r="L466" s="100" t="str">
        <f>IFERROR(VLOOKUP(Tablo518[[#This Row],[BOYA KODU]],Tablo14[#All],6,0)," ")</f>
        <v xml:space="preserve"> </v>
      </c>
      <c r="M466" s="100" t="str">
        <f t="shared" si="49"/>
        <v xml:space="preserve"> </v>
      </c>
      <c r="N466" s="100" t="str">
        <f>IFERROR(VLOOKUP(Tablo518[[#This Row],[ÜRÜN KODU]],YMKODLARI!$A$1:$K$363,8,0)," ")</f>
        <v xml:space="preserve"> </v>
      </c>
      <c r="O466" s="100" t="str">
        <f>IFERROR(VLOOKUP(Tablo518[[#This Row],[HAMMADDE KODU]],Tablo1[#All],3,0)," ")</f>
        <v xml:space="preserve"> </v>
      </c>
      <c r="P466" s="100" t="str">
        <f>IFERROR(VLOOKUP(Tablo518[[#This Row],[HAMMADDE KODU]],Tablo1[#All],4,0)," ")</f>
        <v xml:space="preserve"> </v>
      </c>
      <c r="Q466" s="100" t="str">
        <f>IFERROR(VLOOKUP(Tablo518[[#This Row],[ÜRÜN KODU]],YMKODLARI!$A$1:$K$363,5,0)," ")</f>
        <v xml:space="preserve"> </v>
      </c>
      <c r="R466" s="100" t="str">
        <f>IFERROR(VLOOKUP(Tablo518[[#This Row],[ÜRÜN KODU]],YMKODLARI!$A$1:$K$363,6,0)," ")</f>
        <v xml:space="preserve"> </v>
      </c>
      <c r="S466" s="100" t="str">
        <f>IFERROR(Tablo518[[#This Row],[YOLLUK HARİÇ BASKI GRAMI]]/Tablo518[[#This Row],[KALIP GÖZ ADEDİ]]," ")</f>
        <v xml:space="preserve"> </v>
      </c>
      <c r="T466" s="100" t="str">
        <f t="shared" si="51"/>
        <v xml:space="preserve"> </v>
      </c>
      <c r="U466" s="100"/>
      <c r="V466" s="100" t="str">
        <f t="shared" si="50"/>
        <v xml:space="preserve"> </v>
      </c>
      <c r="W466" s="101">
        <f t="shared" si="52"/>
        <v>24</v>
      </c>
      <c r="X466" s="102">
        <f t="shared" si="53"/>
        <v>0</v>
      </c>
      <c r="Y466" s="100" t="str">
        <f t="shared" si="54"/>
        <v xml:space="preserve"> </v>
      </c>
      <c r="Z466" s="100" t="str">
        <f t="shared" si="55"/>
        <v xml:space="preserve"> </v>
      </c>
    </row>
    <row r="467" spans="1:26">
      <c r="A467" s="108"/>
      <c r="B467" s="108" t="str">
        <f>IFERROR(VLOOKUP(Tablo518[[#This Row],[ÜRÜN KODU]],YMKODLARI!$A$1:$K$363,2,0)," ")</f>
        <v xml:space="preserve"> </v>
      </c>
      <c r="C467" s="99"/>
      <c r="D467" s="100"/>
      <c r="E467" s="101"/>
      <c r="F467" s="101"/>
      <c r="G467" s="100" t="str">
        <f>IFERROR(VLOOKUP(Tablo518[[#This Row],[ÜRÜN KODU]],YMKODLARI!$A$1:$K$363,3,0)," ")</f>
        <v xml:space="preserve"> </v>
      </c>
      <c r="H467" s="100" t="str">
        <f>IFERROR(VLOOKUP(Tablo518[[#This Row],[ÜRÜN KODU]],YMKODLARI!$A$1:$K$363,4,0)," ")</f>
        <v xml:space="preserve"> </v>
      </c>
      <c r="I467" s="100"/>
      <c r="J467" s="100" t="str">
        <f>IFERROR(VLOOKUP(Tablo518[[#This Row],[ÜRÜN KODU]],YMKODLARI!$A$1:$K$363,9,0)," ")</f>
        <v xml:space="preserve"> </v>
      </c>
      <c r="K467" s="100" t="str">
        <f>IFERROR(VLOOKUP(Tablo518[[#This Row],[BOYA KODU]],Tablo14[#All],4,0)," ")</f>
        <v xml:space="preserve"> </v>
      </c>
      <c r="L467" s="100" t="str">
        <f>IFERROR(VLOOKUP(Tablo518[[#This Row],[BOYA KODU]],Tablo14[#All],6,0)," ")</f>
        <v xml:space="preserve"> </v>
      </c>
      <c r="M467" s="100" t="str">
        <f t="shared" si="49"/>
        <v xml:space="preserve"> </v>
      </c>
      <c r="N467" s="100" t="str">
        <f>IFERROR(VLOOKUP(Tablo518[[#This Row],[ÜRÜN KODU]],YMKODLARI!$A$1:$K$363,8,0)," ")</f>
        <v xml:space="preserve"> </v>
      </c>
      <c r="O467" s="100" t="str">
        <f>IFERROR(VLOOKUP(Tablo518[[#This Row],[HAMMADDE KODU]],Tablo1[#All],3,0)," ")</f>
        <v xml:space="preserve"> </v>
      </c>
      <c r="P467" s="100" t="str">
        <f>IFERROR(VLOOKUP(Tablo518[[#This Row],[HAMMADDE KODU]],Tablo1[#All],4,0)," ")</f>
        <v xml:space="preserve"> </v>
      </c>
      <c r="Q467" s="100" t="str">
        <f>IFERROR(VLOOKUP(Tablo518[[#This Row],[ÜRÜN KODU]],YMKODLARI!$A$1:$K$363,5,0)," ")</f>
        <v xml:space="preserve"> </v>
      </c>
      <c r="R467" s="100" t="str">
        <f>IFERROR(VLOOKUP(Tablo518[[#This Row],[ÜRÜN KODU]],YMKODLARI!$A$1:$K$363,6,0)," ")</f>
        <v xml:space="preserve"> </v>
      </c>
      <c r="S467" s="100" t="str">
        <f>IFERROR(Tablo518[[#This Row],[YOLLUK HARİÇ BASKI GRAMI]]/Tablo518[[#This Row],[KALIP GÖZ ADEDİ]]," ")</f>
        <v xml:space="preserve"> </v>
      </c>
      <c r="T467" s="100" t="str">
        <f t="shared" si="51"/>
        <v xml:space="preserve"> </v>
      </c>
      <c r="U467" s="100"/>
      <c r="V467" s="100" t="str">
        <f t="shared" si="50"/>
        <v xml:space="preserve"> </v>
      </c>
      <c r="W467" s="101">
        <f t="shared" si="52"/>
        <v>24</v>
      </c>
      <c r="X467" s="102">
        <f t="shared" si="53"/>
        <v>0</v>
      </c>
      <c r="Y467" s="100" t="str">
        <f t="shared" si="54"/>
        <v xml:space="preserve"> </v>
      </c>
      <c r="Z467" s="100" t="str">
        <f t="shared" si="55"/>
        <v xml:space="preserve"> </v>
      </c>
    </row>
    <row r="468" spans="1:26">
      <c r="A468" s="108"/>
      <c r="B468" s="108" t="str">
        <f>IFERROR(VLOOKUP(Tablo518[[#This Row],[ÜRÜN KODU]],YMKODLARI!$A$1:$K$363,2,0)," ")</f>
        <v xml:space="preserve"> </v>
      </c>
      <c r="C468" s="99"/>
      <c r="D468" s="100"/>
      <c r="E468" s="101"/>
      <c r="F468" s="101"/>
      <c r="G468" s="100" t="str">
        <f>IFERROR(VLOOKUP(Tablo518[[#This Row],[ÜRÜN KODU]],YMKODLARI!$A$1:$K$363,3,0)," ")</f>
        <v xml:space="preserve"> </v>
      </c>
      <c r="H468" s="100" t="str">
        <f>IFERROR(VLOOKUP(Tablo518[[#This Row],[ÜRÜN KODU]],YMKODLARI!$A$1:$K$363,4,0)," ")</f>
        <v xml:space="preserve"> </v>
      </c>
      <c r="I468" s="100"/>
      <c r="J468" s="100" t="str">
        <f>IFERROR(VLOOKUP(Tablo518[[#This Row],[ÜRÜN KODU]],YMKODLARI!$A$1:$K$363,9,0)," ")</f>
        <v xml:space="preserve"> </v>
      </c>
      <c r="K468" s="100" t="str">
        <f>IFERROR(VLOOKUP(Tablo518[[#This Row],[BOYA KODU]],Tablo14[#All],4,0)," ")</f>
        <v xml:space="preserve"> </v>
      </c>
      <c r="L468" s="100" t="str">
        <f>IFERROR(VLOOKUP(Tablo518[[#This Row],[BOYA KODU]],Tablo14[#All],6,0)," ")</f>
        <v xml:space="preserve"> </v>
      </c>
      <c r="M468" s="100" t="str">
        <f t="shared" si="49"/>
        <v xml:space="preserve"> </v>
      </c>
      <c r="N468" s="100" t="str">
        <f>IFERROR(VLOOKUP(Tablo518[[#This Row],[ÜRÜN KODU]],YMKODLARI!$A$1:$K$363,8,0)," ")</f>
        <v xml:space="preserve"> </v>
      </c>
      <c r="O468" s="100" t="str">
        <f>IFERROR(VLOOKUP(Tablo518[[#This Row],[HAMMADDE KODU]],Tablo1[#All],3,0)," ")</f>
        <v xml:space="preserve"> </v>
      </c>
      <c r="P468" s="100" t="str">
        <f>IFERROR(VLOOKUP(Tablo518[[#This Row],[HAMMADDE KODU]],Tablo1[#All],4,0)," ")</f>
        <v xml:space="preserve"> </v>
      </c>
      <c r="Q468" s="100" t="str">
        <f>IFERROR(VLOOKUP(Tablo518[[#This Row],[ÜRÜN KODU]],YMKODLARI!$A$1:$K$363,5,0)," ")</f>
        <v xml:space="preserve"> </v>
      </c>
      <c r="R468" s="100" t="str">
        <f>IFERROR(VLOOKUP(Tablo518[[#This Row],[ÜRÜN KODU]],YMKODLARI!$A$1:$K$363,6,0)," ")</f>
        <v xml:space="preserve"> </v>
      </c>
      <c r="S468" s="100" t="str">
        <f>IFERROR(Tablo518[[#This Row],[YOLLUK HARİÇ BASKI GRAMI]]/Tablo518[[#This Row],[KALIP GÖZ ADEDİ]]," ")</f>
        <v xml:space="preserve"> </v>
      </c>
      <c r="T468" s="100" t="str">
        <f t="shared" si="51"/>
        <v xml:space="preserve"> </v>
      </c>
      <c r="U468" s="100"/>
      <c r="V468" s="100" t="str">
        <f t="shared" si="50"/>
        <v xml:space="preserve"> </v>
      </c>
      <c r="W468" s="101">
        <f t="shared" si="52"/>
        <v>24</v>
      </c>
      <c r="X468" s="102">
        <f t="shared" si="53"/>
        <v>0</v>
      </c>
      <c r="Y468" s="100" t="str">
        <f t="shared" si="54"/>
        <v xml:space="preserve"> </v>
      </c>
      <c r="Z468" s="100" t="str">
        <f t="shared" si="55"/>
        <v xml:space="preserve"> </v>
      </c>
    </row>
    <row r="469" spans="1:26">
      <c r="A469" s="108"/>
      <c r="B469" s="108" t="str">
        <f>IFERROR(VLOOKUP(Tablo518[[#This Row],[ÜRÜN KODU]],YMKODLARI!$A$1:$K$363,2,0)," ")</f>
        <v xml:space="preserve"> </v>
      </c>
      <c r="C469" s="99"/>
      <c r="D469" s="100"/>
      <c r="E469" s="101"/>
      <c r="F469" s="101"/>
      <c r="G469" s="100" t="str">
        <f>IFERROR(VLOOKUP(Tablo518[[#This Row],[ÜRÜN KODU]],YMKODLARI!$A$1:$K$363,3,0)," ")</f>
        <v xml:space="preserve"> </v>
      </c>
      <c r="H469" s="100" t="str">
        <f>IFERROR(VLOOKUP(Tablo518[[#This Row],[ÜRÜN KODU]],YMKODLARI!$A$1:$K$363,4,0)," ")</f>
        <v xml:space="preserve"> </v>
      </c>
      <c r="I469" s="100"/>
      <c r="J469" s="100" t="str">
        <f>IFERROR(VLOOKUP(Tablo518[[#This Row],[ÜRÜN KODU]],YMKODLARI!$A$1:$K$363,9,0)," ")</f>
        <v xml:space="preserve"> </v>
      </c>
      <c r="K469" s="100" t="str">
        <f>IFERROR(VLOOKUP(Tablo518[[#This Row],[BOYA KODU]],Tablo14[#All],4,0)," ")</f>
        <v xml:space="preserve"> </v>
      </c>
      <c r="L469" s="100" t="str">
        <f>IFERROR(VLOOKUP(Tablo518[[#This Row],[BOYA KODU]],Tablo14[#All],6,0)," ")</f>
        <v xml:space="preserve"> </v>
      </c>
      <c r="M469" s="100" t="str">
        <f t="shared" si="49"/>
        <v xml:space="preserve"> </v>
      </c>
      <c r="N469" s="100" t="str">
        <f>IFERROR(VLOOKUP(Tablo518[[#This Row],[ÜRÜN KODU]],YMKODLARI!$A$1:$K$363,8,0)," ")</f>
        <v xml:space="preserve"> </v>
      </c>
      <c r="O469" s="100" t="str">
        <f>IFERROR(VLOOKUP(Tablo518[[#This Row],[HAMMADDE KODU]],Tablo1[#All],3,0)," ")</f>
        <v xml:space="preserve"> </v>
      </c>
      <c r="P469" s="100" t="str">
        <f>IFERROR(VLOOKUP(Tablo518[[#This Row],[HAMMADDE KODU]],Tablo1[#All],4,0)," ")</f>
        <v xml:space="preserve"> </v>
      </c>
      <c r="Q469" s="100" t="str">
        <f>IFERROR(VLOOKUP(Tablo518[[#This Row],[ÜRÜN KODU]],YMKODLARI!$A$1:$K$363,5,0)," ")</f>
        <v xml:space="preserve"> </v>
      </c>
      <c r="R469" s="100" t="str">
        <f>IFERROR(VLOOKUP(Tablo518[[#This Row],[ÜRÜN KODU]],YMKODLARI!$A$1:$K$363,6,0)," ")</f>
        <v xml:space="preserve"> </v>
      </c>
      <c r="S469" s="100" t="str">
        <f>IFERROR(Tablo518[[#This Row],[YOLLUK HARİÇ BASKI GRAMI]]/Tablo518[[#This Row],[KALIP GÖZ ADEDİ]]," ")</f>
        <v xml:space="preserve"> </v>
      </c>
      <c r="T469" s="100" t="str">
        <f t="shared" si="51"/>
        <v xml:space="preserve"> </v>
      </c>
      <c r="U469" s="100"/>
      <c r="V469" s="100" t="str">
        <f t="shared" si="50"/>
        <v xml:space="preserve"> </v>
      </c>
      <c r="W469" s="101">
        <f t="shared" si="52"/>
        <v>24</v>
      </c>
      <c r="X469" s="102">
        <f t="shared" si="53"/>
        <v>0</v>
      </c>
      <c r="Y469" s="100" t="str">
        <f t="shared" si="54"/>
        <v xml:space="preserve"> </v>
      </c>
      <c r="Z469" s="100" t="str">
        <f t="shared" si="55"/>
        <v xml:space="preserve"> </v>
      </c>
    </row>
    <row r="470" spans="1:26">
      <c r="A470" s="108"/>
      <c r="B470" s="108" t="str">
        <f>IFERROR(VLOOKUP(Tablo518[[#This Row],[ÜRÜN KODU]],YMKODLARI!$A$1:$K$363,2,0)," ")</f>
        <v xml:space="preserve"> </v>
      </c>
      <c r="C470" s="99"/>
      <c r="D470" s="100"/>
      <c r="E470" s="101"/>
      <c r="F470" s="101"/>
      <c r="G470" s="100" t="str">
        <f>IFERROR(VLOOKUP(Tablo518[[#This Row],[ÜRÜN KODU]],YMKODLARI!$A$1:$K$363,3,0)," ")</f>
        <v xml:space="preserve"> </v>
      </c>
      <c r="H470" s="100" t="str">
        <f>IFERROR(VLOOKUP(Tablo518[[#This Row],[ÜRÜN KODU]],YMKODLARI!$A$1:$K$363,4,0)," ")</f>
        <v xml:space="preserve"> </v>
      </c>
      <c r="I470" s="100"/>
      <c r="J470" s="100" t="str">
        <f>IFERROR(VLOOKUP(Tablo518[[#This Row],[ÜRÜN KODU]],YMKODLARI!$A$1:$K$363,9,0)," ")</f>
        <v xml:space="preserve"> </v>
      </c>
      <c r="K470" s="100" t="str">
        <f>IFERROR(VLOOKUP(Tablo518[[#This Row],[BOYA KODU]],Tablo14[#All],4,0)," ")</f>
        <v xml:space="preserve"> </v>
      </c>
      <c r="L470" s="100" t="str">
        <f>IFERROR(VLOOKUP(Tablo518[[#This Row],[BOYA KODU]],Tablo14[#All],6,0)," ")</f>
        <v xml:space="preserve"> </v>
      </c>
      <c r="M470" s="100" t="str">
        <f t="shared" si="49"/>
        <v xml:space="preserve"> </v>
      </c>
      <c r="N470" s="100" t="str">
        <f>IFERROR(VLOOKUP(Tablo518[[#This Row],[ÜRÜN KODU]],YMKODLARI!$A$1:$K$363,8,0)," ")</f>
        <v xml:space="preserve"> </v>
      </c>
      <c r="O470" s="100" t="str">
        <f>IFERROR(VLOOKUP(Tablo518[[#This Row],[HAMMADDE KODU]],Tablo1[#All],3,0)," ")</f>
        <v xml:space="preserve"> </v>
      </c>
      <c r="P470" s="100" t="str">
        <f>IFERROR(VLOOKUP(Tablo518[[#This Row],[HAMMADDE KODU]],Tablo1[#All],4,0)," ")</f>
        <v xml:space="preserve"> </v>
      </c>
      <c r="Q470" s="100" t="str">
        <f>IFERROR(VLOOKUP(Tablo518[[#This Row],[ÜRÜN KODU]],YMKODLARI!$A$1:$K$363,5,0)," ")</f>
        <v xml:space="preserve"> </v>
      </c>
      <c r="R470" s="100" t="str">
        <f>IFERROR(VLOOKUP(Tablo518[[#This Row],[ÜRÜN KODU]],YMKODLARI!$A$1:$K$363,6,0)," ")</f>
        <v xml:space="preserve"> </v>
      </c>
      <c r="S470" s="100" t="str">
        <f>IFERROR(Tablo518[[#This Row],[YOLLUK HARİÇ BASKI GRAMI]]/Tablo518[[#This Row],[KALIP GÖZ ADEDİ]]," ")</f>
        <v xml:space="preserve"> </v>
      </c>
      <c r="T470" s="100" t="str">
        <f t="shared" si="51"/>
        <v xml:space="preserve"> </v>
      </c>
      <c r="U470" s="100"/>
      <c r="V470" s="100" t="str">
        <f t="shared" si="50"/>
        <v xml:space="preserve"> </v>
      </c>
      <c r="W470" s="101">
        <f t="shared" si="52"/>
        <v>24</v>
      </c>
      <c r="X470" s="102">
        <f t="shared" si="53"/>
        <v>0</v>
      </c>
      <c r="Y470" s="100" t="str">
        <f t="shared" si="54"/>
        <v xml:space="preserve"> </v>
      </c>
      <c r="Z470" s="100" t="str">
        <f t="shared" si="55"/>
        <v xml:space="preserve"> </v>
      </c>
    </row>
    <row r="471" spans="1:26">
      <c r="A471" s="108"/>
      <c r="B471" s="108" t="str">
        <f>IFERROR(VLOOKUP(Tablo518[[#This Row],[ÜRÜN KODU]],YMKODLARI!$A$1:$K$363,2,0)," ")</f>
        <v xml:space="preserve"> </v>
      </c>
      <c r="C471" s="99"/>
      <c r="D471" s="100"/>
      <c r="E471" s="101"/>
      <c r="F471" s="101"/>
      <c r="G471" s="100" t="str">
        <f>IFERROR(VLOOKUP(Tablo518[[#This Row],[ÜRÜN KODU]],YMKODLARI!$A$1:$K$363,3,0)," ")</f>
        <v xml:space="preserve"> </v>
      </c>
      <c r="H471" s="100" t="str">
        <f>IFERROR(VLOOKUP(Tablo518[[#This Row],[ÜRÜN KODU]],YMKODLARI!$A$1:$K$363,4,0)," ")</f>
        <v xml:space="preserve"> </v>
      </c>
      <c r="I471" s="100"/>
      <c r="J471" s="100" t="str">
        <f>IFERROR(VLOOKUP(Tablo518[[#This Row],[ÜRÜN KODU]],YMKODLARI!$A$1:$K$363,9,0)," ")</f>
        <v xml:space="preserve"> </v>
      </c>
      <c r="K471" s="100" t="str">
        <f>IFERROR(VLOOKUP(Tablo518[[#This Row],[BOYA KODU]],Tablo14[#All],4,0)," ")</f>
        <v xml:space="preserve"> </v>
      </c>
      <c r="L471" s="100" t="str">
        <f>IFERROR(VLOOKUP(Tablo518[[#This Row],[BOYA KODU]],Tablo14[#All],6,0)," ")</f>
        <v xml:space="preserve"> </v>
      </c>
      <c r="M471" s="100" t="str">
        <f t="shared" si="49"/>
        <v xml:space="preserve"> </v>
      </c>
      <c r="N471" s="100" t="str">
        <f>IFERROR(VLOOKUP(Tablo518[[#This Row],[ÜRÜN KODU]],YMKODLARI!$A$1:$K$363,8,0)," ")</f>
        <v xml:space="preserve"> </v>
      </c>
      <c r="O471" s="100" t="str">
        <f>IFERROR(VLOOKUP(Tablo518[[#This Row],[HAMMADDE KODU]],Tablo1[#All],3,0)," ")</f>
        <v xml:space="preserve"> </v>
      </c>
      <c r="P471" s="100" t="str">
        <f>IFERROR(VLOOKUP(Tablo518[[#This Row],[HAMMADDE KODU]],Tablo1[#All],4,0)," ")</f>
        <v xml:space="preserve"> </v>
      </c>
      <c r="Q471" s="100" t="str">
        <f>IFERROR(VLOOKUP(Tablo518[[#This Row],[ÜRÜN KODU]],YMKODLARI!$A$1:$K$363,5,0)," ")</f>
        <v xml:space="preserve"> </v>
      </c>
      <c r="R471" s="100" t="str">
        <f>IFERROR(VLOOKUP(Tablo518[[#This Row],[ÜRÜN KODU]],YMKODLARI!$A$1:$K$363,6,0)," ")</f>
        <v xml:space="preserve"> </v>
      </c>
      <c r="S471" s="100" t="str">
        <f>IFERROR(Tablo518[[#This Row],[YOLLUK HARİÇ BASKI GRAMI]]/Tablo518[[#This Row],[KALIP GÖZ ADEDİ]]," ")</f>
        <v xml:space="preserve"> </v>
      </c>
      <c r="T471" s="100" t="str">
        <f t="shared" si="51"/>
        <v xml:space="preserve"> </v>
      </c>
      <c r="U471" s="100"/>
      <c r="V471" s="100" t="str">
        <f t="shared" si="50"/>
        <v xml:space="preserve"> </v>
      </c>
      <c r="W471" s="101">
        <f t="shared" si="52"/>
        <v>24</v>
      </c>
      <c r="X471" s="102">
        <f t="shared" si="53"/>
        <v>0</v>
      </c>
      <c r="Y471" s="100" t="str">
        <f t="shared" si="54"/>
        <v xml:space="preserve"> </v>
      </c>
      <c r="Z471" s="100" t="str">
        <f t="shared" si="55"/>
        <v xml:space="preserve"> </v>
      </c>
    </row>
    <row r="472" spans="1:26">
      <c r="A472" s="108"/>
      <c r="B472" s="108" t="str">
        <f>IFERROR(VLOOKUP(Tablo518[[#This Row],[ÜRÜN KODU]],YMKODLARI!$A$1:$K$363,2,0)," ")</f>
        <v xml:space="preserve"> </v>
      </c>
      <c r="C472" s="99"/>
      <c r="D472" s="100"/>
      <c r="E472" s="101"/>
      <c r="F472" s="101"/>
      <c r="G472" s="100" t="str">
        <f>IFERROR(VLOOKUP(Tablo518[[#This Row],[ÜRÜN KODU]],YMKODLARI!$A$1:$K$363,3,0)," ")</f>
        <v xml:space="preserve"> </v>
      </c>
      <c r="H472" s="100" t="str">
        <f>IFERROR(VLOOKUP(Tablo518[[#This Row],[ÜRÜN KODU]],YMKODLARI!$A$1:$K$363,4,0)," ")</f>
        <v xml:space="preserve"> </v>
      </c>
      <c r="I472" s="100"/>
      <c r="J472" s="100" t="str">
        <f>IFERROR(VLOOKUP(Tablo518[[#This Row],[ÜRÜN KODU]],YMKODLARI!$A$1:$K$363,9,0)," ")</f>
        <v xml:space="preserve"> </v>
      </c>
      <c r="K472" s="100" t="str">
        <f>IFERROR(VLOOKUP(Tablo518[[#This Row],[BOYA KODU]],Tablo14[#All],4,0)," ")</f>
        <v xml:space="preserve"> </v>
      </c>
      <c r="L472" s="100" t="str">
        <f>IFERROR(VLOOKUP(Tablo518[[#This Row],[BOYA KODU]],Tablo14[#All],6,0)," ")</f>
        <v xml:space="preserve"> </v>
      </c>
      <c r="M472" s="100" t="str">
        <f t="shared" si="49"/>
        <v xml:space="preserve"> </v>
      </c>
      <c r="N472" s="100" t="str">
        <f>IFERROR(VLOOKUP(Tablo518[[#This Row],[ÜRÜN KODU]],YMKODLARI!$A$1:$K$363,8,0)," ")</f>
        <v xml:space="preserve"> </v>
      </c>
      <c r="O472" s="100" t="str">
        <f>IFERROR(VLOOKUP(Tablo518[[#This Row],[HAMMADDE KODU]],Tablo1[#All],3,0)," ")</f>
        <v xml:space="preserve"> </v>
      </c>
      <c r="P472" s="100" t="str">
        <f>IFERROR(VLOOKUP(Tablo518[[#This Row],[HAMMADDE KODU]],Tablo1[#All],4,0)," ")</f>
        <v xml:space="preserve"> </v>
      </c>
      <c r="Q472" s="100" t="str">
        <f>IFERROR(VLOOKUP(Tablo518[[#This Row],[ÜRÜN KODU]],YMKODLARI!$A$1:$K$363,5,0)," ")</f>
        <v xml:space="preserve"> </v>
      </c>
      <c r="R472" s="100" t="str">
        <f>IFERROR(VLOOKUP(Tablo518[[#This Row],[ÜRÜN KODU]],YMKODLARI!$A$1:$K$363,6,0)," ")</f>
        <v xml:space="preserve"> </v>
      </c>
      <c r="S472" s="100" t="str">
        <f>IFERROR(Tablo518[[#This Row],[YOLLUK HARİÇ BASKI GRAMI]]/Tablo518[[#This Row],[KALIP GÖZ ADEDİ]]," ")</f>
        <v xml:space="preserve"> </v>
      </c>
      <c r="T472" s="100" t="str">
        <f t="shared" si="51"/>
        <v xml:space="preserve"> </v>
      </c>
      <c r="U472" s="100"/>
      <c r="V472" s="100" t="str">
        <f t="shared" si="50"/>
        <v xml:space="preserve"> </v>
      </c>
      <c r="W472" s="101">
        <f t="shared" si="52"/>
        <v>24</v>
      </c>
      <c r="X472" s="102">
        <f t="shared" si="53"/>
        <v>0</v>
      </c>
      <c r="Y472" s="100" t="str">
        <f t="shared" si="54"/>
        <v xml:space="preserve"> </v>
      </c>
      <c r="Z472" s="100" t="str">
        <f t="shared" si="55"/>
        <v xml:space="preserve"> </v>
      </c>
    </row>
    <row r="473" spans="1:26">
      <c r="A473" s="108"/>
      <c r="B473" s="108" t="str">
        <f>IFERROR(VLOOKUP(Tablo518[[#This Row],[ÜRÜN KODU]],YMKODLARI!$A$1:$K$363,2,0)," ")</f>
        <v xml:space="preserve"> </v>
      </c>
      <c r="C473" s="99"/>
      <c r="D473" s="100"/>
      <c r="E473" s="101"/>
      <c r="F473" s="101"/>
      <c r="G473" s="100" t="str">
        <f>IFERROR(VLOOKUP(Tablo518[[#This Row],[ÜRÜN KODU]],YMKODLARI!$A$1:$K$363,3,0)," ")</f>
        <v xml:space="preserve"> </v>
      </c>
      <c r="H473" s="100" t="str">
        <f>IFERROR(VLOOKUP(Tablo518[[#This Row],[ÜRÜN KODU]],YMKODLARI!$A$1:$K$363,4,0)," ")</f>
        <v xml:space="preserve"> </v>
      </c>
      <c r="I473" s="100"/>
      <c r="J473" s="100" t="str">
        <f>IFERROR(VLOOKUP(Tablo518[[#This Row],[ÜRÜN KODU]],YMKODLARI!$A$1:$K$363,9,0)," ")</f>
        <v xml:space="preserve"> </v>
      </c>
      <c r="K473" s="100" t="str">
        <f>IFERROR(VLOOKUP(Tablo518[[#This Row],[BOYA KODU]],Tablo14[#All],4,0)," ")</f>
        <v xml:space="preserve"> </v>
      </c>
      <c r="L473" s="100" t="str">
        <f>IFERROR(VLOOKUP(Tablo518[[#This Row],[BOYA KODU]],Tablo14[#All],6,0)," ")</f>
        <v xml:space="preserve"> </v>
      </c>
      <c r="M473" s="100" t="str">
        <f t="shared" si="49"/>
        <v xml:space="preserve"> </v>
      </c>
      <c r="N473" s="100" t="str">
        <f>IFERROR(VLOOKUP(Tablo518[[#This Row],[ÜRÜN KODU]],YMKODLARI!$A$1:$K$363,8,0)," ")</f>
        <v xml:space="preserve"> </v>
      </c>
      <c r="O473" s="100" t="str">
        <f>IFERROR(VLOOKUP(Tablo518[[#This Row],[HAMMADDE KODU]],Tablo1[#All],3,0)," ")</f>
        <v xml:space="preserve"> </v>
      </c>
      <c r="P473" s="100" t="str">
        <f>IFERROR(VLOOKUP(Tablo518[[#This Row],[HAMMADDE KODU]],Tablo1[#All],4,0)," ")</f>
        <v xml:space="preserve"> </v>
      </c>
      <c r="Q473" s="100" t="str">
        <f>IFERROR(VLOOKUP(Tablo518[[#This Row],[ÜRÜN KODU]],YMKODLARI!$A$1:$K$363,5,0)," ")</f>
        <v xml:space="preserve"> </v>
      </c>
      <c r="R473" s="100" t="str">
        <f>IFERROR(VLOOKUP(Tablo518[[#This Row],[ÜRÜN KODU]],YMKODLARI!$A$1:$K$363,6,0)," ")</f>
        <v xml:space="preserve"> </v>
      </c>
      <c r="S473" s="100" t="str">
        <f>IFERROR(Tablo518[[#This Row],[YOLLUK HARİÇ BASKI GRAMI]]/Tablo518[[#This Row],[KALIP GÖZ ADEDİ]]," ")</f>
        <v xml:space="preserve"> </v>
      </c>
      <c r="T473" s="100" t="str">
        <f t="shared" si="51"/>
        <v xml:space="preserve"> </v>
      </c>
      <c r="U473" s="100"/>
      <c r="V473" s="100" t="str">
        <f t="shared" si="50"/>
        <v xml:space="preserve"> </v>
      </c>
      <c r="W473" s="101">
        <f t="shared" si="52"/>
        <v>24</v>
      </c>
      <c r="X473" s="102">
        <f t="shared" si="53"/>
        <v>0</v>
      </c>
      <c r="Y473" s="100" t="str">
        <f t="shared" si="54"/>
        <v xml:space="preserve"> </v>
      </c>
      <c r="Z473" s="100" t="str">
        <f t="shared" si="55"/>
        <v xml:space="preserve"> </v>
      </c>
    </row>
    <row r="474" spans="1:26">
      <c r="A474" s="108"/>
      <c r="B474" s="108" t="str">
        <f>IFERROR(VLOOKUP(Tablo518[[#This Row],[ÜRÜN KODU]],YMKODLARI!$A$1:$K$363,2,0)," ")</f>
        <v xml:space="preserve"> </v>
      </c>
      <c r="C474" s="99"/>
      <c r="D474" s="100"/>
      <c r="E474" s="101"/>
      <c r="F474" s="101"/>
      <c r="G474" s="100" t="str">
        <f>IFERROR(VLOOKUP(Tablo518[[#This Row],[ÜRÜN KODU]],YMKODLARI!$A$1:$K$363,3,0)," ")</f>
        <v xml:space="preserve"> </v>
      </c>
      <c r="H474" s="100" t="str">
        <f>IFERROR(VLOOKUP(Tablo518[[#This Row],[ÜRÜN KODU]],YMKODLARI!$A$1:$K$363,4,0)," ")</f>
        <v xml:space="preserve"> </v>
      </c>
      <c r="I474" s="100"/>
      <c r="J474" s="100" t="str">
        <f>IFERROR(VLOOKUP(Tablo518[[#This Row],[ÜRÜN KODU]],YMKODLARI!$A$1:$K$363,9,0)," ")</f>
        <v xml:space="preserve"> </v>
      </c>
      <c r="K474" s="100" t="str">
        <f>IFERROR(VLOOKUP(Tablo518[[#This Row],[BOYA KODU]],Tablo14[#All],4,0)," ")</f>
        <v xml:space="preserve"> </v>
      </c>
      <c r="L474" s="100" t="str">
        <f>IFERROR(VLOOKUP(Tablo518[[#This Row],[BOYA KODU]],Tablo14[#All],6,0)," ")</f>
        <v xml:space="preserve"> </v>
      </c>
      <c r="M474" s="100" t="str">
        <f t="shared" si="49"/>
        <v xml:space="preserve"> </v>
      </c>
      <c r="N474" s="100" t="str">
        <f>IFERROR(VLOOKUP(Tablo518[[#This Row],[ÜRÜN KODU]],YMKODLARI!$A$1:$K$363,8,0)," ")</f>
        <v xml:space="preserve"> </v>
      </c>
      <c r="O474" s="100" t="str">
        <f>IFERROR(VLOOKUP(Tablo518[[#This Row],[HAMMADDE KODU]],Tablo1[#All],3,0)," ")</f>
        <v xml:space="preserve"> </v>
      </c>
      <c r="P474" s="100" t="str">
        <f>IFERROR(VLOOKUP(Tablo518[[#This Row],[HAMMADDE KODU]],Tablo1[#All],4,0)," ")</f>
        <v xml:space="preserve"> </v>
      </c>
      <c r="Q474" s="100" t="str">
        <f>IFERROR(VLOOKUP(Tablo518[[#This Row],[ÜRÜN KODU]],YMKODLARI!$A$1:$K$363,5,0)," ")</f>
        <v xml:space="preserve"> </v>
      </c>
      <c r="R474" s="100" t="str">
        <f>IFERROR(VLOOKUP(Tablo518[[#This Row],[ÜRÜN KODU]],YMKODLARI!$A$1:$K$363,6,0)," ")</f>
        <v xml:space="preserve"> </v>
      </c>
      <c r="S474" s="100" t="str">
        <f>IFERROR(Tablo518[[#This Row],[YOLLUK HARİÇ BASKI GRAMI]]/Tablo518[[#This Row],[KALIP GÖZ ADEDİ]]," ")</f>
        <v xml:space="preserve"> </v>
      </c>
      <c r="T474" s="100" t="str">
        <f t="shared" si="51"/>
        <v xml:space="preserve"> </v>
      </c>
      <c r="U474" s="100"/>
      <c r="V474" s="100" t="str">
        <f t="shared" si="50"/>
        <v xml:space="preserve"> </v>
      </c>
      <c r="W474" s="101">
        <f t="shared" si="52"/>
        <v>24</v>
      </c>
      <c r="X474" s="102">
        <f t="shared" si="53"/>
        <v>0</v>
      </c>
      <c r="Y474" s="100" t="str">
        <f t="shared" si="54"/>
        <v xml:space="preserve"> </v>
      </c>
      <c r="Z474" s="100" t="str">
        <f t="shared" si="55"/>
        <v xml:space="preserve"> </v>
      </c>
    </row>
    <row r="475" spans="1:26">
      <c r="A475" s="108"/>
      <c r="B475" s="108" t="str">
        <f>IFERROR(VLOOKUP(Tablo518[[#This Row],[ÜRÜN KODU]],YMKODLARI!$A$1:$K$363,2,0)," ")</f>
        <v xml:space="preserve"> </v>
      </c>
      <c r="C475" s="99"/>
      <c r="D475" s="100"/>
      <c r="E475" s="101"/>
      <c r="F475" s="101"/>
      <c r="G475" s="100" t="str">
        <f>IFERROR(VLOOKUP(Tablo518[[#This Row],[ÜRÜN KODU]],YMKODLARI!$A$1:$K$363,3,0)," ")</f>
        <v xml:space="preserve"> </v>
      </c>
      <c r="H475" s="100" t="str">
        <f>IFERROR(VLOOKUP(Tablo518[[#This Row],[ÜRÜN KODU]],YMKODLARI!$A$1:$K$363,4,0)," ")</f>
        <v xml:space="preserve"> </v>
      </c>
      <c r="I475" s="100"/>
      <c r="J475" s="100" t="str">
        <f>IFERROR(VLOOKUP(Tablo518[[#This Row],[ÜRÜN KODU]],YMKODLARI!$A$1:$K$363,9,0)," ")</f>
        <v xml:space="preserve"> </v>
      </c>
      <c r="K475" s="100" t="str">
        <f>IFERROR(VLOOKUP(Tablo518[[#This Row],[BOYA KODU]],Tablo14[#All],4,0)," ")</f>
        <v xml:space="preserve"> </v>
      </c>
      <c r="L475" s="100" t="str">
        <f>IFERROR(VLOOKUP(Tablo518[[#This Row],[BOYA KODU]],Tablo14[#All],6,0)," ")</f>
        <v xml:space="preserve"> </v>
      </c>
      <c r="M475" s="100" t="str">
        <f t="shared" si="49"/>
        <v xml:space="preserve"> </v>
      </c>
      <c r="N475" s="100" t="str">
        <f>IFERROR(VLOOKUP(Tablo518[[#This Row],[ÜRÜN KODU]],YMKODLARI!$A$1:$K$363,8,0)," ")</f>
        <v xml:space="preserve"> </v>
      </c>
      <c r="O475" s="100" t="str">
        <f>IFERROR(VLOOKUP(Tablo518[[#This Row],[HAMMADDE KODU]],Tablo1[#All],3,0)," ")</f>
        <v xml:space="preserve"> </v>
      </c>
      <c r="P475" s="100" t="str">
        <f>IFERROR(VLOOKUP(Tablo518[[#This Row],[HAMMADDE KODU]],Tablo1[#All],4,0)," ")</f>
        <v xml:space="preserve"> </v>
      </c>
      <c r="Q475" s="100" t="str">
        <f>IFERROR(VLOOKUP(Tablo518[[#This Row],[ÜRÜN KODU]],YMKODLARI!$A$1:$K$363,5,0)," ")</f>
        <v xml:space="preserve"> </v>
      </c>
      <c r="R475" s="100" t="str">
        <f>IFERROR(VLOOKUP(Tablo518[[#This Row],[ÜRÜN KODU]],YMKODLARI!$A$1:$K$363,6,0)," ")</f>
        <v xml:space="preserve"> </v>
      </c>
      <c r="S475" s="100" t="str">
        <f>IFERROR(Tablo518[[#This Row],[YOLLUK HARİÇ BASKI GRAMI]]/Tablo518[[#This Row],[KALIP GÖZ ADEDİ]]," ")</f>
        <v xml:space="preserve"> </v>
      </c>
      <c r="T475" s="100" t="str">
        <f t="shared" si="51"/>
        <v xml:space="preserve"> </v>
      </c>
      <c r="U475" s="100"/>
      <c r="V475" s="100" t="str">
        <f t="shared" si="50"/>
        <v xml:space="preserve"> </v>
      </c>
      <c r="W475" s="101">
        <f t="shared" si="52"/>
        <v>24</v>
      </c>
      <c r="X475" s="102">
        <f t="shared" si="53"/>
        <v>0</v>
      </c>
      <c r="Y475" s="100" t="str">
        <f t="shared" si="54"/>
        <v xml:space="preserve"> </v>
      </c>
      <c r="Z475" s="100" t="str">
        <f t="shared" si="55"/>
        <v xml:space="preserve"> </v>
      </c>
    </row>
    <row r="476" spans="1:26">
      <c r="A476" s="108"/>
      <c r="B476" s="108" t="str">
        <f>IFERROR(VLOOKUP(Tablo518[[#This Row],[ÜRÜN KODU]],YMKODLARI!$A$1:$K$363,2,0)," ")</f>
        <v xml:space="preserve"> </v>
      </c>
      <c r="C476" s="99"/>
      <c r="D476" s="100"/>
      <c r="E476" s="101"/>
      <c r="F476" s="101"/>
      <c r="G476" s="100" t="str">
        <f>IFERROR(VLOOKUP(Tablo518[[#This Row],[ÜRÜN KODU]],YMKODLARI!$A$1:$K$363,3,0)," ")</f>
        <v xml:space="preserve"> </v>
      </c>
      <c r="H476" s="100" t="str">
        <f>IFERROR(VLOOKUP(Tablo518[[#This Row],[ÜRÜN KODU]],YMKODLARI!$A$1:$K$363,4,0)," ")</f>
        <v xml:space="preserve"> </v>
      </c>
      <c r="I476" s="100"/>
      <c r="J476" s="100" t="str">
        <f>IFERROR(VLOOKUP(Tablo518[[#This Row],[ÜRÜN KODU]],YMKODLARI!$A$1:$K$363,9,0)," ")</f>
        <v xml:space="preserve"> </v>
      </c>
      <c r="K476" s="100" t="str">
        <f>IFERROR(VLOOKUP(Tablo518[[#This Row],[BOYA KODU]],Tablo14[#All],4,0)," ")</f>
        <v xml:space="preserve"> </v>
      </c>
      <c r="L476" s="100" t="str">
        <f>IFERROR(VLOOKUP(Tablo518[[#This Row],[BOYA KODU]],Tablo14[#All],6,0)," ")</f>
        <v xml:space="preserve"> </v>
      </c>
      <c r="M476" s="100" t="str">
        <f t="shared" si="49"/>
        <v xml:space="preserve"> </v>
      </c>
      <c r="N476" s="100" t="str">
        <f>IFERROR(VLOOKUP(Tablo518[[#This Row],[ÜRÜN KODU]],YMKODLARI!$A$1:$K$363,8,0)," ")</f>
        <v xml:space="preserve"> </v>
      </c>
      <c r="O476" s="100" t="str">
        <f>IFERROR(VLOOKUP(Tablo518[[#This Row],[HAMMADDE KODU]],Tablo1[#All],3,0)," ")</f>
        <v xml:space="preserve"> </v>
      </c>
      <c r="P476" s="100" t="str">
        <f>IFERROR(VLOOKUP(Tablo518[[#This Row],[HAMMADDE KODU]],Tablo1[#All],4,0)," ")</f>
        <v xml:space="preserve"> </v>
      </c>
      <c r="Q476" s="100" t="str">
        <f>IFERROR(VLOOKUP(Tablo518[[#This Row],[ÜRÜN KODU]],YMKODLARI!$A$1:$K$363,5,0)," ")</f>
        <v xml:space="preserve"> </v>
      </c>
      <c r="R476" s="100" t="str">
        <f>IFERROR(VLOOKUP(Tablo518[[#This Row],[ÜRÜN KODU]],YMKODLARI!$A$1:$K$363,6,0)," ")</f>
        <v xml:space="preserve"> </v>
      </c>
      <c r="S476" s="100" t="str">
        <f>IFERROR(Tablo518[[#This Row],[YOLLUK HARİÇ BASKI GRAMI]]/Tablo518[[#This Row],[KALIP GÖZ ADEDİ]]," ")</f>
        <v xml:space="preserve"> </v>
      </c>
      <c r="T476" s="100" t="str">
        <f t="shared" si="51"/>
        <v xml:space="preserve"> </v>
      </c>
      <c r="U476" s="100"/>
      <c r="V476" s="100" t="str">
        <f t="shared" si="50"/>
        <v xml:space="preserve"> </v>
      </c>
      <c r="W476" s="101">
        <f t="shared" si="52"/>
        <v>24</v>
      </c>
      <c r="X476" s="102">
        <f t="shared" si="53"/>
        <v>0</v>
      </c>
      <c r="Y476" s="100" t="str">
        <f t="shared" si="54"/>
        <v xml:space="preserve"> </v>
      </c>
      <c r="Z476" s="100" t="str">
        <f t="shared" si="55"/>
        <v xml:space="preserve"> </v>
      </c>
    </row>
    <row r="477" spans="1:26">
      <c r="A477" s="108"/>
      <c r="B477" s="108" t="str">
        <f>IFERROR(VLOOKUP(Tablo518[[#This Row],[ÜRÜN KODU]],YMKODLARI!$A$1:$K$363,2,0)," ")</f>
        <v xml:space="preserve"> </v>
      </c>
      <c r="C477" s="99"/>
      <c r="D477" s="100"/>
      <c r="E477" s="101"/>
      <c r="F477" s="101"/>
      <c r="G477" s="100" t="str">
        <f>IFERROR(VLOOKUP(Tablo518[[#This Row],[ÜRÜN KODU]],YMKODLARI!$A$1:$K$363,3,0)," ")</f>
        <v xml:space="preserve"> </v>
      </c>
      <c r="H477" s="100" t="str">
        <f>IFERROR(VLOOKUP(Tablo518[[#This Row],[ÜRÜN KODU]],YMKODLARI!$A$1:$K$363,4,0)," ")</f>
        <v xml:space="preserve"> </v>
      </c>
      <c r="I477" s="100"/>
      <c r="J477" s="100" t="str">
        <f>IFERROR(VLOOKUP(Tablo518[[#This Row],[ÜRÜN KODU]],YMKODLARI!$A$1:$K$363,9,0)," ")</f>
        <v xml:space="preserve"> </v>
      </c>
      <c r="K477" s="100" t="str">
        <f>IFERROR(VLOOKUP(Tablo518[[#This Row],[BOYA KODU]],Tablo14[#All],4,0)," ")</f>
        <v xml:space="preserve"> </v>
      </c>
      <c r="L477" s="100" t="str">
        <f>IFERROR(VLOOKUP(Tablo518[[#This Row],[BOYA KODU]],Tablo14[#All],6,0)," ")</f>
        <v xml:space="preserve"> </v>
      </c>
      <c r="M477" s="100" t="str">
        <f t="shared" si="49"/>
        <v xml:space="preserve"> </v>
      </c>
      <c r="N477" s="100" t="str">
        <f>IFERROR(VLOOKUP(Tablo518[[#This Row],[ÜRÜN KODU]],YMKODLARI!$A$1:$K$363,8,0)," ")</f>
        <v xml:space="preserve"> </v>
      </c>
      <c r="O477" s="100" t="str">
        <f>IFERROR(VLOOKUP(Tablo518[[#This Row],[HAMMADDE KODU]],Tablo1[#All],3,0)," ")</f>
        <v xml:space="preserve"> </v>
      </c>
      <c r="P477" s="100" t="str">
        <f>IFERROR(VLOOKUP(Tablo518[[#This Row],[HAMMADDE KODU]],Tablo1[#All],4,0)," ")</f>
        <v xml:space="preserve"> </v>
      </c>
      <c r="Q477" s="100" t="str">
        <f>IFERROR(VLOOKUP(Tablo518[[#This Row],[ÜRÜN KODU]],YMKODLARI!$A$1:$K$363,5,0)," ")</f>
        <v xml:space="preserve"> </v>
      </c>
      <c r="R477" s="100" t="str">
        <f>IFERROR(VLOOKUP(Tablo518[[#This Row],[ÜRÜN KODU]],YMKODLARI!$A$1:$K$363,6,0)," ")</f>
        <v xml:space="preserve"> </v>
      </c>
      <c r="S477" s="100" t="str">
        <f>IFERROR(Tablo518[[#This Row],[YOLLUK HARİÇ BASKI GRAMI]]/Tablo518[[#This Row],[KALIP GÖZ ADEDİ]]," ")</f>
        <v xml:space="preserve"> </v>
      </c>
      <c r="T477" s="100" t="str">
        <f t="shared" si="51"/>
        <v xml:space="preserve"> </v>
      </c>
      <c r="U477" s="100"/>
      <c r="V477" s="100" t="str">
        <f t="shared" si="50"/>
        <v xml:space="preserve"> </v>
      </c>
      <c r="W477" s="101">
        <f t="shared" si="52"/>
        <v>24</v>
      </c>
      <c r="X477" s="102">
        <f t="shared" si="53"/>
        <v>0</v>
      </c>
      <c r="Y477" s="100" t="str">
        <f t="shared" si="54"/>
        <v xml:space="preserve"> </v>
      </c>
      <c r="Z477" s="100" t="str">
        <f t="shared" si="55"/>
        <v xml:space="preserve"> </v>
      </c>
    </row>
    <row r="478" spans="1:26">
      <c r="A478" s="108"/>
      <c r="B478" s="108" t="str">
        <f>IFERROR(VLOOKUP(Tablo518[[#This Row],[ÜRÜN KODU]],YMKODLARI!$A$1:$K$363,2,0)," ")</f>
        <v xml:space="preserve"> </v>
      </c>
      <c r="C478" s="99"/>
      <c r="D478" s="100"/>
      <c r="E478" s="101"/>
      <c r="F478" s="101"/>
      <c r="G478" s="100" t="str">
        <f>IFERROR(VLOOKUP(Tablo518[[#This Row],[ÜRÜN KODU]],YMKODLARI!$A$1:$K$363,3,0)," ")</f>
        <v xml:space="preserve"> </v>
      </c>
      <c r="H478" s="100" t="str">
        <f>IFERROR(VLOOKUP(Tablo518[[#This Row],[ÜRÜN KODU]],YMKODLARI!$A$1:$K$363,4,0)," ")</f>
        <v xml:space="preserve"> </v>
      </c>
      <c r="I478" s="100"/>
      <c r="J478" s="100" t="str">
        <f>IFERROR(VLOOKUP(Tablo518[[#This Row],[ÜRÜN KODU]],YMKODLARI!$A$1:$K$363,9,0)," ")</f>
        <v xml:space="preserve"> </v>
      </c>
      <c r="K478" s="100" t="str">
        <f>IFERROR(VLOOKUP(Tablo518[[#This Row],[BOYA KODU]],Tablo14[#All],4,0)," ")</f>
        <v xml:space="preserve"> </v>
      </c>
      <c r="L478" s="100" t="str">
        <f>IFERROR(VLOOKUP(Tablo518[[#This Row],[BOYA KODU]],Tablo14[#All],6,0)," ")</f>
        <v xml:space="preserve"> </v>
      </c>
      <c r="M478" s="100" t="str">
        <f t="shared" si="49"/>
        <v xml:space="preserve"> </v>
      </c>
      <c r="N478" s="100" t="str">
        <f>IFERROR(VLOOKUP(Tablo518[[#This Row],[ÜRÜN KODU]],YMKODLARI!$A$1:$K$363,8,0)," ")</f>
        <v xml:space="preserve"> </v>
      </c>
      <c r="O478" s="100" t="str">
        <f>IFERROR(VLOOKUP(Tablo518[[#This Row],[HAMMADDE KODU]],Tablo1[#All],3,0)," ")</f>
        <v xml:space="preserve"> </v>
      </c>
      <c r="P478" s="100" t="str">
        <f>IFERROR(VLOOKUP(Tablo518[[#This Row],[HAMMADDE KODU]],Tablo1[#All],4,0)," ")</f>
        <v xml:space="preserve"> </v>
      </c>
      <c r="Q478" s="100" t="str">
        <f>IFERROR(VLOOKUP(Tablo518[[#This Row],[ÜRÜN KODU]],YMKODLARI!$A$1:$K$363,5,0)," ")</f>
        <v xml:space="preserve"> </v>
      </c>
      <c r="R478" s="100" t="str">
        <f>IFERROR(VLOOKUP(Tablo518[[#This Row],[ÜRÜN KODU]],YMKODLARI!$A$1:$K$363,6,0)," ")</f>
        <v xml:space="preserve"> </v>
      </c>
      <c r="S478" s="100" t="str">
        <f>IFERROR(Tablo518[[#This Row],[YOLLUK HARİÇ BASKI GRAMI]]/Tablo518[[#This Row],[KALIP GÖZ ADEDİ]]," ")</f>
        <v xml:space="preserve"> </v>
      </c>
      <c r="T478" s="100" t="str">
        <f t="shared" si="51"/>
        <v xml:space="preserve"> </v>
      </c>
      <c r="U478" s="100"/>
      <c r="V478" s="100" t="str">
        <f t="shared" si="50"/>
        <v xml:space="preserve"> </v>
      </c>
      <c r="W478" s="101">
        <f t="shared" si="52"/>
        <v>24</v>
      </c>
      <c r="X478" s="102">
        <f t="shared" si="53"/>
        <v>0</v>
      </c>
      <c r="Y478" s="100" t="str">
        <f t="shared" si="54"/>
        <v xml:space="preserve"> </v>
      </c>
      <c r="Z478" s="100" t="str">
        <f t="shared" si="55"/>
        <v xml:space="preserve"> </v>
      </c>
    </row>
    <row r="479" spans="1:26">
      <c r="A479" s="108"/>
      <c r="B479" s="108" t="str">
        <f>IFERROR(VLOOKUP(Tablo518[[#This Row],[ÜRÜN KODU]],YMKODLARI!$A$1:$K$363,2,0)," ")</f>
        <v xml:space="preserve"> </v>
      </c>
      <c r="C479" s="99"/>
      <c r="D479" s="100"/>
      <c r="E479" s="101"/>
      <c r="F479" s="101"/>
      <c r="G479" s="100" t="str">
        <f>IFERROR(VLOOKUP(Tablo518[[#This Row],[ÜRÜN KODU]],YMKODLARI!$A$1:$K$363,3,0)," ")</f>
        <v xml:space="preserve"> </v>
      </c>
      <c r="H479" s="100" t="str">
        <f>IFERROR(VLOOKUP(Tablo518[[#This Row],[ÜRÜN KODU]],YMKODLARI!$A$1:$K$363,4,0)," ")</f>
        <v xml:space="preserve"> </v>
      </c>
      <c r="I479" s="100"/>
      <c r="J479" s="100" t="str">
        <f>IFERROR(VLOOKUP(Tablo518[[#This Row],[ÜRÜN KODU]],YMKODLARI!$A$1:$K$363,9,0)," ")</f>
        <v xml:space="preserve"> </v>
      </c>
      <c r="K479" s="100" t="str">
        <f>IFERROR(VLOOKUP(Tablo518[[#This Row],[BOYA KODU]],Tablo14[#All],4,0)," ")</f>
        <v xml:space="preserve"> </v>
      </c>
      <c r="L479" s="100" t="str">
        <f>IFERROR(VLOOKUP(Tablo518[[#This Row],[BOYA KODU]],Tablo14[#All],6,0)," ")</f>
        <v xml:space="preserve"> </v>
      </c>
      <c r="M479" s="100" t="str">
        <f t="shared" si="49"/>
        <v xml:space="preserve"> </v>
      </c>
      <c r="N479" s="100" t="str">
        <f>IFERROR(VLOOKUP(Tablo518[[#This Row],[ÜRÜN KODU]],YMKODLARI!$A$1:$K$363,8,0)," ")</f>
        <v xml:space="preserve"> </v>
      </c>
      <c r="O479" s="100" t="str">
        <f>IFERROR(VLOOKUP(Tablo518[[#This Row],[HAMMADDE KODU]],Tablo1[#All],3,0)," ")</f>
        <v xml:space="preserve"> </v>
      </c>
      <c r="P479" s="100" t="str">
        <f>IFERROR(VLOOKUP(Tablo518[[#This Row],[HAMMADDE KODU]],Tablo1[#All],4,0)," ")</f>
        <v xml:space="preserve"> </v>
      </c>
      <c r="Q479" s="100" t="str">
        <f>IFERROR(VLOOKUP(Tablo518[[#This Row],[ÜRÜN KODU]],YMKODLARI!$A$1:$K$363,5,0)," ")</f>
        <v xml:space="preserve"> </v>
      </c>
      <c r="R479" s="100" t="str">
        <f>IFERROR(VLOOKUP(Tablo518[[#This Row],[ÜRÜN KODU]],YMKODLARI!$A$1:$K$363,6,0)," ")</f>
        <v xml:space="preserve"> </v>
      </c>
      <c r="S479" s="100" t="str">
        <f>IFERROR(Tablo518[[#This Row],[YOLLUK HARİÇ BASKI GRAMI]]/Tablo518[[#This Row],[KALIP GÖZ ADEDİ]]," ")</f>
        <v xml:space="preserve"> </v>
      </c>
      <c r="T479" s="100" t="str">
        <f t="shared" si="51"/>
        <v xml:space="preserve"> </v>
      </c>
      <c r="U479" s="100"/>
      <c r="V479" s="100" t="str">
        <f t="shared" si="50"/>
        <v xml:space="preserve"> </v>
      </c>
      <c r="W479" s="101">
        <f t="shared" si="52"/>
        <v>24</v>
      </c>
      <c r="X479" s="102">
        <f t="shared" si="53"/>
        <v>0</v>
      </c>
      <c r="Y479" s="100" t="str">
        <f t="shared" si="54"/>
        <v xml:space="preserve"> </v>
      </c>
      <c r="Z479" s="100" t="str">
        <f t="shared" si="55"/>
        <v xml:space="preserve"> </v>
      </c>
    </row>
    <row r="480" spans="1:26">
      <c r="A480" s="108"/>
      <c r="B480" s="108" t="str">
        <f>IFERROR(VLOOKUP(Tablo518[[#This Row],[ÜRÜN KODU]],YMKODLARI!$A$1:$K$363,2,0)," ")</f>
        <v xml:space="preserve"> </v>
      </c>
      <c r="C480" s="99"/>
      <c r="D480" s="100"/>
      <c r="E480" s="101"/>
      <c r="F480" s="101"/>
      <c r="G480" s="100" t="str">
        <f>IFERROR(VLOOKUP(Tablo518[[#This Row],[ÜRÜN KODU]],YMKODLARI!$A$1:$K$363,3,0)," ")</f>
        <v xml:space="preserve"> </v>
      </c>
      <c r="H480" s="100" t="str">
        <f>IFERROR(VLOOKUP(Tablo518[[#This Row],[ÜRÜN KODU]],YMKODLARI!$A$1:$K$363,4,0)," ")</f>
        <v xml:space="preserve"> </v>
      </c>
      <c r="I480" s="100"/>
      <c r="J480" s="100" t="str">
        <f>IFERROR(VLOOKUP(Tablo518[[#This Row],[ÜRÜN KODU]],YMKODLARI!$A$1:$K$363,9,0)," ")</f>
        <v xml:space="preserve"> </v>
      </c>
      <c r="K480" s="100" t="str">
        <f>IFERROR(VLOOKUP(Tablo518[[#This Row],[BOYA KODU]],Tablo14[#All],4,0)," ")</f>
        <v xml:space="preserve"> </v>
      </c>
      <c r="L480" s="100" t="str">
        <f>IFERROR(VLOOKUP(Tablo518[[#This Row],[BOYA KODU]],Tablo14[#All],6,0)," ")</f>
        <v xml:space="preserve"> </v>
      </c>
      <c r="M480" s="100" t="str">
        <f t="shared" si="49"/>
        <v xml:space="preserve"> </v>
      </c>
      <c r="N480" s="100" t="str">
        <f>IFERROR(VLOOKUP(Tablo518[[#This Row],[ÜRÜN KODU]],YMKODLARI!$A$1:$K$363,8,0)," ")</f>
        <v xml:space="preserve"> </v>
      </c>
      <c r="O480" s="100" t="str">
        <f>IFERROR(VLOOKUP(Tablo518[[#This Row],[HAMMADDE KODU]],Tablo1[#All],3,0)," ")</f>
        <v xml:space="preserve"> </v>
      </c>
      <c r="P480" s="100" t="str">
        <f>IFERROR(VLOOKUP(Tablo518[[#This Row],[HAMMADDE KODU]],Tablo1[#All],4,0)," ")</f>
        <v xml:space="preserve"> </v>
      </c>
      <c r="Q480" s="100" t="str">
        <f>IFERROR(VLOOKUP(Tablo518[[#This Row],[ÜRÜN KODU]],YMKODLARI!$A$1:$K$363,5,0)," ")</f>
        <v xml:space="preserve"> </v>
      </c>
      <c r="R480" s="100" t="str">
        <f>IFERROR(VLOOKUP(Tablo518[[#This Row],[ÜRÜN KODU]],YMKODLARI!$A$1:$K$363,6,0)," ")</f>
        <v xml:space="preserve"> </v>
      </c>
      <c r="S480" s="100" t="str">
        <f>IFERROR(Tablo518[[#This Row],[YOLLUK HARİÇ BASKI GRAMI]]/Tablo518[[#This Row],[KALIP GÖZ ADEDİ]]," ")</f>
        <v xml:space="preserve"> </v>
      </c>
      <c r="T480" s="100" t="str">
        <f t="shared" si="51"/>
        <v xml:space="preserve"> </v>
      </c>
      <c r="U480" s="100"/>
      <c r="V480" s="100" t="str">
        <f t="shared" si="50"/>
        <v xml:space="preserve"> </v>
      </c>
      <c r="W480" s="101">
        <f t="shared" si="52"/>
        <v>24</v>
      </c>
      <c r="X480" s="102">
        <f t="shared" si="53"/>
        <v>0</v>
      </c>
      <c r="Y480" s="100" t="str">
        <f t="shared" si="54"/>
        <v xml:space="preserve"> </v>
      </c>
      <c r="Z480" s="100" t="str">
        <f t="shared" si="55"/>
        <v xml:space="preserve"> </v>
      </c>
    </row>
    <row r="481" spans="1:26">
      <c r="A481" s="108"/>
      <c r="B481" s="108" t="str">
        <f>IFERROR(VLOOKUP(Tablo518[[#This Row],[ÜRÜN KODU]],YMKODLARI!$A$1:$K$363,2,0)," ")</f>
        <v xml:space="preserve"> </v>
      </c>
      <c r="C481" s="99"/>
      <c r="D481" s="100"/>
      <c r="E481" s="101"/>
      <c r="F481" s="101"/>
      <c r="G481" s="100" t="str">
        <f>IFERROR(VLOOKUP(Tablo518[[#This Row],[ÜRÜN KODU]],YMKODLARI!$A$1:$K$363,3,0)," ")</f>
        <v xml:space="preserve"> </v>
      </c>
      <c r="H481" s="100" t="str">
        <f>IFERROR(VLOOKUP(Tablo518[[#This Row],[ÜRÜN KODU]],YMKODLARI!$A$1:$K$363,4,0)," ")</f>
        <v xml:space="preserve"> </v>
      </c>
      <c r="I481" s="100"/>
      <c r="J481" s="100" t="str">
        <f>IFERROR(VLOOKUP(Tablo518[[#This Row],[ÜRÜN KODU]],YMKODLARI!$A$1:$K$363,9,0)," ")</f>
        <v xml:space="preserve"> </v>
      </c>
      <c r="K481" s="100" t="str">
        <f>IFERROR(VLOOKUP(Tablo518[[#This Row],[BOYA KODU]],Tablo14[#All],4,0)," ")</f>
        <v xml:space="preserve"> </v>
      </c>
      <c r="L481" s="100" t="str">
        <f>IFERROR(VLOOKUP(Tablo518[[#This Row],[BOYA KODU]],Tablo14[#All],6,0)," ")</f>
        <v xml:space="preserve"> </v>
      </c>
      <c r="M481" s="100" t="str">
        <f t="shared" si="49"/>
        <v xml:space="preserve"> </v>
      </c>
      <c r="N481" s="100" t="str">
        <f>IFERROR(VLOOKUP(Tablo518[[#This Row],[ÜRÜN KODU]],YMKODLARI!$A$1:$K$363,8,0)," ")</f>
        <v xml:space="preserve"> </v>
      </c>
      <c r="O481" s="100" t="str">
        <f>IFERROR(VLOOKUP(Tablo518[[#This Row],[HAMMADDE KODU]],Tablo1[#All],3,0)," ")</f>
        <v xml:space="preserve"> </v>
      </c>
      <c r="P481" s="100" t="str">
        <f>IFERROR(VLOOKUP(Tablo518[[#This Row],[HAMMADDE KODU]],Tablo1[#All],4,0)," ")</f>
        <v xml:space="preserve"> </v>
      </c>
      <c r="Q481" s="100" t="str">
        <f>IFERROR(VLOOKUP(Tablo518[[#This Row],[ÜRÜN KODU]],YMKODLARI!$A$1:$K$363,5,0)," ")</f>
        <v xml:space="preserve"> </v>
      </c>
      <c r="R481" s="100" t="str">
        <f>IFERROR(VLOOKUP(Tablo518[[#This Row],[ÜRÜN KODU]],YMKODLARI!$A$1:$K$363,6,0)," ")</f>
        <v xml:space="preserve"> </v>
      </c>
      <c r="S481" s="100" t="str">
        <f>IFERROR(Tablo518[[#This Row],[YOLLUK HARİÇ BASKI GRAMI]]/Tablo518[[#This Row],[KALIP GÖZ ADEDİ]]," ")</f>
        <v xml:space="preserve"> </v>
      </c>
      <c r="T481" s="100" t="str">
        <f t="shared" si="51"/>
        <v xml:space="preserve"> </v>
      </c>
      <c r="U481" s="100"/>
      <c r="V481" s="100" t="str">
        <f t="shared" si="50"/>
        <v xml:space="preserve"> </v>
      </c>
      <c r="W481" s="101">
        <f t="shared" si="52"/>
        <v>24</v>
      </c>
      <c r="X481" s="102">
        <f t="shared" si="53"/>
        <v>0</v>
      </c>
      <c r="Y481" s="100" t="str">
        <f t="shared" si="54"/>
        <v xml:space="preserve"> </v>
      </c>
      <c r="Z481" s="100" t="str">
        <f t="shared" si="55"/>
        <v xml:space="preserve"> </v>
      </c>
    </row>
    <row r="482" spans="1:26">
      <c r="A482" s="108"/>
      <c r="B482" s="108" t="str">
        <f>IFERROR(VLOOKUP(Tablo518[[#This Row],[ÜRÜN KODU]],YMKODLARI!$A$1:$K$363,2,0)," ")</f>
        <v xml:space="preserve"> </v>
      </c>
      <c r="C482" s="99"/>
      <c r="D482" s="100"/>
      <c r="E482" s="101"/>
      <c r="F482" s="101"/>
      <c r="G482" s="100" t="str">
        <f>IFERROR(VLOOKUP(Tablo518[[#This Row],[ÜRÜN KODU]],YMKODLARI!$A$1:$K$363,3,0)," ")</f>
        <v xml:space="preserve"> </v>
      </c>
      <c r="H482" s="100" t="str">
        <f>IFERROR(VLOOKUP(Tablo518[[#This Row],[ÜRÜN KODU]],YMKODLARI!$A$1:$K$363,4,0)," ")</f>
        <v xml:space="preserve"> </v>
      </c>
      <c r="I482" s="100"/>
      <c r="J482" s="100" t="str">
        <f>IFERROR(VLOOKUP(Tablo518[[#This Row],[ÜRÜN KODU]],YMKODLARI!$A$1:$K$363,9,0)," ")</f>
        <v xml:space="preserve"> </v>
      </c>
      <c r="K482" s="100" t="str">
        <f>IFERROR(VLOOKUP(Tablo518[[#This Row],[BOYA KODU]],Tablo14[#All],4,0)," ")</f>
        <v xml:space="preserve"> </v>
      </c>
      <c r="L482" s="100" t="str">
        <f>IFERROR(VLOOKUP(Tablo518[[#This Row],[BOYA KODU]],Tablo14[#All],6,0)," ")</f>
        <v xml:space="preserve"> </v>
      </c>
      <c r="M482" s="100" t="str">
        <f t="shared" si="49"/>
        <v xml:space="preserve"> </v>
      </c>
      <c r="N482" s="100" t="str">
        <f>IFERROR(VLOOKUP(Tablo518[[#This Row],[ÜRÜN KODU]],YMKODLARI!$A$1:$K$363,8,0)," ")</f>
        <v xml:space="preserve"> </v>
      </c>
      <c r="O482" s="100" t="str">
        <f>IFERROR(VLOOKUP(Tablo518[[#This Row],[HAMMADDE KODU]],Tablo1[#All],3,0)," ")</f>
        <v xml:space="preserve"> </v>
      </c>
      <c r="P482" s="100" t="str">
        <f>IFERROR(VLOOKUP(Tablo518[[#This Row],[HAMMADDE KODU]],Tablo1[#All],4,0)," ")</f>
        <v xml:space="preserve"> </v>
      </c>
      <c r="Q482" s="100" t="str">
        <f>IFERROR(VLOOKUP(Tablo518[[#This Row],[ÜRÜN KODU]],YMKODLARI!$A$1:$K$363,5,0)," ")</f>
        <v xml:space="preserve"> </v>
      </c>
      <c r="R482" s="100" t="str">
        <f>IFERROR(VLOOKUP(Tablo518[[#This Row],[ÜRÜN KODU]],YMKODLARI!$A$1:$K$363,6,0)," ")</f>
        <v xml:space="preserve"> </v>
      </c>
      <c r="S482" s="100" t="str">
        <f>IFERROR(Tablo518[[#This Row],[YOLLUK HARİÇ BASKI GRAMI]]/Tablo518[[#This Row],[KALIP GÖZ ADEDİ]]," ")</f>
        <v xml:space="preserve"> </v>
      </c>
      <c r="T482" s="100" t="str">
        <f t="shared" si="51"/>
        <v xml:space="preserve"> </v>
      </c>
      <c r="U482" s="100"/>
      <c r="V482" s="100" t="str">
        <f t="shared" si="50"/>
        <v xml:space="preserve"> </v>
      </c>
      <c r="W482" s="101">
        <f t="shared" si="52"/>
        <v>24</v>
      </c>
      <c r="X482" s="102">
        <f t="shared" si="53"/>
        <v>0</v>
      </c>
      <c r="Y482" s="100" t="str">
        <f t="shared" si="54"/>
        <v xml:space="preserve"> </v>
      </c>
      <c r="Z482" s="100" t="str">
        <f t="shared" si="55"/>
        <v xml:space="preserve"> </v>
      </c>
    </row>
    <row r="483" spans="1:26">
      <c r="A483" s="108"/>
      <c r="B483" s="108" t="str">
        <f>IFERROR(VLOOKUP(Tablo518[[#This Row],[ÜRÜN KODU]],YMKODLARI!$A$1:$K$363,2,0)," ")</f>
        <v xml:space="preserve"> </v>
      </c>
      <c r="C483" s="99"/>
      <c r="D483" s="100"/>
      <c r="E483" s="101"/>
      <c r="F483" s="101"/>
      <c r="G483" s="100" t="str">
        <f>IFERROR(VLOOKUP(Tablo518[[#This Row],[ÜRÜN KODU]],YMKODLARI!$A$1:$K$363,3,0)," ")</f>
        <v xml:space="preserve"> </v>
      </c>
      <c r="H483" s="100" t="str">
        <f>IFERROR(VLOOKUP(Tablo518[[#This Row],[ÜRÜN KODU]],YMKODLARI!$A$1:$K$363,4,0)," ")</f>
        <v xml:space="preserve"> </v>
      </c>
      <c r="I483" s="100"/>
      <c r="J483" s="100" t="str">
        <f>IFERROR(VLOOKUP(Tablo518[[#This Row],[ÜRÜN KODU]],YMKODLARI!$A$1:$K$363,9,0)," ")</f>
        <v xml:space="preserve"> </v>
      </c>
      <c r="K483" s="100" t="str">
        <f>IFERROR(VLOOKUP(Tablo518[[#This Row],[BOYA KODU]],Tablo14[#All],4,0)," ")</f>
        <v xml:space="preserve"> </v>
      </c>
      <c r="L483" s="100" t="str">
        <f>IFERROR(VLOOKUP(Tablo518[[#This Row],[BOYA KODU]],Tablo14[#All],6,0)," ")</f>
        <v xml:space="preserve"> </v>
      </c>
      <c r="M483" s="100" t="str">
        <f t="shared" si="49"/>
        <v xml:space="preserve"> </v>
      </c>
      <c r="N483" s="100" t="str">
        <f>IFERROR(VLOOKUP(Tablo518[[#This Row],[ÜRÜN KODU]],YMKODLARI!$A$1:$K$363,8,0)," ")</f>
        <v xml:space="preserve"> </v>
      </c>
      <c r="O483" s="100" t="str">
        <f>IFERROR(VLOOKUP(Tablo518[[#This Row],[HAMMADDE KODU]],Tablo1[#All],3,0)," ")</f>
        <v xml:space="preserve"> </v>
      </c>
      <c r="P483" s="100" t="str">
        <f>IFERROR(VLOOKUP(Tablo518[[#This Row],[HAMMADDE KODU]],Tablo1[#All],4,0)," ")</f>
        <v xml:space="preserve"> </v>
      </c>
      <c r="Q483" s="100" t="str">
        <f>IFERROR(VLOOKUP(Tablo518[[#This Row],[ÜRÜN KODU]],YMKODLARI!$A$1:$K$363,5,0)," ")</f>
        <v xml:space="preserve"> </v>
      </c>
      <c r="R483" s="100" t="str">
        <f>IFERROR(VLOOKUP(Tablo518[[#This Row],[ÜRÜN KODU]],YMKODLARI!$A$1:$K$363,6,0)," ")</f>
        <v xml:space="preserve"> </v>
      </c>
      <c r="S483" s="100" t="str">
        <f>IFERROR(Tablo518[[#This Row],[YOLLUK HARİÇ BASKI GRAMI]]/Tablo518[[#This Row],[KALIP GÖZ ADEDİ]]," ")</f>
        <v xml:space="preserve"> </v>
      </c>
      <c r="T483" s="100" t="str">
        <f t="shared" si="51"/>
        <v xml:space="preserve"> </v>
      </c>
      <c r="U483" s="100"/>
      <c r="V483" s="100" t="str">
        <f t="shared" si="50"/>
        <v xml:space="preserve"> </v>
      </c>
      <c r="W483" s="101">
        <f t="shared" si="52"/>
        <v>24</v>
      </c>
      <c r="X483" s="102">
        <f t="shared" si="53"/>
        <v>0</v>
      </c>
      <c r="Y483" s="100" t="str">
        <f t="shared" si="54"/>
        <v xml:space="preserve"> </v>
      </c>
      <c r="Z483" s="100" t="str">
        <f t="shared" si="55"/>
        <v xml:space="preserve"> </v>
      </c>
    </row>
    <row r="484" spans="1:26">
      <c r="A484" s="108"/>
      <c r="B484" s="108" t="str">
        <f>IFERROR(VLOOKUP(Tablo518[[#This Row],[ÜRÜN KODU]],YMKODLARI!$A$1:$K$363,2,0)," ")</f>
        <v xml:space="preserve"> </v>
      </c>
      <c r="C484" s="99"/>
      <c r="D484" s="100"/>
      <c r="E484" s="101"/>
      <c r="F484" s="101"/>
      <c r="G484" s="100" t="str">
        <f>IFERROR(VLOOKUP(Tablo518[[#This Row],[ÜRÜN KODU]],YMKODLARI!$A$1:$K$363,3,0)," ")</f>
        <v xml:space="preserve"> </v>
      </c>
      <c r="H484" s="100" t="str">
        <f>IFERROR(VLOOKUP(Tablo518[[#This Row],[ÜRÜN KODU]],YMKODLARI!$A$1:$K$363,4,0)," ")</f>
        <v xml:space="preserve"> </v>
      </c>
      <c r="I484" s="100"/>
      <c r="J484" s="100" t="str">
        <f>IFERROR(VLOOKUP(Tablo518[[#This Row],[ÜRÜN KODU]],YMKODLARI!$A$1:$K$363,9,0)," ")</f>
        <v xml:space="preserve"> </v>
      </c>
      <c r="K484" s="100" t="str">
        <f>IFERROR(VLOOKUP(Tablo518[[#This Row],[BOYA KODU]],Tablo14[#All],4,0)," ")</f>
        <v xml:space="preserve"> </v>
      </c>
      <c r="L484" s="100" t="str">
        <f>IFERROR(VLOOKUP(Tablo518[[#This Row],[BOYA KODU]],Tablo14[#All],6,0)," ")</f>
        <v xml:space="preserve"> </v>
      </c>
      <c r="M484" s="100" t="str">
        <f t="shared" si="49"/>
        <v xml:space="preserve"> </v>
      </c>
      <c r="N484" s="100" t="str">
        <f>IFERROR(VLOOKUP(Tablo518[[#This Row],[ÜRÜN KODU]],YMKODLARI!$A$1:$K$363,8,0)," ")</f>
        <v xml:space="preserve"> </v>
      </c>
      <c r="O484" s="100" t="str">
        <f>IFERROR(VLOOKUP(Tablo518[[#This Row],[HAMMADDE KODU]],Tablo1[#All],3,0)," ")</f>
        <v xml:space="preserve"> </v>
      </c>
      <c r="P484" s="100" t="str">
        <f>IFERROR(VLOOKUP(Tablo518[[#This Row],[HAMMADDE KODU]],Tablo1[#All],4,0)," ")</f>
        <v xml:space="preserve"> </v>
      </c>
      <c r="Q484" s="100" t="str">
        <f>IFERROR(VLOOKUP(Tablo518[[#This Row],[ÜRÜN KODU]],YMKODLARI!$A$1:$K$363,5,0)," ")</f>
        <v xml:space="preserve"> </v>
      </c>
      <c r="R484" s="100" t="str">
        <f>IFERROR(VLOOKUP(Tablo518[[#This Row],[ÜRÜN KODU]],YMKODLARI!$A$1:$K$363,6,0)," ")</f>
        <v xml:space="preserve"> </v>
      </c>
      <c r="S484" s="100" t="str">
        <f>IFERROR(Tablo518[[#This Row],[YOLLUK HARİÇ BASKI GRAMI]]/Tablo518[[#This Row],[KALIP GÖZ ADEDİ]]," ")</f>
        <v xml:space="preserve"> </v>
      </c>
      <c r="T484" s="100" t="str">
        <f t="shared" si="51"/>
        <v xml:space="preserve"> </v>
      </c>
      <c r="U484" s="100"/>
      <c r="V484" s="100" t="str">
        <f t="shared" si="50"/>
        <v xml:space="preserve"> </v>
      </c>
      <c r="W484" s="101">
        <f t="shared" si="52"/>
        <v>24</v>
      </c>
      <c r="X484" s="102">
        <f t="shared" si="53"/>
        <v>0</v>
      </c>
      <c r="Y484" s="100" t="str">
        <f t="shared" si="54"/>
        <v xml:space="preserve"> </v>
      </c>
      <c r="Z484" s="100" t="str">
        <f t="shared" si="55"/>
        <v xml:space="preserve"> </v>
      </c>
    </row>
    <row r="485" spans="1:26">
      <c r="A485" s="108"/>
      <c r="B485" s="108" t="str">
        <f>IFERROR(VLOOKUP(Tablo518[[#This Row],[ÜRÜN KODU]],YMKODLARI!$A$1:$K$363,2,0)," ")</f>
        <v xml:space="preserve"> </v>
      </c>
      <c r="C485" s="99"/>
      <c r="D485" s="100"/>
      <c r="E485" s="101"/>
      <c r="F485" s="101"/>
      <c r="G485" s="100" t="str">
        <f>IFERROR(VLOOKUP(Tablo518[[#This Row],[ÜRÜN KODU]],YMKODLARI!$A$1:$K$363,3,0)," ")</f>
        <v xml:space="preserve"> </v>
      </c>
      <c r="H485" s="100" t="str">
        <f>IFERROR(VLOOKUP(Tablo518[[#This Row],[ÜRÜN KODU]],YMKODLARI!$A$1:$K$363,4,0)," ")</f>
        <v xml:space="preserve"> </v>
      </c>
      <c r="I485" s="100"/>
      <c r="J485" s="100" t="str">
        <f>IFERROR(VLOOKUP(Tablo518[[#This Row],[ÜRÜN KODU]],YMKODLARI!$A$1:$K$363,9,0)," ")</f>
        <v xml:space="preserve"> </v>
      </c>
      <c r="K485" s="100" t="str">
        <f>IFERROR(VLOOKUP(Tablo518[[#This Row],[BOYA KODU]],Tablo14[#All],4,0)," ")</f>
        <v xml:space="preserve"> </v>
      </c>
      <c r="L485" s="100" t="str">
        <f>IFERROR(VLOOKUP(Tablo518[[#This Row],[BOYA KODU]],Tablo14[#All],6,0)," ")</f>
        <v xml:space="preserve"> </v>
      </c>
      <c r="M485" s="100" t="str">
        <f t="shared" si="49"/>
        <v xml:space="preserve"> </v>
      </c>
      <c r="N485" s="100" t="str">
        <f>IFERROR(VLOOKUP(Tablo518[[#This Row],[ÜRÜN KODU]],YMKODLARI!$A$1:$K$363,8,0)," ")</f>
        <v xml:space="preserve"> </v>
      </c>
      <c r="O485" s="100" t="str">
        <f>IFERROR(VLOOKUP(Tablo518[[#This Row],[HAMMADDE KODU]],Tablo1[#All],3,0)," ")</f>
        <v xml:space="preserve"> </v>
      </c>
      <c r="P485" s="100" t="str">
        <f>IFERROR(VLOOKUP(Tablo518[[#This Row],[HAMMADDE KODU]],Tablo1[#All],4,0)," ")</f>
        <v xml:space="preserve"> </v>
      </c>
      <c r="Q485" s="100" t="str">
        <f>IFERROR(VLOOKUP(Tablo518[[#This Row],[ÜRÜN KODU]],YMKODLARI!$A$1:$K$363,5,0)," ")</f>
        <v xml:space="preserve"> </v>
      </c>
      <c r="R485" s="100" t="str">
        <f>IFERROR(VLOOKUP(Tablo518[[#This Row],[ÜRÜN KODU]],YMKODLARI!$A$1:$K$363,6,0)," ")</f>
        <v xml:space="preserve"> </v>
      </c>
      <c r="S485" s="100" t="str">
        <f>IFERROR(Tablo518[[#This Row],[YOLLUK HARİÇ BASKI GRAMI]]/Tablo518[[#This Row],[KALIP GÖZ ADEDİ]]," ")</f>
        <v xml:space="preserve"> </v>
      </c>
      <c r="T485" s="100" t="str">
        <f t="shared" si="51"/>
        <v xml:space="preserve"> </v>
      </c>
      <c r="U485" s="100"/>
      <c r="V485" s="100" t="str">
        <f t="shared" si="50"/>
        <v xml:space="preserve"> </v>
      </c>
      <c r="W485" s="101">
        <f t="shared" si="52"/>
        <v>24</v>
      </c>
      <c r="X485" s="102">
        <f t="shared" si="53"/>
        <v>0</v>
      </c>
      <c r="Y485" s="100" t="str">
        <f t="shared" si="54"/>
        <v xml:space="preserve"> </v>
      </c>
      <c r="Z485" s="100" t="str">
        <f t="shared" si="55"/>
        <v xml:space="preserve"> </v>
      </c>
    </row>
    <row r="486" spans="1:26">
      <c r="A486" s="108"/>
      <c r="B486" s="108" t="str">
        <f>IFERROR(VLOOKUP(Tablo518[[#This Row],[ÜRÜN KODU]],YMKODLARI!$A$1:$K$363,2,0)," ")</f>
        <v xml:space="preserve"> </v>
      </c>
      <c r="C486" s="99"/>
      <c r="D486" s="100"/>
      <c r="E486" s="101"/>
      <c r="F486" s="101"/>
      <c r="G486" s="100" t="str">
        <f>IFERROR(VLOOKUP(Tablo518[[#This Row],[ÜRÜN KODU]],YMKODLARI!$A$1:$K$363,3,0)," ")</f>
        <v xml:space="preserve"> </v>
      </c>
      <c r="H486" s="100" t="str">
        <f>IFERROR(VLOOKUP(Tablo518[[#This Row],[ÜRÜN KODU]],YMKODLARI!$A$1:$K$363,4,0)," ")</f>
        <v xml:space="preserve"> </v>
      </c>
      <c r="I486" s="100"/>
      <c r="J486" s="100" t="str">
        <f>IFERROR(VLOOKUP(Tablo518[[#This Row],[ÜRÜN KODU]],YMKODLARI!$A$1:$K$363,9,0)," ")</f>
        <v xml:space="preserve"> </v>
      </c>
      <c r="K486" s="100" t="str">
        <f>IFERROR(VLOOKUP(Tablo518[[#This Row],[BOYA KODU]],Tablo14[#All],4,0)," ")</f>
        <v xml:space="preserve"> </v>
      </c>
      <c r="L486" s="100" t="str">
        <f>IFERROR(VLOOKUP(Tablo518[[#This Row],[BOYA KODU]],Tablo14[#All],6,0)," ")</f>
        <v xml:space="preserve"> </v>
      </c>
      <c r="M486" s="100" t="str">
        <f t="shared" si="49"/>
        <v xml:space="preserve"> </v>
      </c>
      <c r="N486" s="100" t="str">
        <f>IFERROR(VLOOKUP(Tablo518[[#This Row],[ÜRÜN KODU]],YMKODLARI!$A$1:$K$363,8,0)," ")</f>
        <v xml:space="preserve"> </v>
      </c>
      <c r="O486" s="100" t="str">
        <f>IFERROR(VLOOKUP(Tablo518[[#This Row],[HAMMADDE KODU]],Tablo1[#All],3,0)," ")</f>
        <v xml:space="preserve"> </v>
      </c>
      <c r="P486" s="100" t="str">
        <f>IFERROR(VLOOKUP(Tablo518[[#This Row],[HAMMADDE KODU]],Tablo1[#All],4,0)," ")</f>
        <v xml:space="preserve"> </v>
      </c>
      <c r="Q486" s="100" t="str">
        <f>IFERROR(VLOOKUP(Tablo518[[#This Row],[ÜRÜN KODU]],YMKODLARI!$A$1:$K$363,5,0)," ")</f>
        <v xml:space="preserve"> </v>
      </c>
      <c r="R486" s="100" t="str">
        <f>IFERROR(VLOOKUP(Tablo518[[#This Row],[ÜRÜN KODU]],YMKODLARI!$A$1:$K$363,6,0)," ")</f>
        <v xml:space="preserve"> </v>
      </c>
      <c r="S486" s="100" t="str">
        <f>IFERROR(Tablo518[[#This Row],[YOLLUK HARİÇ BASKI GRAMI]]/Tablo518[[#This Row],[KALIP GÖZ ADEDİ]]," ")</f>
        <v xml:space="preserve"> </v>
      </c>
      <c r="T486" s="100" t="str">
        <f t="shared" si="51"/>
        <v xml:space="preserve"> </v>
      </c>
      <c r="U486" s="100"/>
      <c r="V486" s="100" t="str">
        <f t="shared" si="50"/>
        <v xml:space="preserve"> </v>
      </c>
      <c r="W486" s="101">
        <f t="shared" si="52"/>
        <v>24</v>
      </c>
      <c r="X486" s="102">
        <f t="shared" si="53"/>
        <v>0</v>
      </c>
      <c r="Y486" s="100" t="str">
        <f t="shared" si="54"/>
        <v xml:space="preserve"> </v>
      </c>
      <c r="Z486" s="100" t="str">
        <f t="shared" si="55"/>
        <v xml:space="preserve"> </v>
      </c>
    </row>
    <row r="487" spans="1:26">
      <c r="A487" s="108"/>
      <c r="B487" s="108" t="str">
        <f>IFERROR(VLOOKUP(Tablo518[[#This Row],[ÜRÜN KODU]],YMKODLARI!$A$1:$K$363,2,0)," ")</f>
        <v xml:space="preserve"> </v>
      </c>
      <c r="C487" s="99"/>
      <c r="D487" s="100"/>
      <c r="E487" s="101"/>
      <c r="F487" s="101"/>
      <c r="G487" s="100" t="str">
        <f>IFERROR(VLOOKUP(Tablo518[[#This Row],[ÜRÜN KODU]],YMKODLARI!$A$1:$K$363,3,0)," ")</f>
        <v xml:space="preserve"> </v>
      </c>
      <c r="H487" s="100" t="str">
        <f>IFERROR(VLOOKUP(Tablo518[[#This Row],[ÜRÜN KODU]],YMKODLARI!$A$1:$K$363,4,0)," ")</f>
        <v xml:space="preserve"> </v>
      </c>
      <c r="I487" s="100"/>
      <c r="J487" s="100" t="str">
        <f>IFERROR(VLOOKUP(Tablo518[[#This Row],[ÜRÜN KODU]],YMKODLARI!$A$1:$K$363,9,0)," ")</f>
        <v xml:space="preserve"> </v>
      </c>
      <c r="K487" s="100" t="str">
        <f>IFERROR(VLOOKUP(Tablo518[[#This Row],[BOYA KODU]],Tablo14[#All],4,0)," ")</f>
        <v xml:space="preserve"> </v>
      </c>
      <c r="L487" s="100" t="str">
        <f>IFERROR(VLOOKUP(Tablo518[[#This Row],[BOYA KODU]],Tablo14[#All],6,0)," ")</f>
        <v xml:space="preserve"> </v>
      </c>
      <c r="M487" s="100" t="str">
        <f t="shared" si="49"/>
        <v xml:space="preserve"> </v>
      </c>
      <c r="N487" s="100" t="str">
        <f>IFERROR(VLOOKUP(Tablo518[[#This Row],[ÜRÜN KODU]],YMKODLARI!$A$1:$K$363,8,0)," ")</f>
        <v xml:space="preserve"> </v>
      </c>
      <c r="O487" s="100" t="str">
        <f>IFERROR(VLOOKUP(Tablo518[[#This Row],[HAMMADDE KODU]],Tablo1[#All],3,0)," ")</f>
        <v xml:space="preserve"> </v>
      </c>
      <c r="P487" s="100" t="str">
        <f>IFERROR(VLOOKUP(Tablo518[[#This Row],[HAMMADDE KODU]],Tablo1[#All],4,0)," ")</f>
        <v xml:space="preserve"> </v>
      </c>
      <c r="Q487" s="100" t="str">
        <f>IFERROR(VLOOKUP(Tablo518[[#This Row],[ÜRÜN KODU]],YMKODLARI!$A$1:$K$363,5,0)," ")</f>
        <v xml:space="preserve"> </v>
      </c>
      <c r="R487" s="100" t="str">
        <f>IFERROR(VLOOKUP(Tablo518[[#This Row],[ÜRÜN KODU]],YMKODLARI!$A$1:$K$363,6,0)," ")</f>
        <v xml:space="preserve"> </v>
      </c>
      <c r="S487" s="100" t="str">
        <f>IFERROR(Tablo518[[#This Row],[YOLLUK HARİÇ BASKI GRAMI]]/Tablo518[[#This Row],[KALIP GÖZ ADEDİ]]," ")</f>
        <v xml:space="preserve"> </v>
      </c>
      <c r="T487" s="100" t="str">
        <f t="shared" si="51"/>
        <v xml:space="preserve"> </v>
      </c>
      <c r="U487" s="100"/>
      <c r="V487" s="100" t="str">
        <f t="shared" si="50"/>
        <v xml:space="preserve"> </v>
      </c>
      <c r="W487" s="101">
        <f t="shared" si="52"/>
        <v>24</v>
      </c>
      <c r="X487" s="102">
        <f t="shared" si="53"/>
        <v>0</v>
      </c>
      <c r="Y487" s="100" t="str">
        <f t="shared" si="54"/>
        <v xml:space="preserve"> </v>
      </c>
      <c r="Z487" s="100" t="str">
        <f t="shared" si="55"/>
        <v xml:space="preserve"> </v>
      </c>
    </row>
    <row r="488" spans="1:26">
      <c r="A488" s="108"/>
      <c r="B488" s="108" t="str">
        <f>IFERROR(VLOOKUP(Tablo518[[#This Row],[ÜRÜN KODU]],YMKODLARI!$A$1:$K$363,2,0)," ")</f>
        <v xml:space="preserve"> </v>
      </c>
      <c r="C488" s="99"/>
      <c r="D488" s="100"/>
      <c r="E488" s="101"/>
      <c r="F488" s="101"/>
      <c r="G488" s="100" t="str">
        <f>IFERROR(VLOOKUP(Tablo518[[#This Row],[ÜRÜN KODU]],YMKODLARI!$A$1:$K$363,3,0)," ")</f>
        <v xml:space="preserve"> </v>
      </c>
      <c r="H488" s="100" t="str">
        <f>IFERROR(VLOOKUP(Tablo518[[#This Row],[ÜRÜN KODU]],YMKODLARI!$A$1:$K$363,4,0)," ")</f>
        <v xml:space="preserve"> </v>
      </c>
      <c r="I488" s="100"/>
      <c r="J488" s="100" t="str">
        <f>IFERROR(VLOOKUP(Tablo518[[#This Row],[ÜRÜN KODU]],YMKODLARI!$A$1:$K$363,9,0)," ")</f>
        <v xml:space="preserve"> </v>
      </c>
      <c r="K488" s="100" t="str">
        <f>IFERROR(VLOOKUP(Tablo518[[#This Row],[BOYA KODU]],Tablo14[#All],4,0)," ")</f>
        <v xml:space="preserve"> </v>
      </c>
      <c r="L488" s="100" t="str">
        <f>IFERROR(VLOOKUP(Tablo518[[#This Row],[BOYA KODU]],Tablo14[#All],6,0)," ")</f>
        <v xml:space="preserve"> </v>
      </c>
      <c r="M488" s="100" t="str">
        <f t="shared" si="49"/>
        <v xml:space="preserve"> </v>
      </c>
      <c r="N488" s="100" t="str">
        <f>IFERROR(VLOOKUP(Tablo518[[#This Row],[ÜRÜN KODU]],YMKODLARI!$A$1:$K$363,8,0)," ")</f>
        <v xml:space="preserve"> </v>
      </c>
      <c r="O488" s="100" t="str">
        <f>IFERROR(VLOOKUP(Tablo518[[#This Row],[HAMMADDE KODU]],Tablo1[#All],3,0)," ")</f>
        <v xml:space="preserve"> </v>
      </c>
      <c r="P488" s="100" t="str">
        <f>IFERROR(VLOOKUP(Tablo518[[#This Row],[HAMMADDE KODU]],Tablo1[#All],4,0)," ")</f>
        <v xml:space="preserve"> </v>
      </c>
      <c r="Q488" s="100" t="str">
        <f>IFERROR(VLOOKUP(Tablo518[[#This Row],[ÜRÜN KODU]],YMKODLARI!$A$1:$K$363,5,0)," ")</f>
        <v xml:space="preserve"> </v>
      </c>
      <c r="R488" s="100" t="str">
        <f>IFERROR(VLOOKUP(Tablo518[[#This Row],[ÜRÜN KODU]],YMKODLARI!$A$1:$K$363,6,0)," ")</f>
        <v xml:space="preserve"> </v>
      </c>
      <c r="S488" s="100" t="str">
        <f>IFERROR(Tablo518[[#This Row],[YOLLUK HARİÇ BASKI GRAMI]]/Tablo518[[#This Row],[KALIP GÖZ ADEDİ]]," ")</f>
        <v xml:space="preserve"> </v>
      </c>
      <c r="T488" s="100" t="str">
        <f t="shared" si="51"/>
        <v xml:space="preserve"> </v>
      </c>
      <c r="U488" s="100"/>
      <c r="V488" s="100" t="str">
        <f t="shared" si="50"/>
        <v xml:space="preserve"> </v>
      </c>
      <c r="W488" s="101">
        <f t="shared" si="52"/>
        <v>24</v>
      </c>
      <c r="X488" s="102">
        <f t="shared" si="53"/>
        <v>0</v>
      </c>
      <c r="Y488" s="100" t="str">
        <f t="shared" si="54"/>
        <v xml:space="preserve"> </v>
      </c>
      <c r="Z488" s="100" t="str">
        <f t="shared" si="55"/>
        <v xml:space="preserve"> </v>
      </c>
    </row>
    <row r="489" spans="1:26">
      <c r="A489" s="108"/>
      <c r="B489" s="108" t="str">
        <f>IFERROR(VLOOKUP(Tablo518[[#This Row],[ÜRÜN KODU]],YMKODLARI!$A$1:$K$363,2,0)," ")</f>
        <v xml:space="preserve"> </v>
      </c>
      <c r="C489" s="99"/>
      <c r="D489" s="100"/>
      <c r="E489" s="101"/>
      <c r="F489" s="101"/>
      <c r="G489" s="100" t="str">
        <f>IFERROR(VLOOKUP(Tablo518[[#This Row],[ÜRÜN KODU]],YMKODLARI!$A$1:$K$363,3,0)," ")</f>
        <v xml:space="preserve"> </v>
      </c>
      <c r="H489" s="100" t="str">
        <f>IFERROR(VLOOKUP(Tablo518[[#This Row],[ÜRÜN KODU]],YMKODLARI!$A$1:$K$363,4,0)," ")</f>
        <v xml:space="preserve"> </v>
      </c>
      <c r="I489" s="100"/>
      <c r="J489" s="100" t="str">
        <f>IFERROR(VLOOKUP(Tablo518[[#This Row],[ÜRÜN KODU]],YMKODLARI!$A$1:$K$363,9,0)," ")</f>
        <v xml:space="preserve"> </v>
      </c>
      <c r="K489" s="100" t="str">
        <f>IFERROR(VLOOKUP(Tablo518[[#This Row],[BOYA KODU]],Tablo14[#All],4,0)," ")</f>
        <v xml:space="preserve"> </v>
      </c>
      <c r="L489" s="100" t="str">
        <f>IFERROR(VLOOKUP(Tablo518[[#This Row],[BOYA KODU]],Tablo14[#All],6,0)," ")</f>
        <v xml:space="preserve"> </v>
      </c>
      <c r="M489" s="100" t="str">
        <f t="shared" si="49"/>
        <v xml:space="preserve"> </v>
      </c>
      <c r="N489" s="100" t="str">
        <f>IFERROR(VLOOKUP(Tablo518[[#This Row],[ÜRÜN KODU]],YMKODLARI!$A$1:$K$363,8,0)," ")</f>
        <v xml:space="preserve"> </v>
      </c>
      <c r="O489" s="100" t="str">
        <f>IFERROR(VLOOKUP(Tablo518[[#This Row],[HAMMADDE KODU]],Tablo1[#All],3,0)," ")</f>
        <v xml:space="preserve"> </v>
      </c>
      <c r="P489" s="100" t="str">
        <f>IFERROR(VLOOKUP(Tablo518[[#This Row],[HAMMADDE KODU]],Tablo1[#All],4,0)," ")</f>
        <v xml:space="preserve"> </v>
      </c>
      <c r="Q489" s="100" t="str">
        <f>IFERROR(VLOOKUP(Tablo518[[#This Row],[ÜRÜN KODU]],YMKODLARI!$A$1:$K$363,5,0)," ")</f>
        <v xml:space="preserve"> </v>
      </c>
      <c r="R489" s="100" t="str">
        <f>IFERROR(VLOOKUP(Tablo518[[#This Row],[ÜRÜN KODU]],YMKODLARI!$A$1:$K$363,6,0)," ")</f>
        <v xml:space="preserve"> </v>
      </c>
      <c r="S489" s="100" t="str">
        <f>IFERROR(Tablo518[[#This Row],[YOLLUK HARİÇ BASKI GRAMI]]/Tablo518[[#This Row],[KALIP GÖZ ADEDİ]]," ")</f>
        <v xml:space="preserve"> </v>
      </c>
      <c r="T489" s="100" t="str">
        <f t="shared" si="51"/>
        <v xml:space="preserve"> </v>
      </c>
      <c r="U489" s="100"/>
      <c r="V489" s="100" t="str">
        <f t="shared" si="50"/>
        <v xml:space="preserve"> </v>
      </c>
      <c r="W489" s="101">
        <f t="shared" si="52"/>
        <v>24</v>
      </c>
      <c r="X489" s="102">
        <f t="shared" si="53"/>
        <v>0</v>
      </c>
      <c r="Y489" s="100" t="str">
        <f t="shared" si="54"/>
        <v xml:space="preserve"> </v>
      </c>
      <c r="Z489" s="100" t="str">
        <f t="shared" si="55"/>
        <v xml:space="preserve"> </v>
      </c>
    </row>
    <row r="490" spans="1:26">
      <c r="A490" s="108"/>
      <c r="B490" s="108" t="str">
        <f>IFERROR(VLOOKUP(Tablo518[[#This Row],[ÜRÜN KODU]],YMKODLARI!$A$1:$K$363,2,0)," ")</f>
        <v xml:space="preserve"> </v>
      </c>
      <c r="C490" s="99"/>
      <c r="D490" s="100"/>
      <c r="E490" s="101"/>
      <c r="F490" s="101"/>
      <c r="G490" s="100" t="str">
        <f>IFERROR(VLOOKUP(Tablo518[[#This Row],[ÜRÜN KODU]],YMKODLARI!$A$1:$K$363,3,0)," ")</f>
        <v xml:space="preserve"> </v>
      </c>
      <c r="H490" s="100" t="str">
        <f>IFERROR(VLOOKUP(Tablo518[[#This Row],[ÜRÜN KODU]],YMKODLARI!$A$1:$K$363,4,0)," ")</f>
        <v xml:space="preserve"> </v>
      </c>
      <c r="I490" s="100"/>
      <c r="J490" s="100" t="str">
        <f>IFERROR(VLOOKUP(Tablo518[[#This Row],[ÜRÜN KODU]],YMKODLARI!$A$1:$K$363,9,0)," ")</f>
        <v xml:space="preserve"> </v>
      </c>
      <c r="K490" s="100" t="str">
        <f>IFERROR(VLOOKUP(Tablo518[[#This Row],[BOYA KODU]],Tablo14[#All],4,0)," ")</f>
        <v xml:space="preserve"> </v>
      </c>
      <c r="L490" s="100" t="str">
        <f>IFERROR(VLOOKUP(Tablo518[[#This Row],[BOYA KODU]],Tablo14[#All],6,0)," ")</f>
        <v xml:space="preserve"> </v>
      </c>
      <c r="M490" s="100" t="str">
        <f t="shared" si="49"/>
        <v xml:space="preserve"> </v>
      </c>
      <c r="N490" s="100" t="str">
        <f>IFERROR(VLOOKUP(Tablo518[[#This Row],[ÜRÜN KODU]],YMKODLARI!$A$1:$K$363,8,0)," ")</f>
        <v xml:space="preserve"> </v>
      </c>
      <c r="O490" s="100" t="str">
        <f>IFERROR(VLOOKUP(Tablo518[[#This Row],[HAMMADDE KODU]],Tablo1[#All],3,0)," ")</f>
        <v xml:space="preserve"> </v>
      </c>
      <c r="P490" s="100" t="str">
        <f>IFERROR(VLOOKUP(Tablo518[[#This Row],[HAMMADDE KODU]],Tablo1[#All],4,0)," ")</f>
        <v xml:space="preserve"> </v>
      </c>
      <c r="Q490" s="100" t="str">
        <f>IFERROR(VLOOKUP(Tablo518[[#This Row],[ÜRÜN KODU]],YMKODLARI!$A$1:$K$363,5,0)," ")</f>
        <v xml:space="preserve"> </v>
      </c>
      <c r="R490" s="100" t="str">
        <f>IFERROR(VLOOKUP(Tablo518[[#This Row],[ÜRÜN KODU]],YMKODLARI!$A$1:$K$363,6,0)," ")</f>
        <v xml:space="preserve"> </v>
      </c>
      <c r="S490" s="100" t="str">
        <f>IFERROR(Tablo518[[#This Row],[YOLLUK HARİÇ BASKI GRAMI]]/Tablo518[[#This Row],[KALIP GÖZ ADEDİ]]," ")</f>
        <v xml:space="preserve"> </v>
      </c>
      <c r="T490" s="100" t="str">
        <f t="shared" si="51"/>
        <v xml:space="preserve"> </v>
      </c>
      <c r="U490" s="100"/>
      <c r="V490" s="100" t="str">
        <f t="shared" si="50"/>
        <v xml:space="preserve"> </v>
      </c>
      <c r="W490" s="101">
        <f t="shared" si="52"/>
        <v>24</v>
      </c>
      <c r="X490" s="102">
        <f t="shared" si="53"/>
        <v>0</v>
      </c>
      <c r="Y490" s="100" t="str">
        <f t="shared" si="54"/>
        <v xml:space="preserve"> </v>
      </c>
      <c r="Z490" s="100" t="str">
        <f t="shared" si="55"/>
        <v xml:space="preserve"> </v>
      </c>
    </row>
    <row r="491" spans="1:26">
      <c r="A491" s="108"/>
      <c r="B491" s="108" t="str">
        <f>IFERROR(VLOOKUP(Tablo518[[#This Row],[ÜRÜN KODU]],YMKODLARI!$A$1:$K$363,2,0)," ")</f>
        <v xml:space="preserve"> </v>
      </c>
      <c r="C491" s="99"/>
      <c r="D491" s="100"/>
      <c r="E491" s="101"/>
      <c r="F491" s="101"/>
      <c r="G491" s="100" t="str">
        <f>IFERROR(VLOOKUP(Tablo518[[#This Row],[ÜRÜN KODU]],YMKODLARI!$A$1:$K$363,3,0)," ")</f>
        <v xml:space="preserve"> </v>
      </c>
      <c r="H491" s="100" t="str">
        <f>IFERROR(VLOOKUP(Tablo518[[#This Row],[ÜRÜN KODU]],YMKODLARI!$A$1:$K$363,4,0)," ")</f>
        <v xml:space="preserve"> </v>
      </c>
      <c r="I491" s="100"/>
      <c r="J491" s="100" t="str">
        <f>IFERROR(VLOOKUP(Tablo518[[#This Row],[ÜRÜN KODU]],YMKODLARI!$A$1:$K$363,9,0)," ")</f>
        <v xml:space="preserve"> </v>
      </c>
      <c r="K491" s="100" t="str">
        <f>IFERROR(VLOOKUP(Tablo518[[#This Row],[BOYA KODU]],Tablo14[#All],4,0)," ")</f>
        <v xml:space="preserve"> </v>
      </c>
      <c r="L491" s="100" t="str">
        <f>IFERROR(VLOOKUP(Tablo518[[#This Row],[BOYA KODU]],Tablo14[#All],6,0)," ")</f>
        <v xml:space="preserve"> </v>
      </c>
      <c r="M491" s="100" t="str">
        <f t="shared" si="49"/>
        <v xml:space="preserve"> </v>
      </c>
      <c r="N491" s="100" t="str">
        <f>IFERROR(VLOOKUP(Tablo518[[#This Row],[ÜRÜN KODU]],YMKODLARI!$A$1:$K$363,8,0)," ")</f>
        <v xml:space="preserve"> </v>
      </c>
      <c r="O491" s="100" t="str">
        <f>IFERROR(VLOOKUP(Tablo518[[#This Row],[HAMMADDE KODU]],Tablo1[#All],3,0)," ")</f>
        <v xml:space="preserve"> </v>
      </c>
      <c r="P491" s="100" t="str">
        <f>IFERROR(VLOOKUP(Tablo518[[#This Row],[HAMMADDE KODU]],Tablo1[#All],4,0)," ")</f>
        <v xml:space="preserve"> </v>
      </c>
      <c r="Q491" s="100" t="str">
        <f>IFERROR(VLOOKUP(Tablo518[[#This Row],[ÜRÜN KODU]],YMKODLARI!$A$1:$K$363,5,0)," ")</f>
        <v xml:space="preserve"> </v>
      </c>
      <c r="R491" s="100" t="str">
        <f>IFERROR(VLOOKUP(Tablo518[[#This Row],[ÜRÜN KODU]],YMKODLARI!$A$1:$K$363,6,0)," ")</f>
        <v xml:space="preserve"> </v>
      </c>
      <c r="S491" s="100" t="str">
        <f>IFERROR(Tablo518[[#This Row],[YOLLUK HARİÇ BASKI GRAMI]]/Tablo518[[#This Row],[KALIP GÖZ ADEDİ]]," ")</f>
        <v xml:space="preserve"> </v>
      </c>
      <c r="T491" s="100" t="str">
        <f t="shared" si="51"/>
        <v xml:space="preserve"> </v>
      </c>
      <c r="U491" s="100"/>
      <c r="V491" s="100" t="str">
        <f t="shared" si="50"/>
        <v xml:space="preserve"> </v>
      </c>
      <c r="W491" s="101">
        <f t="shared" si="52"/>
        <v>24</v>
      </c>
      <c r="X491" s="102">
        <f t="shared" si="53"/>
        <v>0</v>
      </c>
      <c r="Y491" s="100" t="str">
        <f t="shared" si="54"/>
        <v xml:space="preserve"> </v>
      </c>
      <c r="Z491" s="100" t="str">
        <f t="shared" si="55"/>
        <v xml:space="preserve"> </v>
      </c>
    </row>
    <row r="492" spans="1:26">
      <c r="A492" s="108"/>
      <c r="B492" s="108" t="str">
        <f>IFERROR(VLOOKUP(Tablo518[[#This Row],[ÜRÜN KODU]],YMKODLARI!$A$1:$K$363,2,0)," ")</f>
        <v xml:space="preserve"> </v>
      </c>
      <c r="C492" s="99"/>
      <c r="D492" s="100"/>
      <c r="E492" s="101"/>
      <c r="F492" s="101"/>
      <c r="G492" s="100" t="str">
        <f>IFERROR(VLOOKUP(Tablo518[[#This Row],[ÜRÜN KODU]],YMKODLARI!$A$1:$K$363,3,0)," ")</f>
        <v xml:space="preserve"> </v>
      </c>
      <c r="H492" s="100" t="str">
        <f>IFERROR(VLOOKUP(Tablo518[[#This Row],[ÜRÜN KODU]],YMKODLARI!$A$1:$K$363,4,0)," ")</f>
        <v xml:space="preserve"> </v>
      </c>
      <c r="I492" s="100"/>
      <c r="J492" s="100" t="str">
        <f>IFERROR(VLOOKUP(Tablo518[[#This Row],[ÜRÜN KODU]],YMKODLARI!$A$1:$K$363,9,0)," ")</f>
        <v xml:space="preserve"> </v>
      </c>
      <c r="K492" s="100" t="str">
        <f>IFERROR(VLOOKUP(Tablo518[[#This Row],[BOYA KODU]],Tablo14[#All],4,0)," ")</f>
        <v xml:space="preserve"> </v>
      </c>
      <c r="L492" s="100" t="str">
        <f>IFERROR(VLOOKUP(Tablo518[[#This Row],[BOYA KODU]],Tablo14[#All],6,0)," ")</f>
        <v xml:space="preserve"> </v>
      </c>
      <c r="M492" s="100" t="str">
        <f t="shared" si="49"/>
        <v xml:space="preserve"> </v>
      </c>
      <c r="N492" s="100" t="str">
        <f>IFERROR(VLOOKUP(Tablo518[[#This Row],[ÜRÜN KODU]],YMKODLARI!$A$1:$K$363,8,0)," ")</f>
        <v xml:space="preserve"> </v>
      </c>
      <c r="O492" s="100" t="str">
        <f>IFERROR(VLOOKUP(Tablo518[[#This Row],[HAMMADDE KODU]],Tablo1[#All],3,0)," ")</f>
        <v xml:space="preserve"> </v>
      </c>
      <c r="P492" s="100" t="str">
        <f>IFERROR(VLOOKUP(Tablo518[[#This Row],[HAMMADDE KODU]],Tablo1[#All],4,0)," ")</f>
        <v xml:space="preserve"> </v>
      </c>
      <c r="Q492" s="100" t="str">
        <f>IFERROR(VLOOKUP(Tablo518[[#This Row],[ÜRÜN KODU]],YMKODLARI!$A$1:$K$363,5,0)," ")</f>
        <v xml:space="preserve"> </v>
      </c>
      <c r="R492" s="100" t="str">
        <f>IFERROR(VLOOKUP(Tablo518[[#This Row],[ÜRÜN KODU]],YMKODLARI!$A$1:$K$363,6,0)," ")</f>
        <v xml:space="preserve"> </v>
      </c>
      <c r="S492" s="100" t="str">
        <f>IFERROR(Tablo518[[#This Row],[YOLLUK HARİÇ BASKI GRAMI]]/Tablo518[[#This Row],[KALIP GÖZ ADEDİ]]," ")</f>
        <v xml:space="preserve"> </v>
      </c>
      <c r="T492" s="100" t="str">
        <f t="shared" si="51"/>
        <v xml:space="preserve"> </v>
      </c>
      <c r="U492" s="100"/>
      <c r="V492" s="100" t="str">
        <f t="shared" si="50"/>
        <v xml:space="preserve"> </v>
      </c>
      <c r="W492" s="101">
        <f t="shared" si="52"/>
        <v>24</v>
      </c>
      <c r="X492" s="102">
        <f t="shared" si="53"/>
        <v>0</v>
      </c>
      <c r="Y492" s="100" t="str">
        <f t="shared" si="54"/>
        <v xml:space="preserve"> </v>
      </c>
      <c r="Z492" s="100" t="str">
        <f t="shared" si="55"/>
        <v xml:space="preserve"> </v>
      </c>
    </row>
    <row r="493" spans="1:26">
      <c r="A493" s="108"/>
      <c r="B493" s="108" t="str">
        <f>IFERROR(VLOOKUP(Tablo518[[#This Row],[ÜRÜN KODU]],YMKODLARI!$A$1:$K$363,2,0)," ")</f>
        <v xml:space="preserve"> </v>
      </c>
      <c r="C493" s="99"/>
      <c r="D493" s="100"/>
      <c r="E493" s="101"/>
      <c r="F493" s="101"/>
      <c r="G493" s="100" t="str">
        <f>IFERROR(VLOOKUP(Tablo518[[#This Row],[ÜRÜN KODU]],YMKODLARI!$A$1:$K$363,3,0)," ")</f>
        <v xml:space="preserve"> </v>
      </c>
      <c r="H493" s="100" t="str">
        <f>IFERROR(VLOOKUP(Tablo518[[#This Row],[ÜRÜN KODU]],YMKODLARI!$A$1:$K$363,4,0)," ")</f>
        <v xml:space="preserve"> </v>
      </c>
      <c r="I493" s="100"/>
      <c r="J493" s="100" t="str">
        <f>IFERROR(VLOOKUP(Tablo518[[#This Row],[ÜRÜN KODU]],YMKODLARI!$A$1:$K$363,9,0)," ")</f>
        <v xml:space="preserve"> </v>
      </c>
      <c r="K493" s="100" t="str">
        <f>IFERROR(VLOOKUP(Tablo518[[#This Row],[BOYA KODU]],Tablo14[#All],4,0)," ")</f>
        <v xml:space="preserve"> </v>
      </c>
      <c r="L493" s="100" t="str">
        <f>IFERROR(VLOOKUP(Tablo518[[#This Row],[BOYA KODU]],Tablo14[#All],6,0)," ")</f>
        <v xml:space="preserve"> </v>
      </c>
      <c r="M493" s="100" t="str">
        <f t="shared" si="49"/>
        <v xml:space="preserve"> </v>
      </c>
      <c r="N493" s="100" t="str">
        <f>IFERROR(VLOOKUP(Tablo518[[#This Row],[ÜRÜN KODU]],YMKODLARI!$A$1:$K$363,8,0)," ")</f>
        <v xml:space="preserve"> </v>
      </c>
      <c r="O493" s="100" t="str">
        <f>IFERROR(VLOOKUP(Tablo518[[#This Row],[HAMMADDE KODU]],Tablo1[#All],3,0)," ")</f>
        <v xml:space="preserve"> </v>
      </c>
      <c r="P493" s="100" t="str">
        <f>IFERROR(VLOOKUP(Tablo518[[#This Row],[HAMMADDE KODU]],Tablo1[#All],4,0)," ")</f>
        <v xml:space="preserve"> </v>
      </c>
      <c r="Q493" s="100" t="str">
        <f>IFERROR(VLOOKUP(Tablo518[[#This Row],[ÜRÜN KODU]],YMKODLARI!$A$1:$K$363,5,0)," ")</f>
        <v xml:space="preserve"> </v>
      </c>
      <c r="R493" s="100" t="str">
        <f>IFERROR(VLOOKUP(Tablo518[[#This Row],[ÜRÜN KODU]],YMKODLARI!$A$1:$K$363,6,0)," ")</f>
        <v xml:space="preserve"> </v>
      </c>
      <c r="S493" s="100" t="str">
        <f>IFERROR(Tablo518[[#This Row],[YOLLUK HARİÇ BASKI GRAMI]]/Tablo518[[#This Row],[KALIP GÖZ ADEDİ]]," ")</f>
        <v xml:space="preserve"> </v>
      </c>
      <c r="T493" s="100" t="str">
        <f t="shared" si="51"/>
        <v xml:space="preserve"> </v>
      </c>
      <c r="U493" s="100"/>
      <c r="V493" s="100" t="str">
        <f t="shared" si="50"/>
        <v xml:space="preserve"> </v>
      </c>
      <c r="W493" s="101">
        <f t="shared" si="52"/>
        <v>24</v>
      </c>
      <c r="X493" s="102">
        <f t="shared" si="53"/>
        <v>0</v>
      </c>
      <c r="Y493" s="100" t="str">
        <f t="shared" si="54"/>
        <v xml:space="preserve"> </v>
      </c>
      <c r="Z493" s="100" t="str">
        <f t="shared" si="55"/>
        <v xml:space="preserve"> </v>
      </c>
    </row>
    <row r="494" spans="1:26">
      <c r="A494" s="108"/>
      <c r="B494" s="108" t="str">
        <f>IFERROR(VLOOKUP(Tablo518[[#This Row],[ÜRÜN KODU]],YMKODLARI!$A$1:$K$363,2,0)," ")</f>
        <v xml:space="preserve"> </v>
      </c>
      <c r="C494" s="99"/>
      <c r="D494" s="100"/>
      <c r="E494" s="101"/>
      <c r="F494" s="101"/>
      <c r="G494" s="100" t="str">
        <f>IFERROR(VLOOKUP(Tablo518[[#This Row],[ÜRÜN KODU]],YMKODLARI!$A$1:$K$363,3,0)," ")</f>
        <v xml:space="preserve"> </v>
      </c>
      <c r="H494" s="100" t="str">
        <f>IFERROR(VLOOKUP(Tablo518[[#This Row],[ÜRÜN KODU]],YMKODLARI!$A$1:$K$363,4,0)," ")</f>
        <v xml:space="preserve"> </v>
      </c>
      <c r="I494" s="100"/>
      <c r="J494" s="100" t="str">
        <f>IFERROR(VLOOKUP(Tablo518[[#This Row],[ÜRÜN KODU]],YMKODLARI!$A$1:$K$363,9,0)," ")</f>
        <v xml:space="preserve"> </v>
      </c>
      <c r="K494" s="100" t="str">
        <f>IFERROR(VLOOKUP(Tablo518[[#This Row],[BOYA KODU]],Tablo14[#All],4,0)," ")</f>
        <v xml:space="preserve"> </v>
      </c>
      <c r="L494" s="100" t="str">
        <f>IFERROR(VLOOKUP(Tablo518[[#This Row],[BOYA KODU]],Tablo14[#All],6,0)," ")</f>
        <v xml:space="preserve"> </v>
      </c>
      <c r="M494" s="100" t="str">
        <f t="shared" si="49"/>
        <v xml:space="preserve"> </v>
      </c>
      <c r="N494" s="100" t="str">
        <f>IFERROR(VLOOKUP(Tablo518[[#This Row],[ÜRÜN KODU]],YMKODLARI!$A$1:$K$363,8,0)," ")</f>
        <v xml:space="preserve"> </v>
      </c>
      <c r="O494" s="100" t="str">
        <f>IFERROR(VLOOKUP(Tablo518[[#This Row],[HAMMADDE KODU]],Tablo1[#All],3,0)," ")</f>
        <v xml:space="preserve"> </v>
      </c>
      <c r="P494" s="100" t="str">
        <f>IFERROR(VLOOKUP(Tablo518[[#This Row],[HAMMADDE KODU]],Tablo1[#All],4,0)," ")</f>
        <v xml:space="preserve"> </v>
      </c>
      <c r="Q494" s="100" t="str">
        <f>IFERROR(VLOOKUP(Tablo518[[#This Row],[ÜRÜN KODU]],YMKODLARI!$A$1:$K$363,5,0)," ")</f>
        <v xml:space="preserve"> </v>
      </c>
      <c r="R494" s="100" t="str">
        <f>IFERROR(VLOOKUP(Tablo518[[#This Row],[ÜRÜN KODU]],YMKODLARI!$A$1:$K$363,6,0)," ")</f>
        <v xml:space="preserve"> </v>
      </c>
      <c r="S494" s="100" t="str">
        <f>IFERROR(Tablo518[[#This Row],[YOLLUK HARİÇ BASKI GRAMI]]/Tablo518[[#This Row],[KALIP GÖZ ADEDİ]]," ")</f>
        <v xml:space="preserve"> </v>
      </c>
      <c r="T494" s="100" t="str">
        <f t="shared" si="51"/>
        <v xml:space="preserve"> </v>
      </c>
      <c r="U494" s="100"/>
      <c r="V494" s="100" t="str">
        <f t="shared" si="50"/>
        <v xml:space="preserve"> </v>
      </c>
      <c r="W494" s="101">
        <f t="shared" si="52"/>
        <v>24</v>
      </c>
      <c r="X494" s="102">
        <f t="shared" si="53"/>
        <v>0</v>
      </c>
      <c r="Y494" s="100" t="str">
        <f t="shared" si="54"/>
        <v xml:space="preserve"> </v>
      </c>
      <c r="Z494" s="100" t="str">
        <f t="shared" si="55"/>
        <v xml:space="preserve"> </v>
      </c>
    </row>
    <row r="495" spans="1:26">
      <c r="A495" s="108"/>
      <c r="B495" s="108" t="str">
        <f>IFERROR(VLOOKUP(Tablo518[[#This Row],[ÜRÜN KODU]],YMKODLARI!$A$1:$K$363,2,0)," ")</f>
        <v xml:space="preserve"> </v>
      </c>
      <c r="C495" s="99"/>
      <c r="D495" s="100"/>
      <c r="E495" s="101"/>
      <c r="F495" s="101"/>
      <c r="G495" s="100" t="str">
        <f>IFERROR(VLOOKUP(Tablo518[[#This Row],[ÜRÜN KODU]],YMKODLARI!$A$1:$K$363,3,0)," ")</f>
        <v xml:space="preserve"> </v>
      </c>
      <c r="H495" s="100" t="str">
        <f>IFERROR(VLOOKUP(Tablo518[[#This Row],[ÜRÜN KODU]],YMKODLARI!$A$1:$K$363,4,0)," ")</f>
        <v xml:space="preserve"> </v>
      </c>
      <c r="I495" s="100"/>
      <c r="J495" s="100" t="str">
        <f>IFERROR(VLOOKUP(Tablo518[[#This Row],[ÜRÜN KODU]],YMKODLARI!$A$1:$K$363,9,0)," ")</f>
        <v xml:space="preserve"> </v>
      </c>
      <c r="K495" s="100" t="str">
        <f>IFERROR(VLOOKUP(Tablo518[[#This Row],[BOYA KODU]],Tablo14[#All],4,0)," ")</f>
        <v xml:space="preserve"> </v>
      </c>
      <c r="L495" s="100" t="str">
        <f>IFERROR(VLOOKUP(Tablo518[[#This Row],[BOYA KODU]],Tablo14[#All],6,0)," ")</f>
        <v xml:space="preserve"> </v>
      </c>
      <c r="M495" s="100" t="str">
        <f t="shared" si="49"/>
        <v xml:space="preserve"> </v>
      </c>
      <c r="N495" s="100" t="str">
        <f>IFERROR(VLOOKUP(Tablo518[[#This Row],[ÜRÜN KODU]],YMKODLARI!$A$1:$K$363,8,0)," ")</f>
        <v xml:space="preserve"> </v>
      </c>
      <c r="O495" s="100" t="str">
        <f>IFERROR(VLOOKUP(Tablo518[[#This Row],[HAMMADDE KODU]],Tablo1[#All],3,0)," ")</f>
        <v xml:space="preserve"> </v>
      </c>
      <c r="P495" s="100" t="str">
        <f>IFERROR(VLOOKUP(Tablo518[[#This Row],[HAMMADDE KODU]],Tablo1[#All],4,0)," ")</f>
        <v xml:space="preserve"> </v>
      </c>
      <c r="Q495" s="100" t="str">
        <f>IFERROR(VLOOKUP(Tablo518[[#This Row],[ÜRÜN KODU]],YMKODLARI!$A$1:$K$363,5,0)," ")</f>
        <v xml:space="preserve"> </v>
      </c>
      <c r="R495" s="100" t="str">
        <f>IFERROR(VLOOKUP(Tablo518[[#This Row],[ÜRÜN KODU]],YMKODLARI!$A$1:$K$363,6,0)," ")</f>
        <v xml:space="preserve"> </v>
      </c>
      <c r="S495" s="100" t="str">
        <f>IFERROR(Tablo518[[#This Row],[YOLLUK HARİÇ BASKI GRAMI]]/Tablo518[[#This Row],[KALIP GÖZ ADEDİ]]," ")</f>
        <v xml:space="preserve"> </v>
      </c>
      <c r="T495" s="100" t="str">
        <f t="shared" si="51"/>
        <v xml:space="preserve"> </v>
      </c>
      <c r="U495" s="100"/>
      <c r="V495" s="100" t="str">
        <f t="shared" si="50"/>
        <v xml:space="preserve"> </v>
      </c>
      <c r="W495" s="101">
        <f t="shared" si="52"/>
        <v>24</v>
      </c>
      <c r="X495" s="102">
        <f t="shared" si="53"/>
        <v>0</v>
      </c>
      <c r="Y495" s="100" t="str">
        <f t="shared" si="54"/>
        <v xml:space="preserve"> </v>
      </c>
      <c r="Z495" s="100" t="str">
        <f t="shared" si="55"/>
        <v xml:space="preserve"> </v>
      </c>
    </row>
    <row r="496" spans="1:26">
      <c r="A496" s="108"/>
      <c r="B496" s="108" t="str">
        <f>IFERROR(VLOOKUP(Tablo518[[#This Row],[ÜRÜN KODU]],YMKODLARI!$A$1:$K$363,2,0)," ")</f>
        <v xml:space="preserve"> </v>
      </c>
      <c r="C496" s="99"/>
      <c r="D496" s="100"/>
      <c r="E496" s="101"/>
      <c r="F496" s="101"/>
      <c r="G496" s="100" t="str">
        <f>IFERROR(VLOOKUP(Tablo518[[#This Row],[ÜRÜN KODU]],YMKODLARI!$A$1:$K$363,3,0)," ")</f>
        <v xml:space="preserve"> </v>
      </c>
      <c r="H496" s="100" t="str">
        <f>IFERROR(VLOOKUP(Tablo518[[#This Row],[ÜRÜN KODU]],YMKODLARI!$A$1:$K$363,4,0)," ")</f>
        <v xml:space="preserve"> </v>
      </c>
      <c r="I496" s="100"/>
      <c r="J496" s="100" t="str">
        <f>IFERROR(VLOOKUP(Tablo518[[#This Row],[ÜRÜN KODU]],YMKODLARI!$A$1:$K$363,9,0)," ")</f>
        <v xml:space="preserve"> </v>
      </c>
      <c r="K496" s="100" t="str">
        <f>IFERROR(VLOOKUP(Tablo518[[#This Row],[BOYA KODU]],Tablo14[#All],4,0)," ")</f>
        <v xml:space="preserve"> </v>
      </c>
      <c r="L496" s="100" t="str">
        <f>IFERROR(VLOOKUP(Tablo518[[#This Row],[BOYA KODU]],Tablo14[#All],6,0)," ")</f>
        <v xml:space="preserve"> </v>
      </c>
      <c r="M496" s="100" t="str">
        <f t="shared" si="49"/>
        <v xml:space="preserve"> </v>
      </c>
      <c r="N496" s="100" t="str">
        <f>IFERROR(VLOOKUP(Tablo518[[#This Row],[ÜRÜN KODU]],YMKODLARI!$A$1:$K$363,8,0)," ")</f>
        <v xml:space="preserve"> </v>
      </c>
      <c r="O496" s="100" t="str">
        <f>IFERROR(VLOOKUP(Tablo518[[#This Row],[HAMMADDE KODU]],Tablo1[#All],3,0)," ")</f>
        <v xml:space="preserve"> </v>
      </c>
      <c r="P496" s="100" t="str">
        <f>IFERROR(VLOOKUP(Tablo518[[#This Row],[HAMMADDE KODU]],Tablo1[#All],4,0)," ")</f>
        <v xml:space="preserve"> </v>
      </c>
      <c r="Q496" s="100" t="str">
        <f>IFERROR(VLOOKUP(Tablo518[[#This Row],[ÜRÜN KODU]],YMKODLARI!$A$1:$K$363,5,0)," ")</f>
        <v xml:space="preserve"> </v>
      </c>
      <c r="R496" s="100" t="str">
        <f>IFERROR(VLOOKUP(Tablo518[[#This Row],[ÜRÜN KODU]],YMKODLARI!$A$1:$K$363,6,0)," ")</f>
        <v xml:space="preserve"> </v>
      </c>
      <c r="S496" s="100" t="str">
        <f>IFERROR(Tablo518[[#This Row],[YOLLUK HARİÇ BASKI GRAMI]]/Tablo518[[#This Row],[KALIP GÖZ ADEDİ]]," ")</f>
        <v xml:space="preserve"> </v>
      </c>
      <c r="T496" s="100" t="str">
        <f t="shared" si="51"/>
        <v xml:space="preserve"> </v>
      </c>
      <c r="U496" s="100"/>
      <c r="V496" s="100" t="str">
        <f t="shared" si="50"/>
        <v xml:space="preserve"> </v>
      </c>
      <c r="W496" s="101">
        <f t="shared" si="52"/>
        <v>24</v>
      </c>
      <c r="X496" s="102">
        <f t="shared" si="53"/>
        <v>0</v>
      </c>
      <c r="Y496" s="100" t="str">
        <f t="shared" si="54"/>
        <v xml:space="preserve"> </v>
      </c>
      <c r="Z496" s="100" t="str">
        <f t="shared" si="55"/>
        <v xml:space="preserve"> </v>
      </c>
    </row>
    <row r="497" spans="1:26">
      <c r="A497" s="108"/>
      <c r="B497" s="108" t="str">
        <f>IFERROR(VLOOKUP(Tablo518[[#This Row],[ÜRÜN KODU]],YMKODLARI!$A$1:$K$363,2,0)," ")</f>
        <v xml:space="preserve"> </v>
      </c>
      <c r="C497" s="99"/>
      <c r="D497" s="100"/>
      <c r="E497" s="101"/>
      <c r="F497" s="101"/>
      <c r="G497" s="100" t="str">
        <f>IFERROR(VLOOKUP(Tablo518[[#This Row],[ÜRÜN KODU]],YMKODLARI!$A$1:$K$363,3,0)," ")</f>
        <v xml:space="preserve"> </v>
      </c>
      <c r="H497" s="100" t="str">
        <f>IFERROR(VLOOKUP(Tablo518[[#This Row],[ÜRÜN KODU]],YMKODLARI!$A$1:$K$363,4,0)," ")</f>
        <v xml:space="preserve"> </v>
      </c>
      <c r="I497" s="100"/>
      <c r="J497" s="100" t="str">
        <f>IFERROR(VLOOKUP(Tablo518[[#This Row],[ÜRÜN KODU]],YMKODLARI!$A$1:$K$363,9,0)," ")</f>
        <v xml:space="preserve"> </v>
      </c>
      <c r="K497" s="100" t="str">
        <f>IFERROR(VLOOKUP(Tablo518[[#This Row],[BOYA KODU]],Tablo14[#All],4,0)," ")</f>
        <v xml:space="preserve"> </v>
      </c>
      <c r="L497" s="100" t="str">
        <f>IFERROR(VLOOKUP(Tablo518[[#This Row],[BOYA KODU]],Tablo14[#All],6,0)," ")</f>
        <v xml:space="preserve"> </v>
      </c>
      <c r="M497" s="100" t="str">
        <f t="shared" si="49"/>
        <v xml:space="preserve"> </v>
      </c>
      <c r="N497" s="100" t="str">
        <f>IFERROR(VLOOKUP(Tablo518[[#This Row],[ÜRÜN KODU]],YMKODLARI!$A$1:$K$363,8,0)," ")</f>
        <v xml:space="preserve"> </v>
      </c>
      <c r="O497" s="100" t="str">
        <f>IFERROR(VLOOKUP(Tablo518[[#This Row],[HAMMADDE KODU]],Tablo1[#All],3,0)," ")</f>
        <v xml:space="preserve"> </v>
      </c>
      <c r="P497" s="100" t="str">
        <f>IFERROR(VLOOKUP(Tablo518[[#This Row],[HAMMADDE KODU]],Tablo1[#All],4,0)," ")</f>
        <v xml:space="preserve"> </v>
      </c>
      <c r="Q497" s="100" t="str">
        <f>IFERROR(VLOOKUP(Tablo518[[#This Row],[ÜRÜN KODU]],YMKODLARI!$A$1:$K$363,5,0)," ")</f>
        <v xml:space="preserve"> </v>
      </c>
      <c r="R497" s="100" t="str">
        <f>IFERROR(VLOOKUP(Tablo518[[#This Row],[ÜRÜN KODU]],YMKODLARI!$A$1:$K$363,6,0)," ")</f>
        <v xml:space="preserve"> </v>
      </c>
      <c r="S497" s="100" t="str">
        <f>IFERROR(Tablo518[[#This Row],[YOLLUK HARİÇ BASKI GRAMI]]/Tablo518[[#This Row],[KALIP GÖZ ADEDİ]]," ")</f>
        <v xml:space="preserve"> </v>
      </c>
      <c r="T497" s="100" t="str">
        <f t="shared" si="51"/>
        <v xml:space="preserve"> </v>
      </c>
      <c r="U497" s="100"/>
      <c r="V497" s="100" t="str">
        <f t="shared" si="50"/>
        <v xml:space="preserve"> </v>
      </c>
      <c r="W497" s="101">
        <f t="shared" si="52"/>
        <v>24</v>
      </c>
      <c r="X497" s="102">
        <f t="shared" si="53"/>
        <v>0</v>
      </c>
      <c r="Y497" s="100" t="str">
        <f t="shared" si="54"/>
        <v xml:space="preserve"> </v>
      </c>
      <c r="Z497" s="100" t="str">
        <f t="shared" si="55"/>
        <v xml:space="preserve"> </v>
      </c>
    </row>
    <row r="498" spans="1:26">
      <c r="A498" s="108"/>
      <c r="B498" s="108" t="str">
        <f>IFERROR(VLOOKUP(Tablo518[[#This Row],[ÜRÜN KODU]],YMKODLARI!$A$1:$K$363,2,0)," ")</f>
        <v xml:space="preserve"> </v>
      </c>
      <c r="C498" s="99"/>
      <c r="D498" s="100"/>
      <c r="E498" s="101"/>
      <c r="F498" s="101"/>
      <c r="G498" s="100" t="str">
        <f>IFERROR(VLOOKUP(Tablo518[[#This Row],[ÜRÜN KODU]],YMKODLARI!$A$1:$K$363,3,0)," ")</f>
        <v xml:space="preserve"> </v>
      </c>
      <c r="H498" s="100" t="str">
        <f>IFERROR(VLOOKUP(Tablo518[[#This Row],[ÜRÜN KODU]],YMKODLARI!$A$1:$K$363,4,0)," ")</f>
        <v xml:space="preserve"> </v>
      </c>
      <c r="I498" s="100"/>
      <c r="J498" s="100" t="str">
        <f>IFERROR(VLOOKUP(Tablo518[[#This Row],[ÜRÜN KODU]],YMKODLARI!$A$1:$K$363,9,0)," ")</f>
        <v xml:space="preserve"> </v>
      </c>
      <c r="K498" s="100" t="str">
        <f>IFERROR(VLOOKUP(Tablo518[[#This Row],[BOYA KODU]],Tablo14[#All],4,0)," ")</f>
        <v xml:space="preserve"> </v>
      </c>
      <c r="L498" s="100" t="str">
        <f>IFERROR(VLOOKUP(Tablo518[[#This Row],[BOYA KODU]],Tablo14[#All],6,0)," ")</f>
        <v xml:space="preserve"> </v>
      </c>
      <c r="M498" s="100" t="str">
        <f t="shared" si="49"/>
        <v xml:space="preserve"> </v>
      </c>
      <c r="N498" s="100" t="str">
        <f>IFERROR(VLOOKUP(Tablo518[[#This Row],[ÜRÜN KODU]],YMKODLARI!$A$1:$K$363,8,0)," ")</f>
        <v xml:space="preserve"> </v>
      </c>
      <c r="O498" s="100" t="str">
        <f>IFERROR(VLOOKUP(Tablo518[[#This Row],[HAMMADDE KODU]],Tablo1[#All],3,0)," ")</f>
        <v xml:space="preserve"> </v>
      </c>
      <c r="P498" s="100" t="str">
        <f>IFERROR(VLOOKUP(Tablo518[[#This Row],[HAMMADDE KODU]],Tablo1[#All],4,0)," ")</f>
        <v xml:space="preserve"> </v>
      </c>
      <c r="Q498" s="100" t="str">
        <f>IFERROR(VLOOKUP(Tablo518[[#This Row],[ÜRÜN KODU]],YMKODLARI!$A$1:$K$363,5,0)," ")</f>
        <v xml:space="preserve"> </v>
      </c>
      <c r="R498" s="100" t="str">
        <f>IFERROR(VLOOKUP(Tablo518[[#This Row],[ÜRÜN KODU]],YMKODLARI!$A$1:$K$363,6,0)," ")</f>
        <v xml:space="preserve"> </v>
      </c>
      <c r="S498" s="100" t="str">
        <f>IFERROR(Tablo518[[#This Row],[YOLLUK HARİÇ BASKI GRAMI]]/Tablo518[[#This Row],[KALIP GÖZ ADEDİ]]," ")</f>
        <v xml:space="preserve"> </v>
      </c>
      <c r="T498" s="100" t="str">
        <f t="shared" si="51"/>
        <v xml:space="preserve"> </v>
      </c>
      <c r="U498" s="100"/>
      <c r="V498" s="100" t="str">
        <f t="shared" si="50"/>
        <v xml:space="preserve"> </v>
      </c>
      <c r="W498" s="101">
        <f t="shared" si="52"/>
        <v>24</v>
      </c>
      <c r="X498" s="102">
        <f t="shared" si="53"/>
        <v>0</v>
      </c>
      <c r="Y498" s="100" t="str">
        <f t="shared" si="54"/>
        <v xml:space="preserve"> </v>
      </c>
      <c r="Z498" s="100" t="str">
        <f t="shared" si="55"/>
        <v xml:space="preserve"> </v>
      </c>
    </row>
    <row r="499" spans="1:26">
      <c r="A499" s="108"/>
      <c r="B499" s="108" t="str">
        <f>IFERROR(VLOOKUP(Tablo518[[#This Row],[ÜRÜN KODU]],YMKODLARI!$A$1:$K$363,2,0)," ")</f>
        <v xml:space="preserve"> </v>
      </c>
      <c r="C499" s="99"/>
      <c r="D499" s="100"/>
      <c r="E499" s="101"/>
      <c r="F499" s="101"/>
      <c r="G499" s="100" t="str">
        <f>IFERROR(VLOOKUP(Tablo518[[#This Row],[ÜRÜN KODU]],YMKODLARI!$A$1:$K$363,3,0)," ")</f>
        <v xml:space="preserve"> </v>
      </c>
      <c r="H499" s="100" t="str">
        <f>IFERROR(VLOOKUP(Tablo518[[#This Row],[ÜRÜN KODU]],YMKODLARI!$A$1:$K$363,4,0)," ")</f>
        <v xml:space="preserve"> </v>
      </c>
      <c r="I499" s="100"/>
      <c r="J499" s="100" t="str">
        <f>IFERROR(VLOOKUP(Tablo518[[#This Row],[ÜRÜN KODU]],YMKODLARI!$A$1:$K$363,9,0)," ")</f>
        <v xml:space="preserve"> </v>
      </c>
      <c r="K499" s="100" t="str">
        <f>IFERROR(VLOOKUP(Tablo518[[#This Row],[BOYA KODU]],Tablo14[#All],4,0)," ")</f>
        <v xml:space="preserve"> </v>
      </c>
      <c r="L499" s="100" t="str">
        <f>IFERROR(VLOOKUP(Tablo518[[#This Row],[BOYA KODU]],Tablo14[#All],6,0)," ")</f>
        <v xml:space="preserve"> </v>
      </c>
      <c r="M499" s="100" t="str">
        <f t="shared" si="49"/>
        <v xml:space="preserve"> </v>
      </c>
      <c r="N499" s="100" t="str">
        <f>IFERROR(VLOOKUP(Tablo518[[#This Row],[ÜRÜN KODU]],YMKODLARI!$A$1:$K$363,8,0)," ")</f>
        <v xml:space="preserve"> </v>
      </c>
      <c r="O499" s="100" t="str">
        <f>IFERROR(VLOOKUP(Tablo518[[#This Row],[HAMMADDE KODU]],Tablo1[#All],3,0)," ")</f>
        <v xml:space="preserve"> </v>
      </c>
      <c r="P499" s="100" t="str">
        <f>IFERROR(VLOOKUP(Tablo518[[#This Row],[HAMMADDE KODU]],Tablo1[#All],4,0)," ")</f>
        <v xml:space="preserve"> </v>
      </c>
      <c r="Q499" s="100" t="str">
        <f>IFERROR(VLOOKUP(Tablo518[[#This Row],[ÜRÜN KODU]],YMKODLARI!$A$1:$K$363,5,0)," ")</f>
        <v xml:space="preserve"> </v>
      </c>
      <c r="R499" s="100" t="str">
        <f>IFERROR(VLOOKUP(Tablo518[[#This Row],[ÜRÜN KODU]],YMKODLARI!$A$1:$K$363,6,0)," ")</f>
        <v xml:space="preserve"> </v>
      </c>
      <c r="S499" s="100" t="str">
        <f>IFERROR(Tablo518[[#This Row],[YOLLUK HARİÇ BASKI GRAMI]]/Tablo518[[#This Row],[KALIP GÖZ ADEDİ]]," ")</f>
        <v xml:space="preserve"> </v>
      </c>
      <c r="T499" s="100" t="str">
        <f t="shared" si="51"/>
        <v xml:space="preserve"> </v>
      </c>
      <c r="U499" s="100"/>
      <c r="V499" s="100" t="str">
        <f t="shared" si="50"/>
        <v xml:space="preserve"> </v>
      </c>
      <c r="W499" s="101">
        <f t="shared" si="52"/>
        <v>24</v>
      </c>
      <c r="X499" s="102">
        <f t="shared" si="53"/>
        <v>0</v>
      </c>
      <c r="Y499" s="100" t="str">
        <f t="shared" si="54"/>
        <v xml:space="preserve"> </v>
      </c>
      <c r="Z499" s="100" t="str">
        <f t="shared" si="55"/>
        <v xml:space="preserve"> </v>
      </c>
    </row>
    <row r="500" spans="1:26">
      <c r="A500" s="108"/>
      <c r="B500" s="108" t="str">
        <f>IFERROR(VLOOKUP(Tablo518[[#This Row],[ÜRÜN KODU]],YMKODLARI!$A$1:$K$363,2,0)," ")</f>
        <v xml:space="preserve"> </v>
      </c>
      <c r="C500" s="99"/>
      <c r="D500" s="100"/>
      <c r="E500" s="101"/>
      <c r="F500" s="101"/>
      <c r="G500" s="100" t="str">
        <f>IFERROR(VLOOKUP(Tablo518[[#This Row],[ÜRÜN KODU]],YMKODLARI!$A$1:$K$363,3,0)," ")</f>
        <v xml:space="preserve"> </v>
      </c>
      <c r="H500" s="100" t="str">
        <f>IFERROR(VLOOKUP(Tablo518[[#This Row],[ÜRÜN KODU]],YMKODLARI!$A$1:$K$363,4,0)," ")</f>
        <v xml:space="preserve"> </v>
      </c>
      <c r="I500" s="100"/>
      <c r="J500" s="100" t="str">
        <f>IFERROR(VLOOKUP(Tablo518[[#This Row],[ÜRÜN KODU]],YMKODLARI!$A$1:$K$363,9,0)," ")</f>
        <v xml:space="preserve"> </v>
      </c>
      <c r="K500" s="100" t="str">
        <f>IFERROR(VLOOKUP(Tablo518[[#This Row],[BOYA KODU]],Tablo14[#All],4,0)," ")</f>
        <v xml:space="preserve"> </v>
      </c>
      <c r="L500" s="100" t="str">
        <f>IFERROR(VLOOKUP(Tablo518[[#This Row],[BOYA KODU]],Tablo14[#All],6,0)," ")</f>
        <v xml:space="preserve"> </v>
      </c>
      <c r="M500" s="100" t="str">
        <f t="shared" si="49"/>
        <v xml:space="preserve"> </v>
      </c>
      <c r="N500" s="100" t="str">
        <f>IFERROR(VLOOKUP(Tablo518[[#This Row],[ÜRÜN KODU]],YMKODLARI!$A$1:$K$363,8,0)," ")</f>
        <v xml:space="preserve"> </v>
      </c>
      <c r="O500" s="100" t="str">
        <f>IFERROR(VLOOKUP(Tablo518[[#This Row],[HAMMADDE KODU]],Tablo1[#All],3,0)," ")</f>
        <v xml:space="preserve"> </v>
      </c>
      <c r="P500" s="100" t="str">
        <f>IFERROR(VLOOKUP(Tablo518[[#This Row],[HAMMADDE KODU]],Tablo1[#All],4,0)," ")</f>
        <v xml:space="preserve"> </v>
      </c>
      <c r="Q500" s="100" t="str">
        <f>IFERROR(VLOOKUP(Tablo518[[#This Row],[ÜRÜN KODU]],YMKODLARI!$A$1:$K$363,5,0)," ")</f>
        <v xml:space="preserve"> </v>
      </c>
      <c r="R500" s="100" t="str">
        <f>IFERROR(VLOOKUP(Tablo518[[#This Row],[ÜRÜN KODU]],YMKODLARI!$A$1:$K$363,6,0)," ")</f>
        <v xml:space="preserve"> </v>
      </c>
      <c r="S500" s="100" t="str">
        <f>IFERROR(Tablo518[[#This Row],[YOLLUK HARİÇ BASKI GRAMI]]/Tablo518[[#This Row],[KALIP GÖZ ADEDİ]]," ")</f>
        <v xml:space="preserve"> </v>
      </c>
      <c r="T500" s="100" t="str">
        <f t="shared" si="51"/>
        <v xml:space="preserve"> </v>
      </c>
      <c r="U500" s="100"/>
      <c r="V500" s="100" t="str">
        <f t="shared" si="50"/>
        <v xml:space="preserve"> </v>
      </c>
      <c r="W500" s="101">
        <f t="shared" si="52"/>
        <v>24</v>
      </c>
      <c r="X500" s="102">
        <f t="shared" si="53"/>
        <v>0</v>
      </c>
      <c r="Y500" s="100" t="str">
        <f t="shared" si="54"/>
        <v xml:space="preserve"> </v>
      </c>
      <c r="Z500" s="100" t="str">
        <f t="shared" si="55"/>
        <v xml:space="preserve"> </v>
      </c>
    </row>
    <row r="501" spans="1:26">
      <c r="A501" s="108"/>
      <c r="B501" s="108" t="str">
        <f>IFERROR(VLOOKUP(Tablo518[[#This Row],[ÜRÜN KODU]],YMKODLARI!$A$1:$K$363,2,0)," ")</f>
        <v xml:space="preserve"> </v>
      </c>
      <c r="C501" s="99"/>
      <c r="D501" s="100"/>
      <c r="E501" s="101"/>
      <c r="F501" s="101"/>
      <c r="G501" s="100" t="str">
        <f>IFERROR(VLOOKUP(Tablo518[[#This Row],[ÜRÜN KODU]],YMKODLARI!$A$1:$K$363,3,0)," ")</f>
        <v xml:space="preserve"> </v>
      </c>
      <c r="H501" s="100" t="str">
        <f>IFERROR(VLOOKUP(Tablo518[[#This Row],[ÜRÜN KODU]],YMKODLARI!$A$1:$K$363,4,0)," ")</f>
        <v xml:space="preserve"> </v>
      </c>
      <c r="I501" s="100"/>
      <c r="J501" s="100" t="str">
        <f>IFERROR(VLOOKUP(Tablo518[[#This Row],[ÜRÜN KODU]],YMKODLARI!$A$1:$K$363,9,0)," ")</f>
        <v xml:space="preserve"> </v>
      </c>
      <c r="K501" s="100" t="str">
        <f>IFERROR(VLOOKUP(Tablo518[[#This Row],[BOYA KODU]],Tablo14[#All],4,0)," ")</f>
        <v xml:space="preserve"> </v>
      </c>
      <c r="L501" s="100" t="str">
        <f>IFERROR(VLOOKUP(Tablo518[[#This Row],[BOYA KODU]],Tablo14[#All],6,0)," ")</f>
        <v xml:space="preserve"> </v>
      </c>
      <c r="M501" s="100" t="str">
        <f t="shared" si="49"/>
        <v xml:space="preserve"> </v>
      </c>
      <c r="N501" s="100" t="str">
        <f>IFERROR(VLOOKUP(Tablo518[[#This Row],[ÜRÜN KODU]],YMKODLARI!$A$1:$K$363,8,0)," ")</f>
        <v xml:space="preserve"> </v>
      </c>
      <c r="O501" s="100" t="str">
        <f>IFERROR(VLOOKUP(Tablo518[[#This Row],[HAMMADDE KODU]],Tablo1[#All],3,0)," ")</f>
        <v xml:space="preserve"> </v>
      </c>
      <c r="P501" s="100" t="str">
        <f>IFERROR(VLOOKUP(Tablo518[[#This Row],[HAMMADDE KODU]],Tablo1[#All],4,0)," ")</f>
        <v xml:space="preserve"> </v>
      </c>
      <c r="Q501" s="100" t="str">
        <f>IFERROR(VLOOKUP(Tablo518[[#This Row],[ÜRÜN KODU]],YMKODLARI!$A$1:$K$363,5,0)," ")</f>
        <v xml:space="preserve"> </v>
      </c>
      <c r="R501" s="100" t="str">
        <f>IFERROR(VLOOKUP(Tablo518[[#This Row],[ÜRÜN KODU]],YMKODLARI!$A$1:$K$363,6,0)," ")</f>
        <v xml:space="preserve"> </v>
      </c>
      <c r="S501" s="100" t="str">
        <f>IFERROR(Tablo518[[#This Row],[YOLLUK HARİÇ BASKI GRAMI]]/Tablo518[[#This Row],[KALIP GÖZ ADEDİ]]," ")</f>
        <v xml:space="preserve"> </v>
      </c>
      <c r="T501" s="100" t="str">
        <f t="shared" si="51"/>
        <v xml:space="preserve"> </v>
      </c>
      <c r="U501" s="100"/>
      <c r="V501" s="100" t="str">
        <f t="shared" si="50"/>
        <v xml:space="preserve"> </v>
      </c>
      <c r="W501" s="101">
        <f t="shared" si="52"/>
        <v>24</v>
      </c>
      <c r="X501" s="102">
        <f t="shared" si="53"/>
        <v>0</v>
      </c>
      <c r="Y501" s="100" t="str">
        <f t="shared" si="54"/>
        <v xml:space="preserve"> </v>
      </c>
      <c r="Z501" s="100" t="str">
        <f t="shared" si="55"/>
        <v xml:space="preserve"> </v>
      </c>
    </row>
    <row r="502" spans="1:26">
      <c r="A502" s="108"/>
      <c r="B502" s="108" t="str">
        <f>IFERROR(VLOOKUP(Tablo518[[#This Row],[ÜRÜN KODU]],YMKODLARI!$A$1:$K$363,2,0)," ")</f>
        <v xml:space="preserve"> </v>
      </c>
      <c r="C502" s="99"/>
      <c r="D502" s="100"/>
      <c r="E502" s="101"/>
      <c r="F502" s="101"/>
      <c r="G502" s="100" t="str">
        <f>IFERROR(VLOOKUP(Tablo518[[#This Row],[ÜRÜN KODU]],YMKODLARI!$A$1:$K$363,3,0)," ")</f>
        <v xml:space="preserve"> </v>
      </c>
      <c r="H502" s="100" t="str">
        <f>IFERROR(VLOOKUP(Tablo518[[#This Row],[ÜRÜN KODU]],YMKODLARI!$A$1:$K$363,4,0)," ")</f>
        <v xml:space="preserve"> </v>
      </c>
      <c r="I502" s="100"/>
      <c r="J502" s="100" t="str">
        <f>IFERROR(VLOOKUP(Tablo518[[#This Row],[ÜRÜN KODU]],YMKODLARI!$A$1:$K$363,9,0)," ")</f>
        <v xml:space="preserve"> </v>
      </c>
      <c r="K502" s="100" t="str">
        <f>IFERROR(VLOOKUP(Tablo518[[#This Row],[BOYA KODU]],Tablo14[#All],4,0)," ")</f>
        <v xml:space="preserve"> </v>
      </c>
      <c r="L502" s="100" t="str">
        <f>IFERROR(VLOOKUP(Tablo518[[#This Row],[BOYA KODU]],Tablo14[#All],6,0)," ")</f>
        <v xml:space="preserve"> </v>
      </c>
      <c r="M502" s="100" t="str">
        <f t="shared" si="49"/>
        <v xml:space="preserve"> </v>
      </c>
      <c r="N502" s="100" t="str">
        <f>IFERROR(VLOOKUP(Tablo518[[#This Row],[ÜRÜN KODU]],YMKODLARI!$A$1:$K$363,8,0)," ")</f>
        <v xml:space="preserve"> </v>
      </c>
      <c r="O502" s="100" t="str">
        <f>IFERROR(VLOOKUP(Tablo518[[#This Row],[HAMMADDE KODU]],Tablo1[#All],3,0)," ")</f>
        <v xml:space="preserve"> </v>
      </c>
      <c r="P502" s="100" t="str">
        <f>IFERROR(VLOOKUP(Tablo518[[#This Row],[HAMMADDE KODU]],Tablo1[#All],4,0)," ")</f>
        <v xml:space="preserve"> </v>
      </c>
      <c r="Q502" s="100" t="str">
        <f>IFERROR(VLOOKUP(Tablo518[[#This Row],[ÜRÜN KODU]],YMKODLARI!$A$1:$K$363,5,0)," ")</f>
        <v xml:space="preserve"> </v>
      </c>
      <c r="R502" s="100" t="str">
        <f>IFERROR(VLOOKUP(Tablo518[[#This Row],[ÜRÜN KODU]],YMKODLARI!$A$1:$K$363,6,0)," ")</f>
        <v xml:space="preserve"> </v>
      </c>
      <c r="S502" s="100" t="str">
        <f>IFERROR(Tablo518[[#This Row],[YOLLUK HARİÇ BASKI GRAMI]]/Tablo518[[#This Row],[KALIP GÖZ ADEDİ]]," ")</f>
        <v xml:space="preserve"> </v>
      </c>
      <c r="T502" s="100" t="str">
        <f t="shared" si="51"/>
        <v xml:space="preserve"> </v>
      </c>
      <c r="U502" s="100"/>
      <c r="V502" s="100" t="str">
        <f t="shared" si="50"/>
        <v xml:space="preserve"> </v>
      </c>
      <c r="W502" s="101">
        <f t="shared" si="52"/>
        <v>24</v>
      </c>
      <c r="X502" s="102">
        <f t="shared" si="53"/>
        <v>0</v>
      </c>
      <c r="Y502" s="100" t="str">
        <f t="shared" si="54"/>
        <v xml:space="preserve"> </v>
      </c>
      <c r="Z502" s="100" t="str">
        <f t="shared" si="55"/>
        <v xml:space="preserve"> </v>
      </c>
    </row>
    <row r="503" spans="1:26">
      <c r="A503" s="108"/>
      <c r="B503" s="108" t="str">
        <f>IFERROR(VLOOKUP(Tablo518[[#This Row],[ÜRÜN KODU]],YMKODLARI!$A$1:$K$363,2,0)," ")</f>
        <v xml:space="preserve"> </v>
      </c>
      <c r="C503" s="99"/>
      <c r="D503" s="100"/>
      <c r="E503" s="101"/>
      <c r="F503" s="101"/>
      <c r="G503" s="100" t="str">
        <f>IFERROR(VLOOKUP(Tablo518[[#This Row],[ÜRÜN KODU]],YMKODLARI!$A$1:$K$363,3,0)," ")</f>
        <v xml:space="preserve"> </v>
      </c>
      <c r="H503" s="100" t="str">
        <f>IFERROR(VLOOKUP(Tablo518[[#This Row],[ÜRÜN KODU]],YMKODLARI!$A$1:$K$363,4,0)," ")</f>
        <v xml:space="preserve"> </v>
      </c>
      <c r="I503" s="100"/>
      <c r="J503" s="100" t="str">
        <f>IFERROR(VLOOKUP(Tablo518[[#This Row],[ÜRÜN KODU]],YMKODLARI!$A$1:$K$363,9,0)," ")</f>
        <v xml:space="preserve"> </v>
      </c>
      <c r="K503" s="100" t="str">
        <f>IFERROR(VLOOKUP(Tablo518[[#This Row],[BOYA KODU]],Tablo14[#All],4,0)," ")</f>
        <v xml:space="preserve"> </v>
      </c>
      <c r="L503" s="100" t="str">
        <f>IFERROR(VLOOKUP(Tablo518[[#This Row],[BOYA KODU]],Tablo14[#All],6,0)," ")</f>
        <v xml:space="preserve"> </v>
      </c>
      <c r="M503" s="100" t="str">
        <f t="shared" si="49"/>
        <v xml:space="preserve"> </v>
      </c>
      <c r="N503" s="100" t="str">
        <f>IFERROR(VLOOKUP(Tablo518[[#This Row],[ÜRÜN KODU]],YMKODLARI!$A$1:$K$363,8,0)," ")</f>
        <v xml:space="preserve"> </v>
      </c>
      <c r="O503" s="100" t="str">
        <f>IFERROR(VLOOKUP(Tablo518[[#This Row],[HAMMADDE KODU]],Tablo1[#All],3,0)," ")</f>
        <v xml:space="preserve"> </v>
      </c>
      <c r="P503" s="100" t="str">
        <f>IFERROR(VLOOKUP(Tablo518[[#This Row],[HAMMADDE KODU]],Tablo1[#All],4,0)," ")</f>
        <v xml:space="preserve"> </v>
      </c>
      <c r="Q503" s="100" t="str">
        <f>IFERROR(VLOOKUP(Tablo518[[#This Row],[ÜRÜN KODU]],YMKODLARI!$A$1:$K$363,5,0)," ")</f>
        <v xml:space="preserve"> </v>
      </c>
      <c r="R503" s="100" t="str">
        <f>IFERROR(VLOOKUP(Tablo518[[#This Row],[ÜRÜN KODU]],YMKODLARI!$A$1:$K$363,6,0)," ")</f>
        <v xml:space="preserve"> </v>
      </c>
      <c r="S503" s="100" t="str">
        <f>IFERROR(Tablo518[[#This Row],[YOLLUK HARİÇ BASKI GRAMI]]/Tablo518[[#This Row],[KALIP GÖZ ADEDİ]]," ")</f>
        <v xml:space="preserve"> </v>
      </c>
      <c r="T503" s="100" t="str">
        <f t="shared" si="51"/>
        <v xml:space="preserve"> </v>
      </c>
      <c r="U503" s="100"/>
      <c r="V503" s="100" t="str">
        <f t="shared" si="50"/>
        <v xml:space="preserve"> </v>
      </c>
      <c r="W503" s="101">
        <f t="shared" si="52"/>
        <v>24</v>
      </c>
      <c r="X503" s="102">
        <f t="shared" si="53"/>
        <v>0</v>
      </c>
      <c r="Y503" s="100" t="str">
        <f t="shared" si="54"/>
        <v xml:space="preserve"> </v>
      </c>
      <c r="Z503" s="100" t="str">
        <f t="shared" si="55"/>
        <v xml:space="preserve"> </v>
      </c>
    </row>
    <row r="504" spans="1:26">
      <c r="A504" s="108"/>
      <c r="B504" s="108" t="str">
        <f>IFERROR(VLOOKUP(Tablo518[[#This Row],[ÜRÜN KODU]],YMKODLARI!$A$1:$K$363,2,0)," ")</f>
        <v xml:space="preserve"> </v>
      </c>
      <c r="C504" s="99"/>
      <c r="D504" s="100"/>
      <c r="E504" s="101"/>
      <c r="F504" s="101"/>
      <c r="G504" s="100" t="str">
        <f>IFERROR(VLOOKUP(Tablo518[[#This Row],[ÜRÜN KODU]],YMKODLARI!$A$1:$K$363,3,0)," ")</f>
        <v xml:space="preserve"> </v>
      </c>
      <c r="H504" s="100" t="str">
        <f>IFERROR(VLOOKUP(Tablo518[[#This Row],[ÜRÜN KODU]],YMKODLARI!$A$1:$K$363,4,0)," ")</f>
        <v xml:space="preserve"> </v>
      </c>
      <c r="I504" s="100"/>
      <c r="J504" s="100" t="str">
        <f>IFERROR(VLOOKUP(Tablo518[[#This Row],[ÜRÜN KODU]],YMKODLARI!$A$1:$K$363,9,0)," ")</f>
        <v xml:space="preserve"> </v>
      </c>
      <c r="K504" s="100" t="str">
        <f>IFERROR(VLOOKUP(Tablo518[[#This Row],[BOYA KODU]],Tablo14[#All],4,0)," ")</f>
        <v xml:space="preserve"> </v>
      </c>
      <c r="L504" s="100" t="str">
        <f>IFERROR(VLOOKUP(Tablo518[[#This Row],[BOYA KODU]],Tablo14[#All],6,0)," ")</f>
        <v xml:space="preserve"> </v>
      </c>
      <c r="M504" s="100" t="str">
        <f t="shared" si="49"/>
        <v xml:space="preserve"> </v>
      </c>
      <c r="N504" s="100" t="str">
        <f>IFERROR(VLOOKUP(Tablo518[[#This Row],[ÜRÜN KODU]],YMKODLARI!$A$1:$K$363,8,0)," ")</f>
        <v xml:space="preserve"> </v>
      </c>
      <c r="O504" s="100" t="str">
        <f>IFERROR(VLOOKUP(Tablo518[[#This Row],[HAMMADDE KODU]],Tablo1[#All],3,0)," ")</f>
        <v xml:space="preserve"> </v>
      </c>
      <c r="P504" s="100" t="str">
        <f>IFERROR(VLOOKUP(Tablo518[[#This Row],[HAMMADDE KODU]],Tablo1[#All],4,0)," ")</f>
        <v xml:space="preserve"> </v>
      </c>
      <c r="Q504" s="100" t="str">
        <f>IFERROR(VLOOKUP(Tablo518[[#This Row],[ÜRÜN KODU]],YMKODLARI!$A$1:$K$363,5,0)," ")</f>
        <v xml:space="preserve"> </v>
      </c>
      <c r="R504" s="100" t="str">
        <f>IFERROR(VLOOKUP(Tablo518[[#This Row],[ÜRÜN KODU]],YMKODLARI!$A$1:$K$363,6,0)," ")</f>
        <v xml:space="preserve"> </v>
      </c>
      <c r="S504" s="100" t="str">
        <f>IFERROR(Tablo518[[#This Row],[YOLLUK HARİÇ BASKI GRAMI]]/Tablo518[[#This Row],[KALIP GÖZ ADEDİ]]," ")</f>
        <v xml:space="preserve"> </v>
      </c>
      <c r="T504" s="100" t="str">
        <f t="shared" si="51"/>
        <v xml:space="preserve"> </v>
      </c>
      <c r="U504" s="100"/>
      <c r="V504" s="100" t="str">
        <f t="shared" si="50"/>
        <v xml:space="preserve"> </v>
      </c>
      <c r="W504" s="101">
        <f t="shared" si="52"/>
        <v>24</v>
      </c>
      <c r="X504" s="102">
        <f t="shared" si="53"/>
        <v>0</v>
      </c>
      <c r="Y504" s="100" t="str">
        <f t="shared" si="54"/>
        <v xml:space="preserve"> </v>
      </c>
      <c r="Z504" s="100" t="str">
        <f t="shared" si="55"/>
        <v xml:space="preserve"> </v>
      </c>
    </row>
    <row r="505" spans="1:26">
      <c r="A505" s="108"/>
      <c r="B505" s="108" t="str">
        <f>IFERROR(VLOOKUP(Tablo518[[#This Row],[ÜRÜN KODU]],YMKODLARI!$A$1:$K$363,2,0)," ")</f>
        <v xml:space="preserve"> </v>
      </c>
      <c r="C505" s="99"/>
      <c r="D505" s="100"/>
      <c r="E505" s="101"/>
      <c r="F505" s="101"/>
      <c r="G505" s="100" t="str">
        <f>IFERROR(VLOOKUP(Tablo518[[#This Row],[ÜRÜN KODU]],YMKODLARI!$A$1:$K$363,3,0)," ")</f>
        <v xml:space="preserve"> </v>
      </c>
      <c r="H505" s="100" t="str">
        <f>IFERROR(VLOOKUP(Tablo518[[#This Row],[ÜRÜN KODU]],YMKODLARI!$A$1:$K$363,4,0)," ")</f>
        <v xml:space="preserve"> </v>
      </c>
      <c r="I505" s="100"/>
      <c r="J505" s="100" t="str">
        <f>IFERROR(VLOOKUP(Tablo518[[#This Row],[ÜRÜN KODU]],YMKODLARI!$A$1:$K$363,9,0)," ")</f>
        <v xml:space="preserve"> </v>
      </c>
      <c r="K505" s="100" t="str">
        <f>IFERROR(VLOOKUP(Tablo518[[#This Row],[BOYA KODU]],Tablo14[#All],4,0)," ")</f>
        <v xml:space="preserve"> </v>
      </c>
      <c r="L505" s="100" t="str">
        <f>IFERROR(VLOOKUP(Tablo518[[#This Row],[BOYA KODU]],Tablo14[#All],6,0)," ")</f>
        <v xml:space="preserve"> </v>
      </c>
      <c r="M505" s="100" t="str">
        <f t="shared" si="49"/>
        <v xml:space="preserve"> </v>
      </c>
      <c r="N505" s="100" t="str">
        <f>IFERROR(VLOOKUP(Tablo518[[#This Row],[ÜRÜN KODU]],YMKODLARI!$A$1:$K$363,8,0)," ")</f>
        <v xml:space="preserve"> </v>
      </c>
      <c r="O505" s="100" t="str">
        <f>IFERROR(VLOOKUP(Tablo518[[#This Row],[HAMMADDE KODU]],Tablo1[#All],3,0)," ")</f>
        <v xml:space="preserve"> </v>
      </c>
      <c r="P505" s="100" t="str">
        <f>IFERROR(VLOOKUP(Tablo518[[#This Row],[HAMMADDE KODU]],Tablo1[#All],4,0)," ")</f>
        <v xml:space="preserve"> </v>
      </c>
      <c r="Q505" s="100" t="str">
        <f>IFERROR(VLOOKUP(Tablo518[[#This Row],[ÜRÜN KODU]],YMKODLARI!$A$1:$K$363,5,0)," ")</f>
        <v xml:space="preserve"> </v>
      </c>
      <c r="R505" s="100" t="str">
        <f>IFERROR(VLOOKUP(Tablo518[[#This Row],[ÜRÜN KODU]],YMKODLARI!$A$1:$K$363,6,0)," ")</f>
        <v xml:space="preserve"> </v>
      </c>
      <c r="S505" s="100" t="str">
        <f>IFERROR(Tablo518[[#This Row],[YOLLUK HARİÇ BASKI GRAMI]]/Tablo518[[#This Row],[KALIP GÖZ ADEDİ]]," ")</f>
        <v xml:space="preserve"> </v>
      </c>
      <c r="T505" s="100" t="str">
        <f t="shared" si="51"/>
        <v xml:space="preserve"> </v>
      </c>
      <c r="U505" s="100"/>
      <c r="V505" s="100" t="str">
        <f t="shared" si="50"/>
        <v xml:space="preserve"> </v>
      </c>
      <c r="W505" s="101">
        <f t="shared" si="52"/>
        <v>24</v>
      </c>
      <c r="X505" s="102">
        <f t="shared" si="53"/>
        <v>0</v>
      </c>
      <c r="Y505" s="100" t="str">
        <f t="shared" si="54"/>
        <v xml:space="preserve"> </v>
      </c>
      <c r="Z505" s="100" t="str">
        <f t="shared" si="55"/>
        <v xml:space="preserve"> </v>
      </c>
    </row>
    <row r="506" spans="1:26">
      <c r="A506" s="108"/>
      <c r="B506" s="108" t="str">
        <f>IFERROR(VLOOKUP(Tablo518[[#This Row],[ÜRÜN KODU]],YMKODLARI!$A$1:$K$363,2,0)," ")</f>
        <v xml:space="preserve"> </v>
      </c>
      <c r="C506" s="99"/>
      <c r="D506" s="100"/>
      <c r="E506" s="101"/>
      <c r="F506" s="101"/>
      <c r="G506" s="100" t="str">
        <f>IFERROR(VLOOKUP(Tablo518[[#This Row],[ÜRÜN KODU]],YMKODLARI!$A$1:$K$363,3,0)," ")</f>
        <v xml:space="preserve"> </v>
      </c>
      <c r="H506" s="100" t="str">
        <f>IFERROR(VLOOKUP(Tablo518[[#This Row],[ÜRÜN KODU]],YMKODLARI!$A$1:$K$363,4,0)," ")</f>
        <v xml:space="preserve"> </v>
      </c>
      <c r="I506" s="100"/>
      <c r="J506" s="100" t="str">
        <f>IFERROR(VLOOKUP(Tablo518[[#This Row],[ÜRÜN KODU]],YMKODLARI!$A$1:$K$363,9,0)," ")</f>
        <v xml:space="preserve"> </v>
      </c>
      <c r="K506" s="100" t="str">
        <f>IFERROR(VLOOKUP(Tablo518[[#This Row],[BOYA KODU]],Tablo14[#All],4,0)," ")</f>
        <v xml:space="preserve"> </v>
      </c>
      <c r="L506" s="100" t="str">
        <f>IFERROR(VLOOKUP(Tablo518[[#This Row],[BOYA KODU]],Tablo14[#All],6,0)," ")</f>
        <v xml:space="preserve"> </v>
      </c>
      <c r="M506" s="100" t="str">
        <f t="shared" si="49"/>
        <v xml:space="preserve"> </v>
      </c>
      <c r="N506" s="100" t="str">
        <f>IFERROR(VLOOKUP(Tablo518[[#This Row],[ÜRÜN KODU]],YMKODLARI!$A$1:$K$363,8,0)," ")</f>
        <v xml:space="preserve"> </v>
      </c>
      <c r="O506" s="100" t="str">
        <f>IFERROR(VLOOKUP(Tablo518[[#This Row],[HAMMADDE KODU]],Tablo1[#All],3,0)," ")</f>
        <v xml:space="preserve"> </v>
      </c>
      <c r="P506" s="100" t="str">
        <f>IFERROR(VLOOKUP(Tablo518[[#This Row],[HAMMADDE KODU]],Tablo1[#All],4,0)," ")</f>
        <v xml:space="preserve"> </v>
      </c>
      <c r="Q506" s="100" t="str">
        <f>IFERROR(VLOOKUP(Tablo518[[#This Row],[ÜRÜN KODU]],YMKODLARI!$A$1:$K$363,5,0)," ")</f>
        <v xml:space="preserve"> </v>
      </c>
      <c r="R506" s="100" t="str">
        <f>IFERROR(VLOOKUP(Tablo518[[#This Row],[ÜRÜN KODU]],YMKODLARI!$A$1:$K$363,6,0)," ")</f>
        <v xml:space="preserve"> </v>
      </c>
      <c r="S506" s="100" t="str">
        <f>IFERROR(Tablo518[[#This Row],[YOLLUK HARİÇ BASKI GRAMI]]/Tablo518[[#This Row],[KALIP GÖZ ADEDİ]]," ")</f>
        <v xml:space="preserve"> </v>
      </c>
      <c r="T506" s="100" t="str">
        <f t="shared" si="51"/>
        <v xml:space="preserve"> </v>
      </c>
      <c r="U506" s="100"/>
      <c r="V506" s="100" t="str">
        <f t="shared" si="50"/>
        <v xml:space="preserve"> </v>
      </c>
      <c r="W506" s="101">
        <f t="shared" si="52"/>
        <v>24</v>
      </c>
      <c r="X506" s="102">
        <f t="shared" si="53"/>
        <v>0</v>
      </c>
      <c r="Y506" s="100" t="str">
        <f t="shared" si="54"/>
        <v xml:space="preserve"> </v>
      </c>
      <c r="Z506" s="100" t="str">
        <f t="shared" si="55"/>
        <v xml:space="preserve"> </v>
      </c>
    </row>
    <row r="507" spans="1:26">
      <c r="A507" s="108"/>
      <c r="B507" s="108" t="str">
        <f>IFERROR(VLOOKUP(Tablo518[[#This Row],[ÜRÜN KODU]],YMKODLARI!$A$1:$K$363,2,0)," ")</f>
        <v xml:space="preserve"> </v>
      </c>
      <c r="C507" s="99"/>
      <c r="D507" s="100"/>
      <c r="E507" s="101"/>
      <c r="F507" s="101"/>
      <c r="G507" s="100" t="str">
        <f>IFERROR(VLOOKUP(Tablo518[[#This Row],[ÜRÜN KODU]],YMKODLARI!$A$1:$K$363,3,0)," ")</f>
        <v xml:space="preserve"> </v>
      </c>
      <c r="H507" s="100" t="str">
        <f>IFERROR(VLOOKUP(Tablo518[[#This Row],[ÜRÜN KODU]],YMKODLARI!$A$1:$K$363,4,0)," ")</f>
        <v xml:space="preserve"> </v>
      </c>
      <c r="I507" s="100"/>
      <c r="J507" s="100" t="str">
        <f>IFERROR(VLOOKUP(Tablo518[[#This Row],[ÜRÜN KODU]],YMKODLARI!$A$1:$K$363,9,0)," ")</f>
        <v xml:space="preserve"> </v>
      </c>
      <c r="K507" s="100" t="str">
        <f>IFERROR(VLOOKUP(Tablo518[[#This Row],[BOYA KODU]],Tablo14[#All],4,0)," ")</f>
        <v xml:space="preserve"> </v>
      </c>
      <c r="L507" s="100" t="str">
        <f>IFERROR(VLOOKUP(Tablo518[[#This Row],[BOYA KODU]],Tablo14[#All],6,0)," ")</f>
        <v xml:space="preserve"> </v>
      </c>
      <c r="M507" s="100" t="str">
        <f t="shared" si="49"/>
        <v xml:space="preserve"> </v>
      </c>
      <c r="N507" s="100" t="str">
        <f>IFERROR(VLOOKUP(Tablo518[[#This Row],[ÜRÜN KODU]],YMKODLARI!$A$1:$K$363,8,0)," ")</f>
        <v xml:space="preserve"> </v>
      </c>
      <c r="O507" s="100" t="str">
        <f>IFERROR(VLOOKUP(Tablo518[[#This Row],[HAMMADDE KODU]],Tablo1[#All],3,0)," ")</f>
        <v xml:space="preserve"> </v>
      </c>
      <c r="P507" s="100" t="str">
        <f>IFERROR(VLOOKUP(Tablo518[[#This Row],[HAMMADDE KODU]],Tablo1[#All],4,0)," ")</f>
        <v xml:space="preserve"> </v>
      </c>
      <c r="Q507" s="100" t="str">
        <f>IFERROR(VLOOKUP(Tablo518[[#This Row],[ÜRÜN KODU]],YMKODLARI!$A$1:$K$363,5,0)," ")</f>
        <v xml:space="preserve"> </v>
      </c>
      <c r="R507" s="100" t="str">
        <f>IFERROR(VLOOKUP(Tablo518[[#This Row],[ÜRÜN KODU]],YMKODLARI!$A$1:$K$363,6,0)," ")</f>
        <v xml:space="preserve"> </v>
      </c>
      <c r="S507" s="100" t="str">
        <f>IFERROR(Tablo518[[#This Row],[YOLLUK HARİÇ BASKI GRAMI]]/Tablo518[[#This Row],[KALIP GÖZ ADEDİ]]," ")</f>
        <v xml:space="preserve"> </v>
      </c>
      <c r="T507" s="100" t="str">
        <f t="shared" si="51"/>
        <v xml:space="preserve"> </v>
      </c>
      <c r="U507" s="100"/>
      <c r="V507" s="100" t="str">
        <f t="shared" si="50"/>
        <v xml:space="preserve"> </v>
      </c>
      <c r="W507" s="101">
        <f t="shared" si="52"/>
        <v>24</v>
      </c>
      <c r="X507" s="102">
        <f t="shared" si="53"/>
        <v>0</v>
      </c>
      <c r="Y507" s="100" t="str">
        <f t="shared" si="54"/>
        <v xml:space="preserve"> </v>
      </c>
      <c r="Z507" s="100" t="str">
        <f t="shared" si="55"/>
        <v xml:space="preserve"> </v>
      </c>
    </row>
    <row r="508" spans="1:26">
      <c r="A508" s="108"/>
      <c r="B508" s="108" t="str">
        <f>IFERROR(VLOOKUP(Tablo518[[#This Row],[ÜRÜN KODU]],YMKODLARI!$A$1:$K$363,2,0)," ")</f>
        <v xml:space="preserve"> </v>
      </c>
      <c r="C508" s="99"/>
      <c r="D508" s="100"/>
      <c r="E508" s="101"/>
      <c r="F508" s="101"/>
      <c r="G508" s="100" t="str">
        <f>IFERROR(VLOOKUP(Tablo518[[#This Row],[ÜRÜN KODU]],YMKODLARI!$A$1:$K$363,3,0)," ")</f>
        <v xml:space="preserve"> </v>
      </c>
      <c r="H508" s="100" t="str">
        <f>IFERROR(VLOOKUP(Tablo518[[#This Row],[ÜRÜN KODU]],YMKODLARI!$A$1:$K$363,4,0)," ")</f>
        <v xml:space="preserve"> </v>
      </c>
      <c r="I508" s="100"/>
      <c r="J508" s="100" t="str">
        <f>IFERROR(VLOOKUP(Tablo518[[#This Row],[ÜRÜN KODU]],YMKODLARI!$A$1:$K$363,9,0)," ")</f>
        <v xml:space="preserve"> </v>
      </c>
      <c r="K508" s="100" t="str">
        <f>IFERROR(VLOOKUP(Tablo518[[#This Row],[BOYA KODU]],Tablo14[#All],4,0)," ")</f>
        <v xml:space="preserve"> </v>
      </c>
      <c r="L508" s="100" t="str">
        <f>IFERROR(VLOOKUP(Tablo518[[#This Row],[BOYA KODU]],Tablo14[#All],6,0)," ")</f>
        <v xml:space="preserve"> </v>
      </c>
      <c r="M508" s="100" t="str">
        <f t="shared" si="49"/>
        <v xml:space="preserve"> </v>
      </c>
      <c r="N508" s="100" t="str">
        <f>IFERROR(VLOOKUP(Tablo518[[#This Row],[ÜRÜN KODU]],YMKODLARI!$A$1:$K$363,8,0)," ")</f>
        <v xml:space="preserve"> </v>
      </c>
      <c r="O508" s="100" t="str">
        <f>IFERROR(VLOOKUP(Tablo518[[#This Row],[HAMMADDE KODU]],Tablo1[#All],3,0)," ")</f>
        <v xml:space="preserve"> </v>
      </c>
      <c r="P508" s="100" t="str">
        <f>IFERROR(VLOOKUP(Tablo518[[#This Row],[HAMMADDE KODU]],Tablo1[#All],4,0)," ")</f>
        <v xml:space="preserve"> </v>
      </c>
      <c r="Q508" s="100" t="str">
        <f>IFERROR(VLOOKUP(Tablo518[[#This Row],[ÜRÜN KODU]],YMKODLARI!$A$1:$K$363,5,0)," ")</f>
        <v xml:space="preserve"> </v>
      </c>
      <c r="R508" s="100" t="str">
        <f>IFERROR(VLOOKUP(Tablo518[[#This Row],[ÜRÜN KODU]],YMKODLARI!$A$1:$K$363,6,0)," ")</f>
        <v xml:space="preserve"> </v>
      </c>
      <c r="S508" s="100" t="str">
        <f>IFERROR(Tablo518[[#This Row],[YOLLUK HARİÇ BASKI GRAMI]]/Tablo518[[#This Row],[KALIP GÖZ ADEDİ]]," ")</f>
        <v xml:space="preserve"> </v>
      </c>
      <c r="T508" s="100" t="str">
        <f t="shared" si="51"/>
        <v xml:space="preserve"> </v>
      </c>
      <c r="U508" s="100"/>
      <c r="V508" s="100" t="str">
        <f t="shared" si="50"/>
        <v xml:space="preserve"> </v>
      </c>
      <c r="W508" s="101">
        <f t="shared" si="52"/>
        <v>24</v>
      </c>
      <c r="X508" s="102">
        <f t="shared" si="53"/>
        <v>0</v>
      </c>
      <c r="Y508" s="100" t="str">
        <f t="shared" si="54"/>
        <v xml:space="preserve"> </v>
      </c>
      <c r="Z508" s="100" t="str">
        <f t="shared" si="55"/>
        <v xml:space="preserve"> </v>
      </c>
    </row>
    <row r="509" spans="1:26">
      <c r="A509" s="108"/>
      <c r="B509" s="108" t="str">
        <f>IFERROR(VLOOKUP(Tablo518[[#This Row],[ÜRÜN KODU]],YMKODLARI!$A$1:$K$363,2,0)," ")</f>
        <v xml:space="preserve"> </v>
      </c>
      <c r="C509" s="99"/>
      <c r="D509" s="100"/>
      <c r="E509" s="101"/>
      <c r="F509" s="101"/>
      <c r="G509" s="100" t="str">
        <f>IFERROR(VLOOKUP(Tablo518[[#This Row],[ÜRÜN KODU]],YMKODLARI!$A$1:$K$363,3,0)," ")</f>
        <v xml:space="preserve"> </v>
      </c>
      <c r="H509" s="100" t="str">
        <f>IFERROR(VLOOKUP(Tablo518[[#This Row],[ÜRÜN KODU]],YMKODLARI!$A$1:$K$363,4,0)," ")</f>
        <v xml:space="preserve"> </v>
      </c>
      <c r="I509" s="100"/>
      <c r="J509" s="100" t="str">
        <f>IFERROR(VLOOKUP(Tablo518[[#This Row],[ÜRÜN KODU]],YMKODLARI!$A$1:$K$363,9,0)," ")</f>
        <v xml:space="preserve"> </v>
      </c>
      <c r="K509" s="100" t="str">
        <f>IFERROR(VLOOKUP(Tablo518[[#This Row],[BOYA KODU]],Tablo14[#All],4,0)," ")</f>
        <v xml:space="preserve"> </v>
      </c>
      <c r="L509" s="100" t="str">
        <f>IFERROR(VLOOKUP(Tablo518[[#This Row],[BOYA KODU]],Tablo14[#All],6,0)," ")</f>
        <v xml:space="preserve"> </v>
      </c>
      <c r="M509" s="100" t="str">
        <f t="shared" si="49"/>
        <v xml:space="preserve"> </v>
      </c>
      <c r="N509" s="100" t="str">
        <f>IFERROR(VLOOKUP(Tablo518[[#This Row],[ÜRÜN KODU]],YMKODLARI!$A$1:$K$363,8,0)," ")</f>
        <v xml:space="preserve"> </v>
      </c>
      <c r="O509" s="100" t="str">
        <f>IFERROR(VLOOKUP(Tablo518[[#This Row],[HAMMADDE KODU]],Tablo1[#All],3,0)," ")</f>
        <v xml:space="preserve"> </v>
      </c>
      <c r="P509" s="100" t="str">
        <f>IFERROR(VLOOKUP(Tablo518[[#This Row],[HAMMADDE KODU]],Tablo1[#All],4,0)," ")</f>
        <v xml:space="preserve"> </v>
      </c>
      <c r="Q509" s="100" t="str">
        <f>IFERROR(VLOOKUP(Tablo518[[#This Row],[ÜRÜN KODU]],YMKODLARI!$A$1:$K$363,5,0)," ")</f>
        <v xml:space="preserve"> </v>
      </c>
      <c r="R509" s="100" t="str">
        <f>IFERROR(VLOOKUP(Tablo518[[#This Row],[ÜRÜN KODU]],YMKODLARI!$A$1:$K$363,6,0)," ")</f>
        <v xml:space="preserve"> </v>
      </c>
      <c r="S509" s="100" t="str">
        <f>IFERROR(Tablo518[[#This Row],[YOLLUK HARİÇ BASKI GRAMI]]/Tablo518[[#This Row],[KALIP GÖZ ADEDİ]]," ")</f>
        <v xml:space="preserve"> </v>
      </c>
      <c r="T509" s="100" t="str">
        <f t="shared" si="51"/>
        <v xml:space="preserve"> </v>
      </c>
      <c r="U509" s="100"/>
      <c r="V509" s="100" t="str">
        <f t="shared" si="50"/>
        <v xml:space="preserve"> </v>
      </c>
      <c r="W509" s="101">
        <f t="shared" si="52"/>
        <v>24</v>
      </c>
      <c r="X509" s="102">
        <f t="shared" si="53"/>
        <v>0</v>
      </c>
      <c r="Y509" s="100" t="str">
        <f t="shared" si="54"/>
        <v xml:space="preserve"> </v>
      </c>
      <c r="Z509" s="100" t="str">
        <f t="shared" si="55"/>
        <v xml:space="preserve"> </v>
      </c>
    </row>
    <row r="510" spans="1:26">
      <c r="A510" s="108"/>
      <c r="B510" s="108" t="str">
        <f>IFERROR(VLOOKUP(Tablo518[[#This Row],[ÜRÜN KODU]],YMKODLARI!$A$1:$K$363,2,0)," ")</f>
        <v xml:space="preserve"> </v>
      </c>
      <c r="C510" s="99"/>
      <c r="D510" s="100"/>
      <c r="E510" s="101"/>
      <c r="F510" s="101"/>
      <c r="G510" s="100" t="str">
        <f>IFERROR(VLOOKUP(Tablo518[[#This Row],[ÜRÜN KODU]],YMKODLARI!$A$1:$K$363,3,0)," ")</f>
        <v xml:space="preserve"> </v>
      </c>
      <c r="H510" s="100" t="str">
        <f>IFERROR(VLOOKUP(Tablo518[[#This Row],[ÜRÜN KODU]],YMKODLARI!$A$1:$K$363,4,0)," ")</f>
        <v xml:space="preserve"> </v>
      </c>
      <c r="I510" s="100"/>
      <c r="J510" s="100" t="str">
        <f>IFERROR(VLOOKUP(Tablo518[[#This Row],[ÜRÜN KODU]],YMKODLARI!$A$1:$K$363,9,0)," ")</f>
        <v xml:space="preserve"> </v>
      </c>
      <c r="K510" s="100" t="str">
        <f>IFERROR(VLOOKUP(Tablo518[[#This Row],[BOYA KODU]],Tablo14[#All],4,0)," ")</f>
        <v xml:space="preserve"> </v>
      </c>
      <c r="L510" s="100" t="str">
        <f>IFERROR(VLOOKUP(Tablo518[[#This Row],[BOYA KODU]],Tablo14[#All],6,0)," ")</f>
        <v xml:space="preserve"> </v>
      </c>
      <c r="M510" s="100" t="str">
        <f t="shared" si="49"/>
        <v xml:space="preserve"> </v>
      </c>
      <c r="N510" s="100" t="str">
        <f>IFERROR(VLOOKUP(Tablo518[[#This Row],[ÜRÜN KODU]],YMKODLARI!$A$1:$K$363,8,0)," ")</f>
        <v xml:space="preserve"> </v>
      </c>
      <c r="O510" s="100" t="str">
        <f>IFERROR(VLOOKUP(Tablo518[[#This Row],[HAMMADDE KODU]],Tablo1[#All],3,0)," ")</f>
        <v xml:space="preserve"> </v>
      </c>
      <c r="P510" s="100" t="str">
        <f>IFERROR(VLOOKUP(Tablo518[[#This Row],[HAMMADDE KODU]],Tablo1[#All],4,0)," ")</f>
        <v xml:space="preserve"> </v>
      </c>
      <c r="Q510" s="100" t="str">
        <f>IFERROR(VLOOKUP(Tablo518[[#This Row],[ÜRÜN KODU]],YMKODLARI!$A$1:$K$363,5,0)," ")</f>
        <v xml:space="preserve"> </v>
      </c>
      <c r="R510" s="100" t="str">
        <f>IFERROR(VLOOKUP(Tablo518[[#This Row],[ÜRÜN KODU]],YMKODLARI!$A$1:$K$363,6,0)," ")</f>
        <v xml:space="preserve"> </v>
      </c>
      <c r="S510" s="100" t="str">
        <f>IFERROR(Tablo518[[#This Row],[YOLLUK HARİÇ BASKI GRAMI]]/Tablo518[[#This Row],[KALIP GÖZ ADEDİ]]," ")</f>
        <v xml:space="preserve"> </v>
      </c>
      <c r="T510" s="100" t="str">
        <f t="shared" si="51"/>
        <v xml:space="preserve"> </v>
      </c>
      <c r="U510" s="100"/>
      <c r="V510" s="100" t="str">
        <f t="shared" si="50"/>
        <v xml:space="preserve"> </v>
      </c>
      <c r="W510" s="101">
        <f t="shared" si="52"/>
        <v>24</v>
      </c>
      <c r="X510" s="102">
        <f t="shared" si="53"/>
        <v>0</v>
      </c>
      <c r="Y510" s="100" t="str">
        <f t="shared" si="54"/>
        <v xml:space="preserve"> </v>
      </c>
      <c r="Z510" s="100" t="str">
        <f t="shared" si="55"/>
        <v xml:space="preserve"> </v>
      </c>
    </row>
    <row r="511" spans="1:26">
      <c r="A511" s="108"/>
      <c r="B511" s="108" t="str">
        <f>IFERROR(VLOOKUP(Tablo518[[#This Row],[ÜRÜN KODU]],YMKODLARI!$A$1:$K$363,2,0)," ")</f>
        <v xml:space="preserve"> </v>
      </c>
      <c r="C511" s="99"/>
      <c r="D511" s="100"/>
      <c r="E511" s="101"/>
      <c r="F511" s="101"/>
      <c r="G511" s="100" t="str">
        <f>IFERROR(VLOOKUP(Tablo518[[#This Row],[ÜRÜN KODU]],YMKODLARI!$A$1:$K$363,3,0)," ")</f>
        <v xml:space="preserve"> </v>
      </c>
      <c r="H511" s="100" t="str">
        <f>IFERROR(VLOOKUP(Tablo518[[#This Row],[ÜRÜN KODU]],YMKODLARI!$A$1:$K$363,4,0)," ")</f>
        <v xml:space="preserve"> </v>
      </c>
      <c r="I511" s="100"/>
      <c r="J511" s="100" t="str">
        <f>IFERROR(VLOOKUP(Tablo518[[#This Row],[ÜRÜN KODU]],YMKODLARI!$A$1:$K$363,9,0)," ")</f>
        <v xml:space="preserve"> </v>
      </c>
      <c r="K511" s="100" t="str">
        <f>IFERROR(VLOOKUP(Tablo518[[#This Row],[BOYA KODU]],Tablo14[#All],4,0)," ")</f>
        <v xml:space="preserve"> </v>
      </c>
      <c r="L511" s="100" t="str">
        <f>IFERROR(VLOOKUP(Tablo518[[#This Row],[BOYA KODU]],Tablo14[#All],6,0)," ")</f>
        <v xml:space="preserve"> </v>
      </c>
      <c r="M511" s="100" t="str">
        <f t="shared" si="49"/>
        <v xml:space="preserve"> </v>
      </c>
      <c r="N511" s="100" t="str">
        <f>IFERROR(VLOOKUP(Tablo518[[#This Row],[ÜRÜN KODU]],YMKODLARI!$A$1:$K$363,8,0)," ")</f>
        <v xml:space="preserve"> </v>
      </c>
      <c r="O511" s="100" t="str">
        <f>IFERROR(VLOOKUP(Tablo518[[#This Row],[HAMMADDE KODU]],Tablo1[#All],3,0)," ")</f>
        <v xml:space="preserve"> </v>
      </c>
      <c r="P511" s="100" t="str">
        <f>IFERROR(VLOOKUP(Tablo518[[#This Row],[HAMMADDE KODU]],Tablo1[#All],4,0)," ")</f>
        <v xml:space="preserve"> </v>
      </c>
      <c r="Q511" s="100" t="str">
        <f>IFERROR(VLOOKUP(Tablo518[[#This Row],[ÜRÜN KODU]],YMKODLARI!$A$1:$K$363,5,0)," ")</f>
        <v xml:space="preserve"> </v>
      </c>
      <c r="R511" s="100" t="str">
        <f>IFERROR(VLOOKUP(Tablo518[[#This Row],[ÜRÜN KODU]],YMKODLARI!$A$1:$K$363,6,0)," ")</f>
        <v xml:space="preserve"> </v>
      </c>
      <c r="S511" s="100" t="str">
        <f>IFERROR(Tablo518[[#This Row],[YOLLUK HARİÇ BASKI GRAMI]]/Tablo518[[#This Row],[KALIP GÖZ ADEDİ]]," ")</f>
        <v xml:space="preserve"> </v>
      </c>
      <c r="T511" s="100" t="str">
        <f t="shared" si="51"/>
        <v xml:space="preserve"> </v>
      </c>
      <c r="U511" s="100"/>
      <c r="V511" s="100" t="str">
        <f t="shared" si="50"/>
        <v xml:space="preserve"> </v>
      </c>
      <c r="W511" s="101">
        <f t="shared" si="52"/>
        <v>24</v>
      </c>
      <c r="X511" s="102">
        <f t="shared" si="53"/>
        <v>0</v>
      </c>
      <c r="Y511" s="100" t="str">
        <f t="shared" si="54"/>
        <v xml:space="preserve"> </v>
      </c>
      <c r="Z511" s="100" t="str">
        <f t="shared" si="55"/>
        <v xml:space="preserve"> </v>
      </c>
    </row>
    <row r="512" spans="1:26">
      <c r="A512" s="108"/>
      <c r="B512" s="108" t="str">
        <f>IFERROR(VLOOKUP(Tablo518[[#This Row],[ÜRÜN KODU]],YMKODLARI!$A$1:$K$363,2,0)," ")</f>
        <v xml:space="preserve"> </v>
      </c>
      <c r="C512" s="99"/>
      <c r="D512" s="100"/>
      <c r="E512" s="101"/>
      <c r="F512" s="101"/>
      <c r="G512" s="100" t="str">
        <f>IFERROR(VLOOKUP(Tablo518[[#This Row],[ÜRÜN KODU]],YMKODLARI!$A$1:$K$363,3,0)," ")</f>
        <v xml:space="preserve"> </v>
      </c>
      <c r="H512" s="100" t="str">
        <f>IFERROR(VLOOKUP(Tablo518[[#This Row],[ÜRÜN KODU]],YMKODLARI!$A$1:$K$363,4,0)," ")</f>
        <v xml:space="preserve"> </v>
      </c>
      <c r="I512" s="100"/>
      <c r="J512" s="100" t="str">
        <f>IFERROR(VLOOKUP(Tablo518[[#This Row],[ÜRÜN KODU]],YMKODLARI!$A$1:$K$363,9,0)," ")</f>
        <v xml:space="preserve"> </v>
      </c>
      <c r="K512" s="100" t="str">
        <f>IFERROR(VLOOKUP(Tablo518[[#This Row],[BOYA KODU]],Tablo14[#All],4,0)," ")</f>
        <v xml:space="preserve"> </v>
      </c>
      <c r="L512" s="100" t="str">
        <f>IFERROR(VLOOKUP(Tablo518[[#This Row],[BOYA KODU]],Tablo14[#All],6,0)," ")</f>
        <v xml:space="preserve"> </v>
      </c>
      <c r="M512" s="100" t="str">
        <f t="shared" si="49"/>
        <v xml:space="preserve"> </v>
      </c>
      <c r="N512" s="100" t="str">
        <f>IFERROR(VLOOKUP(Tablo518[[#This Row],[ÜRÜN KODU]],YMKODLARI!$A$1:$K$363,8,0)," ")</f>
        <v xml:space="preserve"> </v>
      </c>
      <c r="O512" s="100" t="str">
        <f>IFERROR(VLOOKUP(Tablo518[[#This Row],[HAMMADDE KODU]],Tablo1[#All],3,0)," ")</f>
        <v xml:space="preserve"> </v>
      </c>
      <c r="P512" s="100" t="str">
        <f>IFERROR(VLOOKUP(Tablo518[[#This Row],[HAMMADDE KODU]],Tablo1[#All],4,0)," ")</f>
        <v xml:space="preserve"> </v>
      </c>
      <c r="Q512" s="100" t="str">
        <f>IFERROR(VLOOKUP(Tablo518[[#This Row],[ÜRÜN KODU]],YMKODLARI!$A$1:$K$363,5,0)," ")</f>
        <v xml:space="preserve"> </v>
      </c>
      <c r="R512" s="100" t="str">
        <f>IFERROR(VLOOKUP(Tablo518[[#This Row],[ÜRÜN KODU]],YMKODLARI!$A$1:$K$363,6,0)," ")</f>
        <v xml:space="preserve"> </v>
      </c>
      <c r="S512" s="100" t="str">
        <f>IFERROR(Tablo518[[#This Row],[YOLLUK HARİÇ BASKI GRAMI]]/Tablo518[[#This Row],[KALIP GÖZ ADEDİ]]," ")</f>
        <v xml:space="preserve"> </v>
      </c>
      <c r="T512" s="100" t="str">
        <f t="shared" si="51"/>
        <v xml:space="preserve"> </v>
      </c>
      <c r="U512" s="100"/>
      <c r="V512" s="100" t="str">
        <f t="shared" si="50"/>
        <v xml:space="preserve"> </v>
      </c>
      <c r="W512" s="101">
        <f t="shared" si="52"/>
        <v>24</v>
      </c>
      <c r="X512" s="102">
        <f t="shared" si="53"/>
        <v>0</v>
      </c>
      <c r="Y512" s="100" t="str">
        <f t="shared" si="54"/>
        <v xml:space="preserve"> </v>
      </c>
      <c r="Z512" s="100" t="str">
        <f t="shared" si="55"/>
        <v xml:space="preserve"> </v>
      </c>
    </row>
    <row r="513" spans="1:26">
      <c r="A513" s="108"/>
      <c r="B513" s="108" t="str">
        <f>IFERROR(VLOOKUP(Tablo518[[#This Row],[ÜRÜN KODU]],YMKODLARI!$A$1:$K$363,2,0)," ")</f>
        <v xml:space="preserve"> </v>
      </c>
      <c r="C513" s="99"/>
      <c r="D513" s="100"/>
      <c r="E513" s="101"/>
      <c r="F513" s="101"/>
      <c r="G513" s="100" t="str">
        <f>IFERROR(VLOOKUP(Tablo518[[#This Row],[ÜRÜN KODU]],YMKODLARI!$A$1:$K$363,3,0)," ")</f>
        <v xml:space="preserve"> </v>
      </c>
      <c r="H513" s="100" t="str">
        <f>IFERROR(VLOOKUP(Tablo518[[#This Row],[ÜRÜN KODU]],YMKODLARI!$A$1:$K$363,4,0)," ")</f>
        <v xml:space="preserve"> </v>
      </c>
      <c r="I513" s="100"/>
      <c r="J513" s="100" t="str">
        <f>IFERROR(VLOOKUP(Tablo518[[#This Row],[ÜRÜN KODU]],YMKODLARI!$A$1:$K$363,9,0)," ")</f>
        <v xml:space="preserve"> </v>
      </c>
      <c r="K513" s="100" t="str">
        <f>IFERROR(VLOOKUP(Tablo518[[#This Row],[BOYA KODU]],Tablo14[#All],4,0)," ")</f>
        <v xml:space="preserve"> </v>
      </c>
      <c r="L513" s="100" t="str">
        <f>IFERROR(VLOOKUP(Tablo518[[#This Row],[BOYA KODU]],Tablo14[#All],6,0)," ")</f>
        <v xml:space="preserve"> </v>
      </c>
      <c r="M513" s="100" t="str">
        <f t="shared" si="49"/>
        <v xml:space="preserve"> </v>
      </c>
      <c r="N513" s="100" t="str">
        <f>IFERROR(VLOOKUP(Tablo518[[#This Row],[ÜRÜN KODU]],YMKODLARI!$A$1:$K$363,8,0)," ")</f>
        <v xml:space="preserve"> </v>
      </c>
      <c r="O513" s="100" t="str">
        <f>IFERROR(VLOOKUP(Tablo518[[#This Row],[HAMMADDE KODU]],Tablo1[#All],3,0)," ")</f>
        <v xml:space="preserve"> </v>
      </c>
      <c r="P513" s="100" t="str">
        <f>IFERROR(VLOOKUP(Tablo518[[#This Row],[HAMMADDE KODU]],Tablo1[#All],4,0)," ")</f>
        <v xml:space="preserve"> </v>
      </c>
      <c r="Q513" s="100" t="str">
        <f>IFERROR(VLOOKUP(Tablo518[[#This Row],[ÜRÜN KODU]],YMKODLARI!$A$1:$K$363,5,0)," ")</f>
        <v xml:space="preserve"> </v>
      </c>
      <c r="R513" s="100" t="str">
        <f>IFERROR(VLOOKUP(Tablo518[[#This Row],[ÜRÜN KODU]],YMKODLARI!$A$1:$K$363,6,0)," ")</f>
        <v xml:space="preserve"> </v>
      </c>
      <c r="S513" s="100" t="str">
        <f>IFERROR(Tablo518[[#This Row],[YOLLUK HARİÇ BASKI GRAMI]]/Tablo518[[#This Row],[KALIP GÖZ ADEDİ]]," ")</f>
        <v xml:space="preserve"> </v>
      </c>
      <c r="T513" s="100" t="str">
        <f t="shared" si="51"/>
        <v xml:space="preserve"> </v>
      </c>
      <c r="U513" s="100"/>
      <c r="V513" s="100" t="str">
        <f t="shared" si="50"/>
        <v xml:space="preserve"> </v>
      </c>
      <c r="W513" s="101">
        <f t="shared" si="52"/>
        <v>24</v>
      </c>
      <c r="X513" s="102">
        <f t="shared" si="53"/>
        <v>0</v>
      </c>
      <c r="Y513" s="100" t="str">
        <f t="shared" si="54"/>
        <v xml:space="preserve"> </v>
      </c>
      <c r="Z513" s="100" t="str">
        <f t="shared" si="55"/>
        <v xml:space="preserve"> </v>
      </c>
    </row>
    <row r="514" spans="1:26">
      <c r="A514" s="108"/>
      <c r="B514" s="108" t="str">
        <f>IFERROR(VLOOKUP(Tablo518[[#This Row],[ÜRÜN KODU]],YMKODLARI!$A$1:$K$363,2,0)," ")</f>
        <v xml:space="preserve"> </v>
      </c>
      <c r="C514" s="99"/>
      <c r="D514" s="100"/>
      <c r="E514" s="101"/>
      <c r="F514" s="101"/>
      <c r="G514" s="100" t="str">
        <f>IFERROR(VLOOKUP(Tablo518[[#This Row],[ÜRÜN KODU]],YMKODLARI!$A$1:$K$363,3,0)," ")</f>
        <v xml:space="preserve"> </v>
      </c>
      <c r="H514" s="100" t="str">
        <f>IFERROR(VLOOKUP(Tablo518[[#This Row],[ÜRÜN KODU]],YMKODLARI!$A$1:$K$363,4,0)," ")</f>
        <v xml:space="preserve"> </v>
      </c>
      <c r="I514" s="100"/>
      <c r="J514" s="100" t="str">
        <f>IFERROR(VLOOKUP(Tablo518[[#This Row],[ÜRÜN KODU]],YMKODLARI!$A$1:$K$363,9,0)," ")</f>
        <v xml:space="preserve"> </v>
      </c>
      <c r="K514" s="100" t="str">
        <f>IFERROR(VLOOKUP(Tablo518[[#This Row],[BOYA KODU]],Tablo14[#All],4,0)," ")</f>
        <v xml:space="preserve"> </v>
      </c>
      <c r="L514" s="100" t="str">
        <f>IFERROR(VLOOKUP(Tablo518[[#This Row],[BOYA KODU]],Tablo14[#All],6,0)," ")</f>
        <v xml:space="preserve"> </v>
      </c>
      <c r="M514" s="100" t="str">
        <f t="shared" si="49"/>
        <v xml:space="preserve"> </v>
      </c>
      <c r="N514" s="100" t="str">
        <f>IFERROR(VLOOKUP(Tablo518[[#This Row],[ÜRÜN KODU]],YMKODLARI!$A$1:$K$363,8,0)," ")</f>
        <v xml:space="preserve"> </v>
      </c>
      <c r="O514" s="100" t="str">
        <f>IFERROR(VLOOKUP(Tablo518[[#This Row],[HAMMADDE KODU]],Tablo1[#All],3,0)," ")</f>
        <v xml:space="preserve"> </v>
      </c>
      <c r="P514" s="100" t="str">
        <f>IFERROR(VLOOKUP(Tablo518[[#This Row],[HAMMADDE KODU]],Tablo1[#All],4,0)," ")</f>
        <v xml:space="preserve"> </v>
      </c>
      <c r="Q514" s="100" t="str">
        <f>IFERROR(VLOOKUP(Tablo518[[#This Row],[ÜRÜN KODU]],YMKODLARI!$A$1:$K$363,5,0)," ")</f>
        <v xml:space="preserve"> </v>
      </c>
      <c r="R514" s="100" t="str">
        <f>IFERROR(VLOOKUP(Tablo518[[#This Row],[ÜRÜN KODU]],YMKODLARI!$A$1:$K$363,6,0)," ")</f>
        <v xml:space="preserve"> </v>
      </c>
      <c r="S514" s="100" t="str">
        <f>IFERROR(Tablo518[[#This Row],[YOLLUK HARİÇ BASKI GRAMI]]/Tablo518[[#This Row],[KALIP GÖZ ADEDİ]]," ")</f>
        <v xml:space="preserve"> </v>
      </c>
      <c r="T514" s="100" t="str">
        <f t="shared" si="51"/>
        <v xml:space="preserve"> </v>
      </c>
      <c r="U514" s="100"/>
      <c r="V514" s="100" t="str">
        <f t="shared" si="50"/>
        <v xml:space="preserve"> </v>
      </c>
      <c r="W514" s="101">
        <f t="shared" si="52"/>
        <v>24</v>
      </c>
      <c r="X514" s="102">
        <f t="shared" si="53"/>
        <v>0</v>
      </c>
      <c r="Y514" s="100" t="str">
        <f t="shared" si="54"/>
        <v xml:space="preserve"> </v>
      </c>
      <c r="Z514" s="100" t="str">
        <f t="shared" si="55"/>
        <v xml:space="preserve"> </v>
      </c>
    </row>
    <row r="515" spans="1:26">
      <c r="A515" s="108"/>
      <c r="B515" s="108" t="str">
        <f>IFERROR(VLOOKUP(Tablo518[[#This Row],[ÜRÜN KODU]],YMKODLARI!$A$1:$K$363,2,0)," ")</f>
        <v xml:space="preserve"> </v>
      </c>
      <c r="C515" s="99"/>
      <c r="D515" s="100"/>
      <c r="E515" s="101"/>
      <c r="F515" s="101"/>
      <c r="G515" s="100" t="str">
        <f>IFERROR(VLOOKUP(Tablo518[[#This Row],[ÜRÜN KODU]],YMKODLARI!$A$1:$K$363,3,0)," ")</f>
        <v xml:space="preserve"> </v>
      </c>
      <c r="H515" s="100" t="str">
        <f>IFERROR(VLOOKUP(Tablo518[[#This Row],[ÜRÜN KODU]],YMKODLARI!$A$1:$K$363,4,0)," ")</f>
        <v xml:space="preserve"> </v>
      </c>
      <c r="I515" s="100"/>
      <c r="J515" s="100" t="str">
        <f>IFERROR(VLOOKUP(Tablo518[[#This Row],[ÜRÜN KODU]],YMKODLARI!$A$1:$K$363,9,0)," ")</f>
        <v xml:space="preserve"> </v>
      </c>
      <c r="K515" s="100" t="str">
        <f>IFERROR(VLOOKUP(Tablo518[[#This Row],[BOYA KODU]],Tablo14[#All],4,0)," ")</f>
        <v xml:space="preserve"> </v>
      </c>
      <c r="L515" s="100" t="str">
        <f>IFERROR(VLOOKUP(Tablo518[[#This Row],[BOYA KODU]],Tablo14[#All],6,0)," ")</f>
        <v xml:space="preserve"> </v>
      </c>
      <c r="M515" s="100" t="str">
        <f t="shared" si="49"/>
        <v xml:space="preserve"> </v>
      </c>
      <c r="N515" s="100" t="str">
        <f>IFERROR(VLOOKUP(Tablo518[[#This Row],[ÜRÜN KODU]],YMKODLARI!$A$1:$K$363,8,0)," ")</f>
        <v xml:space="preserve"> </v>
      </c>
      <c r="O515" s="100" t="str">
        <f>IFERROR(VLOOKUP(Tablo518[[#This Row],[HAMMADDE KODU]],Tablo1[#All],3,0)," ")</f>
        <v xml:space="preserve"> </v>
      </c>
      <c r="P515" s="100" t="str">
        <f>IFERROR(VLOOKUP(Tablo518[[#This Row],[HAMMADDE KODU]],Tablo1[#All],4,0)," ")</f>
        <v xml:space="preserve"> </v>
      </c>
      <c r="Q515" s="100" t="str">
        <f>IFERROR(VLOOKUP(Tablo518[[#This Row],[ÜRÜN KODU]],YMKODLARI!$A$1:$K$363,5,0)," ")</f>
        <v xml:space="preserve"> </v>
      </c>
      <c r="R515" s="100" t="str">
        <f>IFERROR(VLOOKUP(Tablo518[[#This Row],[ÜRÜN KODU]],YMKODLARI!$A$1:$K$363,6,0)," ")</f>
        <v xml:space="preserve"> </v>
      </c>
      <c r="S515" s="100" t="str">
        <f>IFERROR(Tablo518[[#This Row],[YOLLUK HARİÇ BASKI GRAMI]]/Tablo518[[#This Row],[KALIP GÖZ ADEDİ]]," ")</f>
        <v xml:space="preserve"> </v>
      </c>
      <c r="T515" s="100" t="str">
        <f t="shared" si="51"/>
        <v xml:space="preserve"> </v>
      </c>
      <c r="U515" s="100"/>
      <c r="V515" s="100" t="str">
        <f t="shared" si="50"/>
        <v xml:space="preserve"> </v>
      </c>
      <c r="W515" s="101">
        <f t="shared" si="52"/>
        <v>24</v>
      </c>
      <c r="X515" s="102">
        <f t="shared" si="53"/>
        <v>0</v>
      </c>
      <c r="Y515" s="100" t="str">
        <f t="shared" si="54"/>
        <v xml:space="preserve"> </v>
      </c>
      <c r="Z515" s="100" t="str">
        <f t="shared" si="55"/>
        <v xml:space="preserve"> </v>
      </c>
    </row>
    <row r="516" spans="1:26">
      <c r="A516" s="108"/>
      <c r="B516" s="108" t="str">
        <f>IFERROR(VLOOKUP(Tablo518[[#This Row],[ÜRÜN KODU]],YMKODLARI!$A$1:$K$363,2,0)," ")</f>
        <v xml:space="preserve"> </v>
      </c>
      <c r="C516" s="99"/>
      <c r="D516" s="100"/>
      <c r="E516" s="101"/>
      <c r="F516" s="101"/>
      <c r="G516" s="100" t="str">
        <f>IFERROR(VLOOKUP(Tablo518[[#This Row],[ÜRÜN KODU]],YMKODLARI!$A$1:$K$363,3,0)," ")</f>
        <v xml:space="preserve"> </v>
      </c>
      <c r="H516" s="100" t="str">
        <f>IFERROR(VLOOKUP(Tablo518[[#This Row],[ÜRÜN KODU]],YMKODLARI!$A$1:$K$363,4,0)," ")</f>
        <v xml:space="preserve"> </v>
      </c>
      <c r="I516" s="100"/>
      <c r="J516" s="100" t="str">
        <f>IFERROR(VLOOKUP(Tablo518[[#This Row],[ÜRÜN KODU]],YMKODLARI!$A$1:$K$363,9,0)," ")</f>
        <v xml:space="preserve"> </v>
      </c>
      <c r="K516" s="100" t="str">
        <f>IFERROR(VLOOKUP(Tablo518[[#This Row],[BOYA KODU]],Tablo14[#All],4,0)," ")</f>
        <v xml:space="preserve"> </v>
      </c>
      <c r="L516" s="100" t="str">
        <f>IFERROR(VLOOKUP(Tablo518[[#This Row],[BOYA KODU]],Tablo14[#All],6,0)," ")</f>
        <v xml:space="preserve"> </v>
      </c>
      <c r="M516" s="100" t="str">
        <f t="shared" si="49"/>
        <v xml:space="preserve"> </v>
      </c>
      <c r="N516" s="100" t="str">
        <f>IFERROR(VLOOKUP(Tablo518[[#This Row],[ÜRÜN KODU]],YMKODLARI!$A$1:$K$363,8,0)," ")</f>
        <v xml:space="preserve"> </v>
      </c>
      <c r="O516" s="100" t="str">
        <f>IFERROR(VLOOKUP(Tablo518[[#This Row],[HAMMADDE KODU]],Tablo1[#All],3,0)," ")</f>
        <v xml:space="preserve"> </v>
      </c>
      <c r="P516" s="100" t="str">
        <f>IFERROR(VLOOKUP(Tablo518[[#This Row],[HAMMADDE KODU]],Tablo1[#All],4,0)," ")</f>
        <v xml:space="preserve"> </v>
      </c>
      <c r="Q516" s="100" t="str">
        <f>IFERROR(VLOOKUP(Tablo518[[#This Row],[ÜRÜN KODU]],YMKODLARI!$A$1:$K$363,5,0)," ")</f>
        <v xml:space="preserve"> </v>
      </c>
      <c r="R516" s="100" t="str">
        <f>IFERROR(VLOOKUP(Tablo518[[#This Row],[ÜRÜN KODU]],YMKODLARI!$A$1:$K$363,6,0)," ")</f>
        <v xml:space="preserve"> </v>
      </c>
      <c r="S516" s="100" t="str">
        <f>IFERROR(Tablo518[[#This Row],[YOLLUK HARİÇ BASKI GRAMI]]/Tablo518[[#This Row],[KALIP GÖZ ADEDİ]]," ")</f>
        <v xml:space="preserve"> </v>
      </c>
      <c r="T516" s="100" t="str">
        <f t="shared" si="51"/>
        <v xml:space="preserve"> </v>
      </c>
      <c r="U516" s="100"/>
      <c r="V516" s="100" t="str">
        <f t="shared" si="50"/>
        <v xml:space="preserve"> </v>
      </c>
      <c r="W516" s="101">
        <f t="shared" si="52"/>
        <v>24</v>
      </c>
      <c r="X516" s="102">
        <f t="shared" si="53"/>
        <v>0</v>
      </c>
      <c r="Y516" s="100" t="str">
        <f t="shared" si="54"/>
        <v xml:space="preserve"> </v>
      </c>
      <c r="Z516" s="100" t="str">
        <f t="shared" si="55"/>
        <v xml:space="preserve"> </v>
      </c>
    </row>
    <row r="517" spans="1:26">
      <c r="A517" s="108"/>
      <c r="B517" s="108" t="str">
        <f>IFERROR(VLOOKUP(Tablo518[[#This Row],[ÜRÜN KODU]],YMKODLARI!$A$1:$K$363,2,0)," ")</f>
        <v xml:space="preserve"> </v>
      </c>
      <c r="C517" s="99"/>
      <c r="D517" s="100"/>
      <c r="E517" s="101"/>
      <c r="F517" s="101"/>
      <c r="G517" s="100" t="str">
        <f>IFERROR(VLOOKUP(Tablo518[[#This Row],[ÜRÜN KODU]],YMKODLARI!$A$1:$K$363,3,0)," ")</f>
        <v xml:space="preserve"> </v>
      </c>
      <c r="H517" s="100" t="str">
        <f>IFERROR(VLOOKUP(Tablo518[[#This Row],[ÜRÜN KODU]],YMKODLARI!$A$1:$K$363,4,0)," ")</f>
        <v xml:space="preserve"> </v>
      </c>
      <c r="I517" s="100"/>
      <c r="J517" s="100" t="str">
        <f>IFERROR(VLOOKUP(Tablo518[[#This Row],[ÜRÜN KODU]],YMKODLARI!$A$1:$K$363,9,0)," ")</f>
        <v xml:space="preserve"> </v>
      </c>
      <c r="K517" s="100" t="str">
        <f>IFERROR(VLOOKUP(Tablo518[[#This Row],[BOYA KODU]],Tablo14[#All],4,0)," ")</f>
        <v xml:space="preserve"> </v>
      </c>
      <c r="L517" s="100" t="str">
        <f>IFERROR(VLOOKUP(Tablo518[[#This Row],[BOYA KODU]],Tablo14[#All],6,0)," ")</f>
        <v xml:space="preserve"> </v>
      </c>
      <c r="M517" s="100" t="str">
        <f t="shared" si="49"/>
        <v xml:space="preserve"> </v>
      </c>
      <c r="N517" s="100" t="str">
        <f>IFERROR(VLOOKUP(Tablo518[[#This Row],[ÜRÜN KODU]],YMKODLARI!$A$1:$K$363,8,0)," ")</f>
        <v xml:space="preserve"> </v>
      </c>
      <c r="O517" s="100" t="str">
        <f>IFERROR(VLOOKUP(Tablo518[[#This Row],[HAMMADDE KODU]],Tablo1[#All],3,0)," ")</f>
        <v xml:space="preserve"> </v>
      </c>
      <c r="P517" s="100" t="str">
        <f>IFERROR(VLOOKUP(Tablo518[[#This Row],[HAMMADDE KODU]],Tablo1[#All],4,0)," ")</f>
        <v xml:space="preserve"> </v>
      </c>
      <c r="Q517" s="100" t="str">
        <f>IFERROR(VLOOKUP(Tablo518[[#This Row],[ÜRÜN KODU]],YMKODLARI!$A$1:$K$363,5,0)," ")</f>
        <v xml:space="preserve"> </v>
      </c>
      <c r="R517" s="100" t="str">
        <f>IFERROR(VLOOKUP(Tablo518[[#This Row],[ÜRÜN KODU]],YMKODLARI!$A$1:$K$363,6,0)," ")</f>
        <v xml:space="preserve"> </v>
      </c>
      <c r="S517" s="100" t="str">
        <f>IFERROR(Tablo518[[#This Row],[YOLLUK HARİÇ BASKI GRAMI]]/Tablo518[[#This Row],[KALIP GÖZ ADEDİ]]," ")</f>
        <v xml:space="preserve"> </v>
      </c>
      <c r="T517" s="100" t="str">
        <f t="shared" si="51"/>
        <v xml:space="preserve"> </v>
      </c>
      <c r="U517" s="100"/>
      <c r="V517" s="100" t="str">
        <f t="shared" si="50"/>
        <v xml:space="preserve"> </v>
      </c>
      <c r="W517" s="101">
        <f t="shared" si="52"/>
        <v>24</v>
      </c>
      <c r="X517" s="102">
        <f t="shared" si="53"/>
        <v>0</v>
      </c>
      <c r="Y517" s="100" t="str">
        <f t="shared" si="54"/>
        <v xml:space="preserve"> </v>
      </c>
      <c r="Z517" s="100" t="str">
        <f t="shared" si="55"/>
        <v xml:space="preserve"> </v>
      </c>
    </row>
    <row r="518" spans="1:26">
      <c r="A518" s="108"/>
      <c r="B518" s="108" t="str">
        <f>IFERROR(VLOOKUP(Tablo518[[#This Row],[ÜRÜN KODU]],YMKODLARI!$A$1:$K$363,2,0)," ")</f>
        <v xml:space="preserve"> </v>
      </c>
      <c r="C518" s="99"/>
      <c r="D518" s="100"/>
      <c r="E518" s="101"/>
      <c r="F518" s="101"/>
      <c r="G518" s="100" t="str">
        <f>IFERROR(VLOOKUP(Tablo518[[#This Row],[ÜRÜN KODU]],YMKODLARI!$A$1:$K$363,3,0)," ")</f>
        <v xml:space="preserve"> </v>
      </c>
      <c r="H518" s="100" t="str">
        <f>IFERROR(VLOOKUP(Tablo518[[#This Row],[ÜRÜN KODU]],YMKODLARI!$A$1:$K$363,4,0)," ")</f>
        <v xml:space="preserve"> </v>
      </c>
      <c r="I518" s="100"/>
      <c r="J518" s="100" t="str">
        <f>IFERROR(VLOOKUP(Tablo518[[#This Row],[ÜRÜN KODU]],YMKODLARI!$A$1:$K$363,9,0)," ")</f>
        <v xml:space="preserve"> </v>
      </c>
      <c r="K518" s="100" t="str">
        <f>IFERROR(VLOOKUP(Tablo518[[#This Row],[BOYA KODU]],Tablo14[#All],4,0)," ")</f>
        <v xml:space="preserve"> </v>
      </c>
      <c r="L518" s="100" t="str">
        <f>IFERROR(VLOOKUP(Tablo518[[#This Row],[BOYA KODU]],Tablo14[#All],6,0)," ")</f>
        <v xml:space="preserve"> </v>
      </c>
      <c r="M518" s="100" t="str">
        <f t="shared" si="49"/>
        <v xml:space="preserve"> </v>
      </c>
      <c r="N518" s="100" t="str">
        <f>IFERROR(VLOOKUP(Tablo518[[#This Row],[ÜRÜN KODU]],YMKODLARI!$A$1:$K$363,8,0)," ")</f>
        <v xml:space="preserve"> </v>
      </c>
      <c r="O518" s="100" t="str">
        <f>IFERROR(VLOOKUP(Tablo518[[#This Row],[HAMMADDE KODU]],Tablo1[#All],3,0)," ")</f>
        <v xml:space="preserve"> </v>
      </c>
      <c r="P518" s="100" t="str">
        <f>IFERROR(VLOOKUP(Tablo518[[#This Row],[HAMMADDE KODU]],Tablo1[#All],4,0)," ")</f>
        <v xml:space="preserve"> </v>
      </c>
      <c r="Q518" s="100" t="str">
        <f>IFERROR(VLOOKUP(Tablo518[[#This Row],[ÜRÜN KODU]],YMKODLARI!$A$1:$K$363,5,0)," ")</f>
        <v xml:space="preserve"> </v>
      </c>
      <c r="R518" s="100" t="str">
        <f>IFERROR(VLOOKUP(Tablo518[[#This Row],[ÜRÜN KODU]],YMKODLARI!$A$1:$K$363,6,0)," ")</f>
        <v xml:space="preserve"> </v>
      </c>
      <c r="S518" s="100" t="str">
        <f>IFERROR(Tablo518[[#This Row],[YOLLUK HARİÇ BASKI GRAMI]]/Tablo518[[#This Row],[KALIP GÖZ ADEDİ]]," ")</f>
        <v xml:space="preserve"> </v>
      </c>
      <c r="T518" s="100" t="str">
        <f t="shared" si="51"/>
        <v xml:space="preserve"> </v>
      </c>
      <c r="U518" s="100"/>
      <c r="V518" s="100" t="str">
        <f t="shared" si="50"/>
        <v xml:space="preserve"> </v>
      </c>
      <c r="W518" s="101">
        <f t="shared" si="52"/>
        <v>24</v>
      </c>
      <c r="X518" s="102">
        <f t="shared" si="53"/>
        <v>0</v>
      </c>
      <c r="Y518" s="100" t="str">
        <f t="shared" si="54"/>
        <v xml:space="preserve"> </v>
      </c>
      <c r="Z518" s="100" t="str">
        <f t="shared" si="55"/>
        <v xml:space="preserve"> </v>
      </c>
    </row>
    <row r="519" spans="1:26">
      <c r="A519" s="108"/>
      <c r="B519" s="108" t="str">
        <f>IFERROR(VLOOKUP(Tablo518[[#This Row],[ÜRÜN KODU]],YMKODLARI!$A$1:$K$363,2,0)," ")</f>
        <v xml:space="preserve"> </v>
      </c>
      <c r="C519" s="99"/>
      <c r="D519" s="100"/>
      <c r="E519" s="101"/>
      <c r="F519" s="101"/>
      <c r="G519" s="100" t="str">
        <f>IFERROR(VLOOKUP(Tablo518[[#This Row],[ÜRÜN KODU]],YMKODLARI!$A$1:$K$363,3,0)," ")</f>
        <v xml:space="preserve"> </v>
      </c>
      <c r="H519" s="100" t="str">
        <f>IFERROR(VLOOKUP(Tablo518[[#This Row],[ÜRÜN KODU]],YMKODLARI!$A$1:$K$363,4,0)," ")</f>
        <v xml:space="preserve"> </v>
      </c>
      <c r="I519" s="100"/>
      <c r="J519" s="100" t="str">
        <f>IFERROR(VLOOKUP(Tablo518[[#This Row],[ÜRÜN KODU]],YMKODLARI!$A$1:$K$363,9,0)," ")</f>
        <v xml:space="preserve"> </v>
      </c>
      <c r="K519" s="100" t="str">
        <f>IFERROR(VLOOKUP(Tablo518[[#This Row],[BOYA KODU]],Tablo14[#All],4,0)," ")</f>
        <v xml:space="preserve"> </v>
      </c>
      <c r="L519" s="100" t="str">
        <f>IFERROR(VLOOKUP(Tablo518[[#This Row],[BOYA KODU]],Tablo14[#All],6,0)," ")</f>
        <v xml:space="preserve"> </v>
      </c>
      <c r="M519" s="100" t="str">
        <f t="shared" ref="M519:M576" si="56">IFERROR((I519*Q519)*L519," ")</f>
        <v xml:space="preserve"> </v>
      </c>
      <c r="N519" s="100" t="str">
        <f>IFERROR(VLOOKUP(Tablo518[[#This Row],[ÜRÜN KODU]],YMKODLARI!$A$1:$K$363,8,0)," ")</f>
        <v xml:space="preserve"> </v>
      </c>
      <c r="O519" s="100" t="str">
        <f>IFERROR(VLOOKUP(Tablo518[[#This Row],[HAMMADDE KODU]],Tablo1[#All],3,0)," ")</f>
        <v xml:space="preserve"> </v>
      </c>
      <c r="P519" s="100" t="str">
        <f>IFERROR(VLOOKUP(Tablo518[[#This Row],[HAMMADDE KODU]],Tablo1[#All],4,0)," ")</f>
        <v xml:space="preserve"> </v>
      </c>
      <c r="Q519" s="100" t="str">
        <f>IFERROR(VLOOKUP(Tablo518[[#This Row],[ÜRÜN KODU]],YMKODLARI!$A$1:$K$363,5,0)," ")</f>
        <v xml:space="preserve"> </v>
      </c>
      <c r="R519" s="100" t="str">
        <f>IFERROR(VLOOKUP(Tablo518[[#This Row],[ÜRÜN KODU]],YMKODLARI!$A$1:$K$363,6,0)," ")</f>
        <v xml:space="preserve"> </v>
      </c>
      <c r="S519" s="100" t="str">
        <f>IFERROR(Tablo518[[#This Row],[YOLLUK HARİÇ BASKI GRAMI]]/Tablo518[[#This Row],[KALIP GÖZ ADEDİ]]," ")</f>
        <v xml:space="preserve"> </v>
      </c>
      <c r="T519" s="100" t="str">
        <f t="shared" si="51"/>
        <v xml:space="preserve"> </v>
      </c>
      <c r="U519" s="100"/>
      <c r="V519" s="100" t="str">
        <f t="shared" ref="V519:V576" si="57">IFERROR(U519+(R519*I519) /1000," ")</f>
        <v xml:space="preserve"> </v>
      </c>
      <c r="W519" s="101">
        <f t="shared" si="52"/>
        <v>24</v>
      </c>
      <c r="X519" s="102">
        <f t="shared" si="53"/>
        <v>0</v>
      </c>
      <c r="Y519" s="100" t="str">
        <f t="shared" si="54"/>
        <v xml:space="preserve"> </v>
      </c>
      <c r="Z519" s="100" t="str">
        <f t="shared" si="55"/>
        <v xml:space="preserve"> </v>
      </c>
    </row>
    <row r="520" spans="1:26">
      <c r="A520" s="108"/>
      <c r="B520" s="108" t="str">
        <f>IFERROR(VLOOKUP(Tablo518[[#This Row],[ÜRÜN KODU]],YMKODLARI!$A$1:$K$363,2,0)," ")</f>
        <v xml:space="preserve"> </v>
      </c>
      <c r="C520" s="99"/>
      <c r="D520" s="100"/>
      <c r="E520" s="101"/>
      <c r="F520" s="101"/>
      <c r="G520" s="100" t="str">
        <f>IFERROR(VLOOKUP(Tablo518[[#This Row],[ÜRÜN KODU]],YMKODLARI!$A$1:$K$363,3,0)," ")</f>
        <v xml:space="preserve"> </v>
      </c>
      <c r="H520" s="100" t="str">
        <f>IFERROR(VLOOKUP(Tablo518[[#This Row],[ÜRÜN KODU]],YMKODLARI!$A$1:$K$363,4,0)," ")</f>
        <v xml:space="preserve"> </v>
      </c>
      <c r="I520" s="100"/>
      <c r="J520" s="100" t="str">
        <f>IFERROR(VLOOKUP(Tablo518[[#This Row],[ÜRÜN KODU]],YMKODLARI!$A$1:$K$363,9,0)," ")</f>
        <v xml:space="preserve"> </v>
      </c>
      <c r="K520" s="100" t="str">
        <f>IFERROR(VLOOKUP(Tablo518[[#This Row],[BOYA KODU]],Tablo14[#All],4,0)," ")</f>
        <v xml:space="preserve"> </v>
      </c>
      <c r="L520" s="100" t="str">
        <f>IFERROR(VLOOKUP(Tablo518[[#This Row],[BOYA KODU]],Tablo14[#All],6,0)," ")</f>
        <v xml:space="preserve"> </v>
      </c>
      <c r="M520" s="100" t="str">
        <f t="shared" si="56"/>
        <v xml:space="preserve"> </v>
      </c>
      <c r="N520" s="100" t="str">
        <f>IFERROR(VLOOKUP(Tablo518[[#This Row],[ÜRÜN KODU]],YMKODLARI!$A$1:$K$363,8,0)," ")</f>
        <v xml:space="preserve"> </v>
      </c>
      <c r="O520" s="100" t="str">
        <f>IFERROR(VLOOKUP(Tablo518[[#This Row],[HAMMADDE KODU]],Tablo1[#All],3,0)," ")</f>
        <v xml:space="preserve"> </v>
      </c>
      <c r="P520" s="100" t="str">
        <f>IFERROR(VLOOKUP(Tablo518[[#This Row],[HAMMADDE KODU]],Tablo1[#All],4,0)," ")</f>
        <v xml:space="preserve"> </v>
      </c>
      <c r="Q520" s="100" t="str">
        <f>IFERROR(VLOOKUP(Tablo518[[#This Row],[ÜRÜN KODU]],YMKODLARI!$A$1:$K$363,5,0)," ")</f>
        <v xml:space="preserve"> </v>
      </c>
      <c r="R520" s="100" t="str">
        <f>IFERROR(VLOOKUP(Tablo518[[#This Row],[ÜRÜN KODU]],YMKODLARI!$A$1:$K$363,6,0)," ")</f>
        <v xml:space="preserve"> </v>
      </c>
      <c r="S520" s="100" t="str">
        <f>IFERROR(Tablo518[[#This Row],[YOLLUK HARİÇ BASKI GRAMI]]/Tablo518[[#This Row],[KALIP GÖZ ADEDİ]]," ")</f>
        <v xml:space="preserve"> </v>
      </c>
      <c r="T520" s="100" t="str">
        <f t="shared" ref="T520:T576" si="58">IFERROR(Q520-R520," ")</f>
        <v xml:space="preserve"> </v>
      </c>
      <c r="U520" s="100"/>
      <c r="V520" s="100" t="str">
        <f t="shared" si="57"/>
        <v xml:space="preserve"> </v>
      </c>
      <c r="W520" s="101">
        <f t="shared" ref="W520:W576" si="59">IFERROR(24-(E520-F520)," ")</f>
        <v>24</v>
      </c>
      <c r="X520" s="102">
        <f t="shared" ref="X520:X576" si="60">IFERROR((W520-INT(W520))*24," ")</f>
        <v>0</v>
      </c>
      <c r="Y520" s="100" t="str">
        <f t="shared" ref="Y520:Y576" si="61">IFERROR(H520*I520/3600," ")</f>
        <v xml:space="preserve"> </v>
      </c>
      <c r="Z520" s="100" t="str">
        <f t="shared" ref="Z520:Z576" si="62">IFERROR(I520*G520," " )</f>
        <v xml:space="preserve"> </v>
      </c>
    </row>
    <row r="521" spans="1:26">
      <c r="A521" s="108"/>
      <c r="B521" s="108" t="str">
        <f>IFERROR(VLOOKUP(Tablo518[[#This Row],[ÜRÜN KODU]],YMKODLARI!$A$1:$K$363,2,0)," ")</f>
        <v xml:space="preserve"> </v>
      </c>
      <c r="C521" s="99"/>
      <c r="D521" s="100"/>
      <c r="E521" s="101"/>
      <c r="F521" s="101"/>
      <c r="G521" s="100" t="str">
        <f>IFERROR(VLOOKUP(Tablo518[[#This Row],[ÜRÜN KODU]],YMKODLARI!$A$1:$K$363,3,0)," ")</f>
        <v xml:space="preserve"> </v>
      </c>
      <c r="H521" s="100" t="str">
        <f>IFERROR(VLOOKUP(Tablo518[[#This Row],[ÜRÜN KODU]],YMKODLARI!$A$1:$K$363,4,0)," ")</f>
        <v xml:space="preserve"> </v>
      </c>
      <c r="I521" s="100"/>
      <c r="J521" s="100" t="str">
        <f>IFERROR(VLOOKUP(Tablo518[[#This Row],[ÜRÜN KODU]],YMKODLARI!$A$1:$K$363,9,0)," ")</f>
        <v xml:space="preserve"> </v>
      </c>
      <c r="K521" s="100" t="str">
        <f>IFERROR(VLOOKUP(Tablo518[[#This Row],[BOYA KODU]],Tablo14[#All],4,0)," ")</f>
        <v xml:space="preserve"> </v>
      </c>
      <c r="L521" s="100" t="str">
        <f>IFERROR(VLOOKUP(Tablo518[[#This Row],[BOYA KODU]],Tablo14[#All],6,0)," ")</f>
        <v xml:space="preserve"> </v>
      </c>
      <c r="M521" s="100" t="str">
        <f t="shared" si="56"/>
        <v xml:space="preserve"> </v>
      </c>
      <c r="N521" s="100" t="str">
        <f>IFERROR(VLOOKUP(Tablo518[[#This Row],[ÜRÜN KODU]],YMKODLARI!$A$1:$K$363,8,0)," ")</f>
        <v xml:space="preserve"> </v>
      </c>
      <c r="O521" s="100" t="str">
        <f>IFERROR(VLOOKUP(Tablo518[[#This Row],[HAMMADDE KODU]],Tablo1[#All],3,0)," ")</f>
        <v xml:space="preserve"> </v>
      </c>
      <c r="P521" s="100" t="str">
        <f>IFERROR(VLOOKUP(Tablo518[[#This Row],[HAMMADDE KODU]],Tablo1[#All],4,0)," ")</f>
        <v xml:space="preserve"> </v>
      </c>
      <c r="Q521" s="100" t="str">
        <f>IFERROR(VLOOKUP(Tablo518[[#This Row],[ÜRÜN KODU]],YMKODLARI!$A$1:$K$363,5,0)," ")</f>
        <v xml:space="preserve"> </v>
      </c>
      <c r="R521" s="100" t="str">
        <f>IFERROR(VLOOKUP(Tablo518[[#This Row],[ÜRÜN KODU]],YMKODLARI!$A$1:$K$363,6,0)," ")</f>
        <v xml:space="preserve"> </v>
      </c>
      <c r="S521" s="100" t="str">
        <f>IFERROR(Tablo518[[#This Row],[YOLLUK HARİÇ BASKI GRAMI]]/Tablo518[[#This Row],[KALIP GÖZ ADEDİ]]," ")</f>
        <v xml:space="preserve"> </v>
      </c>
      <c r="T521" s="100" t="str">
        <f t="shared" si="58"/>
        <v xml:space="preserve"> </v>
      </c>
      <c r="U521" s="100"/>
      <c r="V521" s="100" t="str">
        <f t="shared" si="57"/>
        <v xml:space="preserve"> </v>
      </c>
      <c r="W521" s="101">
        <f t="shared" si="59"/>
        <v>24</v>
      </c>
      <c r="X521" s="102">
        <f t="shared" si="60"/>
        <v>0</v>
      </c>
      <c r="Y521" s="100" t="str">
        <f t="shared" si="61"/>
        <v xml:space="preserve"> </v>
      </c>
      <c r="Z521" s="100" t="str">
        <f t="shared" si="62"/>
        <v xml:space="preserve"> </v>
      </c>
    </row>
    <row r="522" spans="1:26">
      <c r="A522" s="108"/>
      <c r="B522" s="108" t="str">
        <f>IFERROR(VLOOKUP(Tablo518[[#This Row],[ÜRÜN KODU]],YMKODLARI!$A$1:$K$363,2,0)," ")</f>
        <v xml:space="preserve"> </v>
      </c>
      <c r="C522" s="99"/>
      <c r="D522" s="100"/>
      <c r="E522" s="101"/>
      <c r="F522" s="101"/>
      <c r="G522" s="100" t="str">
        <f>IFERROR(VLOOKUP(Tablo518[[#This Row],[ÜRÜN KODU]],YMKODLARI!$A$1:$K$363,3,0)," ")</f>
        <v xml:space="preserve"> </v>
      </c>
      <c r="H522" s="100" t="str">
        <f>IFERROR(VLOOKUP(Tablo518[[#This Row],[ÜRÜN KODU]],YMKODLARI!$A$1:$K$363,4,0)," ")</f>
        <v xml:space="preserve"> </v>
      </c>
      <c r="I522" s="100"/>
      <c r="J522" s="100" t="str">
        <f>IFERROR(VLOOKUP(Tablo518[[#This Row],[ÜRÜN KODU]],YMKODLARI!$A$1:$K$363,9,0)," ")</f>
        <v xml:space="preserve"> </v>
      </c>
      <c r="K522" s="100" t="str">
        <f>IFERROR(VLOOKUP(Tablo518[[#This Row],[BOYA KODU]],Tablo14[#All],4,0)," ")</f>
        <v xml:space="preserve"> </v>
      </c>
      <c r="L522" s="100" t="str">
        <f>IFERROR(VLOOKUP(Tablo518[[#This Row],[BOYA KODU]],Tablo14[#All],6,0)," ")</f>
        <v xml:space="preserve"> </v>
      </c>
      <c r="M522" s="100" t="str">
        <f t="shared" si="56"/>
        <v xml:space="preserve"> </v>
      </c>
      <c r="N522" s="100" t="str">
        <f>IFERROR(VLOOKUP(Tablo518[[#This Row],[ÜRÜN KODU]],YMKODLARI!$A$1:$K$363,8,0)," ")</f>
        <v xml:space="preserve"> </v>
      </c>
      <c r="O522" s="100" t="str">
        <f>IFERROR(VLOOKUP(Tablo518[[#This Row],[HAMMADDE KODU]],Tablo1[#All],3,0)," ")</f>
        <v xml:space="preserve"> </v>
      </c>
      <c r="P522" s="100" t="str">
        <f>IFERROR(VLOOKUP(Tablo518[[#This Row],[HAMMADDE KODU]],Tablo1[#All],4,0)," ")</f>
        <v xml:space="preserve"> </v>
      </c>
      <c r="Q522" s="100" t="str">
        <f>IFERROR(VLOOKUP(Tablo518[[#This Row],[ÜRÜN KODU]],YMKODLARI!$A$1:$K$363,5,0)," ")</f>
        <v xml:space="preserve"> </v>
      </c>
      <c r="R522" s="100" t="str">
        <f>IFERROR(VLOOKUP(Tablo518[[#This Row],[ÜRÜN KODU]],YMKODLARI!$A$1:$K$363,6,0)," ")</f>
        <v xml:space="preserve"> </v>
      </c>
      <c r="S522" s="100" t="str">
        <f>IFERROR(Tablo518[[#This Row],[YOLLUK HARİÇ BASKI GRAMI]]/Tablo518[[#This Row],[KALIP GÖZ ADEDİ]]," ")</f>
        <v xml:space="preserve"> </v>
      </c>
      <c r="T522" s="100" t="str">
        <f t="shared" si="58"/>
        <v xml:space="preserve"> </v>
      </c>
      <c r="U522" s="100"/>
      <c r="V522" s="100" t="str">
        <f t="shared" si="57"/>
        <v xml:space="preserve"> </v>
      </c>
      <c r="W522" s="101">
        <f t="shared" si="59"/>
        <v>24</v>
      </c>
      <c r="X522" s="102">
        <f t="shared" si="60"/>
        <v>0</v>
      </c>
      <c r="Y522" s="100" t="str">
        <f t="shared" si="61"/>
        <v xml:space="preserve"> </v>
      </c>
      <c r="Z522" s="100" t="str">
        <f t="shared" si="62"/>
        <v xml:space="preserve"> </v>
      </c>
    </row>
    <row r="523" spans="1:26">
      <c r="A523" s="108"/>
      <c r="B523" s="108" t="str">
        <f>IFERROR(VLOOKUP(Tablo518[[#This Row],[ÜRÜN KODU]],YMKODLARI!$A$1:$K$363,2,0)," ")</f>
        <v xml:space="preserve"> </v>
      </c>
      <c r="C523" s="99"/>
      <c r="D523" s="100"/>
      <c r="E523" s="101"/>
      <c r="F523" s="101"/>
      <c r="G523" s="100" t="str">
        <f>IFERROR(VLOOKUP(Tablo518[[#This Row],[ÜRÜN KODU]],YMKODLARI!$A$1:$K$363,3,0)," ")</f>
        <v xml:space="preserve"> </v>
      </c>
      <c r="H523" s="100" t="str">
        <f>IFERROR(VLOOKUP(Tablo518[[#This Row],[ÜRÜN KODU]],YMKODLARI!$A$1:$K$363,4,0)," ")</f>
        <v xml:space="preserve"> </v>
      </c>
      <c r="I523" s="100"/>
      <c r="J523" s="100" t="str">
        <f>IFERROR(VLOOKUP(Tablo518[[#This Row],[ÜRÜN KODU]],YMKODLARI!$A$1:$K$363,9,0)," ")</f>
        <v xml:space="preserve"> </v>
      </c>
      <c r="K523" s="100" t="str">
        <f>IFERROR(VLOOKUP(Tablo518[[#This Row],[BOYA KODU]],Tablo14[#All],4,0)," ")</f>
        <v xml:space="preserve"> </v>
      </c>
      <c r="L523" s="100" t="str">
        <f>IFERROR(VLOOKUP(Tablo518[[#This Row],[BOYA KODU]],Tablo14[#All],6,0)," ")</f>
        <v xml:space="preserve"> </v>
      </c>
      <c r="M523" s="100" t="str">
        <f t="shared" si="56"/>
        <v xml:space="preserve"> </v>
      </c>
      <c r="N523" s="100" t="str">
        <f>IFERROR(VLOOKUP(Tablo518[[#This Row],[ÜRÜN KODU]],YMKODLARI!$A$1:$K$363,8,0)," ")</f>
        <v xml:space="preserve"> </v>
      </c>
      <c r="O523" s="100" t="str">
        <f>IFERROR(VLOOKUP(Tablo518[[#This Row],[HAMMADDE KODU]],Tablo1[#All],3,0)," ")</f>
        <v xml:space="preserve"> </v>
      </c>
      <c r="P523" s="100" t="str">
        <f>IFERROR(VLOOKUP(Tablo518[[#This Row],[HAMMADDE KODU]],Tablo1[#All],4,0)," ")</f>
        <v xml:space="preserve"> </v>
      </c>
      <c r="Q523" s="100" t="str">
        <f>IFERROR(VLOOKUP(Tablo518[[#This Row],[ÜRÜN KODU]],YMKODLARI!$A$1:$K$363,5,0)," ")</f>
        <v xml:space="preserve"> </v>
      </c>
      <c r="R523" s="100" t="str">
        <f>IFERROR(VLOOKUP(Tablo518[[#This Row],[ÜRÜN KODU]],YMKODLARI!$A$1:$K$363,6,0)," ")</f>
        <v xml:space="preserve"> </v>
      </c>
      <c r="S523" s="100" t="str">
        <f>IFERROR(Tablo518[[#This Row],[YOLLUK HARİÇ BASKI GRAMI]]/Tablo518[[#This Row],[KALIP GÖZ ADEDİ]]," ")</f>
        <v xml:space="preserve"> </v>
      </c>
      <c r="T523" s="100" t="str">
        <f t="shared" si="58"/>
        <v xml:space="preserve"> </v>
      </c>
      <c r="U523" s="100"/>
      <c r="V523" s="100" t="str">
        <f t="shared" si="57"/>
        <v xml:space="preserve"> </v>
      </c>
      <c r="W523" s="101">
        <f t="shared" si="59"/>
        <v>24</v>
      </c>
      <c r="X523" s="102">
        <f t="shared" si="60"/>
        <v>0</v>
      </c>
      <c r="Y523" s="100" t="str">
        <f t="shared" si="61"/>
        <v xml:space="preserve"> </v>
      </c>
      <c r="Z523" s="100" t="str">
        <f t="shared" si="62"/>
        <v xml:space="preserve"> </v>
      </c>
    </row>
    <row r="524" spans="1:26">
      <c r="A524" s="108"/>
      <c r="B524" s="108" t="str">
        <f>IFERROR(VLOOKUP(Tablo518[[#This Row],[ÜRÜN KODU]],YMKODLARI!$A$1:$K$363,2,0)," ")</f>
        <v xml:space="preserve"> </v>
      </c>
      <c r="C524" s="99"/>
      <c r="D524" s="100"/>
      <c r="E524" s="101"/>
      <c r="F524" s="101"/>
      <c r="G524" s="100" t="str">
        <f>IFERROR(VLOOKUP(Tablo518[[#This Row],[ÜRÜN KODU]],YMKODLARI!$A$1:$K$363,3,0)," ")</f>
        <v xml:space="preserve"> </v>
      </c>
      <c r="H524" s="100" t="str">
        <f>IFERROR(VLOOKUP(Tablo518[[#This Row],[ÜRÜN KODU]],YMKODLARI!$A$1:$K$363,4,0)," ")</f>
        <v xml:space="preserve"> </v>
      </c>
      <c r="I524" s="100"/>
      <c r="J524" s="100" t="str">
        <f>IFERROR(VLOOKUP(Tablo518[[#This Row],[ÜRÜN KODU]],YMKODLARI!$A$1:$K$363,9,0)," ")</f>
        <v xml:space="preserve"> </v>
      </c>
      <c r="K524" s="100" t="str">
        <f>IFERROR(VLOOKUP(Tablo518[[#This Row],[BOYA KODU]],Tablo14[#All],4,0)," ")</f>
        <v xml:space="preserve"> </v>
      </c>
      <c r="L524" s="100" t="str">
        <f>IFERROR(VLOOKUP(Tablo518[[#This Row],[BOYA KODU]],Tablo14[#All],6,0)," ")</f>
        <v xml:space="preserve"> </v>
      </c>
      <c r="M524" s="100" t="str">
        <f t="shared" si="56"/>
        <v xml:space="preserve"> </v>
      </c>
      <c r="N524" s="100" t="str">
        <f>IFERROR(VLOOKUP(Tablo518[[#This Row],[ÜRÜN KODU]],YMKODLARI!$A$1:$K$363,8,0)," ")</f>
        <v xml:space="preserve"> </v>
      </c>
      <c r="O524" s="100" t="str">
        <f>IFERROR(VLOOKUP(Tablo518[[#This Row],[HAMMADDE KODU]],Tablo1[#All],3,0)," ")</f>
        <v xml:space="preserve"> </v>
      </c>
      <c r="P524" s="100" t="str">
        <f>IFERROR(VLOOKUP(Tablo518[[#This Row],[HAMMADDE KODU]],Tablo1[#All],4,0)," ")</f>
        <v xml:space="preserve"> </v>
      </c>
      <c r="Q524" s="100" t="str">
        <f>IFERROR(VLOOKUP(Tablo518[[#This Row],[ÜRÜN KODU]],YMKODLARI!$A$1:$K$363,5,0)," ")</f>
        <v xml:space="preserve"> </v>
      </c>
      <c r="R524" s="100" t="str">
        <f>IFERROR(VLOOKUP(Tablo518[[#This Row],[ÜRÜN KODU]],YMKODLARI!$A$1:$K$363,6,0)," ")</f>
        <v xml:space="preserve"> </v>
      </c>
      <c r="S524" s="100" t="str">
        <f>IFERROR(Tablo518[[#This Row],[YOLLUK HARİÇ BASKI GRAMI]]/Tablo518[[#This Row],[KALIP GÖZ ADEDİ]]," ")</f>
        <v xml:space="preserve"> </v>
      </c>
      <c r="T524" s="100" t="str">
        <f t="shared" si="58"/>
        <v xml:space="preserve"> </v>
      </c>
      <c r="U524" s="100"/>
      <c r="V524" s="100" t="str">
        <f t="shared" si="57"/>
        <v xml:space="preserve"> </v>
      </c>
      <c r="W524" s="101">
        <f t="shared" si="59"/>
        <v>24</v>
      </c>
      <c r="X524" s="102">
        <f t="shared" si="60"/>
        <v>0</v>
      </c>
      <c r="Y524" s="100" t="str">
        <f t="shared" si="61"/>
        <v xml:space="preserve"> </v>
      </c>
      <c r="Z524" s="100" t="str">
        <f t="shared" si="62"/>
        <v xml:space="preserve"> </v>
      </c>
    </row>
    <row r="525" spans="1:26">
      <c r="A525" s="108"/>
      <c r="B525" s="108" t="str">
        <f>IFERROR(VLOOKUP(Tablo518[[#This Row],[ÜRÜN KODU]],YMKODLARI!$A$1:$K$363,2,0)," ")</f>
        <v xml:space="preserve"> </v>
      </c>
      <c r="C525" s="99"/>
      <c r="D525" s="100"/>
      <c r="E525" s="101"/>
      <c r="F525" s="101"/>
      <c r="G525" s="100" t="str">
        <f>IFERROR(VLOOKUP(Tablo518[[#This Row],[ÜRÜN KODU]],YMKODLARI!$A$1:$K$363,3,0)," ")</f>
        <v xml:space="preserve"> </v>
      </c>
      <c r="H525" s="100" t="str">
        <f>IFERROR(VLOOKUP(Tablo518[[#This Row],[ÜRÜN KODU]],YMKODLARI!$A$1:$K$363,4,0)," ")</f>
        <v xml:space="preserve"> </v>
      </c>
      <c r="I525" s="100"/>
      <c r="J525" s="100" t="str">
        <f>IFERROR(VLOOKUP(Tablo518[[#This Row],[ÜRÜN KODU]],YMKODLARI!$A$1:$K$363,9,0)," ")</f>
        <v xml:space="preserve"> </v>
      </c>
      <c r="K525" s="100" t="str">
        <f>IFERROR(VLOOKUP(Tablo518[[#This Row],[BOYA KODU]],Tablo14[#All],4,0)," ")</f>
        <v xml:space="preserve"> </v>
      </c>
      <c r="L525" s="100" t="str">
        <f>IFERROR(VLOOKUP(Tablo518[[#This Row],[BOYA KODU]],Tablo14[#All],6,0)," ")</f>
        <v xml:space="preserve"> </v>
      </c>
      <c r="M525" s="100" t="str">
        <f t="shared" si="56"/>
        <v xml:space="preserve"> </v>
      </c>
      <c r="N525" s="100" t="str">
        <f>IFERROR(VLOOKUP(Tablo518[[#This Row],[ÜRÜN KODU]],YMKODLARI!$A$1:$K$363,8,0)," ")</f>
        <v xml:space="preserve"> </v>
      </c>
      <c r="O525" s="100" t="str">
        <f>IFERROR(VLOOKUP(Tablo518[[#This Row],[HAMMADDE KODU]],Tablo1[#All],3,0)," ")</f>
        <v xml:space="preserve"> </v>
      </c>
      <c r="P525" s="100" t="str">
        <f>IFERROR(VLOOKUP(Tablo518[[#This Row],[HAMMADDE KODU]],Tablo1[#All],4,0)," ")</f>
        <v xml:space="preserve"> </v>
      </c>
      <c r="Q525" s="100" t="str">
        <f>IFERROR(VLOOKUP(Tablo518[[#This Row],[ÜRÜN KODU]],YMKODLARI!$A$1:$K$363,5,0)," ")</f>
        <v xml:space="preserve"> </v>
      </c>
      <c r="R525" s="100" t="str">
        <f>IFERROR(VLOOKUP(Tablo518[[#This Row],[ÜRÜN KODU]],YMKODLARI!$A$1:$K$363,6,0)," ")</f>
        <v xml:space="preserve"> </v>
      </c>
      <c r="S525" s="100" t="str">
        <f>IFERROR(Tablo518[[#This Row],[YOLLUK HARİÇ BASKI GRAMI]]/Tablo518[[#This Row],[KALIP GÖZ ADEDİ]]," ")</f>
        <v xml:space="preserve"> </v>
      </c>
      <c r="T525" s="100" t="str">
        <f t="shared" si="58"/>
        <v xml:space="preserve"> </v>
      </c>
      <c r="U525" s="100"/>
      <c r="V525" s="100" t="str">
        <f t="shared" si="57"/>
        <v xml:space="preserve"> </v>
      </c>
      <c r="W525" s="101">
        <f t="shared" si="59"/>
        <v>24</v>
      </c>
      <c r="X525" s="102">
        <f t="shared" si="60"/>
        <v>0</v>
      </c>
      <c r="Y525" s="100" t="str">
        <f t="shared" si="61"/>
        <v xml:space="preserve"> </v>
      </c>
      <c r="Z525" s="100" t="str">
        <f t="shared" si="62"/>
        <v xml:space="preserve"> </v>
      </c>
    </row>
    <row r="526" spans="1:26">
      <c r="A526" s="108"/>
      <c r="B526" s="108" t="str">
        <f>IFERROR(VLOOKUP(Tablo518[[#This Row],[ÜRÜN KODU]],YMKODLARI!$A$1:$K$363,2,0)," ")</f>
        <v xml:space="preserve"> </v>
      </c>
      <c r="C526" s="99"/>
      <c r="D526" s="100"/>
      <c r="E526" s="101"/>
      <c r="F526" s="101"/>
      <c r="G526" s="100" t="str">
        <f>IFERROR(VLOOKUP(Tablo518[[#This Row],[ÜRÜN KODU]],YMKODLARI!$A$1:$K$363,3,0)," ")</f>
        <v xml:space="preserve"> </v>
      </c>
      <c r="H526" s="100" t="str">
        <f>IFERROR(VLOOKUP(Tablo518[[#This Row],[ÜRÜN KODU]],YMKODLARI!$A$1:$K$363,4,0)," ")</f>
        <v xml:space="preserve"> </v>
      </c>
      <c r="I526" s="100"/>
      <c r="J526" s="100" t="str">
        <f>IFERROR(VLOOKUP(Tablo518[[#This Row],[ÜRÜN KODU]],YMKODLARI!$A$1:$K$363,9,0)," ")</f>
        <v xml:space="preserve"> </v>
      </c>
      <c r="K526" s="100" t="str">
        <f>IFERROR(VLOOKUP(Tablo518[[#This Row],[BOYA KODU]],Tablo14[#All],4,0)," ")</f>
        <v xml:space="preserve"> </v>
      </c>
      <c r="L526" s="100" t="str">
        <f>IFERROR(VLOOKUP(Tablo518[[#This Row],[BOYA KODU]],Tablo14[#All],6,0)," ")</f>
        <v xml:space="preserve"> </v>
      </c>
      <c r="M526" s="100" t="str">
        <f t="shared" si="56"/>
        <v xml:space="preserve"> </v>
      </c>
      <c r="N526" s="100" t="str">
        <f>IFERROR(VLOOKUP(Tablo518[[#This Row],[ÜRÜN KODU]],YMKODLARI!$A$1:$K$363,8,0)," ")</f>
        <v xml:space="preserve"> </v>
      </c>
      <c r="O526" s="100" t="str">
        <f>IFERROR(VLOOKUP(Tablo518[[#This Row],[HAMMADDE KODU]],Tablo1[#All],3,0)," ")</f>
        <v xml:space="preserve"> </v>
      </c>
      <c r="P526" s="100" t="str">
        <f>IFERROR(VLOOKUP(Tablo518[[#This Row],[HAMMADDE KODU]],Tablo1[#All],4,0)," ")</f>
        <v xml:space="preserve"> </v>
      </c>
      <c r="Q526" s="100" t="str">
        <f>IFERROR(VLOOKUP(Tablo518[[#This Row],[ÜRÜN KODU]],YMKODLARI!$A$1:$K$363,5,0)," ")</f>
        <v xml:space="preserve"> </v>
      </c>
      <c r="R526" s="100" t="str">
        <f>IFERROR(VLOOKUP(Tablo518[[#This Row],[ÜRÜN KODU]],YMKODLARI!$A$1:$K$363,6,0)," ")</f>
        <v xml:space="preserve"> </v>
      </c>
      <c r="S526" s="100" t="str">
        <f>IFERROR(Tablo518[[#This Row],[YOLLUK HARİÇ BASKI GRAMI]]/Tablo518[[#This Row],[KALIP GÖZ ADEDİ]]," ")</f>
        <v xml:space="preserve"> </v>
      </c>
      <c r="T526" s="100" t="str">
        <f t="shared" si="58"/>
        <v xml:space="preserve"> </v>
      </c>
      <c r="U526" s="100"/>
      <c r="V526" s="100" t="str">
        <f t="shared" si="57"/>
        <v xml:space="preserve"> </v>
      </c>
      <c r="W526" s="101">
        <f t="shared" si="59"/>
        <v>24</v>
      </c>
      <c r="X526" s="102">
        <f t="shared" si="60"/>
        <v>0</v>
      </c>
      <c r="Y526" s="100" t="str">
        <f t="shared" si="61"/>
        <v xml:space="preserve"> </v>
      </c>
      <c r="Z526" s="100" t="str">
        <f t="shared" si="62"/>
        <v xml:space="preserve"> </v>
      </c>
    </row>
    <row r="527" spans="1:26">
      <c r="A527" s="108"/>
      <c r="B527" s="108" t="str">
        <f>IFERROR(VLOOKUP(Tablo518[[#This Row],[ÜRÜN KODU]],YMKODLARI!$A$1:$K$363,2,0)," ")</f>
        <v xml:space="preserve"> </v>
      </c>
      <c r="C527" s="99"/>
      <c r="D527" s="100"/>
      <c r="E527" s="101"/>
      <c r="F527" s="101"/>
      <c r="G527" s="100" t="str">
        <f>IFERROR(VLOOKUP(Tablo518[[#This Row],[ÜRÜN KODU]],YMKODLARI!$A$1:$K$363,3,0)," ")</f>
        <v xml:space="preserve"> </v>
      </c>
      <c r="H527" s="100" t="str">
        <f>IFERROR(VLOOKUP(Tablo518[[#This Row],[ÜRÜN KODU]],YMKODLARI!$A$1:$K$363,4,0)," ")</f>
        <v xml:space="preserve"> </v>
      </c>
      <c r="I527" s="100"/>
      <c r="J527" s="100" t="str">
        <f>IFERROR(VLOOKUP(Tablo518[[#This Row],[ÜRÜN KODU]],YMKODLARI!$A$1:$K$363,9,0)," ")</f>
        <v xml:space="preserve"> </v>
      </c>
      <c r="K527" s="100" t="str">
        <f>IFERROR(VLOOKUP(Tablo518[[#This Row],[BOYA KODU]],Tablo14[#All],4,0)," ")</f>
        <v xml:space="preserve"> </v>
      </c>
      <c r="L527" s="100" t="str">
        <f>IFERROR(VLOOKUP(Tablo518[[#This Row],[BOYA KODU]],Tablo14[#All],6,0)," ")</f>
        <v xml:space="preserve"> </v>
      </c>
      <c r="M527" s="100" t="str">
        <f t="shared" si="56"/>
        <v xml:space="preserve"> </v>
      </c>
      <c r="N527" s="100" t="str">
        <f>IFERROR(VLOOKUP(Tablo518[[#This Row],[ÜRÜN KODU]],YMKODLARI!$A$1:$K$363,8,0)," ")</f>
        <v xml:space="preserve"> </v>
      </c>
      <c r="O527" s="100" t="str">
        <f>IFERROR(VLOOKUP(Tablo518[[#This Row],[HAMMADDE KODU]],Tablo1[#All],3,0)," ")</f>
        <v xml:space="preserve"> </v>
      </c>
      <c r="P527" s="100" t="str">
        <f>IFERROR(VLOOKUP(Tablo518[[#This Row],[HAMMADDE KODU]],Tablo1[#All],4,0)," ")</f>
        <v xml:space="preserve"> </v>
      </c>
      <c r="Q527" s="100" t="str">
        <f>IFERROR(VLOOKUP(Tablo518[[#This Row],[ÜRÜN KODU]],YMKODLARI!$A$1:$K$363,5,0)," ")</f>
        <v xml:space="preserve"> </v>
      </c>
      <c r="R527" s="100" t="str">
        <f>IFERROR(VLOOKUP(Tablo518[[#This Row],[ÜRÜN KODU]],YMKODLARI!$A$1:$K$363,6,0)," ")</f>
        <v xml:space="preserve"> </v>
      </c>
      <c r="S527" s="100" t="str">
        <f>IFERROR(Tablo518[[#This Row],[YOLLUK HARİÇ BASKI GRAMI]]/Tablo518[[#This Row],[KALIP GÖZ ADEDİ]]," ")</f>
        <v xml:space="preserve"> </v>
      </c>
      <c r="T527" s="100" t="str">
        <f t="shared" si="58"/>
        <v xml:space="preserve"> </v>
      </c>
      <c r="U527" s="100"/>
      <c r="V527" s="100" t="str">
        <f t="shared" si="57"/>
        <v xml:space="preserve"> </v>
      </c>
      <c r="W527" s="101">
        <f t="shared" si="59"/>
        <v>24</v>
      </c>
      <c r="X527" s="102">
        <f t="shared" si="60"/>
        <v>0</v>
      </c>
      <c r="Y527" s="100" t="str">
        <f t="shared" si="61"/>
        <v xml:space="preserve"> </v>
      </c>
      <c r="Z527" s="100" t="str">
        <f t="shared" si="62"/>
        <v xml:space="preserve"> </v>
      </c>
    </row>
    <row r="528" spans="1:26">
      <c r="A528" s="108"/>
      <c r="B528" s="108" t="str">
        <f>IFERROR(VLOOKUP(Tablo518[[#This Row],[ÜRÜN KODU]],YMKODLARI!$A$1:$K$363,2,0)," ")</f>
        <v xml:space="preserve"> </v>
      </c>
      <c r="C528" s="99"/>
      <c r="D528" s="100"/>
      <c r="E528" s="101"/>
      <c r="F528" s="101"/>
      <c r="G528" s="100" t="str">
        <f>IFERROR(VLOOKUP(Tablo518[[#This Row],[ÜRÜN KODU]],YMKODLARI!$A$1:$K$363,3,0)," ")</f>
        <v xml:space="preserve"> </v>
      </c>
      <c r="H528" s="100" t="str">
        <f>IFERROR(VLOOKUP(Tablo518[[#This Row],[ÜRÜN KODU]],YMKODLARI!$A$1:$K$363,4,0)," ")</f>
        <v xml:space="preserve"> </v>
      </c>
      <c r="I528" s="100"/>
      <c r="J528" s="100" t="str">
        <f>IFERROR(VLOOKUP(Tablo518[[#This Row],[ÜRÜN KODU]],YMKODLARI!$A$1:$K$363,9,0)," ")</f>
        <v xml:space="preserve"> </v>
      </c>
      <c r="K528" s="100" t="str">
        <f>IFERROR(VLOOKUP(Tablo518[[#This Row],[BOYA KODU]],Tablo14[#All],4,0)," ")</f>
        <v xml:space="preserve"> </v>
      </c>
      <c r="L528" s="100" t="str">
        <f>IFERROR(VLOOKUP(Tablo518[[#This Row],[BOYA KODU]],Tablo14[#All],6,0)," ")</f>
        <v xml:space="preserve"> </v>
      </c>
      <c r="M528" s="100" t="str">
        <f t="shared" si="56"/>
        <v xml:space="preserve"> </v>
      </c>
      <c r="N528" s="100" t="str">
        <f>IFERROR(VLOOKUP(Tablo518[[#This Row],[ÜRÜN KODU]],YMKODLARI!$A$1:$K$363,8,0)," ")</f>
        <v xml:space="preserve"> </v>
      </c>
      <c r="O528" s="100" t="str">
        <f>IFERROR(VLOOKUP(Tablo518[[#This Row],[HAMMADDE KODU]],Tablo1[#All],3,0)," ")</f>
        <v xml:space="preserve"> </v>
      </c>
      <c r="P528" s="100" t="str">
        <f>IFERROR(VLOOKUP(Tablo518[[#This Row],[HAMMADDE KODU]],Tablo1[#All],4,0)," ")</f>
        <v xml:space="preserve"> </v>
      </c>
      <c r="Q528" s="100" t="str">
        <f>IFERROR(VLOOKUP(Tablo518[[#This Row],[ÜRÜN KODU]],YMKODLARI!$A$1:$K$363,5,0)," ")</f>
        <v xml:space="preserve"> </v>
      </c>
      <c r="R528" s="100" t="str">
        <f>IFERROR(VLOOKUP(Tablo518[[#This Row],[ÜRÜN KODU]],YMKODLARI!$A$1:$K$363,6,0)," ")</f>
        <v xml:space="preserve"> </v>
      </c>
      <c r="S528" s="100" t="str">
        <f>IFERROR(Tablo518[[#This Row],[YOLLUK HARİÇ BASKI GRAMI]]/Tablo518[[#This Row],[KALIP GÖZ ADEDİ]]," ")</f>
        <v xml:space="preserve"> </v>
      </c>
      <c r="T528" s="100" t="str">
        <f t="shared" si="58"/>
        <v xml:space="preserve"> </v>
      </c>
      <c r="U528" s="100"/>
      <c r="V528" s="100" t="str">
        <f t="shared" si="57"/>
        <v xml:space="preserve"> </v>
      </c>
      <c r="W528" s="101">
        <f t="shared" si="59"/>
        <v>24</v>
      </c>
      <c r="X528" s="102">
        <f t="shared" si="60"/>
        <v>0</v>
      </c>
      <c r="Y528" s="100" t="str">
        <f t="shared" si="61"/>
        <v xml:space="preserve"> </v>
      </c>
      <c r="Z528" s="100" t="str">
        <f t="shared" si="62"/>
        <v xml:space="preserve"> </v>
      </c>
    </row>
    <row r="529" spans="1:26">
      <c r="A529" s="108"/>
      <c r="B529" s="108" t="str">
        <f>IFERROR(VLOOKUP(Tablo518[[#This Row],[ÜRÜN KODU]],YMKODLARI!$A$1:$K$363,2,0)," ")</f>
        <v xml:space="preserve"> </v>
      </c>
      <c r="C529" s="99"/>
      <c r="D529" s="100"/>
      <c r="E529" s="101"/>
      <c r="F529" s="101"/>
      <c r="G529" s="100" t="str">
        <f>IFERROR(VLOOKUP(Tablo518[[#This Row],[ÜRÜN KODU]],YMKODLARI!$A$1:$K$363,3,0)," ")</f>
        <v xml:space="preserve"> </v>
      </c>
      <c r="H529" s="100" t="str">
        <f>IFERROR(VLOOKUP(Tablo518[[#This Row],[ÜRÜN KODU]],YMKODLARI!$A$1:$K$363,4,0)," ")</f>
        <v xml:space="preserve"> </v>
      </c>
      <c r="I529" s="100"/>
      <c r="J529" s="100" t="str">
        <f>IFERROR(VLOOKUP(Tablo518[[#This Row],[ÜRÜN KODU]],YMKODLARI!$A$1:$K$363,9,0)," ")</f>
        <v xml:space="preserve"> </v>
      </c>
      <c r="K529" s="100" t="str">
        <f>IFERROR(VLOOKUP(Tablo518[[#This Row],[BOYA KODU]],Tablo14[#All],4,0)," ")</f>
        <v xml:space="preserve"> </v>
      </c>
      <c r="L529" s="100" t="str">
        <f>IFERROR(VLOOKUP(Tablo518[[#This Row],[BOYA KODU]],Tablo14[#All],6,0)," ")</f>
        <v xml:space="preserve"> </v>
      </c>
      <c r="M529" s="100" t="str">
        <f t="shared" si="56"/>
        <v xml:space="preserve"> </v>
      </c>
      <c r="N529" s="100" t="str">
        <f>IFERROR(VLOOKUP(Tablo518[[#This Row],[ÜRÜN KODU]],YMKODLARI!$A$1:$K$363,8,0)," ")</f>
        <v xml:space="preserve"> </v>
      </c>
      <c r="O529" s="100" t="str">
        <f>IFERROR(VLOOKUP(Tablo518[[#This Row],[HAMMADDE KODU]],Tablo1[#All],3,0)," ")</f>
        <v xml:space="preserve"> </v>
      </c>
      <c r="P529" s="100" t="str">
        <f>IFERROR(VLOOKUP(Tablo518[[#This Row],[HAMMADDE KODU]],Tablo1[#All],4,0)," ")</f>
        <v xml:space="preserve"> </v>
      </c>
      <c r="Q529" s="100" t="str">
        <f>IFERROR(VLOOKUP(Tablo518[[#This Row],[ÜRÜN KODU]],YMKODLARI!$A$1:$K$363,5,0)," ")</f>
        <v xml:space="preserve"> </v>
      </c>
      <c r="R529" s="100" t="str">
        <f>IFERROR(VLOOKUP(Tablo518[[#This Row],[ÜRÜN KODU]],YMKODLARI!$A$1:$K$363,6,0)," ")</f>
        <v xml:space="preserve"> </v>
      </c>
      <c r="S529" s="100" t="str">
        <f>IFERROR(Tablo518[[#This Row],[YOLLUK HARİÇ BASKI GRAMI]]/Tablo518[[#This Row],[KALIP GÖZ ADEDİ]]," ")</f>
        <v xml:space="preserve"> </v>
      </c>
      <c r="T529" s="100" t="str">
        <f t="shared" si="58"/>
        <v xml:space="preserve"> </v>
      </c>
      <c r="U529" s="100"/>
      <c r="V529" s="100" t="str">
        <f t="shared" si="57"/>
        <v xml:space="preserve"> </v>
      </c>
      <c r="W529" s="101">
        <f t="shared" si="59"/>
        <v>24</v>
      </c>
      <c r="X529" s="102">
        <f t="shared" si="60"/>
        <v>0</v>
      </c>
      <c r="Y529" s="100" t="str">
        <f t="shared" si="61"/>
        <v xml:space="preserve"> </v>
      </c>
      <c r="Z529" s="100" t="str">
        <f t="shared" si="62"/>
        <v xml:space="preserve"> </v>
      </c>
    </row>
    <row r="530" spans="1:26">
      <c r="A530" s="108"/>
      <c r="B530" s="108" t="str">
        <f>IFERROR(VLOOKUP(Tablo518[[#This Row],[ÜRÜN KODU]],YMKODLARI!$A$1:$K$363,2,0)," ")</f>
        <v xml:space="preserve"> </v>
      </c>
      <c r="C530" s="99"/>
      <c r="D530" s="100"/>
      <c r="E530" s="101"/>
      <c r="F530" s="101"/>
      <c r="G530" s="100" t="str">
        <f>IFERROR(VLOOKUP(Tablo518[[#This Row],[ÜRÜN KODU]],YMKODLARI!$A$1:$K$363,3,0)," ")</f>
        <v xml:space="preserve"> </v>
      </c>
      <c r="H530" s="100" t="str">
        <f>IFERROR(VLOOKUP(Tablo518[[#This Row],[ÜRÜN KODU]],YMKODLARI!$A$1:$K$363,4,0)," ")</f>
        <v xml:space="preserve"> </v>
      </c>
      <c r="I530" s="100"/>
      <c r="J530" s="100" t="str">
        <f>IFERROR(VLOOKUP(Tablo518[[#This Row],[ÜRÜN KODU]],YMKODLARI!$A$1:$K$363,9,0)," ")</f>
        <v xml:space="preserve"> </v>
      </c>
      <c r="K530" s="100" t="str">
        <f>IFERROR(VLOOKUP(Tablo518[[#This Row],[BOYA KODU]],Tablo14[#All],4,0)," ")</f>
        <v xml:space="preserve"> </v>
      </c>
      <c r="L530" s="100" t="str">
        <f>IFERROR(VLOOKUP(Tablo518[[#This Row],[BOYA KODU]],Tablo14[#All],6,0)," ")</f>
        <v xml:space="preserve"> </v>
      </c>
      <c r="M530" s="100" t="str">
        <f t="shared" si="56"/>
        <v xml:space="preserve"> </v>
      </c>
      <c r="N530" s="100" t="str">
        <f>IFERROR(VLOOKUP(Tablo518[[#This Row],[ÜRÜN KODU]],YMKODLARI!$A$1:$K$363,8,0)," ")</f>
        <v xml:space="preserve"> </v>
      </c>
      <c r="O530" s="100" t="str">
        <f>IFERROR(VLOOKUP(Tablo518[[#This Row],[HAMMADDE KODU]],Tablo1[#All],3,0)," ")</f>
        <v xml:space="preserve"> </v>
      </c>
      <c r="P530" s="100" t="str">
        <f>IFERROR(VLOOKUP(Tablo518[[#This Row],[HAMMADDE KODU]],Tablo1[#All],4,0)," ")</f>
        <v xml:space="preserve"> </v>
      </c>
      <c r="Q530" s="100" t="str">
        <f>IFERROR(VLOOKUP(Tablo518[[#This Row],[ÜRÜN KODU]],YMKODLARI!$A$1:$K$363,5,0)," ")</f>
        <v xml:space="preserve"> </v>
      </c>
      <c r="R530" s="100" t="str">
        <f>IFERROR(VLOOKUP(Tablo518[[#This Row],[ÜRÜN KODU]],YMKODLARI!$A$1:$K$363,6,0)," ")</f>
        <v xml:space="preserve"> </v>
      </c>
      <c r="S530" s="100" t="str">
        <f>IFERROR(Tablo518[[#This Row],[YOLLUK HARİÇ BASKI GRAMI]]/Tablo518[[#This Row],[KALIP GÖZ ADEDİ]]," ")</f>
        <v xml:space="preserve"> </v>
      </c>
      <c r="T530" s="100" t="str">
        <f t="shared" si="58"/>
        <v xml:space="preserve"> </v>
      </c>
      <c r="U530" s="100"/>
      <c r="V530" s="100" t="str">
        <f t="shared" si="57"/>
        <v xml:space="preserve"> </v>
      </c>
      <c r="W530" s="101">
        <f t="shared" si="59"/>
        <v>24</v>
      </c>
      <c r="X530" s="102">
        <f t="shared" si="60"/>
        <v>0</v>
      </c>
      <c r="Y530" s="100" t="str">
        <f t="shared" si="61"/>
        <v xml:space="preserve"> </v>
      </c>
      <c r="Z530" s="100" t="str">
        <f t="shared" si="62"/>
        <v xml:space="preserve"> </v>
      </c>
    </row>
    <row r="531" spans="1:26">
      <c r="A531" s="108"/>
      <c r="B531" s="108" t="str">
        <f>IFERROR(VLOOKUP(Tablo518[[#This Row],[ÜRÜN KODU]],YMKODLARI!$A$1:$K$363,2,0)," ")</f>
        <v xml:space="preserve"> </v>
      </c>
      <c r="C531" s="99"/>
      <c r="D531" s="100"/>
      <c r="E531" s="101"/>
      <c r="F531" s="101"/>
      <c r="G531" s="100" t="str">
        <f>IFERROR(VLOOKUP(Tablo518[[#This Row],[ÜRÜN KODU]],YMKODLARI!$A$1:$K$363,3,0)," ")</f>
        <v xml:space="preserve"> </v>
      </c>
      <c r="H531" s="100" t="str">
        <f>IFERROR(VLOOKUP(Tablo518[[#This Row],[ÜRÜN KODU]],YMKODLARI!$A$1:$K$363,4,0)," ")</f>
        <v xml:space="preserve"> </v>
      </c>
      <c r="I531" s="100"/>
      <c r="J531" s="100" t="str">
        <f>IFERROR(VLOOKUP(Tablo518[[#This Row],[ÜRÜN KODU]],YMKODLARI!$A$1:$K$363,9,0)," ")</f>
        <v xml:space="preserve"> </v>
      </c>
      <c r="K531" s="100" t="str">
        <f>IFERROR(VLOOKUP(Tablo518[[#This Row],[BOYA KODU]],Tablo14[#All],4,0)," ")</f>
        <v xml:space="preserve"> </v>
      </c>
      <c r="L531" s="100" t="str">
        <f>IFERROR(VLOOKUP(Tablo518[[#This Row],[BOYA KODU]],Tablo14[#All],6,0)," ")</f>
        <v xml:space="preserve"> </v>
      </c>
      <c r="M531" s="100" t="str">
        <f t="shared" si="56"/>
        <v xml:space="preserve"> </v>
      </c>
      <c r="N531" s="100" t="str">
        <f>IFERROR(VLOOKUP(Tablo518[[#This Row],[ÜRÜN KODU]],YMKODLARI!$A$1:$K$363,8,0)," ")</f>
        <v xml:space="preserve"> </v>
      </c>
      <c r="O531" s="100" t="str">
        <f>IFERROR(VLOOKUP(Tablo518[[#This Row],[HAMMADDE KODU]],Tablo1[#All],3,0)," ")</f>
        <v xml:space="preserve"> </v>
      </c>
      <c r="P531" s="100" t="str">
        <f>IFERROR(VLOOKUP(Tablo518[[#This Row],[HAMMADDE KODU]],Tablo1[#All],4,0)," ")</f>
        <v xml:space="preserve"> </v>
      </c>
      <c r="Q531" s="100" t="str">
        <f>IFERROR(VLOOKUP(Tablo518[[#This Row],[ÜRÜN KODU]],YMKODLARI!$A$1:$K$363,5,0)," ")</f>
        <v xml:space="preserve"> </v>
      </c>
      <c r="R531" s="100" t="str">
        <f>IFERROR(VLOOKUP(Tablo518[[#This Row],[ÜRÜN KODU]],YMKODLARI!$A$1:$K$363,6,0)," ")</f>
        <v xml:space="preserve"> </v>
      </c>
      <c r="S531" s="100" t="str">
        <f>IFERROR(Tablo518[[#This Row],[YOLLUK HARİÇ BASKI GRAMI]]/Tablo518[[#This Row],[KALIP GÖZ ADEDİ]]," ")</f>
        <v xml:space="preserve"> </v>
      </c>
      <c r="T531" s="100" t="str">
        <f t="shared" si="58"/>
        <v xml:space="preserve"> </v>
      </c>
      <c r="U531" s="100"/>
      <c r="V531" s="100" t="str">
        <f t="shared" si="57"/>
        <v xml:space="preserve"> </v>
      </c>
      <c r="W531" s="101">
        <f t="shared" si="59"/>
        <v>24</v>
      </c>
      <c r="X531" s="102">
        <f t="shared" si="60"/>
        <v>0</v>
      </c>
      <c r="Y531" s="100" t="str">
        <f t="shared" si="61"/>
        <v xml:space="preserve"> </v>
      </c>
      <c r="Z531" s="100" t="str">
        <f t="shared" si="62"/>
        <v xml:space="preserve"> </v>
      </c>
    </row>
    <row r="532" spans="1:26">
      <c r="A532" s="108"/>
      <c r="B532" s="108" t="str">
        <f>IFERROR(VLOOKUP(Tablo518[[#This Row],[ÜRÜN KODU]],YMKODLARI!$A$1:$K$363,2,0)," ")</f>
        <v xml:space="preserve"> </v>
      </c>
      <c r="C532" s="99"/>
      <c r="D532" s="100"/>
      <c r="E532" s="101"/>
      <c r="F532" s="101"/>
      <c r="G532" s="100" t="str">
        <f>IFERROR(VLOOKUP(Tablo518[[#This Row],[ÜRÜN KODU]],YMKODLARI!$A$1:$K$363,3,0)," ")</f>
        <v xml:space="preserve"> </v>
      </c>
      <c r="H532" s="100" t="str">
        <f>IFERROR(VLOOKUP(Tablo518[[#This Row],[ÜRÜN KODU]],YMKODLARI!$A$1:$K$363,4,0)," ")</f>
        <v xml:space="preserve"> </v>
      </c>
      <c r="I532" s="100"/>
      <c r="J532" s="100" t="str">
        <f>IFERROR(VLOOKUP(Tablo518[[#This Row],[ÜRÜN KODU]],YMKODLARI!$A$1:$K$363,9,0)," ")</f>
        <v xml:space="preserve"> </v>
      </c>
      <c r="K532" s="100" t="str">
        <f>IFERROR(VLOOKUP(Tablo518[[#This Row],[BOYA KODU]],Tablo14[#All],4,0)," ")</f>
        <v xml:space="preserve"> </v>
      </c>
      <c r="L532" s="100" t="str">
        <f>IFERROR(VLOOKUP(Tablo518[[#This Row],[BOYA KODU]],Tablo14[#All],6,0)," ")</f>
        <v xml:space="preserve"> </v>
      </c>
      <c r="M532" s="100" t="str">
        <f t="shared" si="56"/>
        <v xml:space="preserve"> </v>
      </c>
      <c r="N532" s="100" t="str">
        <f>IFERROR(VLOOKUP(Tablo518[[#This Row],[ÜRÜN KODU]],YMKODLARI!$A$1:$K$363,8,0)," ")</f>
        <v xml:space="preserve"> </v>
      </c>
      <c r="O532" s="100" t="str">
        <f>IFERROR(VLOOKUP(Tablo518[[#This Row],[HAMMADDE KODU]],Tablo1[#All],3,0)," ")</f>
        <v xml:space="preserve"> </v>
      </c>
      <c r="P532" s="100" t="str">
        <f>IFERROR(VLOOKUP(Tablo518[[#This Row],[HAMMADDE KODU]],Tablo1[#All],4,0)," ")</f>
        <v xml:space="preserve"> </v>
      </c>
      <c r="Q532" s="100" t="str">
        <f>IFERROR(VLOOKUP(Tablo518[[#This Row],[ÜRÜN KODU]],YMKODLARI!$A$1:$K$363,5,0)," ")</f>
        <v xml:space="preserve"> </v>
      </c>
      <c r="R532" s="100" t="str">
        <f>IFERROR(VLOOKUP(Tablo518[[#This Row],[ÜRÜN KODU]],YMKODLARI!$A$1:$K$363,6,0)," ")</f>
        <v xml:space="preserve"> </v>
      </c>
      <c r="S532" s="100" t="str">
        <f>IFERROR(Tablo518[[#This Row],[YOLLUK HARİÇ BASKI GRAMI]]/Tablo518[[#This Row],[KALIP GÖZ ADEDİ]]," ")</f>
        <v xml:space="preserve"> </v>
      </c>
      <c r="T532" s="100" t="str">
        <f t="shared" si="58"/>
        <v xml:space="preserve"> </v>
      </c>
      <c r="U532" s="100"/>
      <c r="V532" s="100" t="str">
        <f t="shared" si="57"/>
        <v xml:space="preserve"> </v>
      </c>
      <c r="W532" s="101">
        <f t="shared" si="59"/>
        <v>24</v>
      </c>
      <c r="X532" s="102">
        <f t="shared" si="60"/>
        <v>0</v>
      </c>
      <c r="Y532" s="100" t="str">
        <f t="shared" si="61"/>
        <v xml:space="preserve"> </v>
      </c>
      <c r="Z532" s="100" t="str">
        <f t="shared" si="62"/>
        <v xml:space="preserve"> </v>
      </c>
    </row>
    <row r="533" spans="1:26">
      <c r="A533" s="108"/>
      <c r="B533" s="108" t="str">
        <f>IFERROR(VLOOKUP(Tablo518[[#This Row],[ÜRÜN KODU]],YMKODLARI!$A$1:$K$363,2,0)," ")</f>
        <v xml:space="preserve"> </v>
      </c>
      <c r="C533" s="99"/>
      <c r="D533" s="100"/>
      <c r="E533" s="101"/>
      <c r="F533" s="101"/>
      <c r="G533" s="100" t="str">
        <f>IFERROR(VLOOKUP(Tablo518[[#This Row],[ÜRÜN KODU]],YMKODLARI!$A$1:$K$363,3,0)," ")</f>
        <v xml:space="preserve"> </v>
      </c>
      <c r="H533" s="100" t="str">
        <f>IFERROR(VLOOKUP(Tablo518[[#This Row],[ÜRÜN KODU]],YMKODLARI!$A$1:$K$363,4,0)," ")</f>
        <v xml:space="preserve"> </v>
      </c>
      <c r="I533" s="100"/>
      <c r="J533" s="100" t="str">
        <f>IFERROR(VLOOKUP(Tablo518[[#This Row],[ÜRÜN KODU]],YMKODLARI!$A$1:$K$363,9,0)," ")</f>
        <v xml:space="preserve"> </v>
      </c>
      <c r="K533" s="100" t="str">
        <f>IFERROR(VLOOKUP(Tablo518[[#This Row],[BOYA KODU]],Tablo14[#All],4,0)," ")</f>
        <v xml:space="preserve"> </v>
      </c>
      <c r="L533" s="100" t="str">
        <f>IFERROR(VLOOKUP(Tablo518[[#This Row],[BOYA KODU]],Tablo14[#All],6,0)," ")</f>
        <v xml:space="preserve"> </v>
      </c>
      <c r="M533" s="100" t="str">
        <f t="shared" si="56"/>
        <v xml:space="preserve"> </v>
      </c>
      <c r="N533" s="100" t="str">
        <f>IFERROR(VLOOKUP(Tablo518[[#This Row],[ÜRÜN KODU]],YMKODLARI!$A$1:$K$363,8,0)," ")</f>
        <v xml:space="preserve"> </v>
      </c>
      <c r="O533" s="100" t="str">
        <f>IFERROR(VLOOKUP(Tablo518[[#This Row],[HAMMADDE KODU]],Tablo1[#All],3,0)," ")</f>
        <v xml:space="preserve"> </v>
      </c>
      <c r="P533" s="100" t="str">
        <f>IFERROR(VLOOKUP(Tablo518[[#This Row],[HAMMADDE KODU]],Tablo1[#All],4,0)," ")</f>
        <v xml:space="preserve"> </v>
      </c>
      <c r="Q533" s="100" t="str">
        <f>IFERROR(VLOOKUP(Tablo518[[#This Row],[ÜRÜN KODU]],YMKODLARI!$A$1:$K$363,5,0)," ")</f>
        <v xml:space="preserve"> </v>
      </c>
      <c r="R533" s="100" t="str">
        <f>IFERROR(VLOOKUP(Tablo518[[#This Row],[ÜRÜN KODU]],YMKODLARI!$A$1:$K$363,6,0)," ")</f>
        <v xml:space="preserve"> </v>
      </c>
      <c r="S533" s="100" t="str">
        <f>IFERROR(Tablo518[[#This Row],[YOLLUK HARİÇ BASKI GRAMI]]/Tablo518[[#This Row],[KALIP GÖZ ADEDİ]]," ")</f>
        <v xml:space="preserve"> </v>
      </c>
      <c r="T533" s="100" t="str">
        <f t="shared" si="58"/>
        <v xml:space="preserve"> </v>
      </c>
      <c r="U533" s="100"/>
      <c r="V533" s="100" t="str">
        <f t="shared" si="57"/>
        <v xml:space="preserve"> </v>
      </c>
      <c r="W533" s="101">
        <f t="shared" si="59"/>
        <v>24</v>
      </c>
      <c r="X533" s="102">
        <f t="shared" si="60"/>
        <v>0</v>
      </c>
      <c r="Y533" s="100" t="str">
        <f t="shared" si="61"/>
        <v xml:space="preserve"> </v>
      </c>
      <c r="Z533" s="100" t="str">
        <f t="shared" si="62"/>
        <v xml:space="preserve"> </v>
      </c>
    </row>
    <row r="534" spans="1:26">
      <c r="A534" s="108"/>
      <c r="B534" s="108" t="str">
        <f>IFERROR(VLOOKUP(Tablo518[[#This Row],[ÜRÜN KODU]],YMKODLARI!$A$1:$K$363,2,0)," ")</f>
        <v xml:space="preserve"> </v>
      </c>
      <c r="C534" s="99"/>
      <c r="D534" s="100"/>
      <c r="E534" s="101"/>
      <c r="F534" s="101"/>
      <c r="G534" s="100" t="str">
        <f>IFERROR(VLOOKUP(Tablo518[[#This Row],[ÜRÜN KODU]],YMKODLARI!$A$1:$K$363,3,0)," ")</f>
        <v xml:space="preserve"> </v>
      </c>
      <c r="H534" s="100" t="str">
        <f>IFERROR(VLOOKUP(Tablo518[[#This Row],[ÜRÜN KODU]],YMKODLARI!$A$1:$K$363,4,0)," ")</f>
        <v xml:space="preserve"> </v>
      </c>
      <c r="I534" s="100"/>
      <c r="J534" s="100" t="str">
        <f>IFERROR(VLOOKUP(Tablo518[[#This Row],[ÜRÜN KODU]],YMKODLARI!$A$1:$K$363,9,0)," ")</f>
        <v xml:space="preserve"> </v>
      </c>
      <c r="K534" s="100" t="str">
        <f>IFERROR(VLOOKUP(Tablo518[[#This Row],[BOYA KODU]],Tablo14[#All],4,0)," ")</f>
        <v xml:space="preserve"> </v>
      </c>
      <c r="L534" s="100" t="str">
        <f>IFERROR(VLOOKUP(Tablo518[[#This Row],[BOYA KODU]],Tablo14[#All],6,0)," ")</f>
        <v xml:space="preserve"> </v>
      </c>
      <c r="M534" s="100" t="str">
        <f t="shared" si="56"/>
        <v xml:space="preserve"> </v>
      </c>
      <c r="N534" s="100" t="str">
        <f>IFERROR(VLOOKUP(Tablo518[[#This Row],[ÜRÜN KODU]],YMKODLARI!$A$1:$K$363,8,0)," ")</f>
        <v xml:space="preserve"> </v>
      </c>
      <c r="O534" s="100" t="str">
        <f>IFERROR(VLOOKUP(Tablo518[[#This Row],[HAMMADDE KODU]],Tablo1[#All],3,0)," ")</f>
        <v xml:space="preserve"> </v>
      </c>
      <c r="P534" s="100" t="str">
        <f>IFERROR(VLOOKUP(Tablo518[[#This Row],[HAMMADDE KODU]],Tablo1[#All],4,0)," ")</f>
        <v xml:space="preserve"> </v>
      </c>
      <c r="Q534" s="100" t="str">
        <f>IFERROR(VLOOKUP(Tablo518[[#This Row],[ÜRÜN KODU]],YMKODLARI!$A$1:$K$363,5,0)," ")</f>
        <v xml:space="preserve"> </v>
      </c>
      <c r="R534" s="100" t="str">
        <f>IFERROR(VLOOKUP(Tablo518[[#This Row],[ÜRÜN KODU]],YMKODLARI!$A$1:$K$363,6,0)," ")</f>
        <v xml:space="preserve"> </v>
      </c>
      <c r="S534" s="100" t="str">
        <f>IFERROR(Tablo518[[#This Row],[YOLLUK HARİÇ BASKI GRAMI]]/Tablo518[[#This Row],[KALIP GÖZ ADEDİ]]," ")</f>
        <v xml:space="preserve"> </v>
      </c>
      <c r="T534" s="100" t="str">
        <f t="shared" si="58"/>
        <v xml:space="preserve"> </v>
      </c>
      <c r="U534" s="100"/>
      <c r="V534" s="100" t="str">
        <f t="shared" si="57"/>
        <v xml:space="preserve"> </v>
      </c>
      <c r="W534" s="101">
        <f t="shared" si="59"/>
        <v>24</v>
      </c>
      <c r="X534" s="102">
        <f t="shared" si="60"/>
        <v>0</v>
      </c>
      <c r="Y534" s="100" t="str">
        <f t="shared" si="61"/>
        <v xml:space="preserve"> </v>
      </c>
      <c r="Z534" s="100" t="str">
        <f t="shared" si="62"/>
        <v xml:space="preserve"> </v>
      </c>
    </row>
    <row r="535" spans="1:26">
      <c r="A535" s="108"/>
      <c r="B535" s="108" t="str">
        <f>IFERROR(VLOOKUP(Tablo518[[#This Row],[ÜRÜN KODU]],YMKODLARI!$A$1:$K$363,2,0)," ")</f>
        <v xml:space="preserve"> </v>
      </c>
      <c r="C535" s="99"/>
      <c r="D535" s="100"/>
      <c r="E535" s="101"/>
      <c r="F535" s="101"/>
      <c r="G535" s="100" t="str">
        <f>IFERROR(VLOOKUP(Tablo518[[#This Row],[ÜRÜN KODU]],YMKODLARI!$A$1:$K$363,3,0)," ")</f>
        <v xml:space="preserve"> </v>
      </c>
      <c r="H535" s="100" t="str">
        <f>IFERROR(VLOOKUP(Tablo518[[#This Row],[ÜRÜN KODU]],YMKODLARI!$A$1:$K$363,4,0)," ")</f>
        <v xml:space="preserve"> </v>
      </c>
      <c r="I535" s="100"/>
      <c r="J535" s="100" t="str">
        <f>IFERROR(VLOOKUP(Tablo518[[#This Row],[ÜRÜN KODU]],YMKODLARI!$A$1:$K$363,9,0)," ")</f>
        <v xml:space="preserve"> </v>
      </c>
      <c r="K535" s="100" t="str">
        <f>IFERROR(VLOOKUP(Tablo518[[#This Row],[BOYA KODU]],Tablo14[#All],4,0)," ")</f>
        <v xml:space="preserve"> </v>
      </c>
      <c r="L535" s="100" t="str">
        <f>IFERROR(VLOOKUP(Tablo518[[#This Row],[BOYA KODU]],Tablo14[#All],6,0)," ")</f>
        <v xml:space="preserve"> </v>
      </c>
      <c r="M535" s="100" t="str">
        <f t="shared" si="56"/>
        <v xml:space="preserve"> </v>
      </c>
      <c r="N535" s="100" t="str">
        <f>IFERROR(VLOOKUP(Tablo518[[#This Row],[ÜRÜN KODU]],YMKODLARI!$A$1:$K$363,8,0)," ")</f>
        <v xml:space="preserve"> </v>
      </c>
      <c r="O535" s="100" t="str">
        <f>IFERROR(VLOOKUP(Tablo518[[#This Row],[HAMMADDE KODU]],Tablo1[#All],3,0)," ")</f>
        <v xml:space="preserve"> </v>
      </c>
      <c r="P535" s="100" t="str">
        <f>IFERROR(VLOOKUP(Tablo518[[#This Row],[HAMMADDE KODU]],Tablo1[#All],4,0)," ")</f>
        <v xml:space="preserve"> </v>
      </c>
      <c r="Q535" s="100" t="str">
        <f>IFERROR(VLOOKUP(Tablo518[[#This Row],[ÜRÜN KODU]],YMKODLARI!$A$1:$K$363,5,0)," ")</f>
        <v xml:space="preserve"> </v>
      </c>
      <c r="R535" s="100" t="str">
        <f>IFERROR(VLOOKUP(Tablo518[[#This Row],[ÜRÜN KODU]],YMKODLARI!$A$1:$K$363,6,0)," ")</f>
        <v xml:space="preserve"> </v>
      </c>
      <c r="S535" s="100" t="str">
        <f>IFERROR(Tablo518[[#This Row],[YOLLUK HARİÇ BASKI GRAMI]]/Tablo518[[#This Row],[KALIP GÖZ ADEDİ]]," ")</f>
        <v xml:space="preserve"> </v>
      </c>
      <c r="T535" s="100" t="str">
        <f t="shared" si="58"/>
        <v xml:space="preserve"> </v>
      </c>
      <c r="U535" s="100"/>
      <c r="V535" s="100" t="str">
        <f t="shared" si="57"/>
        <v xml:space="preserve"> </v>
      </c>
      <c r="W535" s="101">
        <f t="shared" si="59"/>
        <v>24</v>
      </c>
      <c r="X535" s="102">
        <f t="shared" si="60"/>
        <v>0</v>
      </c>
      <c r="Y535" s="100" t="str">
        <f t="shared" si="61"/>
        <v xml:space="preserve"> </v>
      </c>
      <c r="Z535" s="100" t="str">
        <f t="shared" si="62"/>
        <v xml:space="preserve"> </v>
      </c>
    </row>
    <row r="536" spans="1:26">
      <c r="A536" s="108"/>
      <c r="B536" s="108" t="str">
        <f>IFERROR(VLOOKUP(Tablo518[[#This Row],[ÜRÜN KODU]],YMKODLARI!$A$1:$K$363,2,0)," ")</f>
        <v xml:space="preserve"> </v>
      </c>
      <c r="C536" s="99"/>
      <c r="D536" s="100"/>
      <c r="E536" s="101"/>
      <c r="F536" s="101"/>
      <c r="G536" s="100" t="str">
        <f>IFERROR(VLOOKUP(Tablo518[[#This Row],[ÜRÜN KODU]],YMKODLARI!$A$1:$K$363,3,0)," ")</f>
        <v xml:space="preserve"> </v>
      </c>
      <c r="H536" s="100" t="str">
        <f>IFERROR(VLOOKUP(Tablo518[[#This Row],[ÜRÜN KODU]],YMKODLARI!$A$1:$K$363,4,0)," ")</f>
        <v xml:space="preserve"> </v>
      </c>
      <c r="I536" s="100"/>
      <c r="J536" s="100" t="str">
        <f>IFERROR(VLOOKUP(Tablo518[[#This Row],[ÜRÜN KODU]],YMKODLARI!$A$1:$K$363,9,0)," ")</f>
        <v xml:space="preserve"> </v>
      </c>
      <c r="K536" s="100" t="str">
        <f>IFERROR(VLOOKUP(Tablo518[[#This Row],[BOYA KODU]],Tablo14[#All],4,0)," ")</f>
        <v xml:space="preserve"> </v>
      </c>
      <c r="L536" s="100" t="str">
        <f>IFERROR(VLOOKUP(Tablo518[[#This Row],[BOYA KODU]],Tablo14[#All],6,0)," ")</f>
        <v xml:space="preserve"> </v>
      </c>
      <c r="M536" s="100" t="str">
        <f t="shared" si="56"/>
        <v xml:space="preserve"> </v>
      </c>
      <c r="N536" s="100" t="str">
        <f>IFERROR(VLOOKUP(Tablo518[[#This Row],[ÜRÜN KODU]],YMKODLARI!$A$1:$K$363,8,0)," ")</f>
        <v xml:space="preserve"> </v>
      </c>
      <c r="O536" s="100" t="str">
        <f>IFERROR(VLOOKUP(Tablo518[[#This Row],[HAMMADDE KODU]],Tablo1[#All],3,0)," ")</f>
        <v xml:space="preserve"> </v>
      </c>
      <c r="P536" s="100" t="str">
        <f>IFERROR(VLOOKUP(Tablo518[[#This Row],[HAMMADDE KODU]],Tablo1[#All],4,0)," ")</f>
        <v xml:space="preserve"> </v>
      </c>
      <c r="Q536" s="100" t="str">
        <f>IFERROR(VLOOKUP(Tablo518[[#This Row],[ÜRÜN KODU]],YMKODLARI!$A$1:$K$363,5,0)," ")</f>
        <v xml:space="preserve"> </v>
      </c>
      <c r="R536" s="100" t="str">
        <f>IFERROR(VLOOKUP(Tablo518[[#This Row],[ÜRÜN KODU]],YMKODLARI!$A$1:$K$363,6,0)," ")</f>
        <v xml:space="preserve"> </v>
      </c>
      <c r="S536" s="100" t="str">
        <f>IFERROR(Tablo518[[#This Row],[YOLLUK HARİÇ BASKI GRAMI]]/Tablo518[[#This Row],[KALIP GÖZ ADEDİ]]," ")</f>
        <v xml:space="preserve"> </v>
      </c>
      <c r="T536" s="100" t="str">
        <f t="shared" si="58"/>
        <v xml:space="preserve"> </v>
      </c>
      <c r="U536" s="100"/>
      <c r="V536" s="100" t="str">
        <f t="shared" si="57"/>
        <v xml:space="preserve"> </v>
      </c>
      <c r="W536" s="101">
        <f t="shared" si="59"/>
        <v>24</v>
      </c>
      <c r="X536" s="102">
        <f t="shared" si="60"/>
        <v>0</v>
      </c>
      <c r="Y536" s="100" t="str">
        <f t="shared" si="61"/>
        <v xml:space="preserve"> </v>
      </c>
      <c r="Z536" s="100" t="str">
        <f t="shared" si="62"/>
        <v xml:space="preserve"> </v>
      </c>
    </row>
    <row r="537" spans="1:26">
      <c r="A537" s="108"/>
      <c r="B537" s="108" t="str">
        <f>IFERROR(VLOOKUP(Tablo518[[#This Row],[ÜRÜN KODU]],YMKODLARI!$A$1:$K$363,2,0)," ")</f>
        <v xml:space="preserve"> </v>
      </c>
      <c r="C537" s="99"/>
      <c r="D537" s="100"/>
      <c r="E537" s="101"/>
      <c r="F537" s="101"/>
      <c r="G537" s="100" t="str">
        <f>IFERROR(VLOOKUP(Tablo518[[#This Row],[ÜRÜN KODU]],YMKODLARI!$A$1:$K$363,3,0)," ")</f>
        <v xml:space="preserve"> </v>
      </c>
      <c r="H537" s="100" t="str">
        <f>IFERROR(VLOOKUP(Tablo518[[#This Row],[ÜRÜN KODU]],YMKODLARI!$A$1:$K$363,4,0)," ")</f>
        <v xml:space="preserve"> </v>
      </c>
      <c r="I537" s="100"/>
      <c r="J537" s="100" t="str">
        <f>IFERROR(VLOOKUP(Tablo518[[#This Row],[ÜRÜN KODU]],YMKODLARI!$A$1:$K$363,9,0)," ")</f>
        <v xml:space="preserve"> </v>
      </c>
      <c r="K537" s="100" t="str">
        <f>IFERROR(VLOOKUP(Tablo518[[#This Row],[BOYA KODU]],Tablo14[#All],4,0)," ")</f>
        <v xml:space="preserve"> </v>
      </c>
      <c r="L537" s="100" t="str">
        <f>IFERROR(VLOOKUP(Tablo518[[#This Row],[BOYA KODU]],Tablo14[#All],6,0)," ")</f>
        <v xml:space="preserve"> </v>
      </c>
      <c r="M537" s="100" t="str">
        <f t="shared" si="56"/>
        <v xml:space="preserve"> </v>
      </c>
      <c r="N537" s="100" t="str">
        <f>IFERROR(VLOOKUP(Tablo518[[#This Row],[ÜRÜN KODU]],YMKODLARI!$A$1:$K$363,8,0)," ")</f>
        <v xml:space="preserve"> </v>
      </c>
      <c r="O537" s="100" t="str">
        <f>IFERROR(VLOOKUP(Tablo518[[#This Row],[HAMMADDE KODU]],Tablo1[#All],3,0)," ")</f>
        <v xml:space="preserve"> </v>
      </c>
      <c r="P537" s="100" t="str">
        <f>IFERROR(VLOOKUP(Tablo518[[#This Row],[HAMMADDE KODU]],Tablo1[#All],4,0)," ")</f>
        <v xml:space="preserve"> </v>
      </c>
      <c r="Q537" s="100" t="str">
        <f>IFERROR(VLOOKUP(Tablo518[[#This Row],[ÜRÜN KODU]],YMKODLARI!$A$1:$K$363,5,0)," ")</f>
        <v xml:space="preserve"> </v>
      </c>
      <c r="R537" s="100" t="str">
        <f>IFERROR(VLOOKUP(Tablo518[[#This Row],[ÜRÜN KODU]],YMKODLARI!$A$1:$K$363,6,0)," ")</f>
        <v xml:space="preserve"> </v>
      </c>
      <c r="S537" s="100" t="str">
        <f>IFERROR(Tablo518[[#This Row],[YOLLUK HARİÇ BASKI GRAMI]]/Tablo518[[#This Row],[KALIP GÖZ ADEDİ]]," ")</f>
        <v xml:space="preserve"> </v>
      </c>
      <c r="T537" s="100" t="str">
        <f t="shared" si="58"/>
        <v xml:space="preserve"> </v>
      </c>
      <c r="U537" s="100"/>
      <c r="V537" s="100" t="str">
        <f t="shared" si="57"/>
        <v xml:space="preserve"> </v>
      </c>
      <c r="W537" s="101">
        <f t="shared" si="59"/>
        <v>24</v>
      </c>
      <c r="X537" s="102">
        <f t="shared" si="60"/>
        <v>0</v>
      </c>
      <c r="Y537" s="100" t="str">
        <f t="shared" si="61"/>
        <v xml:space="preserve"> </v>
      </c>
      <c r="Z537" s="100" t="str">
        <f t="shared" si="62"/>
        <v xml:space="preserve"> </v>
      </c>
    </row>
    <row r="538" spans="1:26">
      <c r="A538" s="108"/>
      <c r="B538" s="108" t="str">
        <f>IFERROR(VLOOKUP(Tablo518[[#This Row],[ÜRÜN KODU]],YMKODLARI!$A$1:$K$363,2,0)," ")</f>
        <v xml:space="preserve"> </v>
      </c>
      <c r="C538" s="99"/>
      <c r="D538" s="100"/>
      <c r="E538" s="101"/>
      <c r="F538" s="101"/>
      <c r="G538" s="100" t="str">
        <f>IFERROR(VLOOKUP(Tablo518[[#This Row],[ÜRÜN KODU]],YMKODLARI!$A$1:$K$363,3,0)," ")</f>
        <v xml:space="preserve"> </v>
      </c>
      <c r="H538" s="100" t="str">
        <f>IFERROR(VLOOKUP(Tablo518[[#This Row],[ÜRÜN KODU]],YMKODLARI!$A$1:$K$363,4,0)," ")</f>
        <v xml:space="preserve"> </v>
      </c>
      <c r="I538" s="100"/>
      <c r="J538" s="100" t="str">
        <f>IFERROR(VLOOKUP(Tablo518[[#This Row],[ÜRÜN KODU]],YMKODLARI!$A$1:$K$363,9,0)," ")</f>
        <v xml:space="preserve"> </v>
      </c>
      <c r="K538" s="100" t="str">
        <f>IFERROR(VLOOKUP(Tablo518[[#This Row],[BOYA KODU]],Tablo14[#All],4,0)," ")</f>
        <v xml:space="preserve"> </v>
      </c>
      <c r="L538" s="100" t="str">
        <f>IFERROR(VLOOKUP(Tablo518[[#This Row],[BOYA KODU]],Tablo14[#All],6,0)," ")</f>
        <v xml:space="preserve"> </v>
      </c>
      <c r="M538" s="100" t="str">
        <f t="shared" si="56"/>
        <v xml:space="preserve"> </v>
      </c>
      <c r="N538" s="100" t="str">
        <f>IFERROR(VLOOKUP(Tablo518[[#This Row],[ÜRÜN KODU]],YMKODLARI!$A$1:$K$363,8,0)," ")</f>
        <v xml:space="preserve"> </v>
      </c>
      <c r="O538" s="100" t="str">
        <f>IFERROR(VLOOKUP(Tablo518[[#This Row],[HAMMADDE KODU]],Tablo1[#All],3,0)," ")</f>
        <v xml:space="preserve"> </v>
      </c>
      <c r="P538" s="100" t="str">
        <f>IFERROR(VLOOKUP(Tablo518[[#This Row],[HAMMADDE KODU]],Tablo1[#All],4,0)," ")</f>
        <v xml:space="preserve"> </v>
      </c>
      <c r="Q538" s="100" t="str">
        <f>IFERROR(VLOOKUP(Tablo518[[#This Row],[ÜRÜN KODU]],YMKODLARI!$A$1:$K$363,5,0)," ")</f>
        <v xml:space="preserve"> </v>
      </c>
      <c r="R538" s="100" t="str">
        <f>IFERROR(VLOOKUP(Tablo518[[#This Row],[ÜRÜN KODU]],YMKODLARI!$A$1:$K$363,6,0)," ")</f>
        <v xml:space="preserve"> </v>
      </c>
      <c r="S538" s="100" t="str">
        <f>IFERROR(Tablo518[[#This Row],[YOLLUK HARİÇ BASKI GRAMI]]/Tablo518[[#This Row],[KALIP GÖZ ADEDİ]]," ")</f>
        <v xml:space="preserve"> </v>
      </c>
      <c r="T538" s="100" t="str">
        <f t="shared" si="58"/>
        <v xml:space="preserve"> </v>
      </c>
      <c r="U538" s="100"/>
      <c r="V538" s="100" t="str">
        <f t="shared" si="57"/>
        <v xml:space="preserve"> </v>
      </c>
      <c r="W538" s="101">
        <f t="shared" si="59"/>
        <v>24</v>
      </c>
      <c r="X538" s="102">
        <f t="shared" si="60"/>
        <v>0</v>
      </c>
      <c r="Y538" s="100" t="str">
        <f t="shared" si="61"/>
        <v xml:space="preserve"> </v>
      </c>
      <c r="Z538" s="100" t="str">
        <f t="shared" si="62"/>
        <v xml:space="preserve"> </v>
      </c>
    </row>
    <row r="539" spans="1:26">
      <c r="A539" s="108"/>
      <c r="B539" s="108" t="str">
        <f>IFERROR(VLOOKUP(Tablo518[[#This Row],[ÜRÜN KODU]],YMKODLARI!$A$1:$K$363,2,0)," ")</f>
        <v xml:space="preserve"> </v>
      </c>
      <c r="C539" s="99"/>
      <c r="D539" s="100"/>
      <c r="E539" s="101"/>
      <c r="F539" s="101"/>
      <c r="G539" s="100" t="str">
        <f>IFERROR(VLOOKUP(Tablo518[[#This Row],[ÜRÜN KODU]],YMKODLARI!$A$1:$K$363,3,0)," ")</f>
        <v xml:space="preserve"> </v>
      </c>
      <c r="H539" s="100" t="str">
        <f>IFERROR(VLOOKUP(Tablo518[[#This Row],[ÜRÜN KODU]],YMKODLARI!$A$1:$K$363,4,0)," ")</f>
        <v xml:space="preserve"> </v>
      </c>
      <c r="I539" s="100"/>
      <c r="J539" s="100" t="str">
        <f>IFERROR(VLOOKUP(Tablo518[[#This Row],[ÜRÜN KODU]],YMKODLARI!$A$1:$K$363,9,0)," ")</f>
        <v xml:space="preserve"> </v>
      </c>
      <c r="K539" s="100" t="str">
        <f>IFERROR(VLOOKUP(Tablo518[[#This Row],[BOYA KODU]],Tablo14[#All],4,0)," ")</f>
        <v xml:space="preserve"> </v>
      </c>
      <c r="L539" s="100" t="str">
        <f>IFERROR(VLOOKUP(Tablo518[[#This Row],[BOYA KODU]],Tablo14[#All],6,0)," ")</f>
        <v xml:space="preserve"> </v>
      </c>
      <c r="M539" s="100" t="str">
        <f t="shared" si="56"/>
        <v xml:space="preserve"> </v>
      </c>
      <c r="N539" s="100" t="str">
        <f>IFERROR(VLOOKUP(Tablo518[[#This Row],[ÜRÜN KODU]],YMKODLARI!$A$1:$K$363,8,0)," ")</f>
        <v xml:space="preserve"> </v>
      </c>
      <c r="O539" s="100" t="str">
        <f>IFERROR(VLOOKUP(Tablo518[[#This Row],[HAMMADDE KODU]],Tablo1[#All],3,0)," ")</f>
        <v xml:space="preserve"> </v>
      </c>
      <c r="P539" s="100" t="str">
        <f>IFERROR(VLOOKUP(Tablo518[[#This Row],[HAMMADDE KODU]],Tablo1[#All],4,0)," ")</f>
        <v xml:space="preserve"> </v>
      </c>
      <c r="Q539" s="100" t="str">
        <f>IFERROR(VLOOKUP(Tablo518[[#This Row],[ÜRÜN KODU]],YMKODLARI!$A$1:$K$363,5,0)," ")</f>
        <v xml:space="preserve"> </v>
      </c>
      <c r="R539" s="100" t="str">
        <f>IFERROR(VLOOKUP(Tablo518[[#This Row],[ÜRÜN KODU]],YMKODLARI!$A$1:$K$363,6,0)," ")</f>
        <v xml:space="preserve"> </v>
      </c>
      <c r="S539" s="100" t="str">
        <f>IFERROR(Tablo518[[#This Row],[YOLLUK HARİÇ BASKI GRAMI]]/Tablo518[[#This Row],[KALIP GÖZ ADEDİ]]," ")</f>
        <v xml:space="preserve"> </v>
      </c>
      <c r="T539" s="100" t="str">
        <f t="shared" si="58"/>
        <v xml:space="preserve"> </v>
      </c>
      <c r="U539" s="100"/>
      <c r="V539" s="100" t="str">
        <f t="shared" si="57"/>
        <v xml:space="preserve"> </v>
      </c>
      <c r="W539" s="101">
        <f t="shared" si="59"/>
        <v>24</v>
      </c>
      <c r="X539" s="102">
        <f t="shared" si="60"/>
        <v>0</v>
      </c>
      <c r="Y539" s="100" t="str">
        <f t="shared" si="61"/>
        <v xml:space="preserve"> </v>
      </c>
      <c r="Z539" s="100" t="str">
        <f t="shared" si="62"/>
        <v xml:space="preserve"> </v>
      </c>
    </row>
    <row r="540" spans="1:26">
      <c r="A540" s="108"/>
      <c r="B540" s="108" t="str">
        <f>IFERROR(VLOOKUP(Tablo518[[#This Row],[ÜRÜN KODU]],YMKODLARI!$A$1:$K$363,2,0)," ")</f>
        <v xml:space="preserve"> </v>
      </c>
      <c r="C540" s="99"/>
      <c r="D540" s="100"/>
      <c r="E540" s="101"/>
      <c r="F540" s="101"/>
      <c r="G540" s="100" t="str">
        <f>IFERROR(VLOOKUP(Tablo518[[#This Row],[ÜRÜN KODU]],YMKODLARI!$A$1:$K$363,3,0)," ")</f>
        <v xml:space="preserve"> </v>
      </c>
      <c r="H540" s="100" t="str">
        <f>IFERROR(VLOOKUP(Tablo518[[#This Row],[ÜRÜN KODU]],YMKODLARI!$A$1:$K$363,4,0)," ")</f>
        <v xml:space="preserve"> </v>
      </c>
      <c r="I540" s="100"/>
      <c r="J540" s="100" t="str">
        <f>IFERROR(VLOOKUP(Tablo518[[#This Row],[ÜRÜN KODU]],YMKODLARI!$A$1:$K$363,9,0)," ")</f>
        <v xml:space="preserve"> </v>
      </c>
      <c r="K540" s="100" t="str">
        <f>IFERROR(VLOOKUP(Tablo518[[#This Row],[BOYA KODU]],Tablo14[#All],4,0)," ")</f>
        <v xml:space="preserve"> </v>
      </c>
      <c r="L540" s="100" t="str">
        <f>IFERROR(VLOOKUP(Tablo518[[#This Row],[BOYA KODU]],Tablo14[#All],6,0)," ")</f>
        <v xml:space="preserve"> </v>
      </c>
      <c r="M540" s="100" t="str">
        <f t="shared" si="56"/>
        <v xml:space="preserve"> </v>
      </c>
      <c r="N540" s="100" t="str">
        <f>IFERROR(VLOOKUP(Tablo518[[#This Row],[ÜRÜN KODU]],YMKODLARI!$A$1:$K$363,8,0)," ")</f>
        <v xml:space="preserve"> </v>
      </c>
      <c r="O540" s="100" t="str">
        <f>IFERROR(VLOOKUP(Tablo518[[#This Row],[HAMMADDE KODU]],Tablo1[#All],3,0)," ")</f>
        <v xml:space="preserve"> </v>
      </c>
      <c r="P540" s="100" t="str">
        <f>IFERROR(VLOOKUP(Tablo518[[#This Row],[HAMMADDE KODU]],Tablo1[#All],4,0)," ")</f>
        <v xml:space="preserve"> </v>
      </c>
      <c r="Q540" s="100" t="str">
        <f>IFERROR(VLOOKUP(Tablo518[[#This Row],[ÜRÜN KODU]],YMKODLARI!$A$1:$K$363,5,0)," ")</f>
        <v xml:space="preserve"> </v>
      </c>
      <c r="R540" s="100" t="str">
        <f>IFERROR(VLOOKUP(Tablo518[[#This Row],[ÜRÜN KODU]],YMKODLARI!$A$1:$K$363,6,0)," ")</f>
        <v xml:space="preserve"> </v>
      </c>
      <c r="S540" s="100" t="str">
        <f>IFERROR(Tablo518[[#This Row],[YOLLUK HARİÇ BASKI GRAMI]]/Tablo518[[#This Row],[KALIP GÖZ ADEDİ]]," ")</f>
        <v xml:space="preserve"> </v>
      </c>
      <c r="T540" s="100" t="str">
        <f t="shared" si="58"/>
        <v xml:space="preserve"> </v>
      </c>
      <c r="U540" s="100"/>
      <c r="V540" s="100" t="str">
        <f t="shared" si="57"/>
        <v xml:space="preserve"> </v>
      </c>
      <c r="W540" s="101">
        <f t="shared" si="59"/>
        <v>24</v>
      </c>
      <c r="X540" s="102">
        <f t="shared" si="60"/>
        <v>0</v>
      </c>
      <c r="Y540" s="100" t="str">
        <f t="shared" si="61"/>
        <v xml:space="preserve"> </v>
      </c>
      <c r="Z540" s="100" t="str">
        <f t="shared" si="62"/>
        <v xml:space="preserve"> </v>
      </c>
    </row>
    <row r="541" spans="1:26">
      <c r="A541" s="108"/>
      <c r="B541" s="108" t="str">
        <f>IFERROR(VLOOKUP(Tablo518[[#This Row],[ÜRÜN KODU]],YMKODLARI!$A$1:$K$363,2,0)," ")</f>
        <v xml:space="preserve"> </v>
      </c>
      <c r="C541" s="99"/>
      <c r="D541" s="100"/>
      <c r="E541" s="101"/>
      <c r="F541" s="101"/>
      <c r="G541" s="100" t="str">
        <f>IFERROR(VLOOKUP(Tablo518[[#This Row],[ÜRÜN KODU]],YMKODLARI!$A$1:$K$363,3,0)," ")</f>
        <v xml:space="preserve"> </v>
      </c>
      <c r="H541" s="100" t="str">
        <f>IFERROR(VLOOKUP(Tablo518[[#This Row],[ÜRÜN KODU]],YMKODLARI!$A$1:$K$363,4,0)," ")</f>
        <v xml:space="preserve"> </v>
      </c>
      <c r="I541" s="100"/>
      <c r="J541" s="100" t="str">
        <f>IFERROR(VLOOKUP(Tablo518[[#This Row],[ÜRÜN KODU]],YMKODLARI!$A$1:$K$363,9,0)," ")</f>
        <v xml:space="preserve"> </v>
      </c>
      <c r="K541" s="100" t="str">
        <f>IFERROR(VLOOKUP(Tablo518[[#This Row],[BOYA KODU]],Tablo14[#All],4,0)," ")</f>
        <v xml:space="preserve"> </v>
      </c>
      <c r="L541" s="100" t="str">
        <f>IFERROR(VLOOKUP(Tablo518[[#This Row],[BOYA KODU]],Tablo14[#All],6,0)," ")</f>
        <v xml:space="preserve"> </v>
      </c>
      <c r="M541" s="100" t="str">
        <f t="shared" si="56"/>
        <v xml:space="preserve"> </v>
      </c>
      <c r="N541" s="100" t="str">
        <f>IFERROR(VLOOKUP(Tablo518[[#This Row],[ÜRÜN KODU]],YMKODLARI!$A$1:$K$363,8,0)," ")</f>
        <v xml:space="preserve"> </v>
      </c>
      <c r="O541" s="100" t="str">
        <f>IFERROR(VLOOKUP(Tablo518[[#This Row],[HAMMADDE KODU]],Tablo1[#All],3,0)," ")</f>
        <v xml:space="preserve"> </v>
      </c>
      <c r="P541" s="100" t="str">
        <f>IFERROR(VLOOKUP(Tablo518[[#This Row],[HAMMADDE KODU]],Tablo1[#All],4,0)," ")</f>
        <v xml:space="preserve"> </v>
      </c>
      <c r="Q541" s="100" t="str">
        <f>IFERROR(VLOOKUP(Tablo518[[#This Row],[ÜRÜN KODU]],YMKODLARI!$A$1:$K$363,5,0)," ")</f>
        <v xml:space="preserve"> </v>
      </c>
      <c r="R541" s="100" t="str">
        <f>IFERROR(VLOOKUP(Tablo518[[#This Row],[ÜRÜN KODU]],YMKODLARI!$A$1:$K$363,6,0)," ")</f>
        <v xml:space="preserve"> </v>
      </c>
      <c r="S541" s="100" t="str">
        <f>IFERROR(Tablo518[[#This Row],[YOLLUK HARİÇ BASKI GRAMI]]/Tablo518[[#This Row],[KALIP GÖZ ADEDİ]]," ")</f>
        <v xml:space="preserve"> </v>
      </c>
      <c r="T541" s="100" t="str">
        <f t="shared" si="58"/>
        <v xml:space="preserve"> </v>
      </c>
      <c r="U541" s="100"/>
      <c r="V541" s="100" t="str">
        <f t="shared" si="57"/>
        <v xml:space="preserve"> </v>
      </c>
      <c r="W541" s="101">
        <f t="shared" si="59"/>
        <v>24</v>
      </c>
      <c r="X541" s="102">
        <f t="shared" si="60"/>
        <v>0</v>
      </c>
      <c r="Y541" s="100" t="str">
        <f t="shared" si="61"/>
        <v xml:space="preserve"> </v>
      </c>
      <c r="Z541" s="100" t="str">
        <f t="shared" si="62"/>
        <v xml:space="preserve"> </v>
      </c>
    </row>
    <row r="542" spans="1:26">
      <c r="A542" s="108"/>
      <c r="B542" s="108" t="str">
        <f>IFERROR(VLOOKUP(Tablo518[[#This Row],[ÜRÜN KODU]],YMKODLARI!$A$1:$K$363,2,0)," ")</f>
        <v xml:space="preserve"> </v>
      </c>
      <c r="C542" s="99"/>
      <c r="D542" s="100"/>
      <c r="E542" s="101"/>
      <c r="F542" s="101"/>
      <c r="G542" s="100" t="str">
        <f>IFERROR(VLOOKUP(Tablo518[[#This Row],[ÜRÜN KODU]],YMKODLARI!$A$1:$K$363,3,0)," ")</f>
        <v xml:space="preserve"> </v>
      </c>
      <c r="H542" s="100" t="str">
        <f>IFERROR(VLOOKUP(Tablo518[[#This Row],[ÜRÜN KODU]],YMKODLARI!$A$1:$K$363,4,0)," ")</f>
        <v xml:space="preserve"> </v>
      </c>
      <c r="I542" s="100"/>
      <c r="J542" s="100" t="str">
        <f>IFERROR(VLOOKUP(Tablo518[[#This Row],[ÜRÜN KODU]],YMKODLARI!$A$1:$K$363,9,0)," ")</f>
        <v xml:space="preserve"> </v>
      </c>
      <c r="K542" s="100" t="str">
        <f>IFERROR(VLOOKUP(Tablo518[[#This Row],[BOYA KODU]],Tablo14[#All],4,0)," ")</f>
        <v xml:space="preserve"> </v>
      </c>
      <c r="L542" s="100" t="str">
        <f>IFERROR(VLOOKUP(Tablo518[[#This Row],[BOYA KODU]],Tablo14[#All],6,0)," ")</f>
        <v xml:space="preserve"> </v>
      </c>
      <c r="M542" s="100" t="str">
        <f t="shared" si="56"/>
        <v xml:space="preserve"> </v>
      </c>
      <c r="N542" s="100" t="str">
        <f>IFERROR(VLOOKUP(Tablo518[[#This Row],[ÜRÜN KODU]],YMKODLARI!$A$1:$K$363,8,0)," ")</f>
        <v xml:space="preserve"> </v>
      </c>
      <c r="O542" s="100" t="str">
        <f>IFERROR(VLOOKUP(Tablo518[[#This Row],[HAMMADDE KODU]],Tablo1[#All],3,0)," ")</f>
        <v xml:space="preserve"> </v>
      </c>
      <c r="P542" s="100" t="str">
        <f>IFERROR(VLOOKUP(Tablo518[[#This Row],[HAMMADDE KODU]],Tablo1[#All],4,0)," ")</f>
        <v xml:space="preserve"> </v>
      </c>
      <c r="Q542" s="100" t="str">
        <f>IFERROR(VLOOKUP(Tablo518[[#This Row],[ÜRÜN KODU]],YMKODLARI!$A$1:$K$363,5,0)," ")</f>
        <v xml:space="preserve"> </v>
      </c>
      <c r="R542" s="100" t="str">
        <f>IFERROR(VLOOKUP(Tablo518[[#This Row],[ÜRÜN KODU]],YMKODLARI!$A$1:$K$363,6,0)," ")</f>
        <v xml:space="preserve"> </v>
      </c>
      <c r="S542" s="100" t="str">
        <f>IFERROR(Tablo518[[#This Row],[YOLLUK HARİÇ BASKI GRAMI]]/Tablo518[[#This Row],[KALIP GÖZ ADEDİ]]," ")</f>
        <v xml:space="preserve"> </v>
      </c>
      <c r="T542" s="100" t="str">
        <f t="shared" si="58"/>
        <v xml:space="preserve"> </v>
      </c>
      <c r="U542" s="100"/>
      <c r="V542" s="100" t="str">
        <f t="shared" si="57"/>
        <v xml:space="preserve"> </v>
      </c>
      <c r="W542" s="101">
        <f t="shared" si="59"/>
        <v>24</v>
      </c>
      <c r="X542" s="102">
        <f t="shared" si="60"/>
        <v>0</v>
      </c>
      <c r="Y542" s="100" t="str">
        <f t="shared" si="61"/>
        <v xml:space="preserve"> </v>
      </c>
      <c r="Z542" s="100" t="str">
        <f t="shared" si="62"/>
        <v xml:space="preserve"> </v>
      </c>
    </row>
    <row r="543" spans="1:26">
      <c r="A543" s="108"/>
      <c r="B543" s="108" t="str">
        <f>IFERROR(VLOOKUP(Tablo518[[#This Row],[ÜRÜN KODU]],YMKODLARI!$A$1:$K$363,2,0)," ")</f>
        <v xml:space="preserve"> </v>
      </c>
      <c r="C543" s="99"/>
      <c r="D543" s="100"/>
      <c r="E543" s="101"/>
      <c r="F543" s="101"/>
      <c r="G543" s="100" t="str">
        <f>IFERROR(VLOOKUP(Tablo518[[#This Row],[ÜRÜN KODU]],YMKODLARI!$A$1:$K$363,3,0)," ")</f>
        <v xml:space="preserve"> </v>
      </c>
      <c r="H543" s="100" t="str">
        <f>IFERROR(VLOOKUP(Tablo518[[#This Row],[ÜRÜN KODU]],YMKODLARI!$A$1:$K$363,4,0)," ")</f>
        <v xml:space="preserve"> </v>
      </c>
      <c r="I543" s="100"/>
      <c r="J543" s="100" t="str">
        <f>IFERROR(VLOOKUP(Tablo518[[#This Row],[ÜRÜN KODU]],YMKODLARI!$A$1:$K$363,9,0)," ")</f>
        <v xml:space="preserve"> </v>
      </c>
      <c r="K543" s="100" t="str">
        <f>IFERROR(VLOOKUP(Tablo518[[#This Row],[BOYA KODU]],Tablo14[#All],4,0)," ")</f>
        <v xml:space="preserve"> </v>
      </c>
      <c r="L543" s="100" t="str">
        <f>IFERROR(VLOOKUP(Tablo518[[#This Row],[BOYA KODU]],Tablo14[#All],6,0)," ")</f>
        <v xml:space="preserve"> </v>
      </c>
      <c r="M543" s="100" t="str">
        <f t="shared" si="56"/>
        <v xml:space="preserve"> </v>
      </c>
      <c r="N543" s="100" t="str">
        <f>IFERROR(VLOOKUP(Tablo518[[#This Row],[ÜRÜN KODU]],YMKODLARI!$A$1:$K$363,8,0)," ")</f>
        <v xml:space="preserve"> </v>
      </c>
      <c r="O543" s="100" t="str">
        <f>IFERROR(VLOOKUP(Tablo518[[#This Row],[HAMMADDE KODU]],Tablo1[#All],3,0)," ")</f>
        <v xml:space="preserve"> </v>
      </c>
      <c r="P543" s="100" t="str">
        <f>IFERROR(VLOOKUP(Tablo518[[#This Row],[HAMMADDE KODU]],Tablo1[#All],4,0)," ")</f>
        <v xml:space="preserve"> </v>
      </c>
      <c r="Q543" s="100" t="str">
        <f>IFERROR(VLOOKUP(Tablo518[[#This Row],[ÜRÜN KODU]],YMKODLARI!$A$1:$K$363,5,0)," ")</f>
        <v xml:space="preserve"> </v>
      </c>
      <c r="R543" s="100" t="str">
        <f>IFERROR(VLOOKUP(Tablo518[[#This Row],[ÜRÜN KODU]],YMKODLARI!$A$1:$K$363,6,0)," ")</f>
        <v xml:space="preserve"> </v>
      </c>
      <c r="S543" s="100" t="str">
        <f>IFERROR(Tablo518[[#This Row],[YOLLUK HARİÇ BASKI GRAMI]]/Tablo518[[#This Row],[KALIP GÖZ ADEDİ]]," ")</f>
        <v xml:space="preserve"> </v>
      </c>
      <c r="T543" s="100" t="str">
        <f t="shared" si="58"/>
        <v xml:space="preserve"> </v>
      </c>
      <c r="U543" s="100"/>
      <c r="V543" s="100" t="str">
        <f t="shared" si="57"/>
        <v xml:space="preserve"> </v>
      </c>
      <c r="W543" s="101">
        <f t="shared" si="59"/>
        <v>24</v>
      </c>
      <c r="X543" s="102">
        <f t="shared" si="60"/>
        <v>0</v>
      </c>
      <c r="Y543" s="100" t="str">
        <f t="shared" si="61"/>
        <v xml:space="preserve"> </v>
      </c>
      <c r="Z543" s="100" t="str">
        <f t="shared" si="62"/>
        <v xml:space="preserve"> </v>
      </c>
    </row>
    <row r="544" spans="1:26">
      <c r="A544" s="108"/>
      <c r="B544" s="108" t="str">
        <f>IFERROR(VLOOKUP(Tablo518[[#This Row],[ÜRÜN KODU]],YMKODLARI!$A$1:$K$363,2,0)," ")</f>
        <v xml:space="preserve"> </v>
      </c>
      <c r="C544" s="99"/>
      <c r="D544" s="100"/>
      <c r="E544" s="101"/>
      <c r="F544" s="101"/>
      <c r="G544" s="100" t="str">
        <f>IFERROR(VLOOKUP(Tablo518[[#This Row],[ÜRÜN KODU]],YMKODLARI!$A$1:$K$363,3,0)," ")</f>
        <v xml:space="preserve"> </v>
      </c>
      <c r="H544" s="100" t="str">
        <f>IFERROR(VLOOKUP(Tablo518[[#This Row],[ÜRÜN KODU]],YMKODLARI!$A$1:$K$363,4,0)," ")</f>
        <v xml:space="preserve"> </v>
      </c>
      <c r="I544" s="100"/>
      <c r="J544" s="100" t="str">
        <f>IFERROR(VLOOKUP(Tablo518[[#This Row],[ÜRÜN KODU]],YMKODLARI!$A$1:$K$363,9,0)," ")</f>
        <v xml:space="preserve"> </v>
      </c>
      <c r="K544" s="100" t="str">
        <f>IFERROR(VLOOKUP(Tablo518[[#This Row],[BOYA KODU]],Tablo14[#All],4,0)," ")</f>
        <v xml:space="preserve"> </v>
      </c>
      <c r="L544" s="100" t="str">
        <f>IFERROR(VLOOKUP(Tablo518[[#This Row],[BOYA KODU]],Tablo14[#All],6,0)," ")</f>
        <v xml:space="preserve"> </v>
      </c>
      <c r="M544" s="100" t="str">
        <f t="shared" si="56"/>
        <v xml:space="preserve"> </v>
      </c>
      <c r="N544" s="100" t="str">
        <f>IFERROR(VLOOKUP(Tablo518[[#This Row],[ÜRÜN KODU]],YMKODLARI!$A$1:$K$363,8,0)," ")</f>
        <v xml:space="preserve"> </v>
      </c>
      <c r="O544" s="100" t="str">
        <f>IFERROR(VLOOKUP(Tablo518[[#This Row],[HAMMADDE KODU]],Tablo1[#All],3,0)," ")</f>
        <v xml:space="preserve"> </v>
      </c>
      <c r="P544" s="100" t="str">
        <f>IFERROR(VLOOKUP(Tablo518[[#This Row],[HAMMADDE KODU]],Tablo1[#All],4,0)," ")</f>
        <v xml:space="preserve"> </v>
      </c>
      <c r="Q544" s="100" t="str">
        <f>IFERROR(VLOOKUP(Tablo518[[#This Row],[ÜRÜN KODU]],YMKODLARI!$A$1:$K$363,5,0)," ")</f>
        <v xml:space="preserve"> </v>
      </c>
      <c r="R544" s="100" t="str">
        <f>IFERROR(VLOOKUP(Tablo518[[#This Row],[ÜRÜN KODU]],YMKODLARI!$A$1:$K$363,6,0)," ")</f>
        <v xml:space="preserve"> </v>
      </c>
      <c r="S544" s="100" t="str">
        <f>IFERROR(Tablo518[[#This Row],[YOLLUK HARİÇ BASKI GRAMI]]/Tablo518[[#This Row],[KALIP GÖZ ADEDİ]]," ")</f>
        <v xml:space="preserve"> </v>
      </c>
      <c r="T544" s="100" t="str">
        <f t="shared" si="58"/>
        <v xml:space="preserve"> </v>
      </c>
      <c r="U544" s="100"/>
      <c r="V544" s="100" t="str">
        <f t="shared" si="57"/>
        <v xml:space="preserve"> </v>
      </c>
      <c r="W544" s="101">
        <f t="shared" si="59"/>
        <v>24</v>
      </c>
      <c r="X544" s="102">
        <f t="shared" si="60"/>
        <v>0</v>
      </c>
      <c r="Y544" s="100" t="str">
        <f t="shared" si="61"/>
        <v xml:space="preserve"> </v>
      </c>
      <c r="Z544" s="100" t="str">
        <f t="shared" si="62"/>
        <v xml:space="preserve"> </v>
      </c>
    </row>
    <row r="545" spans="1:26">
      <c r="A545" s="108"/>
      <c r="B545" s="108" t="str">
        <f>IFERROR(VLOOKUP(Tablo518[[#This Row],[ÜRÜN KODU]],YMKODLARI!$A$1:$K$363,2,0)," ")</f>
        <v xml:space="preserve"> </v>
      </c>
      <c r="C545" s="99"/>
      <c r="D545" s="100"/>
      <c r="E545" s="101"/>
      <c r="F545" s="101"/>
      <c r="G545" s="100" t="str">
        <f>IFERROR(VLOOKUP(Tablo518[[#This Row],[ÜRÜN KODU]],YMKODLARI!$A$1:$K$363,3,0)," ")</f>
        <v xml:space="preserve"> </v>
      </c>
      <c r="H545" s="100" t="str">
        <f>IFERROR(VLOOKUP(Tablo518[[#This Row],[ÜRÜN KODU]],YMKODLARI!$A$1:$K$363,4,0)," ")</f>
        <v xml:space="preserve"> </v>
      </c>
      <c r="I545" s="100"/>
      <c r="J545" s="100" t="str">
        <f>IFERROR(VLOOKUP(Tablo518[[#This Row],[ÜRÜN KODU]],YMKODLARI!$A$1:$K$363,9,0)," ")</f>
        <v xml:space="preserve"> </v>
      </c>
      <c r="K545" s="100" t="str">
        <f>IFERROR(VLOOKUP(Tablo518[[#This Row],[BOYA KODU]],Tablo14[#All],4,0)," ")</f>
        <v xml:space="preserve"> </v>
      </c>
      <c r="L545" s="100" t="str">
        <f>IFERROR(VLOOKUP(Tablo518[[#This Row],[BOYA KODU]],Tablo14[#All],6,0)," ")</f>
        <v xml:space="preserve"> </v>
      </c>
      <c r="M545" s="100" t="str">
        <f t="shared" si="56"/>
        <v xml:space="preserve"> </v>
      </c>
      <c r="N545" s="100" t="str">
        <f>IFERROR(VLOOKUP(Tablo518[[#This Row],[ÜRÜN KODU]],YMKODLARI!$A$1:$K$363,8,0)," ")</f>
        <v xml:space="preserve"> </v>
      </c>
      <c r="O545" s="100" t="str">
        <f>IFERROR(VLOOKUP(Tablo518[[#This Row],[HAMMADDE KODU]],Tablo1[#All],3,0)," ")</f>
        <v xml:space="preserve"> </v>
      </c>
      <c r="P545" s="100" t="str">
        <f>IFERROR(VLOOKUP(Tablo518[[#This Row],[HAMMADDE KODU]],Tablo1[#All],4,0)," ")</f>
        <v xml:space="preserve"> </v>
      </c>
      <c r="Q545" s="100" t="str">
        <f>IFERROR(VLOOKUP(Tablo518[[#This Row],[ÜRÜN KODU]],YMKODLARI!$A$1:$K$363,5,0)," ")</f>
        <v xml:space="preserve"> </v>
      </c>
      <c r="R545" s="100" t="str">
        <f>IFERROR(VLOOKUP(Tablo518[[#This Row],[ÜRÜN KODU]],YMKODLARI!$A$1:$K$363,6,0)," ")</f>
        <v xml:space="preserve"> </v>
      </c>
      <c r="S545" s="100" t="str">
        <f>IFERROR(Tablo518[[#This Row],[YOLLUK HARİÇ BASKI GRAMI]]/Tablo518[[#This Row],[KALIP GÖZ ADEDİ]]," ")</f>
        <v xml:space="preserve"> </v>
      </c>
      <c r="T545" s="100" t="str">
        <f t="shared" si="58"/>
        <v xml:space="preserve"> </v>
      </c>
      <c r="U545" s="100"/>
      <c r="V545" s="100" t="str">
        <f t="shared" si="57"/>
        <v xml:space="preserve"> </v>
      </c>
      <c r="W545" s="101">
        <f t="shared" si="59"/>
        <v>24</v>
      </c>
      <c r="X545" s="102">
        <f t="shared" si="60"/>
        <v>0</v>
      </c>
      <c r="Y545" s="100" t="str">
        <f t="shared" si="61"/>
        <v xml:space="preserve"> </v>
      </c>
      <c r="Z545" s="100" t="str">
        <f t="shared" si="62"/>
        <v xml:space="preserve"> </v>
      </c>
    </row>
    <row r="546" spans="1:26">
      <c r="A546" s="108"/>
      <c r="B546" s="108" t="str">
        <f>IFERROR(VLOOKUP(Tablo518[[#This Row],[ÜRÜN KODU]],YMKODLARI!$A$1:$K$363,2,0)," ")</f>
        <v xml:space="preserve"> </v>
      </c>
      <c r="C546" s="99"/>
      <c r="D546" s="100"/>
      <c r="E546" s="101"/>
      <c r="F546" s="101"/>
      <c r="G546" s="100" t="str">
        <f>IFERROR(VLOOKUP(Tablo518[[#This Row],[ÜRÜN KODU]],YMKODLARI!$A$1:$K$363,3,0)," ")</f>
        <v xml:space="preserve"> </v>
      </c>
      <c r="H546" s="100" t="str">
        <f>IFERROR(VLOOKUP(Tablo518[[#This Row],[ÜRÜN KODU]],YMKODLARI!$A$1:$K$363,4,0)," ")</f>
        <v xml:space="preserve"> </v>
      </c>
      <c r="I546" s="100"/>
      <c r="J546" s="100" t="str">
        <f>IFERROR(VLOOKUP(Tablo518[[#This Row],[ÜRÜN KODU]],YMKODLARI!$A$1:$K$363,9,0)," ")</f>
        <v xml:space="preserve"> </v>
      </c>
      <c r="K546" s="100" t="str">
        <f>IFERROR(VLOOKUP(Tablo518[[#This Row],[BOYA KODU]],Tablo14[#All],4,0)," ")</f>
        <v xml:space="preserve"> </v>
      </c>
      <c r="L546" s="100" t="str">
        <f>IFERROR(VLOOKUP(Tablo518[[#This Row],[BOYA KODU]],Tablo14[#All],6,0)," ")</f>
        <v xml:space="preserve"> </v>
      </c>
      <c r="M546" s="100" t="str">
        <f t="shared" si="56"/>
        <v xml:space="preserve"> </v>
      </c>
      <c r="N546" s="100" t="str">
        <f>IFERROR(VLOOKUP(Tablo518[[#This Row],[ÜRÜN KODU]],YMKODLARI!$A$1:$K$363,8,0)," ")</f>
        <v xml:space="preserve"> </v>
      </c>
      <c r="O546" s="100" t="str">
        <f>IFERROR(VLOOKUP(Tablo518[[#This Row],[HAMMADDE KODU]],Tablo1[#All],3,0)," ")</f>
        <v xml:space="preserve"> </v>
      </c>
      <c r="P546" s="100" t="str">
        <f>IFERROR(VLOOKUP(Tablo518[[#This Row],[HAMMADDE KODU]],Tablo1[#All],4,0)," ")</f>
        <v xml:space="preserve"> </v>
      </c>
      <c r="Q546" s="100" t="str">
        <f>IFERROR(VLOOKUP(Tablo518[[#This Row],[ÜRÜN KODU]],YMKODLARI!$A$1:$K$363,5,0)," ")</f>
        <v xml:space="preserve"> </v>
      </c>
      <c r="R546" s="100" t="str">
        <f>IFERROR(VLOOKUP(Tablo518[[#This Row],[ÜRÜN KODU]],YMKODLARI!$A$1:$K$363,6,0)," ")</f>
        <v xml:space="preserve"> </v>
      </c>
      <c r="S546" s="100" t="str">
        <f>IFERROR(Tablo518[[#This Row],[YOLLUK HARİÇ BASKI GRAMI]]/Tablo518[[#This Row],[KALIP GÖZ ADEDİ]]," ")</f>
        <v xml:space="preserve"> </v>
      </c>
      <c r="T546" s="100" t="str">
        <f t="shared" si="58"/>
        <v xml:space="preserve"> </v>
      </c>
      <c r="U546" s="100"/>
      <c r="V546" s="100" t="str">
        <f t="shared" si="57"/>
        <v xml:space="preserve"> </v>
      </c>
      <c r="W546" s="101">
        <f t="shared" si="59"/>
        <v>24</v>
      </c>
      <c r="X546" s="102">
        <f t="shared" si="60"/>
        <v>0</v>
      </c>
      <c r="Y546" s="100" t="str">
        <f t="shared" si="61"/>
        <v xml:space="preserve"> </v>
      </c>
      <c r="Z546" s="100" t="str">
        <f t="shared" si="62"/>
        <v xml:space="preserve"> </v>
      </c>
    </row>
    <row r="547" spans="1:26">
      <c r="A547" s="108"/>
      <c r="B547" s="108" t="str">
        <f>IFERROR(VLOOKUP(Tablo518[[#This Row],[ÜRÜN KODU]],YMKODLARI!$A$1:$K$363,2,0)," ")</f>
        <v xml:space="preserve"> </v>
      </c>
      <c r="C547" s="99"/>
      <c r="D547" s="100"/>
      <c r="E547" s="101"/>
      <c r="F547" s="101"/>
      <c r="G547" s="100" t="str">
        <f>IFERROR(VLOOKUP(Tablo518[[#This Row],[ÜRÜN KODU]],YMKODLARI!$A$1:$K$363,3,0)," ")</f>
        <v xml:space="preserve"> </v>
      </c>
      <c r="H547" s="100" t="str">
        <f>IFERROR(VLOOKUP(Tablo518[[#This Row],[ÜRÜN KODU]],YMKODLARI!$A$1:$K$363,4,0)," ")</f>
        <v xml:space="preserve"> </v>
      </c>
      <c r="I547" s="100"/>
      <c r="J547" s="100" t="str">
        <f>IFERROR(VLOOKUP(Tablo518[[#This Row],[ÜRÜN KODU]],YMKODLARI!$A$1:$K$363,9,0)," ")</f>
        <v xml:space="preserve"> </v>
      </c>
      <c r="K547" s="100" t="str">
        <f>IFERROR(VLOOKUP(Tablo518[[#This Row],[BOYA KODU]],Tablo14[#All],4,0)," ")</f>
        <v xml:space="preserve"> </v>
      </c>
      <c r="L547" s="100" t="str">
        <f>IFERROR(VLOOKUP(Tablo518[[#This Row],[BOYA KODU]],Tablo14[#All],6,0)," ")</f>
        <v xml:space="preserve"> </v>
      </c>
      <c r="M547" s="100" t="str">
        <f t="shared" si="56"/>
        <v xml:space="preserve"> </v>
      </c>
      <c r="N547" s="100" t="str">
        <f>IFERROR(VLOOKUP(Tablo518[[#This Row],[ÜRÜN KODU]],YMKODLARI!$A$1:$K$363,8,0)," ")</f>
        <v xml:space="preserve"> </v>
      </c>
      <c r="O547" s="100" t="str">
        <f>IFERROR(VLOOKUP(Tablo518[[#This Row],[HAMMADDE KODU]],Tablo1[#All],3,0)," ")</f>
        <v xml:space="preserve"> </v>
      </c>
      <c r="P547" s="100" t="str">
        <f>IFERROR(VLOOKUP(Tablo518[[#This Row],[HAMMADDE KODU]],Tablo1[#All],4,0)," ")</f>
        <v xml:space="preserve"> </v>
      </c>
      <c r="Q547" s="100" t="str">
        <f>IFERROR(VLOOKUP(Tablo518[[#This Row],[ÜRÜN KODU]],YMKODLARI!$A$1:$K$363,5,0)," ")</f>
        <v xml:space="preserve"> </v>
      </c>
      <c r="R547" s="100" t="str">
        <f>IFERROR(VLOOKUP(Tablo518[[#This Row],[ÜRÜN KODU]],YMKODLARI!$A$1:$K$363,6,0)," ")</f>
        <v xml:space="preserve"> </v>
      </c>
      <c r="S547" s="100" t="str">
        <f>IFERROR(Tablo518[[#This Row],[YOLLUK HARİÇ BASKI GRAMI]]/Tablo518[[#This Row],[KALIP GÖZ ADEDİ]]," ")</f>
        <v xml:space="preserve"> </v>
      </c>
      <c r="T547" s="100" t="str">
        <f t="shared" si="58"/>
        <v xml:space="preserve"> </v>
      </c>
      <c r="U547" s="100"/>
      <c r="V547" s="100" t="str">
        <f t="shared" si="57"/>
        <v xml:space="preserve"> </v>
      </c>
      <c r="W547" s="101">
        <f t="shared" si="59"/>
        <v>24</v>
      </c>
      <c r="X547" s="102">
        <f t="shared" si="60"/>
        <v>0</v>
      </c>
      <c r="Y547" s="100" t="str">
        <f t="shared" si="61"/>
        <v xml:space="preserve"> </v>
      </c>
      <c r="Z547" s="100" t="str">
        <f t="shared" si="62"/>
        <v xml:space="preserve"> </v>
      </c>
    </row>
    <row r="548" spans="1:26">
      <c r="A548" s="108"/>
      <c r="B548" s="108" t="str">
        <f>IFERROR(VLOOKUP(Tablo518[[#This Row],[ÜRÜN KODU]],YMKODLARI!$A$1:$K$363,2,0)," ")</f>
        <v xml:space="preserve"> </v>
      </c>
      <c r="C548" s="99"/>
      <c r="D548" s="100"/>
      <c r="E548" s="101"/>
      <c r="F548" s="101"/>
      <c r="G548" s="100" t="str">
        <f>IFERROR(VLOOKUP(Tablo518[[#This Row],[ÜRÜN KODU]],YMKODLARI!$A$1:$K$363,3,0)," ")</f>
        <v xml:space="preserve"> </v>
      </c>
      <c r="H548" s="100" t="str">
        <f>IFERROR(VLOOKUP(Tablo518[[#This Row],[ÜRÜN KODU]],YMKODLARI!$A$1:$K$363,4,0)," ")</f>
        <v xml:space="preserve"> </v>
      </c>
      <c r="I548" s="100"/>
      <c r="J548" s="100" t="str">
        <f>IFERROR(VLOOKUP(Tablo518[[#This Row],[ÜRÜN KODU]],YMKODLARI!$A$1:$K$363,9,0)," ")</f>
        <v xml:space="preserve"> </v>
      </c>
      <c r="K548" s="100" t="str">
        <f>IFERROR(VLOOKUP(Tablo518[[#This Row],[BOYA KODU]],Tablo14[#All],4,0)," ")</f>
        <v xml:space="preserve"> </v>
      </c>
      <c r="L548" s="100" t="str">
        <f>IFERROR(VLOOKUP(Tablo518[[#This Row],[BOYA KODU]],Tablo14[#All],6,0)," ")</f>
        <v xml:space="preserve"> </v>
      </c>
      <c r="M548" s="100" t="str">
        <f t="shared" si="56"/>
        <v xml:space="preserve"> </v>
      </c>
      <c r="N548" s="100" t="str">
        <f>IFERROR(VLOOKUP(Tablo518[[#This Row],[ÜRÜN KODU]],YMKODLARI!$A$1:$K$363,8,0)," ")</f>
        <v xml:space="preserve"> </v>
      </c>
      <c r="O548" s="100" t="str">
        <f>IFERROR(VLOOKUP(Tablo518[[#This Row],[HAMMADDE KODU]],Tablo1[#All],3,0)," ")</f>
        <v xml:space="preserve"> </v>
      </c>
      <c r="P548" s="100" t="str">
        <f>IFERROR(VLOOKUP(Tablo518[[#This Row],[HAMMADDE KODU]],Tablo1[#All],4,0)," ")</f>
        <v xml:space="preserve"> </v>
      </c>
      <c r="Q548" s="100" t="str">
        <f>IFERROR(VLOOKUP(Tablo518[[#This Row],[ÜRÜN KODU]],YMKODLARI!$A$1:$K$363,5,0)," ")</f>
        <v xml:space="preserve"> </v>
      </c>
      <c r="R548" s="100" t="str">
        <f>IFERROR(VLOOKUP(Tablo518[[#This Row],[ÜRÜN KODU]],YMKODLARI!$A$1:$K$363,6,0)," ")</f>
        <v xml:space="preserve"> </v>
      </c>
      <c r="S548" s="100" t="str">
        <f>IFERROR(Tablo518[[#This Row],[YOLLUK HARİÇ BASKI GRAMI]]/Tablo518[[#This Row],[KALIP GÖZ ADEDİ]]," ")</f>
        <v xml:space="preserve"> </v>
      </c>
      <c r="T548" s="100" t="str">
        <f t="shared" si="58"/>
        <v xml:space="preserve"> </v>
      </c>
      <c r="U548" s="100"/>
      <c r="V548" s="100" t="str">
        <f t="shared" si="57"/>
        <v xml:space="preserve"> </v>
      </c>
      <c r="W548" s="101">
        <f t="shared" si="59"/>
        <v>24</v>
      </c>
      <c r="X548" s="102">
        <f t="shared" si="60"/>
        <v>0</v>
      </c>
      <c r="Y548" s="100" t="str">
        <f t="shared" si="61"/>
        <v xml:space="preserve"> </v>
      </c>
      <c r="Z548" s="100" t="str">
        <f t="shared" si="62"/>
        <v xml:space="preserve"> </v>
      </c>
    </row>
    <row r="549" spans="1:26">
      <c r="A549" s="108"/>
      <c r="B549" s="108" t="str">
        <f>IFERROR(VLOOKUP(Tablo518[[#This Row],[ÜRÜN KODU]],YMKODLARI!$A$1:$K$363,2,0)," ")</f>
        <v xml:space="preserve"> </v>
      </c>
      <c r="C549" s="99"/>
      <c r="D549" s="100"/>
      <c r="E549" s="101"/>
      <c r="F549" s="101"/>
      <c r="G549" s="100" t="str">
        <f>IFERROR(VLOOKUP(Tablo518[[#This Row],[ÜRÜN KODU]],YMKODLARI!$A$1:$K$363,3,0)," ")</f>
        <v xml:space="preserve"> </v>
      </c>
      <c r="H549" s="100" t="str">
        <f>IFERROR(VLOOKUP(Tablo518[[#This Row],[ÜRÜN KODU]],YMKODLARI!$A$1:$K$363,4,0)," ")</f>
        <v xml:space="preserve"> </v>
      </c>
      <c r="I549" s="100"/>
      <c r="J549" s="100" t="str">
        <f>IFERROR(VLOOKUP(Tablo518[[#This Row],[ÜRÜN KODU]],YMKODLARI!$A$1:$K$363,9,0)," ")</f>
        <v xml:space="preserve"> </v>
      </c>
      <c r="K549" s="100" t="str">
        <f>IFERROR(VLOOKUP(Tablo518[[#This Row],[BOYA KODU]],Tablo14[#All],4,0)," ")</f>
        <v xml:space="preserve"> </v>
      </c>
      <c r="L549" s="100" t="str">
        <f>IFERROR(VLOOKUP(Tablo518[[#This Row],[BOYA KODU]],Tablo14[#All],6,0)," ")</f>
        <v xml:space="preserve"> </v>
      </c>
      <c r="M549" s="100" t="str">
        <f t="shared" si="56"/>
        <v xml:space="preserve"> </v>
      </c>
      <c r="N549" s="100" t="str">
        <f>IFERROR(VLOOKUP(Tablo518[[#This Row],[ÜRÜN KODU]],YMKODLARI!$A$1:$K$363,8,0)," ")</f>
        <v xml:space="preserve"> </v>
      </c>
      <c r="O549" s="100" t="str">
        <f>IFERROR(VLOOKUP(Tablo518[[#This Row],[HAMMADDE KODU]],Tablo1[#All],3,0)," ")</f>
        <v xml:space="preserve"> </v>
      </c>
      <c r="P549" s="100" t="str">
        <f>IFERROR(VLOOKUP(Tablo518[[#This Row],[HAMMADDE KODU]],Tablo1[#All],4,0)," ")</f>
        <v xml:space="preserve"> </v>
      </c>
      <c r="Q549" s="100" t="str">
        <f>IFERROR(VLOOKUP(Tablo518[[#This Row],[ÜRÜN KODU]],YMKODLARI!$A$1:$K$363,5,0)," ")</f>
        <v xml:space="preserve"> </v>
      </c>
      <c r="R549" s="100" t="str">
        <f>IFERROR(VLOOKUP(Tablo518[[#This Row],[ÜRÜN KODU]],YMKODLARI!$A$1:$K$363,6,0)," ")</f>
        <v xml:space="preserve"> </v>
      </c>
      <c r="S549" s="100" t="str">
        <f>IFERROR(Tablo518[[#This Row],[YOLLUK HARİÇ BASKI GRAMI]]/Tablo518[[#This Row],[KALIP GÖZ ADEDİ]]," ")</f>
        <v xml:space="preserve"> </v>
      </c>
      <c r="T549" s="100" t="str">
        <f t="shared" si="58"/>
        <v xml:space="preserve"> </v>
      </c>
      <c r="U549" s="100"/>
      <c r="V549" s="100" t="str">
        <f t="shared" si="57"/>
        <v xml:space="preserve"> </v>
      </c>
      <c r="W549" s="101">
        <f t="shared" si="59"/>
        <v>24</v>
      </c>
      <c r="X549" s="102">
        <f t="shared" si="60"/>
        <v>0</v>
      </c>
      <c r="Y549" s="100" t="str">
        <f t="shared" si="61"/>
        <v xml:space="preserve"> </v>
      </c>
      <c r="Z549" s="100" t="str">
        <f t="shared" si="62"/>
        <v xml:space="preserve"> </v>
      </c>
    </row>
    <row r="550" spans="1:26">
      <c r="A550" s="108"/>
      <c r="B550" s="108" t="str">
        <f>IFERROR(VLOOKUP(Tablo518[[#This Row],[ÜRÜN KODU]],YMKODLARI!$A$1:$K$363,2,0)," ")</f>
        <v xml:space="preserve"> </v>
      </c>
      <c r="C550" s="99"/>
      <c r="D550" s="100"/>
      <c r="E550" s="101"/>
      <c r="F550" s="101"/>
      <c r="G550" s="100" t="str">
        <f>IFERROR(VLOOKUP(Tablo518[[#This Row],[ÜRÜN KODU]],YMKODLARI!$A$1:$K$363,3,0)," ")</f>
        <v xml:space="preserve"> </v>
      </c>
      <c r="H550" s="100" t="str">
        <f>IFERROR(VLOOKUP(Tablo518[[#This Row],[ÜRÜN KODU]],YMKODLARI!$A$1:$K$363,4,0)," ")</f>
        <v xml:space="preserve"> </v>
      </c>
      <c r="I550" s="100"/>
      <c r="J550" s="100" t="str">
        <f>IFERROR(VLOOKUP(Tablo518[[#This Row],[ÜRÜN KODU]],YMKODLARI!$A$1:$K$363,9,0)," ")</f>
        <v xml:space="preserve"> </v>
      </c>
      <c r="K550" s="100" t="str">
        <f>IFERROR(VLOOKUP(Tablo518[[#This Row],[BOYA KODU]],Tablo14[#All],4,0)," ")</f>
        <v xml:space="preserve"> </v>
      </c>
      <c r="L550" s="100" t="str">
        <f>IFERROR(VLOOKUP(Tablo518[[#This Row],[BOYA KODU]],Tablo14[#All],6,0)," ")</f>
        <v xml:space="preserve"> </v>
      </c>
      <c r="M550" s="100" t="str">
        <f t="shared" si="56"/>
        <v xml:space="preserve"> </v>
      </c>
      <c r="N550" s="100" t="str">
        <f>IFERROR(VLOOKUP(Tablo518[[#This Row],[ÜRÜN KODU]],YMKODLARI!$A$1:$K$363,8,0)," ")</f>
        <v xml:space="preserve"> </v>
      </c>
      <c r="O550" s="100" t="str">
        <f>IFERROR(VLOOKUP(Tablo518[[#This Row],[HAMMADDE KODU]],Tablo1[#All],3,0)," ")</f>
        <v xml:space="preserve"> </v>
      </c>
      <c r="P550" s="100" t="str">
        <f>IFERROR(VLOOKUP(Tablo518[[#This Row],[HAMMADDE KODU]],Tablo1[#All],4,0)," ")</f>
        <v xml:space="preserve"> </v>
      </c>
      <c r="Q550" s="100" t="str">
        <f>IFERROR(VLOOKUP(Tablo518[[#This Row],[ÜRÜN KODU]],YMKODLARI!$A$1:$K$363,5,0)," ")</f>
        <v xml:space="preserve"> </v>
      </c>
      <c r="R550" s="100" t="str">
        <f>IFERROR(VLOOKUP(Tablo518[[#This Row],[ÜRÜN KODU]],YMKODLARI!$A$1:$K$363,6,0)," ")</f>
        <v xml:space="preserve"> </v>
      </c>
      <c r="S550" s="100" t="str">
        <f>IFERROR(Tablo518[[#This Row],[YOLLUK HARİÇ BASKI GRAMI]]/Tablo518[[#This Row],[KALIP GÖZ ADEDİ]]," ")</f>
        <v xml:space="preserve"> </v>
      </c>
      <c r="T550" s="100" t="str">
        <f t="shared" si="58"/>
        <v xml:space="preserve"> </v>
      </c>
      <c r="U550" s="100"/>
      <c r="V550" s="100" t="str">
        <f t="shared" si="57"/>
        <v xml:space="preserve"> </v>
      </c>
      <c r="W550" s="101">
        <f t="shared" si="59"/>
        <v>24</v>
      </c>
      <c r="X550" s="102">
        <f t="shared" si="60"/>
        <v>0</v>
      </c>
      <c r="Y550" s="100" t="str">
        <f t="shared" si="61"/>
        <v xml:space="preserve"> </v>
      </c>
      <c r="Z550" s="100" t="str">
        <f t="shared" si="62"/>
        <v xml:space="preserve"> </v>
      </c>
    </row>
    <row r="551" spans="1:26">
      <c r="A551" s="108"/>
      <c r="B551" s="108" t="str">
        <f>IFERROR(VLOOKUP(Tablo518[[#This Row],[ÜRÜN KODU]],YMKODLARI!$A$1:$K$363,2,0)," ")</f>
        <v xml:space="preserve"> </v>
      </c>
      <c r="C551" s="99"/>
      <c r="D551" s="100"/>
      <c r="E551" s="101"/>
      <c r="F551" s="101"/>
      <c r="G551" s="100" t="str">
        <f>IFERROR(VLOOKUP(Tablo518[[#This Row],[ÜRÜN KODU]],YMKODLARI!$A$1:$K$363,3,0)," ")</f>
        <v xml:space="preserve"> </v>
      </c>
      <c r="H551" s="100" t="str">
        <f>IFERROR(VLOOKUP(Tablo518[[#This Row],[ÜRÜN KODU]],YMKODLARI!$A$1:$K$363,4,0)," ")</f>
        <v xml:space="preserve"> </v>
      </c>
      <c r="I551" s="100"/>
      <c r="J551" s="100" t="str">
        <f>IFERROR(VLOOKUP(Tablo518[[#This Row],[ÜRÜN KODU]],YMKODLARI!$A$1:$K$363,9,0)," ")</f>
        <v xml:space="preserve"> </v>
      </c>
      <c r="K551" s="100" t="str">
        <f>IFERROR(VLOOKUP(Tablo518[[#This Row],[BOYA KODU]],Tablo14[#All],4,0)," ")</f>
        <v xml:space="preserve"> </v>
      </c>
      <c r="L551" s="100" t="str">
        <f>IFERROR(VLOOKUP(Tablo518[[#This Row],[BOYA KODU]],Tablo14[#All],6,0)," ")</f>
        <v xml:space="preserve"> </v>
      </c>
      <c r="M551" s="100" t="str">
        <f t="shared" si="56"/>
        <v xml:space="preserve"> </v>
      </c>
      <c r="N551" s="100" t="str">
        <f>IFERROR(VLOOKUP(Tablo518[[#This Row],[ÜRÜN KODU]],YMKODLARI!$A$1:$K$363,8,0)," ")</f>
        <v xml:space="preserve"> </v>
      </c>
      <c r="O551" s="100" t="str">
        <f>IFERROR(VLOOKUP(Tablo518[[#This Row],[HAMMADDE KODU]],Tablo1[#All],3,0)," ")</f>
        <v xml:space="preserve"> </v>
      </c>
      <c r="P551" s="100" t="str">
        <f>IFERROR(VLOOKUP(Tablo518[[#This Row],[HAMMADDE KODU]],Tablo1[#All],4,0)," ")</f>
        <v xml:space="preserve"> </v>
      </c>
      <c r="Q551" s="100" t="str">
        <f>IFERROR(VLOOKUP(Tablo518[[#This Row],[ÜRÜN KODU]],YMKODLARI!$A$1:$K$363,5,0)," ")</f>
        <v xml:space="preserve"> </v>
      </c>
      <c r="R551" s="100" t="str">
        <f>IFERROR(VLOOKUP(Tablo518[[#This Row],[ÜRÜN KODU]],YMKODLARI!$A$1:$K$363,6,0)," ")</f>
        <v xml:space="preserve"> </v>
      </c>
      <c r="S551" s="100" t="str">
        <f>IFERROR(Tablo518[[#This Row],[YOLLUK HARİÇ BASKI GRAMI]]/Tablo518[[#This Row],[KALIP GÖZ ADEDİ]]," ")</f>
        <v xml:space="preserve"> </v>
      </c>
      <c r="T551" s="100" t="str">
        <f t="shared" si="58"/>
        <v xml:space="preserve"> </v>
      </c>
      <c r="U551" s="100"/>
      <c r="V551" s="100" t="str">
        <f t="shared" si="57"/>
        <v xml:space="preserve"> </v>
      </c>
      <c r="W551" s="101">
        <f t="shared" si="59"/>
        <v>24</v>
      </c>
      <c r="X551" s="102">
        <f t="shared" si="60"/>
        <v>0</v>
      </c>
      <c r="Y551" s="100" t="str">
        <f t="shared" si="61"/>
        <v xml:space="preserve"> </v>
      </c>
      <c r="Z551" s="100" t="str">
        <f t="shared" si="62"/>
        <v xml:space="preserve"> </v>
      </c>
    </row>
    <row r="552" spans="1:26">
      <c r="A552" s="108"/>
      <c r="B552" s="108" t="str">
        <f>IFERROR(VLOOKUP(Tablo518[[#This Row],[ÜRÜN KODU]],YMKODLARI!$A$1:$K$363,2,0)," ")</f>
        <v xml:space="preserve"> </v>
      </c>
      <c r="C552" s="99"/>
      <c r="D552" s="100"/>
      <c r="E552" s="101"/>
      <c r="F552" s="101"/>
      <c r="G552" s="100" t="str">
        <f>IFERROR(VLOOKUP(Tablo518[[#This Row],[ÜRÜN KODU]],YMKODLARI!$A$1:$K$363,3,0)," ")</f>
        <v xml:space="preserve"> </v>
      </c>
      <c r="H552" s="100" t="str">
        <f>IFERROR(VLOOKUP(Tablo518[[#This Row],[ÜRÜN KODU]],YMKODLARI!$A$1:$K$363,4,0)," ")</f>
        <v xml:space="preserve"> </v>
      </c>
      <c r="I552" s="100"/>
      <c r="J552" s="100" t="str">
        <f>IFERROR(VLOOKUP(Tablo518[[#This Row],[ÜRÜN KODU]],YMKODLARI!$A$1:$K$363,9,0)," ")</f>
        <v xml:space="preserve"> </v>
      </c>
      <c r="K552" s="100" t="str">
        <f>IFERROR(VLOOKUP(Tablo518[[#This Row],[BOYA KODU]],Tablo14[#All],4,0)," ")</f>
        <v xml:space="preserve"> </v>
      </c>
      <c r="L552" s="100" t="str">
        <f>IFERROR(VLOOKUP(Tablo518[[#This Row],[BOYA KODU]],Tablo14[#All],6,0)," ")</f>
        <v xml:space="preserve"> </v>
      </c>
      <c r="M552" s="100" t="str">
        <f t="shared" si="56"/>
        <v xml:space="preserve"> </v>
      </c>
      <c r="N552" s="100" t="str">
        <f>IFERROR(VLOOKUP(Tablo518[[#This Row],[ÜRÜN KODU]],YMKODLARI!$A$1:$K$363,8,0)," ")</f>
        <v xml:space="preserve"> </v>
      </c>
      <c r="O552" s="100" t="str">
        <f>IFERROR(VLOOKUP(Tablo518[[#This Row],[HAMMADDE KODU]],Tablo1[#All],3,0)," ")</f>
        <v xml:space="preserve"> </v>
      </c>
      <c r="P552" s="100" t="str">
        <f>IFERROR(VLOOKUP(Tablo518[[#This Row],[HAMMADDE KODU]],Tablo1[#All],4,0)," ")</f>
        <v xml:space="preserve"> </v>
      </c>
      <c r="Q552" s="100" t="str">
        <f>IFERROR(VLOOKUP(Tablo518[[#This Row],[ÜRÜN KODU]],YMKODLARI!$A$1:$K$363,5,0)," ")</f>
        <v xml:space="preserve"> </v>
      </c>
      <c r="R552" s="100" t="str">
        <f>IFERROR(VLOOKUP(Tablo518[[#This Row],[ÜRÜN KODU]],YMKODLARI!$A$1:$K$363,6,0)," ")</f>
        <v xml:space="preserve"> </v>
      </c>
      <c r="S552" s="100" t="str">
        <f>IFERROR(Tablo518[[#This Row],[YOLLUK HARİÇ BASKI GRAMI]]/Tablo518[[#This Row],[KALIP GÖZ ADEDİ]]," ")</f>
        <v xml:space="preserve"> </v>
      </c>
      <c r="T552" s="100" t="str">
        <f t="shared" si="58"/>
        <v xml:space="preserve"> </v>
      </c>
      <c r="U552" s="100"/>
      <c r="V552" s="100" t="str">
        <f t="shared" si="57"/>
        <v xml:space="preserve"> </v>
      </c>
      <c r="W552" s="101">
        <f t="shared" si="59"/>
        <v>24</v>
      </c>
      <c r="X552" s="102">
        <f t="shared" si="60"/>
        <v>0</v>
      </c>
      <c r="Y552" s="100" t="str">
        <f t="shared" si="61"/>
        <v xml:space="preserve"> </v>
      </c>
      <c r="Z552" s="100" t="str">
        <f t="shared" si="62"/>
        <v xml:space="preserve"> </v>
      </c>
    </row>
    <row r="553" spans="1:26">
      <c r="A553" s="108"/>
      <c r="B553" s="108" t="str">
        <f>IFERROR(VLOOKUP(Tablo518[[#This Row],[ÜRÜN KODU]],YMKODLARI!$A$1:$K$363,2,0)," ")</f>
        <v xml:space="preserve"> </v>
      </c>
      <c r="C553" s="99"/>
      <c r="D553" s="100"/>
      <c r="E553" s="101"/>
      <c r="F553" s="101"/>
      <c r="G553" s="100" t="str">
        <f>IFERROR(VLOOKUP(Tablo518[[#This Row],[ÜRÜN KODU]],YMKODLARI!$A$1:$K$363,3,0)," ")</f>
        <v xml:space="preserve"> </v>
      </c>
      <c r="H553" s="100" t="str">
        <f>IFERROR(VLOOKUP(Tablo518[[#This Row],[ÜRÜN KODU]],YMKODLARI!$A$1:$K$363,4,0)," ")</f>
        <v xml:space="preserve"> </v>
      </c>
      <c r="I553" s="100"/>
      <c r="J553" s="100" t="str">
        <f>IFERROR(VLOOKUP(Tablo518[[#This Row],[ÜRÜN KODU]],YMKODLARI!$A$1:$K$363,9,0)," ")</f>
        <v xml:space="preserve"> </v>
      </c>
      <c r="K553" s="100" t="str">
        <f>IFERROR(VLOOKUP(Tablo518[[#This Row],[BOYA KODU]],Tablo14[#All],4,0)," ")</f>
        <v xml:space="preserve"> </v>
      </c>
      <c r="L553" s="100" t="str">
        <f>IFERROR(VLOOKUP(Tablo518[[#This Row],[BOYA KODU]],Tablo14[#All],6,0)," ")</f>
        <v xml:space="preserve"> </v>
      </c>
      <c r="M553" s="100" t="str">
        <f t="shared" si="56"/>
        <v xml:space="preserve"> </v>
      </c>
      <c r="N553" s="100" t="str">
        <f>IFERROR(VLOOKUP(Tablo518[[#This Row],[ÜRÜN KODU]],YMKODLARI!$A$1:$K$363,8,0)," ")</f>
        <v xml:space="preserve"> </v>
      </c>
      <c r="O553" s="100" t="str">
        <f>IFERROR(VLOOKUP(Tablo518[[#This Row],[HAMMADDE KODU]],Tablo1[#All],3,0)," ")</f>
        <v xml:space="preserve"> </v>
      </c>
      <c r="P553" s="100" t="str">
        <f>IFERROR(VLOOKUP(Tablo518[[#This Row],[HAMMADDE KODU]],Tablo1[#All],4,0)," ")</f>
        <v xml:space="preserve"> </v>
      </c>
      <c r="Q553" s="100" t="str">
        <f>IFERROR(VLOOKUP(Tablo518[[#This Row],[ÜRÜN KODU]],YMKODLARI!$A$1:$K$363,5,0)," ")</f>
        <v xml:space="preserve"> </v>
      </c>
      <c r="R553" s="100" t="str">
        <f>IFERROR(VLOOKUP(Tablo518[[#This Row],[ÜRÜN KODU]],YMKODLARI!$A$1:$K$363,6,0)," ")</f>
        <v xml:space="preserve"> </v>
      </c>
      <c r="S553" s="100" t="str">
        <f>IFERROR(Tablo518[[#This Row],[YOLLUK HARİÇ BASKI GRAMI]]/Tablo518[[#This Row],[KALIP GÖZ ADEDİ]]," ")</f>
        <v xml:space="preserve"> </v>
      </c>
      <c r="T553" s="100" t="str">
        <f t="shared" si="58"/>
        <v xml:space="preserve"> </v>
      </c>
      <c r="U553" s="100"/>
      <c r="V553" s="100" t="str">
        <f t="shared" si="57"/>
        <v xml:space="preserve"> </v>
      </c>
      <c r="W553" s="101">
        <f t="shared" si="59"/>
        <v>24</v>
      </c>
      <c r="X553" s="102">
        <f t="shared" si="60"/>
        <v>0</v>
      </c>
      <c r="Y553" s="100" t="str">
        <f t="shared" si="61"/>
        <v xml:space="preserve"> </v>
      </c>
      <c r="Z553" s="100" t="str">
        <f t="shared" si="62"/>
        <v xml:space="preserve"> </v>
      </c>
    </row>
    <row r="554" spans="1:26">
      <c r="A554" s="108"/>
      <c r="B554" s="108" t="str">
        <f>IFERROR(VLOOKUP(Tablo518[[#This Row],[ÜRÜN KODU]],YMKODLARI!$A$1:$K$363,2,0)," ")</f>
        <v xml:space="preserve"> </v>
      </c>
      <c r="C554" s="99"/>
      <c r="D554" s="100"/>
      <c r="E554" s="101"/>
      <c r="F554" s="101"/>
      <c r="G554" s="100" t="str">
        <f>IFERROR(VLOOKUP(Tablo518[[#This Row],[ÜRÜN KODU]],YMKODLARI!$A$1:$K$363,3,0)," ")</f>
        <v xml:space="preserve"> </v>
      </c>
      <c r="H554" s="100" t="str">
        <f>IFERROR(VLOOKUP(Tablo518[[#This Row],[ÜRÜN KODU]],YMKODLARI!$A$1:$K$363,4,0)," ")</f>
        <v xml:space="preserve"> </v>
      </c>
      <c r="I554" s="100"/>
      <c r="J554" s="100" t="str">
        <f>IFERROR(VLOOKUP(Tablo518[[#This Row],[ÜRÜN KODU]],YMKODLARI!$A$1:$K$363,9,0)," ")</f>
        <v xml:space="preserve"> </v>
      </c>
      <c r="K554" s="100" t="str">
        <f>IFERROR(VLOOKUP(Tablo518[[#This Row],[BOYA KODU]],Tablo14[#All],4,0)," ")</f>
        <v xml:space="preserve"> </v>
      </c>
      <c r="L554" s="100" t="str">
        <f>IFERROR(VLOOKUP(Tablo518[[#This Row],[BOYA KODU]],Tablo14[#All],6,0)," ")</f>
        <v xml:space="preserve"> </v>
      </c>
      <c r="M554" s="100" t="str">
        <f t="shared" si="56"/>
        <v xml:space="preserve"> </v>
      </c>
      <c r="N554" s="100" t="str">
        <f>IFERROR(VLOOKUP(Tablo518[[#This Row],[ÜRÜN KODU]],YMKODLARI!$A$1:$K$363,8,0)," ")</f>
        <v xml:space="preserve"> </v>
      </c>
      <c r="O554" s="100" t="str">
        <f>IFERROR(VLOOKUP(Tablo518[[#This Row],[HAMMADDE KODU]],Tablo1[#All],3,0)," ")</f>
        <v xml:space="preserve"> </v>
      </c>
      <c r="P554" s="100" t="str">
        <f>IFERROR(VLOOKUP(Tablo518[[#This Row],[HAMMADDE KODU]],Tablo1[#All],4,0)," ")</f>
        <v xml:space="preserve"> </v>
      </c>
      <c r="Q554" s="100" t="str">
        <f>IFERROR(VLOOKUP(Tablo518[[#This Row],[ÜRÜN KODU]],YMKODLARI!$A$1:$K$363,5,0)," ")</f>
        <v xml:space="preserve"> </v>
      </c>
      <c r="R554" s="100" t="str">
        <f>IFERROR(VLOOKUP(Tablo518[[#This Row],[ÜRÜN KODU]],YMKODLARI!$A$1:$K$363,6,0)," ")</f>
        <v xml:space="preserve"> </v>
      </c>
      <c r="S554" s="100" t="str">
        <f>IFERROR(Tablo518[[#This Row],[YOLLUK HARİÇ BASKI GRAMI]]/Tablo518[[#This Row],[KALIP GÖZ ADEDİ]]," ")</f>
        <v xml:space="preserve"> </v>
      </c>
      <c r="T554" s="100" t="str">
        <f t="shared" si="58"/>
        <v xml:space="preserve"> </v>
      </c>
      <c r="U554" s="100"/>
      <c r="V554" s="100" t="str">
        <f t="shared" si="57"/>
        <v xml:space="preserve"> </v>
      </c>
      <c r="W554" s="101">
        <f t="shared" si="59"/>
        <v>24</v>
      </c>
      <c r="X554" s="102">
        <f t="shared" si="60"/>
        <v>0</v>
      </c>
      <c r="Y554" s="100" t="str">
        <f t="shared" si="61"/>
        <v xml:space="preserve"> </v>
      </c>
      <c r="Z554" s="100" t="str">
        <f t="shared" si="62"/>
        <v xml:space="preserve"> </v>
      </c>
    </row>
    <row r="555" spans="1:26">
      <c r="A555" s="108"/>
      <c r="B555" s="108" t="str">
        <f>IFERROR(VLOOKUP(Tablo518[[#This Row],[ÜRÜN KODU]],YMKODLARI!$A$1:$K$363,2,0)," ")</f>
        <v xml:space="preserve"> </v>
      </c>
      <c r="C555" s="99"/>
      <c r="D555" s="100"/>
      <c r="E555" s="101"/>
      <c r="F555" s="101"/>
      <c r="G555" s="100" t="str">
        <f>IFERROR(VLOOKUP(Tablo518[[#This Row],[ÜRÜN KODU]],YMKODLARI!$A$1:$K$363,3,0)," ")</f>
        <v xml:space="preserve"> </v>
      </c>
      <c r="H555" s="100" t="str">
        <f>IFERROR(VLOOKUP(Tablo518[[#This Row],[ÜRÜN KODU]],YMKODLARI!$A$1:$K$363,4,0)," ")</f>
        <v xml:space="preserve"> </v>
      </c>
      <c r="I555" s="100"/>
      <c r="J555" s="100" t="str">
        <f>IFERROR(VLOOKUP(Tablo518[[#This Row],[ÜRÜN KODU]],YMKODLARI!$A$1:$K$363,9,0)," ")</f>
        <v xml:space="preserve"> </v>
      </c>
      <c r="K555" s="100" t="str">
        <f>IFERROR(VLOOKUP(Tablo518[[#This Row],[BOYA KODU]],Tablo14[#All],4,0)," ")</f>
        <v xml:space="preserve"> </v>
      </c>
      <c r="L555" s="100" t="str">
        <f>IFERROR(VLOOKUP(Tablo518[[#This Row],[BOYA KODU]],Tablo14[#All],6,0)," ")</f>
        <v xml:space="preserve"> </v>
      </c>
      <c r="M555" s="100" t="str">
        <f t="shared" si="56"/>
        <v xml:space="preserve"> </v>
      </c>
      <c r="N555" s="100" t="str">
        <f>IFERROR(VLOOKUP(Tablo518[[#This Row],[ÜRÜN KODU]],YMKODLARI!$A$1:$K$363,8,0)," ")</f>
        <v xml:space="preserve"> </v>
      </c>
      <c r="O555" s="100" t="str">
        <f>IFERROR(VLOOKUP(Tablo518[[#This Row],[HAMMADDE KODU]],Tablo1[#All],3,0)," ")</f>
        <v xml:space="preserve"> </v>
      </c>
      <c r="P555" s="100" t="str">
        <f>IFERROR(VLOOKUP(Tablo518[[#This Row],[HAMMADDE KODU]],Tablo1[#All],4,0)," ")</f>
        <v xml:space="preserve"> </v>
      </c>
      <c r="Q555" s="100" t="str">
        <f>IFERROR(VLOOKUP(Tablo518[[#This Row],[ÜRÜN KODU]],YMKODLARI!$A$1:$K$363,5,0)," ")</f>
        <v xml:space="preserve"> </v>
      </c>
      <c r="R555" s="100" t="str">
        <f>IFERROR(VLOOKUP(Tablo518[[#This Row],[ÜRÜN KODU]],YMKODLARI!$A$1:$K$363,6,0)," ")</f>
        <v xml:space="preserve"> </v>
      </c>
      <c r="S555" s="100" t="str">
        <f>IFERROR(Tablo518[[#This Row],[YOLLUK HARİÇ BASKI GRAMI]]/Tablo518[[#This Row],[KALIP GÖZ ADEDİ]]," ")</f>
        <v xml:space="preserve"> </v>
      </c>
      <c r="T555" s="100" t="str">
        <f t="shared" si="58"/>
        <v xml:space="preserve"> </v>
      </c>
      <c r="U555" s="100"/>
      <c r="V555" s="100" t="str">
        <f t="shared" si="57"/>
        <v xml:space="preserve"> </v>
      </c>
      <c r="W555" s="101">
        <f t="shared" si="59"/>
        <v>24</v>
      </c>
      <c r="X555" s="102">
        <f t="shared" si="60"/>
        <v>0</v>
      </c>
      <c r="Y555" s="100" t="str">
        <f t="shared" si="61"/>
        <v xml:space="preserve"> </v>
      </c>
      <c r="Z555" s="100" t="str">
        <f t="shared" si="62"/>
        <v xml:space="preserve"> </v>
      </c>
    </row>
    <row r="556" spans="1:26">
      <c r="A556" s="108"/>
      <c r="B556" s="108" t="str">
        <f>IFERROR(VLOOKUP(Tablo518[[#This Row],[ÜRÜN KODU]],YMKODLARI!$A$1:$K$363,2,0)," ")</f>
        <v xml:space="preserve"> </v>
      </c>
      <c r="C556" s="99"/>
      <c r="D556" s="100"/>
      <c r="E556" s="101"/>
      <c r="F556" s="101"/>
      <c r="G556" s="100" t="str">
        <f>IFERROR(VLOOKUP(Tablo518[[#This Row],[ÜRÜN KODU]],YMKODLARI!$A$1:$K$363,3,0)," ")</f>
        <v xml:space="preserve"> </v>
      </c>
      <c r="H556" s="100" t="str">
        <f>IFERROR(VLOOKUP(Tablo518[[#This Row],[ÜRÜN KODU]],YMKODLARI!$A$1:$K$363,4,0)," ")</f>
        <v xml:space="preserve"> </v>
      </c>
      <c r="I556" s="100"/>
      <c r="J556" s="100" t="str">
        <f>IFERROR(VLOOKUP(Tablo518[[#This Row],[ÜRÜN KODU]],YMKODLARI!$A$1:$K$363,9,0)," ")</f>
        <v xml:space="preserve"> </v>
      </c>
      <c r="K556" s="100" t="str">
        <f>IFERROR(VLOOKUP(Tablo518[[#This Row],[BOYA KODU]],Tablo14[#All],4,0)," ")</f>
        <v xml:space="preserve"> </v>
      </c>
      <c r="L556" s="100" t="str">
        <f>IFERROR(VLOOKUP(Tablo518[[#This Row],[BOYA KODU]],Tablo14[#All],6,0)," ")</f>
        <v xml:space="preserve"> </v>
      </c>
      <c r="M556" s="100" t="str">
        <f t="shared" si="56"/>
        <v xml:space="preserve"> </v>
      </c>
      <c r="N556" s="100" t="str">
        <f>IFERROR(VLOOKUP(Tablo518[[#This Row],[ÜRÜN KODU]],YMKODLARI!$A$1:$K$363,8,0)," ")</f>
        <v xml:space="preserve"> </v>
      </c>
      <c r="O556" s="100" t="str">
        <f>IFERROR(VLOOKUP(Tablo518[[#This Row],[HAMMADDE KODU]],Tablo1[#All],3,0)," ")</f>
        <v xml:space="preserve"> </v>
      </c>
      <c r="P556" s="100" t="str">
        <f>IFERROR(VLOOKUP(Tablo518[[#This Row],[HAMMADDE KODU]],Tablo1[#All],4,0)," ")</f>
        <v xml:space="preserve"> </v>
      </c>
      <c r="Q556" s="100" t="str">
        <f>IFERROR(VLOOKUP(Tablo518[[#This Row],[ÜRÜN KODU]],YMKODLARI!$A$1:$K$363,5,0)," ")</f>
        <v xml:space="preserve"> </v>
      </c>
      <c r="R556" s="100" t="str">
        <f>IFERROR(VLOOKUP(Tablo518[[#This Row],[ÜRÜN KODU]],YMKODLARI!$A$1:$K$363,6,0)," ")</f>
        <v xml:space="preserve"> </v>
      </c>
      <c r="S556" s="100" t="str">
        <f>IFERROR(Tablo518[[#This Row],[YOLLUK HARİÇ BASKI GRAMI]]/Tablo518[[#This Row],[KALIP GÖZ ADEDİ]]," ")</f>
        <v xml:space="preserve"> </v>
      </c>
      <c r="T556" s="100" t="str">
        <f t="shared" si="58"/>
        <v xml:space="preserve"> </v>
      </c>
      <c r="U556" s="100"/>
      <c r="V556" s="100" t="str">
        <f t="shared" si="57"/>
        <v xml:space="preserve"> </v>
      </c>
      <c r="W556" s="101">
        <f t="shared" si="59"/>
        <v>24</v>
      </c>
      <c r="X556" s="102">
        <f t="shared" si="60"/>
        <v>0</v>
      </c>
      <c r="Y556" s="100" t="str">
        <f t="shared" si="61"/>
        <v xml:space="preserve"> </v>
      </c>
      <c r="Z556" s="100" t="str">
        <f t="shared" si="62"/>
        <v xml:space="preserve"> </v>
      </c>
    </row>
    <row r="557" spans="1:26">
      <c r="A557" s="108"/>
      <c r="B557" s="108" t="str">
        <f>IFERROR(VLOOKUP(Tablo518[[#This Row],[ÜRÜN KODU]],YMKODLARI!$A$1:$K$363,2,0)," ")</f>
        <v xml:space="preserve"> </v>
      </c>
      <c r="C557" s="99"/>
      <c r="D557" s="100"/>
      <c r="E557" s="101"/>
      <c r="F557" s="101"/>
      <c r="G557" s="100" t="str">
        <f>IFERROR(VLOOKUP(Tablo518[[#This Row],[ÜRÜN KODU]],YMKODLARI!$A$1:$K$363,3,0)," ")</f>
        <v xml:space="preserve"> </v>
      </c>
      <c r="H557" s="100" t="str">
        <f>IFERROR(VLOOKUP(Tablo518[[#This Row],[ÜRÜN KODU]],YMKODLARI!$A$1:$K$363,4,0)," ")</f>
        <v xml:space="preserve"> </v>
      </c>
      <c r="I557" s="100"/>
      <c r="J557" s="100" t="str">
        <f>IFERROR(VLOOKUP(Tablo518[[#This Row],[ÜRÜN KODU]],YMKODLARI!$A$1:$K$363,9,0)," ")</f>
        <v xml:space="preserve"> </v>
      </c>
      <c r="K557" s="100" t="str">
        <f>IFERROR(VLOOKUP(Tablo518[[#This Row],[BOYA KODU]],Tablo14[#All],4,0)," ")</f>
        <v xml:space="preserve"> </v>
      </c>
      <c r="L557" s="100" t="str">
        <f>IFERROR(VLOOKUP(Tablo518[[#This Row],[BOYA KODU]],Tablo14[#All],6,0)," ")</f>
        <v xml:space="preserve"> </v>
      </c>
      <c r="M557" s="100" t="str">
        <f t="shared" si="56"/>
        <v xml:space="preserve"> </v>
      </c>
      <c r="N557" s="100" t="str">
        <f>IFERROR(VLOOKUP(Tablo518[[#This Row],[ÜRÜN KODU]],YMKODLARI!$A$1:$K$363,8,0)," ")</f>
        <v xml:space="preserve"> </v>
      </c>
      <c r="O557" s="100" t="str">
        <f>IFERROR(VLOOKUP(Tablo518[[#This Row],[HAMMADDE KODU]],Tablo1[#All],3,0)," ")</f>
        <v xml:space="preserve"> </v>
      </c>
      <c r="P557" s="100" t="str">
        <f>IFERROR(VLOOKUP(Tablo518[[#This Row],[HAMMADDE KODU]],Tablo1[#All],4,0)," ")</f>
        <v xml:space="preserve"> </v>
      </c>
      <c r="Q557" s="100" t="str">
        <f>IFERROR(VLOOKUP(Tablo518[[#This Row],[ÜRÜN KODU]],YMKODLARI!$A$1:$K$363,5,0)," ")</f>
        <v xml:space="preserve"> </v>
      </c>
      <c r="R557" s="100" t="str">
        <f>IFERROR(VLOOKUP(Tablo518[[#This Row],[ÜRÜN KODU]],YMKODLARI!$A$1:$K$363,6,0)," ")</f>
        <v xml:space="preserve"> </v>
      </c>
      <c r="S557" s="100" t="str">
        <f>IFERROR(Tablo518[[#This Row],[YOLLUK HARİÇ BASKI GRAMI]]/Tablo518[[#This Row],[KALIP GÖZ ADEDİ]]," ")</f>
        <v xml:space="preserve"> </v>
      </c>
      <c r="T557" s="100" t="str">
        <f t="shared" si="58"/>
        <v xml:space="preserve"> </v>
      </c>
      <c r="U557" s="100"/>
      <c r="V557" s="100" t="str">
        <f t="shared" si="57"/>
        <v xml:space="preserve"> </v>
      </c>
      <c r="W557" s="101">
        <f t="shared" si="59"/>
        <v>24</v>
      </c>
      <c r="X557" s="102">
        <f t="shared" si="60"/>
        <v>0</v>
      </c>
      <c r="Y557" s="100" t="str">
        <f t="shared" si="61"/>
        <v xml:space="preserve"> </v>
      </c>
      <c r="Z557" s="100" t="str">
        <f t="shared" si="62"/>
        <v xml:space="preserve"> </v>
      </c>
    </row>
    <row r="558" spans="1:26">
      <c r="A558" s="108"/>
      <c r="B558" s="108" t="str">
        <f>IFERROR(VLOOKUP(Tablo518[[#This Row],[ÜRÜN KODU]],YMKODLARI!$A$1:$K$363,2,0)," ")</f>
        <v xml:space="preserve"> </v>
      </c>
      <c r="C558" s="99"/>
      <c r="D558" s="100"/>
      <c r="E558" s="101"/>
      <c r="F558" s="101"/>
      <c r="G558" s="100" t="str">
        <f>IFERROR(VLOOKUP(Tablo518[[#This Row],[ÜRÜN KODU]],YMKODLARI!$A$1:$K$363,3,0)," ")</f>
        <v xml:space="preserve"> </v>
      </c>
      <c r="H558" s="100" t="str">
        <f>IFERROR(VLOOKUP(Tablo518[[#This Row],[ÜRÜN KODU]],YMKODLARI!$A$1:$K$363,4,0)," ")</f>
        <v xml:space="preserve"> </v>
      </c>
      <c r="I558" s="100"/>
      <c r="J558" s="100" t="str">
        <f>IFERROR(VLOOKUP(Tablo518[[#This Row],[ÜRÜN KODU]],YMKODLARI!$A$1:$K$363,9,0)," ")</f>
        <v xml:space="preserve"> </v>
      </c>
      <c r="K558" s="100" t="str">
        <f>IFERROR(VLOOKUP(Tablo518[[#This Row],[BOYA KODU]],Tablo14[#All],4,0)," ")</f>
        <v xml:space="preserve"> </v>
      </c>
      <c r="L558" s="100" t="str">
        <f>IFERROR(VLOOKUP(Tablo518[[#This Row],[BOYA KODU]],Tablo14[#All],6,0)," ")</f>
        <v xml:space="preserve"> </v>
      </c>
      <c r="M558" s="100" t="str">
        <f t="shared" si="56"/>
        <v xml:space="preserve"> </v>
      </c>
      <c r="N558" s="100" t="str">
        <f>IFERROR(VLOOKUP(Tablo518[[#This Row],[ÜRÜN KODU]],YMKODLARI!$A$1:$K$363,8,0)," ")</f>
        <v xml:space="preserve"> </v>
      </c>
      <c r="O558" s="100" t="str">
        <f>IFERROR(VLOOKUP(Tablo518[[#This Row],[HAMMADDE KODU]],Tablo1[#All],3,0)," ")</f>
        <v xml:space="preserve"> </v>
      </c>
      <c r="P558" s="100" t="str">
        <f>IFERROR(VLOOKUP(Tablo518[[#This Row],[HAMMADDE KODU]],Tablo1[#All],4,0)," ")</f>
        <v xml:space="preserve"> </v>
      </c>
      <c r="Q558" s="100" t="str">
        <f>IFERROR(VLOOKUP(Tablo518[[#This Row],[ÜRÜN KODU]],YMKODLARI!$A$1:$K$363,5,0)," ")</f>
        <v xml:space="preserve"> </v>
      </c>
      <c r="R558" s="100" t="str">
        <f>IFERROR(VLOOKUP(Tablo518[[#This Row],[ÜRÜN KODU]],YMKODLARI!$A$1:$K$363,6,0)," ")</f>
        <v xml:space="preserve"> </v>
      </c>
      <c r="S558" s="100" t="str">
        <f>IFERROR(Tablo518[[#This Row],[YOLLUK HARİÇ BASKI GRAMI]]/Tablo518[[#This Row],[KALIP GÖZ ADEDİ]]," ")</f>
        <v xml:space="preserve"> </v>
      </c>
      <c r="T558" s="100" t="str">
        <f t="shared" si="58"/>
        <v xml:space="preserve"> </v>
      </c>
      <c r="U558" s="100"/>
      <c r="V558" s="100" t="str">
        <f t="shared" si="57"/>
        <v xml:space="preserve"> </v>
      </c>
      <c r="W558" s="101">
        <f t="shared" si="59"/>
        <v>24</v>
      </c>
      <c r="X558" s="102">
        <f t="shared" si="60"/>
        <v>0</v>
      </c>
      <c r="Y558" s="100" t="str">
        <f t="shared" si="61"/>
        <v xml:space="preserve"> </v>
      </c>
      <c r="Z558" s="100" t="str">
        <f t="shared" si="62"/>
        <v xml:space="preserve"> </v>
      </c>
    </row>
    <row r="559" spans="1:26">
      <c r="A559" s="108"/>
      <c r="B559" s="108" t="str">
        <f>IFERROR(VLOOKUP(Tablo518[[#This Row],[ÜRÜN KODU]],YMKODLARI!$A$1:$K$363,2,0)," ")</f>
        <v xml:space="preserve"> </v>
      </c>
      <c r="C559" s="99"/>
      <c r="D559" s="100"/>
      <c r="E559" s="101"/>
      <c r="F559" s="101"/>
      <c r="G559" s="100" t="str">
        <f>IFERROR(VLOOKUP(Tablo518[[#This Row],[ÜRÜN KODU]],YMKODLARI!$A$1:$K$363,3,0)," ")</f>
        <v xml:space="preserve"> </v>
      </c>
      <c r="H559" s="100" t="str">
        <f>IFERROR(VLOOKUP(Tablo518[[#This Row],[ÜRÜN KODU]],YMKODLARI!$A$1:$K$363,4,0)," ")</f>
        <v xml:space="preserve"> </v>
      </c>
      <c r="I559" s="100"/>
      <c r="J559" s="100" t="str">
        <f>IFERROR(VLOOKUP(Tablo518[[#This Row],[ÜRÜN KODU]],YMKODLARI!$A$1:$K$363,9,0)," ")</f>
        <v xml:space="preserve"> </v>
      </c>
      <c r="K559" s="100" t="str">
        <f>IFERROR(VLOOKUP(Tablo518[[#This Row],[BOYA KODU]],Tablo14[#All],4,0)," ")</f>
        <v xml:space="preserve"> </v>
      </c>
      <c r="L559" s="100" t="str">
        <f>IFERROR(VLOOKUP(Tablo518[[#This Row],[BOYA KODU]],Tablo14[#All],6,0)," ")</f>
        <v xml:space="preserve"> </v>
      </c>
      <c r="M559" s="100" t="str">
        <f t="shared" si="56"/>
        <v xml:space="preserve"> </v>
      </c>
      <c r="N559" s="100" t="str">
        <f>IFERROR(VLOOKUP(Tablo518[[#This Row],[ÜRÜN KODU]],YMKODLARI!$A$1:$K$363,8,0)," ")</f>
        <v xml:space="preserve"> </v>
      </c>
      <c r="O559" s="100" t="str">
        <f>IFERROR(VLOOKUP(Tablo518[[#This Row],[HAMMADDE KODU]],Tablo1[#All],3,0)," ")</f>
        <v xml:space="preserve"> </v>
      </c>
      <c r="P559" s="100" t="str">
        <f>IFERROR(VLOOKUP(Tablo518[[#This Row],[HAMMADDE KODU]],Tablo1[#All],4,0)," ")</f>
        <v xml:space="preserve"> </v>
      </c>
      <c r="Q559" s="100" t="str">
        <f>IFERROR(VLOOKUP(Tablo518[[#This Row],[ÜRÜN KODU]],YMKODLARI!$A$1:$K$363,5,0)," ")</f>
        <v xml:space="preserve"> </v>
      </c>
      <c r="R559" s="100" t="str">
        <f>IFERROR(VLOOKUP(Tablo518[[#This Row],[ÜRÜN KODU]],YMKODLARI!$A$1:$K$363,6,0)," ")</f>
        <v xml:space="preserve"> </v>
      </c>
      <c r="S559" s="100" t="str">
        <f>IFERROR(Tablo518[[#This Row],[YOLLUK HARİÇ BASKI GRAMI]]/Tablo518[[#This Row],[KALIP GÖZ ADEDİ]]," ")</f>
        <v xml:space="preserve"> </v>
      </c>
      <c r="T559" s="100" t="str">
        <f t="shared" si="58"/>
        <v xml:space="preserve"> </v>
      </c>
      <c r="U559" s="100"/>
      <c r="V559" s="100" t="str">
        <f t="shared" si="57"/>
        <v xml:space="preserve"> </v>
      </c>
      <c r="W559" s="101">
        <f t="shared" si="59"/>
        <v>24</v>
      </c>
      <c r="X559" s="102">
        <f t="shared" si="60"/>
        <v>0</v>
      </c>
      <c r="Y559" s="100" t="str">
        <f t="shared" si="61"/>
        <v xml:space="preserve"> </v>
      </c>
      <c r="Z559" s="100" t="str">
        <f t="shared" si="62"/>
        <v xml:space="preserve"> </v>
      </c>
    </row>
    <row r="560" spans="1:26">
      <c r="A560" s="108"/>
      <c r="B560" s="108" t="str">
        <f>IFERROR(VLOOKUP(Tablo518[[#This Row],[ÜRÜN KODU]],YMKODLARI!$A$1:$K$363,2,0)," ")</f>
        <v xml:space="preserve"> </v>
      </c>
      <c r="C560" s="99"/>
      <c r="D560" s="100"/>
      <c r="E560" s="101"/>
      <c r="F560" s="101"/>
      <c r="G560" s="100" t="str">
        <f>IFERROR(VLOOKUP(Tablo518[[#This Row],[ÜRÜN KODU]],YMKODLARI!$A$1:$K$363,3,0)," ")</f>
        <v xml:space="preserve"> </v>
      </c>
      <c r="H560" s="100" t="str">
        <f>IFERROR(VLOOKUP(Tablo518[[#This Row],[ÜRÜN KODU]],YMKODLARI!$A$1:$K$363,4,0)," ")</f>
        <v xml:space="preserve"> </v>
      </c>
      <c r="I560" s="100"/>
      <c r="J560" s="100" t="str">
        <f>IFERROR(VLOOKUP(Tablo518[[#This Row],[ÜRÜN KODU]],YMKODLARI!$A$1:$K$363,9,0)," ")</f>
        <v xml:space="preserve"> </v>
      </c>
      <c r="K560" s="100" t="str">
        <f>IFERROR(VLOOKUP(Tablo518[[#This Row],[BOYA KODU]],Tablo14[#All],4,0)," ")</f>
        <v xml:space="preserve"> </v>
      </c>
      <c r="L560" s="100" t="str">
        <f>IFERROR(VLOOKUP(Tablo518[[#This Row],[BOYA KODU]],Tablo14[#All],6,0)," ")</f>
        <v xml:space="preserve"> </v>
      </c>
      <c r="M560" s="100" t="str">
        <f t="shared" si="56"/>
        <v xml:space="preserve"> </v>
      </c>
      <c r="N560" s="100" t="str">
        <f>IFERROR(VLOOKUP(Tablo518[[#This Row],[ÜRÜN KODU]],YMKODLARI!$A$1:$K$363,8,0)," ")</f>
        <v xml:space="preserve"> </v>
      </c>
      <c r="O560" s="100" t="str">
        <f>IFERROR(VLOOKUP(Tablo518[[#This Row],[HAMMADDE KODU]],Tablo1[#All],3,0)," ")</f>
        <v xml:space="preserve"> </v>
      </c>
      <c r="P560" s="100" t="str">
        <f>IFERROR(VLOOKUP(Tablo518[[#This Row],[HAMMADDE KODU]],Tablo1[#All],4,0)," ")</f>
        <v xml:space="preserve"> </v>
      </c>
      <c r="Q560" s="100" t="str">
        <f>IFERROR(VLOOKUP(Tablo518[[#This Row],[ÜRÜN KODU]],YMKODLARI!$A$1:$K$363,5,0)," ")</f>
        <v xml:space="preserve"> </v>
      </c>
      <c r="R560" s="100" t="str">
        <f>IFERROR(VLOOKUP(Tablo518[[#This Row],[ÜRÜN KODU]],YMKODLARI!$A$1:$K$363,6,0)," ")</f>
        <v xml:space="preserve"> </v>
      </c>
      <c r="S560" s="100" t="str">
        <f>IFERROR(Tablo518[[#This Row],[YOLLUK HARİÇ BASKI GRAMI]]/Tablo518[[#This Row],[KALIP GÖZ ADEDİ]]," ")</f>
        <v xml:space="preserve"> </v>
      </c>
      <c r="T560" s="100" t="str">
        <f t="shared" si="58"/>
        <v xml:space="preserve"> </v>
      </c>
      <c r="U560" s="100"/>
      <c r="V560" s="100" t="str">
        <f t="shared" si="57"/>
        <v xml:space="preserve"> </v>
      </c>
      <c r="W560" s="101">
        <f t="shared" si="59"/>
        <v>24</v>
      </c>
      <c r="X560" s="102">
        <f t="shared" si="60"/>
        <v>0</v>
      </c>
      <c r="Y560" s="100" t="str">
        <f t="shared" si="61"/>
        <v xml:space="preserve"> </v>
      </c>
      <c r="Z560" s="100" t="str">
        <f t="shared" si="62"/>
        <v xml:space="preserve"> </v>
      </c>
    </row>
    <row r="561" spans="1:26">
      <c r="A561" s="108"/>
      <c r="B561" s="108" t="str">
        <f>IFERROR(VLOOKUP(Tablo518[[#This Row],[ÜRÜN KODU]],YMKODLARI!$A$1:$K$363,2,0)," ")</f>
        <v xml:space="preserve"> </v>
      </c>
      <c r="C561" s="99"/>
      <c r="D561" s="100"/>
      <c r="E561" s="101"/>
      <c r="F561" s="101"/>
      <c r="G561" s="100" t="str">
        <f>IFERROR(VLOOKUP(Tablo518[[#This Row],[ÜRÜN KODU]],YMKODLARI!$A$1:$K$363,3,0)," ")</f>
        <v xml:space="preserve"> </v>
      </c>
      <c r="H561" s="100" t="str">
        <f>IFERROR(VLOOKUP(Tablo518[[#This Row],[ÜRÜN KODU]],YMKODLARI!$A$1:$K$363,4,0)," ")</f>
        <v xml:space="preserve"> </v>
      </c>
      <c r="I561" s="100"/>
      <c r="J561" s="100" t="str">
        <f>IFERROR(VLOOKUP(Tablo518[[#This Row],[ÜRÜN KODU]],YMKODLARI!$A$1:$K$363,9,0)," ")</f>
        <v xml:space="preserve"> </v>
      </c>
      <c r="K561" s="100" t="str">
        <f>IFERROR(VLOOKUP(Tablo518[[#This Row],[BOYA KODU]],Tablo14[#All],4,0)," ")</f>
        <v xml:space="preserve"> </v>
      </c>
      <c r="L561" s="100" t="str">
        <f>IFERROR(VLOOKUP(Tablo518[[#This Row],[BOYA KODU]],Tablo14[#All],6,0)," ")</f>
        <v xml:space="preserve"> </v>
      </c>
      <c r="M561" s="100" t="str">
        <f t="shared" si="56"/>
        <v xml:space="preserve"> </v>
      </c>
      <c r="N561" s="100" t="str">
        <f>IFERROR(VLOOKUP(Tablo518[[#This Row],[ÜRÜN KODU]],YMKODLARI!$A$1:$K$363,8,0)," ")</f>
        <v xml:space="preserve"> </v>
      </c>
      <c r="O561" s="100" t="str">
        <f>IFERROR(VLOOKUP(Tablo518[[#This Row],[HAMMADDE KODU]],Tablo1[#All],3,0)," ")</f>
        <v xml:space="preserve"> </v>
      </c>
      <c r="P561" s="100" t="str">
        <f>IFERROR(VLOOKUP(Tablo518[[#This Row],[HAMMADDE KODU]],Tablo1[#All],4,0)," ")</f>
        <v xml:space="preserve"> </v>
      </c>
      <c r="Q561" s="100" t="str">
        <f>IFERROR(VLOOKUP(Tablo518[[#This Row],[ÜRÜN KODU]],YMKODLARI!$A$1:$K$363,5,0)," ")</f>
        <v xml:space="preserve"> </v>
      </c>
      <c r="R561" s="100" t="str">
        <f>IFERROR(VLOOKUP(Tablo518[[#This Row],[ÜRÜN KODU]],YMKODLARI!$A$1:$K$363,6,0)," ")</f>
        <v xml:space="preserve"> </v>
      </c>
      <c r="S561" s="100" t="str">
        <f>IFERROR(Tablo518[[#This Row],[YOLLUK HARİÇ BASKI GRAMI]]/Tablo518[[#This Row],[KALIP GÖZ ADEDİ]]," ")</f>
        <v xml:space="preserve"> </v>
      </c>
      <c r="T561" s="100" t="str">
        <f t="shared" si="58"/>
        <v xml:space="preserve"> </v>
      </c>
      <c r="U561" s="100"/>
      <c r="V561" s="100" t="str">
        <f t="shared" si="57"/>
        <v xml:space="preserve"> </v>
      </c>
      <c r="W561" s="101">
        <f t="shared" si="59"/>
        <v>24</v>
      </c>
      <c r="X561" s="102">
        <f t="shared" si="60"/>
        <v>0</v>
      </c>
      <c r="Y561" s="100" t="str">
        <f t="shared" si="61"/>
        <v xml:space="preserve"> </v>
      </c>
      <c r="Z561" s="100" t="str">
        <f t="shared" si="62"/>
        <v xml:space="preserve"> </v>
      </c>
    </row>
    <row r="562" spans="1:26">
      <c r="A562" s="108"/>
      <c r="B562" s="108" t="str">
        <f>IFERROR(VLOOKUP(Tablo518[[#This Row],[ÜRÜN KODU]],YMKODLARI!$A$1:$K$363,2,0)," ")</f>
        <v xml:space="preserve"> </v>
      </c>
      <c r="C562" s="99"/>
      <c r="D562" s="100"/>
      <c r="E562" s="101"/>
      <c r="F562" s="101"/>
      <c r="G562" s="100" t="str">
        <f>IFERROR(VLOOKUP(Tablo518[[#This Row],[ÜRÜN KODU]],YMKODLARI!$A$1:$K$363,3,0)," ")</f>
        <v xml:space="preserve"> </v>
      </c>
      <c r="H562" s="100" t="str">
        <f>IFERROR(VLOOKUP(Tablo518[[#This Row],[ÜRÜN KODU]],YMKODLARI!$A$1:$K$363,4,0)," ")</f>
        <v xml:space="preserve"> </v>
      </c>
      <c r="I562" s="100"/>
      <c r="J562" s="100" t="str">
        <f>IFERROR(VLOOKUP(Tablo518[[#This Row],[ÜRÜN KODU]],YMKODLARI!$A$1:$K$363,9,0)," ")</f>
        <v xml:space="preserve"> </v>
      </c>
      <c r="K562" s="100" t="str">
        <f>IFERROR(VLOOKUP(Tablo518[[#This Row],[BOYA KODU]],Tablo14[#All],4,0)," ")</f>
        <v xml:space="preserve"> </v>
      </c>
      <c r="L562" s="100" t="str">
        <f>IFERROR(VLOOKUP(Tablo518[[#This Row],[BOYA KODU]],Tablo14[#All],6,0)," ")</f>
        <v xml:space="preserve"> </v>
      </c>
      <c r="M562" s="100" t="str">
        <f t="shared" si="56"/>
        <v xml:space="preserve"> </v>
      </c>
      <c r="N562" s="100" t="str">
        <f>IFERROR(VLOOKUP(Tablo518[[#This Row],[ÜRÜN KODU]],YMKODLARI!$A$1:$K$363,8,0)," ")</f>
        <v xml:space="preserve"> </v>
      </c>
      <c r="O562" s="100" t="str">
        <f>IFERROR(VLOOKUP(Tablo518[[#This Row],[HAMMADDE KODU]],Tablo1[#All],3,0)," ")</f>
        <v xml:space="preserve"> </v>
      </c>
      <c r="P562" s="100" t="str">
        <f>IFERROR(VLOOKUP(Tablo518[[#This Row],[HAMMADDE KODU]],Tablo1[#All],4,0)," ")</f>
        <v xml:space="preserve"> </v>
      </c>
      <c r="Q562" s="100" t="str">
        <f>IFERROR(VLOOKUP(Tablo518[[#This Row],[ÜRÜN KODU]],YMKODLARI!$A$1:$K$363,5,0)," ")</f>
        <v xml:space="preserve"> </v>
      </c>
      <c r="R562" s="100" t="str">
        <f>IFERROR(VLOOKUP(Tablo518[[#This Row],[ÜRÜN KODU]],YMKODLARI!$A$1:$K$363,6,0)," ")</f>
        <v xml:space="preserve"> </v>
      </c>
      <c r="S562" s="100" t="str">
        <f>IFERROR(Tablo518[[#This Row],[YOLLUK HARİÇ BASKI GRAMI]]/Tablo518[[#This Row],[KALIP GÖZ ADEDİ]]," ")</f>
        <v xml:space="preserve"> </v>
      </c>
      <c r="T562" s="100" t="str">
        <f t="shared" si="58"/>
        <v xml:space="preserve"> </v>
      </c>
      <c r="U562" s="100"/>
      <c r="V562" s="100" t="str">
        <f t="shared" si="57"/>
        <v xml:space="preserve"> </v>
      </c>
      <c r="W562" s="101">
        <f t="shared" si="59"/>
        <v>24</v>
      </c>
      <c r="X562" s="102">
        <f t="shared" si="60"/>
        <v>0</v>
      </c>
      <c r="Y562" s="100" t="str">
        <f t="shared" si="61"/>
        <v xml:space="preserve"> </v>
      </c>
      <c r="Z562" s="100" t="str">
        <f t="shared" si="62"/>
        <v xml:space="preserve"> </v>
      </c>
    </row>
    <row r="563" spans="1:26">
      <c r="A563" s="108"/>
      <c r="B563" s="108" t="str">
        <f>IFERROR(VLOOKUP(Tablo518[[#This Row],[ÜRÜN KODU]],YMKODLARI!$A$1:$K$363,2,0)," ")</f>
        <v xml:space="preserve"> </v>
      </c>
      <c r="C563" s="99"/>
      <c r="D563" s="100"/>
      <c r="E563" s="101"/>
      <c r="F563" s="101"/>
      <c r="G563" s="100" t="str">
        <f>IFERROR(VLOOKUP(Tablo518[[#This Row],[ÜRÜN KODU]],YMKODLARI!$A$1:$K$363,3,0)," ")</f>
        <v xml:space="preserve"> </v>
      </c>
      <c r="H563" s="100" t="str">
        <f>IFERROR(VLOOKUP(Tablo518[[#This Row],[ÜRÜN KODU]],YMKODLARI!$A$1:$K$363,4,0)," ")</f>
        <v xml:space="preserve"> </v>
      </c>
      <c r="I563" s="100"/>
      <c r="J563" s="100" t="str">
        <f>IFERROR(VLOOKUP(Tablo518[[#This Row],[ÜRÜN KODU]],YMKODLARI!$A$1:$K$363,9,0)," ")</f>
        <v xml:space="preserve"> </v>
      </c>
      <c r="K563" s="100" t="str">
        <f>IFERROR(VLOOKUP(Tablo518[[#This Row],[BOYA KODU]],Tablo14[#All],4,0)," ")</f>
        <v xml:space="preserve"> </v>
      </c>
      <c r="L563" s="100" t="str">
        <f>IFERROR(VLOOKUP(Tablo518[[#This Row],[BOYA KODU]],Tablo14[#All],6,0)," ")</f>
        <v xml:space="preserve"> </v>
      </c>
      <c r="M563" s="100" t="str">
        <f t="shared" si="56"/>
        <v xml:space="preserve"> </v>
      </c>
      <c r="N563" s="100" t="str">
        <f>IFERROR(VLOOKUP(Tablo518[[#This Row],[ÜRÜN KODU]],YMKODLARI!$A$1:$K$363,8,0)," ")</f>
        <v xml:space="preserve"> </v>
      </c>
      <c r="O563" s="100" t="str">
        <f>IFERROR(VLOOKUP(Tablo518[[#This Row],[HAMMADDE KODU]],Tablo1[#All],3,0)," ")</f>
        <v xml:space="preserve"> </v>
      </c>
      <c r="P563" s="100" t="str">
        <f>IFERROR(VLOOKUP(Tablo518[[#This Row],[HAMMADDE KODU]],Tablo1[#All],4,0)," ")</f>
        <v xml:space="preserve"> </v>
      </c>
      <c r="Q563" s="100" t="str">
        <f>IFERROR(VLOOKUP(Tablo518[[#This Row],[ÜRÜN KODU]],YMKODLARI!$A$1:$K$363,5,0)," ")</f>
        <v xml:space="preserve"> </v>
      </c>
      <c r="R563" s="100" t="str">
        <f>IFERROR(VLOOKUP(Tablo518[[#This Row],[ÜRÜN KODU]],YMKODLARI!$A$1:$K$363,6,0)," ")</f>
        <v xml:space="preserve"> </v>
      </c>
      <c r="S563" s="100" t="str">
        <f>IFERROR(Tablo518[[#This Row],[YOLLUK HARİÇ BASKI GRAMI]]/Tablo518[[#This Row],[KALIP GÖZ ADEDİ]]," ")</f>
        <v xml:space="preserve"> </v>
      </c>
      <c r="T563" s="100" t="str">
        <f t="shared" si="58"/>
        <v xml:space="preserve"> </v>
      </c>
      <c r="U563" s="100"/>
      <c r="V563" s="100" t="str">
        <f t="shared" si="57"/>
        <v xml:space="preserve"> </v>
      </c>
      <c r="W563" s="101">
        <f t="shared" si="59"/>
        <v>24</v>
      </c>
      <c r="X563" s="102">
        <f t="shared" si="60"/>
        <v>0</v>
      </c>
      <c r="Y563" s="100" t="str">
        <f t="shared" si="61"/>
        <v xml:space="preserve"> </v>
      </c>
      <c r="Z563" s="100" t="str">
        <f t="shared" si="62"/>
        <v xml:space="preserve"> </v>
      </c>
    </row>
    <row r="564" spans="1:26">
      <c r="A564" s="108"/>
      <c r="B564" s="108" t="str">
        <f>IFERROR(VLOOKUP(Tablo518[[#This Row],[ÜRÜN KODU]],YMKODLARI!$A$1:$K$363,2,0)," ")</f>
        <v xml:space="preserve"> </v>
      </c>
      <c r="C564" s="99"/>
      <c r="D564" s="100"/>
      <c r="E564" s="101"/>
      <c r="F564" s="101"/>
      <c r="G564" s="100" t="str">
        <f>IFERROR(VLOOKUP(Tablo518[[#This Row],[ÜRÜN KODU]],YMKODLARI!$A$1:$K$363,3,0)," ")</f>
        <v xml:space="preserve"> </v>
      </c>
      <c r="H564" s="100" t="str">
        <f>IFERROR(VLOOKUP(Tablo518[[#This Row],[ÜRÜN KODU]],YMKODLARI!$A$1:$K$363,4,0)," ")</f>
        <v xml:space="preserve"> </v>
      </c>
      <c r="I564" s="100"/>
      <c r="J564" s="100" t="str">
        <f>IFERROR(VLOOKUP(Tablo518[[#This Row],[ÜRÜN KODU]],YMKODLARI!$A$1:$K$363,9,0)," ")</f>
        <v xml:space="preserve"> </v>
      </c>
      <c r="K564" s="100" t="str">
        <f>IFERROR(VLOOKUP(Tablo518[[#This Row],[BOYA KODU]],Tablo14[#All],4,0)," ")</f>
        <v xml:space="preserve"> </v>
      </c>
      <c r="L564" s="100" t="str">
        <f>IFERROR(VLOOKUP(Tablo518[[#This Row],[BOYA KODU]],Tablo14[#All],6,0)," ")</f>
        <v xml:space="preserve"> </v>
      </c>
      <c r="M564" s="100" t="str">
        <f t="shared" si="56"/>
        <v xml:space="preserve"> </v>
      </c>
      <c r="N564" s="100" t="str">
        <f>IFERROR(VLOOKUP(Tablo518[[#This Row],[ÜRÜN KODU]],YMKODLARI!$A$1:$K$363,8,0)," ")</f>
        <v xml:space="preserve"> </v>
      </c>
      <c r="O564" s="100" t="str">
        <f>IFERROR(VLOOKUP(Tablo518[[#This Row],[HAMMADDE KODU]],Tablo1[#All],3,0)," ")</f>
        <v xml:space="preserve"> </v>
      </c>
      <c r="P564" s="100" t="str">
        <f>IFERROR(VLOOKUP(Tablo518[[#This Row],[HAMMADDE KODU]],Tablo1[#All],4,0)," ")</f>
        <v xml:space="preserve"> </v>
      </c>
      <c r="Q564" s="100" t="str">
        <f>IFERROR(VLOOKUP(Tablo518[[#This Row],[ÜRÜN KODU]],YMKODLARI!$A$1:$K$363,5,0)," ")</f>
        <v xml:space="preserve"> </v>
      </c>
      <c r="R564" s="100" t="str">
        <f>IFERROR(VLOOKUP(Tablo518[[#This Row],[ÜRÜN KODU]],YMKODLARI!$A$1:$K$363,6,0)," ")</f>
        <v xml:space="preserve"> </v>
      </c>
      <c r="S564" s="100" t="str">
        <f>IFERROR(Tablo518[[#This Row],[YOLLUK HARİÇ BASKI GRAMI]]/Tablo518[[#This Row],[KALIP GÖZ ADEDİ]]," ")</f>
        <v xml:space="preserve"> </v>
      </c>
      <c r="T564" s="100" t="str">
        <f t="shared" si="58"/>
        <v xml:space="preserve"> </v>
      </c>
      <c r="U564" s="100"/>
      <c r="V564" s="100" t="str">
        <f t="shared" si="57"/>
        <v xml:space="preserve"> </v>
      </c>
      <c r="W564" s="101">
        <f t="shared" si="59"/>
        <v>24</v>
      </c>
      <c r="X564" s="102">
        <f t="shared" si="60"/>
        <v>0</v>
      </c>
      <c r="Y564" s="100" t="str">
        <f t="shared" si="61"/>
        <v xml:space="preserve"> </v>
      </c>
      <c r="Z564" s="100" t="str">
        <f t="shared" si="62"/>
        <v xml:space="preserve"> </v>
      </c>
    </row>
    <row r="565" spans="1:26">
      <c r="A565" s="108"/>
      <c r="B565" s="108" t="str">
        <f>IFERROR(VLOOKUP(Tablo518[[#This Row],[ÜRÜN KODU]],YMKODLARI!$A$1:$K$363,2,0)," ")</f>
        <v xml:space="preserve"> </v>
      </c>
      <c r="C565" s="99"/>
      <c r="D565" s="100"/>
      <c r="E565" s="101"/>
      <c r="F565" s="101"/>
      <c r="G565" s="100" t="str">
        <f>IFERROR(VLOOKUP(Tablo518[[#This Row],[ÜRÜN KODU]],YMKODLARI!$A$1:$K$363,3,0)," ")</f>
        <v xml:space="preserve"> </v>
      </c>
      <c r="H565" s="100" t="str">
        <f>IFERROR(VLOOKUP(Tablo518[[#This Row],[ÜRÜN KODU]],YMKODLARI!$A$1:$K$363,4,0)," ")</f>
        <v xml:space="preserve"> </v>
      </c>
      <c r="I565" s="100"/>
      <c r="J565" s="100" t="str">
        <f>IFERROR(VLOOKUP(Tablo518[[#This Row],[ÜRÜN KODU]],YMKODLARI!$A$1:$K$363,9,0)," ")</f>
        <v xml:space="preserve"> </v>
      </c>
      <c r="K565" s="100" t="str">
        <f>IFERROR(VLOOKUP(Tablo518[[#This Row],[BOYA KODU]],Tablo14[#All],4,0)," ")</f>
        <v xml:space="preserve"> </v>
      </c>
      <c r="L565" s="100" t="str">
        <f>IFERROR(VLOOKUP(Tablo518[[#This Row],[BOYA KODU]],Tablo14[#All],6,0)," ")</f>
        <v xml:space="preserve"> </v>
      </c>
      <c r="M565" s="100" t="str">
        <f t="shared" si="56"/>
        <v xml:space="preserve"> </v>
      </c>
      <c r="N565" s="100" t="str">
        <f>IFERROR(VLOOKUP(Tablo518[[#This Row],[ÜRÜN KODU]],YMKODLARI!$A$1:$K$363,8,0)," ")</f>
        <v xml:space="preserve"> </v>
      </c>
      <c r="O565" s="100" t="str">
        <f>IFERROR(VLOOKUP(Tablo518[[#This Row],[HAMMADDE KODU]],Tablo1[#All],3,0)," ")</f>
        <v xml:space="preserve"> </v>
      </c>
      <c r="P565" s="100" t="str">
        <f>IFERROR(VLOOKUP(Tablo518[[#This Row],[HAMMADDE KODU]],Tablo1[#All],4,0)," ")</f>
        <v xml:space="preserve"> </v>
      </c>
      <c r="Q565" s="100" t="str">
        <f>IFERROR(VLOOKUP(Tablo518[[#This Row],[ÜRÜN KODU]],YMKODLARI!$A$1:$K$363,5,0)," ")</f>
        <v xml:space="preserve"> </v>
      </c>
      <c r="R565" s="100" t="str">
        <f>IFERROR(VLOOKUP(Tablo518[[#This Row],[ÜRÜN KODU]],YMKODLARI!$A$1:$K$363,6,0)," ")</f>
        <v xml:space="preserve"> </v>
      </c>
      <c r="S565" s="100" t="str">
        <f>IFERROR(Tablo518[[#This Row],[YOLLUK HARİÇ BASKI GRAMI]]/Tablo518[[#This Row],[KALIP GÖZ ADEDİ]]," ")</f>
        <v xml:space="preserve"> </v>
      </c>
      <c r="T565" s="100" t="str">
        <f t="shared" si="58"/>
        <v xml:space="preserve"> </v>
      </c>
      <c r="U565" s="100"/>
      <c r="V565" s="100" t="str">
        <f t="shared" si="57"/>
        <v xml:space="preserve"> </v>
      </c>
      <c r="W565" s="101">
        <f t="shared" si="59"/>
        <v>24</v>
      </c>
      <c r="X565" s="102">
        <f t="shared" si="60"/>
        <v>0</v>
      </c>
      <c r="Y565" s="100" t="str">
        <f t="shared" si="61"/>
        <v xml:space="preserve"> </v>
      </c>
      <c r="Z565" s="100" t="str">
        <f t="shared" si="62"/>
        <v xml:space="preserve"> </v>
      </c>
    </row>
    <row r="566" spans="1:26">
      <c r="A566" s="108"/>
      <c r="B566" s="108" t="str">
        <f>IFERROR(VLOOKUP(Tablo518[[#This Row],[ÜRÜN KODU]],YMKODLARI!$A$1:$K$363,2,0)," ")</f>
        <v xml:space="preserve"> </v>
      </c>
      <c r="C566" s="99"/>
      <c r="D566" s="100"/>
      <c r="E566" s="101"/>
      <c r="F566" s="101"/>
      <c r="G566" s="100" t="str">
        <f>IFERROR(VLOOKUP(Tablo518[[#This Row],[ÜRÜN KODU]],YMKODLARI!$A$1:$K$363,3,0)," ")</f>
        <v xml:space="preserve"> </v>
      </c>
      <c r="H566" s="100" t="str">
        <f>IFERROR(VLOOKUP(Tablo518[[#This Row],[ÜRÜN KODU]],YMKODLARI!$A$1:$K$363,4,0)," ")</f>
        <v xml:space="preserve"> </v>
      </c>
      <c r="I566" s="100"/>
      <c r="J566" s="100" t="str">
        <f>IFERROR(VLOOKUP(Tablo518[[#This Row],[ÜRÜN KODU]],YMKODLARI!$A$1:$K$363,9,0)," ")</f>
        <v xml:space="preserve"> </v>
      </c>
      <c r="K566" s="100" t="str">
        <f>IFERROR(VLOOKUP(Tablo518[[#This Row],[BOYA KODU]],Tablo14[#All],4,0)," ")</f>
        <v xml:space="preserve"> </v>
      </c>
      <c r="L566" s="100" t="str">
        <f>IFERROR(VLOOKUP(Tablo518[[#This Row],[BOYA KODU]],Tablo14[#All],6,0)," ")</f>
        <v xml:space="preserve"> </v>
      </c>
      <c r="M566" s="100" t="str">
        <f t="shared" si="56"/>
        <v xml:space="preserve"> </v>
      </c>
      <c r="N566" s="100" t="str">
        <f>IFERROR(VLOOKUP(Tablo518[[#This Row],[ÜRÜN KODU]],YMKODLARI!$A$1:$K$363,8,0)," ")</f>
        <v xml:space="preserve"> </v>
      </c>
      <c r="O566" s="100" t="str">
        <f>IFERROR(VLOOKUP(Tablo518[[#This Row],[HAMMADDE KODU]],Tablo1[#All],3,0)," ")</f>
        <v xml:space="preserve"> </v>
      </c>
      <c r="P566" s="100" t="str">
        <f>IFERROR(VLOOKUP(Tablo518[[#This Row],[HAMMADDE KODU]],Tablo1[#All],4,0)," ")</f>
        <v xml:space="preserve"> </v>
      </c>
      <c r="Q566" s="100" t="str">
        <f>IFERROR(VLOOKUP(Tablo518[[#This Row],[ÜRÜN KODU]],YMKODLARI!$A$1:$K$363,5,0)," ")</f>
        <v xml:space="preserve"> </v>
      </c>
      <c r="R566" s="100" t="str">
        <f>IFERROR(VLOOKUP(Tablo518[[#This Row],[ÜRÜN KODU]],YMKODLARI!$A$1:$K$363,6,0)," ")</f>
        <v xml:space="preserve"> </v>
      </c>
      <c r="S566" s="100" t="str">
        <f>IFERROR(Tablo518[[#This Row],[YOLLUK HARİÇ BASKI GRAMI]]/Tablo518[[#This Row],[KALIP GÖZ ADEDİ]]," ")</f>
        <v xml:space="preserve"> </v>
      </c>
      <c r="T566" s="100" t="str">
        <f t="shared" si="58"/>
        <v xml:space="preserve"> </v>
      </c>
      <c r="U566" s="100"/>
      <c r="V566" s="100" t="str">
        <f t="shared" si="57"/>
        <v xml:space="preserve"> </v>
      </c>
      <c r="W566" s="101">
        <f t="shared" si="59"/>
        <v>24</v>
      </c>
      <c r="X566" s="102">
        <f t="shared" si="60"/>
        <v>0</v>
      </c>
      <c r="Y566" s="100" t="str">
        <f t="shared" si="61"/>
        <v xml:space="preserve"> </v>
      </c>
      <c r="Z566" s="100" t="str">
        <f t="shared" si="62"/>
        <v xml:space="preserve"> </v>
      </c>
    </row>
    <row r="567" spans="1:26">
      <c r="A567" s="108"/>
      <c r="B567" s="108" t="str">
        <f>IFERROR(VLOOKUP(Tablo518[[#This Row],[ÜRÜN KODU]],YMKODLARI!$A$1:$K$363,2,0)," ")</f>
        <v xml:space="preserve"> </v>
      </c>
      <c r="C567" s="99"/>
      <c r="D567" s="100"/>
      <c r="E567" s="101"/>
      <c r="F567" s="101"/>
      <c r="G567" s="100" t="str">
        <f>IFERROR(VLOOKUP(Tablo518[[#This Row],[ÜRÜN KODU]],YMKODLARI!$A$1:$K$363,3,0)," ")</f>
        <v xml:space="preserve"> </v>
      </c>
      <c r="H567" s="100" t="str">
        <f>IFERROR(VLOOKUP(Tablo518[[#This Row],[ÜRÜN KODU]],YMKODLARI!$A$1:$K$363,4,0)," ")</f>
        <v xml:space="preserve"> </v>
      </c>
      <c r="I567" s="100"/>
      <c r="J567" s="100" t="str">
        <f>IFERROR(VLOOKUP(Tablo518[[#This Row],[ÜRÜN KODU]],YMKODLARI!$A$1:$K$363,9,0)," ")</f>
        <v xml:space="preserve"> </v>
      </c>
      <c r="K567" s="100" t="str">
        <f>IFERROR(VLOOKUP(Tablo518[[#This Row],[BOYA KODU]],Tablo14[#All],4,0)," ")</f>
        <v xml:space="preserve"> </v>
      </c>
      <c r="L567" s="100" t="str">
        <f>IFERROR(VLOOKUP(Tablo518[[#This Row],[BOYA KODU]],Tablo14[#All],6,0)," ")</f>
        <v xml:space="preserve"> </v>
      </c>
      <c r="M567" s="100" t="str">
        <f t="shared" si="56"/>
        <v xml:space="preserve"> </v>
      </c>
      <c r="N567" s="100" t="str">
        <f>IFERROR(VLOOKUP(Tablo518[[#This Row],[ÜRÜN KODU]],YMKODLARI!$A$1:$K$363,8,0)," ")</f>
        <v xml:space="preserve"> </v>
      </c>
      <c r="O567" s="100" t="str">
        <f>IFERROR(VLOOKUP(Tablo518[[#This Row],[HAMMADDE KODU]],Tablo1[#All],3,0)," ")</f>
        <v xml:space="preserve"> </v>
      </c>
      <c r="P567" s="100" t="str">
        <f>IFERROR(VLOOKUP(Tablo518[[#This Row],[HAMMADDE KODU]],Tablo1[#All],4,0)," ")</f>
        <v xml:space="preserve"> </v>
      </c>
      <c r="Q567" s="100" t="str">
        <f>IFERROR(VLOOKUP(Tablo518[[#This Row],[ÜRÜN KODU]],YMKODLARI!$A$1:$K$363,5,0)," ")</f>
        <v xml:space="preserve"> </v>
      </c>
      <c r="R567" s="100" t="str">
        <f>IFERROR(VLOOKUP(Tablo518[[#This Row],[ÜRÜN KODU]],YMKODLARI!$A$1:$K$363,6,0)," ")</f>
        <v xml:space="preserve"> </v>
      </c>
      <c r="S567" s="100" t="str">
        <f>IFERROR(Tablo518[[#This Row],[YOLLUK HARİÇ BASKI GRAMI]]/Tablo518[[#This Row],[KALIP GÖZ ADEDİ]]," ")</f>
        <v xml:space="preserve"> </v>
      </c>
      <c r="T567" s="100" t="str">
        <f t="shared" si="58"/>
        <v xml:space="preserve"> </v>
      </c>
      <c r="U567" s="100"/>
      <c r="V567" s="100" t="str">
        <f t="shared" si="57"/>
        <v xml:space="preserve"> </v>
      </c>
      <c r="W567" s="101">
        <f t="shared" si="59"/>
        <v>24</v>
      </c>
      <c r="X567" s="102">
        <f t="shared" si="60"/>
        <v>0</v>
      </c>
      <c r="Y567" s="100" t="str">
        <f t="shared" si="61"/>
        <v xml:space="preserve"> </v>
      </c>
      <c r="Z567" s="100" t="str">
        <f t="shared" si="62"/>
        <v xml:space="preserve"> </v>
      </c>
    </row>
    <row r="568" spans="1:26">
      <c r="A568" s="108"/>
      <c r="B568" s="108" t="str">
        <f>IFERROR(VLOOKUP(Tablo518[[#This Row],[ÜRÜN KODU]],YMKODLARI!$A$1:$K$363,2,0)," ")</f>
        <v xml:space="preserve"> </v>
      </c>
      <c r="C568" s="99"/>
      <c r="D568" s="100"/>
      <c r="E568" s="101"/>
      <c r="F568" s="101"/>
      <c r="G568" s="100" t="str">
        <f>IFERROR(VLOOKUP(Tablo518[[#This Row],[ÜRÜN KODU]],YMKODLARI!$A$1:$K$363,3,0)," ")</f>
        <v xml:space="preserve"> </v>
      </c>
      <c r="H568" s="100" t="str">
        <f>IFERROR(VLOOKUP(Tablo518[[#This Row],[ÜRÜN KODU]],YMKODLARI!$A$1:$K$363,4,0)," ")</f>
        <v xml:space="preserve"> </v>
      </c>
      <c r="I568" s="100"/>
      <c r="J568" s="100" t="str">
        <f>IFERROR(VLOOKUP(Tablo518[[#This Row],[ÜRÜN KODU]],YMKODLARI!$A$1:$K$363,9,0)," ")</f>
        <v xml:space="preserve"> </v>
      </c>
      <c r="K568" s="100" t="str">
        <f>IFERROR(VLOOKUP(Tablo518[[#This Row],[BOYA KODU]],Tablo14[#All],4,0)," ")</f>
        <v xml:space="preserve"> </v>
      </c>
      <c r="L568" s="100" t="str">
        <f>IFERROR(VLOOKUP(Tablo518[[#This Row],[BOYA KODU]],Tablo14[#All],6,0)," ")</f>
        <v xml:space="preserve"> </v>
      </c>
      <c r="M568" s="100" t="str">
        <f t="shared" si="56"/>
        <v xml:space="preserve"> </v>
      </c>
      <c r="N568" s="100" t="str">
        <f>IFERROR(VLOOKUP(Tablo518[[#This Row],[ÜRÜN KODU]],YMKODLARI!$A$1:$K$363,8,0)," ")</f>
        <v xml:space="preserve"> </v>
      </c>
      <c r="O568" s="100" t="str">
        <f>IFERROR(VLOOKUP(Tablo518[[#This Row],[HAMMADDE KODU]],Tablo1[#All],3,0)," ")</f>
        <v xml:space="preserve"> </v>
      </c>
      <c r="P568" s="100" t="str">
        <f>IFERROR(VLOOKUP(Tablo518[[#This Row],[HAMMADDE KODU]],Tablo1[#All],4,0)," ")</f>
        <v xml:space="preserve"> </v>
      </c>
      <c r="Q568" s="100" t="str">
        <f>IFERROR(VLOOKUP(Tablo518[[#This Row],[ÜRÜN KODU]],YMKODLARI!$A$1:$K$363,5,0)," ")</f>
        <v xml:space="preserve"> </v>
      </c>
      <c r="R568" s="100" t="str">
        <f>IFERROR(VLOOKUP(Tablo518[[#This Row],[ÜRÜN KODU]],YMKODLARI!$A$1:$K$363,6,0)," ")</f>
        <v xml:space="preserve"> </v>
      </c>
      <c r="S568" s="100" t="str">
        <f>IFERROR(Tablo518[[#This Row],[YOLLUK HARİÇ BASKI GRAMI]]/Tablo518[[#This Row],[KALIP GÖZ ADEDİ]]," ")</f>
        <v xml:space="preserve"> </v>
      </c>
      <c r="T568" s="100" t="str">
        <f t="shared" si="58"/>
        <v xml:space="preserve"> </v>
      </c>
      <c r="U568" s="100"/>
      <c r="V568" s="100" t="str">
        <f t="shared" si="57"/>
        <v xml:space="preserve"> </v>
      </c>
      <c r="W568" s="101">
        <f t="shared" si="59"/>
        <v>24</v>
      </c>
      <c r="X568" s="102">
        <f t="shared" si="60"/>
        <v>0</v>
      </c>
      <c r="Y568" s="100" t="str">
        <f t="shared" si="61"/>
        <v xml:space="preserve"> </v>
      </c>
      <c r="Z568" s="100" t="str">
        <f t="shared" si="62"/>
        <v xml:space="preserve"> </v>
      </c>
    </row>
    <row r="569" spans="1:26">
      <c r="A569" s="108"/>
      <c r="B569" s="108" t="str">
        <f>IFERROR(VLOOKUP(Tablo518[[#This Row],[ÜRÜN KODU]],YMKODLARI!$A$1:$K$363,2,0)," ")</f>
        <v xml:space="preserve"> </v>
      </c>
      <c r="C569" s="99"/>
      <c r="D569" s="100"/>
      <c r="E569" s="101"/>
      <c r="F569" s="101"/>
      <c r="G569" s="100" t="str">
        <f>IFERROR(VLOOKUP(Tablo518[[#This Row],[ÜRÜN KODU]],YMKODLARI!$A$1:$K$363,3,0)," ")</f>
        <v xml:space="preserve"> </v>
      </c>
      <c r="H569" s="100" t="str">
        <f>IFERROR(VLOOKUP(Tablo518[[#This Row],[ÜRÜN KODU]],YMKODLARI!$A$1:$K$363,4,0)," ")</f>
        <v xml:space="preserve"> </v>
      </c>
      <c r="I569" s="100"/>
      <c r="J569" s="100" t="str">
        <f>IFERROR(VLOOKUP(Tablo518[[#This Row],[ÜRÜN KODU]],YMKODLARI!$A$1:$K$363,9,0)," ")</f>
        <v xml:space="preserve"> </v>
      </c>
      <c r="K569" s="100" t="str">
        <f>IFERROR(VLOOKUP(Tablo518[[#This Row],[BOYA KODU]],Tablo14[#All],4,0)," ")</f>
        <v xml:space="preserve"> </v>
      </c>
      <c r="L569" s="100" t="str">
        <f>IFERROR(VLOOKUP(Tablo518[[#This Row],[BOYA KODU]],Tablo14[#All],6,0)," ")</f>
        <v xml:space="preserve"> </v>
      </c>
      <c r="M569" s="100" t="str">
        <f t="shared" si="56"/>
        <v xml:space="preserve"> </v>
      </c>
      <c r="N569" s="100" t="str">
        <f>IFERROR(VLOOKUP(Tablo518[[#This Row],[ÜRÜN KODU]],YMKODLARI!$A$1:$K$363,8,0)," ")</f>
        <v xml:space="preserve"> </v>
      </c>
      <c r="O569" s="100" t="str">
        <f>IFERROR(VLOOKUP(Tablo518[[#This Row],[HAMMADDE KODU]],Tablo1[#All],3,0)," ")</f>
        <v xml:space="preserve"> </v>
      </c>
      <c r="P569" s="100" t="str">
        <f>IFERROR(VLOOKUP(Tablo518[[#This Row],[HAMMADDE KODU]],Tablo1[#All],4,0)," ")</f>
        <v xml:space="preserve"> </v>
      </c>
      <c r="Q569" s="100" t="str">
        <f>IFERROR(VLOOKUP(Tablo518[[#This Row],[ÜRÜN KODU]],YMKODLARI!$A$1:$K$363,5,0)," ")</f>
        <v xml:space="preserve"> </v>
      </c>
      <c r="R569" s="100" t="str">
        <f>IFERROR(VLOOKUP(Tablo518[[#This Row],[ÜRÜN KODU]],YMKODLARI!$A$1:$K$363,6,0)," ")</f>
        <v xml:space="preserve"> </v>
      </c>
      <c r="S569" s="100" t="str">
        <f>IFERROR(Tablo518[[#This Row],[YOLLUK HARİÇ BASKI GRAMI]]/Tablo518[[#This Row],[KALIP GÖZ ADEDİ]]," ")</f>
        <v xml:space="preserve"> </v>
      </c>
      <c r="T569" s="100" t="str">
        <f t="shared" si="58"/>
        <v xml:space="preserve"> </v>
      </c>
      <c r="U569" s="100"/>
      <c r="V569" s="100" t="str">
        <f t="shared" si="57"/>
        <v xml:space="preserve"> </v>
      </c>
      <c r="W569" s="101">
        <f t="shared" si="59"/>
        <v>24</v>
      </c>
      <c r="X569" s="102">
        <f t="shared" si="60"/>
        <v>0</v>
      </c>
      <c r="Y569" s="100" t="str">
        <f t="shared" si="61"/>
        <v xml:space="preserve"> </v>
      </c>
      <c r="Z569" s="100" t="str">
        <f t="shared" si="62"/>
        <v xml:space="preserve"> </v>
      </c>
    </row>
    <row r="570" spans="1:26">
      <c r="A570" s="108"/>
      <c r="B570" s="108" t="str">
        <f>IFERROR(VLOOKUP(Tablo518[[#This Row],[ÜRÜN KODU]],YMKODLARI!$A$1:$K$363,2,0)," ")</f>
        <v xml:space="preserve"> </v>
      </c>
      <c r="C570" s="99"/>
      <c r="D570" s="100"/>
      <c r="E570" s="101"/>
      <c r="F570" s="101"/>
      <c r="G570" s="100" t="str">
        <f>IFERROR(VLOOKUP(Tablo518[[#This Row],[ÜRÜN KODU]],YMKODLARI!$A$1:$K$363,3,0)," ")</f>
        <v xml:space="preserve"> </v>
      </c>
      <c r="H570" s="100" t="str">
        <f>IFERROR(VLOOKUP(Tablo518[[#This Row],[ÜRÜN KODU]],YMKODLARI!$A$1:$K$363,4,0)," ")</f>
        <v xml:space="preserve"> </v>
      </c>
      <c r="I570" s="100"/>
      <c r="J570" s="100" t="str">
        <f>IFERROR(VLOOKUP(Tablo518[[#This Row],[ÜRÜN KODU]],YMKODLARI!$A$1:$K$363,9,0)," ")</f>
        <v xml:space="preserve"> </v>
      </c>
      <c r="K570" s="100" t="str">
        <f>IFERROR(VLOOKUP(Tablo518[[#This Row],[BOYA KODU]],Tablo14[#All],4,0)," ")</f>
        <v xml:space="preserve"> </v>
      </c>
      <c r="L570" s="100" t="str">
        <f>IFERROR(VLOOKUP(Tablo518[[#This Row],[BOYA KODU]],Tablo14[#All],6,0)," ")</f>
        <v xml:space="preserve"> </v>
      </c>
      <c r="M570" s="100" t="str">
        <f t="shared" si="56"/>
        <v xml:space="preserve"> </v>
      </c>
      <c r="N570" s="100" t="str">
        <f>IFERROR(VLOOKUP(Tablo518[[#This Row],[ÜRÜN KODU]],YMKODLARI!$A$1:$K$363,8,0)," ")</f>
        <v xml:space="preserve"> </v>
      </c>
      <c r="O570" s="100" t="str">
        <f>IFERROR(VLOOKUP(Tablo518[[#This Row],[HAMMADDE KODU]],Tablo1[#All],3,0)," ")</f>
        <v xml:space="preserve"> </v>
      </c>
      <c r="P570" s="100" t="str">
        <f>IFERROR(VLOOKUP(Tablo518[[#This Row],[HAMMADDE KODU]],Tablo1[#All],4,0)," ")</f>
        <v xml:space="preserve"> </v>
      </c>
      <c r="Q570" s="100" t="str">
        <f>IFERROR(VLOOKUP(Tablo518[[#This Row],[ÜRÜN KODU]],YMKODLARI!$A$1:$K$363,5,0)," ")</f>
        <v xml:space="preserve"> </v>
      </c>
      <c r="R570" s="100" t="str">
        <f>IFERROR(VLOOKUP(Tablo518[[#This Row],[ÜRÜN KODU]],YMKODLARI!$A$1:$K$363,6,0)," ")</f>
        <v xml:space="preserve"> </v>
      </c>
      <c r="S570" s="100" t="str">
        <f>IFERROR(Tablo518[[#This Row],[YOLLUK HARİÇ BASKI GRAMI]]/Tablo518[[#This Row],[KALIP GÖZ ADEDİ]]," ")</f>
        <v xml:space="preserve"> </v>
      </c>
      <c r="T570" s="100" t="str">
        <f t="shared" si="58"/>
        <v xml:space="preserve"> </v>
      </c>
      <c r="U570" s="100"/>
      <c r="V570" s="100" t="str">
        <f t="shared" si="57"/>
        <v xml:space="preserve"> </v>
      </c>
      <c r="W570" s="101">
        <f t="shared" si="59"/>
        <v>24</v>
      </c>
      <c r="X570" s="102">
        <f t="shared" si="60"/>
        <v>0</v>
      </c>
      <c r="Y570" s="100" t="str">
        <f t="shared" si="61"/>
        <v xml:space="preserve"> </v>
      </c>
      <c r="Z570" s="100" t="str">
        <f t="shared" si="62"/>
        <v xml:space="preserve"> </v>
      </c>
    </row>
    <row r="571" spans="1:26">
      <c r="A571" s="108"/>
      <c r="B571" s="108" t="str">
        <f>IFERROR(VLOOKUP(Tablo518[[#This Row],[ÜRÜN KODU]],YMKODLARI!$A$1:$K$363,2,0)," ")</f>
        <v xml:space="preserve"> </v>
      </c>
      <c r="C571" s="99"/>
      <c r="D571" s="100"/>
      <c r="E571" s="101"/>
      <c r="F571" s="101"/>
      <c r="G571" s="100" t="str">
        <f>IFERROR(VLOOKUP(Tablo518[[#This Row],[ÜRÜN KODU]],YMKODLARI!$A$1:$K$363,3,0)," ")</f>
        <v xml:space="preserve"> </v>
      </c>
      <c r="H571" s="100" t="str">
        <f>IFERROR(VLOOKUP(Tablo518[[#This Row],[ÜRÜN KODU]],YMKODLARI!$A$1:$K$363,4,0)," ")</f>
        <v xml:space="preserve"> </v>
      </c>
      <c r="I571" s="100"/>
      <c r="J571" s="100" t="str">
        <f>IFERROR(VLOOKUP(Tablo518[[#This Row],[ÜRÜN KODU]],YMKODLARI!$A$1:$K$363,9,0)," ")</f>
        <v xml:space="preserve"> </v>
      </c>
      <c r="K571" s="100" t="str">
        <f>IFERROR(VLOOKUP(Tablo518[[#This Row],[BOYA KODU]],Tablo14[#All],4,0)," ")</f>
        <v xml:space="preserve"> </v>
      </c>
      <c r="L571" s="100" t="str">
        <f>IFERROR(VLOOKUP(Tablo518[[#This Row],[BOYA KODU]],Tablo14[#All],6,0)," ")</f>
        <v xml:space="preserve"> </v>
      </c>
      <c r="M571" s="100" t="str">
        <f t="shared" si="56"/>
        <v xml:space="preserve"> </v>
      </c>
      <c r="N571" s="100" t="str">
        <f>IFERROR(VLOOKUP(Tablo518[[#This Row],[ÜRÜN KODU]],YMKODLARI!$A$1:$K$363,8,0)," ")</f>
        <v xml:space="preserve"> </v>
      </c>
      <c r="O571" s="100" t="str">
        <f>IFERROR(VLOOKUP(Tablo518[[#This Row],[HAMMADDE KODU]],Tablo1[#All],3,0)," ")</f>
        <v xml:space="preserve"> </v>
      </c>
      <c r="P571" s="100" t="str">
        <f>IFERROR(VLOOKUP(Tablo518[[#This Row],[HAMMADDE KODU]],Tablo1[#All],4,0)," ")</f>
        <v xml:space="preserve"> </v>
      </c>
      <c r="Q571" s="100" t="str">
        <f>IFERROR(VLOOKUP(Tablo518[[#This Row],[ÜRÜN KODU]],YMKODLARI!$A$1:$K$363,5,0)," ")</f>
        <v xml:space="preserve"> </v>
      </c>
      <c r="R571" s="100" t="str">
        <f>IFERROR(VLOOKUP(Tablo518[[#This Row],[ÜRÜN KODU]],YMKODLARI!$A$1:$K$363,6,0)," ")</f>
        <v xml:space="preserve"> </v>
      </c>
      <c r="S571" s="100" t="str">
        <f>IFERROR(Tablo518[[#This Row],[YOLLUK HARİÇ BASKI GRAMI]]/Tablo518[[#This Row],[KALIP GÖZ ADEDİ]]," ")</f>
        <v xml:space="preserve"> </v>
      </c>
      <c r="T571" s="100" t="str">
        <f t="shared" si="58"/>
        <v xml:space="preserve"> </v>
      </c>
      <c r="U571" s="100"/>
      <c r="V571" s="100" t="str">
        <f t="shared" si="57"/>
        <v xml:space="preserve"> </v>
      </c>
      <c r="W571" s="101">
        <f t="shared" si="59"/>
        <v>24</v>
      </c>
      <c r="X571" s="102">
        <f t="shared" si="60"/>
        <v>0</v>
      </c>
      <c r="Y571" s="100" t="str">
        <f t="shared" si="61"/>
        <v xml:space="preserve"> </v>
      </c>
      <c r="Z571" s="100" t="str">
        <f t="shared" si="62"/>
        <v xml:space="preserve"> </v>
      </c>
    </row>
    <row r="572" spans="1:26">
      <c r="A572" s="108"/>
      <c r="B572" s="108" t="str">
        <f>IFERROR(VLOOKUP(Tablo518[[#This Row],[ÜRÜN KODU]],YMKODLARI!$A$1:$K$363,2,0)," ")</f>
        <v xml:space="preserve"> </v>
      </c>
      <c r="C572" s="99"/>
      <c r="D572" s="100"/>
      <c r="E572" s="101"/>
      <c r="F572" s="101"/>
      <c r="G572" s="100" t="str">
        <f>IFERROR(VLOOKUP(Tablo518[[#This Row],[ÜRÜN KODU]],YMKODLARI!$A$1:$K$363,3,0)," ")</f>
        <v xml:space="preserve"> </v>
      </c>
      <c r="H572" s="100" t="str">
        <f>IFERROR(VLOOKUP(Tablo518[[#This Row],[ÜRÜN KODU]],YMKODLARI!$A$1:$K$363,4,0)," ")</f>
        <v xml:space="preserve"> </v>
      </c>
      <c r="I572" s="100"/>
      <c r="J572" s="100" t="str">
        <f>IFERROR(VLOOKUP(Tablo518[[#This Row],[ÜRÜN KODU]],YMKODLARI!$A$1:$K$363,9,0)," ")</f>
        <v xml:space="preserve"> </v>
      </c>
      <c r="K572" s="100" t="str">
        <f>IFERROR(VLOOKUP(Tablo518[[#This Row],[BOYA KODU]],Tablo14[#All],4,0)," ")</f>
        <v xml:space="preserve"> </v>
      </c>
      <c r="L572" s="100" t="str">
        <f>IFERROR(VLOOKUP(Tablo518[[#This Row],[BOYA KODU]],Tablo14[#All],6,0)," ")</f>
        <v xml:space="preserve"> </v>
      </c>
      <c r="M572" s="100" t="str">
        <f t="shared" si="56"/>
        <v xml:space="preserve"> </v>
      </c>
      <c r="N572" s="100" t="str">
        <f>IFERROR(VLOOKUP(Tablo518[[#This Row],[ÜRÜN KODU]],YMKODLARI!$A$1:$K$363,8,0)," ")</f>
        <v xml:space="preserve"> </v>
      </c>
      <c r="O572" s="100" t="str">
        <f>IFERROR(VLOOKUP(Tablo518[[#This Row],[HAMMADDE KODU]],Tablo1[#All],3,0)," ")</f>
        <v xml:space="preserve"> </v>
      </c>
      <c r="P572" s="100" t="str">
        <f>IFERROR(VLOOKUP(Tablo518[[#This Row],[HAMMADDE KODU]],Tablo1[#All],4,0)," ")</f>
        <v xml:space="preserve"> </v>
      </c>
      <c r="Q572" s="100" t="str">
        <f>IFERROR(VLOOKUP(Tablo518[[#This Row],[ÜRÜN KODU]],YMKODLARI!$A$1:$K$363,5,0)," ")</f>
        <v xml:space="preserve"> </v>
      </c>
      <c r="R572" s="100" t="str">
        <f>IFERROR(VLOOKUP(Tablo518[[#This Row],[ÜRÜN KODU]],YMKODLARI!$A$1:$K$363,6,0)," ")</f>
        <v xml:space="preserve"> </v>
      </c>
      <c r="S572" s="100" t="str">
        <f>IFERROR(Tablo518[[#This Row],[YOLLUK HARİÇ BASKI GRAMI]]/Tablo518[[#This Row],[KALIP GÖZ ADEDİ]]," ")</f>
        <v xml:space="preserve"> </v>
      </c>
      <c r="T572" s="100" t="str">
        <f t="shared" si="58"/>
        <v xml:space="preserve"> </v>
      </c>
      <c r="U572" s="100"/>
      <c r="V572" s="100" t="str">
        <f t="shared" si="57"/>
        <v xml:space="preserve"> </v>
      </c>
      <c r="W572" s="101">
        <f t="shared" si="59"/>
        <v>24</v>
      </c>
      <c r="X572" s="102">
        <f t="shared" si="60"/>
        <v>0</v>
      </c>
      <c r="Y572" s="100" t="str">
        <f t="shared" si="61"/>
        <v xml:space="preserve"> </v>
      </c>
      <c r="Z572" s="100" t="str">
        <f t="shared" si="62"/>
        <v xml:space="preserve"> </v>
      </c>
    </row>
    <row r="573" spans="1:26">
      <c r="A573" s="108"/>
      <c r="B573" s="108" t="str">
        <f>IFERROR(VLOOKUP(Tablo518[[#This Row],[ÜRÜN KODU]],YMKODLARI!$A$1:$K$363,2,0)," ")</f>
        <v xml:space="preserve"> </v>
      </c>
      <c r="C573" s="99"/>
      <c r="D573" s="100"/>
      <c r="E573" s="101"/>
      <c r="F573" s="101"/>
      <c r="G573" s="100" t="str">
        <f>IFERROR(VLOOKUP(Tablo518[[#This Row],[ÜRÜN KODU]],YMKODLARI!$A$1:$K$363,3,0)," ")</f>
        <v xml:space="preserve"> </v>
      </c>
      <c r="H573" s="100" t="str">
        <f>IFERROR(VLOOKUP(Tablo518[[#This Row],[ÜRÜN KODU]],YMKODLARI!$A$1:$K$363,4,0)," ")</f>
        <v xml:space="preserve"> </v>
      </c>
      <c r="I573" s="100"/>
      <c r="J573" s="100" t="str">
        <f>IFERROR(VLOOKUP(Tablo518[[#This Row],[ÜRÜN KODU]],YMKODLARI!$A$1:$K$363,9,0)," ")</f>
        <v xml:space="preserve"> </v>
      </c>
      <c r="K573" s="100" t="str">
        <f>IFERROR(VLOOKUP(Tablo518[[#This Row],[BOYA KODU]],Tablo14[#All],4,0)," ")</f>
        <v xml:space="preserve"> </v>
      </c>
      <c r="L573" s="100" t="str">
        <f>IFERROR(VLOOKUP(Tablo518[[#This Row],[BOYA KODU]],Tablo14[#All],6,0)," ")</f>
        <v xml:space="preserve"> </v>
      </c>
      <c r="M573" s="100" t="str">
        <f t="shared" si="56"/>
        <v xml:space="preserve"> </v>
      </c>
      <c r="N573" s="100" t="str">
        <f>IFERROR(VLOOKUP(Tablo518[[#This Row],[ÜRÜN KODU]],YMKODLARI!$A$1:$K$363,8,0)," ")</f>
        <v xml:space="preserve"> </v>
      </c>
      <c r="O573" s="100" t="str">
        <f>IFERROR(VLOOKUP(Tablo518[[#This Row],[HAMMADDE KODU]],Tablo1[#All],3,0)," ")</f>
        <v xml:space="preserve"> </v>
      </c>
      <c r="P573" s="100" t="str">
        <f>IFERROR(VLOOKUP(Tablo518[[#This Row],[HAMMADDE KODU]],Tablo1[#All],4,0)," ")</f>
        <v xml:space="preserve"> </v>
      </c>
      <c r="Q573" s="100" t="str">
        <f>IFERROR(VLOOKUP(Tablo518[[#This Row],[ÜRÜN KODU]],YMKODLARI!$A$1:$K$363,5,0)," ")</f>
        <v xml:space="preserve"> </v>
      </c>
      <c r="R573" s="100" t="str">
        <f>IFERROR(VLOOKUP(Tablo518[[#This Row],[ÜRÜN KODU]],YMKODLARI!$A$1:$K$363,6,0)," ")</f>
        <v xml:space="preserve"> </v>
      </c>
      <c r="S573" s="100" t="str">
        <f>IFERROR(Tablo518[[#This Row],[YOLLUK HARİÇ BASKI GRAMI]]/Tablo518[[#This Row],[KALIP GÖZ ADEDİ]]," ")</f>
        <v xml:space="preserve"> </v>
      </c>
      <c r="T573" s="100" t="str">
        <f t="shared" si="58"/>
        <v xml:space="preserve"> </v>
      </c>
      <c r="U573" s="100"/>
      <c r="V573" s="100" t="str">
        <f t="shared" si="57"/>
        <v xml:space="preserve"> </v>
      </c>
      <c r="W573" s="101">
        <f t="shared" si="59"/>
        <v>24</v>
      </c>
      <c r="X573" s="102">
        <f t="shared" si="60"/>
        <v>0</v>
      </c>
      <c r="Y573" s="100" t="str">
        <f t="shared" si="61"/>
        <v xml:space="preserve"> </v>
      </c>
      <c r="Z573" s="100" t="str">
        <f t="shared" si="62"/>
        <v xml:space="preserve"> </v>
      </c>
    </row>
    <row r="574" spans="1:26">
      <c r="A574" s="108"/>
      <c r="B574" s="108" t="str">
        <f>IFERROR(VLOOKUP(Tablo518[[#This Row],[ÜRÜN KODU]],YMKODLARI!$A$1:$K$363,2,0)," ")</f>
        <v xml:space="preserve"> </v>
      </c>
      <c r="C574" s="99"/>
      <c r="D574" s="100"/>
      <c r="E574" s="101"/>
      <c r="F574" s="101"/>
      <c r="G574" s="100" t="str">
        <f>IFERROR(VLOOKUP(Tablo518[[#This Row],[ÜRÜN KODU]],YMKODLARI!$A$1:$K$363,3,0)," ")</f>
        <v xml:space="preserve"> </v>
      </c>
      <c r="H574" s="100" t="str">
        <f>IFERROR(VLOOKUP(Tablo518[[#This Row],[ÜRÜN KODU]],YMKODLARI!$A$1:$K$363,4,0)," ")</f>
        <v xml:space="preserve"> </v>
      </c>
      <c r="I574" s="100"/>
      <c r="J574" s="100" t="str">
        <f>IFERROR(VLOOKUP(Tablo518[[#This Row],[ÜRÜN KODU]],YMKODLARI!$A$1:$K$363,9,0)," ")</f>
        <v xml:space="preserve"> </v>
      </c>
      <c r="K574" s="100" t="str">
        <f>IFERROR(VLOOKUP(Tablo518[[#This Row],[BOYA KODU]],Tablo14[#All],4,0)," ")</f>
        <v xml:space="preserve"> </v>
      </c>
      <c r="L574" s="100" t="str">
        <f>IFERROR(VLOOKUP(Tablo518[[#This Row],[BOYA KODU]],Tablo14[#All],6,0)," ")</f>
        <v xml:space="preserve"> </v>
      </c>
      <c r="M574" s="100" t="str">
        <f t="shared" si="56"/>
        <v xml:space="preserve"> </v>
      </c>
      <c r="N574" s="100" t="str">
        <f>IFERROR(VLOOKUP(Tablo518[[#This Row],[ÜRÜN KODU]],YMKODLARI!$A$1:$K$363,8,0)," ")</f>
        <v xml:space="preserve"> </v>
      </c>
      <c r="O574" s="100" t="str">
        <f>IFERROR(VLOOKUP(Tablo518[[#This Row],[HAMMADDE KODU]],Tablo1[#All],3,0)," ")</f>
        <v xml:space="preserve"> </v>
      </c>
      <c r="P574" s="100" t="str">
        <f>IFERROR(VLOOKUP(Tablo518[[#This Row],[HAMMADDE KODU]],Tablo1[#All],4,0)," ")</f>
        <v xml:space="preserve"> </v>
      </c>
      <c r="Q574" s="100" t="str">
        <f>IFERROR(VLOOKUP(Tablo518[[#This Row],[ÜRÜN KODU]],YMKODLARI!$A$1:$K$363,5,0)," ")</f>
        <v xml:space="preserve"> </v>
      </c>
      <c r="R574" s="100" t="str">
        <f>IFERROR(VLOOKUP(Tablo518[[#This Row],[ÜRÜN KODU]],YMKODLARI!$A$1:$K$363,6,0)," ")</f>
        <v xml:space="preserve"> </v>
      </c>
      <c r="S574" s="100" t="str">
        <f>IFERROR(Tablo518[[#This Row],[YOLLUK HARİÇ BASKI GRAMI]]/Tablo518[[#This Row],[KALIP GÖZ ADEDİ]]," ")</f>
        <v xml:space="preserve"> </v>
      </c>
      <c r="T574" s="100" t="str">
        <f t="shared" si="58"/>
        <v xml:space="preserve"> </v>
      </c>
      <c r="U574" s="100"/>
      <c r="V574" s="100" t="str">
        <f t="shared" si="57"/>
        <v xml:space="preserve"> </v>
      </c>
      <c r="W574" s="101">
        <f t="shared" si="59"/>
        <v>24</v>
      </c>
      <c r="X574" s="102">
        <f t="shared" si="60"/>
        <v>0</v>
      </c>
      <c r="Y574" s="100" t="str">
        <f t="shared" si="61"/>
        <v xml:space="preserve"> </v>
      </c>
      <c r="Z574" s="100" t="str">
        <f t="shared" si="62"/>
        <v xml:space="preserve"> </v>
      </c>
    </row>
    <row r="575" spans="1:26">
      <c r="A575" s="108"/>
      <c r="B575" s="108" t="str">
        <f>IFERROR(VLOOKUP(Tablo518[[#This Row],[ÜRÜN KODU]],YMKODLARI!$A$1:$K$363,2,0)," ")</f>
        <v xml:space="preserve"> </v>
      </c>
      <c r="C575" s="99"/>
      <c r="D575" s="100"/>
      <c r="E575" s="101"/>
      <c r="F575" s="101"/>
      <c r="G575" s="100" t="str">
        <f>IFERROR(VLOOKUP(Tablo518[[#This Row],[ÜRÜN KODU]],YMKODLARI!$A$1:$K$363,3,0)," ")</f>
        <v xml:space="preserve"> </v>
      </c>
      <c r="H575" s="100" t="str">
        <f>IFERROR(VLOOKUP(Tablo518[[#This Row],[ÜRÜN KODU]],YMKODLARI!$A$1:$K$363,4,0)," ")</f>
        <v xml:space="preserve"> </v>
      </c>
      <c r="I575" s="100"/>
      <c r="J575" s="100" t="str">
        <f>IFERROR(VLOOKUP(Tablo518[[#This Row],[ÜRÜN KODU]],YMKODLARI!$A$1:$K$363,9,0)," ")</f>
        <v xml:space="preserve"> </v>
      </c>
      <c r="K575" s="100" t="str">
        <f>IFERROR(VLOOKUP(Tablo518[[#This Row],[BOYA KODU]],Tablo14[#All],4,0)," ")</f>
        <v xml:space="preserve"> </v>
      </c>
      <c r="L575" s="100" t="str">
        <f>IFERROR(VLOOKUP(Tablo518[[#This Row],[BOYA KODU]],Tablo14[#All],6,0)," ")</f>
        <v xml:space="preserve"> </v>
      </c>
      <c r="M575" s="100" t="str">
        <f t="shared" si="56"/>
        <v xml:space="preserve"> </v>
      </c>
      <c r="N575" s="100" t="str">
        <f>IFERROR(VLOOKUP(Tablo518[[#This Row],[ÜRÜN KODU]],YMKODLARI!$A$1:$K$363,8,0)," ")</f>
        <v xml:space="preserve"> </v>
      </c>
      <c r="O575" s="100" t="str">
        <f>IFERROR(VLOOKUP(Tablo518[[#This Row],[HAMMADDE KODU]],Tablo1[#All],3,0)," ")</f>
        <v xml:space="preserve"> </v>
      </c>
      <c r="P575" s="100" t="str">
        <f>IFERROR(VLOOKUP(Tablo518[[#This Row],[HAMMADDE KODU]],Tablo1[#All],4,0)," ")</f>
        <v xml:space="preserve"> </v>
      </c>
      <c r="Q575" s="100" t="str">
        <f>IFERROR(VLOOKUP(Tablo518[[#This Row],[ÜRÜN KODU]],YMKODLARI!$A$1:$K$363,5,0)," ")</f>
        <v xml:space="preserve"> </v>
      </c>
      <c r="R575" s="100" t="str">
        <f>IFERROR(VLOOKUP(Tablo518[[#This Row],[ÜRÜN KODU]],YMKODLARI!$A$1:$K$363,6,0)," ")</f>
        <v xml:space="preserve"> </v>
      </c>
      <c r="S575" s="100" t="str">
        <f>IFERROR(Tablo518[[#This Row],[YOLLUK HARİÇ BASKI GRAMI]]/Tablo518[[#This Row],[KALIP GÖZ ADEDİ]]," ")</f>
        <v xml:space="preserve"> </v>
      </c>
      <c r="T575" s="100" t="str">
        <f t="shared" si="58"/>
        <v xml:space="preserve"> </v>
      </c>
      <c r="U575" s="100"/>
      <c r="V575" s="100" t="str">
        <f t="shared" si="57"/>
        <v xml:space="preserve"> </v>
      </c>
      <c r="W575" s="101">
        <f t="shared" si="59"/>
        <v>24</v>
      </c>
      <c r="X575" s="102">
        <f t="shared" si="60"/>
        <v>0</v>
      </c>
      <c r="Y575" s="100" t="str">
        <f t="shared" si="61"/>
        <v xml:space="preserve"> </v>
      </c>
      <c r="Z575" s="100" t="str">
        <f t="shared" si="62"/>
        <v xml:space="preserve"> </v>
      </c>
    </row>
    <row r="576" spans="1:26">
      <c r="A576" s="108"/>
      <c r="B576" s="108" t="str">
        <f>IFERROR(VLOOKUP(Tablo518[[#This Row],[ÜRÜN KODU]],YMKODLARI!$A$1:$K$363,2,0)," ")</f>
        <v xml:space="preserve"> </v>
      </c>
      <c r="C576" s="99"/>
      <c r="D576" s="100"/>
      <c r="E576" s="101"/>
      <c r="F576" s="101"/>
      <c r="G576" s="100" t="str">
        <f>IFERROR(VLOOKUP(Tablo518[[#This Row],[ÜRÜN KODU]],YMKODLARI!$A$1:$K$363,3,0)," ")</f>
        <v xml:space="preserve"> </v>
      </c>
      <c r="H576" s="100" t="str">
        <f>IFERROR(VLOOKUP(Tablo518[[#This Row],[ÜRÜN KODU]],YMKODLARI!$A$1:$K$363,4,0)," ")</f>
        <v xml:space="preserve"> </v>
      </c>
      <c r="I576" s="100"/>
      <c r="J576" s="100" t="str">
        <f>IFERROR(VLOOKUP(Tablo518[[#This Row],[ÜRÜN KODU]],YMKODLARI!$A$1:$K$363,9,0)," ")</f>
        <v xml:space="preserve"> </v>
      </c>
      <c r="K576" s="100" t="str">
        <f>IFERROR(VLOOKUP(Tablo518[[#This Row],[BOYA KODU]],Tablo14[#All],4,0)," ")</f>
        <v xml:space="preserve"> </v>
      </c>
      <c r="L576" s="100" t="str">
        <f>IFERROR(VLOOKUP(Tablo518[[#This Row],[BOYA KODU]],Tablo14[#All],6,0)," ")</f>
        <v xml:space="preserve"> </v>
      </c>
      <c r="M576" s="100" t="str">
        <f t="shared" si="56"/>
        <v xml:space="preserve"> </v>
      </c>
      <c r="N576" s="100" t="str">
        <f>IFERROR(VLOOKUP(Tablo518[[#This Row],[ÜRÜN KODU]],YMKODLARI!$A$1:$K$363,8,0)," ")</f>
        <v xml:space="preserve"> </v>
      </c>
      <c r="O576" s="100" t="str">
        <f>IFERROR(VLOOKUP(Tablo518[[#This Row],[HAMMADDE KODU]],Tablo1[#All],3,0)," ")</f>
        <v xml:space="preserve"> </v>
      </c>
      <c r="P576" s="100" t="str">
        <f>IFERROR(VLOOKUP(Tablo518[[#This Row],[HAMMADDE KODU]],Tablo1[#All],4,0)," ")</f>
        <v xml:space="preserve"> </v>
      </c>
      <c r="Q576" s="100" t="str">
        <f>IFERROR(VLOOKUP(Tablo518[[#This Row],[ÜRÜN KODU]],YMKODLARI!$A$1:$K$363,5,0)," ")</f>
        <v xml:space="preserve"> </v>
      </c>
      <c r="R576" s="100" t="str">
        <f>IFERROR(VLOOKUP(Tablo518[[#This Row],[ÜRÜN KODU]],YMKODLARI!$A$1:$K$363,6,0)," ")</f>
        <v xml:space="preserve"> </v>
      </c>
      <c r="S576" s="100" t="str">
        <f>IFERROR(Tablo518[[#This Row],[YOLLUK HARİÇ BASKI GRAMI]]/Tablo518[[#This Row],[KALIP GÖZ ADEDİ]]," ")</f>
        <v xml:space="preserve"> </v>
      </c>
      <c r="T576" s="100" t="str">
        <f t="shared" si="58"/>
        <v xml:space="preserve"> </v>
      </c>
      <c r="U576" s="100"/>
      <c r="V576" s="100" t="str">
        <f t="shared" si="57"/>
        <v xml:space="preserve"> </v>
      </c>
      <c r="W576" s="101">
        <f t="shared" si="59"/>
        <v>24</v>
      </c>
      <c r="X576" s="102">
        <f t="shared" si="60"/>
        <v>0</v>
      </c>
      <c r="Y576" s="100" t="str">
        <f t="shared" si="61"/>
        <v xml:space="preserve"> </v>
      </c>
      <c r="Z576" s="100" t="str">
        <f t="shared" si="62"/>
        <v xml:space="preserve"> </v>
      </c>
    </row>
  </sheetData>
  <sheetProtection password="CC17" sheet="1" objects="1" scenarios="1" selectLockedCells="1"/>
  <protectedRanges>
    <protectedRange password="CC09" sqref="A1:A196 I1:I1048576 U1:U1048576 C1:F336 D337:F344 A204:A1048576 C345:F1048576" name="Girişler"/>
  </protectedRanges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>
  <sheetPr codeName="Sayfa10"/>
  <dimension ref="A1:Z571"/>
  <sheetViews>
    <sheetView zoomScale="106" zoomScaleNormal="106" workbookViewId="0">
      <pane ySplit="1" topLeftCell="A240" activePane="bottomLeft" state="frozen"/>
      <selection activeCell="F19" sqref="F19"/>
      <selection pane="bottomLeft" activeCell="A272" sqref="A272"/>
    </sheetView>
  </sheetViews>
  <sheetFormatPr defaultRowHeight="15"/>
  <cols>
    <col min="1" max="1" width="16.7109375" style="37" bestFit="1" customWidth="1"/>
    <col min="2" max="2" width="34.42578125" style="35" customWidth="1"/>
    <col min="3" max="3" width="11.85546875" style="36" bestFit="1" customWidth="1"/>
    <col min="4" max="4" width="15.28515625" style="37" customWidth="1"/>
    <col min="5" max="5" width="12" style="38" customWidth="1"/>
    <col min="6" max="6" width="10.140625" style="38" customWidth="1"/>
    <col min="7" max="7" width="9.140625" style="37" customWidth="1"/>
    <col min="8" max="8" width="9" style="37" customWidth="1"/>
    <col min="9" max="9" width="11.7109375" style="37" customWidth="1"/>
    <col min="10" max="10" width="12.7109375" style="37" bestFit="1" customWidth="1"/>
    <col min="11" max="11" width="11.85546875" style="37" customWidth="1"/>
    <col min="12" max="12" width="10" style="37" customWidth="1"/>
    <col min="13" max="13" width="12.5703125" style="37" customWidth="1"/>
    <col min="14" max="15" width="12.42578125" style="37" customWidth="1"/>
    <col min="16" max="16" width="17.42578125" style="37" bestFit="1" customWidth="1"/>
    <col min="17" max="17" width="8.5703125" style="37" customWidth="1"/>
    <col min="18" max="18" width="10.5703125" style="37" customWidth="1"/>
    <col min="19" max="19" width="7.5703125" style="37" customWidth="1"/>
    <col min="20" max="20" width="10" style="37" customWidth="1"/>
    <col min="21" max="21" width="9.140625" style="37"/>
    <col min="22" max="22" width="12.140625" style="37" customWidth="1"/>
    <col min="23" max="23" width="11.85546875" style="38" customWidth="1"/>
    <col min="24" max="24" width="11.85546875" style="39" customWidth="1"/>
    <col min="25" max="25" width="9.5703125" style="37" customWidth="1"/>
    <col min="26" max="26" width="10.28515625" style="37" customWidth="1"/>
    <col min="27" max="16384" width="9.140625" style="37"/>
  </cols>
  <sheetData>
    <row r="1" spans="1:26" s="40" customFormat="1" ht="105" customHeight="1">
      <c r="A1" s="40" t="s">
        <v>0</v>
      </c>
      <c r="B1" s="41" t="s">
        <v>1</v>
      </c>
      <c r="C1" s="42" t="s">
        <v>2</v>
      </c>
      <c r="D1" s="40" t="s">
        <v>3</v>
      </c>
      <c r="E1" s="43" t="s">
        <v>4</v>
      </c>
      <c r="F1" s="43" t="s">
        <v>5</v>
      </c>
      <c r="G1" s="40" t="s">
        <v>6</v>
      </c>
      <c r="H1" s="40" t="s">
        <v>7</v>
      </c>
      <c r="I1" s="40" t="s">
        <v>8</v>
      </c>
      <c r="J1" s="40" t="s">
        <v>9</v>
      </c>
      <c r="K1" s="40" t="s">
        <v>10</v>
      </c>
      <c r="L1" s="40" t="s">
        <v>11</v>
      </c>
      <c r="M1" s="40" t="s">
        <v>208</v>
      </c>
      <c r="N1" s="40" t="s">
        <v>13</v>
      </c>
      <c r="O1" s="40" t="s">
        <v>14</v>
      </c>
      <c r="P1" s="40" t="s">
        <v>15</v>
      </c>
      <c r="Q1" s="40" t="s">
        <v>16</v>
      </c>
      <c r="R1" s="40" t="s">
        <v>17</v>
      </c>
      <c r="S1" s="40" t="s">
        <v>18</v>
      </c>
      <c r="T1" s="40" t="s">
        <v>19</v>
      </c>
      <c r="U1" s="40" t="s">
        <v>20</v>
      </c>
      <c r="V1" s="40" t="s">
        <v>21</v>
      </c>
      <c r="W1" s="43" t="s">
        <v>22</v>
      </c>
      <c r="X1" s="44" t="s">
        <v>23</v>
      </c>
      <c r="Y1" s="40" t="s">
        <v>24</v>
      </c>
      <c r="Z1" s="40" t="s">
        <v>25</v>
      </c>
    </row>
    <row r="2" spans="1:26">
      <c r="A2" s="100" t="s">
        <v>209</v>
      </c>
      <c r="B2" s="108" t="str">
        <f>IFERROR(VLOOKUP(Tablo519[[#This Row],[ÜRÜN KODU]],YMKODLARI!$A$1:$K$363,2,0)," ")</f>
        <v>125 ml BARDAK SULUK</v>
      </c>
      <c r="C2" s="99">
        <v>43833</v>
      </c>
      <c r="D2" s="100" t="s">
        <v>49</v>
      </c>
      <c r="E2" s="101">
        <v>0.72916666666666663</v>
      </c>
      <c r="F2" s="101">
        <v>0.83333333333333337</v>
      </c>
      <c r="G2" s="100">
        <f>IFERROR(VLOOKUP(Tablo519[[#This Row],[ÜRÜN KODU]],YMKODLARI!$A$1:$K$363,3,0)," ")</f>
        <v>4</v>
      </c>
      <c r="H2" s="100">
        <f>IFERROR(VLOOKUP(Tablo519[[#This Row],[ÜRÜN KODU]],YMKODLARI!$A$1:$K$363,4,0)," ")</f>
        <v>32</v>
      </c>
      <c r="I2" s="100">
        <v>363</v>
      </c>
      <c r="J2" s="100" t="str">
        <f>IFERROR(VLOOKUP(Tablo519[[#This Row],[ÜRÜN KODU]],YMKODLARI!$A$1:$K$363,9,0)," ")</f>
        <v>Şeffaf</v>
      </c>
      <c r="K2" s="100" t="str">
        <f>IFERROR(VLOOKUP(Tablo519[[#This Row],[BOYA KODU]],Tablo14[#All],4,0)," ")</f>
        <v xml:space="preserve"> </v>
      </c>
      <c r="L2" s="100" t="str">
        <f>IFERROR(VLOOKUP(Tablo519[[#This Row],[BOYA KODU]],Tablo14[#All],6,0)," ")</f>
        <v xml:space="preserve"> </v>
      </c>
      <c r="M2" s="100" t="str">
        <f t="shared" ref="M2:M66" si="0">IFERROR((I2*Q2)*L2," ")</f>
        <v xml:space="preserve"> </v>
      </c>
      <c r="N2" s="100" t="str">
        <f>IFERROR(VLOOKUP(Tablo519[[#This Row],[ÜRÜN KODU]],YMKODLARI!$A$1:$K$363,8,0)," ")</f>
        <v>HM 001</v>
      </c>
      <c r="O2" s="100" t="str">
        <f>IFERROR(VLOOKUP(Tablo519[[#This Row],[HAMMADDE KODU]],Tablo1[#All],3,0)," ")</f>
        <v>CAPILENE</v>
      </c>
      <c r="P2" s="100" t="str">
        <f>IFERROR(VLOOKUP(Tablo519[[#This Row],[HAMMADDE KODU]],Tablo1[#All],4,0)," ")</f>
        <v>PİNHAS</v>
      </c>
      <c r="Q2" s="100">
        <f>IFERROR(VLOOKUP(Tablo519[[#This Row],[ÜRÜN KODU]],YMKODLARI!$A$1:$K$363,5,0)," ")</f>
        <v>52.9</v>
      </c>
      <c r="R2" s="100">
        <f>IFERROR(VLOOKUP(Tablo519[[#This Row],[ÜRÜN KODU]],YMKODLARI!$A$1:$K$363,6,0)," ")</f>
        <v>52.9</v>
      </c>
      <c r="S2" s="100">
        <f>IFERROR(Tablo519[[#This Row],[YOLLUK HARİÇ BASKI GRAMI]]/Tablo519[[#This Row],[KALIP GÖZ ADEDİ]]," ")</f>
        <v>13.225</v>
      </c>
      <c r="T2" s="100">
        <f>IFERROR(Q2-R2," ")</f>
        <v>0</v>
      </c>
      <c r="U2" s="100">
        <v>5</v>
      </c>
      <c r="V2" s="100">
        <f t="shared" ref="V2:V7" si="1">IFERROR(U2+(R2*I2) /1000," ")</f>
        <v>24.2027</v>
      </c>
      <c r="W2" s="101">
        <f>IFERROR(24-(E2-F2)," ")</f>
        <v>24.104166666666668</v>
      </c>
      <c r="X2" s="102">
        <f>IFERROR((W2-INT(W2))*24," ")</f>
        <v>2.5000000000000284</v>
      </c>
      <c r="Y2" s="100">
        <f>IFERROR(H2*I2/3600," ")</f>
        <v>3.2266666666666666</v>
      </c>
      <c r="Z2" s="100">
        <f>IFERROR(I2*G2," " )</f>
        <v>1452</v>
      </c>
    </row>
    <row r="3" spans="1:26">
      <c r="A3" s="100" t="s">
        <v>209</v>
      </c>
      <c r="B3" s="108" t="str">
        <f>IFERROR(VLOOKUP(Tablo519[[#This Row],[ÜRÜN KODU]],YMKODLARI!$A$1:$K$363,2,0)," ")</f>
        <v>125 ml BARDAK SULUK</v>
      </c>
      <c r="C3" s="99">
        <v>43836</v>
      </c>
      <c r="D3" s="100" t="s">
        <v>49</v>
      </c>
      <c r="E3" s="101">
        <v>0.34375</v>
      </c>
      <c r="F3" s="101">
        <v>0.46875</v>
      </c>
      <c r="G3" s="100">
        <f>IFERROR(VLOOKUP(Tablo519[[#This Row],[ÜRÜN KODU]],YMKODLARI!$A$1:$K$363,3,0)," ")</f>
        <v>4</v>
      </c>
      <c r="H3" s="100">
        <f>IFERROR(VLOOKUP(Tablo519[[#This Row],[ÜRÜN KODU]],YMKODLARI!$A$1:$K$363,4,0)," ")</f>
        <v>32</v>
      </c>
      <c r="I3" s="100">
        <v>276</v>
      </c>
      <c r="J3" s="100" t="str">
        <f>IFERROR(VLOOKUP(Tablo519[[#This Row],[ÜRÜN KODU]],YMKODLARI!$A$1:$K$363,9,0)," ")</f>
        <v>Şeffaf</v>
      </c>
      <c r="K3" s="100" t="str">
        <f>IFERROR(VLOOKUP(Tablo519[[#This Row],[BOYA KODU]],Tablo14[#All],4,0)," ")</f>
        <v xml:space="preserve"> </v>
      </c>
      <c r="L3" s="100" t="str">
        <f>IFERROR(VLOOKUP(Tablo519[[#This Row],[BOYA KODU]],Tablo14[#All],6,0)," ")</f>
        <v xml:space="preserve"> </v>
      </c>
      <c r="M3" s="100" t="str">
        <f t="shared" si="0"/>
        <v xml:space="preserve"> </v>
      </c>
      <c r="N3" s="100" t="str">
        <f>IFERROR(VLOOKUP(Tablo519[[#This Row],[ÜRÜN KODU]],YMKODLARI!$A$1:$K$363,8,0)," ")</f>
        <v>HM 001</v>
      </c>
      <c r="O3" s="100" t="str">
        <f>IFERROR(VLOOKUP(Tablo519[[#This Row],[HAMMADDE KODU]],Tablo1[#All],3,0)," ")</f>
        <v>CAPILENE</v>
      </c>
      <c r="P3" s="100" t="str">
        <f>IFERROR(VLOOKUP(Tablo519[[#This Row],[HAMMADDE KODU]],Tablo1[#All],4,0)," ")</f>
        <v>PİNHAS</v>
      </c>
      <c r="Q3" s="100">
        <f>IFERROR(VLOOKUP(Tablo519[[#This Row],[ÜRÜN KODU]],YMKODLARI!$A$1:$K$363,5,0)," ")</f>
        <v>52.9</v>
      </c>
      <c r="R3" s="100">
        <f>IFERROR(VLOOKUP(Tablo519[[#This Row],[ÜRÜN KODU]],YMKODLARI!$A$1:$K$363,6,0)," ")</f>
        <v>52.9</v>
      </c>
      <c r="S3" s="100">
        <f>IFERROR(Tablo519[[#This Row],[YOLLUK HARİÇ BASKI GRAMI]]/Tablo519[[#This Row],[KALIP GÖZ ADEDİ]]," ")</f>
        <v>13.225</v>
      </c>
      <c r="T3" s="100">
        <f t="shared" ref="T3:T67" si="2">IFERROR(Q3-R3," ")</f>
        <v>0</v>
      </c>
      <c r="U3" s="100">
        <v>1</v>
      </c>
      <c r="V3" s="100">
        <f t="shared" si="1"/>
        <v>15.6004</v>
      </c>
      <c r="W3" s="101">
        <f t="shared" ref="W3:W67" si="3">IFERROR(24-(E3-F3)," ")</f>
        <v>24.125</v>
      </c>
      <c r="X3" s="102">
        <f t="shared" ref="X3:X67" si="4">IFERROR((W3-INT(W3))*24," ")</f>
        <v>3</v>
      </c>
      <c r="Y3" s="100">
        <f t="shared" ref="Y3:Y67" si="5">IFERROR(H3*I3/3600," ")</f>
        <v>2.4533333333333331</v>
      </c>
      <c r="Z3" s="100">
        <f t="shared" ref="Z3:Z67" si="6">IFERROR(I3*G3," " )</f>
        <v>1104</v>
      </c>
    </row>
    <row r="4" spans="1:26">
      <c r="A4" s="100" t="s">
        <v>209</v>
      </c>
      <c r="B4" s="108" t="str">
        <f>IFERROR(VLOOKUP(Tablo519[[#This Row],[ÜRÜN KODU]],YMKODLARI!$A$1:$K$363,2,0)," ")</f>
        <v>125 ml BARDAK SULUK</v>
      </c>
      <c r="C4" s="99">
        <v>43836</v>
      </c>
      <c r="D4" s="100" t="s">
        <v>49</v>
      </c>
      <c r="E4" s="101">
        <v>0.5</v>
      </c>
      <c r="F4" s="101">
        <v>0.65277777777777779</v>
      </c>
      <c r="G4" s="100">
        <f>IFERROR(VLOOKUP(Tablo519[[#This Row],[ÜRÜN KODU]],YMKODLARI!$A$1:$K$363,3,0)," ")</f>
        <v>4</v>
      </c>
      <c r="H4" s="100">
        <f>IFERROR(VLOOKUP(Tablo519[[#This Row],[ÜRÜN KODU]],YMKODLARI!$A$1:$K$363,4,0)," ")</f>
        <v>32</v>
      </c>
      <c r="I4" s="100">
        <v>330</v>
      </c>
      <c r="J4" s="100" t="str">
        <f>IFERROR(VLOOKUP(Tablo519[[#This Row],[ÜRÜN KODU]],YMKODLARI!$A$1:$K$363,9,0)," ")</f>
        <v>Şeffaf</v>
      </c>
      <c r="K4" s="100" t="str">
        <f>IFERROR(VLOOKUP(Tablo519[[#This Row],[BOYA KODU]],Tablo14[#All],4,0)," ")</f>
        <v xml:space="preserve"> </v>
      </c>
      <c r="L4" s="100" t="str">
        <f>IFERROR(VLOOKUP(Tablo519[[#This Row],[BOYA KODU]],Tablo14[#All],6,0)," ")</f>
        <v xml:space="preserve"> </v>
      </c>
      <c r="M4" s="100" t="str">
        <f t="shared" si="0"/>
        <v xml:space="preserve"> </v>
      </c>
      <c r="N4" s="100" t="str">
        <f>IFERROR(VLOOKUP(Tablo519[[#This Row],[ÜRÜN KODU]],YMKODLARI!$A$1:$K$363,8,0)," ")</f>
        <v>HM 001</v>
      </c>
      <c r="O4" s="100" t="str">
        <f>IFERROR(VLOOKUP(Tablo519[[#This Row],[HAMMADDE KODU]],Tablo1[#All],3,0)," ")</f>
        <v>CAPILENE</v>
      </c>
      <c r="P4" s="100" t="str">
        <f>IFERROR(VLOOKUP(Tablo519[[#This Row],[HAMMADDE KODU]],Tablo1[#All],4,0)," ")</f>
        <v>PİNHAS</v>
      </c>
      <c r="Q4" s="100">
        <f>IFERROR(VLOOKUP(Tablo519[[#This Row],[ÜRÜN KODU]],YMKODLARI!$A$1:$K$363,5,0)," ")</f>
        <v>52.9</v>
      </c>
      <c r="R4" s="100">
        <f>IFERROR(VLOOKUP(Tablo519[[#This Row],[ÜRÜN KODU]],YMKODLARI!$A$1:$K$363,6,0)," ")</f>
        <v>52.9</v>
      </c>
      <c r="S4" s="100">
        <f>IFERROR(Tablo519[[#This Row],[YOLLUK HARİÇ BASKI GRAMI]]/Tablo519[[#This Row],[KALIP GÖZ ADEDİ]]," ")</f>
        <v>13.225</v>
      </c>
      <c r="T4" s="100">
        <f t="shared" si="2"/>
        <v>0</v>
      </c>
      <c r="U4" s="100">
        <v>0.6</v>
      </c>
      <c r="V4" s="100">
        <f t="shared" si="1"/>
        <v>18.057000000000002</v>
      </c>
      <c r="W4" s="101">
        <f t="shared" si="3"/>
        <v>24.152777777777779</v>
      </c>
      <c r="X4" s="102">
        <f t="shared" si="4"/>
        <v>3.6666666666666856</v>
      </c>
      <c r="Y4" s="100">
        <f t="shared" si="5"/>
        <v>2.9333333333333331</v>
      </c>
      <c r="Z4" s="100">
        <f t="shared" si="6"/>
        <v>1320</v>
      </c>
    </row>
    <row r="5" spans="1:26">
      <c r="A5" s="100" t="s">
        <v>202</v>
      </c>
      <c r="B5" s="108" t="str">
        <f>IFERROR(VLOOKUP(Tablo519[[#This Row],[ÜRÜN KODU]],YMKODLARI!$A$1:$K$363,2,0)," ")</f>
        <v xml:space="preserve"> BİBERON VİDA</v>
      </c>
      <c r="C5" s="99">
        <v>43839</v>
      </c>
      <c r="D5" s="100" t="s">
        <v>37</v>
      </c>
      <c r="E5" s="101">
        <v>0.58333333333333337</v>
      </c>
      <c r="F5" s="101">
        <v>0.625</v>
      </c>
      <c r="G5" s="100">
        <f>IFERROR(VLOOKUP(Tablo519[[#This Row],[ÜRÜN KODU]],YMKODLARI!$A$1:$K$363,3,0)," ")</f>
        <v>4</v>
      </c>
      <c r="H5" s="100">
        <f>IFERROR(VLOOKUP(Tablo519[[#This Row],[ÜRÜN KODU]],YMKODLARI!$A$1:$K$363,4,0)," ")</f>
        <v>25</v>
      </c>
      <c r="I5" s="100">
        <v>1217</v>
      </c>
      <c r="J5" s="100" t="str">
        <f>IFERROR(VLOOKUP(Tablo519[[#This Row],[ÜRÜN KODU]],YMKODLARI!$A$1:$K$363,9,0)," ")</f>
        <v>9134A</v>
      </c>
      <c r="K5" s="100" t="str">
        <f>IFERROR(VLOOKUP(Tablo519[[#This Row],[BOYA KODU]],Tablo14[#All],4,0)," ")</f>
        <v>BEYAZ</v>
      </c>
      <c r="L5" s="100">
        <f>IFERROR(VLOOKUP(Tablo519[[#This Row],[BOYA KODU]],Tablo14[#All],6,0)," ")</f>
        <v>7.0000000000000001E-3</v>
      </c>
      <c r="M5" s="100">
        <f t="shared" si="0"/>
        <v>235.97630000000001</v>
      </c>
      <c r="N5" s="100" t="str">
        <f>IFERROR(VLOOKUP(Tablo519[[#This Row],[ÜRÜN KODU]],YMKODLARI!$A$1:$K$363,8,0)," ")</f>
        <v>HM 001</v>
      </c>
      <c r="O5" s="100" t="str">
        <f>IFERROR(VLOOKUP(Tablo519[[#This Row],[HAMMADDE KODU]],Tablo1[#All],3,0)," ")</f>
        <v>CAPILENE</v>
      </c>
      <c r="P5" s="100" t="str">
        <f>IFERROR(VLOOKUP(Tablo519[[#This Row],[HAMMADDE KODU]],Tablo1[#All],4,0)," ")</f>
        <v>PİNHAS</v>
      </c>
      <c r="Q5" s="100">
        <f>IFERROR(VLOOKUP(Tablo519[[#This Row],[ÜRÜN KODU]],YMKODLARI!$A$1:$K$363,5,0)," ")</f>
        <v>27.7</v>
      </c>
      <c r="R5" s="100">
        <f>IFERROR(VLOOKUP(Tablo519[[#This Row],[ÜRÜN KODU]],YMKODLARI!$A$1:$K$363,6,0)," ")</f>
        <v>27.7</v>
      </c>
      <c r="S5" s="100">
        <f>IFERROR(Tablo519[[#This Row],[YOLLUK HARİÇ BASKI GRAMI]]/Tablo519[[#This Row],[KALIP GÖZ ADEDİ]]," ")</f>
        <v>6.9249999999999998</v>
      </c>
      <c r="T5" s="100">
        <f t="shared" si="2"/>
        <v>0</v>
      </c>
      <c r="U5" s="100"/>
      <c r="V5" s="100">
        <f t="shared" si="1"/>
        <v>33.710900000000002</v>
      </c>
      <c r="W5" s="101">
        <f t="shared" si="3"/>
        <v>24.041666666666668</v>
      </c>
      <c r="X5" s="102">
        <f t="shared" si="4"/>
        <v>1.0000000000000284</v>
      </c>
      <c r="Y5" s="100">
        <f t="shared" si="5"/>
        <v>8.4513888888888893</v>
      </c>
      <c r="Z5" s="100">
        <f t="shared" si="6"/>
        <v>4868</v>
      </c>
    </row>
    <row r="6" spans="1:26">
      <c r="A6" s="100" t="s">
        <v>202</v>
      </c>
      <c r="B6" s="108" t="str">
        <f>IFERROR(VLOOKUP(Tablo519[[#This Row],[ÜRÜN KODU]],YMKODLARI!$A$1:$K$363,2,0)," ")</f>
        <v xml:space="preserve"> BİBERON VİDA</v>
      </c>
      <c r="C6" s="99">
        <v>43840</v>
      </c>
      <c r="D6" s="100" t="s">
        <v>36</v>
      </c>
      <c r="E6" s="101">
        <v>0.3611111111111111</v>
      </c>
      <c r="F6" s="101">
        <v>0.83333333333333337</v>
      </c>
      <c r="G6" s="100">
        <f>IFERROR(VLOOKUP(Tablo519[[#This Row],[ÜRÜN KODU]],YMKODLARI!$A$1:$K$363,3,0)," ")</f>
        <v>4</v>
      </c>
      <c r="H6" s="100">
        <f>IFERROR(VLOOKUP(Tablo519[[#This Row],[ÜRÜN KODU]],YMKODLARI!$A$1:$K$363,4,0)," ")</f>
        <v>25</v>
      </c>
      <c r="I6" s="100">
        <v>767</v>
      </c>
      <c r="J6" s="100" t="str">
        <f>IFERROR(VLOOKUP(Tablo519[[#This Row],[ÜRÜN KODU]],YMKODLARI!$A$1:$K$363,9,0)," ")</f>
        <v>9134A</v>
      </c>
      <c r="K6" s="100" t="str">
        <f>IFERROR(VLOOKUP(Tablo519[[#This Row],[BOYA KODU]],Tablo14[#All],4,0)," ")</f>
        <v>BEYAZ</v>
      </c>
      <c r="L6" s="100">
        <f>IFERROR(VLOOKUP(Tablo519[[#This Row],[BOYA KODU]],Tablo14[#All],6,0)," ")</f>
        <v>7.0000000000000001E-3</v>
      </c>
      <c r="M6" s="100">
        <f t="shared" si="0"/>
        <v>148.72129999999999</v>
      </c>
      <c r="N6" s="100" t="str">
        <f>IFERROR(VLOOKUP(Tablo519[[#This Row],[ÜRÜN KODU]],YMKODLARI!$A$1:$K$363,8,0)," ")</f>
        <v>HM 001</v>
      </c>
      <c r="O6" s="100" t="str">
        <f>IFERROR(VLOOKUP(Tablo519[[#This Row],[HAMMADDE KODU]],Tablo1[#All],3,0)," ")</f>
        <v>CAPILENE</v>
      </c>
      <c r="P6" s="100" t="str">
        <f>IFERROR(VLOOKUP(Tablo519[[#This Row],[HAMMADDE KODU]],Tablo1[#All],4,0)," ")</f>
        <v>PİNHAS</v>
      </c>
      <c r="Q6" s="100">
        <f>IFERROR(VLOOKUP(Tablo519[[#This Row],[ÜRÜN KODU]],YMKODLARI!$A$1:$K$363,5,0)," ")</f>
        <v>27.7</v>
      </c>
      <c r="R6" s="100">
        <f>IFERROR(VLOOKUP(Tablo519[[#This Row],[ÜRÜN KODU]],YMKODLARI!$A$1:$K$363,6,0)," ")</f>
        <v>27.7</v>
      </c>
      <c r="S6" s="100">
        <f>IFERROR(Tablo519[[#This Row],[YOLLUK HARİÇ BASKI GRAMI]]/Tablo519[[#This Row],[KALIP GÖZ ADEDİ]]," ")</f>
        <v>6.9249999999999998</v>
      </c>
      <c r="T6" s="100">
        <f t="shared" si="2"/>
        <v>0</v>
      </c>
      <c r="U6" s="100">
        <v>0.9</v>
      </c>
      <c r="V6" s="100">
        <f t="shared" si="1"/>
        <v>22.145899999999997</v>
      </c>
      <c r="W6" s="101">
        <f t="shared" si="3"/>
        <v>24.472222222222221</v>
      </c>
      <c r="X6" s="102">
        <f t="shared" si="4"/>
        <v>11.333333333333314</v>
      </c>
      <c r="Y6" s="100">
        <f t="shared" si="5"/>
        <v>5.3263888888888893</v>
      </c>
      <c r="Z6" s="100">
        <f t="shared" si="6"/>
        <v>3068</v>
      </c>
    </row>
    <row r="7" spans="1:26">
      <c r="A7" s="100" t="s">
        <v>202</v>
      </c>
      <c r="B7" s="108" t="str">
        <f>IFERROR(VLOOKUP(Tablo519[[#This Row],[ÜRÜN KODU]],YMKODLARI!$A$1:$K$363,2,0)," ")</f>
        <v xml:space="preserve"> BİBERON VİDA</v>
      </c>
      <c r="C7" s="99">
        <v>43843</v>
      </c>
      <c r="D7" s="100" t="s">
        <v>37</v>
      </c>
      <c r="E7" s="101">
        <v>0.33333333333333331</v>
      </c>
      <c r="F7" s="101">
        <v>0.60416666666666663</v>
      </c>
      <c r="G7" s="100">
        <f>IFERROR(VLOOKUP(Tablo519[[#This Row],[ÜRÜN KODU]],YMKODLARI!$A$1:$K$363,3,0)," ")</f>
        <v>4</v>
      </c>
      <c r="H7" s="100">
        <f>IFERROR(VLOOKUP(Tablo519[[#This Row],[ÜRÜN KODU]],YMKODLARI!$A$1:$K$363,4,0)," ")</f>
        <v>25</v>
      </c>
      <c r="I7" s="100">
        <v>60</v>
      </c>
      <c r="J7" s="100" t="str">
        <f>IFERROR(VLOOKUP(Tablo519[[#This Row],[ÜRÜN KODU]],YMKODLARI!$A$1:$K$363,9,0)," ")</f>
        <v>9134A</v>
      </c>
      <c r="K7" s="100" t="str">
        <f>IFERROR(VLOOKUP(Tablo519[[#This Row],[BOYA KODU]],Tablo14[#All],4,0)," ")</f>
        <v>BEYAZ</v>
      </c>
      <c r="L7" s="100">
        <f>IFERROR(VLOOKUP(Tablo519[[#This Row],[BOYA KODU]],Tablo14[#All],6,0)," ")</f>
        <v>7.0000000000000001E-3</v>
      </c>
      <c r="M7" s="100">
        <f t="shared" si="0"/>
        <v>11.634</v>
      </c>
      <c r="N7" s="100" t="str">
        <f>IFERROR(VLOOKUP(Tablo519[[#This Row],[ÜRÜN KODU]],YMKODLARI!$A$1:$K$363,8,0)," ")</f>
        <v>HM 001</v>
      </c>
      <c r="O7" s="100" t="str">
        <f>IFERROR(VLOOKUP(Tablo519[[#This Row],[HAMMADDE KODU]],Tablo1[#All],3,0)," ")</f>
        <v>CAPILENE</v>
      </c>
      <c r="P7" s="100" t="str">
        <f>IFERROR(VLOOKUP(Tablo519[[#This Row],[HAMMADDE KODU]],Tablo1[#All],4,0)," ")</f>
        <v>PİNHAS</v>
      </c>
      <c r="Q7" s="100">
        <f>IFERROR(VLOOKUP(Tablo519[[#This Row],[ÜRÜN KODU]],YMKODLARI!$A$1:$K$363,5,0)," ")</f>
        <v>27.7</v>
      </c>
      <c r="R7" s="100">
        <f>IFERROR(VLOOKUP(Tablo519[[#This Row],[ÜRÜN KODU]],YMKODLARI!$A$1:$K$363,6,0)," ")</f>
        <v>27.7</v>
      </c>
      <c r="S7" s="100">
        <f>IFERROR(Tablo519[[#This Row],[YOLLUK HARİÇ BASKI GRAMI]]/Tablo519[[#This Row],[KALIP GÖZ ADEDİ]]," ")</f>
        <v>6.9249999999999998</v>
      </c>
      <c r="T7" s="100">
        <f t="shared" si="2"/>
        <v>0</v>
      </c>
      <c r="U7" s="100">
        <v>0.3</v>
      </c>
      <c r="V7" s="100">
        <f t="shared" si="1"/>
        <v>1.962</v>
      </c>
      <c r="W7" s="101">
        <f t="shared" si="3"/>
        <v>24.270833333333332</v>
      </c>
      <c r="X7" s="102">
        <f t="shared" si="4"/>
        <v>6.4999999999999716</v>
      </c>
      <c r="Y7" s="100">
        <f t="shared" si="5"/>
        <v>0.41666666666666669</v>
      </c>
      <c r="Z7" s="100">
        <f t="shared" si="6"/>
        <v>240</v>
      </c>
    </row>
    <row r="8" spans="1:26">
      <c r="A8" s="100" t="s">
        <v>203</v>
      </c>
      <c r="B8" s="108" t="str">
        <f>IFERROR(VLOOKUP(Tablo519[[#This Row],[ÜRÜN KODU]],YMKODLARI!$A$1:$K$363,2,0)," ")</f>
        <v xml:space="preserve"> BİBERON VİDA</v>
      </c>
      <c r="C8" s="99">
        <v>43843</v>
      </c>
      <c r="D8" s="100" t="s">
        <v>37</v>
      </c>
      <c r="E8" s="101">
        <v>0.625</v>
      </c>
      <c r="F8" s="101">
        <v>0.75</v>
      </c>
      <c r="G8" s="100">
        <f>IFERROR(VLOOKUP(Tablo519[[#This Row],[ÜRÜN KODU]],YMKODLARI!$A$1:$K$363,3,0)," ")</f>
        <v>4</v>
      </c>
      <c r="H8" s="100">
        <f>IFERROR(VLOOKUP(Tablo519[[#This Row],[ÜRÜN KODU]],YMKODLARI!$A$1:$K$363,4,0)," ")</f>
        <v>25</v>
      </c>
      <c r="I8" s="100">
        <v>408</v>
      </c>
      <c r="J8" s="100">
        <f>IFERROR(VLOOKUP(Tablo519[[#This Row],[ÜRÜN KODU]],YMKODLARI!$A$1:$K$363,9,0)," ")</f>
        <v>1290</v>
      </c>
      <c r="K8" s="100" t="str">
        <f>IFERROR(VLOOKUP(Tablo519[[#This Row],[BOYA KODU]],Tablo14[#All],4,0)," ")</f>
        <v>SARI</v>
      </c>
      <c r="L8" s="100">
        <f>IFERROR(VLOOKUP(Tablo519[[#This Row],[BOYA KODU]],Tablo14[#All],6,0)," ")</f>
        <v>5.0000000000000001E-3</v>
      </c>
      <c r="M8" s="100">
        <f t="shared" si="0"/>
        <v>56.508000000000003</v>
      </c>
      <c r="N8" s="100" t="str">
        <f>IFERROR(VLOOKUP(Tablo519[[#This Row],[ÜRÜN KODU]],YMKODLARI!$A$1:$K$363,8,0)," ")</f>
        <v>HM 001</v>
      </c>
      <c r="O8" s="100" t="str">
        <f>IFERROR(VLOOKUP(Tablo519[[#This Row],[HAMMADDE KODU]],Tablo1[#All],3,0)," ")</f>
        <v>CAPILENE</v>
      </c>
      <c r="P8" s="100" t="str">
        <f>IFERROR(VLOOKUP(Tablo519[[#This Row],[HAMMADDE KODU]],Tablo1[#All],4,0)," ")</f>
        <v>PİNHAS</v>
      </c>
      <c r="Q8" s="100">
        <f>IFERROR(VLOOKUP(Tablo519[[#This Row],[ÜRÜN KODU]],YMKODLARI!$A$1:$K$363,5,0)," ")</f>
        <v>27.7</v>
      </c>
      <c r="R8" s="100">
        <f>IFERROR(VLOOKUP(Tablo519[[#This Row],[ÜRÜN KODU]],YMKODLARI!$A$1:$K$363,6,0)," ")</f>
        <v>27.7</v>
      </c>
      <c r="S8" s="100">
        <f>IFERROR(Tablo519[[#This Row],[YOLLUK HARİÇ BASKI GRAMI]]/Tablo519[[#This Row],[KALIP GÖZ ADEDİ]]," ")</f>
        <v>6.9249999999999998</v>
      </c>
      <c r="T8" s="100">
        <f t="shared" si="2"/>
        <v>0</v>
      </c>
      <c r="U8" s="100">
        <v>5.5</v>
      </c>
      <c r="V8" s="100" t="str">
        <f>IFERROR(#REF!+(R8*I8) /1000," ")</f>
        <v xml:space="preserve"> </v>
      </c>
      <c r="W8" s="101">
        <f t="shared" si="3"/>
        <v>24.125</v>
      </c>
      <c r="X8" s="102">
        <f t="shared" si="4"/>
        <v>3</v>
      </c>
      <c r="Y8" s="100">
        <f t="shared" si="5"/>
        <v>2.8333333333333335</v>
      </c>
      <c r="Z8" s="100">
        <f t="shared" si="6"/>
        <v>1632</v>
      </c>
    </row>
    <row r="9" spans="1:26">
      <c r="A9" s="100" t="s">
        <v>203</v>
      </c>
      <c r="B9" s="108" t="str">
        <f>IFERROR(VLOOKUP(Tablo519[[#This Row],[ÜRÜN KODU]],YMKODLARI!$A$1:$K$363,2,0)," ")</f>
        <v xml:space="preserve"> BİBERON VİDA</v>
      </c>
      <c r="C9" s="99">
        <v>43844</v>
      </c>
      <c r="D9" s="100" t="s">
        <v>37</v>
      </c>
      <c r="E9" s="101">
        <v>0.33333333333333331</v>
      </c>
      <c r="F9" s="101">
        <v>0.54513888888888895</v>
      </c>
      <c r="G9" s="100">
        <f>IFERROR(VLOOKUP(Tablo519[[#This Row],[ÜRÜN KODU]],YMKODLARI!$A$1:$K$363,3,0)," ")</f>
        <v>4</v>
      </c>
      <c r="H9" s="100">
        <f>IFERROR(VLOOKUP(Tablo519[[#This Row],[ÜRÜN KODU]],YMKODLARI!$A$1:$K$363,4,0)," ")</f>
        <v>25</v>
      </c>
      <c r="I9" s="100">
        <v>715</v>
      </c>
      <c r="J9" s="100">
        <f>IFERROR(VLOOKUP(Tablo519[[#This Row],[ÜRÜN KODU]],YMKODLARI!$A$1:$K$363,9,0)," ")</f>
        <v>1290</v>
      </c>
      <c r="K9" s="100" t="str">
        <f>IFERROR(VLOOKUP(Tablo519[[#This Row],[BOYA KODU]],Tablo14[#All],4,0)," ")</f>
        <v>SARI</v>
      </c>
      <c r="L9" s="100">
        <f>IFERROR(VLOOKUP(Tablo519[[#This Row],[BOYA KODU]],Tablo14[#All],6,0)," ")</f>
        <v>5.0000000000000001E-3</v>
      </c>
      <c r="M9" s="100">
        <f t="shared" si="0"/>
        <v>99.027500000000003</v>
      </c>
      <c r="N9" s="100" t="str">
        <f>IFERROR(VLOOKUP(Tablo519[[#This Row],[ÜRÜN KODU]],YMKODLARI!$A$1:$K$363,8,0)," ")</f>
        <v>HM 001</v>
      </c>
      <c r="O9" s="100" t="str">
        <f>IFERROR(VLOOKUP(Tablo519[[#This Row],[HAMMADDE KODU]],Tablo1[#All],3,0)," ")</f>
        <v>CAPILENE</v>
      </c>
      <c r="P9" s="100" t="str">
        <f>IFERROR(VLOOKUP(Tablo519[[#This Row],[HAMMADDE KODU]],Tablo1[#All],4,0)," ")</f>
        <v>PİNHAS</v>
      </c>
      <c r="Q9" s="100">
        <f>IFERROR(VLOOKUP(Tablo519[[#This Row],[ÜRÜN KODU]],YMKODLARI!$A$1:$K$363,5,0)," ")</f>
        <v>27.7</v>
      </c>
      <c r="R9" s="100">
        <f>IFERROR(VLOOKUP(Tablo519[[#This Row],[ÜRÜN KODU]],YMKODLARI!$A$1:$K$363,6,0)," ")</f>
        <v>27.7</v>
      </c>
      <c r="S9" s="100">
        <f>IFERROR(Tablo519[[#This Row],[YOLLUK HARİÇ BASKI GRAMI]]/Tablo519[[#This Row],[KALIP GÖZ ADEDİ]]," ")</f>
        <v>6.9249999999999998</v>
      </c>
      <c r="T9" s="100">
        <f t="shared" si="2"/>
        <v>0</v>
      </c>
      <c r="U9" s="100">
        <v>1.3</v>
      </c>
      <c r="V9" s="100" t="str">
        <f>IFERROR(#REF!+(R9*I9) /1000," ")</f>
        <v xml:space="preserve"> </v>
      </c>
      <c r="W9" s="101">
        <f t="shared" si="3"/>
        <v>24.211805555555557</v>
      </c>
      <c r="X9" s="102">
        <f t="shared" si="4"/>
        <v>5.0833333333333712</v>
      </c>
      <c r="Y9" s="100">
        <f t="shared" si="5"/>
        <v>4.9652777777777777</v>
      </c>
      <c r="Z9" s="100">
        <f t="shared" si="6"/>
        <v>2860</v>
      </c>
    </row>
    <row r="10" spans="1:26">
      <c r="A10" s="100" t="s">
        <v>210</v>
      </c>
      <c r="B10" s="108" t="str">
        <f>IFERROR(VLOOKUP(Tablo519[[#This Row],[ÜRÜN KODU]],YMKODLARI!$A$1:$K$363,2,0)," ")</f>
        <v xml:space="preserve"> BİBERON VİDA</v>
      </c>
      <c r="C10" s="99">
        <v>43844</v>
      </c>
      <c r="D10" s="100" t="s">
        <v>37</v>
      </c>
      <c r="E10" s="101">
        <v>0.60416666666666663</v>
      </c>
      <c r="F10" s="101">
        <v>0.75</v>
      </c>
      <c r="G10" s="100">
        <f>IFERROR(VLOOKUP(Tablo519[[#This Row],[ÜRÜN KODU]],YMKODLARI!$A$1:$K$363,3,0)," ")</f>
        <v>4</v>
      </c>
      <c r="H10" s="100">
        <f>IFERROR(VLOOKUP(Tablo519[[#This Row],[ÜRÜN KODU]],YMKODLARI!$A$1:$K$363,4,0)," ")</f>
        <v>25</v>
      </c>
      <c r="I10" s="100">
        <v>463</v>
      </c>
      <c r="J10" s="100">
        <f>IFERROR(VLOOKUP(Tablo519[[#This Row],[ÜRÜN KODU]],YMKODLARI!$A$1:$K$363,9,0)," ")</f>
        <v>3409</v>
      </c>
      <c r="K10" s="100" t="str">
        <f>IFERROR(VLOOKUP(Tablo519[[#This Row],[BOYA KODU]],Tablo14[#All],4,0)," ")</f>
        <v>PEMBE</v>
      </c>
      <c r="L10" s="100">
        <f>IFERROR(VLOOKUP(Tablo519[[#This Row],[BOYA KODU]],Tablo14[#All],6,0)," ")</f>
        <v>5.0000000000000001E-3</v>
      </c>
      <c r="M10" s="100">
        <f t="shared" si="0"/>
        <v>64.125500000000002</v>
      </c>
      <c r="N10" s="100" t="str">
        <f>IFERROR(VLOOKUP(Tablo519[[#This Row],[ÜRÜN KODU]],YMKODLARI!$A$1:$K$363,8,0)," ")</f>
        <v>HM 001</v>
      </c>
      <c r="O10" s="100" t="str">
        <f>IFERROR(VLOOKUP(Tablo519[[#This Row],[HAMMADDE KODU]],Tablo1[#All],3,0)," ")</f>
        <v>CAPILENE</v>
      </c>
      <c r="P10" s="100" t="str">
        <f>IFERROR(VLOOKUP(Tablo519[[#This Row],[HAMMADDE KODU]],Tablo1[#All],4,0)," ")</f>
        <v>PİNHAS</v>
      </c>
      <c r="Q10" s="100">
        <f>IFERROR(VLOOKUP(Tablo519[[#This Row],[ÜRÜN KODU]],YMKODLARI!$A$1:$K$363,5,0)," ")</f>
        <v>27.7</v>
      </c>
      <c r="R10" s="100">
        <f>IFERROR(VLOOKUP(Tablo519[[#This Row],[ÜRÜN KODU]],YMKODLARI!$A$1:$K$363,6,0)," ")</f>
        <v>27.7</v>
      </c>
      <c r="S10" s="100">
        <f>IFERROR(Tablo519[[#This Row],[YOLLUK HARİÇ BASKI GRAMI]]/Tablo519[[#This Row],[KALIP GÖZ ADEDİ]]," ")</f>
        <v>6.9249999999999998</v>
      </c>
      <c r="T10" s="100">
        <f t="shared" si="2"/>
        <v>0</v>
      </c>
      <c r="U10" s="100">
        <v>0.6</v>
      </c>
      <c r="V10" s="100" t="str">
        <f>IFERROR(#REF!+(R10*I10) /1000," ")</f>
        <v xml:space="preserve"> </v>
      </c>
      <c r="W10" s="101">
        <f t="shared" si="3"/>
        <v>24.145833333333332</v>
      </c>
      <c r="X10" s="102">
        <f t="shared" si="4"/>
        <v>3.4999999999999716</v>
      </c>
      <c r="Y10" s="100">
        <f t="shared" si="5"/>
        <v>3.2152777777777777</v>
      </c>
      <c r="Z10" s="100">
        <f t="shared" si="6"/>
        <v>1852</v>
      </c>
    </row>
    <row r="11" spans="1:26">
      <c r="A11" s="100" t="s">
        <v>210</v>
      </c>
      <c r="B11" s="108" t="str">
        <f>IFERROR(VLOOKUP(Tablo519[[#This Row],[ÜRÜN KODU]],YMKODLARI!$A$1:$K$363,2,0)," ")</f>
        <v xml:space="preserve"> BİBERON VİDA</v>
      </c>
      <c r="C11" s="99">
        <v>43845</v>
      </c>
      <c r="D11" s="100" t="s">
        <v>37</v>
      </c>
      <c r="E11" s="101">
        <v>0.33333333333333331</v>
      </c>
      <c r="F11" s="101">
        <v>0.75</v>
      </c>
      <c r="G11" s="100">
        <f>IFERROR(VLOOKUP(Tablo519[[#This Row],[ÜRÜN KODU]],YMKODLARI!$A$1:$K$363,3,0)," ")</f>
        <v>4</v>
      </c>
      <c r="H11" s="100">
        <f>IFERROR(VLOOKUP(Tablo519[[#This Row],[ÜRÜN KODU]],YMKODLARI!$A$1:$K$363,4,0)," ")</f>
        <v>25</v>
      </c>
      <c r="I11" s="100">
        <v>1225</v>
      </c>
      <c r="J11" s="100">
        <f>IFERROR(VLOOKUP(Tablo519[[#This Row],[ÜRÜN KODU]],YMKODLARI!$A$1:$K$363,9,0)," ")</f>
        <v>3409</v>
      </c>
      <c r="K11" s="100" t="str">
        <f>IFERROR(VLOOKUP(Tablo519[[#This Row],[BOYA KODU]],Tablo14[#All],4,0)," ")</f>
        <v>PEMBE</v>
      </c>
      <c r="L11" s="100">
        <f>IFERROR(VLOOKUP(Tablo519[[#This Row],[BOYA KODU]],Tablo14[#All],6,0)," ")</f>
        <v>5.0000000000000001E-3</v>
      </c>
      <c r="M11" s="100">
        <f t="shared" si="0"/>
        <v>169.66249999999999</v>
      </c>
      <c r="N11" s="100" t="str">
        <f>IFERROR(VLOOKUP(Tablo519[[#This Row],[ÜRÜN KODU]],YMKODLARI!$A$1:$K$363,8,0)," ")</f>
        <v>HM 001</v>
      </c>
      <c r="O11" s="100" t="str">
        <f>IFERROR(VLOOKUP(Tablo519[[#This Row],[HAMMADDE KODU]],Tablo1[#All],3,0)," ")</f>
        <v>CAPILENE</v>
      </c>
      <c r="P11" s="100" t="str">
        <f>IFERROR(VLOOKUP(Tablo519[[#This Row],[HAMMADDE KODU]],Tablo1[#All],4,0)," ")</f>
        <v>PİNHAS</v>
      </c>
      <c r="Q11" s="100">
        <f>IFERROR(VLOOKUP(Tablo519[[#This Row],[ÜRÜN KODU]],YMKODLARI!$A$1:$K$363,5,0)," ")</f>
        <v>27.7</v>
      </c>
      <c r="R11" s="100">
        <f>IFERROR(VLOOKUP(Tablo519[[#This Row],[ÜRÜN KODU]],YMKODLARI!$A$1:$K$363,6,0)," ")</f>
        <v>27.7</v>
      </c>
      <c r="S11" s="100">
        <f>IFERROR(Tablo519[[#This Row],[YOLLUK HARİÇ BASKI GRAMI]]/Tablo519[[#This Row],[KALIP GÖZ ADEDİ]]," ")</f>
        <v>6.9249999999999998</v>
      </c>
      <c r="T11" s="100">
        <f t="shared" si="2"/>
        <v>0</v>
      </c>
      <c r="U11" s="100"/>
      <c r="V11" s="100" t="str">
        <f>IFERROR(#REF!+(R11*I11) /1000," ")</f>
        <v xml:space="preserve"> </v>
      </c>
      <c r="W11" s="101">
        <f t="shared" si="3"/>
        <v>24.416666666666668</v>
      </c>
      <c r="X11" s="102">
        <f t="shared" si="4"/>
        <v>10.000000000000028</v>
      </c>
      <c r="Y11" s="100">
        <f t="shared" si="5"/>
        <v>8.5069444444444446</v>
      </c>
      <c r="Z11" s="100">
        <f t="shared" si="6"/>
        <v>4900</v>
      </c>
    </row>
    <row r="12" spans="1:26">
      <c r="A12" s="100" t="s">
        <v>210</v>
      </c>
      <c r="B12" s="108" t="str">
        <f>IFERROR(VLOOKUP(Tablo519[[#This Row],[ÜRÜN KODU]],YMKODLARI!$A$1:$K$363,2,0)," ")</f>
        <v xml:space="preserve"> BİBERON VİDA</v>
      </c>
      <c r="C12" s="99">
        <v>43846</v>
      </c>
      <c r="D12" s="100" t="s">
        <v>37</v>
      </c>
      <c r="E12" s="101">
        <v>0.33333333333333331</v>
      </c>
      <c r="F12" s="101">
        <v>0.4375</v>
      </c>
      <c r="G12" s="100">
        <f>IFERROR(VLOOKUP(Tablo519[[#This Row],[ÜRÜN KODU]],YMKODLARI!$A$1:$K$363,3,0)," ")</f>
        <v>4</v>
      </c>
      <c r="H12" s="100">
        <f>IFERROR(VLOOKUP(Tablo519[[#This Row],[ÜRÜN KODU]],YMKODLARI!$A$1:$K$363,4,0)," ")</f>
        <v>25</v>
      </c>
      <c r="I12" s="100">
        <v>398</v>
      </c>
      <c r="J12" s="100">
        <f>IFERROR(VLOOKUP(Tablo519[[#This Row],[ÜRÜN KODU]],YMKODLARI!$A$1:$K$363,9,0)," ")</f>
        <v>3409</v>
      </c>
      <c r="K12" s="100" t="str">
        <f>IFERROR(VLOOKUP(Tablo519[[#This Row],[BOYA KODU]],Tablo14[#All],4,0)," ")</f>
        <v>PEMBE</v>
      </c>
      <c r="L12" s="100">
        <f>IFERROR(VLOOKUP(Tablo519[[#This Row],[BOYA KODU]],Tablo14[#All],6,0)," ")</f>
        <v>5.0000000000000001E-3</v>
      </c>
      <c r="M12" s="100">
        <f t="shared" si="0"/>
        <v>55.123000000000005</v>
      </c>
      <c r="N12" s="100" t="str">
        <f>IFERROR(VLOOKUP(Tablo519[[#This Row],[ÜRÜN KODU]],YMKODLARI!$A$1:$K$363,8,0)," ")</f>
        <v>HM 001</v>
      </c>
      <c r="O12" s="100" t="str">
        <f>IFERROR(VLOOKUP(Tablo519[[#This Row],[HAMMADDE KODU]],Tablo1[#All],3,0)," ")</f>
        <v>CAPILENE</v>
      </c>
      <c r="P12" s="100" t="str">
        <f>IFERROR(VLOOKUP(Tablo519[[#This Row],[HAMMADDE KODU]],Tablo1[#All],4,0)," ")</f>
        <v>PİNHAS</v>
      </c>
      <c r="Q12" s="100">
        <f>IFERROR(VLOOKUP(Tablo519[[#This Row],[ÜRÜN KODU]],YMKODLARI!$A$1:$K$363,5,0)," ")</f>
        <v>27.7</v>
      </c>
      <c r="R12" s="100">
        <f>IFERROR(VLOOKUP(Tablo519[[#This Row],[ÜRÜN KODU]],YMKODLARI!$A$1:$K$363,6,0)," ")</f>
        <v>27.7</v>
      </c>
      <c r="S12" s="100">
        <f>IFERROR(Tablo519[[#This Row],[YOLLUK HARİÇ BASKI GRAMI]]/Tablo519[[#This Row],[KALIP GÖZ ADEDİ]]," ")</f>
        <v>6.9249999999999998</v>
      </c>
      <c r="T12" s="100">
        <f t="shared" si="2"/>
        <v>0</v>
      </c>
      <c r="U12" s="100">
        <v>0.6</v>
      </c>
      <c r="V12" s="100" t="str">
        <f>IFERROR(#REF!+(R12*I12) /1000," ")</f>
        <v xml:space="preserve"> </v>
      </c>
      <c r="W12" s="101">
        <f t="shared" si="3"/>
        <v>24.104166666666668</v>
      </c>
      <c r="X12" s="102">
        <f>IFERROR((W12-INT(W12))*24," ")</f>
        <v>2.5000000000000284</v>
      </c>
      <c r="Y12" s="100">
        <f t="shared" si="5"/>
        <v>2.7638888888888888</v>
      </c>
      <c r="Z12" s="100">
        <f t="shared" si="6"/>
        <v>1592</v>
      </c>
    </row>
    <row r="13" spans="1:26">
      <c r="A13" s="100" t="s">
        <v>211</v>
      </c>
      <c r="B13" s="108" t="str">
        <f>IFERROR(VLOOKUP(Tablo519[[#This Row],[ÜRÜN KODU]],YMKODLARI!$A$1:$K$363,2,0)," ")</f>
        <v xml:space="preserve"> BİBERON VİDA</v>
      </c>
      <c r="C13" s="99">
        <v>43846</v>
      </c>
      <c r="D13" s="100" t="s">
        <v>37</v>
      </c>
      <c r="E13" s="101">
        <v>0.45833333333333331</v>
      </c>
      <c r="F13" s="101">
        <v>0.75</v>
      </c>
      <c r="G13" s="100">
        <f>IFERROR(VLOOKUP(Tablo519[[#This Row],[ÜRÜN KODU]],YMKODLARI!$A$1:$K$363,3,0)," ")</f>
        <v>4</v>
      </c>
      <c r="H13" s="100">
        <f>IFERROR(VLOOKUP(Tablo519[[#This Row],[ÜRÜN KODU]],YMKODLARI!$A$1:$K$363,4,0)," ")</f>
        <v>25</v>
      </c>
      <c r="I13" s="100">
        <v>896</v>
      </c>
      <c r="J13" s="100">
        <f>IFERROR(VLOOKUP(Tablo519[[#This Row],[ÜRÜN KODU]],YMKODLARI!$A$1:$K$363,9,0)," ")</f>
        <v>5287</v>
      </c>
      <c r="K13" s="100" t="str">
        <f>IFERROR(VLOOKUP(Tablo519[[#This Row],[BOYA KODU]],Tablo14[#All],4,0)," ")</f>
        <v>MAVİ</v>
      </c>
      <c r="L13" s="100">
        <f>IFERROR(VLOOKUP(Tablo519[[#This Row],[BOYA KODU]],Tablo14[#All],6,0)," ")</f>
        <v>5.0000000000000001E-3</v>
      </c>
      <c r="M13" s="100">
        <f t="shared" si="0"/>
        <v>124.096</v>
      </c>
      <c r="N13" s="100" t="str">
        <f>IFERROR(VLOOKUP(Tablo519[[#This Row],[ÜRÜN KODU]],YMKODLARI!$A$1:$K$363,8,0)," ")</f>
        <v>HM 001</v>
      </c>
      <c r="O13" s="100" t="str">
        <f>IFERROR(VLOOKUP(Tablo519[[#This Row],[HAMMADDE KODU]],Tablo1[#All],3,0)," ")</f>
        <v>CAPILENE</v>
      </c>
      <c r="P13" s="100" t="str">
        <f>IFERROR(VLOOKUP(Tablo519[[#This Row],[HAMMADDE KODU]],Tablo1[#All],4,0)," ")</f>
        <v>PİNHAS</v>
      </c>
      <c r="Q13" s="100">
        <f>IFERROR(VLOOKUP(Tablo519[[#This Row],[ÜRÜN KODU]],YMKODLARI!$A$1:$K$363,5,0)," ")</f>
        <v>27.7</v>
      </c>
      <c r="R13" s="100">
        <f>IFERROR(VLOOKUP(Tablo519[[#This Row],[ÜRÜN KODU]],YMKODLARI!$A$1:$K$363,6,0)," ")</f>
        <v>27.7</v>
      </c>
      <c r="S13" s="100">
        <f>IFERROR(Tablo519[[#This Row],[YOLLUK HARİÇ BASKI GRAMI]]/Tablo519[[#This Row],[KALIP GÖZ ADEDİ]]," ")</f>
        <v>6.9249999999999998</v>
      </c>
      <c r="T13" s="100">
        <f t="shared" si="2"/>
        <v>0</v>
      </c>
      <c r="U13" s="100">
        <v>1.6</v>
      </c>
      <c r="V13" s="100" t="str">
        <f>IFERROR(#REF!+(R13*I13) /1000," ")</f>
        <v xml:space="preserve"> </v>
      </c>
      <c r="W13" s="101">
        <f t="shared" si="3"/>
        <v>24.291666666666668</v>
      </c>
      <c r="X13" s="102">
        <f t="shared" si="4"/>
        <v>7.0000000000000284</v>
      </c>
      <c r="Y13" s="100">
        <f t="shared" si="5"/>
        <v>6.2222222222222223</v>
      </c>
      <c r="Z13" s="100">
        <f t="shared" si="6"/>
        <v>3584</v>
      </c>
    </row>
    <row r="14" spans="1:26">
      <c r="A14" s="100" t="s">
        <v>211</v>
      </c>
      <c r="B14" s="108" t="str">
        <f>IFERROR(VLOOKUP(Tablo519[[#This Row],[ÜRÜN KODU]],YMKODLARI!$A$1:$K$363,2,0)," ")</f>
        <v xml:space="preserve"> BİBERON VİDA</v>
      </c>
      <c r="C14" s="99">
        <v>43847</v>
      </c>
      <c r="D14" s="100" t="s">
        <v>37</v>
      </c>
      <c r="E14" s="101">
        <v>0.33333333333333331</v>
      </c>
      <c r="F14" s="101">
        <v>0.72916666666666663</v>
      </c>
      <c r="G14" s="100">
        <f>IFERROR(VLOOKUP(Tablo519[[#This Row],[ÜRÜN KODU]],YMKODLARI!$A$1:$K$363,3,0)," ")</f>
        <v>4</v>
      </c>
      <c r="H14" s="100">
        <f>IFERROR(VLOOKUP(Tablo519[[#This Row],[ÜRÜN KODU]],YMKODLARI!$A$1:$K$363,4,0)," ")</f>
        <v>25</v>
      </c>
      <c r="I14" s="100">
        <v>950</v>
      </c>
      <c r="J14" s="100">
        <f>IFERROR(VLOOKUP(Tablo519[[#This Row],[ÜRÜN KODU]],YMKODLARI!$A$1:$K$363,9,0)," ")</f>
        <v>5287</v>
      </c>
      <c r="K14" s="100" t="str">
        <f>IFERROR(VLOOKUP(Tablo519[[#This Row],[BOYA KODU]],Tablo14[#All],4,0)," ")</f>
        <v>MAVİ</v>
      </c>
      <c r="L14" s="100">
        <f>IFERROR(VLOOKUP(Tablo519[[#This Row],[BOYA KODU]],Tablo14[#All],6,0)," ")</f>
        <v>5.0000000000000001E-3</v>
      </c>
      <c r="M14" s="100">
        <f t="shared" si="0"/>
        <v>131.57499999999999</v>
      </c>
      <c r="N14" s="100" t="str">
        <f>IFERROR(VLOOKUP(Tablo519[[#This Row],[ÜRÜN KODU]],YMKODLARI!$A$1:$K$363,8,0)," ")</f>
        <v>HM 001</v>
      </c>
      <c r="O14" s="100" t="str">
        <f>IFERROR(VLOOKUP(Tablo519[[#This Row],[HAMMADDE KODU]],Tablo1[#All],3,0)," ")</f>
        <v>CAPILENE</v>
      </c>
      <c r="P14" s="100" t="str">
        <f>IFERROR(VLOOKUP(Tablo519[[#This Row],[HAMMADDE KODU]],Tablo1[#All],4,0)," ")</f>
        <v>PİNHAS</v>
      </c>
      <c r="Q14" s="100">
        <f>IFERROR(VLOOKUP(Tablo519[[#This Row],[ÜRÜN KODU]],YMKODLARI!$A$1:$K$363,5,0)," ")</f>
        <v>27.7</v>
      </c>
      <c r="R14" s="100">
        <f>IFERROR(VLOOKUP(Tablo519[[#This Row],[ÜRÜN KODU]],YMKODLARI!$A$1:$K$363,6,0)," ")</f>
        <v>27.7</v>
      </c>
      <c r="S14" s="100">
        <f>IFERROR(Tablo519[[#This Row],[YOLLUK HARİÇ BASKI GRAMI]]/Tablo519[[#This Row],[KALIP GÖZ ADEDİ]]," ")</f>
        <v>6.9249999999999998</v>
      </c>
      <c r="T14" s="100">
        <f t="shared" si="2"/>
        <v>0</v>
      </c>
      <c r="U14" s="100">
        <v>1</v>
      </c>
      <c r="V14" s="100" t="str">
        <f>IFERROR(#REF!+(R14*I14) /1000," ")</f>
        <v xml:space="preserve"> </v>
      </c>
      <c r="W14" s="101">
        <f t="shared" si="3"/>
        <v>24.395833333333332</v>
      </c>
      <c r="X14" s="102">
        <f t="shared" si="4"/>
        <v>9.4999999999999716</v>
      </c>
      <c r="Y14" s="100">
        <f t="shared" si="5"/>
        <v>6.5972222222222223</v>
      </c>
      <c r="Z14" s="100">
        <f t="shared" si="6"/>
        <v>3800</v>
      </c>
    </row>
    <row r="15" spans="1:26">
      <c r="A15" s="100" t="s">
        <v>211</v>
      </c>
      <c r="B15" s="108" t="str">
        <f>IFERROR(VLOOKUP(Tablo519[[#This Row],[ÜRÜN KODU]],YMKODLARI!$A$1:$K$363,2,0)," ")</f>
        <v xml:space="preserve"> BİBERON VİDA</v>
      </c>
      <c r="C15" s="99">
        <v>43850</v>
      </c>
      <c r="D15" s="100" t="s">
        <v>33</v>
      </c>
      <c r="E15" s="101">
        <v>0.33333333333333331</v>
      </c>
      <c r="F15" s="101">
        <v>0.38194444444444442</v>
      </c>
      <c r="G15" s="100">
        <f>IFERROR(VLOOKUP(Tablo519[[#This Row],[ÜRÜN KODU]],YMKODLARI!$A$1:$K$363,3,0)," ")</f>
        <v>4</v>
      </c>
      <c r="H15" s="100">
        <f>IFERROR(VLOOKUP(Tablo519[[#This Row],[ÜRÜN KODU]],YMKODLARI!$A$1:$K$363,4,0)," ")</f>
        <v>25</v>
      </c>
      <c r="I15" s="100">
        <v>154</v>
      </c>
      <c r="J15" s="100">
        <f>IFERROR(VLOOKUP(Tablo519[[#This Row],[ÜRÜN KODU]],YMKODLARI!$A$1:$K$363,9,0)," ")</f>
        <v>5287</v>
      </c>
      <c r="K15" s="100" t="str">
        <f>IFERROR(VLOOKUP(Tablo519[[#This Row],[BOYA KODU]],Tablo14[#All],4,0)," ")</f>
        <v>MAVİ</v>
      </c>
      <c r="L15" s="100">
        <f>IFERROR(VLOOKUP(Tablo519[[#This Row],[BOYA KODU]],Tablo14[#All],6,0)," ")</f>
        <v>5.0000000000000001E-3</v>
      </c>
      <c r="M15" s="100">
        <f t="shared" si="0"/>
        <v>21.329000000000001</v>
      </c>
      <c r="N15" s="100" t="str">
        <f>IFERROR(VLOOKUP(Tablo519[[#This Row],[ÜRÜN KODU]],YMKODLARI!$A$1:$K$363,8,0)," ")</f>
        <v>HM 001</v>
      </c>
      <c r="O15" s="100" t="str">
        <f>IFERROR(VLOOKUP(Tablo519[[#This Row],[HAMMADDE KODU]],Tablo1[#All],3,0)," ")</f>
        <v>CAPILENE</v>
      </c>
      <c r="P15" s="100" t="str">
        <f>IFERROR(VLOOKUP(Tablo519[[#This Row],[HAMMADDE KODU]],Tablo1[#All],4,0)," ")</f>
        <v>PİNHAS</v>
      </c>
      <c r="Q15" s="100">
        <f>IFERROR(VLOOKUP(Tablo519[[#This Row],[ÜRÜN KODU]],YMKODLARI!$A$1:$K$363,5,0)," ")</f>
        <v>27.7</v>
      </c>
      <c r="R15" s="100">
        <f>IFERROR(VLOOKUP(Tablo519[[#This Row],[ÜRÜN KODU]],YMKODLARI!$A$1:$K$363,6,0)," ")</f>
        <v>27.7</v>
      </c>
      <c r="S15" s="100">
        <f>IFERROR(Tablo519[[#This Row],[YOLLUK HARİÇ BASKI GRAMI]]/Tablo519[[#This Row],[KALIP GÖZ ADEDİ]]," ")</f>
        <v>6.9249999999999998</v>
      </c>
      <c r="T15" s="100">
        <f t="shared" si="2"/>
        <v>0</v>
      </c>
      <c r="U15" s="100">
        <v>0.6</v>
      </c>
      <c r="V15" s="100">
        <f>IFERROR(U8+(R15*I15) /1000," ")</f>
        <v>9.7658000000000005</v>
      </c>
      <c r="W15" s="101">
        <f t="shared" si="3"/>
        <v>24.048611111111111</v>
      </c>
      <c r="X15" s="102">
        <f t="shared" si="4"/>
        <v>1.1666666666666572</v>
      </c>
      <c r="Y15" s="100">
        <f t="shared" si="5"/>
        <v>1.0694444444444444</v>
      </c>
      <c r="Z15" s="100">
        <f t="shared" si="6"/>
        <v>616</v>
      </c>
    </row>
    <row r="16" spans="1:26">
      <c r="A16" s="100" t="s">
        <v>204</v>
      </c>
      <c r="B16" s="108" t="str">
        <f>IFERROR(VLOOKUP(Tablo519[[#This Row],[ÜRÜN KODU]],YMKODLARI!$A$1:$K$363,2,0)," ")</f>
        <v xml:space="preserve"> BİBERON VİDA</v>
      </c>
      <c r="C16" s="99">
        <v>43850</v>
      </c>
      <c r="D16" s="100" t="s">
        <v>33</v>
      </c>
      <c r="E16" s="101">
        <v>0.41666666666666669</v>
      </c>
      <c r="F16" s="101">
        <v>0.75</v>
      </c>
      <c r="G16" s="100">
        <f>IFERROR(VLOOKUP(Tablo519[[#This Row],[ÜRÜN KODU]],YMKODLARI!$A$1:$K$363,3,0)," ")</f>
        <v>4</v>
      </c>
      <c r="H16" s="100">
        <f>IFERROR(VLOOKUP(Tablo519[[#This Row],[ÜRÜN KODU]],YMKODLARI!$A$1:$K$363,4,0)," ")</f>
        <v>25</v>
      </c>
      <c r="I16" s="100">
        <v>1040</v>
      </c>
      <c r="J16" s="100">
        <f>IFERROR(VLOOKUP(Tablo519[[#This Row],[ÜRÜN KODU]],YMKODLARI!$A$1:$K$363,9,0)," ")</f>
        <v>4090</v>
      </c>
      <c r="K16" s="100" t="str">
        <f>IFERROR(VLOOKUP(Tablo519[[#This Row],[BOYA KODU]],Tablo14[#All],4,0)," ")</f>
        <v>LİLA</v>
      </c>
      <c r="L16" s="100">
        <f>IFERROR(VLOOKUP(Tablo519[[#This Row],[BOYA KODU]],Tablo14[#All],6,0)," ")</f>
        <v>5.0000000000000001E-3</v>
      </c>
      <c r="M16" s="100">
        <f t="shared" si="0"/>
        <v>144.04</v>
      </c>
      <c r="N16" s="100" t="str">
        <f>IFERROR(VLOOKUP(Tablo519[[#This Row],[ÜRÜN KODU]],YMKODLARI!$A$1:$K$363,8,0)," ")</f>
        <v>HM 001</v>
      </c>
      <c r="O16" s="100" t="str">
        <f>IFERROR(VLOOKUP(Tablo519[[#This Row],[HAMMADDE KODU]],Tablo1[#All],3,0)," ")</f>
        <v>CAPILENE</v>
      </c>
      <c r="P16" s="100" t="str">
        <f>IFERROR(VLOOKUP(Tablo519[[#This Row],[HAMMADDE KODU]],Tablo1[#All],4,0)," ")</f>
        <v>PİNHAS</v>
      </c>
      <c r="Q16" s="100">
        <f>IFERROR(VLOOKUP(Tablo519[[#This Row],[ÜRÜN KODU]],YMKODLARI!$A$1:$K$363,5,0)," ")</f>
        <v>27.7</v>
      </c>
      <c r="R16" s="100">
        <f>IFERROR(VLOOKUP(Tablo519[[#This Row],[ÜRÜN KODU]],YMKODLARI!$A$1:$K$363,6,0)," ")</f>
        <v>27.7</v>
      </c>
      <c r="S16" s="100">
        <f>IFERROR(Tablo519[[#This Row],[YOLLUK HARİÇ BASKI GRAMI]]/Tablo519[[#This Row],[KALIP GÖZ ADEDİ]]," ")</f>
        <v>6.9249999999999998</v>
      </c>
      <c r="T16" s="100">
        <f t="shared" si="2"/>
        <v>0</v>
      </c>
      <c r="U16" s="100">
        <v>11</v>
      </c>
      <c r="V16" s="100">
        <f>IFERROR(U9+(R16*I16) /1000," ")</f>
        <v>30.108000000000001</v>
      </c>
      <c r="W16" s="101">
        <f t="shared" si="3"/>
        <v>24.333333333333332</v>
      </c>
      <c r="X16" s="102">
        <f t="shared" si="4"/>
        <v>7.9999999999999716</v>
      </c>
      <c r="Y16" s="100">
        <f t="shared" si="5"/>
        <v>7.2222222222222223</v>
      </c>
      <c r="Z16" s="100">
        <f t="shared" si="6"/>
        <v>4160</v>
      </c>
    </row>
    <row r="17" spans="1:26">
      <c r="A17" s="100" t="s">
        <v>204</v>
      </c>
      <c r="B17" s="108" t="str">
        <f>IFERROR(VLOOKUP(Tablo519[[#This Row],[ÜRÜN KODU]],YMKODLARI!$A$1:$K$363,2,0)," ")</f>
        <v xml:space="preserve"> BİBERON VİDA</v>
      </c>
      <c r="C17" s="99">
        <v>43851</v>
      </c>
      <c r="D17" s="100" t="s">
        <v>37</v>
      </c>
      <c r="E17" s="101">
        <v>0.33333333333333331</v>
      </c>
      <c r="F17" s="101">
        <v>0.35416666666666669</v>
      </c>
      <c r="G17" s="100">
        <f>IFERROR(VLOOKUP(Tablo519[[#This Row],[ÜRÜN KODU]],YMKODLARI!$A$1:$K$363,3,0)," ")</f>
        <v>4</v>
      </c>
      <c r="H17" s="100">
        <f>IFERROR(VLOOKUP(Tablo519[[#This Row],[ÜRÜN KODU]],YMKODLARI!$A$1:$K$363,4,0)," ")</f>
        <v>25</v>
      </c>
      <c r="I17" s="100">
        <v>129</v>
      </c>
      <c r="J17" s="100">
        <f>IFERROR(VLOOKUP(Tablo519[[#This Row],[ÜRÜN KODU]],YMKODLARI!$A$1:$K$363,9,0)," ")</f>
        <v>4090</v>
      </c>
      <c r="K17" s="100" t="str">
        <f>IFERROR(VLOOKUP(Tablo519[[#This Row],[BOYA KODU]],Tablo14[#All],4,0)," ")</f>
        <v>LİLA</v>
      </c>
      <c r="L17" s="100">
        <f>IFERROR(VLOOKUP(Tablo519[[#This Row],[BOYA KODU]],Tablo14[#All],6,0)," ")</f>
        <v>5.0000000000000001E-3</v>
      </c>
      <c r="M17" s="100">
        <f t="shared" si="0"/>
        <v>17.866499999999998</v>
      </c>
      <c r="N17" s="100" t="str">
        <f>IFERROR(VLOOKUP(Tablo519[[#This Row],[ÜRÜN KODU]],YMKODLARI!$A$1:$K$363,8,0)," ")</f>
        <v>HM 001</v>
      </c>
      <c r="O17" s="100" t="str">
        <f>IFERROR(VLOOKUP(Tablo519[[#This Row],[HAMMADDE KODU]],Tablo1[#All],3,0)," ")</f>
        <v>CAPILENE</v>
      </c>
      <c r="P17" s="100" t="str">
        <f>IFERROR(VLOOKUP(Tablo519[[#This Row],[HAMMADDE KODU]],Tablo1[#All],4,0)," ")</f>
        <v>PİNHAS</v>
      </c>
      <c r="Q17" s="100">
        <f>IFERROR(VLOOKUP(Tablo519[[#This Row],[ÜRÜN KODU]],YMKODLARI!$A$1:$K$363,5,0)," ")</f>
        <v>27.7</v>
      </c>
      <c r="R17" s="100">
        <f>IFERROR(VLOOKUP(Tablo519[[#This Row],[ÜRÜN KODU]],YMKODLARI!$A$1:$K$363,6,0)," ")</f>
        <v>27.7</v>
      </c>
      <c r="S17" s="100">
        <f>IFERROR(Tablo519[[#This Row],[YOLLUK HARİÇ BASKI GRAMI]]/Tablo519[[#This Row],[KALIP GÖZ ADEDİ]]," ")</f>
        <v>6.9249999999999998</v>
      </c>
      <c r="T17" s="100">
        <f t="shared" si="2"/>
        <v>0</v>
      </c>
      <c r="U17" s="100">
        <v>1.5</v>
      </c>
      <c r="V17" s="100" t="str">
        <f>IFERROR(#REF!+(R17*I17) /1000," ")</f>
        <v xml:space="preserve"> </v>
      </c>
      <c r="W17" s="101">
        <f t="shared" si="3"/>
        <v>24.020833333333332</v>
      </c>
      <c r="X17" s="102">
        <f t="shared" si="4"/>
        <v>0.49999999999997158</v>
      </c>
      <c r="Y17" s="100">
        <f t="shared" si="5"/>
        <v>0.89583333333333337</v>
      </c>
      <c r="Z17" s="100">
        <f t="shared" si="6"/>
        <v>516</v>
      </c>
    </row>
    <row r="18" spans="1:26">
      <c r="A18" s="100" t="s">
        <v>212</v>
      </c>
      <c r="B18" s="108" t="str">
        <f>IFERROR(VLOOKUP(Tablo519[[#This Row],[ÜRÜN KODU]],YMKODLARI!$A$1:$K$363,2,0)," ")</f>
        <v xml:space="preserve"> BİBERON VİDA</v>
      </c>
      <c r="C18" s="99">
        <v>43851</v>
      </c>
      <c r="D18" s="100" t="s">
        <v>36</v>
      </c>
      <c r="E18" s="101">
        <v>0.37152777777777773</v>
      </c>
      <c r="F18" s="101">
        <v>0.72222222222222221</v>
      </c>
      <c r="G18" s="100">
        <f>IFERROR(VLOOKUP(Tablo519[[#This Row],[ÜRÜN KODU]],YMKODLARI!$A$1:$K$363,3,0)," ")</f>
        <v>4</v>
      </c>
      <c r="H18" s="100">
        <f>IFERROR(VLOOKUP(Tablo519[[#This Row],[ÜRÜN KODU]],YMKODLARI!$A$1:$K$363,4,0)," ")</f>
        <v>25</v>
      </c>
      <c r="I18" s="100">
        <v>1021</v>
      </c>
      <c r="J18" s="100">
        <f>IFERROR(VLOOKUP(Tablo519[[#This Row],[ÜRÜN KODU]],YMKODLARI!$A$1:$K$363,9,0)," ")</f>
        <v>3041</v>
      </c>
      <c r="K18" s="100" t="str">
        <f>IFERROR(VLOOKUP(Tablo519[[#This Row],[BOYA KODU]],Tablo14[#All],4,0)," ")</f>
        <v>KIRMIZI</v>
      </c>
      <c r="L18" s="100">
        <f>IFERROR(VLOOKUP(Tablo519[[#This Row],[BOYA KODU]],Tablo14[#All],6,0)," ")</f>
        <v>5.0000000000000001E-3</v>
      </c>
      <c r="M18" s="100">
        <f t="shared" si="0"/>
        <v>141.4085</v>
      </c>
      <c r="N18" s="100" t="str">
        <f>IFERROR(VLOOKUP(Tablo519[[#This Row],[ÜRÜN KODU]],YMKODLARI!$A$1:$K$363,8,0)," ")</f>
        <v>HM 001</v>
      </c>
      <c r="O18" s="100" t="str">
        <f>IFERROR(VLOOKUP(Tablo519[[#This Row],[HAMMADDE KODU]],Tablo1[#All],3,0)," ")</f>
        <v>CAPILENE</v>
      </c>
      <c r="P18" s="100" t="str">
        <f>IFERROR(VLOOKUP(Tablo519[[#This Row],[HAMMADDE KODU]],Tablo1[#All],4,0)," ")</f>
        <v>PİNHAS</v>
      </c>
      <c r="Q18" s="100">
        <f>IFERROR(VLOOKUP(Tablo519[[#This Row],[ÜRÜN KODU]],YMKODLARI!$A$1:$K$363,5,0)," ")</f>
        <v>27.7</v>
      </c>
      <c r="R18" s="100">
        <f>IFERROR(VLOOKUP(Tablo519[[#This Row],[ÜRÜN KODU]],YMKODLARI!$A$1:$K$363,6,0)," ")</f>
        <v>27.7</v>
      </c>
      <c r="S18" s="100">
        <f>IFERROR(Tablo519[[#This Row],[YOLLUK HARİÇ BASKI GRAMI]]/Tablo519[[#This Row],[KALIP GÖZ ADEDİ]]," ")</f>
        <v>6.9249999999999998</v>
      </c>
      <c r="T18" s="100">
        <f t="shared" si="2"/>
        <v>0</v>
      </c>
      <c r="U18" s="100">
        <v>7.5</v>
      </c>
      <c r="V18" s="100" t="str">
        <f>IFERROR(#REF!+(R18*I18) /1000," ")</f>
        <v xml:space="preserve"> </v>
      </c>
      <c r="W18" s="101">
        <f t="shared" si="3"/>
        <v>24.350694444444443</v>
      </c>
      <c r="X18" s="102">
        <f t="shared" si="4"/>
        <v>8.4166666666666288</v>
      </c>
      <c r="Y18" s="100">
        <f t="shared" si="5"/>
        <v>7.0902777777777777</v>
      </c>
      <c r="Z18" s="100">
        <f t="shared" si="6"/>
        <v>4084</v>
      </c>
    </row>
    <row r="19" spans="1:26">
      <c r="A19" s="100" t="s">
        <v>176</v>
      </c>
      <c r="B19" s="108" t="str">
        <f>IFERROR(VLOOKUP(Tablo519[[#This Row],[ÜRÜN KODU]],YMKODLARI!$A$1:$K$363,2,0)," ")</f>
        <v xml:space="preserve">BİBERON KAPAĞI </v>
      </c>
      <c r="C19" s="99">
        <v>43864</v>
      </c>
      <c r="D19" s="100" t="s">
        <v>27</v>
      </c>
      <c r="E19" s="101">
        <v>0.5625</v>
      </c>
      <c r="F19" s="101">
        <v>0.72916666666666663</v>
      </c>
      <c r="G19" s="100">
        <f>IFERROR(VLOOKUP(Tablo519[[#This Row],[ÜRÜN KODU]],YMKODLARI!$A$1:$K$363,3,0)," ")</f>
        <v>8</v>
      </c>
      <c r="H19" s="100">
        <f>IFERROR(VLOOKUP(Tablo519[[#This Row],[ÜRÜN KODU]],YMKODLARI!$A$1:$K$363,4,0)," ")</f>
        <v>21</v>
      </c>
      <c r="I19" s="100">
        <v>415</v>
      </c>
      <c r="J19" s="100" t="str">
        <f>IFERROR(VLOOKUP(Tablo519[[#This Row],[ÜRÜN KODU]],YMKODLARI!$A$1:$K$363,9,0)," ")</f>
        <v>Şeffaf</v>
      </c>
      <c r="K19" s="100" t="str">
        <f>IFERROR(VLOOKUP(Tablo519[[#This Row],[BOYA KODU]],Tablo14[#All],4,0)," ")</f>
        <v xml:space="preserve"> </v>
      </c>
      <c r="L19" s="100" t="str">
        <f>IFERROR(VLOOKUP(Tablo519[[#This Row],[BOYA KODU]],Tablo14[#All],6,0)," ")</f>
        <v xml:space="preserve"> </v>
      </c>
      <c r="M19" s="100" t="str">
        <f t="shared" si="0"/>
        <v xml:space="preserve"> </v>
      </c>
      <c r="N19" s="100" t="str">
        <f>IFERROR(VLOOKUP(Tablo519[[#This Row],[ÜRÜN KODU]],YMKODLARI!$A$1:$K$363,8,0)," ")</f>
        <v>HM 001</v>
      </c>
      <c r="O19" s="100" t="str">
        <f>IFERROR(VLOOKUP(Tablo519[[#This Row],[HAMMADDE KODU]],Tablo1[#All],3,0)," ")</f>
        <v>CAPILENE</v>
      </c>
      <c r="P19" s="100" t="str">
        <f>IFERROR(VLOOKUP(Tablo519[[#This Row],[HAMMADDE KODU]],Tablo1[#All],4,0)," ")</f>
        <v>PİNHAS</v>
      </c>
      <c r="Q19" s="100">
        <f>IFERROR(VLOOKUP(Tablo519[[#This Row],[ÜRÜN KODU]],YMKODLARI!$A$1:$K$363,5,0)," ")</f>
        <v>40</v>
      </c>
      <c r="R19" s="100">
        <f>IFERROR(VLOOKUP(Tablo519[[#This Row],[ÜRÜN KODU]],YMKODLARI!$A$1:$K$363,6,0)," ")</f>
        <v>40</v>
      </c>
      <c r="S19" s="100">
        <f>IFERROR(Tablo519[[#This Row],[YOLLUK HARİÇ BASKI GRAMI]]/Tablo519[[#This Row],[KALIP GÖZ ADEDİ]]," ")</f>
        <v>5</v>
      </c>
      <c r="T19" s="100">
        <f t="shared" si="2"/>
        <v>0</v>
      </c>
      <c r="U19" s="100"/>
      <c r="V19" s="100">
        <f>IFERROR(U19+(R19*I19) /1000," ")</f>
        <v>16.600000000000001</v>
      </c>
      <c r="W19" s="101">
        <f t="shared" si="3"/>
        <v>24.166666666666668</v>
      </c>
      <c r="X19" s="102">
        <f t="shared" si="4"/>
        <v>4.0000000000000284</v>
      </c>
      <c r="Y19" s="100">
        <f t="shared" si="5"/>
        <v>2.4208333333333334</v>
      </c>
      <c r="Z19" s="100">
        <f t="shared" si="6"/>
        <v>3320</v>
      </c>
    </row>
    <row r="20" spans="1:26">
      <c r="A20" s="100" t="s">
        <v>213</v>
      </c>
      <c r="B20" s="108" t="str">
        <f>IFERROR(VLOOKUP(Tablo519[[#This Row],[ÜRÜN KODU]],YMKODLARI!$A$1:$K$363,2,0)," ")</f>
        <v>GENİŞ AĞIZ BİBERON KAPAĞI</v>
      </c>
      <c r="C20" s="99">
        <v>43864</v>
      </c>
      <c r="D20" s="100" t="s">
        <v>27</v>
      </c>
      <c r="E20" s="101">
        <v>0.61458333333333337</v>
      </c>
      <c r="F20" s="101">
        <v>0.75</v>
      </c>
      <c r="G20" s="100">
        <f>IFERROR(VLOOKUP(Tablo519[[#This Row],[ÜRÜN KODU]],YMKODLARI!$A$1:$K$363,3,0)," ")</f>
        <v>4</v>
      </c>
      <c r="H20" s="100">
        <f>IFERROR(VLOOKUP(Tablo519[[#This Row],[ÜRÜN KODU]],YMKODLARI!$A$1:$K$363,4,0)," ")</f>
        <v>12</v>
      </c>
      <c r="I20" s="100">
        <v>637</v>
      </c>
      <c r="J20" s="100" t="str">
        <f>IFERROR(VLOOKUP(Tablo519[[#This Row],[ÜRÜN KODU]],YMKODLARI!$A$1:$K$363,9,0)," ")</f>
        <v>Şeffaf</v>
      </c>
      <c r="K20" s="100" t="str">
        <f>IFERROR(VLOOKUP(Tablo519[[#This Row],[BOYA KODU]],Tablo14[#All],4,0)," ")</f>
        <v xml:space="preserve"> </v>
      </c>
      <c r="L20" s="100" t="str">
        <f>IFERROR(VLOOKUP(Tablo519[[#This Row],[BOYA KODU]],Tablo14[#All],6,0)," ")</f>
        <v xml:space="preserve"> </v>
      </c>
      <c r="M20" s="100" t="str">
        <f t="shared" si="0"/>
        <v xml:space="preserve"> </v>
      </c>
      <c r="N20" s="100" t="str">
        <f>IFERROR(VLOOKUP(Tablo519[[#This Row],[ÜRÜN KODU]],YMKODLARI!$A$1:$K$363,8,0)," ")</f>
        <v>HM 001</v>
      </c>
      <c r="O20" s="100" t="str">
        <f>IFERROR(VLOOKUP(Tablo519[[#This Row],[HAMMADDE KODU]],Tablo1[#All],3,0)," ")</f>
        <v>CAPILENE</v>
      </c>
      <c r="P20" s="100" t="str">
        <f>IFERROR(VLOOKUP(Tablo519[[#This Row],[HAMMADDE KODU]],Tablo1[#All],4,0)," ")</f>
        <v>PİNHAS</v>
      </c>
      <c r="Q20" s="100">
        <f>IFERROR(VLOOKUP(Tablo519[[#This Row],[ÜRÜN KODU]],YMKODLARI!$A$1:$K$363,5,0)," ")</f>
        <v>34.4</v>
      </c>
      <c r="R20" s="100">
        <f>IFERROR(VLOOKUP(Tablo519[[#This Row],[ÜRÜN KODU]],YMKODLARI!$A$1:$K$363,6,0)," ")</f>
        <v>34.4</v>
      </c>
      <c r="S20" s="100">
        <f>IFERROR(Tablo519[[#This Row],[YOLLUK HARİÇ BASKI GRAMI]]/Tablo519[[#This Row],[KALIP GÖZ ADEDİ]]," ")</f>
        <v>8.6</v>
      </c>
      <c r="T20" s="100">
        <f t="shared" si="2"/>
        <v>0</v>
      </c>
      <c r="U20" s="100"/>
      <c r="V20" s="100">
        <f t="shared" ref="V20:V28" si="7">IFERROR(U10+(R20*I20) /1000," ")</f>
        <v>22.512800000000002</v>
      </c>
      <c r="W20" s="101">
        <f t="shared" si="3"/>
        <v>24.135416666666668</v>
      </c>
      <c r="X20" s="102">
        <f t="shared" si="4"/>
        <v>3.2500000000000284</v>
      </c>
      <c r="Y20" s="100">
        <f t="shared" si="5"/>
        <v>2.1233333333333335</v>
      </c>
      <c r="Z20" s="100">
        <f t="shared" si="6"/>
        <v>2548</v>
      </c>
    </row>
    <row r="21" spans="1:26">
      <c r="A21" s="100" t="s">
        <v>213</v>
      </c>
      <c r="B21" s="108" t="str">
        <f>IFERROR(VLOOKUP(Tablo519[[#This Row],[ÜRÜN KODU]],YMKODLARI!$A$1:$K$363,2,0)," ")</f>
        <v>GENİŞ AĞIZ BİBERON KAPAĞI</v>
      </c>
      <c r="C21" s="99">
        <v>43865</v>
      </c>
      <c r="D21" s="100" t="s">
        <v>36</v>
      </c>
      <c r="E21" s="101">
        <v>0.33333333333333331</v>
      </c>
      <c r="F21" s="101">
        <v>0.75</v>
      </c>
      <c r="G21" s="100">
        <f>IFERROR(VLOOKUP(Tablo519[[#This Row],[ÜRÜN KODU]],YMKODLARI!$A$1:$K$363,3,0)," ")</f>
        <v>4</v>
      </c>
      <c r="H21" s="100">
        <f>IFERROR(VLOOKUP(Tablo519[[#This Row],[ÜRÜN KODU]],YMKODLARI!$A$1:$K$363,4,0)," ")</f>
        <v>12</v>
      </c>
      <c r="I21" s="100">
        <v>2200</v>
      </c>
      <c r="J21" s="100" t="str">
        <f>IFERROR(VLOOKUP(Tablo519[[#This Row],[ÜRÜN KODU]],YMKODLARI!$A$1:$K$363,9,0)," ")</f>
        <v>Şeffaf</v>
      </c>
      <c r="K21" s="100" t="str">
        <f>IFERROR(VLOOKUP(Tablo519[[#This Row],[BOYA KODU]],Tablo14[#All],4,0)," ")</f>
        <v xml:space="preserve"> </v>
      </c>
      <c r="L21" s="100" t="str">
        <f>IFERROR(VLOOKUP(Tablo519[[#This Row],[BOYA KODU]],Tablo14[#All],6,0)," ")</f>
        <v xml:space="preserve"> </v>
      </c>
      <c r="M21" s="100" t="str">
        <f t="shared" si="0"/>
        <v xml:space="preserve"> </v>
      </c>
      <c r="N21" s="100" t="str">
        <f>IFERROR(VLOOKUP(Tablo519[[#This Row],[ÜRÜN KODU]],YMKODLARI!$A$1:$K$363,8,0)," ")</f>
        <v>HM 001</v>
      </c>
      <c r="O21" s="100" t="str">
        <f>IFERROR(VLOOKUP(Tablo519[[#This Row],[HAMMADDE KODU]],Tablo1[#All],3,0)," ")</f>
        <v>CAPILENE</v>
      </c>
      <c r="P21" s="100" t="str">
        <f>IFERROR(VLOOKUP(Tablo519[[#This Row],[HAMMADDE KODU]],Tablo1[#All],4,0)," ")</f>
        <v>PİNHAS</v>
      </c>
      <c r="Q21" s="100">
        <f>IFERROR(VLOOKUP(Tablo519[[#This Row],[ÜRÜN KODU]],YMKODLARI!$A$1:$K$363,5,0)," ")</f>
        <v>34.4</v>
      </c>
      <c r="R21" s="100">
        <f>IFERROR(VLOOKUP(Tablo519[[#This Row],[ÜRÜN KODU]],YMKODLARI!$A$1:$K$363,6,0)," ")</f>
        <v>34.4</v>
      </c>
      <c r="S21" s="100">
        <f>IFERROR(Tablo519[[#This Row],[YOLLUK HARİÇ BASKI GRAMI]]/Tablo519[[#This Row],[KALIP GÖZ ADEDİ]]," ")</f>
        <v>8.6</v>
      </c>
      <c r="T21" s="100">
        <f t="shared" si="2"/>
        <v>0</v>
      </c>
      <c r="U21" s="100"/>
      <c r="V21" s="100">
        <f t="shared" si="7"/>
        <v>75.680000000000007</v>
      </c>
      <c r="W21" s="101">
        <f t="shared" si="3"/>
        <v>24.416666666666668</v>
      </c>
      <c r="X21" s="102">
        <f t="shared" si="4"/>
        <v>10.000000000000028</v>
      </c>
      <c r="Y21" s="100">
        <f t="shared" si="5"/>
        <v>7.333333333333333</v>
      </c>
      <c r="Z21" s="100">
        <f t="shared" si="6"/>
        <v>8800</v>
      </c>
    </row>
    <row r="22" spans="1:26">
      <c r="A22" s="100" t="s">
        <v>213</v>
      </c>
      <c r="B22" s="108" t="str">
        <f>IFERROR(VLOOKUP(Tablo519[[#This Row],[ÜRÜN KODU]],YMKODLARI!$A$1:$K$363,2,0)," ")</f>
        <v>GENİŞ AĞIZ BİBERON KAPAĞI</v>
      </c>
      <c r="C22" s="99">
        <v>43866</v>
      </c>
      <c r="D22" s="100" t="s">
        <v>37</v>
      </c>
      <c r="E22" s="101">
        <v>0.33333333333333331</v>
      </c>
      <c r="F22" s="101">
        <v>0.40625</v>
      </c>
      <c r="G22" s="100">
        <f>IFERROR(VLOOKUP(Tablo519[[#This Row],[ÜRÜN KODU]],YMKODLARI!$A$1:$K$363,3,0)," ")</f>
        <v>4</v>
      </c>
      <c r="H22" s="100">
        <f>IFERROR(VLOOKUP(Tablo519[[#This Row],[ÜRÜN KODU]],YMKODLARI!$A$1:$K$363,4,0)," ")</f>
        <v>12</v>
      </c>
      <c r="I22" s="100">
        <v>360</v>
      </c>
      <c r="J22" s="100" t="str">
        <f>IFERROR(VLOOKUP(Tablo519[[#This Row],[ÜRÜN KODU]],YMKODLARI!$A$1:$K$363,9,0)," ")</f>
        <v>Şeffaf</v>
      </c>
      <c r="K22" s="100" t="str">
        <f>IFERROR(VLOOKUP(Tablo519[[#This Row],[BOYA KODU]],Tablo14[#All],4,0)," ")</f>
        <v xml:space="preserve"> </v>
      </c>
      <c r="L22" s="100" t="str">
        <f>IFERROR(VLOOKUP(Tablo519[[#This Row],[BOYA KODU]],Tablo14[#All],6,0)," ")</f>
        <v xml:space="preserve"> </v>
      </c>
      <c r="M22" s="100" t="str">
        <f t="shared" si="0"/>
        <v xml:space="preserve"> </v>
      </c>
      <c r="N22" s="100" t="str">
        <f>IFERROR(VLOOKUP(Tablo519[[#This Row],[ÜRÜN KODU]],YMKODLARI!$A$1:$K$363,8,0)," ")</f>
        <v>HM 001</v>
      </c>
      <c r="O22" s="100" t="str">
        <f>IFERROR(VLOOKUP(Tablo519[[#This Row],[HAMMADDE KODU]],Tablo1[#All],3,0)," ")</f>
        <v>CAPILENE</v>
      </c>
      <c r="P22" s="100" t="str">
        <f>IFERROR(VLOOKUP(Tablo519[[#This Row],[HAMMADDE KODU]],Tablo1[#All],4,0)," ")</f>
        <v>PİNHAS</v>
      </c>
      <c r="Q22" s="100">
        <f>IFERROR(VLOOKUP(Tablo519[[#This Row],[ÜRÜN KODU]],YMKODLARI!$A$1:$K$363,5,0)," ")</f>
        <v>34.4</v>
      </c>
      <c r="R22" s="100">
        <f>IFERROR(VLOOKUP(Tablo519[[#This Row],[ÜRÜN KODU]],YMKODLARI!$A$1:$K$363,6,0)," ")</f>
        <v>34.4</v>
      </c>
      <c r="S22" s="100">
        <f>IFERROR(Tablo519[[#This Row],[YOLLUK HARİÇ BASKI GRAMI]]/Tablo519[[#This Row],[KALIP GÖZ ADEDİ]]," ")</f>
        <v>8.6</v>
      </c>
      <c r="T22" s="100">
        <f t="shared" si="2"/>
        <v>0</v>
      </c>
      <c r="U22" s="100"/>
      <c r="V22" s="100">
        <f t="shared" si="7"/>
        <v>12.984</v>
      </c>
      <c r="W22" s="101">
        <f t="shared" si="3"/>
        <v>24.072916666666668</v>
      </c>
      <c r="X22" s="102">
        <f t="shared" si="4"/>
        <v>1.7500000000000284</v>
      </c>
      <c r="Y22" s="100">
        <f t="shared" si="5"/>
        <v>1.2</v>
      </c>
      <c r="Z22" s="100">
        <f t="shared" si="6"/>
        <v>1440</v>
      </c>
    </row>
    <row r="23" spans="1:26">
      <c r="A23" s="100" t="s">
        <v>176</v>
      </c>
      <c r="B23" s="108" t="str">
        <f>IFERROR(VLOOKUP(Tablo519[[#This Row],[ÜRÜN KODU]],YMKODLARI!$A$1:$K$363,2,0)," ")</f>
        <v xml:space="preserve">BİBERON KAPAĞI </v>
      </c>
      <c r="C23" s="99">
        <v>43866</v>
      </c>
      <c r="D23" s="100" t="s">
        <v>37</v>
      </c>
      <c r="E23" s="101">
        <v>0.52430555555555558</v>
      </c>
      <c r="F23" s="101">
        <v>0.75</v>
      </c>
      <c r="G23" s="100">
        <f>IFERROR(VLOOKUP(Tablo519[[#This Row],[ÜRÜN KODU]],YMKODLARI!$A$1:$K$363,3,0)," ")</f>
        <v>8</v>
      </c>
      <c r="H23" s="100">
        <f>IFERROR(VLOOKUP(Tablo519[[#This Row],[ÜRÜN KODU]],YMKODLARI!$A$1:$K$363,4,0)," ")</f>
        <v>21</v>
      </c>
      <c r="I23" s="100">
        <v>797</v>
      </c>
      <c r="J23" s="100" t="str">
        <f>IFERROR(VLOOKUP(Tablo519[[#This Row],[ÜRÜN KODU]],YMKODLARI!$A$1:$K$363,9,0)," ")</f>
        <v>Şeffaf</v>
      </c>
      <c r="K23" s="100" t="str">
        <f>IFERROR(VLOOKUP(Tablo519[[#This Row],[BOYA KODU]],Tablo14[#All],4,0)," ")</f>
        <v xml:space="preserve"> </v>
      </c>
      <c r="L23" s="100" t="str">
        <f>IFERROR(VLOOKUP(Tablo519[[#This Row],[BOYA KODU]],Tablo14[#All],6,0)," ")</f>
        <v xml:space="preserve"> </v>
      </c>
      <c r="M23" s="100" t="str">
        <f t="shared" si="0"/>
        <v xml:space="preserve"> </v>
      </c>
      <c r="N23" s="100" t="str">
        <f>IFERROR(VLOOKUP(Tablo519[[#This Row],[ÜRÜN KODU]],YMKODLARI!$A$1:$K$363,8,0)," ")</f>
        <v>HM 001</v>
      </c>
      <c r="O23" s="100" t="str">
        <f>IFERROR(VLOOKUP(Tablo519[[#This Row],[HAMMADDE KODU]],Tablo1[#All],3,0)," ")</f>
        <v>CAPILENE</v>
      </c>
      <c r="P23" s="100" t="str">
        <f>IFERROR(VLOOKUP(Tablo519[[#This Row],[HAMMADDE KODU]],Tablo1[#All],4,0)," ")</f>
        <v>PİNHAS</v>
      </c>
      <c r="Q23" s="100">
        <f>IFERROR(VLOOKUP(Tablo519[[#This Row],[ÜRÜN KODU]],YMKODLARI!$A$1:$K$363,5,0)," ")</f>
        <v>40</v>
      </c>
      <c r="R23" s="100">
        <f>IFERROR(VLOOKUP(Tablo519[[#This Row],[ÜRÜN KODU]],YMKODLARI!$A$1:$K$363,6,0)," ")</f>
        <v>40</v>
      </c>
      <c r="S23" s="100">
        <f>IFERROR(Tablo519[[#This Row],[YOLLUK HARİÇ BASKI GRAMI]]/Tablo519[[#This Row],[KALIP GÖZ ADEDİ]]," ")</f>
        <v>5</v>
      </c>
      <c r="T23" s="100">
        <f t="shared" si="2"/>
        <v>0</v>
      </c>
      <c r="U23" s="100">
        <v>0.4</v>
      </c>
      <c r="V23" s="100">
        <f t="shared" si="7"/>
        <v>33.479999999999997</v>
      </c>
      <c r="W23" s="101">
        <f t="shared" si="3"/>
        <v>24.225694444444443</v>
      </c>
      <c r="X23" s="102">
        <f t="shared" si="4"/>
        <v>5.4166666666666288</v>
      </c>
      <c r="Y23" s="100">
        <f t="shared" si="5"/>
        <v>4.6491666666666669</v>
      </c>
      <c r="Z23" s="100">
        <f t="shared" si="6"/>
        <v>6376</v>
      </c>
    </row>
    <row r="24" spans="1:26">
      <c r="A24" s="100" t="s">
        <v>176</v>
      </c>
      <c r="B24" s="108" t="str">
        <f>IFERROR(VLOOKUP(Tablo519[[#This Row],[ÜRÜN KODU]],YMKODLARI!$A$1:$K$363,2,0)," ")</f>
        <v xml:space="preserve">BİBERON KAPAĞI </v>
      </c>
      <c r="C24" s="99">
        <v>43874</v>
      </c>
      <c r="D24" s="100" t="s">
        <v>27</v>
      </c>
      <c r="E24" s="101">
        <v>0.58333333333333337</v>
      </c>
      <c r="F24" s="101">
        <v>0.75</v>
      </c>
      <c r="G24" s="100">
        <f>IFERROR(VLOOKUP(Tablo519[[#This Row],[ÜRÜN KODU]],YMKODLARI!$A$1:$K$363,3,0)," ")</f>
        <v>8</v>
      </c>
      <c r="H24" s="100">
        <f>IFERROR(VLOOKUP(Tablo519[[#This Row],[ÜRÜN KODU]],YMKODLARI!$A$1:$K$363,4,0)," ")</f>
        <v>21</v>
      </c>
      <c r="I24" s="100">
        <v>589</v>
      </c>
      <c r="J24" s="100" t="str">
        <f>IFERROR(VLOOKUP(Tablo519[[#This Row],[ÜRÜN KODU]],YMKODLARI!$A$1:$K$363,9,0)," ")</f>
        <v>Şeffaf</v>
      </c>
      <c r="K24" s="100" t="str">
        <f>IFERROR(VLOOKUP(Tablo519[[#This Row],[BOYA KODU]],Tablo14[#All],4,0)," ")</f>
        <v xml:space="preserve"> </v>
      </c>
      <c r="L24" s="100" t="str">
        <f>IFERROR(VLOOKUP(Tablo519[[#This Row],[BOYA KODU]],Tablo14[#All],6,0)," ")</f>
        <v xml:space="preserve"> </v>
      </c>
      <c r="M24" s="100" t="str">
        <f t="shared" si="0"/>
        <v xml:space="preserve"> </v>
      </c>
      <c r="N24" s="100" t="str">
        <f>IFERROR(VLOOKUP(Tablo519[[#This Row],[ÜRÜN KODU]],YMKODLARI!$A$1:$K$363,8,0)," ")</f>
        <v>HM 001</v>
      </c>
      <c r="O24" s="100" t="str">
        <f>IFERROR(VLOOKUP(Tablo519[[#This Row],[HAMMADDE KODU]],Tablo1[#All],3,0)," ")</f>
        <v>CAPILENE</v>
      </c>
      <c r="P24" s="100" t="str">
        <f>IFERROR(VLOOKUP(Tablo519[[#This Row],[HAMMADDE KODU]],Tablo1[#All],4,0)," ")</f>
        <v>PİNHAS</v>
      </c>
      <c r="Q24" s="100">
        <f>IFERROR(VLOOKUP(Tablo519[[#This Row],[ÜRÜN KODU]],YMKODLARI!$A$1:$K$363,5,0)," ")</f>
        <v>40</v>
      </c>
      <c r="R24" s="100">
        <f>IFERROR(VLOOKUP(Tablo519[[#This Row],[ÜRÜN KODU]],YMKODLARI!$A$1:$K$363,6,0)," ")</f>
        <v>40</v>
      </c>
      <c r="S24" s="100">
        <f>IFERROR(Tablo519[[#This Row],[YOLLUK HARİÇ BASKI GRAMI]]/Tablo519[[#This Row],[KALIP GÖZ ADEDİ]]," ")</f>
        <v>5</v>
      </c>
      <c r="T24" s="100">
        <f t="shared" si="2"/>
        <v>0</v>
      </c>
      <c r="U24" s="100">
        <v>0.3</v>
      </c>
      <c r="V24" s="100">
        <f t="shared" si="7"/>
        <v>24.56</v>
      </c>
      <c r="W24" s="101">
        <f t="shared" si="3"/>
        <v>24.166666666666668</v>
      </c>
      <c r="X24" s="102">
        <f t="shared" si="4"/>
        <v>4.0000000000000284</v>
      </c>
      <c r="Y24" s="100">
        <f t="shared" si="5"/>
        <v>3.4358333333333335</v>
      </c>
      <c r="Z24" s="100">
        <f t="shared" si="6"/>
        <v>4712</v>
      </c>
    </row>
    <row r="25" spans="1:26">
      <c r="A25" s="100" t="s">
        <v>176</v>
      </c>
      <c r="B25" s="108" t="str">
        <f>IFERROR(VLOOKUP(Tablo519[[#This Row],[ÜRÜN KODU]],YMKODLARI!$A$1:$K$363,2,0)," ")</f>
        <v xml:space="preserve">BİBERON KAPAĞI </v>
      </c>
      <c r="C25" s="99">
        <v>43875</v>
      </c>
      <c r="D25" s="100" t="s">
        <v>27</v>
      </c>
      <c r="E25" s="101">
        <v>0.33333333333333331</v>
      </c>
      <c r="F25" s="101">
        <v>0.75</v>
      </c>
      <c r="G25" s="100">
        <f>IFERROR(VLOOKUP(Tablo519[[#This Row],[ÜRÜN KODU]],YMKODLARI!$A$1:$K$363,3,0)," ")</f>
        <v>8</v>
      </c>
      <c r="H25" s="100">
        <f>IFERROR(VLOOKUP(Tablo519[[#This Row],[ÜRÜN KODU]],YMKODLARI!$A$1:$K$363,4,0)," ")</f>
        <v>21</v>
      </c>
      <c r="I25" s="100">
        <v>1290</v>
      </c>
      <c r="J25" s="100" t="str">
        <f>IFERROR(VLOOKUP(Tablo519[[#This Row],[ÜRÜN KODU]],YMKODLARI!$A$1:$K$363,9,0)," ")</f>
        <v>Şeffaf</v>
      </c>
      <c r="K25" s="100" t="str">
        <f>IFERROR(VLOOKUP(Tablo519[[#This Row],[BOYA KODU]],Tablo14[#All],4,0)," ")</f>
        <v xml:space="preserve"> </v>
      </c>
      <c r="L25" s="100" t="str">
        <f>IFERROR(VLOOKUP(Tablo519[[#This Row],[BOYA KODU]],Tablo14[#All],6,0)," ")</f>
        <v xml:space="preserve"> </v>
      </c>
      <c r="M25" s="100" t="str">
        <f t="shared" si="0"/>
        <v xml:space="preserve"> </v>
      </c>
      <c r="N25" s="100" t="str">
        <f>IFERROR(VLOOKUP(Tablo519[[#This Row],[ÜRÜN KODU]],YMKODLARI!$A$1:$K$363,8,0)," ")</f>
        <v>HM 001</v>
      </c>
      <c r="O25" s="100" t="str">
        <f>IFERROR(VLOOKUP(Tablo519[[#This Row],[HAMMADDE KODU]],Tablo1[#All],3,0)," ")</f>
        <v>CAPILENE</v>
      </c>
      <c r="P25" s="100" t="str">
        <f>IFERROR(VLOOKUP(Tablo519[[#This Row],[HAMMADDE KODU]],Tablo1[#All],4,0)," ")</f>
        <v>PİNHAS</v>
      </c>
      <c r="Q25" s="100">
        <f>IFERROR(VLOOKUP(Tablo519[[#This Row],[ÜRÜN KODU]],YMKODLARI!$A$1:$K$363,5,0)," ")</f>
        <v>40</v>
      </c>
      <c r="R25" s="100">
        <f>IFERROR(VLOOKUP(Tablo519[[#This Row],[ÜRÜN KODU]],YMKODLARI!$A$1:$K$363,6,0)," ")</f>
        <v>40</v>
      </c>
      <c r="S25" s="100">
        <f>IFERROR(Tablo519[[#This Row],[YOLLUK HARİÇ BASKI GRAMI]]/Tablo519[[#This Row],[KALIP GÖZ ADEDİ]]," ")</f>
        <v>5</v>
      </c>
      <c r="T25" s="100">
        <f t="shared" si="2"/>
        <v>0</v>
      </c>
      <c r="U25" s="100"/>
      <c r="V25" s="100">
        <f t="shared" si="7"/>
        <v>52.2</v>
      </c>
      <c r="W25" s="101">
        <f t="shared" si="3"/>
        <v>24.416666666666668</v>
      </c>
      <c r="X25" s="102">
        <f t="shared" si="4"/>
        <v>10.000000000000028</v>
      </c>
      <c r="Y25" s="100">
        <f t="shared" si="5"/>
        <v>7.5250000000000004</v>
      </c>
      <c r="Z25" s="100">
        <f t="shared" si="6"/>
        <v>10320</v>
      </c>
    </row>
    <row r="26" spans="1:26">
      <c r="A26" s="100" t="s">
        <v>176</v>
      </c>
      <c r="B26" s="108" t="str">
        <f>IFERROR(VLOOKUP(Tablo519[[#This Row],[ÜRÜN KODU]],YMKODLARI!$A$1:$K$363,2,0)," ")</f>
        <v xml:space="preserve">BİBERON KAPAĞI </v>
      </c>
      <c r="C26" s="99">
        <v>43878</v>
      </c>
      <c r="D26" s="100" t="s">
        <v>27</v>
      </c>
      <c r="E26" s="101">
        <v>0.33333333333333331</v>
      </c>
      <c r="F26" s="101">
        <v>0.54166666666666663</v>
      </c>
      <c r="G26" s="100">
        <f>IFERROR(VLOOKUP(Tablo519[[#This Row],[ÜRÜN KODU]],YMKODLARI!$A$1:$K$363,3,0)," ")</f>
        <v>8</v>
      </c>
      <c r="H26" s="100">
        <f>IFERROR(VLOOKUP(Tablo519[[#This Row],[ÜRÜN KODU]],YMKODLARI!$A$1:$K$363,4,0)," ")</f>
        <v>21</v>
      </c>
      <c r="I26" s="100">
        <v>698</v>
      </c>
      <c r="J26" s="100" t="str">
        <f>IFERROR(VLOOKUP(Tablo519[[#This Row],[ÜRÜN KODU]],YMKODLARI!$A$1:$K$363,9,0)," ")</f>
        <v>Şeffaf</v>
      </c>
      <c r="K26" s="100" t="str">
        <f>IFERROR(VLOOKUP(Tablo519[[#This Row],[BOYA KODU]],Tablo14[#All],4,0)," ")</f>
        <v xml:space="preserve"> </v>
      </c>
      <c r="L26" s="100" t="str">
        <f>IFERROR(VLOOKUP(Tablo519[[#This Row],[BOYA KODU]],Tablo14[#All],6,0)," ")</f>
        <v xml:space="preserve"> </v>
      </c>
      <c r="M26" s="100" t="str">
        <f t="shared" si="0"/>
        <v xml:space="preserve"> </v>
      </c>
      <c r="N26" s="100" t="str">
        <f>IFERROR(VLOOKUP(Tablo519[[#This Row],[ÜRÜN KODU]],YMKODLARI!$A$1:$K$363,8,0)," ")</f>
        <v>HM 001</v>
      </c>
      <c r="O26" s="100" t="str">
        <f>IFERROR(VLOOKUP(Tablo519[[#This Row],[HAMMADDE KODU]],Tablo1[#All],3,0)," ")</f>
        <v>CAPILENE</v>
      </c>
      <c r="P26" s="100" t="str">
        <f>IFERROR(VLOOKUP(Tablo519[[#This Row],[HAMMADDE KODU]],Tablo1[#All],4,0)," ")</f>
        <v>PİNHAS</v>
      </c>
      <c r="Q26" s="100">
        <f>IFERROR(VLOOKUP(Tablo519[[#This Row],[ÜRÜN KODU]],YMKODLARI!$A$1:$K$363,5,0)," ")</f>
        <v>40</v>
      </c>
      <c r="R26" s="100">
        <f>IFERROR(VLOOKUP(Tablo519[[#This Row],[ÜRÜN KODU]],YMKODLARI!$A$1:$K$363,6,0)," ")</f>
        <v>40</v>
      </c>
      <c r="S26" s="100">
        <f>IFERROR(Tablo519[[#This Row],[YOLLUK HARİÇ BASKI GRAMI]]/Tablo519[[#This Row],[KALIP GÖZ ADEDİ]]," ")</f>
        <v>5</v>
      </c>
      <c r="T26" s="100">
        <f t="shared" si="2"/>
        <v>0</v>
      </c>
      <c r="U26" s="100">
        <v>0.5</v>
      </c>
      <c r="V26" s="100">
        <f t="shared" si="7"/>
        <v>38.92</v>
      </c>
      <c r="W26" s="101">
        <f t="shared" si="3"/>
        <v>24.208333333333332</v>
      </c>
      <c r="X26" s="102">
        <f t="shared" si="4"/>
        <v>4.9999999999999716</v>
      </c>
      <c r="Y26" s="100">
        <f t="shared" si="5"/>
        <v>4.0716666666666663</v>
      </c>
      <c r="Z26" s="100">
        <f t="shared" si="6"/>
        <v>5584</v>
      </c>
    </row>
    <row r="27" spans="1:26">
      <c r="A27" s="100" t="s">
        <v>202</v>
      </c>
      <c r="B27" s="108" t="str">
        <f>IFERROR(VLOOKUP(Tablo519[[#This Row],[ÜRÜN KODU]],YMKODLARI!$A$1:$K$363,2,0)," ")</f>
        <v xml:space="preserve"> BİBERON VİDA</v>
      </c>
      <c r="C27" s="99">
        <v>43878</v>
      </c>
      <c r="D27" s="100" t="s">
        <v>27</v>
      </c>
      <c r="E27" s="101">
        <v>0.69791666666666663</v>
      </c>
      <c r="F27" s="101">
        <v>0.75</v>
      </c>
      <c r="G27" s="100">
        <f>IFERROR(VLOOKUP(Tablo519[[#This Row],[ÜRÜN KODU]],YMKODLARI!$A$1:$K$363,3,0)," ")</f>
        <v>4</v>
      </c>
      <c r="H27" s="100">
        <f>IFERROR(VLOOKUP(Tablo519[[#This Row],[ÜRÜN KODU]],YMKODLARI!$A$1:$K$363,4,0)," ")</f>
        <v>25</v>
      </c>
      <c r="I27" s="100">
        <v>245</v>
      </c>
      <c r="J27" s="100" t="str">
        <f>IFERROR(VLOOKUP(Tablo519[[#This Row],[ÜRÜN KODU]],YMKODLARI!$A$1:$K$363,9,0)," ")</f>
        <v>9134A</v>
      </c>
      <c r="K27" s="100" t="str">
        <f>IFERROR(VLOOKUP(Tablo519[[#This Row],[BOYA KODU]],Tablo14[#All],4,0)," ")</f>
        <v>BEYAZ</v>
      </c>
      <c r="L27" s="100">
        <f>IFERROR(VLOOKUP(Tablo519[[#This Row],[BOYA KODU]],Tablo14[#All],6,0)," ")</f>
        <v>7.0000000000000001E-3</v>
      </c>
      <c r="M27" s="100">
        <f t="shared" si="0"/>
        <v>47.505499999999998</v>
      </c>
      <c r="N27" s="100" t="str">
        <f>IFERROR(VLOOKUP(Tablo519[[#This Row],[ÜRÜN KODU]],YMKODLARI!$A$1:$K$363,8,0)," ")</f>
        <v>HM 001</v>
      </c>
      <c r="O27" s="100" t="str">
        <f>IFERROR(VLOOKUP(Tablo519[[#This Row],[HAMMADDE KODU]],Tablo1[#All],3,0)," ")</f>
        <v>CAPILENE</v>
      </c>
      <c r="P27" s="100" t="str">
        <f>IFERROR(VLOOKUP(Tablo519[[#This Row],[HAMMADDE KODU]],Tablo1[#All],4,0)," ")</f>
        <v>PİNHAS</v>
      </c>
      <c r="Q27" s="100">
        <f>IFERROR(VLOOKUP(Tablo519[[#This Row],[ÜRÜN KODU]],YMKODLARI!$A$1:$K$363,5,0)," ")</f>
        <v>27.7</v>
      </c>
      <c r="R27" s="100">
        <f>IFERROR(VLOOKUP(Tablo519[[#This Row],[ÜRÜN KODU]],YMKODLARI!$A$1:$K$363,6,0)," ")</f>
        <v>27.7</v>
      </c>
      <c r="S27" s="100">
        <f>IFERROR(Tablo519[[#This Row],[YOLLUK HARİÇ BASKI GRAMI]]/Tablo519[[#This Row],[KALIP GÖZ ADEDİ]]," ")</f>
        <v>6.9249999999999998</v>
      </c>
      <c r="T27" s="100">
        <f t="shared" si="2"/>
        <v>0</v>
      </c>
      <c r="U27" s="100">
        <v>2.2000000000000002</v>
      </c>
      <c r="V27" s="100">
        <f t="shared" si="7"/>
        <v>8.2865000000000002</v>
      </c>
      <c r="W27" s="101">
        <f t="shared" si="3"/>
        <v>24.052083333333332</v>
      </c>
      <c r="X27" s="102">
        <f t="shared" si="4"/>
        <v>1.2499999999999716</v>
      </c>
      <c r="Y27" s="100">
        <f t="shared" si="5"/>
        <v>1.7013888888888888</v>
      </c>
      <c r="Z27" s="100">
        <f t="shared" si="6"/>
        <v>980</v>
      </c>
    </row>
    <row r="28" spans="1:26">
      <c r="A28" s="100" t="s">
        <v>202</v>
      </c>
      <c r="B28" s="108" t="str">
        <f>IFERROR(VLOOKUP(Tablo519[[#This Row],[ÜRÜN KODU]],YMKODLARI!$A$1:$K$363,2,0)," ")</f>
        <v xml:space="preserve"> BİBERON VİDA</v>
      </c>
      <c r="C28" s="99">
        <v>43879</v>
      </c>
      <c r="D28" s="100" t="s">
        <v>33</v>
      </c>
      <c r="E28" s="101">
        <v>0.33333333333333331</v>
      </c>
      <c r="F28" s="101">
        <v>0.75</v>
      </c>
      <c r="G28" s="100">
        <f>IFERROR(VLOOKUP(Tablo519[[#This Row],[ÜRÜN KODU]],YMKODLARI!$A$1:$K$363,3,0)," ")</f>
        <v>4</v>
      </c>
      <c r="H28" s="100">
        <f>IFERROR(VLOOKUP(Tablo519[[#This Row],[ÜRÜN KODU]],YMKODLARI!$A$1:$K$363,4,0)," ")</f>
        <v>25</v>
      </c>
      <c r="I28" s="100">
        <v>1113</v>
      </c>
      <c r="J28" s="100" t="str">
        <f>IFERROR(VLOOKUP(Tablo519[[#This Row],[ÜRÜN KODU]],YMKODLARI!$A$1:$K$363,9,0)," ")</f>
        <v>9134A</v>
      </c>
      <c r="K28" s="100" t="str">
        <f>IFERROR(VLOOKUP(Tablo519[[#This Row],[BOYA KODU]],Tablo14[#All],4,0)," ")</f>
        <v>BEYAZ</v>
      </c>
      <c r="L28" s="100">
        <f>IFERROR(VLOOKUP(Tablo519[[#This Row],[BOYA KODU]],Tablo14[#All],6,0)," ")</f>
        <v>7.0000000000000001E-3</v>
      </c>
      <c r="M28" s="100">
        <f t="shared" si="0"/>
        <v>215.8107</v>
      </c>
      <c r="N28" s="100" t="str">
        <f>IFERROR(VLOOKUP(Tablo519[[#This Row],[ÜRÜN KODU]],YMKODLARI!$A$1:$K$363,8,0)," ")</f>
        <v>HM 001</v>
      </c>
      <c r="O28" s="100" t="str">
        <f>IFERROR(VLOOKUP(Tablo519[[#This Row],[HAMMADDE KODU]],Tablo1[#All],3,0)," ")</f>
        <v>CAPILENE</v>
      </c>
      <c r="P28" s="100" t="str">
        <f>IFERROR(VLOOKUP(Tablo519[[#This Row],[HAMMADDE KODU]],Tablo1[#All],4,0)," ")</f>
        <v>PİNHAS</v>
      </c>
      <c r="Q28" s="100">
        <f>IFERROR(VLOOKUP(Tablo519[[#This Row],[ÜRÜN KODU]],YMKODLARI!$A$1:$K$363,5,0)," ")</f>
        <v>27.7</v>
      </c>
      <c r="R28" s="100">
        <f>IFERROR(VLOOKUP(Tablo519[[#This Row],[ÜRÜN KODU]],YMKODLARI!$A$1:$K$363,6,0)," ")</f>
        <v>27.7</v>
      </c>
      <c r="S28" s="100">
        <f>IFERROR(Tablo519[[#This Row],[YOLLUK HARİÇ BASKI GRAMI]]/Tablo519[[#This Row],[KALIP GÖZ ADEDİ]]," ")</f>
        <v>6.9249999999999998</v>
      </c>
      <c r="T28" s="100">
        <f t="shared" si="2"/>
        <v>0</v>
      </c>
      <c r="U28" s="100">
        <v>4</v>
      </c>
      <c r="V28" s="100">
        <f t="shared" si="7"/>
        <v>38.330100000000002</v>
      </c>
      <c r="W28" s="101">
        <f t="shared" si="3"/>
        <v>24.416666666666668</v>
      </c>
      <c r="X28" s="102">
        <f t="shared" si="4"/>
        <v>10.000000000000028</v>
      </c>
      <c r="Y28" s="100">
        <f t="shared" si="5"/>
        <v>7.729166666666667</v>
      </c>
      <c r="Z28" s="100">
        <f t="shared" si="6"/>
        <v>4452</v>
      </c>
    </row>
    <row r="29" spans="1:26">
      <c r="A29" s="100" t="s">
        <v>205</v>
      </c>
      <c r="B29" s="108" t="str">
        <f>IFERROR(VLOOKUP(Tablo519[[#This Row],[ÜRÜN KODU]],YMKODLARI!$A$1:$K$363,2,0)," ")</f>
        <v>KULPLU BİBERON VİDA</v>
      </c>
      <c r="C29" s="99">
        <v>43880</v>
      </c>
      <c r="D29" s="100" t="s">
        <v>35</v>
      </c>
      <c r="E29" s="101">
        <v>0.62847222222222221</v>
      </c>
      <c r="F29" s="101">
        <v>0.64236111111111105</v>
      </c>
      <c r="G29" s="100">
        <f>IFERROR(VLOOKUP(Tablo519[[#This Row],[ÜRÜN KODU]],YMKODLARI!$A$1:$K$363,3,0)," ")</f>
        <v>4</v>
      </c>
      <c r="H29" s="100">
        <f>IFERROR(VLOOKUP(Tablo519[[#This Row],[ÜRÜN KODU]],YMKODLARI!$A$1:$K$363,4,0)," ")</f>
        <v>20</v>
      </c>
      <c r="I29" s="100">
        <v>573</v>
      </c>
      <c r="J29" s="100">
        <f>IFERROR(VLOOKUP(Tablo519[[#This Row],[ÜRÜN KODU]],YMKODLARI!$A$1:$K$363,9,0)," ")</f>
        <v>3409</v>
      </c>
      <c r="K29" s="100" t="str">
        <f>IFERROR(VLOOKUP(Tablo519[[#This Row],[BOYA KODU]],Tablo14[#All],4,0)," ")</f>
        <v>PEMBE</v>
      </c>
      <c r="L29" s="100">
        <f>IFERROR(VLOOKUP(Tablo519[[#This Row],[BOYA KODU]],Tablo14[#All],6,0)," ")</f>
        <v>5.0000000000000001E-3</v>
      </c>
      <c r="M29" s="100">
        <f t="shared" si="0"/>
        <v>64.462500000000006</v>
      </c>
      <c r="N29" s="100" t="str">
        <f>IFERROR(VLOOKUP(Tablo519[[#This Row],[ÜRÜN KODU]],YMKODLARI!$A$1:$K$363,8,0)," ")</f>
        <v>HM 001</v>
      </c>
      <c r="O29" s="100" t="str">
        <f>IFERROR(VLOOKUP(Tablo519[[#This Row],[HAMMADDE KODU]],Tablo1[#All],3,0)," ")</f>
        <v>CAPILENE</v>
      </c>
      <c r="P29" s="100" t="str">
        <f>IFERROR(VLOOKUP(Tablo519[[#This Row],[HAMMADDE KODU]],Tablo1[#All],4,0)," ")</f>
        <v>PİNHAS</v>
      </c>
      <c r="Q29" s="100">
        <f>IFERROR(VLOOKUP(Tablo519[[#This Row],[ÜRÜN KODU]],YMKODLARI!$A$1:$K$363,5,0)," ")</f>
        <v>22.5</v>
      </c>
      <c r="R29" s="100">
        <f>IFERROR(VLOOKUP(Tablo519[[#This Row],[ÜRÜN KODU]],YMKODLARI!$A$1:$K$363,6,0)," ")</f>
        <v>22.5</v>
      </c>
      <c r="S29" s="100">
        <f>IFERROR(Tablo519[[#This Row],[YOLLUK HARİÇ BASKI GRAMI]]/Tablo519[[#This Row],[KALIP GÖZ ADEDİ]]," ")</f>
        <v>5.625</v>
      </c>
      <c r="T29" s="100">
        <f t="shared" si="2"/>
        <v>0</v>
      </c>
      <c r="U29" s="100">
        <v>1.2</v>
      </c>
      <c r="V29" s="100" t="str">
        <f>IFERROR(#REF!+(R29*I29) /1000," ")</f>
        <v xml:space="preserve"> </v>
      </c>
      <c r="W29" s="101">
        <f t="shared" si="3"/>
        <v>24.013888888888889</v>
      </c>
      <c r="X29" s="102">
        <f t="shared" si="4"/>
        <v>0.33333333333334281</v>
      </c>
      <c r="Y29" s="100">
        <f t="shared" si="5"/>
        <v>3.1833333333333331</v>
      </c>
      <c r="Z29" s="100">
        <f t="shared" si="6"/>
        <v>2292</v>
      </c>
    </row>
    <row r="30" spans="1:26">
      <c r="A30" s="100" t="s">
        <v>206</v>
      </c>
      <c r="B30" s="108" t="str">
        <f>IFERROR(VLOOKUP(Tablo519[[#This Row],[ÜRÜN KODU]],YMKODLARI!$A$1:$K$363,2,0)," ")</f>
        <v>KULPLU BİBERON VİDA</v>
      </c>
      <c r="C30" s="99">
        <v>43880</v>
      </c>
      <c r="D30" s="100" t="s">
        <v>33</v>
      </c>
      <c r="E30" s="101">
        <v>0.6430555555555556</v>
      </c>
      <c r="F30" s="101">
        <v>0.75</v>
      </c>
      <c r="G30" s="100">
        <f>IFERROR(VLOOKUP(Tablo519[[#This Row],[ÜRÜN KODU]],YMKODLARI!$A$1:$K$363,3,0)," ")</f>
        <v>4</v>
      </c>
      <c r="H30" s="100">
        <f>IFERROR(VLOOKUP(Tablo519[[#This Row],[ÜRÜN KODU]],YMKODLARI!$A$1:$K$363,4,0)," ")</f>
        <v>20</v>
      </c>
      <c r="I30" s="100">
        <v>458</v>
      </c>
      <c r="J30" s="100">
        <f>IFERROR(VLOOKUP(Tablo519[[#This Row],[ÜRÜN KODU]],YMKODLARI!$A$1:$K$363,9,0)," ")</f>
        <v>5287</v>
      </c>
      <c r="K30" s="100" t="str">
        <f>IFERROR(VLOOKUP(Tablo519[[#This Row],[BOYA KODU]],Tablo14[#All],4,0)," ")</f>
        <v>MAVİ</v>
      </c>
      <c r="L30" s="100">
        <f>IFERROR(VLOOKUP(Tablo519[[#This Row],[BOYA KODU]],Tablo14[#All],6,0)," ")</f>
        <v>5.0000000000000001E-3</v>
      </c>
      <c r="M30" s="100">
        <f t="shared" si="0"/>
        <v>51.524999999999999</v>
      </c>
      <c r="N30" s="100" t="str">
        <f>IFERROR(VLOOKUP(Tablo519[[#This Row],[ÜRÜN KODU]],YMKODLARI!$A$1:$K$363,8,0)," ")</f>
        <v>HM 001</v>
      </c>
      <c r="O30" s="100" t="str">
        <f>IFERROR(VLOOKUP(Tablo519[[#This Row],[HAMMADDE KODU]],Tablo1[#All],3,0)," ")</f>
        <v>CAPILENE</v>
      </c>
      <c r="P30" s="100" t="str">
        <f>IFERROR(VLOOKUP(Tablo519[[#This Row],[HAMMADDE KODU]],Tablo1[#All],4,0)," ")</f>
        <v>PİNHAS</v>
      </c>
      <c r="Q30" s="100">
        <f>IFERROR(VLOOKUP(Tablo519[[#This Row],[ÜRÜN KODU]],YMKODLARI!$A$1:$K$363,5,0)," ")</f>
        <v>22.5</v>
      </c>
      <c r="R30" s="100">
        <f>IFERROR(VLOOKUP(Tablo519[[#This Row],[ÜRÜN KODU]],YMKODLARI!$A$1:$K$363,6,0)," ")</f>
        <v>22.5</v>
      </c>
      <c r="S30" s="100">
        <f>IFERROR(Tablo519[[#This Row],[YOLLUK HARİÇ BASKI GRAMI]]/Tablo519[[#This Row],[KALIP GÖZ ADEDİ]]," ")</f>
        <v>5.625</v>
      </c>
      <c r="T30" s="100">
        <f t="shared" si="2"/>
        <v>0</v>
      </c>
      <c r="U30" s="100">
        <v>1.5</v>
      </c>
      <c r="V30" s="100" t="str">
        <f>IFERROR(#REF!+(R30*I30) /1000," ")</f>
        <v xml:space="preserve"> </v>
      </c>
      <c r="W30" s="101">
        <f t="shared" si="3"/>
        <v>24.106944444444444</v>
      </c>
      <c r="X30" s="102">
        <f t="shared" si="4"/>
        <v>2.5666666666666629</v>
      </c>
      <c r="Y30" s="100">
        <f t="shared" si="5"/>
        <v>2.5444444444444443</v>
      </c>
      <c r="Z30" s="100">
        <f t="shared" si="6"/>
        <v>1832</v>
      </c>
    </row>
    <row r="31" spans="1:26">
      <c r="A31" s="100" t="s">
        <v>206</v>
      </c>
      <c r="B31" s="108" t="str">
        <f>IFERROR(VLOOKUP(Tablo519[[#This Row],[ÜRÜN KODU]],YMKODLARI!$A$1:$K$363,2,0)," ")</f>
        <v>KULPLU BİBERON VİDA</v>
      </c>
      <c r="C31" s="99">
        <v>43881</v>
      </c>
      <c r="D31" s="100" t="s">
        <v>37</v>
      </c>
      <c r="E31" s="101">
        <v>0.33333333333333331</v>
      </c>
      <c r="F31" s="101">
        <v>0.45</v>
      </c>
      <c r="G31" s="100">
        <f>IFERROR(VLOOKUP(Tablo519[[#This Row],[ÜRÜN KODU]],YMKODLARI!$A$1:$K$363,3,0)," ")</f>
        <v>4</v>
      </c>
      <c r="H31" s="100">
        <f>IFERROR(VLOOKUP(Tablo519[[#This Row],[ÜRÜN KODU]],YMKODLARI!$A$1:$K$363,4,0)," ")</f>
        <v>20</v>
      </c>
      <c r="I31" s="100">
        <v>440</v>
      </c>
      <c r="J31" s="100">
        <f>IFERROR(VLOOKUP(Tablo519[[#This Row],[ÜRÜN KODU]],YMKODLARI!$A$1:$K$363,9,0)," ")</f>
        <v>5287</v>
      </c>
      <c r="K31" s="100" t="str">
        <f>IFERROR(VLOOKUP(Tablo519[[#This Row],[BOYA KODU]],Tablo14[#All],4,0)," ")</f>
        <v>MAVİ</v>
      </c>
      <c r="L31" s="100">
        <f>IFERROR(VLOOKUP(Tablo519[[#This Row],[BOYA KODU]],Tablo14[#All],6,0)," ")</f>
        <v>5.0000000000000001E-3</v>
      </c>
      <c r="M31" s="100">
        <f t="shared" si="0"/>
        <v>49.5</v>
      </c>
      <c r="N31" s="100" t="str">
        <f>IFERROR(VLOOKUP(Tablo519[[#This Row],[ÜRÜN KODU]],YMKODLARI!$A$1:$K$363,8,0)," ")</f>
        <v>HM 001</v>
      </c>
      <c r="O31" s="100" t="str">
        <f>IFERROR(VLOOKUP(Tablo519[[#This Row],[HAMMADDE KODU]],Tablo1[#All],3,0)," ")</f>
        <v>CAPILENE</v>
      </c>
      <c r="P31" s="100" t="str">
        <f>IFERROR(VLOOKUP(Tablo519[[#This Row],[HAMMADDE KODU]],Tablo1[#All],4,0)," ")</f>
        <v>PİNHAS</v>
      </c>
      <c r="Q31" s="100">
        <f>IFERROR(VLOOKUP(Tablo519[[#This Row],[ÜRÜN KODU]],YMKODLARI!$A$1:$K$363,5,0)," ")</f>
        <v>22.5</v>
      </c>
      <c r="R31" s="100">
        <f>IFERROR(VLOOKUP(Tablo519[[#This Row],[ÜRÜN KODU]],YMKODLARI!$A$1:$K$363,6,0)," ")</f>
        <v>22.5</v>
      </c>
      <c r="S31" s="100">
        <f>IFERROR(Tablo519[[#This Row],[YOLLUK HARİÇ BASKI GRAMI]]/Tablo519[[#This Row],[KALIP GÖZ ADEDİ]]," ")</f>
        <v>5.625</v>
      </c>
      <c r="T31" s="100">
        <f t="shared" si="2"/>
        <v>0</v>
      </c>
      <c r="U31" s="100">
        <v>0.3</v>
      </c>
      <c r="V31" s="100">
        <f t="shared" ref="V31:V41" si="8">IFERROR(U23+(R31*I31) /1000," ")</f>
        <v>10.3</v>
      </c>
      <c r="W31" s="101">
        <f t="shared" si="3"/>
        <v>24.116666666666667</v>
      </c>
      <c r="X31" s="102">
        <f t="shared" si="4"/>
        <v>2.8000000000000114</v>
      </c>
      <c r="Y31" s="100">
        <f t="shared" si="5"/>
        <v>2.4444444444444446</v>
      </c>
      <c r="Z31" s="100">
        <f t="shared" si="6"/>
        <v>1760</v>
      </c>
    </row>
    <row r="32" spans="1:26">
      <c r="A32" s="100" t="s">
        <v>214</v>
      </c>
      <c r="B32" s="108" t="str">
        <f>IFERROR(VLOOKUP(Tablo519[[#This Row],[ÜRÜN KODU]],YMKODLARI!$A$1:$K$363,2,0)," ")</f>
        <v>EMZİK KAPAĞI</v>
      </c>
      <c r="C32" s="99">
        <v>43899</v>
      </c>
      <c r="D32" s="100" t="s">
        <v>36</v>
      </c>
      <c r="E32" s="101">
        <v>0.70833333333333337</v>
      </c>
      <c r="F32" s="101">
        <v>0.83333333333333337</v>
      </c>
      <c r="G32" s="100">
        <f>IFERROR(VLOOKUP(Tablo519[[#This Row],[ÜRÜN KODU]],YMKODLARI!$A$1:$K$363,3,0)," ")</f>
        <v>8</v>
      </c>
      <c r="H32" s="100">
        <f>IFERROR(VLOOKUP(Tablo519[[#This Row],[ÜRÜN KODU]],YMKODLARI!$A$1:$K$363,4,0)," ")</f>
        <v>27</v>
      </c>
      <c r="I32" s="100">
        <v>367</v>
      </c>
      <c r="J32" s="100" t="str">
        <f>IFERROR(VLOOKUP(Tablo519[[#This Row],[ÜRÜN KODU]],YMKODLARI!$A$1:$K$363,9,0)," ")</f>
        <v>Şeffaf</v>
      </c>
      <c r="K32" s="100" t="str">
        <f>IFERROR(VLOOKUP(Tablo519[[#This Row],[BOYA KODU]],Tablo14[#All],4,0)," ")</f>
        <v xml:space="preserve"> </v>
      </c>
      <c r="L32" s="100" t="str">
        <f>IFERROR(VLOOKUP(Tablo519[[#This Row],[BOYA KODU]],Tablo14[#All],6,0)," ")</f>
        <v xml:space="preserve"> </v>
      </c>
      <c r="M32" s="100" t="str">
        <f t="shared" si="0"/>
        <v xml:space="preserve"> </v>
      </c>
      <c r="N32" s="100" t="str">
        <f>IFERROR(VLOOKUP(Tablo519[[#This Row],[ÜRÜN KODU]],YMKODLARI!$A$1:$K$363,8,0)," ")</f>
        <v>HM 001</v>
      </c>
      <c r="O32" s="100" t="str">
        <f>IFERROR(VLOOKUP(Tablo519[[#This Row],[HAMMADDE KODU]],Tablo1[#All],3,0)," ")</f>
        <v>CAPILENE</v>
      </c>
      <c r="P32" s="100" t="str">
        <f>IFERROR(VLOOKUP(Tablo519[[#This Row],[HAMMADDE KODU]],Tablo1[#All],4,0)," ")</f>
        <v>PİNHAS</v>
      </c>
      <c r="Q32" s="100">
        <f>IFERROR(VLOOKUP(Tablo519[[#This Row],[ÜRÜN KODU]],YMKODLARI!$A$1:$K$363,5,0)," ")</f>
        <v>27.2</v>
      </c>
      <c r="R32" s="100">
        <f>IFERROR(VLOOKUP(Tablo519[[#This Row],[ÜRÜN KODU]],YMKODLARI!$A$1:$K$363,6,0)," ")</f>
        <v>27.2</v>
      </c>
      <c r="S32" s="100">
        <f>IFERROR(Tablo519[[#This Row],[YOLLUK HARİÇ BASKI GRAMI]]/Tablo519[[#This Row],[KALIP GÖZ ADEDİ]]," ")</f>
        <v>3.4</v>
      </c>
      <c r="T32" s="100">
        <f t="shared" si="2"/>
        <v>0</v>
      </c>
      <c r="U32" s="100">
        <v>4</v>
      </c>
      <c r="V32" s="100">
        <f t="shared" si="8"/>
        <v>10.282400000000001</v>
      </c>
      <c r="W32" s="101">
        <f t="shared" si="3"/>
        <v>24.125</v>
      </c>
      <c r="X32" s="102">
        <f t="shared" si="4"/>
        <v>3</v>
      </c>
      <c r="Y32" s="100">
        <f t="shared" si="5"/>
        <v>2.7524999999999999</v>
      </c>
      <c r="Z32" s="100">
        <f t="shared" si="6"/>
        <v>2936</v>
      </c>
    </row>
    <row r="33" spans="1:26">
      <c r="A33" s="100" t="s">
        <v>214</v>
      </c>
      <c r="B33" s="108" t="str">
        <f>IFERROR(VLOOKUP(Tablo519[[#This Row],[ÜRÜN KODU]],YMKODLARI!$A$1:$K$363,2,0)," ")</f>
        <v>EMZİK KAPAĞI</v>
      </c>
      <c r="C33" s="99">
        <v>43900</v>
      </c>
      <c r="D33" s="100" t="s">
        <v>36</v>
      </c>
      <c r="E33" s="101">
        <v>0.33333333333333331</v>
      </c>
      <c r="F33" s="101">
        <v>0.52083333333333337</v>
      </c>
      <c r="G33" s="100">
        <f>IFERROR(VLOOKUP(Tablo519[[#This Row],[ÜRÜN KODU]],YMKODLARI!$A$1:$K$363,3,0)," ")</f>
        <v>8</v>
      </c>
      <c r="H33" s="100">
        <f>IFERROR(VLOOKUP(Tablo519[[#This Row],[ÜRÜN KODU]],YMKODLARI!$A$1:$K$363,4,0)," ")</f>
        <v>27</v>
      </c>
      <c r="I33" s="100">
        <v>518</v>
      </c>
      <c r="J33" s="100" t="str">
        <f>IFERROR(VLOOKUP(Tablo519[[#This Row],[ÜRÜN KODU]],YMKODLARI!$A$1:$K$363,9,0)," ")</f>
        <v>Şeffaf</v>
      </c>
      <c r="K33" s="100" t="str">
        <f>IFERROR(VLOOKUP(Tablo519[[#This Row],[BOYA KODU]],Tablo14[#All],4,0)," ")</f>
        <v xml:space="preserve"> </v>
      </c>
      <c r="L33" s="100" t="str">
        <f>IFERROR(VLOOKUP(Tablo519[[#This Row],[BOYA KODU]],Tablo14[#All],6,0)," ")</f>
        <v xml:space="preserve"> </v>
      </c>
      <c r="M33" s="100" t="str">
        <f t="shared" si="0"/>
        <v xml:space="preserve"> </v>
      </c>
      <c r="N33" s="100" t="str">
        <f>IFERROR(VLOOKUP(Tablo519[[#This Row],[ÜRÜN KODU]],YMKODLARI!$A$1:$K$363,8,0)," ")</f>
        <v>HM 001</v>
      </c>
      <c r="O33" s="100" t="str">
        <f>IFERROR(VLOOKUP(Tablo519[[#This Row],[HAMMADDE KODU]],Tablo1[#All],3,0)," ")</f>
        <v>CAPILENE</v>
      </c>
      <c r="P33" s="100" t="str">
        <f>IFERROR(VLOOKUP(Tablo519[[#This Row],[HAMMADDE KODU]],Tablo1[#All],4,0)," ")</f>
        <v>PİNHAS</v>
      </c>
      <c r="Q33" s="100">
        <f>IFERROR(VLOOKUP(Tablo519[[#This Row],[ÜRÜN KODU]],YMKODLARI!$A$1:$K$363,5,0)," ")</f>
        <v>27.2</v>
      </c>
      <c r="R33" s="100">
        <f>IFERROR(VLOOKUP(Tablo519[[#This Row],[ÜRÜN KODU]],YMKODLARI!$A$1:$K$363,6,0)," ")</f>
        <v>27.2</v>
      </c>
      <c r="S33" s="100">
        <f>IFERROR(Tablo519[[#This Row],[YOLLUK HARİÇ BASKI GRAMI]]/Tablo519[[#This Row],[KALIP GÖZ ADEDİ]]," ")</f>
        <v>3.4</v>
      </c>
      <c r="T33" s="100">
        <f t="shared" si="2"/>
        <v>0</v>
      </c>
      <c r="U33" s="100">
        <v>1.2</v>
      </c>
      <c r="V33" s="100">
        <f t="shared" si="8"/>
        <v>14.089600000000001</v>
      </c>
      <c r="W33" s="101">
        <f t="shared" si="3"/>
        <v>24.1875</v>
      </c>
      <c r="X33" s="102">
        <f t="shared" si="4"/>
        <v>4.5</v>
      </c>
      <c r="Y33" s="100">
        <f t="shared" si="5"/>
        <v>3.8849999999999998</v>
      </c>
      <c r="Z33" s="100">
        <f t="shared" si="6"/>
        <v>4144</v>
      </c>
    </row>
    <row r="34" spans="1:26">
      <c r="A34" s="100" t="s">
        <v>214</v>
      </c>
      <c r="B34" s="108" t="str">
        <f>IFERROR(VLOOKUP(Tablo519[[#This Row],[ÜRÜN KODU]],YMKODLARI!$A$1:$K$363,2,0)," ")</f>
        <v>EMZİK KAPAĞI</v>
      </c>
      <c r="C34" s="99">
        <v>43901</v>
      </c>
      <c r="D34" s="100" t="s">
        <v>36</v>
      </c>
      <c r="E34" s="101">
        <v>0.33333333333333331</v>
      </c>
      <c r="F34" s="101">
        <v>0.53472222222222221</v>
      </c>
      <c r="G34" s="100">
        <f>IFERROR(VLOOKUP(Tablo519[[#This Row],[ÜRÜN KODU]],YMKODLARI!$A$1:$K$363,3,0)," ")</f>
        <v>8</v>
      </c>
      <c r="H34" s="100">
        <f>IFERROR(VLOOKUP(Tablo519[[#This Row],[ÜRÜN KODU]],YMKODLARI!$A$1:$K$363,4,0)," ")</f>
        <v>27</v>
      </c>
      <c r="I34" s="100">
        <v>517</v>
      </c>
      <c r="J34" s="100" t="str">
        <f>IFERROR(VLOOKUP(Tablo519[[#This Row],[ÜRÜN KODU]],YMKODLARI!$A$1:$K$363,9,0)," ")</f>
        <v>Şeffaf</v>
      </c>
      <c r="K34" s="100" t="str">
        <f>IFERROR(VLOOKUP(Tablo519[[#This Row],[BOYA KODU]],Tablo14[#All],4,0)," ")</f>
        <v xml:space="preserve"> </v>
      </c>
      <c r="L34" s="100" t="str">
        <f>IFERROR(VLOOKUP(Tablo519[[#This Row],[BOYA KODU]],Tablo14[#All],6,0)," ")</f>
        <v xml:space="preserve"> </v>
      </c>
      <c r="M34" s="100" t="str">
        <f t="shared" si="0"/>
        <v xml:space="preserve"> </v>
      </c>
      <c r="N34" s="100" t="str">
        <f>IFERROR(VLOOKUP(Tablo519[[#This Row],[ÜRÜN KODU]],YMKODLARI!$A$1:$K$363,8,0)," ")</f>
        <v>HM 001</v>
      </c>
      <c r="O34" s="100" t="str">
        <f>IFERROR(VLOOKUP(Tablo519[[#This Row],[HAMMADDE KODU]],Tablo1[#All],3,0)," ")</f>
        <v>CAPILENE</v>
      </c>
      <c r="P34" s="100" t="str">
        <f>IFERROR(VLOOKUP(Tablo519[[#This Row],[HAMMADDE KODU]],Tablo1[#All],4,0)," ")</f>
        <v>PİNHAS</v>
      </c>
      <c r="Q34" s="100">
        <f>IFERROR(VLOOKUP(Tablo519[[#This Row],[ÜRÜN KODU]],YMKODLARI!$A$1:$K$363,5,0)," ")</f>
        <v>27.2</v>
      </c>
      <c r="R34" s="100">
        <f>IFERROR(VLOOKUP(Tablo519[[#This Row],[ÜRÜN KODU]],YMKODLARI!$A$1:$K$363,6,0)," ")</f>
        <v>27.2</v>
      </c>
      <c r="S34" s="100">
        <f>IFERROR(Tablo519[[#This Row],[YOLLUK HARİÇ BASKI GRAMI]]/Tablo519[[#This Row],[KALIP GÖZ ADEDİ]]," ")</f>
        <v>3.4</v>
      </c>
      <c r="T34" s="100">
        <f t="shared" si="2"/>
        <v>0</v>
      </c>
      <c r="U34" s="100">
        <v>1.4</v>
      </c>
      <c r="V34" s="100">
        <f t="shared" si="8"/>
        <v>14.5624</v>
      </c>
      <c r="W34" s="101">
        <f t="shared" si="3"/>
        <v>24.201388888888889</v>
      </c>
      <c r="X34" s="102">
        <f t="shared" si="4"/>
        <v>4.8333333333333428</v>
      </c>
      <c r="Y34" s="100">
        <f t="shared" si="5"/>
        <v>3.8774999999999999</v>
      </c>
      <c r="Z34" s="100">
        <f t="shared" si="6"/>
        <v>4136</v>
      </c>
    </row>
    <row r="35" spans="1:26">
      <c r="A35" s="100" t="s">
        <v>214</v>
      </c>
      <c r="B35" s="108" t="str">
        <f>IFERROR(VLOOKUP(Tablo519[[#This Row],[ÜRÜN KODU]],YMKODLARI!$A$1:$K$363,2,0)," ")</f>
        <v>EMZİK KAPAĞI</v>
      </c>
      <c r="C35" s="99">
        <v>43902</v>
      </c>
      <c r="D35" s="100" t="s">
        <v>36</v>
      </c>
      <c r="E35" s="101">
        <v>0.625</v>
      </c>
      <c r="F35" s="101">
        <v>0.75</v>
      </c>
      <c r="G35" s="100">
        <f>IFERROR(VLOOKUP(Tablo519[[#This Row],[ÜRÜN KODU]],YMKODLARI!$A$1:$K$363,3,0)," ")</f>
        <v>8</v>
      </c>
      <c r="H35" s="100">
        <f>IFERROR(VLOOKUP(Tablo519[[#This Row],[ÜRÜN KODU]],YMKODLARI!$A$1:$K$363,4,0)," ")</f>
        <v>27</v>
      </c>
      <c r="I35" s="100">
        <v>303</v>
      </c>
      <c r="J35" s="100" t="str">
        <f>IFERROR(VLOOKUP(Tablo519[[#This Row],[ÜRÜN KODU]],YMKODLARI!$A$1:$K$363,9,0)," ")</f>
        <v>Şeffaf</v>
      </c>
      <c r="K35" s="100" t="str">
        <f>IFERROR(VLOOKUP(Tablo519[[#This Row],[BOYA KODU]],Tablo14[#All],4,0)," ")</f>
        <v xml:space="preserve"> </v>
      </c>
      <c r="L35" s="100" t="str">
        <f>IFERROR(VLOOKUP(Tablo519[[#This Row],[BOYA KODU]],Tablo14[#All],6,0)," ")</f>
        <v xml:space="preserve"> </v>
      </c>
      <c r="M35" s="100" t="str">
        <f t="shared" si="0"/>
        <v xml:space="preserve"> </v>
      </c>
      <c r="N35" s="100" t="str">
        <f>IFERROR(VLOOKUP(Tablo519[[#This Row],[ÜRÜN KODU]],YMKODLARI!$A$1:$K$363,8,0)," ")</f>
        <v>HM 001</v>
      </c>
      <c r="O35" s="100" t="str">
        <f>IFERROR(VLOOKUP(Tablo519[[#This Row],[HAMMADDE KODU]],Tablo1[#All],3,0)," ")</f>
        <v>CAPILENE</v>
      </c>
      <c r="P35" s="100" t="str">
        <f>IFERROR(VLOOKUP(Tablo519[[#This Row],[HAMMADDE KODU]],Tablo1[#All],4,0)," ")</f>
        <v>PİNHAS</v>
      </c>
      <c r="Q35" s="100">
        <f>IFERROR(VLOOKUP(Tablo519[[#This Row],[ÜRÜN KODU]],YMKODLARI!$A$1:$K$363,5,0)," ")</f>
        <v>27.2</v>
      </c>
      <c r="R35" s="100">
        <f>IFERROR(VLOOKUP(Tablo519[[#This Row],[ÜRÜN KODU]],YMKODLARI!$A$1:$K$363,6,0)," ")</f>
        <v>27.2</v>
      </c>
      <c r="S35" s="100">
        <f>IFERROR(Tablo519[[#This Row],[YOLLUK HARİÇ BASKI GRAMI]]/Tablo519[[#This Row],[KALIP GÖZ ADEDİ]]," ")</f>
        <v>3.4</v>
      </c>
      <c r="T35" s="100">
        <f t="shared" si="2"/>
        <v>0</v>
      </c>
      <c r="U35" s="100">
        <v>0.5</v>
      </c>
      <c r="V35" s="100">
        <f t="shared" si="8"/>
        <v>10.441600000000001</v>
      </c>
      <c r="W35" s="101">
        <f t="shared" si="3"/>
        <v>24.125</v>
      </c>
      <c r="X35" s="102">
        <f t="shared" si="4"/>
        <v>3</v>
      </c>
      <c r="Y35" s="100">
        <f t="shared" si="5"/>
        <v>2.2725</v>
      </c>
      <c r="Z35" s="100">
        <f t="shared" si="6"/>
        <v>2424</v>
      </c>
    </row>
    <row r="36" spans="1:26">
      <c r="A36" s="100" t="s">
        <v>214</v>
      </c>
      <c r="B36" s="108" t="str">
        <f>IFERROR(VLOOKUP(Tablo519[[#This Row],[ÜRÜN KODU]],YMKODLARI!$A$1:$K$363,2,0)," ")</f>
        <v>EMZİK KAPAĞI</v>
      </c>
      <c r="C36" s="99">
        <v>43903</v>
      </c>
      <c r="D36" s="100" t="s">
        <v>36</v>
      </c>
      <c r="E36" s="101">
        <v>0.33333333333333331</v>
      </c>
      <c r="F36" s="101">
        <v>0.6875</v>
      </c>
      <c r="G36" s="100">
        <f>IFERROR(VLOOKUP(Tablo519[[#This Row],[ÜRÜN KODU]],YMKODLARI!$A$1:$K$363,3,0)," ")</f>
        <v>8</v>
      </c>
      <c r="H36" s="100">
        <f>IFERROR(VLOOKUP(Tablo519[[#This Row],[ÜRÜN KODU]],YMKODLARI!$A$1:$K$363,4,0)," ")</f>
        <v>27</v>
      </c>
      <c r="I36" s="100">
        <v>461</v>
      </c>
      <c r="J36" s="100" t="str">
        <f>IFERROR(VLOOKUP(Tablo519[[#This Row],[ÜRÜN KODU]],YMKODLARI!$A$1:$K$363,9,0)," ")</f>
        <v>Şeffaf</v>
      </c>
      <c r="K36" s="100" t="str">
        <f>IFERROR(VLOOKUP(Tablo519[[#This Row],[BOYA KODU]],Tablo14[#All],4,0)," ")</f>
        <v xml:space="preserve"> </v>
      </c>
      <c r="L36" s="100" t="str">
        <f>IFERROR(VLOOKUP(Tablo519[[#This Row],[BOYA KODU]],Tablo14[#All],6,0)," ")</f>
        <v xml:space="preserve"> </v>
      </c>
      <c r="M36" s="100" t="str">
        <f t="shared" si="0"/>
        <v xml:space="preserve"> </v>
      </c>
      <c r="N36" s="100" t="str">
        <f>IFERROR(VLOOKUP(Tablo519[[#This Row],[ÜRÜN KODU]],YMKODLARI!$A$1:$K$363,8,0)," ")</f>
        <v>HM 001</v>
      </c>
      <c r="O36" s="100" t="str">
        <f>IFERROR(VLOOKUP(Tablo519[[#This Row],[HAMMADDE KODU]],Tablo1[#All],3,0)," ")</f>
        <v>CAPILENE</v>
      </c>
      <c r="P36" s="100" t="str">
        <f>IFERROR(VLOOKUP(Tablo519[[#This Row],[HAMMADDE KODU]],Tablo1[#All],4,0)," ")</f>
        <v>PİNHAS</v>
      </c>
      <c r="Q36" s="100">
        <f>IFERROR(VLOOKUP(Tablo519[[#This Row],[ÜRÜN KODU]],YMKODLARI!$A$1:$K$363,5,0)," ")</f>
        <v>27.2</v>
      </c>
      <c r="R36" s="100">
        <f>IFERROR(VLOOKUP(Tablo519[[#This Row],[ÜRÜN KODU]],YMKODLARI!$A$1:$K$363,6,0)," ")</f>
        <v>27.2</v>
      </c>
      <c r="S36" s="100">
        <f>IFERROR(Tablo519[[#This Row],[YOLLUK HARİÇ BASKI GRAMI]]/Tablo519[[#This Row],[KALIP GÖZ ADEDİ]]," ")</f>
        <v>3.4</v>
      </c>
      <c r="T36" s="100">
        <f t="shared" si="2"/>
        <v>0</v>
      </c>
      <c r="U36" s="100">
        <v>1.6</v>
      </c>
      <c r="V36" s="100">
        <f t="shared" si="8"/>
        <v>16.539200000000001</v>
      </c>
      <c r="W36" s="101">
        <f t="shared" si="3"/>
        <v>24.354166666666668</v>
      </c>
      <c r="X36" s="102">
        <f t="shared" si="4"/>
        <v>8.5000000000000284</v>
      </c>
      <c r="Y36" s="100">
        <f t="shared" si="5"/>
        <v>3.4575</v>
      </c>
      <c r="Z36" s="100">
        <f t="shared" si="6"/>
        <v>3688</v>
      </c>
    </row>
    <row r="37" spans="1:26">
      <c r="A37" s="100" t="s">
        <v>214</v>
      </c>
      <c r="B37" s="108" t="str">
        <f>IFERROR(VLOOKUP(Tablo519[[#This Row],[ÜRÜN KODU]],YMKODLARI!$A$1:$K$363,2,0)," ")</f>
        <v>EMZİK KAPAĞI</v>
      </c>
      <c r="C37" s="99">
        <v>43906</v>
      </c>
      <c r="D37" s="100" t="s">
        <v>36</v>
      </c>
      <c r="E37" s="101">
        <v>0.35416666666666669</v>
      </c>
      <c r="F37" s="101">
        <v>0.54166666666666663</v>
      </c>
      <c r="G37" s="100">
        <f>IFERROR(VLOOKUP(Tablo519[[#This Row],[ÜRÜN KODU]],YMKODLARI!$A$1:$K$363,3,0)," ")</f>
        <v>8</v>
      </c>
      <c r="H37" s="100">
        <f>IFERROR(VLOOKUP(Tablo519[[#This Row],[ÜRÜN KODU]],YMKODLARI!$A$1:$K$363,4,0)," ")</f>
        <v>27</v>
      </c>
      <c r="I37" s="100">
        <v>491</v>
      </c>
      <c r="J37" s="100" t="str">
        <f>IFERROR(VLOOKUP(Tablo519[[#This Row],[ÜRÜN KODU]],YMKODLARI!$A$1:$K$363,9,0)," ")</f>
        <v>Şeffaf</v>
      </c>
      <c r="K37" s="100" t="str">
        <f>IFERROR(VLOOKUP(Tablo519[[#This Row],[BOYA KODU]],Tablo14[#All],4,0)," ")</f>
        <v xml:space="preserve"> </v>
      </c>
      <c r="L37" s="100" t="str">
        <f>IFERROR(VLOOKUP(Tablo519[[#This Row],[BOYA KODU]],Tablo14[#All],6,0)," ")</f>
        <v xml:space="preserve"> </v>
      </c>
      <c r="M37" s="100" t="str">
        <f t="shared" si="0"/>
        <v xml:space="preserve"> </v>
      </c>
      <c r="N37" s="100" t="str">
        <f>IFERROR(VLOOKUP(Tablo519[[#This Row],[ÜRÜN KODU]],YMKODLARI!$A$1:$K$363,8,0)," ")</f>
        <v>HM 001</v>
      </c>
      <c r="O37" s="100" t="str">
        <f>IFERROR(VLOOKUP(Tablo519[[#This Row],[HAMMADDE KODU]],Tablo1[#All],3,0)," ")</f>
        <v>CAPILENE</v>
      </c>
      <c r="P37" s="100" t="str">
        <f>IFERROR(VLOOKUP(Tablo519[[#This Row],[HAMMADDE KODU]],Tablo1[#All],4,0)," ")</f>
        <v>PİNHAS</v>
      </c>
      <c r="Q37" s="100">
        <f>IFERROR(VLOOKUP(Tablo519[[#This Row],[ÜRÜN KODU]],YMKODLARI!$A$1:$K$363,5,0)," ")</f>
        <v>27.2</v>
      </c>
      <c r="R37" s="100">
        <f>IFERROR(VLOOKUP(Tablo519[[#This Row],[ÜRÜN KODU]],YMKODLARI!$A$1:$K$363,6,0)," ")</f>
        <v>27.2</v>
      </c>
      <c r="S37" s="100">
        <f>IFERROR(Tablo519[[#This Row],[YOLLUK HARİÇ BASKI GRAMI]]/Tablo519[[#This Row],[KALIP GÖZ ADEDİ]]," ")</f>
        <v>3.4</v>
      </c>
      <c r="T37" s="100">
        <f t="shared" si="2"/>
        <v>0</v>
      </c>
      <c r="U37" s="100">
        <v>0.9</v>
      </c>
      <c r="V37" s="100">
        <f t="shared" si="8"/>
        <v>14.555199999999997</v>
      </c>
      <c r="W37" s="101">
        <f t="shared" si="3"/>
        <v>24.1875</v>
      </c>
      <c r="X37" s="102">
        <f t="shared" si="4"/>
        <v>4.5</v>
      </c>
      <c r="Y37" s="100">
        <f t="shared" si="5"/>
        <v>3.6825000000000001</v>
      </c>
      <c r="Z37" s="100">
        <f t="shared" si="6"/>
        <v>3928</v>
      </c>
    </row>
    <row r="38" spans="1:26">
      <c r="A38" s="100" t="s">
        <v>215</v>
      </c>
      <c r="B38" s="108" t="str">
        <f>IFERROR(VLOOKUP(Tablo519[[#This Row],[ÜRÜN KODU]],YMKODLARI!$A$1:$K$363,2,0)," ")</f>
        <v>MAMA KAŞIĞI SAP</v>
      </c>
      <c r="C38" s="99">
        <v>43914</v>
      </c>
      <c r="D38" s="100" t="s">
        <v>29</v>
      </c>
      <c r="E38" s="101">
        <v>0.52083333333333337</v>
      </c>
      <c r="F38" s="101">
        <v>0.64583333333333337</v>
      </c>
      <c r="G38" s="100">
        <f>IFERROR(VLOOKUP(Tablo519[[#This Row],[ÜRÜN KODU]],YMKODLARI!$A$1:$K$363,3,0)," ")</f>
        <v>16</v>
      </c>
      <c r="H38" s="100">
        <f>IFERROR(VLOOKUP(Tablo519[[#This Row],[ÜRÜN KODU]],YMKODLARI!$A$1:$K$363,4,0)," ")</f>
        <v>27</v>
      </c>
      <c r="I38" s="100">
        <v>344</v>
      </c>
      <c r="J38" s="100" t="str">
        <f>IFERROR(VLOOKUP(Tablo519[[#This Row],[ÜRÜN KODU]],YMKODLARI!$A$1:$K$363,9,0)," ")</f>
        <v>9134A</v>
      </c>
      <c r="K38" s="100" t="str">
        <f>IFERROR(VLOOKUP(Tablo519[[#This Row],[BOYA KODU]],Tablo14[#All],4,0)," ")</f>
        <v>BEYAZ</v>
      </c>
      <c r="L38" s="100">
        <f>IFERROR(VLOOKUP(Tablo519[[#This Row],[BOYA KODU]],Tablo14[#All],6,0)," ")</f>
        <v>7.0000000000000001E-3</v>
      </c>
      <c r="M38" s="100">
        <f t="shared" si="0"/>
        <v>165.6704</v>
      </c>
      <c r="N38" s="100" t="str">
        <f>IFERROR(VLOOKUP(Tablo519[[#This Row],[ÜRÜN KODU]],YMKODLARI!$A$1:$K$363,8,0)," ")</f>
        <v>HM 001</v>
      </c>
      <c r="O38" s="100" t="str">
        <f>IFERROR(VLOOKUP(Tablo519[[#This Row],[HAMMADDE KODU]],Tablo1[#All],3,0)," ")</f>
        <v>CAPILENE</v>
      </c>
      <c r="P38" s="100" t="str">
        <f>IFERROR(VLOOKUP(Tablo519[[#This Row],[HAMMADDE KODU]],Tablo1[#All],4,0)," ")</f>
        <v>PİNHAS</v>
      </c>
      <c r="Q38" s="100">
        <f>IFERROR(VLOOKUP(Tablo519[[#This Row],[ÜRÜN KODU]],YMKODLARI!$A$1:$K$363,5,0)," ")</f>
        <v>68.8</v>
      </c>
      <c r="R38" s="100">
        <f>IFERROR(VLOOKUP(Tablo519[[#This Row],[ÜRÜN KODU]],YMKODLARI!$A$1:$K$363,6,0)," ")</f>
        <v>65</v>
      </c>
      <c r="S38" s="100">
        <f>IFERROR(Tablo519[[#This Row],[YOLLUK HARİÇ BASKI GRAMI]]/Tablo519[[#This Row],[KALIP GÖZ ADEDİ]]," ")</f>
        <v>4.0625</v>
      </c>
      <c r="T38" s="100">
        <f t="shared" si="2"/>
        <v>3.7999999999999972</v>
      </c>
      <c r="U38" s="100"/>
      <c r="V38" s="100">
        <f t="shared" si="8"/>
        <v>23.86</v>
      </c>
      <c r="W38" s="101">
        <f t="shared" si="3"/>
        <v>24.125</v>
      </c>
      <c r="X38" s="102">
        <f t="shared" si="4"/>
        <v>3</v>
      </c>
      <c r="Y38" s="100">
        <f t="shared" si="5"/>
        <v>2.58</v>
      </c>
      <c r="Z38" s="100">
        <f t="shared" si="6"/>
        <v>5504</v>
      </c>
    </row>
    <row r="39" spans="1:26">
      <c r="A39" s="100" t="s">
        <v>216</v>
      </c>
      <c r="B39" s="108" t="str">
        <f>IFERROR(VLOOKUP(Tablo519[[#This Row],[ÜRÜN KODU]],YMKODLARI!$A$1:$K$363,2,0)," ")</f>
        <v>MAMA KAŞIĞI SAP</v>
      </c>
      <c r="C39" s="99">
        <v>43914</v>
      </c>
      <c r="D39" s="100" t="s">
        <v>29</v>
      </c>
      <c r="E39" s="101">
        <v>0.68055555555555547</v>
      </c>
      <c r="F39" s="101">
        <v>0.73958333333333337</v>
      </c>
      <c r="G39" s="100">
        <f>IFERROR(VLOOKUP(Tablo519[[#This Row],[ÜRÜN KODU]],YMKODLARI!$A$1:$K$363,3,0)," ")</f>
        <v>16</v>
      </c>
      <c r="H39" s="100">
        <f>IFERROR(VLOOKUP(Tablo519[[#This Row],[ÜRÜN KODU]],YMKODLARI!$A$1:$K$363,4,0)," ")</f>
        <v>27</v>
      </c>
      <c r="I39" s="100">
        <v>207</v>
      </c>
      <c r="J39" s="100">
        <f>IFERROR(VLOOKUP(Tablo519[[#This Row],[ÜRÜN KODU]],YMKODLARI!$A$1:$K$363,9,0)," ")</f>
        <v>3409</v>
      </c>
      <c r="K39" s="100" t="str">
        <f>IFERROR(VLOOKUP(Tablo519[[#This Row],[BOYA KODU]],Tablo14[#All],4,0)," ")</f>
        <v>PEMBE</v>
      </c>
      <c r="L39" s="100">
        <f>IFERROR(VLOOKUP(Tablo519[[#This Row],[BOYA KODU]],Tablo14[#All],6,0)," ")</f>
        <v>5.0000000000000001E-3</v>
      </c>
      <c r="M39" s="100">
        <f t="shared" si="0"/>
        <v>71.207999999999998</v>
      </c>
      <c r="N39" s="100" t="str">
        <f>IFERROR(VLOOKUP(Tablo519[[#This Row],[ÜRÜN KODU]],YMKODLARI!$A$1:$K$363,8,0)," ")</f>
        <v>HM 001</v>
      </c>
      <c r="O39" s="100" t="str">
        <f>IFERROR(VLOOKUP(Tablo519[[#This Row],[HAMMADDE KODU]],Tablo1[#All],3,0)," ")</f>
        <v>CAPILENE</v>
      </c>
      <c r="P39" s="100" t="str">
        <f>IFERROR(VLOOKUP(Tablo519[[#This Row],[HAMMADDE KODU]],Tablo1[#All],4,0)," ")</f>
        <v>PİNHAS</v>
      </c>
      <c r="Q39" s="100">
        <f>IFERROR(VLOOKUP(Tablo519[[#This Row],[ÜRÜN KODU]],YMKODLARI!$A$1:$K$363,5,0)," ")</f>
        <v>68.8</v>
      </c>
      <c r="R39" s="100">
        <f>IFERROR(VLOOKUP(Tablo519[[#This Row],[ÜRÜN KODU]],YMKODLARI!$A$1:$K$363,6,0)," ")</f>
        <v>65</v>
      </c>
      <c r="S39" s="100">
        <f>IFERROR(Tablo519[[#This Row],[YOLLUK HARİÇ BASKI GRAMI]]/Tablo519[[#This Row],[KALIP GÖZ ADEDİ]]," ")</f>
        <v>4.0625</v>
      </c>
      <c r="T39" s="100">
        <f t="shared" si="2"/>
        <v>3.7999999999999972</v>
      </c>
      <c r="U39" s="100"/>
      <c r="V39" s="100">
        <f t="shared" si="8"/>
        <v>13.755000000000001</v>
      </c>
      <c r="W39" s="101">
        <f t="shared" si="3"/>
        <v>24.059027777777779</v>
      </c>
      <c r="X39" s="102">
        <f t="shared" si="4"/>
        <v>1.4166666666666856</v>
      </c>
      <c r="Y39" s="100">
        <f t="shared" si="5"/>
        <v>1.5525</v>
      </c>
      <c r="Z39" s="100">
        <f t="shared" si="6"/>
        <v>3312</v>
      </c>
    </row>
    <row r="40" spans="1:26">
      <c r="A40" s="100" t="s">
        <v>217</v>
      </c>
      <c r="B40" s="108" t="str">
        <f>IFERROR(VLOOKUP(Tablo519[[#This Row],[ÜRÜN KODU]],YMKODLARI!$A$1:$K$363,2,0)," ")</f>
        <v>MAMA KAŞIĞI SAP</v>
      </c>
      <c r="C40" s="99">
        <v>43914</v>
      </c>
      <c r="D40" s="100" t="s">
        <v>29</v>
      </c>
      <c r="E40" s="101">
        <v>0.74652777777777779</v>
      </c>
      <c r="F40" s="101">
        <v>0.79375000000000007</v>
      </c>
      <c r="G40" s="100">
        <f>IFERROR(VLOOKUP(Tablo519[[#This Row],[ÜRÜN KODU]],YMKODLARI!$A$1:$K$363,3,0)," ")</f>
        <v>16</v>
      </c>
      <c r="H40" s="100">
        <f>IFERROR(VLOOKUP(Tablo519[[#This Row],[ÜRÜN KODU]],YMKODLARI!$A$1:$K$363,4,0)," ")</f>
        <v>27</v>
      </c>
      <c r="I40" s="100">
        <v>195</v>
      </c>
      <c r="J40" s="100">
        <f>IFERROR(VLOOKUP(Tablo519[[#This Row],[ÜRÜN KODU]],YMKODLARI!$A$1:$K$363,9,0)," ")</f>
        <v>5287</v>
      </c>
      <c r="K40" s="100" t="str">
        <f>IFERROR(VLOOKUP(Tablo519[[#This Row],[BOYA KODU]],Tablo14[#All],4,0)," ")</f>
        <v>MAVİ</v>
      </c>
      <c r="L40" s="100">
        <f>IFERROR(VLOOKUP(Tablo519[[#This Row],[BOYA KODU]],Tablo14[#All],6,0)," ")</f>
        <v>5.0000000000000001E-3</v>
      </c>
      <c r="M40" s="100">
        <f t="shared" si="0"/>
        <v>67.08</v>
      </c>
      <c r="N40" s="100" t="str">
        <f>IFERROR(VLOOKUP(Tablo519[[#This Row],[ÜRÜN KODU]],YMKODLARI!$A$1:$K$363,8,0)," ")</f>
        <v>HM 001</v>
      </c>
      <c r="O40" s="100" t="str">
        <f>IFERROR(VLOOKUP(Tablo519[[#This Row],[HAMMADDE KODU]],Tablo1[#All],3,0)," ")</f>
        <v>CAPILENE</v>
      </c>
      <c r="P40" s="100" t="str">
        <f>IFERROR(VLOOKUP(Tablo519[[#This Row],[HAMMADDE KODU]],Tablo1[#All],4,0)," ")</f>
        <v>PİNHAS</v>
      </c>
      <c r="Q40" s="100">
        <f>IFERROR(VLOOKUP(Tablo519[[#This Row],[ÜRÜN KODU]],YMKODLARI!$A$1:$K$363,5,0)," ")</f>
        <v>68.8</v>
      </c>
      <c r="R40" s="100">
        <f>IFERROR(VLOOKUP(Tablo519[[#This Row],[ÜRÜN KODU]],YMKODLARI!$A$1:$K$363,6,0)," ")</f>
        <v>65</v>
      </c>
      <c r="S40" s="100">
        <f>IFERROR(Tablo519[[#This Row],[YOLLUK HARİÇ BASKI GRAMI]]/Tablo519[[#This Row],[KALIP GÖZ ADEDİ]]," ")</f>
        <v>4.0625</v>
      </c>
      <c r="T40" s="100">
        <f t="shared" si="2"/>
        <v>3.7999999999999972</v>
      </c>
      <c r="U40" s="100"/>
      <c r="V40" s="100">
        <f t="shared" si="8"/>
        <v>16.675000000000001</v>
      </c>
      <c r="W40" s="101">
        <f t="shared" si="3"/>
        <v>24.047222222222221</v>
      </c>
      <c r="X40" s="102">
        <f t="shared" si="4"/>
        <v>1.1333333333332973</v>
      </c>
      <c r="Y40" s="100">
        <f t="shared" si="5"/>
        <v>1.4624999999999999</v>
      </c>
      <c r="Z40" s="100">
        <f t="shared" si="6"/>
        <v>3120</v>
      </c>
    </row>
    <row r="41" spans="1:26">
      <c r="A41" s="100" t="s">
        <v>218</v>
      </c>
      <c r="B41" s="108" t="str">
        <f>IFERROR(VLOOKUP(Tablo519[[#This Row],[ÜRÜN KODU]],YMKODLARI!$A$1:$K$363,2,0)," ")</f>
        <v>GENİŞ AĞIZ BİBERON KULP</v>
      </c>
      <c r="C41" s="99">
        <v>43915</v>
      </c>
      <c r="D41" s="100" t="s">
        <v>27</v>
      </c>
      <c r="E41" s="101">
        <v>0.52083333333333337</v>
      </c>
      <c r="F41" s="101">
        <v>0.83333333333333337</v>
      </c>
      <c r="G41" s="100">
        <f>IFERROR(VLOOKUP(Tablo519[[#This Row],[ÜRÜN KODU]],YMKODLARI!$A$1:$K$363,3,0)," ")</f>
        <v>2</v>
      </c>
      <c r="H41" s="100">
        <f>IFERROR(VLOOKUP(Tablo519[[#This Row],[ÜRÜN KODU]],YMKODLARI!$A$1:$K$363,4,0)," ")</f>
        <v>23</v>
      </c>
      <c r="I41" s="100">
        <v>983</v>
      </c>
      <c r="J41" s="100" t="str">
        <f>IFERROR(VLOOKUP(Tablo519[[#This Row],[ÜRÜN KODU]],YMKODLARI!$A$1:$K$363,9,0)," ")</f>
        <v>MAX 3600</v>
      </c>
      <c r="K41" s="100" t="str">
        <f>IFERROR(VLOOKUP(Tablo519[[#This Row],[BOYA KODU]],Tablo14[#All],4,0)," ")</f>
        <v>MAVİ</v>
      </c>
      <c r="L41" s="100">
        <f>IFERROR(VLOOKUP(Tablo519[[#This Row],[BOYA KODU]],Tablo14[#All],6,0)," ")</f>
        <v>1.4999999999999999E-2</v>
      </c>
      <c r="M41" s="100">
        <f t="shared" si="0"/>
        <v>247.71600000000001</v>
      </c>
      <c r="N41" s="100" t="str">
        <f>IFERROR(VLOOKUP(Tablo519[[#This Row],[ÜRÜN KODU]],YMKODLARI!$A$1:$K$363,8,0)," ")</f>
        <v>HM 001</v>
      </c>
      <c r="O41" s="100" t="str">
        <f>IFERROR(VLOOKUP(Tablo519[[#This Row],[HAMMADDE KODU]],Tablo1[#All],3,0)," ")</f>
        <v>CAPILENE</v>
      </c>
      <c r="P41" s="100" t="str">
        <f>IFERROR(VLOOKUP(Tablo519[[#This Row],[HAMMADDE KODU]],Tablo1[#All],4,0)," ")</f>
        <v>PİNHAS</v>
      </c>
      <c r="Q41" s="100">
        <f>IFERROR(VLOOKUP(Tablo519[[#This Row],[ÜRÜN KODU]],YMKODLARI!$A$1:$K$363,5,0)," ")</f>
        <v>16.8</v>
      </c>
      <c r="R41" s="100">
        <f>IFERROR(VLOOKUP(Tablo519[[#This Row],[ÜRÜN KODU]],YMKODLARI!$A$1:$K$363,6,0)," ")</f>
        <v>16</v>
      </c>
      <c r="S41" s="100">
        <f>IFERROR(Tablo519[[#This Row],[YOLLUK HARİÇ BASKI GRAMI]]/Tablo519[[#This Row],[KALIP GÖZ ADEDİ]]," ")</f>
        <v>8</v>
      </c>
      <c r="T41" s="100">
        <f t="shared" si="2"/>
        <v>0.80000000000000071</v>
      </c>
      <c r="U41" s="100">
        <v>1.2</v>
      </c>
      <c r="V41" s="100">
        <f t="shared" si="8"/>
        <v>16.928000000000001</v>
      </c>
      <c r="W41" s="101">
        <f t="shared" si="3"/>
        <v>24.3125</v>
      </c>
      <c r="X41" s="102">
        <f t="shared" si="4"/>
        <v>7.5</v>
      </c>
      <c r="Y41" s="100">
        <f t="shared" si="5"/>
        <v>6.2802777777777781</v>
      </c>
      <c r="Z41" s="100">
        <f t="shared" si="6"/>
        <v>1966</v>
      </c>
    </row>
    <row r="42" spans="1:26">
      <c r="A42" s="100" t="s">
        <v>218</v>
      </c>
      <c r="B42" s="108" t="str">
        <f>IFERROR(VLOOKUP(Tablo519[[#This Row],[ÜRÜN KODU]],YMKODLARI!$A$1:$K$363,2,0)," ")</f>
        <v>GENİŞ AĞIZ BİBERON KULP</v>
      </c>
      <c r="C42" s="99">
        <v>43915</v>
      </c>
      <c r="D42" s="100" t="s">
        <v>37</v>
      </c>
      <c r="E42" s="101">
        <v>0.83333333333333337</v>
      </c>
      <c r="F42" s="101">
        <v>0.98958333333333337</v>
      </c>
      <c r="G42" s="100">
        <f>IFERROR(VLOOKUP(Tablo519[[#This Row],[ÜRÜN KODU]],YMKODLARI!$A$1:$K$363,3,0)," ")</f>
        <v>2</v>
      </c>
      <c r="H42" s="100">
        <f>IFERROR(VLOOKUP(Tablo519[[#This Row],[ÜRÜN KODU]],YMKODLARI!$A$1:$K$363,4,0)," ")</f>
        <v>23</v>
      </c>
      <c r="I42" s="100">
        <v>591</v>
      </c>
      <c r="J42" s="100" t="str">
        <f>IFERROR(VLOOKUP(Tablo519[[#This Row],[ÜRÜN KODU]],YMKODLARI!$A$1:$K$363,9,0)," ")</f>
        <v>MAX 3600</v>
      </c>
      <c r="K42" s="100" t="str">
        <f>IFERROR(VLOOKUP(Tablo519[[#This Row],[BOYA KODU]],Tablo14[#All],4,0)," ")</f>
        <v>MAVİ</v>
      </c>
      <c r="L42" s="100">
        <f>IFERROR(VLOOKUP(Tablo519[[#This Row],[BOYA KODU]],Tablo14[#All],6,0)," ")</f>
        <v>1.4999999999999999E-2</v>
      </c>
      <c r="M42" s="100">
        <f t="shared" si="0"/>
        <v>148.93200000000002</v>
      </c>
      <c r="N42" s="100" t="str">
        <f>IFERROR(VLOOKUP(Tablo519[[#This Row],[ÜRÜN KODU]],YMKODLARI!$A$1:$K$363,8,0)," ")</f>
        <v>HM 001</v>
      </c>
      <c r="O42" s="100" t="str">
        <f>IFERROR(VLOOKUP(Tablo519[[#This Row],[HAMMADDE KODU]],Tablo1[#All],3,0)," ")</f>
        <v>CAPILENE</v>
      </c>
      <c r="P42" s="100" t="str">
        <f>IFERROR(VLOOKUP(Tablo519[[#This Row],[HAMMADDE KODU]],Tablo1[#All],4,0)," ")</f>
        <v>PİNHAS</v>
      </c>
      <c r="Q42" s="100">
        <f>IFERROR(VLOOKUP(Tablo519[[#This Row],[ÜRÜN KODU]],YMKODLARI!$A$1:$K$363,5,0)," ")</f>
        <v>16.8</v>
      </c>
      <c r="R42" s="100">
        <f>IFERROR(VLOOKUP(Tablo519[[#This Row],[ÜRÜN KODU]],YMKODLARI!$A$1:$K$363,6,0)," ")</f>
        <v>16</v>
      </c>
      <c r="S42" s="100">
        <f>IFERROR(Tablo519[[#This Row],[YOLLUK HARİÇ BASKI GRAMI]]/Tablo519[[#This Row],[KALIP GÖZ ADEDİ]]," ")</f>
        <v>8</v>
      </c>
      <c r="T42" s="100">
        <f t="shared" si="2"/>
        <v>0.80000000000000071</v>
      </c>
      <c r="U42" s="100">
        <v>1.8</v>
      </c>
      <c r="V42" s="100">
        <f t="shared" ref="V42:V105" si="9">IFERROR(U42+(R42*I42) /1000," ")</f>
        <v>11.256</v>
      </c>
      <c r="W42" s="101">
        <f t="shared" si="3"/>
        <v>24.15625</v>
      </c>
      <c r="X42" s="102">
        <f t="shared" si="4"/>
        <v>3.75</v>
      </c>
      <c r="Y42" s="100">
        <f t="shared" si="5"/>
        <v>3.7758333333333334</v>
      </c>
      <c r="Z42" s="100">
        <f t="shared" si="6"/>
        <v>1182</v>
      </c>
    </row>
    <row r="43" spans="1:26">
      <c r="A43" s="100" t="s">
        <v>219</v>
      </c>
      <c r="B43" s="108" t="str">
        <f>IFERROR(VLOOKUP(Tablo519[[#This Row],[ÜRÜN KODU]],YMKODLARI!$A$1:$K$363,2,0)," ")</f>
        <v>GENİŞ AĞIZ BİBERON KULP</v>
      </c>
      <c r="C43" s="99">
        <v>43915</v>
      </c>
      <c r="D43" s="100" t="s">
        <v>37</v>
      </c>
      <c r="E43" s="101">
        <v>1.0416666666666666E-2</v>
      </c>
      <c r="F43" s="101">
        <v>0.33333333333333331</v>
      </c>
      <c r="G43" s="100">
        <f>IFERROR(VLOOKUP(Tablo519[[#This Row],[ÜRÜN KODU]],YMKODLARI!$A$1:$K$363,3,0)," ")</f>
        <v>2</v>
      </c>
      <c r="H43" s="100">
        <f>IFERROR(VLOOKUP(Tablo519[[#This Row],[ÜRÜN KODU]],YMKODLARI!$A$1:$K$363,4,0)," ")</f>
        <v>23</v>
      </c>
      <c r="I43" s="100">
        <v>1217</v>
      </c>
      <c r="J43" s="100">
        <f>IFERROR(VLOOKUP(Tablo519[[#This Row],[ÜRÜN KODU]],YMKODLARI!$A$1:$K$363,9,0)," ")</f>
        <v>3409</v>
      </c>
      <c r="K43" s="100" t="str">
        <f>IFERROR(VLOOKUP(Tablo519[[#This Row],[BOYA KODU]],Tablo14[#All],4,0)," ")</f>
        <v>PEMBE</v>
      </c>
      <c r="L43" s="100">
        <f>IFERROR(VLOOKUP(Tablo519[[#This Row],[BOYA KODU]],Tablo14[#All],6,0)," ")</f>
        <v>5.0000000000000001E-3</v>
      </c>
      <c r="M43" s="100">
        <f t="shared" si="0"/>
        <v>102.22800000000001</v>
      </c>
      <c r="N43" s="100" t="str">
        <f>IFERROR(VLOOKUP(Tablo519[[#This Row],[ÜRÜN KODU]],YMKODLARI!$A$1:$K$363,8,0)," ")</f>
        <v>HM 001</v>
      </c>
      <c r="O43" s="100" t="str">
        <f>IFERROR(VLOOKUP(Tablo519[[#This Row],[HAMMADDE KODU]],Tablo1[#All],3,0)," ")</f>
        <v>CAPILENE</v>
      </c>
      <c r="P43" s="100" t="str">
        <f>IFERROR(VLOOKUP(Tablo519[[#This Row],[HAMMADDE KODU]],Tablo1[#All],4,0)," ")</f>
        <v>PİNHAS</v>
      </c>
      <c r="Q43" s="100">
        <f>IFERROR(VLOOKUP(Tablo519[[#This Row],[ÜRÜN KODU]],YMKODLARI!$A$1:$K$363,5,0)," ")</f>
        <v>16.8</v>
      </c>
      <c r="R43" s="100">
        <f>IFERROR(VLOOKUP(Tablo519[[#This Row],[ÜRÜN KODU]],YMKODLARI!$A$1:$K$363,6,0)," ")</f>
        <v>16</v>
      </c>
      <c r="S43" s="100">
        <f>IFERROR(Tablo519[[#This Row],[YOLLUK HARİÇ BASKI GRAMI]]/Tablo519[[#This Row],[KALIP GÖZ ADEDİ]]," ")</f>
        <v>8</v>
      </c>
      <c r="T43" s="100">
        <f t="shared" si="2"/>
        <v>0.80000000000000071</v>
      </c>
      <c r="U43" s="100">
        <v>1.3</v>
      </c>
      <c r="V43" s="100">
        <f t="shared" si="9"/>
        <v>20.772000000000002</v>
      </c>
      <c r="W43" s="101">
        <f t="shared" si="3"/>
        <v>24.322916666666668</v>
      </c>
      <c r="X43" s="102">
        <f t="shared" si="4"/>
        <v>7.7500000000000284</v>
      </c>
      <c r="Y43" s="100">
        <f t="shared" si="5"/>
        <v>7.7752777777777782</v>
      </c>
      <c r="Z43" s="100">
        <f t="shared" si="6"/>
        <v>2434</v>
      </c>
    </row>
    <row r="44" spans="1:26">
      <c r="A44" s="100" t="s">
        <v>219</v>
      </c>
      <c r="B44" s="108" t="str">
        <f>IFERROR(VLOOKUP(Tablo519[[#This Row],[ÜRÜN KODU]],YMKODLARI!$A$1:$K$363,2,0)," ")</f>
        <v>GENİŞ AĞIZ BİBERON KULP</v>
      </c>
      <c r="C44" s="99">
        <v>43916</v>
      </c>
      <c r="D44" s="100" t="s">
        <v>29</v>
      </c>
      <c r="E44" s="101">
        <v>0.33333333333333331</v>
      </c>
      <c r="F44" s="101">
        <v>0.41041666666666665</v>
      </c>
      <c r="G44" s="100">
        <f>IFERROR(VLOOKUP(Tablo519[[#This Row],[ÜRÜN KODU]],YMKODLARI!$A$1:$K$363,3,0)," ")</f>
        <v>2</v>
      </c>
      <c r="H44" s="100">
        <f>IFERROR(VLOOKUP(Tablo519[[#This Row],[ÜRÜN KODU]],YMKODLARI!$A$1:$K$363,4,0)," ")</f>
        <v>23</v>
      </c>
      <c r="I44" s="100">
        <v>273</v>
      </c>
      <c r="J44" s="100">
        <f>IFERROR(VLOOKUP(Tablo519[[#This Row],[ÜRÜN KODU]],YMKODLARI!$A$1:$K$363,9,0)," ")</f>
        <v>3409</v>
      </c>
      <c r="K44" s="100" t="str">
        <f>IFERROR(VLOOKUP(Tablo519[[#This Row],[BOYA KODU]],Tablo14[#All],4,0)," ")</f>
        <v>PEMBE</v>
      </c>
      <c r="L44" s="100">
        <f>IFERROR(VLOOKUP(Tablo519[[#This Row],[BOYA KODU]],Tablo14[#All],6,0)," ")</f>
        <v>5.0000000000000001E-3</v>
      </c>
      <c r="M44" s="100">
        <f t="shared" si="0"/>
        <v>22.932000000000002</v>
      </c>
      <c r="N44" s="100" t="str">
        <f>IFERROR(VLOOKUP(Tablo519[[#This Row],[ÜRÜN KODU]],YMKODLARI!$A$1:$K$363,8,0)," ")</f>
        <v>HM 001</v>
      </c>
      <c r="O44" s="100" t="str">
        <f>IFERROR(VLOOKUP(Tablo519[[#This Row],[HAMMADDE KODU]],Tablo1[#All],3,0)," ")</f>
        <v>CAPILENE</v>
      </c>
      <c r="P44" s="100" t="str">
        <f>IFERROR(VLOOKUP(Tablo519[[#This Row],[HAMMADDE KODU]],Tablo1[#All],4,0)," ")</f>
        <v>PİNHAS</v>
      </c>
      <c r="Q44" s="100">
        <f>IFERROR(VLOOKUP(Tablo519[[#This Row],[ÜRÜN KODU]],YMKODLARI!$A$1:$K$363,5,0)," ")</f>
        <v>16.8</v>
      </c>
      <c r="R44" s="100">
        <f>IFERROR(VLOOKUP(Tablo519[[#This Row],[ÜRÜN KODU]],YMKODLARI!$A$1:$K$363,6,0)," ")</f>
        <v>16</v>
      </c>
      <c r="S44" s="100">
        <f>IFERROR(Tablo519[[#This Row],[YOLLUK HARİÇ BASKI GRAMI]]/Tablo519[[#This Row],[KALIP GÖZ ADEDİ]]," ")</f>
        <v>8</v>
      </c>
      <c r="T44" s="100">
        <f t="shared" si="2"/>
        <v>0.80000000000000071</v>
      </c>
      <c r="U44" s="100">
        <v>3.1</v>
      </c>
      <c r="V44" s="100">
        <f t="shared" si="9"/>
        <v>7.468</v>
      </c>
      <c r="W44" s="101">
        <f t="shared" si="3"/>
        <v>24.077083333333334</v>
      </c>
      <c r="X44" s="102">
        <f t="shared" si="4"/>
        <v>1.8500000000000227</v>
      </c>
      <c r="Y44" s="100">
        <f t="shared" si="5"/>
        <v>1.7441666666666666</v>
      </c>
      <c r="Z44" s="100">
        <f t="shared" si="6"/>
        <v>546</v>
      </c>
    </row>
    <row r="45" spans="1:26">
      <c r="A45" s="100" t="s">
        <v>130</v>
      </c>
      <c r="B45" s="108" t="str">
        <f>IFERROR(VLOOKUP(Tablo519[[#This Row],[ÜRÜN KODU]],YMKODLARI!$A$1:$K$363,2,0)," ")</f>
        <v>DAMAK EMZİK TIPA</v>
      </c>
      <c r="C45" s="99">
        <v>43916</v>
      </c>
      <c r="D45" s="100" t="s">
        <v>29</v>
      </c>
      <c r="E45" s="101">
        <v>0.54166666666666663</v>
      </c>
      <c r="F45" s="101">
        <v>0.83333333333333337</v>
      </c>
      <c r="G45" s="100">
        <f>IFERROR(VLOOKUP(Tablo519[[#This Row],[ÜRÜN KODU]],YMKODLARI!$A$1:$K$363,3,0)," ")</f>
        <v>8</v>
      </c>
      <c r="H45" s="100">
        <f>IFERROR(VLOOKUP(Tablo519[[#This Row],[ÜRÜN KODU]],YMKODLARI!$A$1:$K$363,4,0)," ")</f>
        <v>20</v>
      </c>
      <c r="I45" s="100">
        <v>916</v>
      </c>
      <c r="J45" s="100">
        <f>IFERROR(VLOOKUP(Tablo519[[#This Row],[ÜRÜN KODU]],YMKODLARI!$A$1:$K$363,9,0)," ")</f>
        <v>3332</v>
      </c>
      <c r="K45" s="100" t="str">
        <f>IFERROR(VLOOKUP(Tablo519[[#This Row],[BOYA KODU]],Tablo14[#All],4,0)," ")</f>
        <v>E.PEMBE</v>
      </c>
      <c r="L45" s="100">
        <f>IFERROR(VLOOKUP(Tablo519[[#This Row],[BOYA KODU]],Tablo14[#All],6,0)," ")</f>
        <v>5.0000000000000001E-3</v>
      </c>
      <c r="M45" s="100">
        <f t="shared" si="0"/>
        <v>78.775999999999996</v>
      </c>
      <c r="N45" s="100" t="str">
        <f>IFERROR(VLOOKUP(Tablo519[[#This Row],[ÜRÜN KODU]],YMKODLARI!$A$1:$K$363,8,0)," ")</f>
        <v>HM 002</v>
      </c>
      <c r="O45" s="100" t="str">
        <f>IFERROR(VLOOKUP(Tablo519[[#This Row],[HAMMADDE KODU]],Tablo1[#All],3,0)," ")</f>
        <v>NOVAREX</v>
      </c>
      <c r="P45" s="100" t="str">
        <f>IFERROR(VLOOKUP(Tablo519[[#This Row],[HAMMADDE KODU]],Tablo1[#All],4,0)," ")</f>
        <v>PİNHAS</v>
      </c>
      <c r="Q45" s="100">
        <f>IFERROR(VLOOKUP(Tablo519[[#This Row],[ÜRÜN KODU]],YMKODLARI!$A$1:$K$363,5,0)," ")</f>
        <v>17.2</v>
      </c>
      <c r="R45" s="100">
        <f>IFERROR(VLOOKUP(Tablo519[[#This Row],[ÜRÜN KODU]],YMKODLARI!$A$1:$K$363,6,0)," ")</f>
        <v>15.4</v>
      </c>
      <c r="S45" s="100">
        <f>IFERROR(Tablo519[[#This Row],[YOLLUK HARİÇ BASKI GRAMI]]/Tablo519[[#This Row],[KALIP GÖZ ADEDİ]]," ")</f>
        <v>1.925</v>
      </c>
      <c r="T45" s="100">
        <f t="shared" si="2"/>
        <v>1.7999999999999989</v>
      </c>
      <c r="U45" s="100"/>
      <c r="V45" s="100">
        <f t="shared" si="9"/>
        <v>14.106399999999999</v>
      </c>
      <c r="W45" s="101">
        <f t="shared" si="3"/>
        <v>24.291666666666668</v>
      </c>
      <c r="X45" s="102">
        <f t="shared" si="4"/>
        <v>7.0000000000000284</v>
      </c>
      <c r="Y45" s="100">
        <f t="shared" si="5"/>
        <v>5.0888888888888886</v>
      </c>
      <c r="Z45" s="100">
        <f t="shared" si="6"/>
        <v>7328</v>
      </c>
    </row>
    <row r="46" spans="1:26">
      <c r="A46" s="100" t="s">
        <v>130</v>
      </c>
      <c r="B46" s="108" t="str">
        <f>IFERROR(VLOOKUP(Tablo519[[#This Row],[ÜRÜN KODU]],YMKODLARI!$A$1:$K$363,2,0)," ")</f>
        <v>DAMAK EMZİK TIPA</v>
      </c>
      <c r="C46" s="99">
        <v>43916</v>
      </c>
      <c r="D46" s="100" t="s">
        <v>36</v>
      </c>
      <c r="E46" s="101">
        <v>0.83333333333333337</v>
      </c>
      <c r="F46" s="101">
        <v>0.33333333333333331</v>
      </c>
      <c r="G46" s="100">
        <v>6</v>
      </c>
      <c r="H46" s="100">
        <f>IFERROR(VLOOKUP(Tablo519[[#This Row],[ÜRÜN KODU]],YMKODLARI!$A$1:$K$363,4,0)," ")</f>
        <v>20</v>
      </c>
      <c r="I46" s="100">
        <v>1397</v>
      </c>
      <c r="J46" s="100">
        <f>IFERROR(VLOOKUP(Tablo519[[#This Row],[ÜRÜN KODU]],YMKODLARI!$A$1:$K$363,9,0)," ")</f>
        <v>3332</v>
      </c>
      <c r="K46" s="100" t="str">
        <f>IFERROR(VLOOKUP(Tablo519[[#This Row],[BOYA KODU]],Tablo14[#All],4,0)," ")</f>
        <v>E.PEMBE</v>
      </c>
      <c r="L46" s="100">
        <f>IFERROR(VLOOKUP(Tablo519[[#This Row],[BOYA KODU]],Tablo14[#All],6,0)," ")</f>
        <v>5.0000000000000001E-3</v>
      </c>
      <c r="M46" s="100">
        <f t="shared" si="0"/>
        <v>120.142</v>
      </c>
      <c r="N46" s="100" t="str">
        <f>IFERROR(VLOOKUP(Tablo519[[#This Row],[ÜRÜN KODU]],YMKODLARI!$A$1:$K$363,8,0)," ")</f>
        <v>HM 002</v>
      </c>
      <c r="O46" s="100" t="str">
        <f>IFERROR(VLOOKUP(Tablo519[[#This Row],[HAMMADDE KODU]],Tablo1[#All],3,0)," ")</f>
        <v>NOVAREX</v>
      </c>
      <c r="P46" s="100" t="str">
        <f>IFERROR(VLOOKUP(Tablo519[[#This Row],[HAMMADDE KODU]],Tablo1[#All],4,0)," ")</f>
        <v>PİNHAS</v>
      </c>
      <c r="Q46" s="100">
        <f>IFERROR(VLOOKUP(Tablo519[[#This Row],[ÜRÜN KODU]],YMKODLARI!$A$1:$K$363,5,0)," ")</f>
        <v>17.2</v>
      </c>
      <c r="R46" s="100">
        <f>IFERROR(VLOOKUP(Tablo519[[#This Row],[ÜRÜN KODU]],YMKODLARI!$A$1:$K$363,6,0)," ")</f>
        <v>15.4</v>
      </c>
      <c r="S46" s="100">
        <f>IFERROR(Tablo519[[#This Row],[YOLLUK HARİÇ BASKI GRAMI]]/Tablo519[[#This Row],[KALIP GÖZ ADEDİ]]," ")</f>
        <v>2.5666666666666669</v>
      </c>
      <c r="T46" s="100">
        <f t="shared" si="2"/>
        <v>1.7999999999999989</v>
      </c>
      <c r="U46" s="100">
        <v>7.6</v>
      </c>
      <c r="V46" s="100">
        <f t="shared" si="9"/>
        <v>29.113799999999998</v>
      </c>
      <c r="W46" s="101">
        <f t="shared" si="3"/>
        <v>23.5</v>
      </c>
      <c r="X46" s="102">
        <f t="shared" si="4"/>
        <v>12</v>
      </c>
      <c r="Y46" s="100">
        <f t="shared" si="5"/>
        <v>7.7611111111111111</v>
      </c>
      <c r="Z46" s="100">
        <f t="shared" si="6"/>
        <v>8382</v>
      </c>
    </row>
    <row r="47" spans="1:26">
      <c r="A47" s="100" t="s">
        <v>130</v>
      </c>
      <c r="B47" s="108" t="str">
        <f>IFERROR(VLOOKUP(Tablo519[[#This Row],[ÜRÜN KODU]],YMKODLARI!$A$1:$K$363,2,0)," ")</f>
        <v>DAMAK EMZİK TIPA</v>
      </c>
      <c r="C47" s="99">
        <v>43917</v>
      </c>
      <c r="D47" s="100" t="s">
        <v>29</v>
      </c>
      <c r="E47" s="101">
        <v>0.33333333333333331</v>
      </c>
      <c r="F47" s="101">
        <v>0.5</v>
      </c>
      <c r="G47" s="100">
        <v>6</v>
      </c>
      <c r="H47" s="100">
        <f>IFERROR(VLOOKUP(Tablo519[[#This Row],[ÜRÜN KODU]],YMKODLARI!$A$1:$K$363,4,0)," ")</f>
        <v>20</v>
      </c>
      <c r="I47" s="100">
        <v>487</v>
      </c>
      <c r="J47" s="100">
        <f>IFERROR(VLOOKUP(Tablo519[[#This Row],[ÜRÜN KODU]],YMKODLARI!$A$1:$K$363,9,0)," ")</f>
        <v>3332</v>
      </c>
      <c r="K47" s="100" t="str">
        <f>IFERROR(VLOOKUP(Tablo519[[#This Row],[BOYA KODU]],Tablo14[#All],4,0)," ")</f>
        <v>E.PEMBE</v>
      </c>
      <c r="L47" s="100">
        <f>IFERROR(VLOOKUP(Tablo519[[#This Row],[BOYA KODU]],Tablo14[#All],6,0)," ")</f>
        <v>5.0000000000000001E-3</v>
      </c>
      <c r="M47" s="100">
        <f t="shared" si="0"/>
        <v>41.881999999999998</v>
      </c>
      <c r="N47" s="100" t="str">
        <f>IFERROR(VLOOKUP(Tablo519[[#This Row],[ÜRÜN KODU]],YMKODLARI!$A$1:$K$363,8,0)," ")</f>
        <v>HM 002</v>
      </c>
      <c r="O47" s="100" t="str">
        <f>IFERROR(VLOOKUP(Tablo519[[#This Row],[HAMMADDE KODU]],Tablo1[#All],3,0)," ")</f>
        <v>NOVAREX</v>
      </c>
      <c r="P47" s="100" t="str">
        <f>IFERROR(VLOOKUP(Tablo519[[#This Row],[HAMMADDE KODU]],Tablo1[#All],4,0)," ")</f>
        <v>PİNHAS</v>
      </c>
      <c r="Q47" s="100">
        <f>IFERROR(VLOOKUP(Tablo519[[#This Row],[ÜRÜN KODU]],YMKODLARI!$A$1:$K$363,5,0)," ")</f>
        <v>17.2</v>
      </c>
      <c r="R47" s="100">
        <f>IFERROR(VLOOKUP(Tablo519[[#This Row],[ÜRÜN KODU]],YMKODLARI!$A$1:$K$363,6,0)," ")</f>
        <v>15.4</v>
      </c>
      <c r="S47" s="100">
        <f>IFERROR(Tablo519[[#This Row],[YOLLUK HARİÇ BASKI GRAMI]]/Tablo519[[#This Row],[KALIP GÖZ ADEDİ]]," ")</f>
        <v>2.5666666666666669</v>
      </c>
      <c r="T47" s="100">
        <f t="shared" si="2"/>
        <v>1.7999999999999989</v>
      </c>
      <c r="U47" s="100"/>
      <c r="V47" s="100">
        <f t="shared" si="9"/>
        <v>7.4998000000000005</v>
      </c>
      <c r="W47" s="101">
        <f t="shared" si="3"/>
        <v>24.166666666666668</v>
      </c>
      <c r="X47" s="102">
        <f t="shared" si="4"/>
        <v>4.0000000000000284</v>
      </c>
      <c r="Y47" s="100">
        <f t="shared" si="5"/>
        <v>2.7055555555555557</v>
      </c>
      <c r="Z47" s="100">
        <f t="shared" si="6"/>
        <v>2922</v>
      </c>
    </row>
    <row r="48" spans="1:26">
      <c r="A48" s="100" t="s">
        <v>130</v>
      </c>
      <c r="B48" s="108" t="str">
        <f>IFERROR(VLOOKUP(Tablo519[[#This Row],[ÜRÜN KODU]],YMKODLARI!$A$1:$K$363,2,0)," ")</f>
        <v>DAMAK EMZİK TIPA</v>
      </c>
      <c r="C48" s="99">
        <v>43917</v>
      </c>
      <c r="D48" s="100" t="s">
        <v>29</v>
      </c>
      <c r="E48" s="101">
        <v>0.5</v>
      </c>
      <c r="F48" s="101">
        <v>0.83333333333333337</v>
      </c>
      <c r="G48" s="100">
        <f>IFERROR(VLOOKUP(Tablo519[[#This Row],[ÜRÜN KODU]],YMKODLARI!$A$1:$K$363,3,0)," ")</f>
        <v>8</v>
      </c>
      <c r="H48" s="100">
        <f>IFERROR(VLOOKUP(Tablo519[[#This Row],[ÜRÜN KODU]],YMKODLARI!$A$1:$K$363,4,0)," ")</f>
        <v>20</v>
      </c>
      <c r="I48" s="100">
        <v>760</v>
      </c>
      <c r="J48" s="100">
        <f>IFERROR(VLOOKUP(Tablo519[[#This Row],[ÜRÜN KODU]],YMKODLARI!$A$1:$K$363,9,0)," ")</f>
        <v>3332</v>
      </c>
      <c r="K48" s="100" t="str">
        <f>IFERROR(VLOOKUP(Tablo519[[#This Row],[BOYA KODU]],Tablo14[#All],4,0)," ")</f>
        <v>E.PEMBE</v>
      </c>
      <c r="L48" s="100">
        <f>IFERROR(VLOOKUP(Tablo519[[#This Row],[BOYA KODU]],Tablo14[#All],6,0)," ")</f>
        <v>5.0000000000000001E-3</v>
      </c>
      <c r="M48" s="100">
        <f t="shared" si="0"/>
        <v>65.36</v>
      </c>
      <c r="N48" s="100" t="str">
        <f>IFERROR(VLOOKUP(Tablo519[[#This Row],[ÜRÜN KODU]],YMKODLARI!$A$1:$K$363,8,0)," ")</f>
        <v>HM 002</v>
      </c>
      <c r="O48" s="100" t="str">
        <f>IFERROR(VLOOKUP(Tablo519[[#This Row],[HAMMADDE KODU]],Tablo1[#All],3,0)," ")</f>
        <v>NOVAREX</v>
      </c>
      <c r="P48" s="100" t="str">
        <f>IFERROR(VLOOKUP(Tablo519[[#This Row],[HAMMADDE KODU]],Tablo1[#All],4,0)," ")</f>
        <v>PİNHAS</v>
      </c>
      <c r="Q48" s="100">
        <f>IFERROR(VLOOKUP(Tablo519[[#This Row],[ÜRÜN KODU]],YMKODLARI!$A$1:$K$363,5,0)," ")</f>
        <v>17.2</v>
      </c>
      <c r="R48" s="100">
        <f>IFERROR(VLOOKUP(Tablo519[[#This Row],[ÜRÜN KODU]],YMKODLARI!$A$1:$K$363,6,0)," ")</f>
        <v>15.4</v>
      </c>
      <c r="S48" s="100">
        <f>IFERROR(Tablo519[[#This Row],[YOLLUK HARİÇ BASKI GRAMI]]/Tablo519[[#This Row],[KALIP GÖZ ADEDİ]]," ")</f>
        <v>1.925</v>
      </c>
      <c r="T48" s="100">
        <f t="shared" si="2"/>
        <v>1.7999999999999989</v>
      </c>
      <c r="U48" s="100">
        <v>5.6</v>
      </c>
      <c r="V48" s="100">
        <f t="shared" si="9"/>
        <v>17.304000000000002</v>
      </c>
      <c r="W48" s="101">
        <f t="shared" si="3"/>
        <v>24.333333333333332</v>
      </c>
      <c r="X48" s="102">
        <f t="shared" si="4"/>
        <v>7.9999999999999716</v>
      </c>
      <c r="Y48" s="100">
        <f t="shared" si="5"/>
        <v>4.2222222222222223</v>
      </c>
      <c r="Z48" s="100">
        <f t="shared" si="6"/>
        <v>6080</v>
      </c>
    </row>
    <row r="49" spans="1:26">
      <c r="A49" s="100" t="s">
        <v>130</v>
      </c>
      <c r="B49" s="108" t="str">
        <f>IFERROR(VLOOKUP(Tablo519[[#This Row],[ÜRÜN KODU]],YMKODLARI!$A$1:$K$363,2,0)," ")</f>
        <v>DAMAK EMZİK TIPA</v>
      </c>
      <c r="C49" s="99">
        <v>43920</v>
      </c>
      <c r="D49" s="100" t="s">
        <v>29</v>
      </c>
      <c r="E49" s="101">
        <v>0.47916666666666669</v>
      </c>
      <c r="F49" s="101">
        <v>0.83333333333333337</v>
      </c>
      <c r="G49" s="100">
        <f>IFERROR(VLOOKUP(Tablo519[[#This Row],[ÜRÜN KODU]],YMKODLARI!$A$1:$K$363,3,0)," ")</f>
        <v>8</v>
      </c>
      <c r="H49" s="100">
        <f>IFERROR(VLOOKUP(Tablo519[[#This Row],[ÜRÜN KODU]],YMKODLARI!$A$1:$K$363,4,0)," ")</f>
        <v>20</v>
      </c>
      <c r="I49" s="100">
        <v>912</v>
      </c>
      <c r="J49" s="100">
        <f>IFERROR(VLOOKUP(Tablo519[[#This Row],[ÜRÜN KODU]],YMKODLARI!$A$1:$K$363,9,0)," ")</f>
        <v>3332</v>
      </c>
      <c r="K49" s="100" t="str">
        <f>IFERROR(VLOOKUP(Tablo519[[#This Row],[BOYA KODU]],Tablo14[#All],4,0)," ")</f>
        <v>E.PEMBE</v>
      </c>
      <c r="L49" s="100">
        <f>IFERROR(VLOOKUP(Tablo519[[#This Row],[BOYA KODU]],Tablo14[#All],6,0)," ")</f>
        <v>5.0000000000000001E-3</v>
      </c>
      <c r="M49" s="100">
        <f t="shared" si="0"/>
        <v>78.432000000000002</v>
      </c>
      <c r="N49" s="100" t="str">
        <f>IFERROR(VLOOKUP(Tablo519[[#This Row],[ÜRÜN KODU]],YMKODLARI!$A$1:$K$363,8,0)," ")</f>
        <v>HM 002</v>
      </c>
      <c r="O49" s="100" t="str">
        <f>IFERROR(VLOOKUP(Tablo519[[#This Row],[HAMMADDE KODU]],Tablo1[#All],3,0)," ")</f>
        <v>NOVAREX</v>
      </c>
      <c r="P49" s="100" t="str">
        <f>IFERROR(VLOOKUP(Tablo519[[#This Row],[HAMMADDE KODU]],Tablo1[#All],4,0)," ")</f>
        <v>PİNHAS</v>
      </c>
      <c r="Q49" s="100">
        <f>IFERROR(VLOOKUP(Tablo519[[#This Row],[ÜRÜN KODU]],YMKODLARI!$A$1:$K$363,5,0)," ")</f>
        <v>17.2</v>
      </c>
      <c r="R49" s="100">
        <f>IFERROR(VLOOKUP(Tablo519[[#This Row],[ÜRÜN KODU]],YMKODLARI!$A$1:$K$363,6,0)," ")</f>
        <v>15.4</v>
      </c>
      <c r="S49" s="100">
        <f>IFERROR(Tablo519[[#This Row],[YOLLUK HARİÇ BASKI GRAMI]]/Tablo519[[#This Row],[KALIP GÖZ ADEDİ]]," ")</f>
        <v>1.925</v>
      </c>
      <c r="T49" s="100">
        <f t="shared" si="2"/>
        <v>1.7999999999999989</v>
      </c>
      <c r="U49" s="100">
        <v>2.2999999999999998</v>
      </c>
      <c r="V49" s="100">
        <f t="shared" si="9"/>
        <v>16.344799999999999</v>
      </c>
      <c r="W49" s="101">
        <f t="shared" si="3"/>
        <v>24.354166666666668</v>
      </c>
      <c r="X49" s="102">
        <f t="shared" si="4"/>
        <v>8.5000000000000284</v>
      </c>
      <c r="Y49" s="100">
        <f t="shared" si="5"/>
        <v>5.0666666666666664</v>
      </c>
      <c r="Z49" s="100">
        <f t="shared" si="6"/>
        <v>7296</v>
      </c>
    </row>
    <row r="50" spans="1:26">
      <c r="A50" s="100" t="s">
        <v>130</v>
      </c>
      <c r="B50" s="108" t="str">
        <f>IFERROR(VLOOKUP(Tablo519[[#This Row],[ÜRÜN KODU]],YMKODLARI!$A$1:$K$363,2,0)," ")</f>
        <v>DAMAK EMZİK TIPA</v>
      </c>
      <c r="C50" s="99">
        <v>43920</v>
      </c>
      <c r="D50" s="100" t="s">
        <v>65</v>
      </c>
      <c r="E50" s="101">
        <v>0.83333333333333337</v>
      </c>
      <c r="F50" s="101">
        <v>0.33333333333333331</v>
      </c>
      <c r="G50" s="100">
        <f>IFERROR(VLOOKUP(Tablo519[[#This Row],[ÜRÜN KODU]],YMKODLARI!$A$1:$K$363,3,0)," ")</f>
        <v>8</v>
      </c>
      <c r="H50" s="100">
        <f>IFERROR(VLOOKUP(Tablo519[[#This Row],[ÜRÜN KODU]],YMKODLARI!$A$1:$K$363,4,0)," ")</f>
        <v>20</v>
      </c>
      <c r="I50" s="100">
        <v>1752</v>
      </c>
      <c r="J50" s="100">
        <f>IFERROR(VLOOKUP(Tablo519[[#This Row],[ÜRÜN KODU]],YMKODLARI!$A$1:$K$363,9,0)," ")</f>
        <v>3332</v>
      </c>
      <c r="K50" s="100" t="str">
        <f>IFERROR(VLOOKUP(Tablo519[[#This Row],[BOYA KODU]],Tablo14[#All],4,0)," ")</f>
        <v>E.PEMBE</v>
      </c>
      <c r="L50" s="100">
        <f>IFERROR(VLOOKUP(Tablo519[[#This Row],[BOYA KODU]],Tablo14[#All],6,0)," ")</f>
        <v>5.0000000000000001E-3</v>
      </c>
      <c r="M50" s="100">
        <f t="shared" si="0"/>
        <v>150.672</v>
      </c>
      <c r="N50" s="100" t="str">
        <f>IFERROR(VLOOKUP(Tablo519[[#This Row],[ÜRÜN KODU]],YMKODLARI!$A$1:$K$363,8,0)," ")</f>
        <v>HM 002</v>
      </c>
      <c r="O50" s="100" t="str">
        <f>IFERROR(VLOOKUP(Tablo519[[#This Row],[HAMMADDE KODU]],Tablo1[#All],3,0)," ")</f>
        <v>NOVAREX</v>
      </c>
      <c r="P50" s="100" t="str">
        <f>IFERROR(VLOOKUP(Tablo519[[#This Row],[HAMMADDE KODU]],Tablo1[#All],4,0)," ")</f>
        <v>PİNHAS</v>
      </c>
      <c r="Q50" s="100">
        <f>IFERROR(VLOOKUP(Tablo519[[#This Row],[ÜRÜN KODU]],YMKODLARI!$A$1:$K$363,5,0)," ")</f>
        <v>17.2</v>
      </c>
      <c r="R50" s="100">
        <f>IFERROR(VLOOKUP(Tablo519[[#This Row],[ÜRÜN KODU]],YMKODLARI!$A$1:$K$363,6,0)," ")</f>
        <v>15.4</v>
      </c>
      <c r="S50" s="100">
        <f>IFERROR(Tablo519[[#This Row],[YOLLUK HARİÇ BASKI GRAMI]]/Tablo519[[#This Row],[KALIP GÖZ ADEDİ]]," ")</f>
        <v>1.925</v>
      </c>
      <c r="T50" s="100">
        <f t="shared" si="2"/>
        <v>1.7999999999999989</v>
      </c>
      <c r="U50" s="100">
        <v>5.0999999999999996</v>
      </c>
      <c r="V50" s="100">
        <f t="shared" si="9"/>
        <v>32.080799999999996</v>
      </c>
      <c r="W50" s="101">
        <f t="shared" si="3"/>
        <v>23.5</v>
      </c>
      <c r="X50" s="102">
        <f t="shared" si="4"/>
        <v>12</v>
      </c>
      <c r="Y50" s="100">
        <f t="shared" si="5"/>
        <v>9.7333333333333325</v>
      </c>
      <c r="Z50" s="100">
        <f t="shared" si="6"/>
        <v>14016</v>
      </c>
    </row>
    <row r="51" spans="1:26">
      <c r="A51" s="100" t="s">
        <v>130</v>
      </c>
      <c r="B51" s="108" t="str">
        <f>IFERROR(VLOOKUP(Tablo519[[#This Row],[ÜRÜN KODU]],YMKODLARI!$A$1:$K$363,2,0)," ")</f>
        <v>DAMAK EMZİK TIPA</v>
      </c>
      <c r="C51" s="99">
        <v>43921</v>
      </c>
      <c r="D51" s="100" t="s">
        <v>29</v>
      </c>
      <c r="E51" s="101">
        <v>0.33333333333333331</v>
      </c>
      <c r="F51" s="101">
        <v>0.83333333333333337</v>
      </c>
      <c r="G51" s="100">
        <f>IFERROR(VLOOKUP(Tablo519[[#This Row],[ÜRÜN KODU]],YMKODLARI!$A$1:$K$363,3,0)," ")</f>
        <v>8</v>
      </c>
      <c r="H51" s="100">
        <f>IFERROR(VLOOKUP(Tablo519[[#This Row],[ÜRÜN KODU]],YMKODLARI!$A$1:$K$363,4,0)," ")</f>
        <v>20</v>
      </c>
      <c r="I51" s="100">
        <v>1647</v>
      </c>
      <c r="J51" s="100">
        <f>IFERROR(VLOOKUP(Tablo519[[#This Row],[ÜRÜN KODU]],YMKODLARI!$A$1:$K$363,9,0)," ")</f>
        <v>3332</v>
      </c>
      <c r="K51" s="100" t="str">
        <f>IFERROR(VLOOKUP(Tablo519[[#This Row],[BOYA KODU]],Tablo14[#All],4,0)," ")</f>
        <v>E.PEMBE</v>
      </c>
      <c r="L51" s="100">
        <f>IFERROR(VLOOKUP(Tablo519[[#This Row],[BOYA KODU]],Tablo14[#All],6,0)," ")</f>
        <v>5.0000000000000001E-3</v>
      </c>
      <c r="M51" s="100">
        <f t="shared" si="0"/>
        <v>141.642</v>
      </c>
      <c r="N51" s="100" t="str">
        <f>IFERROR(VLOOKUP(Tablo519[[#This Row],[ÜRÜN KODU]],YMKODLARI!$A$1:$K$363,8,0)," ")</f>
        <v>HM 002</v>
      </c>
      <c r="O51" s="100" t="str">
        <f>IFERROR(VLOOKUP(Tablo519[[#This Row],[HAMMADDE KODU]],Tablo1[#All],3,0)," ")</f>
        <v>NOVAREX</v>
      </c>
      <c r="P51" s="100" t="str">
        <f>IFERROR(VLOOKUP(Tablo519[[#This Row],[HAMMADDE KODU]],Tablo1[#All],4,0)," ")</f>
        <v>PİNHAS</v>
      </c>
      <c r="Q51" s="100">
        <f>IFERROR(VLOOKUP(Tablo519[[#This Row],[ÜRÜN KODU]],YMKODLARI!$A$1:$K$363,5,0)," ")</f>
        <v>17.2</v>
      </c>
      <c r="R51" s="100">
        <f>IFERROR(VLOOKUP(Tablo519[[#This Row],[ÜRÜN KODU]],YMKODLARI!$A$1:$K$363,6,0)," ")</f>
        <v>15.4</v>
      </c>
      <c r="S51" s="100">
        <f>IFERROR(Tablo519[[#This Row],[YOLLUK HARİÇ BASKI GRAMI]]/Tablo519[[#This Row],[KALIP GÖZ ADEDİ]]," ")</f>
        <v>1.925</v>
      </c>
      <c r="T51" s="100">
        <f t="shared" si="2"/>
        <v>1.7999999999999989</v>
      </c>
      <c r="U51" s="100">
        <v>3.3</v>
      </c>
      <c r="V51" s="100">
        <f t="shared" si="9"/>
        <v>28.663799999999998</v>
      </c>
      <c r="W51" s="101">
        <f t="shared" si="3"/>
        <v>24.5</v>
      </c>
      <c r="X51" s="102">
        <f t="shared" si="4"/>
        <v>12</v>
      </c>
      <c r="Y51" s="100">
        <f t="shared" si="5"/>
        <v>9.15</v>
      </c>
      <c r="Z51" s="100">
        <f t="shared" si="6"/>
        <v>13176</v>
      </c>
    </row>
    <row r="52" spans="1:26">
      <c r="A52" s="100" t="s">
        <v>130</v>
      </c>
      <c r="B52" s="108" t="str">
        <f>IFERROR(VLOOKUP(Tablo519[[#This Row],[ÜRÜN KODU]],YMKODLARI!$A$1:$K$363,2,0)," ")</f>
        <v>DAMAK EMZİK TIPA</v>
      </c>
      <c r="C52" s="99">
        <v>43921</v>
      </c>
      <c r="D52" s="100" t="s">
        <v>65</v>
      </c>
      <c r="E52" s="101">
        <v>0.83333333333333337</v>
      </c>
      <c r="F52" s="101">
        <v>0.3125</v>
      </c>
      <c r="G52" s="100">
        <f>IFERROR(VLOOKUP(Tablo519[[#This Row],[ÜRÜN KODU]],YMKODLARI!$A$1:$K$363,3,0)," ")</f>
        <v>8</v>
      </c>
      <c r="H52" s="100">
        <f>IFERROR(VLOOKUP(Tablo519[[#This Row],[ÜRÜN KODU]],YMKODLARI!$A$1:$K$363,4,0)," ")</f>
        <v>20</v>
      </c>
      <c r="I52" s="100">
        <v>1962</v>
      </c>
      <c r="J52" s="100">
        <f>IFERROR(VLOOKUP(Tablo519[[#This Row],[ÜRÜN KODU]],YMKODLARI!$A$1:$K$363,9,0)," ")</f>
        <v>3332</v>
      </c>
      <c r="K52" s="100" t="str">
        <f>IFERROR(VLOOKUP(Tablo519[[#This Row],[BOYA KODU]],Tablo14[#All],4,0)," ")</f>
        <v>E.PEMBE</v>
      </c>
      <c r="L52" s="100">
        <f>IFERROR(VLOOKUP(Tablo519[[#This Row],[BOYA KODU]],Tablo14[#All],6,0)," ")</f>
        <v>5.0000000000000001E-3</v>
      </c>
      <c r="M52" s="100">
        <f t="shared" si="0"/>
        <v>168.732</v>
      </c>
      <c r="N52" s="100" t="str">
        <f>IFERROR(VLOOKUP(Tablo519[[#This Row],[ÜRÜN KODU]],YMKODLARI!$A$1:$K$363,8,0)," ")</f>
        <v>HM 002</v>
      </c>
      <c r="O52" s="100" t="str">
        <f>IFERROR(VLOOKUP(Tablo519[[#This Row],[HAMMADDE KODU]],Tablo1[#All],3,0)," ")</f>
        <v>NOVAREX</v>
      </c>
      <c r="P52" s="100" t="str">
        <f>IFERROR(VLOOKUP(Tablo519[[#This Row],[HAMMADDE KODU]],Tablo1[#All],4,0)," ")</f>
        <v>PİNHAS</v>
      </c>
      <c r="Q52" s="100">
        <f>IFERROR(VLOOKUP(Tablo519[[#This Row],[ÜRÜN KODU]],YMKODLARI!$A$1:$K$363,5,0)," ")</f>
        <v>17.2</v>
      </c>
      <c r="R52" s="100">
        <f>IFERROR(VLOOKUP(Tablo519[[#This Row],[ÜRÜN KODU]],YMKODLARI!$A$1:$K$363,6,0)," ")</f>
        <v>15.4</v>
      </c>
      <c r="S52" s="100">
        <f>IFERROR(Tablo519[[#This Row],[YOLLUK HARİÇ BASKI GRAMI]]/Tablo519[[#This Row],[KALIP GÖZ ADEDİ]]," ")</f>
        <v>1.925</v>
      </c>
      <c r="T52" s="100">
        <f t="shared" si="2"/>
        <v>1.7999999999999989</v>
      </c>
      <c r="U52" s="100"/>
      <c r="V52" s="100">
        <f t="shared" si="9"/>
        <v>30.2148</v>
      </c>
      <c r="W52" s="101">
        <f t="shared" si="3"/>
        <v>23.479166666666668</v>
      </c>
      <c r="X52" s="102">
        <f t="shared" si="4"/>
        <v>11.500000000000028</v>
      </c>
      <c r="Y52" s="100">
        <f t="shared" si="5"/>
        <v>10.9</v>
      </c>
      <c r="Z52" s="100">
        <f t="shared" si="6"/>
        <v>15696</v>
      </c>
    </row>
    <row r="53" spans="1:26">
      <c r="A53" s="100" t="s">
        <v>130</v>
      </c>
      <c r="B53" s="108" t="str">
        <f>IFERROR(VLOOKUP(Tablo519[[#This Row],[ÜRÜN KODU]],YMKODLARI!$A$1:$K$363,2,0)," ")</f>
        <v>DAMAK EMZİK TIPA</v>
      </c>
      <c r="C53" s="99">
        <v>43922</v>
      </c>
      <c r="D53" s="100" t="s">
        <v>29</v>
      </c>
      <c r="E53" s="101">
        <v>0.3888888888888889</v>
      </c>
      <c r="F53" s="101">
        <v>0.67361111111111116</v>
      </c>
      <c r="G53" s="100">
        <f>IFERROR(VLOOKUP(Tablo519[[#This Row],[ÜRÜN KODU]],YMKODLARI!$A$1:$K$363,3,0)," ")</f>
        <v>8</v>
      </c>
      <c r="H53" s="100">
        <f>IFERROR(VLOOKUP(Tablo519[[#This Row],[ÜRÜN KODU]],YMKODLARI!$A$1:$K$363,4,0)," ")</f>
        <v>20</v>
      </c>
      <c r="I53" s="100">
        <v>1010</v>
      </c>
      <c r="J53" s="100">
        <f>IFERROR(VLOOKUP(Tablo519[[#This Row],[ÜRÜN KODU]],YMKODLARI!$A$1:$K$363,9,0)," ")</f>
        <v>3332</v>
      </c>
      <c r="K53" s="100" t="str">
        <f>IFERROR(VLOOKUP(Tablo519[[#This Row],[BOYA KODU]],Tablo14[#All],4,0)," ")</f>
        <v>E.PEMBE</v>
      </c>
      <c r="L53" s="100">
        <f>IFERROR(VLOOKUP(Tablo519[[#This Row],[BOYA KODU]],Tablo14[#All],6,0)," ")</f>
        <v>5.0000000000000001E-3</v>
      </c>
      <c r="M53" s="100">
        <f t="shared" si="0"/>
        <v>86.86</v>
      </c>
      <c r="N53" s="100" t="str">
        <f>IFERROR(VLOOKUP(Tablo519[[#This Row],[ÜRÜN KODU]],YMKODLARI!$A$1:$K$363,8,0)," ")</f>
        <v>HM 002</v>
      </c>
      <c r="O53" s="100" t="str">
        <f>IFERROR(VLOOKUP(Tablo519[[#This Row],[HAMMADDE KODU]],Tablo1[#All],3,0)," ")</f>
        <v>NOVAREX</v>
      </c>
      <c r="P53" s="100" t="str">
        <f>IFERROR(VLOOKUP(Tablo519[[#This Row],[HAMMADDE KODU]],Tablo1[#All],4,0)," ")</f>
        <v>PİNHAS</v>
      </c>
      <c r="Q53" s="100">
        <f>IFERROR(VLOOKUP(Tablo519[[#This Row],[ÜRÜN KODU]],YMKODLARI!$A$1:$K$363,5,0)," ")</f>
        <v>17.2</v>
      </c>
      <c r="R53" s="100">
        <f>IFERROR(VLOOKUP(Tablo519[[#This Row],[ÜRÜN KODU]],YMKODLARI!$A$1:$K$363,6,0)," ")</f>
        <v>15.4</v>
      </c>
      <c r="S53" s="100">
        <f>IFERROR(Tablo519[[#This Row],[YOLLUK HARİÇ BASKI GRAMI]]/Tablo519[[#This Row],[KALIP GÖZ ADEDİ]]," ")</f>
        <v>1.925</v>
      </c>
      <c r="T53" s="100">
        <f t="shared" si="2"/>
        <v>1.7999999999999989</v>
      </c>
      <c r="U53" s="100">
        <v>9.9</v>
      </c>
      <c r="V53" s="100">
        <f t="shared" si="9"/>
        <v>25.454000000000001</v>
      </c>
      <c r="W53" s="101">
        <f t="shared" si="3"/>
        <v>24.284722222222221</v>
      </c>
      <c r="X53" s="102">
        <f t="shared" si="4"/>
        <v>6.8333333333333144</v>
      </c>
      <c r="Y53" s="100">
        <f t="shared" si="5"/>
        <v>5.6111111111111107</v>
      </c>
      <c r="Z53" s="100">
        <f t="shared" si="6"/>
        <v>8080</v>
      </c>
    </row>
    <row r="54" spans="1:26">
      <c r="A54" s="100" t="s">
        <v>129</v>
      </c>
      <c r="B54" s="108" t="str">
        <f>IFERROR(VLOOKUP(Tablo519[[#This Row],[ÜRÜN KODU]],YMKODLARI!$A$1:$K$363,2,0)," ")</f>
        <v>DAMAK EMZİK TIPA</v>
      </c>
      <c r="C54" s="99">
        <v>43922</v>
      </c>
      <c r="D54" s="100" t="s">
        <v>29</v>
      </c>
      <c r="E54" s="101">
        <v>0.70833333333333337</v>
      </c>
      <c r="F54" s="101">
        <v>0.79166666666666663</v>
      </c>
      <c r="G54" s="100">
        <f>IFERROR(VLOOKUP(Tablo519[[#This Row],[ÜRÜN KODU]],YMKODLARI!$A$1:$K$363,3,0)," ")</f>
        <v>8</v>
      </c>
      <c r="H54" s="100">
        <f>IFERROR(VLOOKUP(Tablo519[[#This Row],[ÜRÜN KODU]],YMKODLARI!$A$1:$K$363,4,0)," ")</f>
        <v>20</v>
      </c>
      <c r="I54" s="100">
        <v>302</v>
      </c>
      <c r="J54" s="100" t="str">
        <f>IFERROR(VLOOKUP(Tablo519[[#This Row],[ÜRÜN KODU]],YMKODLARI!$A$1:$K$363,9,0)," ")</f>
        <v>5249A</v>
      </c>
      <c r="K54" s="100" t="str">
        <f>IFERROR(VLOOKUP(Tablo519[[#This Row],[BOYA KODU]],Tablo14[#All],4,0)," ")</f>
        <v>MAVİ</v>
      </c>
      <c r="L54" s="100">
        <f>IFERROR(VLOOKUP(Tablo519[[#This Row],[BOYA KODU]],Tablo14[#All],6,0)," ")</f>
        <v>5.0000000000000001E-3</v>
      </c>
      <c r="M54" s="100">
        <f t="shared" si="0"/>
        <v>25.971999999999998</v>
      </c>
      <c r="N54" s="100" t="str">
        <f>IFERROR(VLOOKUP(Tablo519[[#This Row],[ÜRÜN KODU]],YMKODLARI!$A$1:$K$363,8,0)," ")</f>
        <v>HM 002</v>
      </c>
      <c r="O54" s="100" t="str">
        <f>IFERROR(VLOOKUP(Tablo519[[#This Row],[HAMMADDE KODU]],Tablo1[#All],3,0)," ")</f>
        <v>NOVAREX</v>
      </c>
      <c r="P54" s="100" t="str">
        <f>IFERROR(VLOOKUP(Tablo519[[#This Row],[HAMMADDE KODU]],Tablo1[#All],4,0)," ")</f>
        <v>PİNHAS</v>
      </c>
      <c r="Q54" s="100">
        <f>IFERROR(VLOOKUP(Tablo519[[#This Row],[ÜRÜN KODU]],YMKODLARI!$A$1:$K$363,5,0)," ")</f>
        <v>17.2</v>
      </c>
      <c r="R54" s="100">
        <f>IFERROR(VLOOKUP(Tablo519[[#This Row],[ÜRÜN KODU]],YMKODLARI!$A$1:$K$363,6,0)," ")</f>
        <v>15.4</v>
      </c>
      <c r="S54" s="100">
        <f>IFERROR(Tablo519[[#This Row],[YOLLUK HARİÇ BASKI GRAMI]]/Tablo519[[#This Row],[KALIP GÖZ ADEDİ]]," ")</f>
        <v>1.925</v>
      </c>
      <c r="T54" s="100">
        <f t="shared" si="2"/>
        <v>1.7999999999999989</v>
      </c>
      <c r="U54" s="100">
        <v>1.5</v>
      </c>
      <c r="V54" s="100">
        <f t="shared" si="9"/>
        <v>6.1508000000000003</v>
      </c>
      <c r="W54" s="101">
        <f t="shared" si="3"/>
        <v>24.083333333333332</v>
      </c>
      <c r="X54" s="102">
        <f t="shared" si="4"/>
        <v>1.9999999999999716</v>
      </c>
      <c r="Y54" s="100">
        <f t="shared" si="5"/>
        <v>1.6777777777777778</v>
      </c>
      <c r="Z54" s="100">
        <f t="shared" si="6"/>
        <v>2416</v>
      </c>
    </row>
    <row r="55" spans="1:26">
      <c r="A55" s="100" t="s">
        <v>129</v>
      </c>
      <c r="B55" s="108" t="str">
        <f>IFERROR(VLOOKUP(Tablo519[[#This Row],[ÜRÜN KODU]],YMKODLARI!$A$1:$K$363,2,0)," ")</f>
        <v>DAMAK EMZİK TIPA</v>
      </c>
      <c r="C55" s="99">
        <v>43922</v>
      </c>
      <c r="D55" s="100" t="s">
        <v>65</v>
      </c>
      <c r="E55" s="101">
        <v>0.85416666666666663</v>
      </c>
      <c r="F55" s="101">
        <v>0.29166666666666669</v>
      </c>
      <c r="G55" s="100">
        <f>IFERROR(VLOOKUP(Tablo519[[#This Row],[ÜRÜN KODU]],YMKODLARI!$A$1:$K$363,3,0)," ")</f>
        <v>8</v>
      </c>
      <c r="H55" s="100">
        <f>IFERROR(VLOOKUP(Tablo519[[#This Row],[ÜRÜN KODU]],YMKODLARI!$A$1:$K$363,4,0)," ")</f>
        <v>20</v>
      </c>
      <c r="I55" s="100">
        <v>1536</v>
      </c>
      <c r="J55" s="100" t="str">
        <f>IFERROR(VLOOKUP(Tablo519[[#This Row],[ÜRÜN KODU]],YMKODLARI!$A$1:$K$363,9,0)," ")</f>
        <v>5249A</v>
      </c>
      <c r="K55" s="100" t="str">
        <f>IFERROR(VLOOKUP(Tablo519[[#This Row],[BOYA KODU]],Tablo14[#All],4,0)," ")</f>
        <v>MAVİ</v>
      </c>
      <c r="L55" s="100">
        <f>IFERROR(VLOOKUP(Tablo519[[#This Row],[BOYA KODU]],Tablo14[#All],6,0)," ")</f>
        <v>5.0000000000000001E-3</v>
      </c>
      <c r="M55" s="100">
        <f t="shared" si="0"/>
        <v>132.09599999999998</v>
      </c>
      <c r="N55" s="100" t="str">
        <f>IFERROR(VLOOKUP(Tablo519[[#This Row],[ÜRÜN KODU]],YMKODLARI!$A$1:$K$363,8,0)," ")</f>
        <v>HM 002</v>
      </c>
      <c r="O55" s="100" t="str">
        <f>IFERROR(VLOOKUP(Tablo519[[#This Row],[HAMMADDE KODU]],Tablo1[#All],3,0)," ")</f>
        <v>NOVAREX</v>
      </c>
      <c r="P55" s="100" t="str">
        <f>IFERROR(VLOOKUP(Tablo519[[#This Row],[HAMMADDE KODU]],Tablo1[#All],4,0)," ")</f>
        <v>PİNHAS</v>
      </c>
      <c r="Q55" s="100">
        <f>IFERROR(VLOOKUP(Tablo519[[#This Row],[ÜRÜN KODU]],YMKODLARI!$A$1:$K$363,5,0)," ")</f>
        <v>17.2</v>
      </c>
      <c r="R55" s="100">
        <f>IFERROR(VLOOKUP(Tablo519[[#This Row],[ÜRÜN KODU]],YMKODLARI!$A$1:$K$363,6,0)," ")</f>
        <v>15.4</v>
      </c>
      <c r="S55" s="100">
        <f>IFERROR(Tablo519[[#This Row],[YOLLUK HARİÇ BASKI GRAMI]]/Tablo519[[#This Row],[KALIP GÖZ ADEDİ]]," ")</f>
        <v>1.925</v>
      </c>
      <c r="T55" s="100">
        <f t="shared" si="2"/>
        <v>1.7999999999999989</v>
      </c>
      <c r="U55" s="100">
        <v>3.8</v>
      </c>
      <c r="V55" s="100">
        <f t="shared" si="9"/>
        <v>27.454400000000003</v>
      </c>
      <c r="W55" s="101">
        <f t="shared" si="3"/>
        <v>23.4375</v>
      </c>
      <c r="X55" s="102">
        <f t="shared" si="4"/>
        <v>10.5</v>
      </c>
      <c r="Y55" s="100">
        <f t="shared" si="5"/>
        <v>8.5333333333333332</v>
      </c>
      <c r="Z55" s="100">
        <f t="shared" si="6"/>
        <v>12288</v>
      </c>
    </row>
    <row r="56" spans="1:26">
      <c r="A56" s="100" t="s">
        <v>129</v>
      </c>
      <c r="B56" s="108" t="str">
        <f>IFERROR(VLOOKUP(Tablo519[[#This Row],[ÜRÜN KODU]],YMKODLARI!$A$1:$K$363,2,0)," ")</f>
        <v>DAMAK EMZİK TIPA</v>
      </c>
      <c r="C56" s="99">
        <v>43923</v>
      </c>
      <c r="D56" s="100" t="s">
        <v>29</v>
      </c>
      <c r="E56" s="101">
        <v>0.375</v>
      </c>
      <c r="F56" s="101">
        <v>0.79166666666666663</v>
      </c>
      <c r="G56" s="100">
        <f>IFERROR(VLOOKUP(Tablo519[[#This Row],[ÜRÜN KODU]],YMKODLARI!$A$1:$K$363,3,0)," ")</f>
        <v>8</v>
      </c>
      <c r="H56" s="100">
        <f>IFERROR(VLOOKUP(Tablo519[[#This Row],[ÜRÜN KODU]],YMKODLARI!$A$1:$K$363,4,0)," ")</f>
        <v>20</v>
      </c>
      <c r="I56" s="100">
        <v>1471</v>
      </c>
      <c r="J56" s="100" t="str">
        <f>IFERROR(VLOOKUP(Tablo519[[#This Row],[ÜRÜN KODU]],YMKODLARI!$A$1:$K$363,9,0)," ")</f>
        <v>5249A</v>
      </c>
      <c r="K56" s="100" t="str">
        <f>IFERROR(VLOOKUP(Tablo519[[#This Row],[BOYA KODU]],Tablo14[#All],4,0)," ")</f>
        <v>MAVİ</v>
      </c>
      <c r="L56" s="100">
        <f>IFERROR(VLOOKUP(Tablo519[[#This Row],[BOYA KODU]],Tablo14[#All],6,0)," ")</f>
        <v>5.0000000000000001E-3</v>
      </c>
      <c r="M56" s="100">
        <f t="shared" si="0"/>
        <v>126.506</v>
      </c>
      <c r="N56" s="100" t="str">
        <f>IFERROR(VLOOKUP(Tablo519[[#This Row],[ÜRÜN KODU]],YMKODLARI!$A$1:$K$363,8,0)," ")</f>
        <v>HM 002</v>
      </c>
      <c r="O56" s="100" t="str">
        <f>IFERROR(VLOOKUP(Tablo519[[#This Row],[HAMMADDE KODU]],Tablo1[#All],3,0)," ")</f>
        <v>NOVAREX</v>
      </c>
      <c r="P56" s="100" t="str">
        <f>IFERROR(VLOOKUP(Tablo519[[#This Row],[HAMMADDE KODU]],Tablo1[#All],4,0)," ")</f>
        <v>PİNHAS</v>
      </c>
      <c r="Q56" s="100">
        <f>IFERROR(VLOOKUP(Tablo519[[#This Row],[ÜRÜN KODU]],YMKODLARI!$A$1:$K$363,5,0)," ")</f>
        <v>17.2</v>
      </c>
      <c r="R56" s="100">
        <f>IFERROR(VLOOKUP(Tablo519[[#This Row],[ÜRÜN KODU]],YMKODLARI!$A$1:$K$363,6,0)," ")</f>
        <v>15.4</v>
      </c>
      <c r="S56" s="100">
        <f>IFERROR(Tablo519[[#This Row],[YOLLUK HARİÇ BASKI GRAMI]]/Tablo519[[#This Row],[KALIP GÖZ ADEDİ]]," ")</f>
        <v>1.925</v>
      </c>
      <c r="T56" s="100">
        <f t="shared" si="2"/>
        <v>1.7999999999999989</v>
      </c>
      <c r="U56" s="100">
        <v>3.1</v>
      </c>
      <c r="V56" s="100">
        <f t="shared" si="9"/>
        <v>25.753400000000003</v>
      </c>
      <c r="W56" s="101">
        <f t="shared" si="3"/>
        <v>24.416666666666668</v>
      </c>
      <c r="X56" s="102">
        <f t="shared" si="4"/>
        <v>10.000000000000028</v>
      </c>
      <c r="Y56" s="100">
        <f t="shared" si="5"/>
        <v>8.1722222222222225</v>
      </c>
      <c r="Z56" s="100">
        <f t="shared" si="6"/>
        <v>11768</v>
      </c>
    </row>
    <row r="57" spans="1:26">
      <c r="A57" s="100" t="s">
        <v>129</v>
      </c>
      <c r="B57" s="108" t="str">
        <f>IFERROR(VLOOKUP(Tablo519[[#This Row],[ÜRÜN KODU]],YMKODLARI!$A$1:$K$363,2,0)," ")</f>
        <v>DAMAK EMZİK TIPA</v>
      </c>
      <c r="C57" s="99">
        <v>43923</v>
      </c>
      <c r="D57" s="100" t="s">
        <v>37</v>
      </c>
      <c r="E57" s="101">
        <v>0.875</v>
      </c>
      <c r="F57" s="101">
        <v>0.29166666666666669</v>
      </c>
      <c r="G57" s="100">
        <f>IFERROR(VLOOKUP(Tablo519[[#This Row],[ÜRÜN KODU]],YMKODLARI!$A$1:$K$363,3,0)," ")</f>
        <v>8</v>
      </c>
      <c r="H57" s="100">
        <f>IFERROR(VLOOKUP(Tablo519[[#This Row],[ÜRÜN KODU]],YMKODLARI!$A$1:$K$363,4,0)," ")</f>
        <v>20</v>
      </c>
      <c r="I57" s="100">
        <v>1416</v>
      </c>
      <c r="J57" s="100" t="str">
        <f>IFERROR(VLOOKUP(Tablo519[[#This Row],[ÜRÜN KODU]],YMKODLARI!$A$1:$K$363,9,0)," ")</f>
        <v>5249A</v>
      </c>
      <c r="K57" s="100" t="str">
        <f>IFERROR(VLOOKUP(Tablo519[[#This Row],[BOYA KODU]],Tablo14[#All],4,0)," ")</f>
        <v>MAVİ</v>
      </c>
      <c r="L57" s="100">
        <f>IFERROR(VLOOKUP(Tablo519[[#This Row],[BOYA KODU]],Tablo14[#All],6,0)," ")</f>
        <v>5.0000000000000001E-3</v>
      </c>
      <c r="M57" s="100">
        <f t="shared" si="0"/>
        <v>121.77600000000001</v>
      </c>
      <c r="N57" s="100" t="str">
        <f>IFERROR(VLOOKUP(Tablo519[[#This Row],[ÜRÜN KODU]],YMKODLARI!$A$1:$K$363,8,0)," ")</f>
        <v>HM 002</v>
      </c>
      <c r="O57" s="100" t="str">
        <f>IFERROR(VLOOKUP(Tablo519[[#This Row],[HAMMADDE KODU]],Tablo1[#All],3,0)," ")</f>
        <v>NOVAREX</v>
      </c>
      <c r="P57" s="100" t="str">
        <f>IFERROR(VLOOKUP(Tablo519[[#This Row],[HAMMADDE KODU]],Tablo1[#All],4,0)," ")</f>
        <v>PİNHAS</v>
      </c>
      <c r="Q57" s="100">
        <f>IFERROR(VLOOKUP(Tablo519[[#This Row],[ÜRÜN KODU]],YMKODLARI!$A$1:$K$363,5,0)," ")</f>
        <v>17.2</v>
      </c>
      <c r="R57" s="100">
        <f>IFERROR(VLOOKUP(Tablo519[[#This Row],[ÜRÜN KODU]],YMKODLARI!$A$1:$K$363,6,0)," ")</f>
        <v>15.4</v>
      </c>
      <c r="S57" s="100">
        <f>IFERROR(Tablo519[[#This Row],[YOLLUK HARİÇ BASKI GRAMI]]/Tablo519[[#This Row],[KALIP GÖZ ADEDİ]]," ")</f>
        <v>1.925</v>
      </c>
      <c r="T57" s="100">
        <f t="shared" si="2"/>
        <v>1.7999999999999989</v>
      </c>
      <c r="U57" s="100">
        <v>3.5</v>
      </c>
      <c r="V57" s="100">
        <f t="shared" si="9"/>
        <v>25.3064</v>
      </c>
      <c r="W57" s="101">
        <f t="shared" si="3"/>
        <v>23.416666666666668</v>
      </c>
      <c r="X57" s="102">
        <f t="shared" si="4"/>
        <v>10.000000000000028</v>
      </c>
      <c r="Y57" s="100">
        <f t="shared" si="5"/>
        <v>7.8666666666666663</v>
      </c>
      <c r="Z57" s="100">
        <f t="shared" si="6"/>
        <v>11328</v>
      </c>
    </row>
    <row r="58" spans="1:26">
      <c r="A58" s="100" t="s">
        <v>129</v>
      </c>
      <c r="B58" s="108" t="str">
        <f>IFERROR(VLOOKUP(Tablo519[[#This Row],[ÜRÜN KODU]],YMKODLARI!$A$1:$K$363,2,0)," ")</f>
        <v>DAMAK EMZİK TIPA</v>
      </c>
      <c r="C58" s="99">
        <v>43924</v>
      </c>
      <c r="D58" s="100" t="s">
        <v>29</v>
      </c>
      <c r="E58" s="101">
        <v>0.375</v>
      </c>
      <c r="F58" s="101">
        <v>0.79166666666666663</v>
      </c>
      <c r="G58" s="100">
        <f>IFERROR(VLOOKUP(Tablo519[[#This Row],[ÜRÜN KODU]],YMKODLARI!$A$1:$K$363,3,0)," ")</f>
        <v>8</v>
      </c>
      <c r="H58" s="100">
        <f>IFERROR(VLOOKUP(Tablo519[[#This Row],[ÜRÜN KODU]],YMKODLARI!$A$1:$K$363,4,0)," ")</f>
        <v>20</v>
      </c>
      <c r="I58" s="100">
        <v>1365</v>
      </c>
      <c r="J58" s="100" t="str">
        <f>IFERROR(VLOOKUP(Tablo519[[#This Row],[ÜRÜN KODU]],YMKODLARI!$A$1:$K$363,9,0)," ")</f>
        <v>5249A</v>
      </c>
      <c r="K58" s="100" t="str">
        <f>IFERROR(VLOOKUP(Tablo519[[#This Row],[BOYA KODU]],Tablo14[#All],4,0)," ")</f>
        <v>MAVİ</v>
      </c>
      <c r="L58" s="100">
        <f>IFERROR(VLOOKUP(Tablo519[[#This Row],[BOYA KODU]],Tablo14[#All],6,0)," ")</f>
        <v>5.0000000000000001E-3</v>
      </c>
      <c r="M58" s="100">
        <f t="shared" si="0"/>
        <v>117.39</v>
      </c>
      <c r="N58" s="100" t="str">
        <f>IFERROR(VLOOKUP(Tablo519[[#This Row],[ÜRÜN KODU]],YMKODLARI!$A$1:$K$363,8,0)," ")</f>
        <v>HM 002</v>
      </c>
      <c r="O58" s="100" t="str">
        <f>IFERROR(VLOOKUP(Tablo519[[#This Row],[HAMMADDE KODU]],Tablo1[#All],3,0)," ")</f>
        <v>NOVAREX</v>
      </c>
      <c r="P58" s="100" t="str">
        <f>IFERROR(VLOOKUP(Tablo519[[#This Row],[HAMMADDE KODU]],Tablo1[#All],4,0)," ")</f>
        <v>PİNHAS</v>
      </c>
      <c r="Q58" s="100">
        <f>IFERROR(VLOOKUP(Tablo519[[#This Row],[ÜRÜN KODU]],YMKODLARI!$A$1:$K$363,5,0)," ")</f>
        <v>17.2</v>
      </c>
      <c r="R58" s="100">
        <f>IFERROR(VLOOKUP(Tablo519[[#This Row],[ÜRÜN KODU]],YMKODLARI!$A$1:$K$363,6,0)," ")</f>
        <v>15.4</v>
      </c>
      <c r="S58" s="100">
        <f>IFERROR(Tablo519[[#This Row],[YOLLUK HARİÇ BASKI GRAMI]]/Tablo519[[#This Row],[KALIP GÖZ ADEDİ]]," ")</f>
        <v>1.925</v>
      </c>
      <c r="T58" s="100">
        <f t="shared" si="2"/>
        <v>1.7999999999999989</v>
      </c>
      <c r="U58" s="100"/>
      <c r="V58" s="100">
        <f t="shared" si="9"/>
        <v>21.021000000000001</v>
      </c>
      <c r="W58" s="101">
        <f t="shared" si="3"/>
        <v>24.416666666666668</v>
      </c>
      <c r="X58" s="102">
        <f t="shared" si="4"/>
        <v>10.000000000000028</v>
      </c>
      <c r="Y58" s="100">
        <f t="shared" si="5"/>
        <v>7.583333333333333</v>
      </c>
      <c r="Z58" s="100">
        <f t="shared" si="6"/>
        <v>10920</v>
      </c>
    </row>
    <row r="59" spans="1:26">
      <c r="A59" s="100" t="s">
        <v>129</v>
      </c>
      <c r="B59" s="108" t="str">
        <f>IFERROR(VLOOKUP(Tablo519[[#This Row],[ÜRÜN KODU]],YMKODLARI!$A$1:$K$363,2,0)," ")</f>
        <v>DAMAK EMZİK TIPA</v>
      </c>
      <c r="C59" s="99">
        <v>43924</v>
      </c>
      <c r="D59" s="100" t="s">
        <v>65</v>
      </c>
      <c r="E59" s="101">
        <v>0.85416666666666663</v>
      </c>
      <c r="F59" s="101">
        <v>0.25</v>
      </c>
      <c r="G59" s="100">
        <f>IFERROR(VLOOKUP(Tablo519[[#This Row],[ÜRÜN KODU]],YMKODLARI!$A$1:$K$363,3,0)," ")</f>
        <v>8</v>
      </c>
      <c r="H59" s="100">
        <f>IFERROR(VLOOKUP(Tablo519[[#This Row],[ÜRÜN KODU]],YMKODLARI!$A$1:$K$363,4,0)," ")</f>
        <v>20</v>
      </c>
      <c r="I59" s="100">
        <v>1230</v>
      </c>
      <c r="J59" s="100" t="str">
        <f>IFERROR(VLOOKUP(Tablo519[[#This Row],[ÜRÜN KODU]],YMKODLARI!$A$1:$K$363,9,0)," ")</f>
        <v>5249A</v>
      </c>
      <c r="K59" s="100" t="str">
        <f>IFERROR(VLOOKUP(Tablo519[[#This Row],[BOYA KODU]],Tablo14[#All],4,0)," ")</f>
        <v>MAVİ</v>
      </c>
      <c r="L59" s="100">
        <f>IFERROR(VLOOKUP(Tablo519[[#This Row],[BOYA KODU]],Tablo14[#All],6,0)," ")</f>
        <v>5.0000000000000001E-3</v>
      </c>
      <c r="M59" s="100">
        <f t="shared" si="0"/>
        <v>105.78</v>
      </c>
      <c r="N59" s="100" t="str">
        <f>IFERROR(VLOOKUP(Tablo519[[#This Row],[ÜRÜN KODU]],YMKODLARI!$A$1:$K$363,8,0)," ")</f>
        <v>HM 002</v>
      </c>
      <c r="O59" s="100" t="str">
        <f>IFERROR(VLOOKUP(Tablo519[[#This Row],[HAMMADDE KODU]],Tablo1[#All],3,0)," ")</f>
        <v>NOVAREX</v>
      </c>
      <c r="P59" s="100" t="str">
        <f>IFERROR(VLOOKUP(Tablo519[[#This Row],[HAMMADDE KODU]],Tablo1[#All],4,0)," ")</f>
        <v>PİNHAS</v>
      </c>
      <c r="Q59" s="100">
        <f>IFERROR(VLOOKUP(Tablo519[[#This Row],[ÜRÜN KODU]],YMKODLARI!$A$1:$K$363,5,0)," ")</f>
        <v>17.2</v>
      </c>
      <c r="R59" s="100">
        <f>IFERROR(VLOOKUP(Tablo519[[#This Row],[ÜRÜN KODU]],YMKODLARI!$A$1:$K$363,6,0)," ")</f>
        <v>15.4</v>
      </c>
      <c r="S59" s="100">
        <f>IFERROR(Tablo519[[#This Row],[YOLLUK HARİÇ BASKI GRAMI]]/Tablo519[[#This Row],[KALIP GÖZ ADEDİ]]," ")</f>
        <v>1.925</v>
      </c>
      <c r="T59" s="100">
        <f t="shared" si="2"/>
        <v>1.7999999999999989</v>
      </c>
      <c r="U59" s="100">
        <v>6.2</v>
      </c>
      <c r="V59" s="100">
        <f t="shared" si="9"/>
        <v>25.141999999999999</v>
      </c>
      <c r="W59" s="101">
        <f t="shared" si="3"/>
        <v>23.395833333333332</v>
      </c>
      <c r="X59" s="102">
        <f t="shared" si="4"/>
        <v>9.4999999999999716</v>
      </c>
      <c r="Y59" s="100">
        <f t="shared" si="5"/>
        <v>6.833333333333333</v>
      </c>
      <c r="Z59" s="100">
        <f t="shared" si="6"/>
        <v>9840</v>
      </c>
    </row>
    <row r="60" spans="1:26">
      <c r="A60" s="100" t="s">
        <v>129</v>
      </c>
      <c r="B60" s="108" t="str">
        <f>IFERROR(VLOOKUP(Tablo519[[#This Row],[ÜRÜN KODU]],YMKODLARI!$A$1:$K$363,2,0)," ")</f>
        <v>DAMAK EMZİK TIPA</v>
      </c>
      <c r="C60" s="99">
        <v>43927</v>
      </c>
      <c r="D60" s="100" t="s">
        <v>36</v>
      </c>
      <c r="E60" s="101">
        <v>0.42708333333333331</v>
      </c>
      <c r="F60" s="101">
        <v>0.83333333333333337</v>
      </c>
      <c r="G60" s="100">
        <f>IFERROR(VLOOKUP(Tablo519[[#This Row],[ÜRÜN KODU]],YMKODLARI!$A$1:$K$363,3,0)," ")</f>
        <v>8</v>
      </c>
      <c r="H60" s="100">
        <f>IFERROR(VLOOKUP(Tablo519[[#This Row],[ÜRÜN KODU]],YMKODLARI!$A$1:$K$363,4,0)," ")</f>
        <v>20</v>
      </c>
      <c r="I60" s="100">
        <v>1605</v>
      </c>
      <c r="J60" s="100" t="str">
        <f>IFERROR(VLOOKUP(Tablo519[[#This Row],[ÜRÜN KODU]],YMKODLARI!$A$1:$K$363,9,0)," ")</f>
        <v>5249A</v>
      </c>
      <c r="K60" s="100" t="str">
        <f>IFERROR(VLOOKUP(Tablo519[[#This Row],[BOYA KODU]],Tablo14[#All],4,0)," ")</f>
        <v>MAVİ</v>
      </c>
      <c r="L60" s="100">
        <f>IFERROR(VLOOKUP(Tablo519[[#This Row],[BOYA KODU]],Tablo14[#All],6,0)," ")</f>
        <v>5.0000000000000001E-3</v>
      </c>
      <c r="M60" s="100">
        <f t="shared" si="0"/>
        <v>138.03</v>
      </c>
      <c r="N60" s="100" t="str">
        <f>IFERROR(VLOOKUP(Tablo519[[#This Row],[ÜRÜN KODU]],YMKODLARI!$A$1:$K$363,8,0)," ")</f>
        <v>HM 002</v>
      </c>
      <c r="O60" s="100" t="str">
        <f>IFERROR(VLOOKUP(Tablo519[[#This Row],[HAMMADDE KODU]],Tablo1[#All],3,0)," ")</f>
        <v>NOVAREX</v>
      </c>
      <c r="P60" s="100" t="str">
        <f>IFERROR(VLOOKUP(Tablo519[[#This Row],[HAMMADDE KODU]],Tablo1[#All],4,0)," ")</f>
        <v>PİNHAS</v>
      </c>
      <c r="Q60" s="100">
        <f>IFERROR(VLOOKUP(Tablo519[[#This Row],[ÜRÜN KODU]],YMKODLARI!$A$1:$K$363,5,0)," ")</f>
        <v>17.2</v>
      </c>
      <c r="R60" s="100">
        <f>IFERROR(VLOOKUP(Tablo519[[#This Row],[ÜRÜN KODU]],YMKODLARI!$A$1:$K$363,6,0)," ")</f>
        <v>15.4</v>
      </c>
      <c r="S60" s="100">
        <f>IFERROR(Tablo519[[#This Row],[YOLLUK HARİÇ BASKI GRAMI]]/Tablo519[[#This Row],[KALIP GÖZ ADEDİ]]," ")</f>
        <v>1.925</v>
      </c>
      <c r="T60" s="100">
        <f t="shared" si="2"/>
        <v>1.7999999999999989</v>
      </c>
      <c r="U60" s="100"/>
      <c r="V60" s="100">
        <f t="shared" si="9"/>
        <v>24.716999999999999</v>
      </c>
      <c r="W60" s="101">
        <f t="shared" si="3"/>
        <v>24.40625</v>
      </c>
      <c r="X60" s="102">
        <f t="shared" si="4"/>
        <v>9.75</v>
      </c>
      <c r="Y60" s="100">
        <f t="shared" si="5"/>
        <v>8.9166666666666661</v>
      </c>
      <c r="Z60" s="100">
        <f t="shared" si="6"/>
        <v>12840</v>
      </c>
    </row>
    <row r="61" spans="1:26">
      <c r="A61" s="100" t="s">
        <v>220</v>
      </c>
      <c r="B61" s="108" t="str">
        <f>IFERROR(VLOOKUP(Tablo519[[#This Row],[ÜRÜN KODU]],YMKODLARI!$A$1:$K$363,2,0)," ")</f>
        <v>DAMAK EMZİK TIPA</v>
      </c>
      <c r="C61" s="99">
        <v>43928</v>
      </c>
      <c r="D61" s="100" t="s">
        <v>36</v>
      </c>
      <c r="E61" s="101">
        <v>0.35416666666666669</v>
      </c>
      <c r="F61" s="101">
        <v>0.83333333333333337</v>
      </c>
      <c r="G61" s="100">
        <f>IFERROR(VLOOKUP(Tablo519[[#This Row],[ÜRÜN KODU]],YMKODLARI!$A$1:$K$363,3,0)," ")</f>
        <v>8</v>
      </c>
      <c r="H61" s="100">
        <f>IFERROR(VLOOKUP(Tablo519[[#This Row],[ÜRÜN KODU]],YMKODLARI!$A$1:$K$363,4,0)," ")</f>
        <v>20</v>
      </c>
      <c r="I61" s="100">
        <v>1483</v>
      </c>
      <c r="J61" s="100" t="str">
        <f>IFERROR(VLOOKUP(Tablo519[[#This Row],[ÜRÜN KODU]],YMKODLARI!$A$1:$K$363,9,0)," ")</f>
        <v>3407A</v>
      </c>
      <c r="K61" s="100" t="str">
        <f>IFERROR(VLOOKUP(Tablo519[[#This Row],[BOYA KODU]],Tablo14[#All],4,0)," ")</f>
        <v>KIRMIZI</v>
      </c>
      <c r="L61" s="100">
        <f>IFERROR(VLOOKUP(Tablo519[[#This Row],[BOYA KODU]],Tablo14[#All],6,0)," ")</f>
        <v>5.0000000000000001E-3</v>
      </c>
      <c r="M61" s="100">
        <f t="shared" si="0"/>
        <v>127.538</v>
      </c>
      <c r="N61" s="100" t="str">
        <f>IFERROR(VLOOKUP(Tablo519[[#This Row],[ÜRÜN KODU]],YMKODLARI!$A$1:$K$363,8,0)," ")</f>
        <v>HM 002</v>
      </c>
      <c r="O61" s="100" t="str">
        <f>IFERROR(VLOOKUP(Tablo519[[#This Row],[HAMMADDE KODU]],Tablo1[#All],3,0)," ")</f>
        <v>NOVAREX</v>
      </c>
      <c r="P61" s="100" t="str">
        <f>IFERROR(VLOOKUP(Tablo519[[#This Row],[HAMMADDE KODU]],Tablo1[#All],4,0)," ")</f>
        <v>PİNHAS</v>
      </c>
      <c r="Q61" s="100">
        <f>IFERROR(VLOOKUP(Tablo519[[#This Row],[ÜRÜN KODU]],YMKODLARI!$A$1:$K$363,5,0)," ")</f>
        <v>17.2</v>
      </c>
      <c r="R61" s="100">
        <f>IFERROR(VLOOKUP(Tablo519[[#This Row],[ÜRÜN KODU]],YMKODLARI!$A$1:$K$363,6,0)," ")</f>
        <v>15.4</v>
      </c>
      <c r="S61" s="100">
        <f>IFERROR(Tablo519[[#This Row],[YOLLUK HARİÇ BASKI GRAMI]]/Tablo519[[#This Row],[KALIP GÖZ ADEDİ]]," ")</f>
        <v>1.925</v>
      </c>
      <c r="T61" s="100">
        <f t="shared" si="2"/>
        <v>1.7999999999999989</v>
      </c>
      <c r="U61" s="100">
        <v>7.2</v>
      </c>
      <c r="V61" s="100">
        <f t="shared" si="9"/>
        <v>30.0382</v>
      </c>
      <c r="W61" s="101">
        <f t="shared" si="3"/>
        <v>24.479166666666668</v>
      </c>
      <c r="X61" s="102">
        <f t="shared" si="4"/>
        <v>11.500000000000028</v>
      </c>
      <c r="Y61" s="100">
        <f t="shared" si="5"/>
        <v>8.2388888888888889</v>
      </c>
      <c r="Z61" s="100">
        <f t="shared" si="6"/>
        <v>11864</v>
      </c>
    </row>
    <row r="62" spans="1:26">
      <c r="A62" s="100" t="s">
        <v>220</v>
      </c>
      <c r="B62" s="108" t="str">
        <f>IFERROR(VLOOKUP(Tablo519[[#This Row],[ÜRÜN KODU]],YMKODLARI!$A$1:$K$363,2,0)," ")</f>
        <v>DAMAK EMZİK TIPA</v>
      </c>
      <c r="C62" s="99">
        <v>43929</v>
      </c>
      <c r="D62" s="100" t="s">
        <v>29</v>
      </c>
      <c r="E62" s="101">
        <v>0.33333333333333331</v>
      </c>
      <c r="F62" s="101">
        <v>0.49583333333333335</v>
      </c>
      <c r="G62" s="100">
        <f>IFERROR(VLOOKUP(Tablo519[[#This Row],[ÜRÜN KODU]],YMKODLARI!$A$1:$K$363,3,0)," ")</f>
        <v>8</v>
      </c>
      <c r="H62" s="100">
        <f>IFERROR(VLOOKUP(Tablo519[[#This Row],[ÜRÜN KODU]],YMKODLARI!$A$1:$K$363,4,0)," ")</f>
        <v>20</v>
      </c>
      <c r="I62" s="100">
        <v>472</v>
      </c>
      <c r="J62" s="100" t="str">
        <f>IFERROR(VLOOKUP(Tablo519[[#This Row],[ÜRÜN KODU]],YMKODLARI!$A$1:$K$363,9,0)," ")</f>
        <v>3407A</v>
      </c>
      <c r="K62" s="100" t="str">
        <f>IFERROR(VLOOKUP(Tablo519[[#This Row],[BOYA KODU]],Tablo14[#All],4,0)," ")</f>
        <v>KIRMIZI</v>
      </c>
      <c r="L62" s="100">
        <f>IFERROR(VLOOKUP(Tablo519[[#This Row],[BOYA KODU]],Tablo14[#All],6,0)," ")</f>
        <v>5.0000000000000001E-3</v>
      </c>
      <c r="M62" s="100">
        <f t="shared" si="0"/>
        <v>40.591999999999999</v>
      </c>
      <c r="N62" s="100" t="str">
        <f>IFERROR(VLOOKUP(Tablo519[[#This Row],[ÜRÜN KODU]],YMKODLARI!$A$1:$K$363,8,0)," ")</f>
        <v>HM 002</v>
      </c>
      <c r="O62" s="100" t="str">
        <f>IFERROR(VLOOKUP(Tablo519[[#This Row],[HAMMADDE KODU]],Tablo1[#All],3,0)," ")</f>
        <v>NOVAREX</v>
      </c>
      <c r="P62" s="100" t="str">
        <f>IFERROR(VLOOKUP(Tablo519[[#This Row],[HAMMADDE KODU]],Tablo1[#All],4,0)," ")</f>
        <v>PİNHAS</v>
      </c>
      <c r="Q62" s="100">
        <f>IFERROR(VLOOKUP(Tablo519[[#This Row],[ÜRÜN KODU]],YMKODLARI!$A$1:$K$363,5,0)," ")</f>
        <v>17.2</v>
      </c>
      <c r="R62" s="100">
        <f>IFERROR(VLOOKUP(Tablo519[[#This Row],[ÜRÜN KODU]],YMKODLARI!$A$1:$K$363,6,0)," ")</f>
        <v>15.4</v>
      </c>
      <c r="S62" s="100">
        <f>IFERROR(Tablo519[[#This Row],[YOLLUK HARİÇ BASKI GRAMI]]/Tablo519[[#This Row],[KALIP GÖZ ADEDİ]]," ")</f>
        <v>1.925</v>
      </c>
      <c r="T62" s="100">
        <f t="shared" si="2"/>
        <v>1.7999999999999989</v>
      </c>
      <c r="U62" s="100">
        <v>4.0999999999999996</v>
      </c>
      <c r="V62" s="100">
        <f t="shared" si="9"/>
        <v>11.3688</v>
      </c>
      <c r="W62" s="101">
        <f t="shared" si="3"/>
        <v>24.162500000000001</v>
      </c>
      <c r="X62" s="102">
        <f t="shared" si="4"/>
        <v>3.9000000000000341</v>
      </c>
      <c r="Y62" s="100">
        <f t="shared" si="5"/>
        <v>2.6222222222222222</v>
      </c>
      <c r="Z62" s="100">
        <f t="shared" si="6"/>
        <v>3776</v>
      </c>
    </row>
    <row r="63" spans="1:26">
      <c r="A63" s="100" t="s">
        <v>221</v>
      </c>
      <c r="B63" s="108" t="str">
        <f>IFERROR(VLOOKUP(Tablo519[[#This Row],[ÜRÜN KODU]],YMKODLARI!$A$1:$K$363,2,0)," ")</f>
        <v>DAMAK EMZİK TIPA</v>
      </c>
      <c r="C63" s="99">
        <v>43929</v>
      </c>
      <c r="D63" s="100" t="s">
        <v>29</v>
      </c>
      <c r="E63" s="101">
        <v>0.55277777777777781</v>
      </c>
      <c r="F63" s="101">
        <v>0.83333333333333337</v>
      </c>
      <c r="G63" s="100">
        <f>IFERROR(VLOOKUP(Tablo519[[#This Row],[ÜRÜN KODU]],YMKODLARI!$A$1:$K$363,3,0)," ")</f>
        <v>8</v>
      </c>
      <c r="H63" s="100">
        <f>IFERROR(VLOOKUP(Tablo519[[#This Row],[ÜRÜN KODU]],YMKODLARI!$A$1:$K$363,4,0)," ")</f>
        <v>20</v>
      </c>
      <c r="I63" s="100">
        <v>880</v>
      </c>
      <c r="J63" s="100">
        <f>IFERROR(VLOOKUP(Tablo519[[#This Row],[ÜRÜN KODU]],YMKODLARI!$A$1:$K$363,9,0)," ")</f>
        <v>4089</v>
      </c>
      <c r="K63" s="100" t="str">
        <f>IFERROR(VLOOKUP(Tablo519[[#This Row],[BOYA KODU]],Tablo14[#All],4,0)," ")</f>
        <v>LİLA</v>
      </c>
      <c r="L63" s="100">
        <f>IFERROR(VLOOKUP(Tablo519[[#This Row],[BOYA KODU]],Tablo14[#All],6,0)," ")</f>
        <v>5.0000000000000001E-3</v>
      </c>
      <c r="M63" s="100">
        <f t="shared" si="0"/>
        <v>75.680000000000007</v>
      </c>
      <c r="N63" s="100" t="str">
        <f>IFERROR(VLOOKUP(Tablo519[[#This Row],[ÜRÜN KODU]],YMKODLARI!$A$1:$K$363,8,0)," ")</f>
        <v>HM 002</v>
      </c>
      <c r="O63" s="100" t="str">
        <f>IFERROR(VLOOKUP(Tablo519[[#This Row],[HAMMADDE KODU]],Tablo1[#All],3,0)," ")</f>
        <v>NOVAREX</v>
      </c>
      <c r="P63" s="100" t="str">
        <f>IFERROR(VLOOKUP(Tablo519[[#This Row],[HAMMADDE KODU]],Tablo1[#All],4,0)," ")</f>
        <v>PİNHAS</v>
      </c>
      <c r="Q63" s="100">
        <f>IFERROR(VLOOKUP(Tablo519[[#This Row],[ÜRÜN KODU]],YMKODLARI!$A$1:$K$363,5,0)," ")</f>
        <v>17.2</v>
      </c>
      <c r="R63" s="100">
        <f>IFERROR(VLOOKUP(Tablo519[[#This Row],[ÜRÜN KODU]],YMKODLARI!$A$1:$K$363,6,0)," ")</f>
        <v>15.4</v>
      </c>
      <c r="S63" s="100">
        <f>IFERROR(Tablo519[[#This Row],[YOLLUK HARİÇ BASKI GRAMI]]/Tablo519[[#This Row],[KALIP GÖZ ADEDİ]]," ")</f>
        <v>1.925</v>
      </c>
      <c r="T63" s="100">
        <f t="shared" si="2"/>
        <v>1.7999999999999989</v>
      </c>
      <c r="U63" s="100">
        <v>2.6</v>
      </c>
      <c r="V63" s="100">
        <f t="shared" si="9"/>
        <v>16.152000000000001</v>
      </c>
      <c r="W63" s="101">
        <f t="shared" si="3"/>
        <v>24.280555555555555</v>
      </c>
      <c r="X63" s="102">
        <f t="shared" si="4"/>
        <v>6.7333333333333201</v>
      </c>
      <c r="Y63" s="100">
        <f t="shared" si="5"/>
        <v>4.8888888888888893</v>
      </c>
      <c r="Z63" s="100">
        <f t="shared" si="6"/>
        <v>7040</v>
      </c>
    </row>
    <row r="64" spans="1:26">
      <c r="A64" s="100" t="s">
        <v>221</v>
      </c>
      <c r="B64" s="108" t="str">
        <f>IFERROR(VLOOKUP(Tablo519[[#This Row],[ÜRÜN KODU]],YMKODLARI!$A$1:$K$363,2,0)," ")</f>
        <v>DAMAK EMZİK TIPA</v>
      </c>
      <c r="C64" s="99">
        <v>43930</v>
      </c>
      <c r="D64" s="100" t="s">
        <v>29</v>
      </c>
      <c r="E64" s="101">
        <v>0.33333333333333331</v>
      </c>
      <c r="F64" s="101">
        <v>0.83333333333333337</v>
      </c>
      <c r="G64" s="100">
        <f>IFERROR(VLOOKUP(Tablo519[[#This Row],[ÜRÜN KODU]],YMKODLARI!$A$1:$K$363,3,0)," ")</f>
        <v>8</v>
      </c>
      <c r="H64" s="100">
        <f>IFERROR(VLOOKUP(Tablo519[[#This Row],[ÜRÜN KODU]],YMKODLARI!$A$1:$K$363,4,0)," ")</f>
        <v>20</v>
      </c>
      <c r="I64" s="100">
        <v>1568</v>
      </c>
      <c r="J64" s="100">
        <f>IFERROR(VLOOKUP(Tablo519[[#This Row],[ÜRÜN KODU]],YMKODLARI!$A$1:$K$363,9,0)," ")</f>
        <v>4089</v>
      </c>
      <c r="K64" s="100" t="str">
        <f>IFERROR(VLOOKUP(Tablo519[[#This Row],[BOYA KODU]],Tablo14[#All],4,0)," ")</f>
        <v>LİLA</v>
      </c>
      <c r="L64" s="100">
        <f>IFERROR(VLOOKUP(Tablo519[[#This Row],[BOYA KODU]],Tablo14[#All],6,0)," ")</f>
        <v>5.0000000000000001E-3</v>
      </c>
      <c r="M64" s="100">
        <f>IFERROR((I64*Q64)*L64," ")</f>
        <v>134.84799999999998</v>
      </c>
      <c r="N64" s="100" t="str">
        <f>IFERROR(VLOOKUP(Tablo519[[#This Row],[ÜRÜN KODU]],YMKODLARI!$A$1:$K$363,8,0)," ")</f>
        <v>HM 002</v>
      </c>
      <c r="O64" s="100" t="str">
        <f>IFERROR(VLOOKUP(Tablo519[[#This Row],[HAMMADDE KODU]],Tablo1[#All],3,0)," ")</f>
        <v>NOVAREX</v>
      </c>
      <c r="P64" s="100" t="str">
        <f>IFERROR(VLOOKUP(Tablo519[[#This Row],[HAMMADDE KODU]],Tablo1[#All],4,0)," ")</f>
        <v>PİNHAS</v>
      </c>
      <c r="Q64" s="100">
        <f>IFERROR(VLOOKUP(Tablo519[[#This Row],[ÜRÜN KODU]],YMKODLARI!$A$1:$K$363,5,0)," ")</f>
        <v>17.2</v>
      </c>
      <c r="R64" s="100">
        <f>IFERROR(VLOOKUP(Tablo519[[#This Row],[ÜRÜN KODU]],YMKODLARI!$A$1:$K$363,6,0)," ")</f>
        <v>15.4</v>
      </c>
      <c r="S64" s="100">
        <f>IFERROR(Tablo519[[#This Row],[YOLLUK HARİÇ BASKI GRAMI]]/Tablo519[[#This Row],[KALIP GÖZ ADEDİ]]," ")</f>
        <v>1.925</v>
      </c>
      <c r="T64" s="100">
        <f>IFERROR(Q64-R64," ")</f>
        <v>1.7999999999999989</v>
      </c>
      <c r="U64" s="100">
        <v>3.5</v>
      </c>
      <c r="V64" s="100">
        <f t="shared" si="9"/>
        <v>27.647200000000002</v>
      </c>
      <c r="W64" s="101">
        <f>IFERROR(24-(E64-F64)," ")</f>
        <v>24.5</v>
      </c>
      <c r="X64" s="102">
        <f>IFERROR((W64-INT(W64))*24," ")</f>
        <v>12</v>
      </c>
      <c r="Y64" s="100">
        <f>IFERROR(H64*I64/3600," ")</f>
        <v>8.7111111111111104</v>
      </c>
      <c r="Z64" s="100">
        <f>IFERROR(I64*G64," " )</f>
        <v>12544</v>
      </c>
    </row>
    <row r="65" spans="1:26">
      <c r="A65" s="100" t="s">
        <v>221</v>
      </c>
      <c r="B65" s="108" t="str">
        <f>IFERROR(VLOOKUP(Tablo519[[#This Row],[ÜRÜN KODU]],YMKODLARI!$A$1:$K$363,2,0)," ")</f>
        <v>DAMAK EMZİK TIPA</v>
      </c>
      <c r="C65" s="99">
        <v>43931</v>
      </c>
      <c r="D65" s="100" t="s">
        <v>29</v>
      </c>
      <c r="E65" s="101">
        <v>0.33333333333333331</v>
      </c>
      <c r="F65" s="101">
        <v>0.76388888888888884</v>
      </c>
      <c r="G65" s="100">
        <f>IFERROR(VLOOKUP(Tablo519[[#This Row],[ÜRÜN KODU]],YMKODLARI!$A$1:$K$363,3,0)," ")</f>
        <v>8</v>
      </c>
      <c r="H65" s="100">
        <f>IFERROR(VLOOKUP(Tablo519[[#This Row],[ÜRÜN KODU]],YMKODLARI!$A$1:$K$363,4,0)," ")</f>
        <v>20</v>
      </c>
      <c r="I65" s="100">
        <v>1287</v>
      </c>
      <c r="J65" s="100">
        <f>IFERROR(VLOOKUP(Tablo519[[#This Row],[ÜRÜN KODU]],YMKODLARI!$A$1:$K$363,9,0)," ")</f>
        <v>4089</v>
      </c>
      <c r="K65" s="100" t="str">
        <f>IFERROR(VLOOKUP(Tablo519[[#This Row],[BOYA KODU]],Tablo14[#All],4,0)," ")</f>
        <v>LİLA</v>
      </c>
      <c r="L65" s="100">
        <f>IFERROR(VLOOKUP(Tablo519[[#This Row],[BOYA KODU]],Tablo14[#All],6,0)," ")</f>
        <v>5.0000000000000001E-3</v>
      </c>
      <c r="M65" s="100">
        <f t="shared" si="0"/>
        <v>110.68199999999999</v>
      </c>
      <c r="N65" s="100" t="str">
        <f>IFERROR(VLOOKUP(Tablo519[[#This Row],[ÜRÜN KODU]],YMKODLARI!$A$1:$K$363,8,0)," ")</f>
        <v>HM 002</v>
      </c>
      <c r="O65" s="100" t="str">
        <f>IFERROR(VLOOKUP(Tablo519[[#This Row],[HAMMADDE KODU]],Tablo1[#All],3,0)," ")</f>
        <v>NOVAREX</v>
      </c>
      <c r="P65" s="100" t="str">
        <f>IFERROR(VLOOKUP(Tablo519[[#This Row],[HAMMADDE KODU]],Tablo1[#All],4,0)," ")</f>
        <v>PİNHAS</v>
      </c>
      <c r="Q65" s="100">
        <f>IFERROR(VLOOKUP(Tablo519[[#This Row],[ÜRÜN KODU]],YMKODLARI!$A$1:$K$363,5,0)," ")</f>
        <v>17.2</v>
      </c>
      <c r="R65" s="100">
        <f>IFERROR(VLOOKUP(Tablo519[[#This Row],[ÜRÜN KODU]],YMKODLARI!$A$1:$K$363,6,0)," ")</f>
        <v>15.4</v>
      </c>
      <c r="S65" s="100">
        <f>IFERROR(Tablo519[[#This Row],[YOLLUK HARİÇ BASKI GRAMI]]/Tablo519[[#This Row],[KALIP GÖZ ADEDİ]]," ")</f>
        <v>1.925</v>
      </c>
      <c r="T65" s="100">
        <f t="shared" si="2"/>
        <v>1.7999999999999989</v>
      </c>
      <c r="U65" s="100"/>
      <c r="V65" s="100">
        <f t="shared" si="9"/>
        <v>19.819800000000001</v>
      </c>
      <c r="W65" s="101">
        <f t="shared" si="3"/>
        <v>24.430555555555557</v>
      </c>
      <c r="X65" s="102">
        <f t="shared" si="4"/>
        <v>10.333333333333371</v>
      </c>
      <c r="Y65" s="100">
        <f t="shared" si="5"/>
        <v>7.15</v>
      </c>
      <c r="Z65" s="100">
        <f t="shared" si="6"/>
        <v>10296</v>
      </c>
    </row>
    <row r="66" spans="1:26">
      <c r="A66" s="100" t="s">
        <v>161</v>
      </c>
      <c r="B66" s="108" t="str">
        <f>IFERROR(VLOOKUP(Tablo519[[#This Row],[ÜRÜN KODU]],YMKODLARI!$A$1:$K$363,2,0)," ")</f>
        <v>DAMAK EMZİK TIPA</v>
      </c>
      <c r="C66" s="99">
        <v>43931</v>
      </c>
      <c r="D66" s="100" t="s">
        <v>29</v>
      </c>
      <c r="E66" s="101">
        <v>0.79999999999999993</v>
      </c>
      <c r="F66" s="101">
        <v>0.83333333333333337</v>
      </c>
      <c r="G66" s="100">
        <f>IFERROR(VLOOKUP(Tablo519[[#This Row],[ÜRÜN KODU]],YMKODLARI!$A$1:$K$363,3,0)," ")</f>
        <v>8</v>
      </c>
      <c r="H66" s="100">
        <f>IFERROR(VLOOKUP(Tablo519[[#This Row],[ÜRÜN KODU]],YMKODLARI!$A$1:$K$363,4,0)," ")</f>
        <v>20</v>
      </c>
      <c r="I66" s="100">
        <v>111</v>
      </c>
      <c r="J66" s="100">
        <f>IFERROR(VLOOKUP(Tablo519[[#This Row],[ÜRÜN KODU]],YMKODLARI!$A$1:$K$363,9,0)," ")</f>
        <v>6192</v>
      </c>
      <c r="K66" s="100" t="str">
        <f>IFERROR(VLOOKUP(Tablo519[[#This Row],[BOYA KODU]],Tablo14[#All],4,0)," ")</f>
        <v>YEŞİL</v>
      </c>
      <c r="L66" s="100">
        <f>IFERROR(VLOOKUP(Tablo519[[#This Row],[BOYA KODU]],Tablo14[#All],6,0)," ")</f>
        <v>5.0000000000000001E-3</v>
      </c>
      <c r="M66" s="100">
        <f t="shared" si="0"/>
        <v>9.5459999999999994</v>
      </c>
      <c r="N66" s="100" t="str">
        <f>IFERROR(VLOOKUP(Tablo519[[#This Row],[ÜRÜN KODU]],YMKODLARI!$A$1:$K$363,8,0)," ")</f>
        <v>HM 002</v>
      </c>
      <c r="O66" s="100" t="str">
        <f>IFERROR(VLOOKUP(Tablo519[[#This Row],[HAMMADDE KODU]],Tablo1[#All],3,0)," ")</f>
        <v>NOVAREX</v>
      </c>
      <c r="P66" s="100" t="str">
        <f>IFERROR(VLOOKUP(Tablo519[[#This Row],[HAMMADDE KODU]],Tablo1[#All],4,0)," ")</f>
        <v>PİNHAS</v>
      </c>
      <c r="Q66" s="100">
        <f>IFERROR(VLOOKUP(Tablo519[[#This Row],[ÜRÜN KODU]],YMKODLARI!$A$1:$K$363,5,0)," ")</f>
        <v>17.2</v>
      </c>
      <c r="R66" s="100">
        <f>IFERROR(VLOOKUP(Tablo519[[#This Row],[ÜRÜN KODU]],YMKODLARI!$A$1:$K$363,6,0)," ")</f>
        <v>15.4</v>
      </c>
      <c r="S66" s="100">
        <f>IFERROR(Tablo519[[#This Row],[YOLLUK HARİÇ BASKI GRAMI]]/Tablo519[[#This Row],[KALIP GÖZ ADEDİ]]," ")</f>
        <v>1.925</v>
      </c>
      <c r="T66" s="100">
        <f t="shared" si="2"/>
        <v>1.7999999999999989</v>
      </c>
      <c r="U66" s="100">
        <v>1.4</v>
      </c>
      <c r="V66" s="100">
        <f t="shared" si="9"/>
        <v>3.1093999999999999</v>
      </c>
      <c r="W66" s="101">
        <f t="shared" si="3"/>
        <v>24.033333333333335</v>
      </c>
      <c r="X66" s="102">
        <f t="shared" si="4"/>
        <v>0.80000000000003979</v>
      </c>
      <c r="Y66" s="100">
        <f t="shared" si="5"/>
        <v>0.6166666666666667</v>
      </c>
      <c r="Z66" s="100">
        <f t="shared" si="6"/>
        <v>888</v>
      </c>
    </row>
    <row r="67" spans="1:26">
      <c r="A67" s="100" t="s">
        <v>161</v>
      </c>
      <c r="B67" s="108" t="str">
        <f>IFERROR(VLOOKUP(Tablo519[[#This Row],[ÜRÜN KODU]],YMKODLARI!$A$1:$K$363,2,0)," ")</f>
        <v>DAMAK EMZİK TIPA</v>
      </c>
      <c r="C67" s="99">
        <v>43934</v>
      </c>
      <c r="D67" s="100" t="s">
        <v>29</v>
      </c>
      <c r="E67" s="101">
        <v>0.41666666666666669</v>
      </c>
      <c r="F67" s="101">
        <v>0.74444444444444446</v>
      </c>
      <c r="G67" s="100">
        <f>IFERROR(VLOOKUP(Tablo519[[#This Row],[ÜRÜN KODU]],YMKODLARI!$A$1:$K$363,3,0)," ")</f>
        <v>8</v>
      </c>
      <c r="H67" s="100">
        <f>IFERROR(VLOOKUP(Tablo519[[#This Row],[ÜRÜN KODU]],YMKODLARI!$A$1:$K$363,4,0)," ")</f>
        <v>20</v>
      </c>
      <c r="I67" s="100">
        <v>1030</v>
      </c>
      <c r="J67" s="100">
        <f>IFERROR(VLOOKUP(Tablo519[[#This Row],[ÜRÜN KODU]],YMKODLARI!$A$1:$K$363,9,0)," ")</f>
        <v>6192</v>
      </c>
      <c r="K67" s="100" t="str">
        <f>IFERROR(VLOOKUP(Tablo519[[#This Row],[BOYA KODU]],Tablo14[#All],4,0)," ")</f>
        <v>YEŞİL</v>
      </c>
      <c r="L67" s="100">
        <f>IFERROR(VLOOKUP(Tablo519[[#This Row],[BOYA KODU]],Tablo14[#All],6,0)," ")</f>
        <v>5.0000000000000001E-3</v>
      </c>
      <c r="M67" s="100">
        <f t="shared" ref="M67:M130" si="10">IFERROR((I67*Q67)*L67," ")</f>
        <v>88.58</v>
      </c>
      <c r="N67" s="100" t="str">
        <f>IFERROR(VLOOKUP(Tablo519[[#This Row],[ÜRÜN KODU]],YMKODLARI!$A$1:$K$363,8,0)," ")</f>
        <v>HM 002</v>
      </c>
      <c r="O67" s="100" t="str">
        <f>IFERROR(VLOOKUP(Tablo519[[#This Row],[HAMMADDE KODU]],Tablo1[#All],3,0)," ")</f>
        <v>NOVAREX</v>
      </c>
      <c r="P67" s="100" t="str">
        <f>IFERROR(VLOOKUP(Tablo519[[#This Row],[HAMMADDE KODU]],Tablo1[#All],4,0)," ")</f>
        <v>PİNHAS</v>
      </c>
      <c r="Q67" s="100">
        <f>IFERROR(VLOOKUP(Tablo519[[#This Row],[ÜRÜN KODU]],YMKODLARI!$A$1:$K$363,5,0)," ")</f>
        <v>17.2</v>
      </c>
      <c r="R67" s="100">
        <f>IFERROR(VLOOKUP(Tablo519[[#This Row],[ÜRÜN KODU]],YMKODLARI!$A$1:$K$363,6,0)," ")</f>
        <v>15.4</v>
      </c>
      <c r="S67" s="100">
        <f>IFERROR(Tablo519[[#This Row],[YOLLUK HARİÇ BASKI GRAMI]]/Tablo519[[#This Row],[KALIP GÖZ ADEDİ]]," ")</f>
        <v>1.925</v>
      </c>
      <c r="T67" s="100">
        <f t="shared" si="2"/>
        <v>1.7999999999999989</v>
      </c>
      <c r="U67" s="100">
        <v>3.6</v>
      </c>
      <c r="V67" s="100">
        <f t="shared" si="9"/>
        <v>19.462</v>
      </c>
      <c r="W67" s="101">
        <f t="shared" si="3"/>
        <v>24.327777777777779</v>
      </c>
      <c r="X67" s="102">
        <f t="shared" si="4"/>
        <v>7.8666666666667027</v>
      </c>
      <c r="Y67" s="100">
        <f t="shared" si="5"/>
        <v>5.7222222222222223</v>
      </c>
      <c r="Z67" s="100">
        <f t="shared" si="6"/>
        <v>8240</v>
      </c>
    </row>
    <row r="68" spans="1:26">
      <c r="A68" s="100" t="s">
        <v>131</v>
      </c>
      <c r="B68" s="108" t="str">
        <f>IFERROR(VLOOKUP(Tablo519[[#This Row],[ÜRÜN KODU]],YMKODLARI!$A$1:$K$363,2,0)," ")</f>
        <v>DAMAK EMZİK TIPA</v>
      </c>
      <c r="C68" s="99">
        <v>43934</v>
      </c>
      <c r="D68" s="100" t="s">
        <v>29</v>
      </c>
      <c r="E68" s="101">
        <v>0.78611111111111109</v>
      </c>
      <c r="F68" s="101">
        <v>0.83333333333333337</v>
      </c>
      <c r="G68" s="100">
        <f>IFERROR(VLOOKUP(Tablo519[[#This Row],[ÜRÜN KODU]],YMKODLARI!$A$1:$K$363,3,0)," ")</f>
        <v>8</v>
      </c>
      <c r="H68" s="100">
        <f>IFERROR(VLOOKUP(Tablo519[[#This Row],[ÜRÜN KODU]],YMKODLARI!$A$1:$K$363,4,0)," ")</f>
        <v>20</v>
      </c>
      <c r="I68" s="100">
        <v>153</v>
      </c>
      <c r="J68" s="100">
        <f>IFERROR(VLOOKUP(Tablo519[[#This Row],[ÜRÜN KODU]],YMKODLARI!$A$1:$K$363,9,0)," ")</f>
        <v>1289</v>
      </c>
      <c r="K68" s="100" t="str">
        <f>IFERROR(VLOOKUP(Tablo519[[#This Row],[BOYA KODU]],Tablo14[#All],4,0)," ")</f>
        <v>SARI</v>
      </c>
      <c r="L68" s="100">
        <f>IFERROR(VLOOKUP(Tablo519[[#This Row],[BOYA KODU]],Tablo14[#All],6,0)," ")</f>
        <v>5.0000000000000001E-3</v>
      </c>
      <c r="M68" s="100">
        <f t="shared" si="10"/>
        <v>13.157999999999999</v>
      </c>
      <c r="N68" s="100" t="str">
        <f>IFERROR(VLOOKUP(Tablo519[[#This Row],[ÜRÜN KODU]],YMKODLARI!$A$1:$K$363,8,0)," ")</f>
        <v>HM 002</v>
      </c>
      <c r="O68" s="100" t="str">
        <f>IFERROR(VLOOKUP(Tablo519[[#This Row],[HAMMADDE KODU]],Tablo1[#All],3,0)," ")</f>
        <v>NOVAREX</v>
      </c>
      <c r="P68" s="100" t="str">
        <f>IFERROR(VLOOKUP(Tablo519[[#This Row],[HAMMADDE KODU]],Tablo1[#All],4,0)," ")</f>
        <v>PİNHAS</v>
      </c>
      <c r="Q68" s="100">
        <f>IFERROR(VLOOKUP(Tablo519[[#This Row],[ÜRÜN KODU]],YMKODLARI!$A$1:$K$363,5,0)," ")</f>
        <v>17.2</v>
      </c>
      <c r="R68" s="100">
        <f>IFERROR(VLOOKUP(Tablo519[[#This Row],[ÜRÜN KODU]],YMKODLARI!$A$1:$K$363,6,0)," ")</f>
        <v>15.4</v>
      </c>
      <c r="S68" s="100">
        <f>IFERROR(Tablo519[[#This Row],[YOLLUK HARİÇ BASKI GRAMI]]/Tablo519[[#This Row],[KALIP GÖZ ADEDİ]]," ")</f>
        <v>1.925</v>
      </c>
      <c r="T68" s="100">
        <f t="shared" ref="T68:T131" si="11">IFERROR(Q68-R68," ")</f>
        <v>1.7999999999999989</v>
      </c>
      <c r="U68" s="100">
        <v>1.2</v>
      </c>
      <c r="V68" s="100">
        <f t="shared" si="9"/>
        <v>3.5562000000000005</v>
      </c>
      <c r="W68" s="101">
        <f t="shared" ref="W68:W131" si="12">IFERROR(24-(E68-F68)," ")</f>
        <v>24.047222222222221</v>
      </c>
      <c r="X68" s="102">
        <f t="shared" ref="X68:X131" si="13">IFERROR((W68-INT(W68))*24," ")</f>
        <v>1.1333333333332973</v>
      </c>
      <c r="Y68" s="100">
        <f t="shared" ref="Y68:Y131" si="14">IFERROR(H68*I68/3600," ")</f>
        <v>0.85</v>
      </c>
      <c r="Z68" s="100">
        <f t="shared" ref="Z68:Z131" si="15">IFERROR(I68*G68," " )</f>
        <v>1224</v>
      </c>
    </row>
    <row r="69" spans="1:26">
      <c r="A69" s="100" t="s">
        <v>131</v>
      </c>
      <c r="B69" s="108" t="str">
        <f>IFERROR(VLOOKUP(Tablo519[[#This Row],[ÜRÜN KODU]],YMKODLARI!$A$1:$K$363,2,0)," ")</f>
        <v>DAMAK EMZİK TIPA</v>
      </c>
      <c r="C69" s="99">
        <v>43934</v>
      </c>
      <c r="D69" s="100" t="s">
        <v>37</v>
      </c>
      <c r="E69" s="101">
        <v>0.83333333333333337</v>
      </c>
      <c r="F69" s="101">
        <v>0.33333333333333331</v>
      </c>
      <c r="G69" s="100">
        <f>IFERROR(VLOOKUP(Tablo519[[#This Row],[ÜRÜN KODU]],YMKODLARI!$A$1:$K$363,3,0)," ")</f>
        <v>8</v>
      </c>
      <c r="H69" s="100">
        <f>IFERROR(VLOOKUP(Tablo519[[#This Row],[ÜRÜN KODU]],YMKODLARI!$A$1:$K$363,4,0)," ")</f>
        <v>20</v>
      </c>
      <c r="I69" s="100">
        <v>1673</v>
      </c>
      <c r="J69" s="100">
        <f>IFERROR(VLOOKUP(Tablo519[[#This Row],[ÜRÜN KODU]],YMKODLARI!$A$1:$K$363,9,0)," ")</f>
        <v>1289</v>
      </c>
      <c r="K69" s="100" t="str">
        <f>IFERROR(VLOOKUP(Tablo519[[#This Row],[BOYA KODU]],Tablo14[#All],4,0)," ")</f>
        <v>SARI</v>
      </c>
      <c r="L69" s="100">
        <f>IFERROR(VLOOKUP(Tablo519[[#This Row],[BOYA KODU]],Tablo14[#All],6,0)," ")</f>
        <v>5.0000000000000001E-3</v>
      </c>
      <c r="M69" s="100">
        <f t="shared" si="10"/>
        <v>143.87799999999999</v>
      </c>
      <c r="N69" s="100" t="str">
        <f>IFERROR(VLOOKUP(Tablo519[[#This Row],[ÜRÜN KODU]],YMKODLARI!$A$1:$K$363,8,0)," ")</f>
        <v>HM 002</v>
      </c>
      <c r="O69" s="100" t="str">
        <f>IFERROR(VLOOKUP(Tablo519[[#This Row],[HAMMADDE KODU]],Tablo1[#All],3,0)," ")</f>
        <v>NOVAREX</v>
      </c>
      <c r="P69" s="100" t="str">
        <f>IFERROR(VLOOKUP(Tablo519[[#This Row],[HAMMADDE KODU]],Tablo1[#All],4,0)," ")</f>
        <v>PİNHAS</v>
      </c>
      <c r="Q69" s="100">
        <f>IFERROR(VLOOKUP(Tablo519[[#This Row],[ÜRÜN KODU]],YMKODLARI!$A$1:$K$363,5,0)," ")</f>
        <v>17.2</v>
      </c>
      <c r="R69" s="100">
        <f>IFERROR(VLOOKUP(Tablo519[[#This Row],[ÜRÜN KODU]],YMKODLARI!$A$1:$K$363,6,0)," ")</f>
        <v>15.4</v>
      </c>
      <c r="S69" s="100">
        <f>IFERROR(Tablo519[[#This Row],[YOLLUK HARİÇ BASKI GRAMI]]/Tablo519[[#This Row],[KALIP GÖZ ADEDİ]]," ")</f>
        <v>1.925</v>
      </c>
      <c r="T69" s="100">
        <f t="shared" si="11"/>
        <v>1.7999999999999989</v>
      </c>
      <c r="U69" s="100">
        <v>3.2</v>
      </c>
      <c r="V69" s="100">
        <f t="shared" si="9"/>
        <v>28.964200000000002</v>
      </c>
      <c r="W69" s="101">
        <f t="shared" si="12"/>
        <v>23.5</v>
      </c>
      <c r="X69" s="102">
        <f t="shared" si="13"/>
        <v>12</v>
      </c>
      <c r="Y69" s="100">
        <f t="shared" si="14"/>
        <v>9.2944444444444443</v>
      </c>
      <c r="Z69" s="100">
        <f t="shared" si="15"/>
        <v>13384</v>
      </c>
    </row>
    <row r="70" spans="1:26">
      <c r="A70" s="100" t="s">
        <v>131</v>
      </c>
      <c r="B70" s="108" t="str">
        <f>IFERROR(VLOOKUP(Tablo519[[#This Row],[ÜRÜN KODU]],YMKODLARI!$A$1:$K$363,2,0)," ")</f>
        <v>DAMAK EMZİK TIPA</v>
      </c>
      <c r="C70" s="99">
        <v>43935</v>
      </c>
      <c r="D70" s="100" t="s">
        <v>29</v>
      </c>
      <c r="E70" s="101">
        <v>0.33333333333333331</v>
      </c>
      <c r="F70" s="101">
        <v>0.83333333333333337</v>
      </c>
      <c r="G70" s="100">
        <f>IFERROR(VLOOKUP(Tablo519[[#This Row],[ÜRÜN KODU]],YMKODLARI!$A$1:$K$363,3,0)," ")</f>
        <v>8</v>
      </c>
      <c r="H70" s="100">
        <f>IFERROR(VLOOKUP(Tablo519[[#This Row],[ÜRÜN KODU]],YMKODLARI!$A$1:$K$363,4,0)," ")</f>
        <v>20</v>
      </c>
      <c r="I70" s="100">
        <v>1679</v>
      </c>
      <c r="J70" s="100">
        <f>IFERROR(VLOOKUP(Tablo519[[#This Row],[ÜRÜN KODU]],YMKODLARI!$A$1:$K$363,9,0)," ")</f>
        <v>1289</v>
      </c>
      <c r="K70" s="100" t="str">
        <f>IFERROR(VLOOKUP(Tablo519[[#This Row],[BOYA KODU]],Tablo14[#All],4,0)," ")</f>
        <v>SARI</v>
      </c>
      <c r="L70" s="100">
        <f>IFERROR(VLOOKUP(Tablo519[[#This Row],[BOYA KODU]],Tablo14[#All],6,0)," ")</f>
        <v>5.0000000000000001E-3</v>
      </c>
      <c r="M70" s="100">
        <f t="shared" si="10"/>
        <v>144.39400000000001</v>
      </c>
      <c r="N70" s="100" t="str">
        <f>IFERROR(VLOOKUP(Tablo519[[#This Row],[ÜRÜN KODU]],YMKODLARI!$A$1:$K$363,8,0)," ")</f>
        <v>HM 002</v>
      </c>
      <c r="O70" s="100" t="str">
        <f>IFERROR(VLOOKUP(Tablo519[[#This Row],[HAMMADDE KODU]],Tablo1[#All],3,0)," ")</f>
        <v>NOVAREX</v>
      </c>
      <c r="P70" s="100" t="str">
        <f>IFERROR(VLOOKUP(Tablo519[[#This Row],[HAMMADDE KODU]],Tablo1[#All],4,0)," ")</f>
        <v>PİNHAS</v>
      </c>
      <c r="Q70" s="100">
        <f>IFERROR(VLOOKUP(Tablo519[[#This Row],[ÜRÜN KODU]],YMKODLARI!$A$1:$K$363,5,0)," ")</f>
        <v>17.2</v>
      </c>
      <c r="R70" s="100">
        <f>IFERROR(VLOOKUP(Tablo519[[#This Row],[ÜRÜN KODU]],YMKODLARI!$A$1:$K$363,6,0)," ")</f>
        <v>15.4</v>
      </c>
      <c r="S70" s="100">
        <f>IFERROR(Tablo519[[#This Row],[YOLLUK HARİÇ BASKI GRAMI]]/Tablo519[[#This Row],[KALIP GÖZ ADEDİ]]," ")</f>
        <v>1.925</v>
      </c>
      <c r="T70" s="100">
        <f t="shared" si="11"/>
        <v>1.7999999999999989</v>
      </c>
      <c r="U70" s="100">
        <v>3.5</v>
      </c>
      <c r="V70" s="100">
        <f t="shared" si="9"/>
        <v>29.356600000000004</v>
      </c>
      <c r="W70" s="101">
        <f t="shared" si="12"/>
        <v>24.5</v>
      </c>
      <c r="X70" s="102">
        <f t="shared" si="13"/>
        <v>12</v>
      </c>
      <c r="Y70" s="100">
        <f t="shared" si="14"/>
        <v>9.3277777777777775</v>
      </c>
      <c r="Z70" s="100">
        <f t="shared" si="15"/>
        <v>13432</v>
      </c>
    </row>
    <row r="71" spans="1:26">
      <c r="A71" s="100" t="s">
        <v>131</v>
      </c>
      <c r="B71" s="108" t="str">
        <f>IFERROR(VLOOKUP(Tablo519[[#This Row],[ÜRÜN KODU]],YMKODLARI!$A$1:$K$363,2,0)," ")</f>
        <v>DAMAK EMZİK TIPA</v>
      </c>
      <c r="C71" s="99">
        <v>43936</v>
      </c>
      <c r="D71" s="100" t="s">
        <v>29</v>
      </c>
      <c r="E71" s="101">
        <v>0.33333333333333331</v>
      </c>
      <c r="F71" s="101">
        <v>0.83333333333333337</v>
      </c>
      <c r="G71" s="100">
        <f>IFERROR(VLOOKUP(Tablo519[[#This Row],[ÜRÜN KODU]],YMKODLARI!$A$1:$K$363,3,0)," ")</f>
        <v>8</v>
      </c>
      <c r="H71" s="100">
        <f>IFERROR(VLOOKUP(Tablo519[[#This Row],[ÜRÜN KODU]],YMKODLARI!$A$1:$K$363,4,0)," ")</f>
        <v>20</v>
      </c>
      <c r="I71" s="100">
        <v>1614</v>
      </c>
      <c r="J71" s="100">
        <f>IFERROR(VLOOKUP(Tablo519[[#This Row],[ÜRÜN KODU]],YMKODLARI!$A$1:$K$363,9,0)," ")</f>
        <v>1289</v>
      </c>
      <c r="K71" s="100" t="str">
        <f>IFERROR(VLOOKUP(Tablo519[[#This Row],[BOYA KODU]],Tablo14[#All],4,0)," ")</f>
        <v>SARI</v>
      </c>
      <c r="L71" s="100">
        <f>IFERROR(VLOOKUP(Tablo519[[#This Row],[BOYA KODU]],Tablo14[#All],6,0)," ")</f>
        <v>5.0000000000000001E-3</v>
      </c>
      <c r="M71" s="100">
        <f t="shared" si="10"/>
        <v>138.804</v>
      </c>
      <c r="N71" s="100" t="str">
        <f>IFERROR(VLOOKUP(Tablo519[[#This Row],[ÜRÜN KODU]],YMKODLARI!$A$1:$K$363,8,0)," ")</f>
        <v>HM 002</v>
      </c>
      <c r="O71" s="100" t="str">
        <f>IFERROR(VLOOKUP(Tablo519[[#This Row],[HAMMADDE KODU]],Tablo1[#All],3,0)," ")</f>
        <v>NOVAREX</v>
      </c>
      <c r="P71" s="100" t="str">
        <f>IFERROR(VLOOKUP(Tablo519[[#This Row],[HAMMADDE KODU]],Tablo1[#All],4,0)," ")</f>
        <v>PİNHAS</v>
      </c>
      <c r="Q71" s="100">
        <f>IFERROR(VLOOKUP(Tablo519[[#This Row],[ÜRÜN KODU]],YMKODLARI!$A$1:$K$363,5,0)," ")</f>
        <v>17.2</v>
      </c>
      <c r="R71" s="100">
        <f>IFERROR(VLOOKUP(Tablo519[[#This Row],[ÜRÜN KODU]],YMKODLARI!$A$1:$K$363,6,0)," ")</f>
        <v>15.4</v>
      </c>
      <c r="S71" s="100">
        <f>IFERROR(Tablo519[[#This Row],[YOLLUK HARİÇ BASKI GRAMI]]/Tablo519[[#This Row],[KALIP GÖZ ADEDİ]]," ")</f>
        <v>1.925</v>
      </c>
      <c r="T71" s="100">
        <f t="shared" si="11"/>
        <v>1.7999999999999989</v>
      </c>
      <c r="U71" s="100">
        <v>3.2</v>
      </c>
      <c r="V71" s="100">
        <f t="shared" si="9"/>
        <v>28.055600000000002</v>
      </c>
      <c r="W71" s="101">
        <f t="shared" si="12"/>
        <v>24.5</v>
      </c>
      <c r="X71" s="102">
        <f t="shared" si="13"/>
        <v>12</v>
      </c>
      <c r="Y71" s="100">
        <f t="shared" si="14"/>
        <v>8.9666666666666668</v>
      </c>
      <c r="Z71" s="100">
        <f t="shared" si="15"/>
        <v>12912</v>
      </c>
    </row>
    <row r="72" spans="1:26">
      <c r="A72" s="100" t="s">
        <v>131</v>
      </c>
      <c r="B72" s="108" t="str">
        <f>IFERROR(VLOOKUP(Tablo519[[#This Row],[ÜRÜN KODU]],YMKODLARI!$A$1:$K$363,2,0)," ")</f>
        <v>DAMAK EMZİK TIPA</v>
      </c>
      <c r="C72" s="99">
        <v>43937</v>
      </c>
      <c r="D72" s="100" t="s">
        <v>33</v>
      </c>
      <c r="E72" s="101">
        <v>0.33333333333333331</v>
      </c>
      <c r="F72" s="101">
        <v>0.84375</v>
      </c>
      <c r="G72" s="100">
        <f>IFERROR(VLOOKUP(Tablo519[[#This Row],[ÜRÜN KODU]],YMKODLARI!$A$1:$K$363,3,0)," ")</f>
        <v>8</v>
      </c>
      <c r="H72" s="100">
        <f>IFERROR(VLOOKUP(Tablo519[[#This Row],[ÜRÜN KODU]],YMKODLARI!$A$1:$K$363,4,0)," ")</f>
        <v>20</v>
      </c>
      <c r="I72" s="100">
        <v>1663</v>
      </c>
      <c r="J72" s="100">
        <f>IFERROR(VLOOKUP(Tablo519[[#This Row],[ÜRÜN KODU]],YMKODLARI!$A$1:$K$363,9,0)," ")</f>
        <v>1289</v>
      </c>
      <c r="K72" s="100" t="str">
        <f>IFERROR(VLOOKUP(Tablo519[[#This Row],[BOYA KODU]],Tablo14[#All],4,0)," ")</f>
        <v>SARI</v>
      </c>
      <c r="L72" s="100">
        <f>IFERROR(VLOOKUP(Tablo519[[#This Row],[BOYA KODU]],Tablo14[#All],6,0)," ")</f>
        <v>5.0000000000000001E-3</v>
      </c>
      <c r="M72" s="100">
        <f t="shared" si="10"/>
        <v>143.018</v>
      </c>
      <c r="N72" s="100" t="str">
        <f>IFERROR(VLOOKUP(Tablo519[[#This Row],[ÜRÜN KODU]],YMKODLARI!$A$1:$K$363,8,0)," ")</f>
        <v>HM 002</v>
      </c>
      <c r="O72" s="100" t="str">
        <f>IFERROR(VLOOKUP(Tablo519[[#This Row],[HAMMADDE KODU]],Tablo1[#All],3,0)," ")</f>
        <v>NOVAREX</v>
      </c>
      <c r="P72" s="100" t="str">
        <f>IFERROR(VLOOKUP(Tablo519[[#This Row],[HAMMADDE KODU]],Tablo1[#All],4,0)," ")</f>
        <v>PİNHAS</v>
      </c>
      <c r="Q72" s="100">
        <f>IFERROR(VLOOKUP(Tablo519[[#This Row],[ÜRÜN KODU]],YMKODLARI!$A$1:$K$363,5,0)," ")</f>
        <v>17.2</v>
      </c>
      <c r="R72" s="100">
        <f>IFERROR(VLOOKUP(Tablo519[[#This Row],[ÜRÜN KODU]],YMKODLARI!$A$1:$K$363,6,0)," ")</f>
        <v>15.4</v>
      </c>
      <c r="S72" s="100">
        <f>IFERROR(Tablo519[[#This Row],[YOLLUK HARİÇ BASKI GRAMI]]/Tablo519[[#This Row],[KALIP GÖZ ADEDİ]]," ")</f>
        <v>1.925</v>
      </c>
      <c r="T72" s="100">
        <f t="shared" si="11"/>
        <v>1.7999999999999989</v>
      </c>
      <c r="U72" s="100">
        <v>3.3</v>
      </c>
      <c r="V72" s="100">
        <f t="shared" si="9"/>
        <v>28.9102</v>
      </c>
      <c r="W72" s="101">
        <f t="shared" si="12"/>
        <v>24.510416666666668</v>
      </c>
      <c r="X72" s="102">
        <f t="shared" si="13"/>
        <v>12.250000000000028</v>
      </c>
      <c r="Y72" s="100">
        <f t="shared" si="14"/>
        <v>9.2388888888888889</v>
      </c>
      <c r="Z72" s="100">
        <f t="shared" si="15"/>
        <v>13304</v>
      </c>
    </row>
    <row r="73" spans="1:26">
      <c r="A73" s="100" t="s">
        <v>131</v>
      </c>
      <c r="B73" s="108" t="str">
        <f>IFERROR(VLOOKUP(Tablo519[[#This Row],[ÜRÜN KODU]],YMKODLARI!$A$1:$K$363,2,0)," ")</f>
        <v>DAMAK EMZİK TIPA</v>
      </c>
      <c r="C73" s="99">
        <v>43938</v>
      </c>
      <c r="D73" s="100" t="s">
        <v>33</v>
      </c>
      <c r="E73" s="101">
        <v>0.33333333333333331</v>
      </c>
      <c r="F73" s="101">
        <v>0.70486111111111116</v>
      </c>
      <c r="G73" s="100">
        <f>IFERROR(VLOOKUP(Tablo519[[#This Row],[ÜRÜN KODU]],YMKODLARI!$A$1:$K$363,3,0)," ")</f>
        <v>8</v>
      </c>
      <c r="H73" s="100">
        <f>IFERROR(VLOOKUP(Tablo519[[#This Row],[ÜRÜN KODU]],YMKODLARI!$A$1:$K$363,4,0)," ")</f>
        <v>20</v>
      </c>
      <c r="I73" s="100">
        <v>1213</v>
      </c>
      <c r="J73" s="100">
        <f>IFERROR(VLOOKUP(Tablo519[[#This Row],[ÜRÜN KODU]],YMKODLARI!$A$1:$K$363,9,0)," ")</f>
        <v>1289</v>
      </c>
      <c r="K73" s="100" t="str">
        <f>IFERROR(VLOOKUP(Tablo519[[#This Row],[BOYA KODU]],Tablo14[#All],4,0)," ")</f>
        <v>SARI</v>
      </c>
      <c r="L73" s="100">
        <f>IFERROR(VLOOKUP(Tablo519[[#This Row],[BOYA KODU]],Tablo14[#All],6,0)," ")</f>
        <v>5.0000000000000001E-3</v>
      </c>
      <c r="M73" s="100">
        <f t="shared" si="10"/>
        <v>104.318</v>
      </c>
      <c r="N73" s="100" t="str">
        <f>IFERROR(VLOOKUP(Tablo519[[#This Row],[ÜRÜN KODU]],YMKODLARI!$A$1:$K$363,8,0)," ")</f>
        <v>HM 002</v>
      </c>
      <c r="O73" s="100" t="str">
        <f>IFERROR(VLOOKUP(Tablo519[[#This Row],[HAMMADDE KODU]],Tablo1[#All],3,0)," ")</f>
        <v>NOVAREX</v>
      </c>
      <c r="P73" s="100" t="str">
        <f>IFERROR(VLOOKUP(Tablo519[[#This Row],[HAMMADDE KODU]],Tablo1[#All],4,0)," ")</f>
        <v>PİNHAS</v>
      </c>
      <c r="Q73" s="100">
        <f>IFERROR(VLOOKUP(Tablo519[[#This Row],[ÜRÜN KODU]],YMKODLARI!$A$1:$K$363,5,0)," ")</f>
        <v>17.2</v>
      </c>
      <c r="R73" s="100">
        <f>IFERROR(VLOOKUP(Tablo519[[#This Row],[ÜRÜN KODU]],YMKODLARI!$A$1:$K$363,6,0)," ")</f>
        <v>15.4</v>
      </c>
      <c r="S73" s="100">
        <f>IFERROR(Tablo519[[#This Row],[YOLLUK HARİÇ BASKI GRAMI]]/Tablo519[[#This Row],[KALIP GÖZ ADEDİ]]," ")</f>
        <v>1.925</v>
      </c>
      <c r="T73" s="100">
        <f t="shared" si="11"/>
        <v>1.7999999999999989</v>
      </c>
      <c r="U73" s="100">
        <v>3.6</v>
      </c>
      <c r="V73" s="100">
        <f t="shared" si="9"/>
        <v>22.280200000000001</v>
      </c>
      <c r="W73" s="101">
        <f t="shared" si="12"/>
        <v>24.371527777777779</v>
      </c>
      <c r="X73" s="102">
        <f t="shared" si="13"/>
        <v>8.9166666666666856</v>
      </c>
      <c r="Y73" s="100">
        <f t="shared" si="14"/>
        <v>6.7388888888888889</v>
      </c>
      <c r="Z73" s="100">
        <f t="shared" si="15"/>
        <v>9704</v>
      </c>
    </row>
    <row r="74" spans="1:26">
      <c r="A74" s="100" t="s">
        <v>161</v>
      </c>
      <c r="B74" s="108" t="str">
        <f>IFERROR(VLOOKUP(Tablo519[[#This Row],[ÜRÜN KODU]],YMKODLARI!$A$1:$K$363,2,0)," ")</f>
        <v>DAMAK EMZİK TIPA</v>
      </c>
      <c r="C74" s="99">
        <v>43941</v>
      </c>
      <c r="D74" s="100" t="s">
        <v>33</v>
      </c>
      <c r="E74" s="101">
        <v>0.41666666666666669</v>
      </c>
      <c r="F74" s="101">
        <v>0.83333333333333337</v>
      </c>
      <c r="G74" s="100">
        <f>IFERROR(VLOOKUP(Tablo519[[#This Row],[ÜRÜN KODU]],YMKODLARI!$A$1:$K$363,3,0)," ")</f>
        <v>8</v>
      </c>
      <c r="H74" s="100">
        <f>IFERROR(VLOOKUP(Tablo519[[#This Row],[ÜRÜN KODU]],YMKODLARI!$A$1:$K$363,4,0)," ")</f>
        <v>20</v>
      </c>
      <c r="I74" s="100">
        <v>1308</v>
      </c>
      <c r="J74" s="100">
        <f>IFERROR(VLOOKUP(Tablo519[[#This Row],[ÜRÜN KODU]],YMKODLARI!$A$1:$K$363,9,0)," ")</f>
        <v>6192</v>
      </c>
      <c r="K74" s="100" t="str">
        <f>IFERROR(VLOOKUP(Tablo519[[#This Row],[BOYA KODU]],Tablo14[#All],4,0)," ")</f>
        <v>YEŞİL</v>
      </c>
      <c r="L74" s="100">
        <f>IFERROR(VLOOKUP(Tablo519[[#This Row],[BOYA KODU]],Tablo14[#All],6,0)," ")</f>
        <v>5.0000000000000001E-3</v>
      </c>
      <c r="M74" s="100">
        <f t="shared" si="10"/>
        <v>112.488</v>
      </c>
      <c r="N74" s="100" t="str">
        <f>IFERROR(VLOOKUP(Tablo519[[#This Row],[ÜRÜN KODU]],YMKODLARI!$A$1:$K$363,8,0)," ")</f>
        <v>HM 002</v>
      </c>
      <c r="O74" s="100" t="str">
        <f>IFERROR(VLOOKUP(Tablo519[[#This Row],[HAMMADDE KODU]],Tablo1[#All],3,0)," ")</f>
        <v>NOVAREX</v>
      </c>
      <c r="P74" s="100" t="str">
        <f>IFERROR(VLOOKUP(Tablo519[[#This Row],[HAMMADDE KODU]],Tablo1[#All],4,0)," ")</f>
        <v>PİNHAS</v>
      </c>
      <c r="Q74" s="100">
        <f>IFERROR(VLOOKUP(Tablo519[[#This Row],[ÜRÜN KODU]],YMKODLARI!$A$1:$K$363,5,0)," ")</f>
        <v>17.2</v>
      </c>
      <c r="R74" s="100">
        <f>IFERROR(VLOOKUP(Tablo519[[#This Row],[ÜRÜN KODU]],YMKODLARI!$A$1:$K$363,6,0)," ")</f>
        <v>15.4</v>
      </c>
      <c r="S74" s="100">
        <f>IFERROR(Tablo519[[#This Row],[YOLLUK HARİÇ BASKI GRAMI]]/Tablo519[[#This Row],[KALIP GÖZ ADEDİ]]," ")</f>
        <v>1.925</v>
      </c>
      <c r="T74" s="100">
        <f t="shared" si="11"/>
        <v>1.7999999999999989</v>
      </c>
      <c r="U74" s="100">
        <v>4.9000000000000004</v>
      </c>
      <c r="V74" s="100">
        <f t="shared" si="9"/>
        <v>25.043199999999999</v>
      </c>
      <c r="W74" s="101">
        <f t="shared" si="12"/>
        <v>24.416666666666668</v>
      </c>
      <c r="X74" s="102">
        <f t="shared" si="13"/>
        <v>10.000000000000028</v>
      </c>
      <c r="Y74" s="100">
        <f t="shared" si="14"/>
        <v>7.2666666666666666</v>
      </c>
      <c r="Z74" s="100">
        <f t="shared" si="15"/>
        <v>10464</v>
      </c>
    </row>
    <row r="75" spans="1:26">
      <c r="A75" s="100" t="s">
        <v>129</v>
      </c>
      <c r="B75" s="108" t="str">
        <f>IFERROR(VLOOKUP(Tablo519[[#This Row],[ÜRÜN KODU]],YMKODLARI!$A$1:$K$363,2,0)," ")</f>
        <v>DAMAK EMZİK TIPA</v>
      </c>
      <c r="C75" s="99">
        <v>43942</v>
      </c>
      <c r="D75" s="100" t="s">
        <v>33</v>
      </c>
      <c r="E75" s="101">
        <v>0.33333333333333331</v>
      </c>
      <c r="F75" s="101">
        <v>0.75</v>
      </c>
      <c r="G75" s="100">
        <f>IFERROR(VLOOKUP(Tablo519[[#This Row],[ÜRÜN KODU]],YMKODLARI!$A$1:$K$363,3,0)," ")</f>
        <v>8</v>
      </c>
      <c r="H75" s="100">
        <f>IFERROR(VLOOKUP(Tablo519[[#This Row],[ÜRÜN KODU]],YMKODLARI!$A$1:$K$363,4,0)," ")</f>
        <v>20</v>
      </c>
      <c r="I75" s="100">
        <v>1274</v>
      </c>
      <c r="J75" s="100" t="str">
        <f>IFERROR(VLOOKUP(Tablo519[[#This Row],[ÜRÜN KODU]],YMKODLARI!$A$1:$K$363,9,0)," ")</f>
        <v>5249A</v>
      </c>
      <c r="K75" s="100" t="str">
        <f>IFERROR(VLOOKUP(Tablo519[[#This Row],[BOYA KODU]],Tablo14[#All],4,0)," ")</f>
        <v>MAVİ</v>
      </c>
      <c r="L75" s="100">
        <f>IFERROR(VLOOKUP(Tablo519[[#This Row],[BOYA KODU]],Tablo14[#All],6,0)," ")</f>
        <v>5.0000000000000001E-3</v>
      </c>
      <c r="M75" s="100">
        <f t="shared" si="10"/>
        <v>109.56399999999999</v>
      </c>
      <c r="N75" s="100" t="str">
        <f>IFERROR(VLOOKUP(Tablo519[[#This Row],[ÜRÜN KODU]],YMKODLARI!$A$1:$K$363,8,0)," ")</f>
        <v>HM 002</v>
      </c>
      <c r="O75" s="100" t="str">
        <f>IFERROR(VLOOKUP(Tablo519[[#This Row],[HAMMADDE KODU]],Tablo1[#All],3,0)," ")</f>
        <v>NOVAREX</v>
      </c>
      <c r="P75" s="100" t="str">
        <f>IFERROR(VLOOKUP(Tablo519[[#This Row],[HAMMADDE KODU]],Tablo1[#All],4,0)," ")</f>
        <v>PİNHAS</v>
      </c>
      <c r="Q75" s="100">
        <f>IFERROR(VLOOKUP(Tablo519[[#This Row],[ÜRÜN KODU]],YMKODLARI!$A$1:$K$363,5,0)," ")</f>
        <v>17.2</v>
      </c>
      <c r="R75" s="100">
        <f>IFERROR(VLOOKUP(Tablo519[[#This Row],[ÜRÜN KODU]],YMKODLARI!$A$1:$K$363,6,0)," ")</f>
        <v>15.4</v>
      </c>
      <c r="S75" s="100">
        <f>IFERROR(Tablo519[[#This Row],[YOLLUK HARİÇ BASKI GRAMI]]/Tablo519[[#This Row],[KALIP GÖZ ADEDİ]]," ")</f>
        <v>1.925</v>
      </c>
      <c r="T75" s="100">
        <f t="shared" si="11"/>
        <v>1.7999999999999989</v>
      </c>
      <c r="U75" s="100">
        <v>3</v>
      </c>
      <c r="V75" s="100">
        <f t="shared" si="9"/>
        <v>22.619600000000002</v>
      </c>
      <c r="W75" s="101">
        <f t="shared" si="12"/>
        <v>24.416666666666668</v>
      </c>
      <c r="X75" s="102">
        <f t="shared" si="13"/>
        <v>10.000000000000028</v>
      </c>
      <c r="Y75" s="100">
        <f t="shared" si="14"/>
        <v>7.0777777777777775</v>
      </c>
      <c r="Z75" s="100">
        <f t="shared" si="15"/>
        <v>10192</v>
      </c>
    </row>
    <row r="76" spans="1:26">
      <c r="A76" s="100" t="s">
        <v>129</v>
      </c>
      <c r="B76" s="108" t="str">
        <f>IFERROR(VLOOKUP(Tablo519[[#This Row],[ÜRÜN KODU]],YMKODLARI!$A$1:$K$363,2,0)," ")</f>
        <v>DAMAK EMZİK TIPA</v>
      </c>
      <c r="C76" s="99">
        <v>43943</v>
      </c>
      <c r="D76" s="100" t="s">
        <v>33</v>
      </c>
      <c r="E76" s="101">
        <v>0.33333333333333331</v>
      </c>
      <c r="F76" s="101">
        <v>0.75</v>
      </c>
      <c r="G76" s="100">
        <f>IFERROR(VLOOKUP(Tablo519[[#This Row],[ÜRÜN KODU]],YMKODLARI!$A$1:$K$363,3,0)," ")</f>
        <v>8</v>
      </c>
      <c r="H76" s="100">
        <f>IFERROR(VLOOKUP(Tablo519[[#This Row],[ÜRÜN KODU]],YMKODLARI!$A$1:$K$363,4,0)," ")</f>
        <v>20</v>
      </c>
      <c r="I76" s="100">
        <v>1280</v>
      </c>
      <c r="J76" s="100" t="str">
        <f>IFERROR(VLOOKUP(Tablo519[[#This Row],[ÜRÜN KODU]],YMKODLARI!$A$1:$K$363,9,0)," ")</f>
        <v>5249A</v>
      </c>
      <c r="K76" s="100" t="str">
        <f>IFERROR(VLOOKUP(Tablo519[[#This Row],[BOYA KODU]],Tablo14[#All],4,0)," ")</f>
        <v>MAVİ</v>
      </c>
      <c r="L76" s="100">
        <f>IFERROR(VLOOKUP(Tablo519[[#This Row],[BOYA KODU]],Tablo14[#All],6,0)," ")</f>
        <v>5.0000000000000001E-3</v>
      </c>
      <c r="M76" s="100">
        <f t="shared" si="10"/>
        <v>110.08</v>
      </c>
      <c r="N76" s="100" t="str">
        <f>IFERROR(VLOOKUP(Tablo519[[#This Row],[ÜRÜN KODU]],YMKODLARI!$A$1:$K$363,8,0)," ")</f>
        <v>HM 002</v>
      </c>
      <c r="O76" s="100" t="str">
        <f>IFERROR(VLOOKUP(Tablo519[[#This Row],[HAMMADDE KODU]],Tablo1[#All],3,0)," ")</f>
        <v>NOVAREX</v>
      </c>
      <c r="P76" s="100" t="str">
        <f>IFERROR(VLOOKUP(Tablo519[[#This Row],[HAMMADDE KODU]],Tablo1[#All],4,0)," ")</f>
        <v>PİNHAS</v>
      </c>
      <c r="Q76" s="100">
        <f>IFERROR(VLOOKUP(Tablo519[[#This Row],[ÜRÜN KODU]],YMKODLARI!$A$1:$K$363,5,0)," ")</f>
        <v>17.2</v>
      </c>
      <c r="R76" s="100">
        <f>IFERROR(VLOOKUP(Tablo519[[#This Row],[ÜRÜN KODU]],YMKODLARI!$A$1:$K$363,6,0)," ")</f>
        <v>15.4</v>
      </c>
      <c r="S76" s="100">
        <f>IFERROR(Tablo519[[#This Row],[YOLLUK HARİÇ BASKI GRAMI]]/Tablo519[[#This Row],[KALIP GÖZ ADEDİ]]," ")</f>
        <v>1.925</v>
      </c>
      <c r="T76" s="100">
        <f t="shared" si="11"/>
        <v>1.7999999999999989</v>
      </c>
      <c r="U76" s="100">
        <v>3.5</v>
      </c>
      <c r="V76" s="100">
        <f t="shared" si="9"/>
        <v>23.212</v>
      </c>
      <c r="W76" s="101">
        <f t="shared" si="12"/>
        <v>24.416666666666668</v>
      </c>
      <c r="X76" s="102">
        <f t="shared" si="13"/>
        <v>10.000000000000028</v>
      </c>
      <c r="Y76" s="100">
        <f t="shared" si="14"/>
        <v>7.1111111111111107</v>
      </c>
      <c r="Z76" s="100">
        <f t="shared" si="15"/>
        <v>10240</v>
      </c>
    </row>
    <row r="77" spans="1:26">
      <c r="A77" s="100" t="s">
        <v>129</v>
      </c>
      <c r="B77" s="108" t="str">
        <f>IFERROR(VLOOKUP(Tablo519[[#This Row],[ÜRÜN KODU]],YMKODLARI!$A$1:$K$363,2,0)," ")</f>
        <v>DAMAK EMZİK TIPA</v>
      </c>
      <c r="C77" s="99">
        <v>43948</v>
      </c>
      <c r="D77" s="100" t="s">
        <v>37</v>
      </c>
      <c r="E77" s="101">
        <v>0.41666666666666669</v>
      </c>
      <c r="F77" s="101">
        <v>0.75</v>
      </c>
      <c r="G77" s="100">
        <f>IFERROR(VLOOKUP(Tablo519[[#This Row],[ÜRÜN KODU]],YMKODLARI!$A$1:$K$363,3,0)," ")</f>
        <v>8</v>
      </c>
      <c r="H77" s="100">
        <f>IFERROR(VLOOKUP(Tablo519[[#This Row],[ÜRÜN KODU]],YMKODLARI!$A$1:$K$363,4,0)," ")</f>
        <v>20</v>
      </c>
      <c r="I77" s="100">
        <v>961</v>
      </c>
      <c r="J77" s="100" t="str">
        <f>IFERROR(VLOOKUP(Tablo519[[#This Row],[ÜRÜN KODU]],YMKODLARI!$A$1:$K$363,9,0)," ")</f>
        <v>5249A</v>
      </c>
      <c r="K77" s="100" t="str">
        <f>IFERROR(VLOOKUP(Tablo519[[#This Row],[BOYA KODU]],Tablo14[#All],4,0)," ")</f>
        <v>MAVİ</v>
      </c>
      <c r="L77" s="100">
        <f>IFERROR(VLOOKUP(Tablo519[[#This Row],[BOYA KODU]],Tablo14[#All],6,0)," ")</f>
        <v>5.0000000000000001E-3</v>
      </c>
      <c r="M77" s="100">
        <f t="shared" si="10"/>
        <v>82.646000000000001</v>
      </c>
      <c r="N77" s="100" t="str">
        <f>IFERROR(VLOOKUP(Tablo519[[#This Row],[ÜRÜN KODU]],YMKODLARI!$A$1:$K$363,8,0)," ")</f>
        <v>HM 002</v>
      </c>
      <c r="O77" s="100" t="str">
        <f>IFERROR(VLOOKUP(Tablo519[[#This Row],[HAMMADDE KODU]],Tablo1[#All],3,0)," ")</f>
        <v>NOVAREX</v>
      </c>
      <c r="P77" s="100" t="str">
        <f>IFERROR(VLOOKUP(Tablo519[[#This Row],[HAMMADDE KODU]],Tablo1[#All],4,0)," ")</f>
        <v>PİNHAS</v>
      </c>
      <c r="Q77" s="100">
        <f>IFERROR(VLOOKUP(Tablo519[[#This Row],[ÜRÜN KODU]],YMKODLARI!$A$1:$K$363,5,0)," ")</f>
        <v>17.2</v>
      </c>
      <c r="R77" s="100">
        <f>IFERROR(VLOOKUP(Tablo519[[#This Row],[ÜRÜN KODU]],YMKODLARI!$A$1:$K$363,6,0)," ")</f>
        <v>15.4</v>
      </c>
      <c r="S77" s="100">
        <f>IFERROR(Tablo519[[#This Row],[YOLLUK HARİÇ BASKI GRAMI]]/Tablo519[[#This Row],[KALIP GÖZ ADEDİ]]," ")</f>
        <v>1.925</v>
      </c>
      <c r="T77" s="100">
        <f t="shared" si="11"/>
        <v>1.7999999999999989</v>
      </c>
      <c r="U77" s="100">
        <v>11.5</v>
      </c>
      <c r="V77" s="100">
        <f t="shared" si="9"/>
        <v>26.299399999999999</v>
      </c>
      <c r="W77" s="101">
        <f t="shared" si="12"/>
        <v>24.333333333333332</v>
      </c>
      <c r="X77" s="102">
        <f t="shared" si="13"/>
        <v>7.9999999999999716</v>
      </c>
      <c r="Y77" s="100">
        <f t="shared" si="14"/>
        <v>5.3388888888888886</v>
      </c>
      <c r="Z77" s="100">
        <f t="shared" si="15"/>
        <v>7688</v>
      </c>
    </row>
    <row r="78" spans="1:26">
      <c r="A78" s="100" t="s">
        <v>129</v>
      </c>
      <c r="B78" s="108" t="str">
        <f>IFERROR(VLOOKUP(Tablo519[[#This Row],[ÜRÜN KODU]],YMKODLARI!$A$1:$K$363,2,0)," ")</f>
        <v>DAMAK EMZİK TIPA</v>
      </c>
      <c r="C78" s="99">
        <v>43949</v>
      </c>
      <c r="D78" s="100" t="s">
        <v>37</v>
      </c>
      <c r="E78" s="101">
        <v>0.33333333333333331</v>
      </c>
      <c r="F78" s="101">
        <v>0.75</v>
      </c>
      <c r="G78" s="100">
        <f>IFERROR(VLOOKUP(Tablo519[[#This Row],[ÜRÜN KODU]],YMKODLARI!$A$1:$K$363,3,0)," ")</f>
        <v>8</v>
      </c>
      <c r="H78" s="100">
        <f>IFERROR(VLOOKUP(Tablo519[[#This Row],[ÜRÜN KODU]],YMKODLARI!$A$1:$K$363,4,0)," ")</f>
        <v>20</v>
      </c>
      <c r="I78" s="100">
        <v>1250</v>
      </c>
      <c r="J78" s="100" t="str">
        <f>IFERROR(VLOOKUP(Tablo519[[#This Row],[ÜRÜN KODU]],YMKODLARI!$A$1:$K$363,9,0)," ")</f>
        <v>5249A</v>
      </c>
      <c r="K78" s="100" t="str">
        <f>IFERROR(VLOOKUP(Tablo519[[#This Row],[BOYA KODU]],Tablo14[#All],4,0)," ")</f>
        <v>MAVİ</v>
      </c>
      <c r="L78" s="100">
        <f>IFERROR(VLOOKUP(Tablo519[[#This Row],[BOYA KODU]],Tablo14[#All],6,0)," ")</f>
        <v>5.0000000000000001E-3</v>
      </c>
      <c r="M78" s="100">
        <f t="shared" si="10"/>
        <v>107.5</v>
      </c>
      <c r="N78" s="100" t="str">
        <f>IFERROR(VLOOKUP(Tablo519[[#This Row],[ÜRÜN KODU]],YMKODLARI!$A$1:$K$363,8,0)," ")</f>
        <v>HM 002</v>
      </c>
      <c r="O78" s="100" t="str">
        <f>IFERROR(VLOOKUP(Tablo519[[#This Row],[HAMMADDE KODU]],Tablo1[#All],3,0)," ")</f>
        <v>NOVAREX</v>
      </c>
      <c r="P78" s="100" t="str">
        <f>IFERROR(VLOOKUP(Tablo519[[#This Row],[HAMMADDE KODU]],Tablo1[#All],4,0)," ")</f>
        <v>PİNHAS</v>
      </c>
      <c r="Q78" s="100">
        <f>IFERROR(VLOOKUP(Tablo519[[#This Row],[ÜRÜN KODU]],YMKODLARI!$A$1:$K$363,5,0)," ")</f>
        <v>17.2</v>
      </c>
      <c r="R78" s="100">
        <f>IFERROR(VLOOKUP(Tablo519[[#This Row],[ÜRÜN KODU]],YMKODLARI!$A$1:$K$363,6,0)," ")</f>
        <v>15.4</v>
      </c>
      <c r="S78" s="100">
        <f>IFERROR(Tablo519[[#This Row],[YOLLUK HARİÇ BASKI GRAMI]]/Tablo519[[#This Row],[KALIP GÖZ ADEDİ]]," ")</f>
        <v>1.925</v>
      </c>
      <c r="T78" s="100">
        <f t="shared" si="11"/>
        <v>1.7999999999999989</v>
      </c>
      <c r="U78" s="100">
        <v>6.4</v>
      </c>
      <c r="V78" s="100">
        <f t="shared" si="9"/>
        <v>25.65</v>
      </c>
      <c r="W78" s="101">
        <f t="shared" si="12"/>
        <v>24.416666666666668</v>
      </c>
      <c r="X78" s="102">
        <f t="shared" si="13"/>
        <v>10.000000000000028</v>
      </c>
      <c r="Y78" s="100">
        <f t="shared" si="14"/>
        <v>6.9444444444444446</v>
      </c>
      <c r="Z78" s="100">
        <f t="shared" si="15"/>
        <v>10000</v>
      </c>
    </row>
    <row r="79" spans="1:26">
      <c r="A79" s="100" t="s">
        <v>129</v>
      </c>
      <c r="B79" s="108" t="str">
        <f>IFERROR(VLOOKUP(Tablo519[[#This Row],[ÜRÜN KODU]],YMKODLARI!$A$1:$K$363,2,0)," ")</f>
        <v>DAMAK EMZİK TIPA</v>
      </c>
      <c r="C79" s="99">
        <v>43950</v>
      </c>
      <c r="D79" s="100" t="s">
        <v>37</v>
      </c>
      <c r="E79" s="101">
        <v>0.33333333333333331</v>
      </c>
      <c r="F79" s="101">
        <v>0.75</v>
      </c>
      <c r="G79" s="100">
        <f>IFERROR(VLOOKUP(Tablo519[[#This Row],[ÜRÜN KODU]],YMKODLARI!$A$1:$K$363,3,0)," ")</f>
        <v>8</v>
      </c>
      <c r="H79" s="100">
        <f>IFERROR(VLOOKUP(Tablo519[[#This Row],[ÜRÜN KODU]],YMKODLARI!$A$1:$K$363,4,0)," ")</f>
        <v>20</v>
      </c>
      <c r="I79" s="100">
        <v>1240</v>
      </c>
      <c r="J79" s="100" t="str">
        <f>IFERROR(VLOOKUP(Tablo519[[#This Row],[ÜRÜN KODU]],YMKODLARI!$A$1:$K$363,9,0)," ")</f>
        <v>5249A</v>
      </c>
      <c r="K79" s="100" t="str">
        <f>IFERROR(VLOOKUP(Tablo519[[#This Row],[BOYA KODU]],Tablo14[#All],4,0)," ")</f>
        <v>MAVİ</v>
      </c>
      <c r="L79" s="100">
        <f>IFERROR(VLOOKUP(Tablo519[[#This Row],[BOYA KODU]],Tablo14[#All],6,0)," ")</f>
        <v>5.0000000000000001E-3</v>
      </c>
      <c r="M79" s="100">
        <f t="shared" si="10"/>
        <v>106.64</v>
      </c>
      <c r="N79" s="100" t="str">
        <f>IFERROR(VLOOKUP(Tablo519[[#This Row],[ÜRÜN KODU]],YMKODLARI!$A$1:$K$363,8,0)," ")</f>
        <v>HM 002</v>
      </c>
      <c r="O79" s="100" t="str">
        <f>IFERROR(VLOOKUP(Tablo519[[#This Row],[HAMMADDE KODU]],Tablo1[#All],3,0)," ")</f>
        <v>NOVAREX</v>
      </c>
      <c r="P79" s="100" t="str">
        <f>IFERROR(VLOOKUP(Tablo519[[#This Row],[HAMMADDE KODU]],Tablo1[#All],4,0)," ")</f>
        <v>PİNHAS</v>
      </c>
      <c r="Q79" s="100">
        <f>IFERROR(VLOOKUP(Tablo519[[#This Row],[ÜRÜN KODU]],YMKODLARI!$A$1:$K$363,5,0)," ")</f>
        <v>17.2</v>
      </c>
      <c r="R79" s="100">
        <f>IFERROR(VLOOKUP(Tablo519[[#This Row],[ÜRÜN KODU]],YMKODLARI!$A$1:$K$363,6,0)," ")</f>
        <v>15.4</v>
      </c>
      <c r="S79" s="100">
        <f>IFERROR(Tablo519[[#This Row],[YOLLUK HARİÇ BASKI GRAMI]]/Tablo519[[#This Row],[KALIP GÖZ ADEDİ]]," ")</f>
        <v>1.925</v>
      </c>
      <c r="T79" s="100">
        <f t="shared" si="11"/>
        <v>1.7999999999999989</v>
      </c>
      <c r="U79" s="100">
        <v>5</v>
      </c>
      <c r="V79" s="100">
        <f t="shared" si="9"/>
        <v>24.096</v>
      </c>
      <c r="W79" s="101">
        <f t="shared" si="12"/>
        <v>24.416666666666668</v>
      </c>
      <c r="X79" s="102">
        <f t="shared" si="13"/>
        <v>10.000000000000028</v>
      </c>
      <c r="Y79" s="100">
        <f t="shared" si="14"/>
        <v>6.8888888888888893</v>
      </c>
      <c r="Z79" s="100">
        <f t="shared" si="15"/>
        <v>9920</v>
      </c>
    </row>
    <row r="80" spans="1:26">
      <c r="A80" s="100" t="s">
        <v>129</v>
      </c>
      <c r="B80" s="108" t="str">
        <f>IFERROR(VLOOKUP(Tablo519[[#This Row],[ÜRÜN KODU]],YMKODLARI!$A$1:$K$363,2,0)," ")</f>
        <v>DAMAK EMZİK TIPA</v>
      </c>
      <c r="C80" s="99">
        <v>43951</v>
      </c>
      <c r="D80" s="100" t="s">
        <v>37</v>
      </c>
      <c r="E80" s="101">
        <v>0.375</v>
      </c>
      <c r="F80" s="101">
        <v>0.72916666666666663</v>
      </c>
      <c r="G80" s="100">
        <f>IFERROR(VLOOKUP(Tablo519[[#This Row],[ÜRÜN KODU]],YMKODLARI!$A$1:$K$363,3,0)," ")</f>
        <v>8</v>
      </c>
      <c r="H80" s="100">
        <f>IFERROR(VLOOKUP(Tablo519[[#This Row],[ÜRÜN KODU]],YMKODLARI!$A$1:$K$363,4,0)," ")</f>
        <v>20</v>
      </c>
      <c r="I80" s="100">
        <v>1204</v>
      </c>
      <c r="J80" s="100" t="str">
        <f>IFERROR(VLOOKUP(Tablo519[[#This Row],[ÜRÜN KODU]],YMKODLARI!$A$1:$K$363,9,0)," ")</f>
        <v>5249A</v>
      </c>
      <c r="K80" s="100" t="str">
        <f>IFERROR(VLOOKUP(Tablo519[[#This Row],[BOYA KODU]],Tablo14[#All],4,0)," ")</f>
        <v>MAVİ</v>
      </c>
      <c r="L80" s="100">
        <f>IFERROR(VLOOKUP(Tablo519[[#This Row],[BOYA KODU]],Tablo14[#All],6,0)," ")</f>
        <v>5.0000000000000001E-3</v>
      </c>
      <c r="M80" s="100">
        <f t="shared" si="10"/>
        <v>103.544</v>
      </c>
      <c r="N80" s="100" t="str">
        <f>IFERROR(VLOOKUP(Tablo519[[#This Row],[ÜRÜN KODU]],YMKODLARI!$A$1:$K$363,8,0)," ")</f>
        <v>HM 002</v>
      </c>
      <c r="O80" s="100" t="str">
        <f>IFERROR(VLOOKUP(Tablo519[[#This Row],[HAMMADDE KODU]],Tablo1[#All],3,0)," ")</f>
        <v>NOVAREX</v>
      </c>
      <c r="P80" s="100" t="str">
        <f>IFERROR(VLOOKUP(Tablo519[[#This Row],[HAMMADDE KODU]],Tablo1[#All],4,0)," ")</f>
        <v>PİNHAS</v>
      </c>
      <c r="Q80" s="100">
        <f>IFERROR(VLOOKUP(Tablo519[[#This Row],[ÜRÜN KODU]],YMKODLARI!$A$1:$K$363,5,0)," ")</f>
        <v>17.2</v>
      </c>
      <c r="R80" s="100">
        <f>IFERROR(VLOOKUP(Tablo519[[#This Row],[ÜRÜN KODU]],YMKODLARI!$A$1:$K$363,6,0)," ")</f>
        <v>15.4</v>
      </c>
      <c r="S80" s="100">
        <f>IFERROR(Tablo519[[#This Row],[YOLLUK HARİÇ BASKI GRAMI]]/Tablo519[[#This Row],[KALIP GÖZ ADEDİ]]," ")</f>
        <v>1.925</v>
      </c>
      <c r="T80" s="100">
        <f t="shared" si="11"/>
        <v>1.7999999999999989</v>
      </c>
      <c r="U80" s="100">
        <v>5</v>
      </c>
      <c r="V80" s="100">
        <f t="shared" si="9"/>
        <v>23.541600000000003</v>
      </c>
      <c r="W80" s="101">
        <f t="shared" si="12"/>
        <v>24.354166666666668</v>
      </c>
      <c r="X80" s="102">
        <f t="shared" si="13"/>
        <v>8.5000000000000284</v>
      </c>
      <c r="Y80" s="100">
        <f t="shared" si="14"/>
        <v>6.6888888888888891</v>
      </c>
      <c r="Z80" s="100">
        <f t="shared" si="15"/>
        <v>9632</v>
      </c>
    </row>
    <row r="81" spans="1:26">
      <c r="A81" s="100" t="s">
        <v>129</v>
      </c>
      <c r="B81" s="108" t="str">
        <f>IFERROR(VLOOKUP(Tablo519[[#This Row],[ÜRÜN KODU]],YMKODLARI!$A$1:$K$363,2,0)," ")</f>
        <v>DAMAK EMZİK TIPA</v>
      </c>
      <c r="C81" s="99">
        <v>43955</v>
      </c>
      <c r="D81" s="100" t="s">
        <v>33</v>
      </c>
      <c r="E81" s="101">
        <v>0.33333333333333331</v>
      </c>
      <c r="F81" s="101">
        <v>0.75</v>
      </c>
      <c r="G81" s="100">
        <f>IFERROR(VLOOKUP(Tablo519[[#This Row],[ÜRÜN KODU]],YMKODLARI!$A$1:$K$363,3,0)," ")</f>
        <v>8</v>
      </c>
      <c r="H81" s="100">
        <f>IFERROR(VLOOKUP(Tablo519[[#This Row],[ÜRÜN KODU]],YMKODLARI!$A$1:$K$363,4,0)," ")</f>
        <v>20</v>
      </c>
      <c r="I81" s="100">
        <v>1148</v>
      </c>
      <c r="J81" s="100" t="str">
        <f>IFERROR(VLOOKUP(Tablo519[[#This Row],[ÜRÜN KODU]],YMKODLARI!$A$1:$K$363,9,0)," ")</f>
        <v>5249A</v>
      </c>
      <c r="K81" s="100" t="str">
        <f>IFERROR(VLOOKUP(Tablo519[[#This Row],[BOYA KODU]],Tablo14[#All],4,0)," ")</f>
        <v>MAVİ</v>
      </c>
      <c r="L81" s="100">
        <f>IFERROR(VLOOKUP(Tablo519[[#This Row],[BOYA KODU]],Tablo14[#All],6,0)," ")</f>
        <v>5.0000000000000001E-3</v>
      </c>
      <c r="M81" s="100">
        <f t="shared" si="10"/>
        <v>98.727999999999994</v>
      </c>
      <c r="N81" s="100" t="str">
        <f>IFERROR(VLOOKUP(Tablo519[[#This Row],[ÜRÜN KODU]],YMKODLARI!$A$1:$K$363,8,0)," ")</f>
        <v>HM 002</v>
      </c>
      <c r="O81" s="100" t="str">
        <f>IFERROR(VLOOKUP(Tablo519[[#This Row],[HAMMADDE KODU]],Tablo1[#All],3,0)," ")</f>
        <v>NOVAREX</v>
      </c>
      <c r="P81" s="100" t="str">
        <f>IFERROR(VLOOKUP(Tablo519[[#This Row],[HAMMADDE KODU]],Tablo1[#All],4,0)," ")</f>
        <v>PİNHAS</v>
      </c>
      <c r="Q81" s="100">
        <f>IFERROR(VLOOKUP(Tablo519[[#This Row],[ÜRÜN KODU]],YMKODLARI!$A$1:$K$363,5,0)," ")</f>
        <v>17.2</v>
      </c>
      <c r="R81" s="100">
        <f>IFERROR(VLOOKUP(Tablo519[[#This Row],[ÜRÜN KODU]],YMKODLARI!$A$1:$K$363,6,0)," ")</f>
        <v>15.4</v>
      </c>
      <c r="S81" s="100">
        <f>IFERROR(Tablo519[[#This Row],[YOLLUK HARİÇ BASKI GRAMI]]/Tablo519[[#This Row],[KALIP GÖZ ADEDİ]]," ")</f>
        <v>1.925</v>
      </c>
      <c r="T81" s="100">
        <f t="shared" si="11"/>
        <v>1.7999999999999989</v>
      </c>
      <c r="U81" s="100">
        <v>3</v>
      </c>
      <c r="V81" s="100">
        <f t="shared" si="9"/>
        <v>20.679200000000002</v>
      </c>
      <c r="W81" s="101">
        <f t="shared" si="12"/>
        <v>24.416666666666668</v>
      </c>
      <c r="X81" s="102">
        <f t="shared" si="13"/>
        <v>10.000000000000028</v>
      </c>
      <c r="Y81" s="100">
        <f t="shared" si="14"/>
        <v>6.3777777777777782</v>
      </c>
      <c r="Z81" s="100">
        <f t="shared" si="15"/>
        <v>9184</v>
      </c>
    </row>
    <row r="82" spans="1:26">
      <c r="A82" s="100" t="s">
        <v>129</v>
      </c>
      <c r="B82" s="108" t="str">
        <f>IFERROR(VLOOKUP(Tablo519[[#This Row],[ÜRÜN KODU]],YMKODLARI!$A$1:$K$363,2,0)," ")</f>
        <v>DAMAK EMZİK TIPA</v>
      </c>
      <c r="C82" s="99">
        <v>43956</v>
      </c>
      <c r="D82" s="100" t="s">
        <v>33</v>
      </c>
      <c r="E82" s="101">
        <v>0.33333333333333331</v>
      </c>
      <c r="F82" s="101">
        <v>0.65972222222222221</v>
      </c>
      <c r="G82" s="100">
        <f>IFERROR(VLOOKUP(Tablo519[[#This Row],[ÜRÜN KODU]],YMKODLARI!$A$1:$K$363,3,0)," ")</f>
        <v>8</v>
      </c>
      <c r="H82" s="100">
        <f>IFERROR(VLOOKUP(Tablo519[[#This Row],[ÜRÜN KODU]],YMKODLARI!$A$1:$K$363,4,0)," ")</f>
        <v>20</v>
      </c>
      <c r="I82" s="100">
        <v>1165</v>
      </c>
      <c r="J82" s="100" t="str">
        <f>IFERROR(VLOOKUP(Tablo519[[#This Row],[ÜRÜN KODU]],YMKODLARI!$A$1:$K$363,9,0)," ")</f>
        <v>5249A</v>
      </c>
      <c r="K82" s="100" t="str">
        <f>IFERROR(VLOOKUP(Tablo519[[#This Row],[BOYA KODU]],Tablo14[#All],4,0)," ")</f>
        <v>MAVİ</v>
      </c>
      <c r="L82" s="100">
        <f>IFERROR(VLOOKUP(Tablo519[[#This Row],[BOYA KODU]],Tablo14[#All],6,0)," ")</f>
        <v>5.0000000000000001E-3</v>
      </c>
      <c r="M82" s="100">
        <f t="shared" si="10"/>
        <v>100.19</v>
      </c>
      <c r="N82" s="100" t="str">
        <f>IFERROR(VLOOKUP(Tablo519[[#This Row],[ÜRÜN KODU]],YMKODLARI!$A$1:$K$363,8,0)," ")</f>
        <v>HM 002</v>
      </c>
      <c r="O82" s="100" t="str">
        <f>IFERROR(VLOOKUP(Tablo519[[#This Row],[HAMMADDE KODU]],Tablo1[#All],3,0)," ")</f>
        <v>NOVAREX</v>
      </c>
      <c r="P82" s="100" t="str">
        <f>IFERROR(VLOOKUP(Tablo519[[#This Row],[HAMMADDE KODU]],Tablo1[#All],4,0)," ")</f>
        <v>PİNHAS</v>
      </c>
      <c r="Q82" s="100">
        <f>IFERROR(VLOOKUP(Tablo519[[#This Row],[ÜRÜN KODU]],YMKODLARI!$A$1:$K$363,5,0)," ")</f>
        <v>17.2</v>
      </c>
      <c r="R82" s="100">
        <f>IFERROR(VLOOKUP(Tablo519[[#This Row],[ÜRÜN KODU]],YMKODLARI!$A$1:$K$363,6,0)," ")</f>
        <v>15.4</v>
      </c>
      <c r="S82" s="100">
        <f>IFERROR(Tablo519[[#This Row],[YOLLUK HARİÇ BASKI GRAMI]]/Tablo519[[#This Row],[KALIP GÖZ ADEDİ]]," ")</f>
        <v>1.925</v>
      </c>
      <c r="T82" s="100">
        <f t="shared" si="11"/>
        <v>1.7999999999999989</v>
      </c>
      <c r="U82" s="100">
        <v>3</v>
      </c>
      <c r="V82" s="100">
        <f t="shared" si="9"/>
        <v>20.940999999999999</v>
      </c>
      <c r="W82" s="101">
        <f t="shared" si="12"/>
        <v>24.326388888888889</v>
      </c>
      <c r="X82" s="102">
        <f t="shared" si="13"/>
        <v>7.8333333333333428</v>
      </c>
      <c r="Y82" s="100">
        <f t="shared" si="14"/>
        <v>6.4722222222222223</v>
      </c>
      <c r="Z82" s="100">
        <f t="shared" si="15"/>
        <v>9320</v>
      </c>
    </row>
    <row r="83" spans="1:26">
      <c r="A83" s="100" t="s">
        <v>221</v>
      </c>
      <c r="B83" s="108" t="str">
        <f>IFERROR(VLOOKUP(Tablo519[[#This Row],[ÜRÜN KODU]],YMKODLARI!$A$1:$K$363,2,0)," ")</f>
        <v>DAMAK EMZİK TIPA</v>
      </c>
      <c r="C83" s="99">
        <v>43956</v>
      </c>
      <c r="D83" s="100" t="s">
        <v>33</v>
      </c>
      <c r="E83" s="101">
        <v>0.66666666666666663</v>
      </c>
      <c r="F83" s="101">
        <v>0.74305555555555547</v>
      </c>
      <c r="G83" s="100">
        <f>IFERROR(VLOOKUP(Tablo519[[#This Row],[ÜRÜN KODU]],YMKODLARI!$A$1:$K$363,3,0)," ")</f>
        <v>8</v>
      </c>
      <c r="H83" s="100">
        <f>IFERROR(VLOOKUP(Tablo519[[#This Row],[ÜRÜN KODU]],YMKODLARI!$A$1:$K$363,4,0)," ")</f>
        <v>20</v>
      </c>
      <c r="I83" s="100">
        <v>344</v>
      </c>
      <c r="J83" s="100">
        <f>IFERROR(VLOOKUP(Tablo519[[#This Row],[ÜRÜN KODU]],YMKODLARI!$A$1:$K$363,9,0)," ")</f>
        <v>4089</v>
      </c>
      <c r="K83" s="100" t="str">
        <f>IFERROR(VLOOKUP(Tablo519[[#This Row],[BOYA KODU]],Tablo14[#All],4,0)," ")</f>
        <v>LİLA</v>
      </c>
      <c r="L83" s="100">
        <f>IFERROR(VLOOKUP(Tablo519[[#This Row],[BOYA KODU]],Tablo14[#All],6,0)," ")</f>
        <v>5.0000000000000001E-3</v>
      </c>
      <c r="M83" s="100">
        <f t="shared" si="10"/>
        <v>29.584000000000003</v>
      </c>
      <c r="N83" s="100" t="str">
        <f>IFERROR(VLOOKUP(Tablo519[[#This Row],[ÜRÜN KODU]],YMKODLARI!$A$1:$K$363,8,0)," ")</f>
        <v>HM 002</v>
      </c>
      <c r="O83" s="100" t="str">
        <f>IFERROR(VLOOKUP(Tablo519[[#This Row],[HAMMADDE KODU]],Tablo1[#All],3,0)," ")</f>
        <v>NOVAREX</v>
      </c>
      <c r="P83" s="100" t="str">
        <f>IFERROR(VLOOKUP(Tablo519[[#This Row],[HAMMADDE KODU]],Tablo1[#All],4,0)," ")</f>
        <v>PİNHAS</v>
      </c>
      <c r="Q83" s="100">
        <f>IFERROR(VLOOKUP(Tablo519[[#This Row],[ÜRÜN KODU]],YMKODLARI!$A$1:$K$363,5,0)," ")</f>
        <v>17.2</v>
      </c>
      <c r="R83" s="100">
        <f>IFERROR(VLOOKUP(Tablo519[[#This Row],[ÜRÜN KODU]],YMKODLARI!$A$1:$K$363,6,0)," ")</f>
        <v>15.4</v>
      </c>
      <c r="S83" s="100">
        <f>IFERROR(Tablo519[[#This Row],[YOLLUK HARİÇ BASKI GRAMI]]/Tablo519[[#This Row],[KALIP GÖZ ADEDİ]]," ")</f>
        <v>1.925</v>
      </c>
      <c r="T83" s="100">
        <f t="shared" si="11"/>
        <v>1.7999999999999989</v>
      </c>
      <c r="U83" s="100"/>
      <c r="V83" s="100">
        <f t="shared" si="9"/>
        <v>5.2976000000000001</v>
      </c>
      <c r="W83" s="101">
        <f t="shared" si="12"/>
        <v>24.076388888888889</v>
      </c>
      <c r="X83" s="102">
        <f t="shared" si="13"/>
        <v>1.8333333333333428</v>
      </c>
      <c r="Y83" s="100">
        <f t="shared" si="14"/>
        <v>1.9111111111111112</v>
      </c>
      <c r="Z83" s="100">
        <f t="shared" si="15"/>
        <v>2752</v>
      </c>
    </row>
    <row r="84" spans="1:26">
      <c r="A84" s="100" t="s">
        <v>221</v>
      </c>
      <c r="B84" s="108" t="str">
        <f>IFERROR(VLOOKUP(Tablo519[[#This Row],[ÜRÜN KODU]],YMKODLARI!$A$1:$K$363,2,0)," ")</f>
        <v>DAMAK EMZİK TIPA</v>
      </c>
      <c r="C84" s="99">
        <v>43957</v>
      </c>
      <c r="D84" s="100" t="s">
        <v>33</v>
      </c>
      <c r="E84" s="101">
        <v>0.33333333333333331</v>
      </c>
      <c r="F84" s="101">
        <v>0.75</v>
      </c>
      <c r="G84" s="100">
        <f>IFERROR(VLOOKUP(Tablo519[[#This Row],[ÜRÜN KODU]],YMKODLARI!$A$1:$K$363,3,0)," ")</f>
        <v>8</v>
      </c>
      <c r="H84" s="100">
        <f>IFERROR(VLOOKUP(Tablo519[[#This Row],[ÜRÜN KODU]],YMKODLARI!$A$1:$K$363,4,0)," ")</f>
        <v>20</v>
      </c>
      <c r="I84" s="100">
        <v>1560</v>
      </c>
      <c r="J84" s="100">
        <f>IFERROR(VLOOKUP(Tablo519[[#This Row],[ÜRÜN KODU]],YMKODLARI!$A$1:$K$363,9,0)," ")</f>
        <v>4089</v>
      </c>
      <c r="K84" s="100" t="str">
        <f>IFERROR(VLOOKUP(Tablo519[[#This Row],[BOYA KODU]],Tablo14[#All],4,0)," ")</f>
        <v>LİLA</v>
      </c>
      <c r="L84" s="100">
        <f>IFERROR(VLOOKUP(Tablo519[[#This Row],[BOYA KODU]],Tablo14[#All],6,0)," ")</f>
        <v>5.0000000000000001E-3</v>
      </c>
      <c r="M84" s="100">
        <f t="shared" si="10"/>
        <v>134.16</v>
      </c>
      <c r="N84" s="100" t="str">
        <f>IFERROR(VLOOKUP(Tablo519[[#This Row],[ÜRÜN KODU]],YMKODLARI!$A$1:$K$363,8,0)," ")</f>
        <v>HM 002</v>
      </c>
      <c r="O84" s="100" t="str">
        <f>IFERROR(VLOOKUP(Tablo519[[#This Row],[HAMMADDE KODU]],Tablo1[#All],3,0)," ")</f>
        <v>NOVAREX</v>
      </c>
      <c r="P84" s="100" t="str">
        <f>IFERROR(VLOOKUP(Tablo519[[#This Row],[HAMMADDE KODU]],Tablo1[#All],4,0)," ")</f>
        <v>PİNHAS</v>
      </c>
      <c r="Q84" s="100">
        <f>IFERROR(VLOOKUP(Tablo519[[#This Row],[ÜRÜN KODU]],YMKODLARI!$A$1:$K$363,5,0)," ")</f>
        <v>17.2</v>
      </c>
      <c r="R84" s="100">
        <f>IFERROR(VLOOKUP(Tablo519[[#This Row],[ÜRÜN KODU]],YMKODLARI!$A$1:$K$363,6,0)," ")</f>
        <v>15.4</v>
      </c>
      <c r="S84" s="100">
        <f>IFERROR(Tablo519[[#This Row],[YOLLUK HARİÇ BASKI GRAMI]]/Tablo519[[#This Row],[KALIP GÖZ ADEDİ]]," ")</f>
        <v>1.925</v>
      </c>
      <c r="T84" s="100">
        <f t="shared" si="11"/>
        <v>1.7999999999999989</v>
      </c>
      <c r="U84" s="100"/>
      <c r="V84" s="100">
        <f t="shared" si="9"/>
        <v>24.024000000000001</v>
      </c>
      <c r="W84" s="101">
        <f t="shared" si="12"/>
        <v>24.416666666666668</v>
      </c>
      <c r="X84" s="102">
        <f t="shared" si="13"/>
        <v>10.000000000000028</v>
      </c>
      <c r="Y84" s="100">
        <f t="shared" si="14"/>
        <v>8.6666666666666661</v>
      </c>
      <c r="Z84" s="100">
        <f t="shared" si="15"/>
        <v>12480</v>
      </c>
    </row>
    <row r="85" spans="1:26">
      <c r="A85" s="100" t="s">
        <v>221</v>
      </c>
      <c r="B85" s="108" t="str">
        <f>IFERROR(VLOOKUP(Tablo519[[#This Row],[ÜRÜN KODU]],YMKODLARI!$A$1:$K$363,2,0)," ")</f>
        <v>DAMAK EMZİK TIPA</v>
      </c>
      <c r="C85" s="99">
        <v>43958</v>
      </c>
      <c r="D85" s="100" t="s">
        <v>33</v>
      </c>
      <c r="E85" s="101">
        <v>0.33333333333333331</v>
      </c>
      <c r="F85" s="101">
        <v>0.75</v>
      </c>
      <c r="G85" s="100">
        <f>IFERROR(VLOOKUP(Tablo519[[#This Row],[ÜRÜN KODU]],YMKODLARI!$A$1:$K$363,3,0)," ")</f>
        <v>8</v>
      </c>
      <c r="H85" s="100">
        <f>IFERROR(VLOOKUP(Tablo519[[#This Row],[ÜRÜN KODU]],YMKODLARI!$A$1:$K$363,4,0)," ")</f>
        <v>20</v>
      </c>
      <c r="I85" s="100">
        <v>1545</v>
      </c>
      <c r="J85" s="100">
        <f>IFERROR(VLOOKUP(Tablo519[[#This Row],[ÜRÜN KODU]],YMKODLARI!$A$1:$K$363,9,0)," ")</f>
        <v>4089</v>
      </c>
      <c r="K85" s="100" t="str">
        <f>IFERROR(VLOOKUP(Tablo519[[#This Row],[BOYA KODU]],Tablo14[#All],4,0)," ")</f>
        <v>LİLA</v>
      </c>
      <c r="L85" s="100">
        <f>IFERROR(VLOOKUP(Tablo519[[#This Row],[BOYA KODU]],Tablo14[#All],6,0)," ")</f>
        <v>5.0000000000000001E-3</v>
      </c>
      <c r="M85" s="100">
        <f t="shared" si="10"/>
        <v>132.87</v>
      </c>
      <c r="N85" s="100" t="str">
        <f>IFERROR(VLOOKUP(Tablo519[[#This Row],[ÜRÜN KODU]],YMKODLARI!$A$1:$K$363,8,0)," ")</f>
        <v>HM 002</v>
      </c>
      <c r="O85" s="100" t="str">
        <f>IFERROR(VLOOKUP(Tablo519[[#This Row],[HAMMADDE KODU]],Tablo1[#All],3,0)," ")</f>
        <v>NOVAREX</v>
      </c>
      <c r="P85" s="100" t="str">
        <f>IFERROR(VLOOKUP(Tablo519[[#This Row],[HAMMADDE KODU]],Tablo1[#All],4,0)," ")</f>
        <v>PİNHAS</v>
      </c>
      <c r="Q85" s="100">
        <f>IFERROR(VLOOKUP(Tablo519[[#This Row],[ÜRÜN KODU]],YMKODLARI!$A$1:$K$363,5,0)," ")</f>
        <v>17.2</v>
      </c>
      <c r="R85" s="100">
        <f>IFERROR(VLOOKUP(Tablo519[[#This Row],[ÜRÜN KODU]],YMKODLARI!$A$1:$K$363,6,0)," ")</f>
        <v>15.4</v>
      </c>
      <c r="S85" s="100">
        <f>IFERROR(Tablo519[[#This Row],[YOLLUK HARİÇ BASKI GRAMI]]/Tablo519[[#This Row],[KALIP GÖZ ADEDİ]]," ")</f>
        <v>1.925</v>
      </c>
      <c r="T85" s="100">
        <f t="shared" si="11"/>
        <v>1.7999999999999989</v>
      </c>
      <c r="U85" s="100"/>
      <c r="V85" s="100">
        <f t="shared" si="9"/>
        <v>23.792999999999999</v>
      </c>
      <c r="W85" s="101">
        <f t="shared" si="12"/>
        <v>24.416666666666668</v>
      </c>
      <c r="X85" s="102">
        <f t="shared" si="13"/>
        <v>10.000000000000028</v>
      </c>
      <c r="Y85" s="100">
        <f t="shared" si="14"/>
        <v>8.5833333333333339</v>
      </c>
      <c r="Z85" s="100">
        <f t="shared" si="15"/>
        <v>12360</v>
      </c>
    </row>
    <row r="86" spans="1:26">
      <c r="A86" s="100" t="s">
        <v>221</v>
      </c>
      <c r="B86" s="108" t="str">
        <f>IFERROR(VLOOKUP(Tablo519[[#This Row],[ÜRÜN KODU]],YMKODLARI!$A$1:$K$363,2,0)," ")</f>
        <v>DAMAK EMZİK TIPA</v>
      </c>
      <c r="C86" s="99">
        <v>43959</v>
      </c>
      <c r="D86" s="100" t="s">
        <v>33</v>
      </c>
      <c r="E86" s="101">
        <v>0.33333333333333331</v>
      </c>
      <c r="F86" s="101">
        <v>0.40625</v>
      </c>
      <c r="G86" s="100">
        <f>IFERROR(VLOOKUP(Tablo519[[#This Row],[ÜRÜN KODU]],YMKODLARI!$A$1:$K$363,3,0)," ")</f>
        <v>8</v>
      </c>
      <c r="H86" s="100">
        <f>IFERROR(VLOOKUP(Tablo519[[#This Row],[ÜRÜN KODU]],YMKODLARI!$A$1:$K$363,4,0)," ")</f>
        <v>20</v>
      </c>
      <c r="I86" s="100">
        <v>277</v>
      </c>
      <c r="J86" s="100">
        <f>IFERROR(VLOOKUP(Tablo519[[#This Row],[ÜRÜN KODU]],YMKODLARI!$A$1:$K$363,9,0)," ")</f>
        <v>4089</v>
      </c>
      <c r="K86" s="100" t="str">
        <f>IFERROR(VLOOKUP(Tablo519[[#This Row],[BOYA KODU]],Tablo14[#All],4,0)," ")</f>
        <v>LİLA</v>
      </c>
      <c r="L86" s="100">
        <f>IFERROR(VLOOKUP(Tablo519[[#This Row],[BOYA KODU]],Tablo14[#All],6,0)," ")</f>
        <v>5.0000000000000001E-3</v>
      </c>
      <c r="M86" s="100">
        <f t="shared" si="10"/>
        <v>23.821999999999999</v>
      </c>
      <c r="N86" s="100" t="str">
        <f>IFERROR(VLOOKUP(Tablo519[[#This Row],[ÜRÜN KODU]],YMKODLARI!$A$1:$K$363,8,0)," ")</f>
        <v>HM 002</v>
      </c>
      <c r="O86" s="100" t="str">
        <f>IFERROR(VLOOKUP(Tablo519[[#This Row],[HAMMADDE KODU]],Tablo1[#All],3,0)," ")</f>
        <v>NOVAREX</v>
      </c>
      <c r="P86" s="100" t="str">
        <f>IFERROR(VLOOKUP(Tablo519[[#This Row],[HAMMADDE KODU]],Tablo1[#All],4,0)," ")</f>
        <v>PİNHAS</v>
      </c>
      <c r="Q86" s="100">
        <f>IFERROR(VLOOKUP(Tablo519[[#This Row],[ÜRÜN KODU]],YMKODLARI!$A$1:$K$363,5,0)," ")</f>
        <v>17.2</v>
      </c>
      <c r="R86" s="100">
        <f>IFERROR(VLOOKUP(Tablo519[[#This Row],[ÜRÜN KODU]],YMKODLARI!$A$1:$K$363,6,0)," ")</f>
        <v>15.4</v>
      </c>
      <c r="S86" s="100">
        <f>IFERROR(Tablo519[[#This Row],[YOLLUK HARİÇ BASKI GRAMI]]/Tablo519[[#This Row],[KALIP GÖZ ADEDİ]]," ")</f>
        <v>1.925</v>
      </c>
      <c r="T86" s="100">
        <f t="shared" si="11"/>
        <v>1.7999999999999989</v>
      </c>
      <c r="U86" s="100">
        <v>9.3000000000000007</v>
      </c>
      <c r="V86" s="100">
        <f t="shared" si="9"/>
        <v>13.565800000000001</v>
      </c>
      <c r="W86" s="101">
        <f t="shared" si="12"/>
        <v>24.072916666666668</v>
      </c>
      <c r="X86" s="102">
        <f t="shared" si="13"/>
        <v>1.7500000000000284</v>
      </c>
      <c r="Y86" s="100">
        <f t="shared" si="14"/>
        <v>1.538888888888889</v>
      </c>
      <c r="Z86" s="100">
        <f t="shared" si="15"/>
        <v>2216</v>
      </c>
    </row>
    <row r="87" spans="1:26">
      <c r="A87" s="100" t="s">
        <v>220</v>
      </c>
      <c r="B87" s="108" t="str">
        <f>IFERROR(VLOOKUP(Tablo519[[#This Row],[ÜRÜN KODU]],YMKODLARI!$A$1:$K$363,2,0)," ")</f>
        <v>DAMAK EMZİK TIPA</v>
      </c>
      <c r="C87" s="99">
        <v>43959</v>
      </c>
      <c r="D87" s="100" t="s">
        <v>33</v>
      </c>
      <c r="E87" s="101">
        <v>0.40972222222222227</v>
      </c>
      <c r="F87" s="101">
        <v>0.73611111111111116</v>
      </c>
      <c r="G87" s="100">
        <f>IFERROR(VLOOKUP(Tablo519[[#This Row],[ÜRÜN KODU]],YMKODLARI!$A$1:$K$363,3,0)," ")</f>
        <v>8</v>
      </c>
      <c r="H87" s="100">
        <f>IFERROR(VLOOKUP(Tablo519[[#This Row],[ÜRÜN KODU]],YMKODLARI!$A$1:$K$363,4,0)," ")</f>
        <v>20</v>
      </c>
      <c r="I87" s="100">
        <v>1035</v>
      </c>
      <c r="J87" s="100" t="str">
        <f>IFERROR(VLOOKUP(Tablo519[[#This Row],[ÜRÜN KODU]],YMKODLARI!$A$1:$K$363,9,0)," ")</f>
        <v>3407A</v>
      </c>
      <c r="K87" s="100" t="str">
        <f>IFERROR(VLOOKUP(Tablo519[[#This Row],[BOYA KODU]],Tablo14[#All],4,0)," ")</f>
        <v>KIRMIZI</v>
      </c>
      <c r="L87" s="100">
        <f>IFERROR(VLOOKUP(Tablo519[[#This Row],[BOYA KODU]],Tablo14[#All],6,0)," ")</f>
        <v>5.0000000000000001E-3</v>
      </c>
      <c r="M87" s="100">
        <f t="shared" si="10"/>
        <v>89.01</v>
      </c>
      <c r="N87" s="100" t="str">
        <f>IFERROR(VLOOKUP(Tablo519[[#This Row],[ÜRÜN KODU]],YMKODLARI!$A$1:$K$363,8,0)," ")</f>
        <v>HM 002</v>
      </c>
      <c r="O87" s="100" t="str">
        <f>IFERROR(VLOOKUP(Tablo519[[#This Row],[HAMMADDE KODU]],Tablo1[#All],3,0)," ")</f>
        <v>NOVAREX</v>
      </c>
      <c r="P87" s="100" t="str">
        <f>IFERROR(VLOOKUP(Tablo519[[#This Row],[HAMMADDE KODU]],Tablo1[#All],4,0)," ")</f>
        <v>PİNHAS</v>
      </c>
      <c r="Q87" s="100">
        <f>IFERROR(VLOOKUP(Tablo519[[#This Row],[ÜRÜN KODU]],YMKODLARI!$A$1:$K$363,5,0)," ")</f>
        <v>17.2</v>
      </c>
      <c r="R87" s="100">
        <f>IFERROR(VLOOKUP(Tablo519[[#This Row],[ÜRÜN KODU]],YMKODLARI!$A$1:$K$363,6,0)," ")</f>
        <v>15.4</v>
      </c>
      <c r="S87" s="100">
        <f>IFERROR(Tablo519[[#This Row],[YOLLUK HARİÇ BASKI GRAMI]]/Tablo519[[#This Row],[KALIP GÖZ ADEDİ]]," ")</f>
        <v>1.925</v>
      </c>
      <c r="T87" s="100">
        <f t="shared" si="11"/>
        <v>1.7999999999999989</v>
      </c>
      <c r="U87" s="100">
        <v>2.5</v>
      </c>
      <c r="V87" s="100">
        <f t="shared" si="9"/>
        <v>18.439</v>
      </c>
      <c r="W87" s="101">
        <f t="shared" si="12"/>
        <v>24.326388888888889</v>
      </c>
      <c r="X87" s="102">
        <f t="shared" si="13"/>
        <v>7.8333333333333428</v>
      </c>
      <c r="Y87" s="100">
        <f t="shared" si="14"/>
        <v>5.75</v>
      </c>
      <c r="Z87" s="100">
        <f t="shared" si="15"/>
        <v>8280</v>
      </c>
    </row>
    <row r="88" spans="1:26">
      <c r="A88" s="100" t="s">
        <v>220</v>
      </c>
      <c r="B88" s="108" t="str">
        <f>IFERROR(VLOOKUP(Tablo519[[#This Row],[ÜRÜN KODU]],YMKODLARI!$A$1:$K$363,2,0)," ")</f>
        <v>DAMAK EMZİK TIPA</v>
      </c>
      <c r="C88" s="99">
        <v>43962</v>
      </c>
      <c r="D88" s="100" t="s">
        <v>27</v>
      </c>
      <c r="E88" s="101">
        <v>0.60416666666666663</v>
      </c>
      <c r="F88" s="101">
        <v>0.75</v>
      </c>
      <c r="G88" s="100">
        <f>IFERROR(VLOOKUP(Tablo519[[#This Row],[ÜRÜN KODU]],YMKODLARI!$A$1:$K$363,3,0)," ")</f>
        <v>8</v>
      </c>
      <c r="H88" s="100">
        <f>IFERROR(VLOOKUP(Tablo519[[#This Row],[ÜRÜN KODU]],YMKODLARI!$A$1:$K$363,4,0)," ")</f>
        <v>20</v>
      </c>
      <c r="I88" s="100">
        <v>532</v>
      </c>
      <c r="J88" s="100" t="str">
        <f>IFERROR(VLOOKUP(Tablo519[[#This Row],[ÜRÜN KODU]],YMKODLARI!$A$1:$K$363,9,0)," ")</f>
        <v>3407A</v>
      </c>
      <c r="K88" s="100" t="str">
        <f>IFERROR(VLOOKUP(Tablo519[[#This Row],[BOYA KODU]],Tablo14[#All],4,0)," ")</f>
        <v>KIRMIZI</v>
      </c>
      <c r="L88" s="100">
        <f>IFERROR(VLOOKUP(Tablo519[[#This Row],[BOYA KODU]],Tablo14[#All],6,0)," ")</f>
        <v>5.0000000000000001E-3</v>
      </c>
      <c r="M88" s="100">
        <f t="shared" si="10"/>
        <v>45.752000000000002</v>
      </c>
      <c r="N88" s="100" t="str">
        <f>IFERROR(VLOOKUP(Tablo519[[#This Row],[ÜRÜN KODU]],YMKODLARI!$A$1:$K$363,8,0)," ")</f>
        <v>HM 002</v>
      </c>
      <c r="O88" s="100" t="str">
        <f>IFERROR(VLOOKUP(Tablo519[[#This Row],[HAMMADDE KODU]],Tablo1[#All],3,0)," ")</f>
        <v>NOVAREX</v>
      </c>
      <c r="P88" s="100" t="str">
        <f>IFERROR(VLOOKUP(Tablo519[[#This Row],[HAMMADDE KODU]],Tablo1[#All],4,0)," ")</f>
        <v>PİNHAS</v>
      </c>
      <c r="Q88" s="100">
        <f>IFERROR(VLOOKUP(Tablo519[[#This Row],[ÜRÜN KODU]],YMKODLARI!$A$1:$K$363,5,0)," ")</f>
        <v>17.2</v>
      </c>
      <c r="R88" s="100">
        <f>IFERROR(VLOOKUP(Tablo519[[#This Row],[ÜRÜN KODU]],YMKODLARI!$A$1:$K$363,6,0)," ")</f>
        <v>15.4</v>
      </c>
      <c r="S88" s="100">
        <f>IFERROR(Tablo519[[#This Row],[YOLLUK HARİÇ BASKI GRAMI]]/Tablo519[[#This Row],[KALIP GÖZ ADEDİ]]," ")</f>
        <v>1.925</v>
      </c>
      <c r="T88" s="100">
        <f t="shared" si="11"/>
        <v>1.7999999999999989</v>
      </c>
      <c r="U88" s="100"/>
      <c r="V88" s="100">
        <f t="shared" si="9"/>
        <v>8.1928000000000019</v>
      </c>
      <c r="W88" s="101">
        <f t="shared" si="12"/>
        <v>24.145833333333332</v>
      </c>
      <c r="X88" s="102">
        <f t="shared" si="13"/>
        <v>3.4999999999999716</v>
      </c>
      <c r="Y88" s="100">
        <f t="shared" si="14"/>
        <v>2.9555555555555557</v>
      </c>
      <c r="Z88" s="100">
        <f t="shared" si="15"/>
        <v>4256</v>
      </c>
    </row>
    <row r="89" spans="1:26">
      <c r="A89" s="100" t="s">
        <v>220</v>
      </c>
      <c r="B89" s="108" t="str">
        <f>IFERROR(VLOOKUP(Tablo519[[#This Row],[ÜRÜN KODU]],YMKODLARI!$A$1:$K$363,2,0)," ")</f>
        <v>DAMAK EMZİK TIPA</v>
      </c>
      <c r="C89" s="99">
        <v>43962</v>
      </c>
      <c r="D89" s="100" t="s">
        <v>37</v>
      </c>
      <c r="E89" s="101">
        <v>0.75</v>
      </c>
      <c r="F89" s="101">
        <v>0.1388888888888889</v>
      </c>
      <c r="G89" s="100">
        <f>IFERROR(VLOOKUP(Tablo519[[#This Row],[ÜRÜN KODU]],YMKODLARI!$A$1:$K$363,3,0)," ")</f>
        <v>8</v>
      </c>
      <c r="H89" s="100">
        <f>IFERROR(VLOOKUP(Tablo519[[#This Row],[ÜRÜN KODU]],YMKODLARI!$A$1:$K$363,4,0)," ")</f>
        <v>20</v>
      </c>
      <c r="I89" s="100">
        <v>1287</v>
      </c>
      <c r="J89" s="100" t="str">
        <f>IFERROR(VLOOKUP(Tablo519[[#This Row],[ÜRÜN KODU]],YMKODLARI!$A$1:$K$363,9,0)," ")</f>
        <v>3407A</v>
      </c>
      <c r="K89" s="100" t="str">
        <f>IFERROR(VLOOKUP(Tablo519[[#This Row],[BOYA KODU]],Tablo14[#All],4,0)," ")</f>
        <v>KIRMIZI</v>
      </c>
      <c r="L89" s="100">
        <f>IFERROR(VLOOKUP(Tablo519[[#This Row],[BOYA KODU]],Tablo14[#All],6,0)," ")</f>
        <v>5.0000000000000001E-3</v>
      </c>
      <c r="M89" s="100">
        <f t="shared" si="10"/>
        <v>110.68199999999999</v>
      </c>
      <c r="N89" s="100" t="str">
        <f>IFERROR(VLOOKUP(Tablo519[[#This Row],[ÜRÜN KODU]],YMKODLARI!$A$1:$K$363,8,0)," ")</f>
        <v>HM 002</v>
      </c>
      <c r="O89" s="100" t="str">
        <f>IFERROR(VLOOKUP(Tablo519[[#This Row],[HAMMADDE KODU]],Tablo1[#All],3,0)," ")</f>
        <v>NOVAREX</v>
      </c>
      <c r="P89" s="100" t="str">
        <f>IFERROR(VLOOKUP(Tablo519[[#This Row],[HAMMADDE KODU]],Tablo1[#All],4,0)," ")</f>
        <v>PİNHAS</v>
      </c>
      <c r="Q89" s="100">
        <f>IFERROR(VLOOKUP(Tablo519[[#This Row],[ÜRÜN KODU]],YMKODLARI!$A$1:$K$363,5,0)," ")</f>
        <v>17.2</v>
      </c>
      <c r="R89" s="100">
        <f>IFERROR(VLOOKUP(Tablo519[[#This Row],[ÜRÜN KODU]],YMKODLARI!$A$1:$K$363,6,0)," ")</f>
        <v>15.4</v>
      </c>
      <c r="S89" s="100">
        <f>IFERROR(Tablo519[[#This Row],[YOLLUK HARİÇ BASKI GRAMI]]/Tablo519[[#This Row],[KALIP GÖZ ADEDİ]]," ")</f>
        <v>1.925</v>
      </c>
      <c r="T89" s="100">
        <f t="shared" si="11"/>
        <v>1.7999999999999989</v>
      </c>
      <c r="U89" s="100">
        <v>10.5</v>
      </c>
      <c r="V89" s="100">
        <f t="shared" si="9"/>
        <v>30.319800000000001</v>
      </c>
      <c r="W89" s="101">
        <f t="shared" si="12"/>
        <v>23.388888888888889</v>
      </c>
      <c r="X89" s="102">
        <f t="shared" si="13"/>
        <v>9.3333333333333428</v>
      </c>
      <c r="Y89" s="100">
        <f t="shared" si="14"/>
        <v>7.15</v>
      </c>
      <c r="Z89" s="100">
        <f t="shared" si="15"/>
        <v>10296</v>
      </c>
    </row>
    <row r="90" spans="1:26">
      <c r="A90" s="100" t="s">
        <v>212</v>
      </c>
      <c r="B90" s="108" t="str">
        <f>IFERROR(VLOOKUP(Tablo519[[#This Row],[ÜRÜN KODU]],YMKODLARI!$A$1:$K$363,2,0)," ")</f>
        <v xml:space="preserve"> BİBERON VİDA</v>
      </c>
      <c r="C90" s="99">
        <v>43972</v>
      </c>
      <c r="D90" s="100" t="s">
        <v>36</v>
      </c>
      <c r="E90" s="101">
        <v>0.59375</v>
      </c>
      <c r="F90" s="101">
        <v>0.75</v>
      </c>
      <c r="G90" s="100">
        <f>IFERROR(VLOOKUP(Tablo519[[#This Row],[ÜRÜN KODU]],YMKODLARI!$A$1:$K$363,3,0)," ")</f>
        <v>4</v>
      </c>
      <c r="H90" s="100">
        <f>IFERROR(VLOOKUP(Tablo519[[#This Row],[ÜRÜN KODU]],YMKODLARI!$A$1:$K$363,4,0)," ")</f>
        <v>25</v>
      </c>
      <c r="I90" s="100">
        <v>477</v>
      </c>
      <c r="J90" s="100">
        <f>IFERROR(VLOOKUP(Tablo519[[#This Row],[ÜRÜN KODU]],YMKODLARI!$A$1:$K$363,9,0)," ")</f>
        <v>3041</v>
      </c>
      <c r="K90" s="100" t="str">
        <f>IFERROR(VLOOKUP(Tablo519[[#This Row],[BOYA KODU]],Tablo14[#All],4,0)," ")</f>
        <v>KIRMIZI</v>
      </c>
      <c r="L90" s="100">
        <f>IFERROR(VLOOKUP(Tablo519[[#This Row],[BOYA KODU]],Tablo14[#All],6,0)," ")</f>
        <v>5.0000000000000001E-3</v>
      </c>
      <c r="M90" s="100">
        <f t="shared" si="10"/>
        <v>66.064499999999995</v>
      </c>
      <c r="N90" s="100" t="str">
        <f>IFERROR(VLOOKUP(Tablo519[[#This Row],[ÜRÜN KODU]],YMKODLARI!$A$1:$K$363,8,0)," ")</f>
        <v>HM 001</v>
      </c>
      <c r="O90" s="100" t="str">
        <f>IFERROR(VLOOKUP(Tablo519[[#This Row],[HAMMADDE KODU]],Tablo1[#All],3,0)," ")</f>
        <v>CAPILENE</v>
      </c>
      <c r="P90" s="100" t="str">
        <f>IFERROR(VLOOKUP(Tablo519[[#This Row],[HAMMADDE KODU]],Tablo1[#All],4,0)," ")</f>
        <v>PİNHAS</v>
      </c>
      <c r="Q90" s="100">
        <f>IFERROR(VLOOKUP(Tablo519[[#This Row],[ÜRÜN KODU]],YMKODLARI!$A$1:$K$363,5,0)," ")</f>
        <v>27.7</v>
      </c>
      <c r="R90" s="100">
        <f>IFERROR(VLOOKUP(Tablo519[[#This Row],[ÜRÜN KODU]],YMKODLARI!$A$1:$K$363,6,0)," ")</f>
        <v>27.7</v>
      </c>
      <c r="S90" s="100">
        <f>IFERROR(Tablo519[[#This Row],[YOLLUK HARİÇ BASKI GRAMI]]/Tablo519[[#This Row],[KALIP GÖZ ADEDİ]]," ")</f>
        <v>6.9249999999999998</v>
      </c>
      <c r="T90" s="100">
        <f t="shared" si="11"/>
        <v>0</v>
      </c>
      <c r="U90" s="100">
        <v>1</v>
      </c>
      <c r="V90" s="100">
        <f t="shared" si="9"/>
        <v>14.212899999999999</v>
      </c>
      <c r="W90" s="101">
        <f t="shared" si="12"/>
        <v>24.15625</v>
      </c>
      <c r="X90" s="102">
        <f t="shared" si="13"/>
        <v>3.75</v>
      </c>
      <c r="Y90" s="100">
        <f t="shared" si="14"/>
        <v>3.3125</v>
      </c>
      <c r="Z90" s="100">
        <f t="shared" si="15"/>
        <v>1908</v>
      </c>
    </row>
    <row r="91" spans="1:26">
      <c r="A91" s="100" t="s">
        <v>212</v>
      </c>
      <c r="B91" s="108" t="str">
        <f>IFERROR(VLOOKUP(Tablo519[[#This Row],[ÜRÜN KODU]],YMKODLARI!$A$1:$K$363,2,0)," ")</f>
        <v xml:space="preserve"> BİBERON VİDA</v>
      </c>
      <c r="C91" s="99">
        <v>43973</v>
      </c>
      <c r="D91" s="100" t="s">
        <v>36</v>
      </c>
      <c r="E91" s="101">
        <v>0.33333333333333331</v>
      </c>
      <c r="F91" s="101">
        <v>0.54166666666666663</v>
      </c>
      <c r="G91" s="100">
        <f>IFERROR(VLOOKUP(Tablo519[[#This Row],[ÜRÜN KODU]],YMKODLARI!$A$1:$K$363,3,0)," ")</f>
        <v>4</v>
      </c>
      <c r="H91" s="100">
        <f>IFERROR(VLOOKUP(Tablo519[[#This Row],[ÜRÜN KODU]],YMKODLARI!$A$1:$K$363,4,0)," ")</f>
        <v>25</v>
      </c>
      <c r="I91" s="100">
        <v>640</v>
      </c>
      <c r="J91" s="100">
        <f>IFERROR(VLOOKUP(Tablo519[[#This Row],[ÜRÜN KODU]],YMKODLARI!$A$1:$K$363,9,0)," ")</f>
        <v>3041</v>
      </c>
      <c r="K91" s="100" t="str">
        <f>IFERROR(VLOOKUP(Tablo519[[#This Row],[BOYA KODU]],Tablo14[#All],4,0)," ")</f>
        <v>KIRMIZI</v>
      </c>
      <c r="L91" s="100">
        <f>IFERROR(VLOOKUP(Tablo519[[#This Row],[BOYA KODU]],Tablo14[#All],6,0)," ")</f>
        <v>5.0000000000000001E-3</v>
      </c>
      <c r="M91" s="100">
        <f t="shared" si="10"/>
        <v>88.64</v>
      </c>
      <c r="N91" s="100" t="str">
        <f>IFERROR(VLOOKUP(Tablo519[[#This Row],[ÜRÜN KODU]],YMKODLARI!$A$1:$K$363,8,0)," ")</f>
        <v>HM 001</v>
      </c>
      <c r="O91" s="100" t="str">
        <f>IFERROR(VLOOKUP(Tablo519[[#This Row],[HAMMADDE KODU]],Tablo1[#All],3,0)," ")</f>
        <v>CAPILENE</v>
      </c>
      <c r="P91" s="100" t="str">
        <f>IFERROR(VLOOKUP(Tablo519[[#This Row],[HAMMADDE KODU]],Tablo1[#All],4,0)," ")</f>
        <v>PİNHAS</v>
      </c>
      <c r="Q91" s="100">
        <f>IFERROR(VLOOKUP(Tablo519[[#This Row],[ÜRÜN KODU]],YMKODLARI!$A$1:$K$363,5,0)," ")</f>
        <v>27.7</v>
      </c>
      <c r="R91" s="100">
        <f>IFERROR(VLOOKUP(Tablo519[[#This Row],[ÜRÜN KODU]],YMKODLARI!$A$1:$K$363,6,0)," ")</f>
        <v>27.7</v>
      </c>
      <c r="S91" s="100">
        <f>IFERROR(Tablo519[[#This Row],[YOLLUK HARİÇ BASKI GRAMI]]/Tablo519[[#This Row],[KALIP GÖZ ADEDİ]]," ")</f>
        <v>6.9249999999999998</v>
      </c>
      <c r="T91" s="100">
        <f t="shared" si="11"/>
        <v>0</v>
      </c>
      <c r="U91" s="100">
        <v>3.5</v>
      </c>
      <c r="V91" s="100">
        <f t="shared" si="9"/>
        <v>21.228000000000002</v>
      </c>
      <c r="W91" s="101">
        <f t="shared" si="12"/>
        <v>24.208333333333332</v>
      </c>
      <c r="X91" s="102">
        <f t="shared" si="13"/>
        <v>4.9999999999999716</v>
      </c>
      <c r="Y91" s="100">
        <f t="shared" si="14"/>
        <v>4.4444444444444446</v>
      </c>
      <c r="Z91" s="100">
        <f t="shared" si="15"/>
        <v>2560</v>
      </c>
    </row>
    <row r="92" spans="1:26">
      <c r="A92" s="100" t="s">
        <v>210</v>
      </c>
      <c r="B92" s="108" t="str">
        <f>IFERROR(VLOOKUP(Tablo519[[#This Row],[ÜRÜN KODU]],YMKODLARI!$A$1:$K$363,2,0)," ")</f>
        <v xml:space="preserve"> BİBERON VİDA</v>
      </c>
      <c r="C92" s="99">
        <v>43973</v>
      </c>
      <c r="D92" s="100" t="s">
        <v>36</v>
      </c>
      <c r="E92" s="101">
        <v>0.61111111111111105</v>
      </c>
      <c r="F92" s="101">
        <v>0.72916666666666663</v>
      </c>
      <c r="G92" s="100">
        <f>IFERROR(VLOOKUP(Tablo519[[#This Row],[ÜRÜN KODU]],YMKODLARI!$A$1:$K$363,3,0)," ")</f>
        <v>4</v>
      </c>
      <c r="H92" s="100">
        <f>IFERROR(VLOOKUP(Tablo519[[#This Row],[ÜRÜN KODU]],YMKODLARI!$A$1:$K$363,4,0)," ")</f>
        <v>25</v>
      </c>
      <c r="I92" s="100">
        <v>391</v>
      </c>
      <c r="J92" s="100">
        <f>IFERROR(VLOOKUP(Tablo519[[#This Row],[ÜRÜN KODU]],YMKODLARI!$A$1:$K$363,9,0)," ")</f>
        <v>3409</v>
      </c>
      <c r="K92" s="100" t="str">
        <f>IFERROR(VLOOKUP(Tablo519[[#This Row],[BOYA KODU]],Tablo14[#All],4,0)," ")</f>
        <v>PEMBE</v>
      </c>
      <c r="L92" s="100">
        <f>IFERROR(VLOOKUP(Tablo519[[#This Row],[BOYA KODU]],Tablo14[#All],6,0)," ")</f>
        <v>5.0000000000000001E-3</v>
      </c>
      <c r="M92" s="100">
        <f t="shared" si="10"/>
        <v>54.153499999999994</v>
      </c>
      <c r="N92" s="100" t="str">
        <f>IFERROR(VLOOKUP(Tablo519[[#This Row],[ÜRÜN KODU]],YMKODLARI!$A$1:$K$363,8,0)," ")</f>
        <v>HM 001</v>
      </c>
      <c r="O92" s="100" t="str">
        <f>IFERROR(VLOOKUP(Tablo519[[#This Row],[HAMMADDE KODU]],Tablo1[#All],3,0)," ")</f>
        <v>CAPILENE</v>
      </c>
      <c r="P92" s="100" t="str">
        <f>IFERROR(VLOOKUP(Tablo519[[#This Row],[HAMMADDE KODU]],Tablo1[#All],4,0)," ")</f>
        <v>PİNHAS</v>
      </c>
      <c r="Q92" s="100">
        <f>IFERROR(VLOOKUP(Tablo519[[#This Row],[ÜRÜN KODU]],YMKODLARI!$A$1:$K$363,5,0)," ")</f>
        <v>27.7</v>
      </c>
      <c r="R92" s="100">
        <f>IFERROR(VLOOKUP(Tablo519[[#This Row],[ÜRÜN KODU]],YMKODLARI!$A$1:$K$363,6,0)," ")</f>
        <v>27.7</v>
      </c>
      <c r="S92" s="100">
        <f>IFERROR(Tablo519[[#This Row],[YOLLUK HARİÇ BASKI GRAMI]]/Tablo519[[#This Row],[KALIP GÖZ ADEDİ]]," ")</f>
        <v>6.9249999999999998</v>
      </c>
      <c r="T92" s="100">
        <f t="shared" si="11"/>
        <v>0</v>
      </c>
      <c r="U92" s="100">
        <v>2.5</v>
      </c>
      <c r="V92" s="100">
        <f t="shared" si="9"/>
        <v>13.330699999999998</v>
      </c>
      <c r="W92" s="101">
        <f t="shared" si="12"/>
        <v>24.118055555555557</v>
      </c>
      <c r="X92" s="102">
        <f t="shared" si="13"/>
        <v>2.8333333333333712</v>
      </c>
      <c r="Y92" s="100">
        <f t="shared" si="14"/>
        <v>2.7152777777777777</v>
      </c>
      <c r="Z92" s="100">
        <f t="shared" si="15"/>
        <v>1564</v>
      </c>
    </row>
    <row r="93" spans="1:26">
      <c r="A93" s="100" t="s">
        <v>210</v>
      </c>
      <c r="B93" s="108" t="str">
        <f>IFERROR(VLOOKUP(Tablo519[[#This Row],[ÜRÜN KODU]],YMKODLARI!$A$1:$K$363,2,0)," ")</f>
        <v xml:space="preserve"> BİBERON VİDA</v>
      </c>
      <c r="C93" s="99">
        <v>43978</v>
      </c>
      <c r="D93" s="100" t="s">
        <v>36</v>
      </c>
      <c r="E93" s="101">
        <v>0.34722222222222227</v>
      </c>
      <c r="F93" s="101">
        <v>0.66666666666666663</v>
      </c>
      <c r="G93" s="100">
        <f>IFERROR(VLOOKUP(Tablo519[[#This Row],[ÜRÜN KODU]],YMKODLARI!$A$1:$K$363,3,0)," ")</f>
        <v>4</v>
      </c>
      <c r="H93" s="100">
        <f>IFERROR(VLOOKUP(Tablo519[[#This Row],[ÜRÜN KODU]],YMKODLARI!$A$1:$K$363,4,0)," ")</f>
        <v>25</v>
      </c>
      <c r="I93" s="100">
        <v>950</v>
      </c>
      <c r="J93" s="100">
        <f>IFERROR(VLOOKUP(Tablo519[[#This Row],[ÜRÜN KODU]],YMKODLARI!$A$1:$K$363,9,0)," ")</f>
        <v>3409</v>
      </c>
      <c r="K93" s="100" t="str">
        <f>IFERROR(VLOOKUP(Tablo519[[#This Row],[BOYA KODU]],Tablo14[#All],4,0)," ")</f>
        <v>PEMBE</v>
      </c>
      <c r="L93" s="100">
        <f>IFERROR(VLOOKUP(Tablo519[[#This Row],[BOYA KODU]],Tablo14[#All],6,0)," ")</f>
        <v>5.0000000000000001E-3</v>
      </c>
      <c r="M93" s="100">
        <f t="shared" si="10"/>
        <v>131.57499999999999</v>
      </c>
      <c r="N93" s="100" t="str">
        <f>IFERROR(VLOOKUP(Tablo519[[#This Row],[ÜRÜN KODU]],YMKODLARI!$A$1:$K$363,8,0)," ")</f>
        <v>HM 001</v>
      </c>
      <c r="O93" s="100" t="str">
        <f>IFERROR(VLOOKUP(Tablo519[[#This Row],[HAMMADDE KODU]],Tablo1[#All],3,0)," ")</f>
        <v>CAPILENE</v>
      </c>
      <c r="P93" s="100" t="str">
        <f>IFERROR(VLOOKUP(Tablo519[[#This Row],[HAMMADDE KODU]],Tablo1[#All],4,0)," ")</f>
        <v>PİNHAS</v>
      </c>
      <c r="Q93" s="100">
        <f>IFERROR(VLOOKUP(Tablo519[[#This Row],[ÜRÜN KODU]],YMKODLARI!$A$1:$K$363,5,0)," ")</f>
        <v>27.7</v>
      </c>
      <c r="R93" s="100">
        <f>IFERROR(VLOOKUP(Tablo519[[#This Row],[ÜRÜN KODU]],YMKODLARI!$A$1:$K$363,6,0)," ")</f>
        <v>27.7</v>
      </c>
      <c r="S93" s="100">
        <f>IFERROR(Tablo519[[#This Row],[YOLLUK HARİÇ BASKI GRAMI]]/Tablo519[[#This Row],[KALIP GÖZ ADEDİ]]," ")</f>
        <v>6.9249999999999998</v>
      </c>
      <c r="T93" s="100">
        <f t="shared" si="11"/>
        <v>0</v>
      </c>
      <c r="U93" s="100"/>
      <c r="V93" s="100">
        <f t="shared" si="9"/>
        <v>26.315000000000001</v>
      </c>
      <c r="W93" s="101">
        <f t="shared" si="12"/>
        <v>24.319444444444443</v>
      </c>
      <c r="X93" s="102">
        <f t="shared" si="13"/>
        <v>7.6666666666666288</v>
      </c>
      <c r="Y93" s="100">
        <f t="shared" si="14"/>
        <v>6.5972222222222223</v>
      </c>
      <c r="Z93" s="100">
        <f t="shared" si="15"/>
        <v>3800</v>
      </c>
    </row>
    <row r="94" spans="1:26">
      <c r="A94" s="100" t="s">
        <v>202</v>
      </c>
      <c r="B94" s="108" t="str">
        <f>IFERROR(VLOOKUP(Tablo519[[#This Row],[ÜRÜN KODU]],YMKODLARI!$A$1:$K$363,2,0)," ")</f>
        <v xml:space="preserve"> BİBERON VİDA</v>
      </c>
      <c r="C94" s="99">
        <v>43978</v>
      </c>
      <c r="D94" s="100" t="s">
        <v>36</v>
      </c>
      <c r="E94" s="101">
        <v>0.6875</v>
      </c>
      <c r="F94" s="101">
        <v>0.75</v>
      </c>
      <c r="G94" s="100">
        <f>IFERROR(VLOOKUP(Tablo519[[#This Row],[ÜRÜN KODU]],YMKODLARI!$A$1:$K$363,3,0)," ")</f>
        <v>4</v>
      </c>
      <c r="H94" s="100">
        <f>IFERROR(VLOOKUP(Tablo519[[#This Row],[ÜRÜN KODU]],YMKODLARI!$A$1:$K$363,4,0)," ")</f>
        <v>25</v>
      </c>
      <c r="I94" s="100">
        <v>221</v>
      </c>
      <c r="J94" s="100" t="str">
        <f>IFERROR(VLOOKUP(Tablo519[[#This Row],[ÜRÜN KODU]],YMKODLARI!$A$1:$K$363,9,0)," ")</f>
        <v>9134A</v>
      </c>
      <c r="K94" s="100" t="str">
        <f>IFERROR(VLOOKUP(Tablo519[[#This Row],[BOYA KODU]],Tablo14[#All],4,0)," ")</f>
        <v>BEYAZ</v>
      </c>
      <c r="L94" s="100">
        <f>IFERROR(VLOOKUP(Tablo519[[#This Row],[BOYA KODU]],Tablo14[#All],6,0)," ")</f>
        <v>7.0000000000000001E-3</v>
      </c>
      <c r="M94" s="100">
        <f t="shared" si="10"/>
        <v>42.851900000000001</v>
      </c>
      <c r="N94" s="100" t="str">
        <f>IFERROR(VLOOKUP(Tablo519[[#This Row],[ÜRÜN KODU]],YMKODLARI!$A$1:$K$363,8,0)," ")</f>
        <v>HM 001</v>
      </c>
      <c r="O94" s="100" t="str">
        <f>IFERROR(VLOOKUP(Tablo519[[#This Row],[HAMMADDE KODU]],Tablo1[#All],3,0)," ")</f>
        <v>CAPILENE</v>
      </c>
      <c r="P94" s="100" t="str">
        <f>IFERROR(VLOOKUP(Tablo519[[#This Row],[HAMMADDE KODU]],Tablo1[#All],4,0)," ")</f>
        <v>PİNHAS</v>
      </c>
      <c r="Q94" s="100">
        <f>IFERROR(VLOOKUP(Tablo519[[#This Row],[ÜRÜN KODU]],YMKODLARI!$A$1:$K$363,5,0)," ")</f>
        <v>27.7</v>
      </c>
      <c r="R94" s="100">
        <f>IFERROR(VLOOKUP(Tablo519[[#This Row],[ÜRÜN KODU]],YMKODLARI!$A$1:$K$363,6,0)," ")</f>
        <v>27.7</v>
      </c>
      <c r="S94" s="100">
        <f>IFERROR(Tablo519[[#This Row],[YOLLUK HARİÇ BASKI GRAMI]]/Tablo519[[#This Row],[KALIP GÖZ ADEDİ]]," ")</f>
        <v>6.9249999999999998</v>
      </c>
      <c r="T94" s="100">
        <f t="shared" si="11"/>
        <v>0</v>
      </c>
      <c r="U94" s="100"/>
      <c r="V94" s="100">
        <f t="shared" si="9"/>
        <v>6.1216999999999997</v>
      </c>
      <c r="W94" s="101">
        <f t="shared" si="12"/>
        <v>24.0625</v>
      </c>
      <c r="X94" s="102">
        <f t="shared" si="13"/>
        <v>1.5</v>
      </c>
      <c r="Y94" s="100">
        <f t="shared" si="14"/>
        <v>1.5347222222222223</v>
      </c>
      <c r="Z94" s="100">
        <f t="shared" si="15"/>
        <v>884</v>
      </c>
    </row>
    <row r="95" spans="1:26">
      <c r="A95" s="100" t="s">
        <v>202</v>
      </c>
      <c r="B95" s="108" t="str">
        <f>IFERROR(VLOOKUP(Tablo519[[#This Row],[ÜRÜN KODU]],YMKODLARI!$A$1:$K$363,2,0)," ")</f>
        <v xml:space="preserve"> BİBERON VİDA</v>
      </c>
      <c r="C95" s="99">
        <v>43979</v>
      </c>
      <c r="D95" s="100" t="s">
        <v>36</v>
      </c>
      <c r="E95" s="101">
        <v>0.33333333333333331</v>
      </c>
      <c r="F95" s="101">
        <v>0.75</v>
      </c>
      <c r="G95" s="100">
        <f>IFERROR(VLOOKUP(Tablo519[[#This Row],[ÜRÜN KODU]],YMKODLARI!$A$1:$K$363,3,0)," ")</f>
        <v>4</v>
      </c>
      <c r="H95" s="100">
        <f>IFERROR(VLOOKUP(Tablo519[[#This Row],[ÜRÜN KODU]],YMKODLARI!$A$1:$K$363,4,0)," ")</f>
        <v>25</v>
      </c>
      <c r="I95" s="100">
        <v>1053</v>
      </c>
      <c r="J95" s="100" t="str">
        <f>IFERROR(VLOOKUP(Tablo519[[#This Row],[ÜRÜN KODU]],YMKODLARI!$A$1:$K$363,9,0)," ")</f>
        <v>9134A</v>
      </c>
      <c r="K95" s="100" t="str">
        <f>IFERROR(VLOOKUP(Tablo519[[#This Row],[BOYA KODU]],Tablo14[#All],4,0)," ")</f>
        <v>BEYAZ</v>
      </c>
      <c r="L95" s="100">
        <f>IFERROR(VLOOKUP(Tablo519[[#This Row],[BOYA KODU]],Tablo14[#All],6,0)," ")</f>
        <v>7.0000000000000001E-3</v>
      </c>
      <c r="M95" s="100">
        <f t="shared" si="10"/>
        <v>204.17669999999998</v>
      </c>
      <c r="N95" s="100" t="str">
        <f>IFERROR(VLOOKUP(Tablo519[[#This Row],[ÜRÜN KODU]],YMKODLARI!$A$1:$K$363,8,0)," ")</f>
        <v>HM 001</v>
      </c>
      <c r="O95" s="100" t="str">
        <f>IFERROR(VLOOKUP(Tablo519[[#This Row],[HAMMADDE KODU]],Tablo1[#All],3,0)," ")</f>
        <v>CAPILENE</v>
      </c>
      <c r="P95" s="100" t="str">
        <f>IFERROR(VLOOKUP(Tablo519[[#This Row],[HAMMADDE KODU]],Tablo1[#All],4,0)," ")</f>
        <v>PİNHAS</v>
      </c>
      <c r="Q95" s="100">
        <f>IFERROR(VLOOKUP(Tablo519[[#This Row],[ÜRÜN KODU]],YMKODLARI!$A$1:$K$363,5,0)," ")</f>
        <v>27.7</v>
      </c>
      <c r="R95" s="100">
        <f>IFERROR(VLOOKUP(Tablo519[[#This Row],[ÜRÜN KODU]],YMKODLARI!$A$1:$K$363,6,0)," ")</f>
        <v>27.7</v>
      </c>
      <c r="S95" s="100">
        <f>IFERROR(Tablo519[[#This Row],[YOLLUK HARİÇ BASKI GRAMI]]/Tablo519[[#This Row],[KALIP GÖZ ADEDİ]]," ")</f>
        <v>6.9249999999999998</v>
      </c>
      <c r="T95" s="100">
        <f t="shared" si="11"/>
        <v>0</v>
      </c>
      <c r="U95" s="100">
        <v>0.88</v>
      </c>
      <c r="V95" s="100">
        <f t="shared" si="9"/>
        <v>30.048099999999998</v>
      </c>
      <c r="W95" s="101">
        <f t="shared" si="12"/>
        <v>24.416666666666668</v>
      </c>
      <c r="X95" s="102">
        <f t="shared" si="13"/>
        <v>10.000000000000028</v>
      </c>
      <c r="Y95" s="100">
        <f t="shared" si="14"/>
        <v>7.3125</v>
      </c>
      <c r="Z95" s="100">
        <f t="shared" si="15"/>
        <v>4212</v>
      </c>
    </row>
    <row r="96" spans="1:26">
      <c r="A96" s="100" t="s">
        <v>202</v>
      </c>
      <c r="B96" s="108" t="str">
        <f>IFERROR(VLOOKUP(Tablo519[[#This Row],[ÜRÜN KODU]],YMKODLARI!$A$1:$K$363,2,0)," ")</f>
        <v xml:space="preserve"> BİBERON VİDA</v>
      </c>
      <c r="C96" s="99">
        <v>43980</v>
      </c>
      <c r="D96" s="100" t="s">
        <v>36</v>
      </c>
      <c r="E96" s="101">
        <v>0.33333333333333331</v>
      </c>
      <c r="F96" s="101">
        <v>0.72916666666666663</v>
      </c>
      <c r="G96" s="100">
        <f>IFERROR(VLOOKUP(Tablo519[[#This Row],[ÜRÜN KODU]],YMKODLARI!$A$1:$K$363,3,0)," ")</f>
        <v>4</v>
      </c>
      <c r="H96" s="100">
        <f>IFERROR(VLOOKUP(Tablo519[[#This Row],[ÜRÜN KODU]],YMKODLARI!$A$1:$K$363,4,0)," ")</f>
        <v>25</v>
      </c>
      <c r="I96" s="100">
        <v>823</v>
      </c>
      <c r="J96" s="100" t="str">
        <f>IFERROR(VLOOKUP(Tablo519[[#This Row],[ÜRÜN KODU]],YMKODLARI!$A$1:$K$363,9,0)," ")</f>
        <v>9134A</v>
      </c>
      <c r="K96" s="100" t="str">
        <f>IFERROR(VLOOKUP(Tablo519[[#This Row],[BOYA KODU]],Tablo14[#All],4,0)," ")</f>
        <v>BEYAZ</v>
      </c>
      <c r="L96" s="100">
        <f>IFERROR(VLOOKUP(Tablo519[[#This Row],[BOYA KODU]],Tablo14[#All],6,0)," ")</f>
        <v>7.0000000000000001E-3</v>
      </c>
      <c r="M96" s="100">
        <f t="shared" si="10"/>
        <v>159.5797</v>
      </c>
      <c r="N96" s="100" t="str">
        <f>IFERROR(VLOOKUP(Tablo519[[#This Row],[ÜRÜN KODU]],YMKODLARI!$A$1:$K$363,8,0)," ")</f>
        <v>HM 001</v>
      </c>
      <c r="O96" s="100" t="str">
        <f>IFERROR(VLOOKUP(Tablo519[[#This Row],[HAMMADDE KODU]],Tablo1[#All],3,0)," ")</f>
        <v>CAPILENE</v>
      </c>
      <c r="P96" s="100" t="str">
        <f>IFERROR(VLOOKUP(Tablo519[[#This Row],[HAMMADDE KODU]],Tablo1[#All],4,0)," ")</f>
        <v>PİNHAS</v>
      </c>
      <c r="Q96" s="100">
        <f>IFERROR(VLOOKUP(Tablo519[[#This Row],[ÜRÜN KODU]],YMKODLARI!$A$1:$K$363,5,0)," ")</f>
        <v>27.7</v>
      </c>
      <c r="R96" s="100">
        <f>IFERROR(VLOOKUP(Tablo519[[#This Row],[ÜRÜN KODU]],YMKODLARI!$A$1:$K$363,6,0)," ")</f>
        <v>27.7</v>
      </c>
      <c r="S96" s="100">
        <f>IFERROR(Tablo519[[#This Row],[YOLLUK HARİÇ BASKI GRAMI]]/Tablo519[[#This Row],[KALIP GÖZ ADEDİ]]," ")</f>
        <v>6.9249999999999998</v>
      </c>
      <c r="T96" s="100">
        <f t="shared" si="11"/>
        <v>0</v>
      </c>
      <c r="U96" s="100">
        <v>5.5</v>
      </c>
      <c r="V96" s="100">
        <f t="shared" si="9"/>
        <v>28.297099999999997</v>
      </c>
      <c r="W96" s="101">
        <f t="shared" si="12"/>
        <v>24.395833333333332</v>
      </c>
      <c r="X96" s="102">
        <f t="shared" si="13"/>
        <v>9.4999999999999716</v>
      </c>
      <c r="Y96" s="100">
        <f t="shared" si="14"/>
        <v>5.7152777777777777</v>
      </c>
      <c r="Z96" s="100">
        <f t="shared" si="15"/>
        <v>3292</v>
      </c>
    </row>
    <row r="97" spans="1:26">
      <c r="A97" s="100" t="s">
        <v>202</v>
      </c>
      <c r="B97" s="108" t="str">
        <f>IFERROR(VLOOKUP(Tablo519[[#This Row],[ÜRÜN KODU]],YMKODLARI!$A$1:$K$363,2,0)," ")</f>
        <v xml:space="preserve"> BİBERON VİDA</v>
      </c>
      <c r="C97" s="99">
        <v>43983</v>
      </c>
      <c r="D97" s="100" t="s">
        <v>36</v>
      </c>
      <c r="E97" s="101">
        <v>0.33333333333333331</v>
      </c>
      <c r="F97" s="101">
        <v>0.75</v>
      </c>
      <c r="G97" s="100">
        <f>IFERROR(VLOOKUP(Tablo519[[#This Row],[ÜRÜN KODU]],YMKODLARI!$A$1:$K$363,3,0)," ")</f>
        <v>4</v>
      </c>
      <c r="H97" s="100">
        <f>IFERROR(VLOOKUP(Tablo519[[#This Row],[ÜRÜN KODU]],YMKODLARI!$A$1:$K$363,4,0)," ")</f>
        <v>25</v>
      </c>
      <c r="I97" s="100">
        <v>1279</v>
      </c>
      <c r="J97" s="100" t="str">
        <f>IFERROR(VLOOKUP(Tablo519[[#This Row],[ÜRÜN KODU]],YMKODLARI!$A$1:$K$363,9,0)," ")</f>
        <v>9134A</v>
      </c>
      <c r="K97" s="100" t="str">
        <f>IFERROR(VLOOKUP(Tablo519[[#This Row],[BOYA KODU]],Tablo14[#All],4,0)," ")</f>
        <v>BEYAZ</v>
      </c>
      <c r="L97" s="100">
        <f>IFERROR(VLOOKUP(Tablo519[[#This Row],[BOYA KODU]],Tablo14[#All],6,0)," ")</f>
        <v>7.0000000000000001E-3</v>
      </c>
      <c r="M97" s="100">
        <f t="shared" si="10"/>
        <v>247.99809999999997</v>
      </c>
      <c r="N97" s="100" t="str">
        <f>IFERROR(VLOOKUP(Tablo519[[#This Row],[ÜRÜN KODU]],YMKODLARI!$A$1:$K$363,8,0)," ")</f>
        <v>HM 001</v>
      </c>
      <c r="O97" s="100" t="str">
        <f>IFERROR(VLOOKUP(Tablo519[[#This Row],[HAMMADDE KODU]],Tablo1[#All],3,0)," ")</f>
        <v>CAPILENE</v>
      </c>
      <c r="P97" s="100" t="str">
        <f>IFERROR(VLOOKUP(Tablo519[[#This Row],[HAMMADDE KODU]],Tablo1[#All],4,0)," ")</f>
        <v>PİNHAS</v>
      </c>
      <c r="Q97" s="100">
        <f>IFERROR(VLOOKUP(Tablo519[[#This Row],[ÜRÜN KODU]],YMKODLARI!$A$1:$K$363,5,0)," ")</f>
        <v>27.7</v>
      </c>
      <c r="R97" s="100">
        <f>IFERROR(VLOOKUP(Tablo519[[#This Row],[ÜRÜN KODU]],YMKODLARI!$A$1:$K$363,6,0)," ")</f>
        <v>27.7</v>
      </c>
      <c r="S97" s="100">
        <f>IFERROR(Tablo519[[#This Row],[YOLLUK HARİÇ BASKI GRAMI]]/Tablo519[[#This Row],[KALIP GÖZ ADEDİ]]," ")</f>
        <v>6.9249999999999998</v>
      </c>
      <c r="T97" s="100">
        <f t="shared" si="11"/>
        <v>0</v>
      </c>
      <c r="U97" s="100"/>
      <c r="V97" s="100">
        <f t="shared" si="9"/>
        <v>35.428299999999993</v>
      </c>
      <c r="W97" s="101">
        <f t="shared" si="12"/>
        <v>24.416666666666668</v>
      </c>
      <c r="X97" s="102">
        <f t="shared" si="13"/>
        <v>10.000000000000028</v>
      </c>
      <c r="Y97" s="100">
        <f t="shared" si="14"/>
        <v>8.8819444444444446</v>
      </c>
      <c r="Z97" s="100">
        <f t="shared" si="15"/>
        <v>5116</v>
      </c>
    </row>
    <row r="98" spans="1:26">
      <c r="A98" s="100" t="s">
        <v>202</v>
      </c>
      <c r="B98" s="108" t="str">
        <f>IFERROR(VLOOKUP(Tablo519[[#This Row],[ÜRÜN KODU]],YMKODLARI!$A$1:$K$363,2,0)," ")</f>
        <v xml:space="preserve"> BİBERON VİDA</v>
      </c>
      <c r="C98" s="99">
        <v>43984</v>
      </c>
      <c r="D98" s="100" t="s">
        <v>37</v>
      </c>
      <c r="E98" s="101">
        <v>0.33333333333333331</v>
      </c>
      <c r="F98" s="101">
        <v>0.36458333333333331</v>
      </c>
      <c r="G98" s="100">
        <f>IFERROR(VLOOKUP(Tablo519[[#This Row],[ÜRÜN KODU]],YMKODLARI!$A$1:$K$363,3,0)," ")</f>
        <v>4</v>
      </c>
      <c r="H98" s="100">
        <f>IFERROR(VLOOKUP(Tablo519[[#This Row],[ÜRÜN KODU]],YMKODLARI!$A$1:$K$363,4,0)," ")</f>
        <v>25</v>
      </c>
      <c r="I98" s="100">
        <v>126</v>
      </c>
      <c r="J98" s="100" t="str">
        <f>IFERROR(VLOOKUP(Tablo519[[#This Row],[ÜRÜN KODU]],YMKODLARI!$A$1:$K$363,9,0)," ")</f>
        <v>9134A</v>
      </c>
      <c r="K98" s="100" t="str">
        <f>IFERROR(VLOOKUP(Tablo519[[#This Row],[BOYA KODU]],Tablo14[#All],4,0)," ")</f>
        <v>BEYAZ</v>
      </c>
      <c r="L98" s="100">
        <f>IFERROR(VLOOKUP(Tablo519[[#This Row],[BOYA KODU]],Tablo14[#All],6,0)," ")</f>
        <v>7.0000000000000001E-3</v>
      </c>
      <c r="M98" s="100">
        <f t="shared" si="10"/>
        <v>24.4314</v>
      </c>
      <c r="N98" s="100" t="str">
        <f>IFERROR(VLOOKUP(Tablo519[[#This Row],[ÜRÜN KODU]],YMKODLARI!$A$1:$K$363,8,0)," ")</f>
        <v>HM 001</v>
      </c>
      <c r="O98" s="100" t="str">
        <f>IFERROR(VLOOKUP(Tablo519[[#This Row],[HAMMADDE KODU]],Tablo1[#All],3,0)," ")</f>
        <v>CAPILENE</v>
      </c>
      <c r="P98" s="100" t="str">
        <f>IFERROR(VLOOKUP(Tablo519[[#This Row],[HAMMADDE KODU]],Tablo1[#All],4,0)," ")</f>
        <v>PİNHAS</v>
      </c>
      <c r="Q98" s="100">
        <f>IFERROR(VLOOKUP(Tablo519[[#This Row],[ÜRÜN KODU]],YMKODLARI!$A$1:$K$363,5,0)," ")</f>
        <v>27.7</v>
      </c>
      <c r="R98" s="100">
        <f>IFERROR(VLOOKUP(Tablo519[[#This Row],[ÜRÜN KODU]],YMKODLARI!$A$1:$K$363,6,0)," ")</f>
        <v>27.7</v>
      </c>
      <c r="S98" s="100">
        <f>IFERROR(Tablo519[[#This Row],[YOLLUK HARİÇ BASKI GRAMI]]/Tablo519[[#This Row],[KALIP GÖZ ADEDİ]]," ")</f>
        <v>6.9249999999999998</v>
      </c>
      <c r="T98" s="100">
        <f t="shared" si="11"/>
        <v>0</v>
      </c>
      <c r="U98" s="100"/>
      <c r="V98" s="100">
        <f t="shared" si="9"/>
        <v>3.4901999999999997</v>
      </c>
      <c r="W98" s="101">
        <f t="shared" si="12"/>
        <v>24.03125</v>
      </c>
      <c r="X98" s="102">
        <f t="shared" si="13"/>
        <v>0.75</v>
      </c>
      <c r="Y98" s="100">
        <f t="shared" si="14"/>
        <v>0.875</v>
      </c>
      <c r="Z98" s="100">
        <f t="shared" si="15"/>
        <v>504</v>
      </c>
    </row>
    <row r="99" spans="1:26">
      <c r="A99" s="100" t="s">
        <v>203</v>
      </c>
      <c r="B99" s="108" t="str">
        <f>IFERROR(VLOOKUP(Tablo519[[#This Row],[ÜRÜN KODU]],YMKODLARI!$A$1:$K$363,2,0)," ")</f>
        <v xml:space="preserve"> BİBERON VİDA</v>
      </c>
      <c r="C99" s="99">
        <v>43984</v>
      </c>
      <c r="D99" s="100" t="s">
        <v>37</v>
      </c>
      <c r="E99" s="101">
        <v>0.33333333333333331</v>
      </c>
      <c r="F99" s="101">
        <v>0.79166666666666663</v>
      </c>
      <c r="G99" s="100">
        <f>IFERROR(VLOOKUP(Tablo519[[#This Row],[ÜRÜN KODU]],YMKODLARI!$A$1:$K$363,3,0)," ")</f>
        <v>4</v>
      </c>
      <c r="H99" s="100">
        <f>IFERROR(VLOOKUP(Tablo519[[#This Row],[ÜRÜN KODU]],YMKODLARI!$A$1:$K$363,4,0)," ")</f>
        <v>25</v>
      </c>
      <c r="I99" s="100">
        <v>1264</v>
      </c>
      <c r="J99" s="100">
        <f>IFERROR(VLOOKUP(Tablo519[[#This Row],[ÜRÜN KODU]],YMKODLARI!$A$1:$K$363,9,0)," ")</f>
        <v>1290</v>
      </c>
      <c r="K99" s="100" t="str">
        <f>IFERROR(VLOOKUP(Tablo519[[#This Row],[BOYA KODU]],Tablo14[#All],4,0)," ")</f>
        <v>SARI</v>
      </c>
      <c r="L99" s="100">
        <f>IFERROR(VLOOKUP(Tablo519[[#This Row],[BOYA KODU]],Tablo14[#All],6,0)," ")</f>
        <v>5.0000000000000001E-3</v>
      </c>
      <c r="M99" s="100">
        <f t="shared" si="10"/>
        <v>175.06399999999999</v>
      </c>
      <c r="N99" s="100" t="str">
        <f>IFERROR(VLOOKUP(Tablo519[[#This Row],[ÜRÜN KODU]],YMKODLARI!$A$1:$K$363,8,0)," ")</f>
        <v>HM 001</v>
      </c>
      <c r="O99" s="100" t="str">
        <f>IFERROR(VLOOKUP(Tablo519[[#This Row],[HAMMADDE KODU]],Tablo1[#All],3,0)," ")</f>
        <v>CAPILENE</v>
      </c>
      <c r="P99" s="100" t="str">
        <f>IFERROR(VLOOKUP(Tablo519[[#This Row],[HAMMADDE KODU]],Tablo1[#All],4,0)," ")</f>
        <v>PİNHAS</v>
      </c>
      <c r="Q99" s="100">
        <f>IFERROR(VLOOKUP(Tablo519[[#This Row],[ÜRÜN KODU]],YMKODLARI!$A$1:$K$363,5,0)," ")</f>
        <v>27.7</v>
      </c>
      <c r="R99" s="100">
        <f>IFERROR(VLOOKUP(Tablo519[[#This Row],[ÜRÜN KODU]],YMKODLARI!$A$1:$K$363,6,0)," ")</f>
        <v>27.7</v>
      </c>
      <c r="S99" s="100">
        <f>IFERROR(Tablo519[[#This Row],[YOLLUK HARİÇ BASKI GRAMI]]/Tablo519[[#This Row],[KALIP GÖZ ADEDİ]]," ")</f>
        <v>6.9249999999999998</v>
      </c>
      <c r="T99" s="100">
        <f t="shared" si="11"/>
        <v>0</v>
      </c>
      <c r="U99" s="100">
        <v>3.7</v>
      </c>
      <c r="V99" s="100">
        <f t="shared" si="9"/>
        <v>38.712800000000001</v>
      </c>
      <c r="W99" s="101">
        <f t="shared" si="12"/>
        <v>24.458333333333332</v>
      </c>
      <c r="X99" s="102">
        <f t="shared" si="13"/>
        <v>10.999999999999972</v>
      </c>
      <c r="Y99" s="100">
        <f t="shared" si="14"/>
        <v>8.7777777777777786</v>
      </c>
      <c r="Z99" s="100">
        <f t="shared" si="15"/>
        <v>5056</v>
      </c>
    </row>
    <row r="100" spans="1:26">
      <c r="A100" s="100" t="s">
        <v>203</v>
      </c>
      <c r="B100" s="108" t="str">
        <f>IFERROR(VLOOKUP(Tablo519[[#This Row],[ÜRÜN KODU]],YMKODLARI!$A$1:$K$363,2,0)," ")</f>
        <v xml:space="preserve"> BİBERON VİDA</v>
      </c>
      <c r="C100" s="99">
        <v>43985</v>
      </c>
      <c r="D100" s="100" t="s">
        <v>37</v>
      </c>
      <c r="E100" s="101">
        <v>0.33333333333333331</v>
      </c>
      <c r="F100" s="101">
        <v>0.36458333333333331</v>
      </c>
      <c r="G100" s="100">
        <f>IFERROR(VLOOKUP(Tablo519[[#This Row],[ÜRÜN KODU]],YMKODLARI!$A$1:$K$363,3,0)," ")</f>
        <v>4</v>
      </c>
      <c r="H100" s="100">
        <f>IFERROR(VLOOKUP(Tablo519[[#This Row],[ÜRÜN KODU]],YMKODLARI!$A$1:$K$363,4,0)," ")</f>
        <v>25</v>
      </c>
      <c r="I100" s="100">
        <v>109</v>
      </c>
      <c r="J100" s="100">
        <f>IFERROR(VLOOKUP(Tablo519[[#This Row],[ÜRÜN KODU]],YMKODLARI!$A$1:$K$363,9,0)," ")</f>
        <v>1290</v>
      </c>
      <c r="K100" s="100" t="str">
        <f>IFERROR(VLOOKUP(Tablo519[[#This Row],[BOYA KODU]],Tablo14[#All],4,0)," ")</f>
        <v>SARI</v>
      </c>
      <c r="L100" s="100">
        <f>IFERROR(VLOOKUP(Tablo519[[#This Row],[BOYA KODU]],Tablo14[#All],6,0)," ")</f>
        <v>5.0000000000000001E-3</v>
      </c>
      <c r="M100" s="100">
        <f t="shared" si="10"/>
        <v>15.096499999999999</v>
      </c>
      <c r="N100" s="100" t="str">
        <f>IFERROR(VLOOKUP(Tablo519[[#This Row],[ÜRÜN KODU]],YMKODLARI!$A$1:$K$363,8,0)," ")</f>
        <v>HM 001</v>
      </c>
      <c r="O100" s="100" t="str">
        <f>IFERROR(VLOOKUP(Tablo519[[#This Row],[HAMMADDE KODU]],Tablo1[#All],3,0)," ")</f>
        <v>CAPILENE</v>
      </c>
      <c r="P100" s="100" t="str">
        <f>IFERROR(VLOOKUP(Tablo519[[#This Row],[HAMMADDE KODU]],Tablo1[#All],4,0)," ")</f>
        <v>PİNHAS</v>
      </c>
      <c r="Q100" s="100">
        <f>IFERROR(VLOOKUP(Tablo519[[#This Row],[ÜRÜN KODU]],YMKODLARI!$A$1:$K$363,5,0)," ")</f>
        <v>27.7</v>
      </c>
      <c r="R100" s="100">
        <f>IFERROR(VLOOKUP(Tablo519[[#This Row],[ÜRÜN KODU]],YMKODLARI!$A$1:$K$363,6,0)," ")</f>
        <v>27.7</v>
      </c>
      <c r="S100" s="100">
        <f>IFERROR(Tablo519[[#This Row],[YOLLUK HARİÇ BASKI GRAMI]]/Tablo519[[#This Row],[KALIP GÖZ ADEDİ]]," ")</f>
        <v>6.9249999999999998</v>
      </c>
      <c r="T100" s="100">
        <f t="shared" si="11"/>
        <v>0</v>
      </c>
      <c r="U100" s="100">
        <v>8.1999999999999993</v>
      </c>
      <c r="V100" s="100">
        <f t="shared" si="9"/>
        <v>11.219299999999999</v>
      </c>
      <c r="W100" s="101">
        <f t="shared" si="12"/>
        <v>24.03125</v>
      </c>
      <c r="X100" s="102">
        <f t="shared" si="13"/>
        <v>0.75</v>
      </c>
      <c r="Y100" s="100">
        <f t="shared" si="14"/>
        <v>0.75694444444444442</v>
      </c>
      <c r="Z100" s="100">
        <f t="shared" si="15"/>
        <v>436</v>
      </c>
    </row>
    <row r="101" spans="1:26">
      <c r="A101" s="100" t="s">
        <v>211</v>
      </c>
      <c r="B101" s="108" t="str">
        <f>IFERROR(VLOOKUP(Tablo519[[#This Row],[ÜRÜN KODU]],YMKODLARI!$A$1:$K$363,2,0)," ")</f>
        <v xml:space="preserve"> BİBERON VİDA</v>
      </c>
      <c r="C101" s="99">
        <v>43985</v>
      </c>
      <c r="D101" s="100" t="s">
        <v>37</v>
      </c>
      <c r="E101" s="101">
        <v>0.37152777777777773</v>
      </c>
      <c r="F101" s="101">
        <v>0.75</v>
      </c>
      <c r="G101" s="100">
        <f>IFERROR(VLOOKUP(Tablo519[[#This Row],[ÜRÜN KODU]],YMKODLARI!$A$1:$K$363,3,0)," ")</f>
        <v>4</v>
      </c>
      <c r="H101" s="100">
        <f>IFERROR(VLOOKUP(Tablo519[[#This Row],[ÜRÜN KODU]],YMKODLARI!$A$1:$K$363,4,0)," ")</f>
        <v>25</v>
      </c>
      <c r="I101" s="100">
        <v>1140</v>
      </c>
      <c r="J101" s="100">
        <f>IFERROR(VLOOKUP(Tablo519[[#This Row],[ÜRÜN KODU]],YMKODLARI!$A$1:$K$363,9,0)," ")</f>
        <v>5287</v>
      </c>
      <c r="K101" s="100" t="str">
        <f>IFERROR(VLOOKUP(Tablo519[[#This Row],[BOYA KODU]],Tablo14[#All],4,0)," ")</f>
        <v>MAVİ</v>
      </c>
      <c r="L101" s="100">
        <f>IFERROR(VLOOKUP(Tablo519[[#This Row],[BOYA KODU]],Tablo14[#All],6,0)," ")</f>
        <v>5.0000000000000001E-3</v>
      </c>
      <c r="M101" s="100">
        <f t="shared" si="10"/>
        <v>157.89000000000001</v>
      </c>
      <c r="N101" s="100" t="str">
        <f>IFERROR(VLOOKUP(Tablo519[[#This Row],[ÜRÜN KODU]],YMKODLARI!$A$1:$K$363,8,0)," ")</f>
        <v>HM 001</v>
      </c>
      <c r="O101" s="100" t="str">
        <f>IFERROR(VLOOKUP(Tablo519[[#This Row],[HAMMADDE KODU]],Tablo1[#All],3,0)," ")</f>
        <v>CAPILENE</v>
      </c>
      <c r="P101" s="100" t="str">
        <f>IFERROR(VLOOKUP(Tablo519[[#This Row],[HAMMADDE KODU]],Tablo1[#All],4,0)," ")</f>
        <v>PİNHAS</v>
      </c>
      <c r="Q101" s="100">
        <f>IFERROR(VLOOKUP(Tablo519[[#This Row],[ÜRÜN KODU]],YMKODLARI!$A$1:$K$363,5,0)," ")</f>
        <v>27.7</v>
      </c>
      <c r="R101" s="100">
        <f>IFERROR(VLOOKUP(Tablo519[[#This Row],[ÜRÜN KODU]],YMKODLARI!$A$1:$K$363,6,0)," ")</f>
        <v>27.7</v>
      </c>
      <c r="S101" s="100">
        <f>IFERROR(Tablo519[[#This Row],[YOLLUK HARİÇ BASKI GRAMI]]/Tablo519[[#This Row],[KALIP GÖZ ADEDİ]]," ")</f>
        <v>6.9249999999999998</v>
      </c>
      <c r="T101" s="100">
        <f t="shared" si="11"/>
        <v>0</v>
      </c>
      <c r="U101" s="100">
        <v>3.2</v>
      </c>
      <c r="V101" s="100">
        <f t="shared" si="9"/>
        <v>34.777999999999999</v>
      </c>
      <c r="W101" s="101">
        <f t="shared" si="12"/>
        <v>24.378472222222221</v>
      </c>
      <c r="X101" s="102">
        <f t="shared" si="13"/>
        <v>9.0833333333333144</v>
      </c>
      <c r="Y101" s="100">
        <f t="shared" si="14"/>
        <v>7.916666666666667</v>
      </c>
      <c r="Z101" s="100">
        <f t="shared" si="15"/>
        <v>4560</v>
      </c>
    </row>
    <row r="102" spans="1:26">
      <c r="A102" s="100" t="s">
        <v>211</v>
      </c>
      <c r="B102" s="108" t="str">
        <f>IFERROR(VLOOKUP(Tablo519[[#This Row],[ÜRÜN KODU]],YMKODLARI!$A$1:$K$363,2,0)," ")</f>
        <v xml:space="preserve"> BİBERON VİDA</v>
      </c>
      <c r="C102" s="99">
        <v>43986</v>
      </c>
      <c r="D102" s="100" t="s">
        <v>37</v>
      </c>
      <c r="E102" s="101">
        <v>0.33333333333333331</v>
      </c>
      <c r="F102" s="101">
        <v>0.40972222222222227</v>
      </c>
      <c r="G102" s="100">
        <f>IFERROR(VLOOKUP(Tablo519[[#This Row],[ÜRÜN KODU]],YMKODLARI!$A$1:$K$363,3,0)," ")</f>
        <v>4</v>
      </c>
      <c r="H102" s="100">
        <f>IFERROR(VLOOKUP(Tablo519[[#This Row],[ÜRÜN KODU]],YMKODLARI!$A$1:$K$363,4,0)," ")</f>
        <v>25</v>
      </c>
      <c r="I102" s="100">
        <v>274</v>
      </c>
      <c r="J102" s="100">
        <f>IFERROR(VLOOKUP(Tablo519[[#This Row],[ÜRÜN KODU]],YMKODLARI!$A$1:$K$363,9,0)," ")</f>
        <v>5287</v>
      </c>
      <c r="K102" s="100" t="str">
        <f>IFERROR(VLOOKUP(Tablo519[[#This Row],[BOYA KODU]],Tablo14[#All],4,0)," ")</f>
        <v>MAVİ</v>
      </c>
      <c r="L102" s="100">
        <f>IFERROR(VLOOKUP(Tablo519[[#This Row],[BOYA KODU]],Tablo14[#All],6,0)," ")</f>
        <v>5.0000000000000001E-3</v>
      </c>
      <c r="M102" s="100">
        <f t="shared" si="10"/>
        <v>37.949000000000005</v>
      </c>
      <c r="N102" s="100" t="str">
        <f>IFERROR(VLOOKUP(Tablo519[[#This Row],[ÜRÜN KODU]],YMKODLARI!$A$1:$K$363,8,0)," ")</f>
        <v>HM 001</v>
      </c>
      <c r="O102" s="100" t="str">
        <f>IFERROR(VLOOKUP(Tablo519[[#This Row],[HAMMADDE KODU]],Tablo1[#All],3,0)," ")</f>
        <v>CAPILENE</v>
      </c>
      <c r="P102" s="100" t="str">
        <f>IFERROR(VLOOKUP(Tablo519[[#This Row],[HAMMADDE KODU]],Tablo1[#All],4,0)," ")</f>
        <v>PİNHAS</v>
      </c>
      <c r="Q102" s="100">
        <f>IFERROR(VLOOKUP(Tablo519[[#This Row],[ÜRÜN KODU]],YMKODLARI!$A$1:$K$363,5,0)," ")</f>
        <v>27.7</v>
      </c>
      <c r="R102" s="100">
        <f>IFERROR(VLOOKUP(Tablo519[[#This Row],[ÜRÜN KODU]],YMKODLARI!$A$1:$K$363,6,0)," ")</f>
        <v>27.7</v>
      </c>
      <c r="S102" s="100">
        <f>IFERROR(Tablo519[[#This Row],[YOLLUK HARİÇ BASKI GRAMI]]/Tablo519[[#This Row],[KALIP GÖZ ADEDİ]]," ")</f>
        <v>6.9249999999999998</v>
      </c>
      <c r="T102" s="100">
        <f t="shared" si="11"/>
        <v>0</v>
      </c>
      <c r="U102" s="100"/>
      <c r="V102" s="100">
        <f t="shared" si="9"/>
        <v>7.5898000000000003</v>
      </c>
      <c r="W102" s="101">
        <f t="shared" si="12"/>
        <v>24.076388888888889</v>
      </c>
      <c r="X102" s="102">
        <f t="shared" si="13"/>
        <v>1.8333333333333428</v>
      </c>
      <c r="Y102" s="100">
        <f t="shared" si="14"/>
        <v>1.9027777777777777</v>
      </c>
      <c r="Z102" s="100">
        <f t="shared" si="15"/>
        <v>1096</v>
      </c>
    </row>
    <row r="103" spans="1:26">
      <c r="A103" s="100" t="s">
        <v>204</v>
      </c>
      <c r="B103" s="108" t="str">
        <f>IFERROR(VLOOKUP(Tablo519[[#This Row],[ÜRÜN KODU]],YMKODLARI!$A$1:$K$363,2,0)," ")</f>
        <v xml:space="preserve"> BİBERON VİDA</v>
      </c>
      <c r="C103" s="99">
        <v>43988</v>
      </c>
      <c r="D103" s="100" t="s">
        <v>37</v>
      </c>
      <c r="E103" s="101">
        <v>0.41666666666666669</v>
      </c>
      <c r="F103" s="101">
        <v>0.73611111111111116</v>
      </c>
      <c r="G103" s="100">
        <f>IFERROR(VLOOKUP(Tablo519[[#This Row],[ÜRÜN KODU]],YMKODLARI!$A$1:$K$363,3,0)," ")</f>
        <v>4</v>
      </c>
      <c r="H103" s="100">
        <f>IFERROR(VLOOKUP(Tablo519[[#This Row],[ÜRÜN KODU]],YMKODLARI!$A$1:$K$363,4,0)," ")</f>
        <v>25</v>
      </c>
      <c r="I103" s="100">
        <v>943</v>
      </c>
      <c r="J103" s="100">
        <f>IFERROR(VLOOKUP(Tablo519[[#This Row],[ÜRÜN KODU]],YMKODLARI!$A$1:$K$363,9,0)," ")</f>
        <v>4090</v>
      </c>
      <c r="K103" s="100" t="str">
        <f>IFERROR(VLOOKUP(Tablo519[[#This Row],[BOYA KODU]],Tablo14[#All],4,0)," ")</f>
        <v>LİLA</v>
      </c>
      <c r="L103" s="100">
        <f>IFERROR(VLOOKUP(Tablo519[[#This Row],[BOYA KODU]],Tablo14[#All],6,0)," ")</f>
        <v>5.0000000000000001E-3</v>
      </c>
      <c r="M103" s="100">
        <f t="shared" si="10"/>
        <v>130.60550000000001</v>
      </c>
      <c r="N103" s="100" t="str">
        <f>IFERROR(VLOOKUP(Tablo519[[#This Row],[ÜRÜN KODU]],YMKODLARI!$A$1:$K$363,8,0)," ")</f>
        <v>HM 001</v>
      </c>
      <c r="O103" s="100" t="str">
        <f>IFERROR(VLOOKUP(Tablo519[[#This Row],[HAMMADDE KODU]],Tablo1[#All],3,0)," ")</f>
        <v>CAPILENE</v>
      </c>
      <c r="P103" s="100" t="str">
        <f>IFERROR(VLOOKUP(Tablo519[[#This Row],[HAMMADDE KODU]],Tablo1[#All],4,0)," ")</f>
        <v>PİNHAS</v>
      </c>
      <c r="Q103" s="100">
        <f>IFERROR(VLOOKUP(Tablo519[[#This Row],[ÜRÜN KODU]],YMKODLARI!$A$1:$K$363,5,0)," ")</f>
        <v>27.7</v>
      </c>
      <c r="R103" s="100">
        <f>IFERROR(VLOOKUP(Tablo519[[#This Row],[ÜRÜN KODU]],YMKODLARI!$A$1:$K$363,6,0)," ")</f>
        <v>27.7</v>
      </c>
      <c r="S103" s="100">
        <f>IFERROR(Tablo519[[#This Row],[YOLLUK HARİÇ BASKI GRAMI]]/Tablo519[[#This Row],[KALIP GÖZ ADEDİ]]," ")</f>
        <v>6.9249999999999998</v>
      </c>
      <c r="T103" s="100">
        <f t="shared" si="11"/>
        <v>0</v>
      </c>
      <c r="U103" s="100">
        <v>9.5</v>
      </c>
      <c r="V103" s="100">
        <f t="shared" si="9"/>
        <v>35.621099999999998</v>
      </c>
      <c r="W103" s="101">
        <f t="shared" si="12"/>
        <v>24.319444444444443</v>
      </c>
      <c r="X103" s="102">
        <f t="shared" si="13"/>
        <v>7.6666666666666288</v>
      </c>
      <c r="Y103" s="100">
        <f t="shared" si="14"/>
        <v>6.5486111111111107</v>
      </c>
      <c r="Z103" s="100">
        <f t="shared" si="15"/>
        <v>3772</v>
      </c>
    </row>
    <row r="104" spans="1:26">
      <c r="A104" s="100" t="s">
        <v>222</v>
      </c>
      <c r="B104" s="108" t="str">
        <f>IFERROR(VLOOKUP(Tablo519[[#This Row],[ÜRÜN KODU]],YMKODLARI!$A$1:$K$363,2,0)," ")</f>
        <v>YENİ EMZİK KAPAĞI</v>
      </c>
      <c r="C104" s="99">
        <v>43990</v>
      </c>
      <c r="D104" s="100" t="s">
        <v>37</v>
      </c>
      <c r="E104" s="101">
        <v>0.4375</v>
      </c>
      <c r="F104" s="101">
        <v>0.75</v>
      </c>
      <c r="G104" s="100">
        <f>IFERROR(VLOOKUP(Tablo519[[#This Row],[ÜRÜN KODU]],YMKODLARI!$A$1:$K$363,3,0)," ")</f>
        <v>8</v>
      </c>
      <c r="H104" s="100">
        <f>IFERROR(VLOOKUP(Tablo519[[#This Row],[ÜRÜN KODU]],YMKODLARI!$A$1:$K$363,4,0)," ")</f>
        <v>0</v>
      </c>
      <c r="I104" s="100">
        <v>840</v>
      </c>
      <c r="J104" s="100" t="str">
        <f>IFERROR(VLOOKUP(Tablo519[[#This Row],[ÜRÜN KODU]],YMKODLARI!$A$1:$K$363,9,0)," ")</f>
        <v>Şeffaf</v>
      </c>
      <c r="K104" s="100" t="str">
        <f>IFERROR(VLOOKUP(Tablo519[[#This Row],[BOYA KODU]],Tablo14[#All],4,0)," ")</f>
        <v xml:space="preserve"> </v>
      </c>
      <c r="L104" s="100" t="str">
        <f>IFERROR(VLOOKUP(Tablo519[[#This Row],[BOYA KODU]],Tablo14[#All],6,0)," ")</f>
        <v xml:space="preserve"> </v>
      </c>
      <c r="M104" s="100" t="str">
        <f t="shared" si="10"/>
        <v xml:space="preserve"> </v>
      </c>
      <c r="N104" s="100" t="str">
        <f>IFERROR(VLOOKUP(Tablo519[[#This Row],[ÜRÜN KODU]],YMKODLARI!$A$1:$K$363,8,0)," ")</f>
        <v>HM 001</v>
      </c>
      <c r="O104" s="100" t="str">
        <f>IFERROR(VLOOKUP(Tablo519[[#This Row],[HAMMADDE KODU]],Tablo1[#All],3,0)," ")</f>
        <v>CAPILENE</v>
      </c>
      <c r="P104" s="100" t="str">
        <f>IFERROR(VLOOKUP(Tablo519[[#This Row],[HAMMADDE KODU]],Tablo1[#All],4,0)," ")</f>
        <v>PİNHAS</v>
      </c>
      <c r="Q104" s="100">
        <f>IFERROR(VLOOKUP(Tablo519[[#This Row],[ÜRÜN KODU]],YMKODLARI!$A$1:$K$363,5,0)," ")</f>
        <v>0</v>
      </c>
      <c r="R104" s="100">
        <f>IFERROR(VLOOKUP(Tablo519[[#This Row],[ÜRÜN KODU]],YMKODLARI!$A$1:$K$363,6,0)," ")</f>
        <v>0</v>
      </c>
      <c r="S104" s="100">
        <f>IFERROR(Tablo519[[#This Row],[YOLLUK HARİÇ BASKI GRAMI]]/Tablo519[[#This Row],[KALIP GÖZ ADEDİ]]," ")</f>
        <v>0</v>
      </c>
      <c r="T104" s="100">
        <f t="shared" si="11"/>
        <v>0</v>
      </c>
      <c r="U104" s="100">
        <v>15.5</v>
      </c>
      <c r="V104" s="100">
        <f t="shared" si="9"/>
        <v>15.5</v>
      </c>
      <c r="W104" s="101">
        <f t="shared" si="12"/>
        <v>24.3125</v>
      </c>
      <c r="X104" s="102">
        <f t="shared" si="13"/>
        <v>7.5</v>
      </c>
      <c r="Y104" s="100">
        <f t="shared" si="14"/>
        <v>0</v>
      </c>
      <c r="Z104" s="100">
        <f t="shared" si="15"/>
        <v>6720</v>
      </c>
    </row>
    <row r="105" spans="1:26">
      <c r="A105" s="100" t="s">
        <v>222</v>
      </c>
      <c r="B105" s="108" t="str">
        <f>IFERROR(VLOOKUP(Tablo519[[#This Row],[ÜRÜN KODU]],YMKODLARI!$A$1:$K$363,2,0)," ")</f>
        <v>YENİ EMZİK KAPAĞI</v>
      </c>
      <c r="C105" s="99">
        <v>43991</v>
      </c>
      <c r="D105" s="100" t="s">
        <v>37</v>
      </c>
      <c r="E105" s="101">
        <v>0.33333333333333331</v>
      </c>
      <c r="F105" s="101">
        <v>0.625</v>
      </c>
      <c r="G105" s="100">
        <f>IFERROR(VLOOKUP(Tablo519[[#This Row],[ÜRÜN KODU]],YMKODLARI!$A$1:$K$363,3,0)," ")</f>
        <v>8</v>
      </c>
      <c r="H105" s="100">
        <f>IFERROR(VLOOKUP(Tablo519[[#This Row],[ÜRÜN KODU]],YMKODLARI!$A$1:$K$363,4,0)," ")</f>
        <v>0</v>
      </c>
      <c r="I105" s="100">
        <v>932</v>
      </c>
      <c r="J105" s="100" t="str">
        <f>IFERROR(VLOOKUP(Tablo519[[#This Row],[ÜRÜN KODU]],YMKODLARI!$A$1:$K$363,9,0)," ")</f>
        <v>Şeffaf</v>
      </c>
      <c r="K105" s="100" t="str">
        <f>IFERROR(VLOOKUP(Tablo519[[#This Row],[BOYA KODU]],Tablo14[#All],4,0)," ")</f>
        <v xml:space="preserve"> </v>
      </c>
      <c r="L105" s="100" t="str">
        <f>IFERROR(VLOOKUP(Tablo519[[#This Row],[BOYA KODU]],Tablo14[#All],6,0)," ")</f>
        <v xml:space="preserve"> </v>
      </c>
      <c r="M105" s="100" t="str">
        <f t="shared" si="10"/>
        <v xml:space="preserve"> </v>
      </c>
      <c r="N105" s="100" t="str">
        <f>IFERROR(VLOOKUP(Tablo519[[#This Row],[ÜRÜN KODU]],YMKODLARI!$A$1:$K$363,8,0)," ")</f>
        <v>HM 001</v>
      </c>
      <c r="O105" s="100" t="str">
        <f>IFERROR(VLOOKUP(Tablo519[[#This Row],[HAMMADDE KODU]],Tablo1[#All],3,0)," ")</f>
        <v>CAPILENE</v>
      </c>
      <c r="P105" s="100" t="str">
        <f>IFERROR(VLOOKUP(Tablo519[[#This Row],[HAMMADDE KODU]],Tablo1[#All],4,0)," ")</f>
        <v>PİNHAS</v>
      </c>
      <c r="Q105" s="100">
        <f>IFERROR(VLOOKUP(Tablo519[[#This Row],[ÜRÜN KODU]],YMKODLARI!$A$1:$K$363,5,0)," ")</f>
        <v>0</v>
      </c>
      <c r="R105" s="100">
        <f>IFERROR(VLOOKUP(Tablo519[[#This Row],[ÜRÜN KODU]],YMKODLARI!$A$1:$K$363,6,0)," ")</f>
        <v>0</v>
      </c>
      <c r="S105" s="100">
        <f>IFERROR(Tablo519[[#This Row],[YOLLUK HARİÇ BASKI GRAMI]]/Tablo519[[#This Row],[KALIP GÖZ ADEDİ]]," ")</f>
        <v>0</v>
      </c>
      <c r="T105" s="100">
        <f t="shared" si="11"/>
        <v>0</v>
      </c>
      <c r="U105" s="100">
        <v>8.6999999999999993</v>
      </c>
      <c r="V105" s="100">
        <f t="shared" si="9"/>
        <v>8.6999999999999993</v>
      </c>
      <c r="W105" s="101">
        <f t="shared" si="12"/>
        <v>24.291666666666668</v>
      </c>
      <c r="X105" s="102">
        <f t="shared" si="13"/>
        <v>7.0000000000000284</v>
      </c>
      <c r="Y105" s="100">
        <f t="shared" si="14"/>
        <v>0</v>
      </c>
      <c r="Z105" s="100">
        <f t="shared" si="15"/>
        <v>7456</v>
      </c>
    </row>
    <row r="106" spans="1:26">
      <c r="A106" s="100" t="s">
        <v>223</v>
      </c>
      <c r="B106" s="108" t="str">
        <f>IFERROR(VLOOKUP(Tablo519[[#This Row],[ÜRÜN KODU]],YMKODLARI!$A$1:$K$363,2,0)," ")</f>
        <v>EMZİK ASKISI YUVARLAK GÖVDE</v>
      </c>
      <c r="C106" s="99">
        <v>43992</v>
      </c>
      <c r="D106" s="100" t="s">
        <v>36</v>
      </c>
      <c r="E106" s="101">
        <v>0.60416666666666663</v>
      </c>
      <c r="F106" s="101">
        <v>0.75</v>
      </c>
      <c r="G106" s="100">
        <f>IFERROR(VLOOKUP(Tablo519[[#This Row],[ÜRÜN KODU]],YMKODLARI!$A$1:$K$363,3,0)," ")</f>
        <v>8</v>
      </c>
      <c r="H106" s="100">
        <f>IFERROR(VLOOKUP(Tablo519[[#This Row],[ÜRÜN KODU]],YMKODLARI!$A$1:$K$363,4,0)," ")</f>
        <v>26</v>
      </c>
      <c r="I106" s="100">
        <v>585</v>
      </c>
      <c r="J106" s="100">
        <f>IFERROR(VLOOKUP(Tablo519[[#This Row],[ÜRÜN KODU]],YMKODLARI!$A$1:$K$363,9,0)," ")</f>
        <v>0</v>
      </c>
      <c r="K106" s="100" t="str">
        <f>IFERROR(VLOOKUP(Tablo519[[#This Row],[BOYA KODU]],Tablo14[#All],4,0)," ")</f>
        <v xml:space="preserve"> </v>
      </c>
      <c r="L106" s="100" t="str">
        <f>IFERROR(VLOOKUP(Tablo519[[#This Row],[BOYA KODU]],Tablo14[#All],6,0)," ")</f>
        <v xml:space="preserve"> </v>
      </c>
      <c r="M106" s="100" t="str">
        <f t="shared" si="10"/>
        <v xml:space="preserve"> </v>
      </c>
      <c r="N106" s="100" t="str">
        <f>IFERROR(VLOOKUP(Tablo519[[#This Row],[ÜRÜN KODU]],YMKODLARI!$A$1:$K$363,8,0)," ")</f>
        <v>HM 007</v>
      </c>
      <c r="O106" s="100" t="str">
        <f>IFERROR(VLOOKUP(Tablo519[[#This Row],[HAMMADDE KODU]],Tablo1[#All],3,0)," ")</f>
        <v>ABS</v>
      </c>
      <c r="P106" s="100" t="str">
        <f>IFERROR(VLOOKUP(Tablo519[[#This Row],[HAMMADDE KODU]],Tablo1[#All],4,0)," ")</f>
        <v>XXX</v>
      </c>
      <c r="Q106" s="100">
        <f>IFERROR(VLOOKUP(Tablo519[[#This Row],[ÜRÜN KODU]],YMKODLARI!$A$1:$K$363,5,0)," ")</f>
        <v>38.1</v>
      </c>
      <c r="R106" s="100">
        <f>IFERROR(VLOOKUP(Tablo519[[#This Row],[ÜRÜN KODU]],YMKODLARI!$A$1:$K$363,6,0)," ")</f>
        <v>37.1</v>
      </c>
      <c r="S106" s="100">
        <f>IFERROR(Tablo519[[#This Row],[YOLLUK HARİÇ BASKI GRAMI]]/Tablo519[[#This Row],[KALIP GÖZ ADEDİ]]," ")</f>
        <v>4.6375000000000002</v>
      </c>
      <c r="T106" s="100">
        <f t="shared" si="11"/>
        <v>1</v>
      </c>
      <c r="U106" s="100">
        <v>3</v>
      </c>
      <c r="V106" s="100">
        <f t="shared" ref="V106:V169" si="16">IFERROR(U106+(R106*I106) /1000," ")</f>
        <v>24.703499999999998</v>
      </c>
      <c r="W106" s="101">
        <f t="shared" si="12"/>
        <v>24.145833333333332</v>
      </c>
      <c r="X106" s="102">
        <f t="shared" si="13"/>
        <v>3.4999999999999716</v>
      </c>
      <c r="Y106" s="100">
        <f t="shared" si="14"/>
        <v>4.2249999999999996</v>
      </c>
      <c r="Z106" s="100">
        <f t="shared" si="15"/>
        <v>4680</v>
      </c>
    </row>
    <row r="107" spans="1:26">
      <c r="A107" s="100" t="s">
        <v>223</v>
      </c>
      <c r="B107" s="108" t="str">
        <f>IFERROR(VLOOKUP(Tablo519[[#This Row],[ÜRÜN KODU]],YMKODLARI!$A$1:$K$363,2,0)," ")</f>
        <v>EMZİK ASKISI YUVARLAK GÖVDE</v>
      </c>
      <c r="C107" s="99">
        <v>43993</v>
      </c>
      <c r="D107" s="100" t="s">
        <v>36</v>
      </c>
      <c r="E107" s="101">
        <v>0.33333333333333331</v>
      </c>
      <c r="F107" s="101">
        <v>0.69791666666666663</v>
      </c>
      <c r="G107" s="100">
        <f>IFERROR(VLOOKUP(Tablo519[[#This Row],[ÜRÜN KODU]],YMKODLARI!$A$1:$K$363,3,0)," ")</f>
        <v>8</v>
      </c>
      <c r="H107" s="100">
        <f>IFERROR(VLOOKUP(Tablo519[[#This Row],[ÜRÜN KODU]],YMKODLARI!$A$1:$K$363,4,0)," ")</f>
        <v>26</v>
      </c>
      <c r="I107" s="100">
        <v>984</v>
      </c>
      <c r="J107" s="100">
        <f>IFERROR(VLOOKUP(Tablo519[[#This Row],[ÜRÜN KODU]],YMKODLARI!$A$1:$K$363,9,0)," ")</f>
        <v>0</v>
      </c>
      <c r="K107" s="100" t="str">
        <f>IFERROR(VLOOKUP(Tablo519[[#This Row],[BOYA KODU]],Tablo14[#All],4,0)," ")</f>
        <v xml:space="preserve"> </v>
      </c>
      <c r="L107" s="100" t="str">
        <f>IFERROR(VLOOKUP(Tablo519[[#This Row],[BOYA KODU]],Tablo14[#All],6,0)," ")</f>
        <v xml:space="preserve"> </v>
      </c>
      <c r="M107" s="100" t="str">
        <f t="shared" si="10"/>
        <v xml:space="preserve"> </v>
      </c>
      <c r="N107" s="100" t="str">
        <f>IFERROR(VLOOKUP(Tablo519[[#This Row],[ÜRÜN KODU]],YMKODLARI!$A$1:$K$363,8,0)," ")</f>
        <v>HM 007</v>
      </c>
      <c r="O107" s="100" t="str">
        <f>IFERROR(VLOOKUP(Tablo519[[#This Row],[HAMMADDE KODU]],Tablo1[#All],3,0)," ")</f>
        <v>ABS</v>
      </c>
      <c r="P107" s="100" t="str">
        <f>IFERROR(VLOOKUP(Tablo519[[#This Row],[HAMMADDE KODU]],Tablo1[#All],4,0)," ")</f>
        <v>XXX</v>
      </c>
      <c r="Q107" s="100">
        <f>IFERROR(VLOOKUP(Tablo519[[#This Row],[ÜRÜN KODU]],YMKODLARI!$A$1:$K$363,5,0)," ")</f>
        <v>38.1</v>
      </c>
      <c r="R107" s="100">
        <f>IFERROR(VLOOKUP(Tablo519[[#This Row],[ÜRÜN KODU]],YMKODLARI!$A$1:$K$363,6,0)," ")</f>
        <v>37.1</v>
      </c>
      <c r="S107" s="100">
        <f>IFERROR(Tablo519[[#This Row],[YOLLUK HARİÇ BASKI GRAMI]]/Tablo519[[#This Row],[KALIP GÖZ ADEDİ]]," ")</f>
        <v>4.6375000000000002</v>
      </c>
      <c r="T107" s="100">
        <f t="shared" si="11"/>
        <v>1</v>
      </c>
      <c r="U107" s="100">
        <v>1.8</v>
      </c>
      <c r="V107" s="100">
        <f t="shared" si="16"/>
        <v>38.306399999999996</v>
      </c>
      <c r="W107" s="101">
        <f t="shared" si="12"/>
        <v>24.364583333333332</v>
      </c>
      <c r="X107" s="102">
        <f t="shared" si="13"/>
        <v>8.7499999999999716</v>
      </c>
      <c r="Y107" s="100">
        <f t="shared" si="14"/>
        <v>7.1066666666666665</v>
      </c>
      <c r="Z107" s="100">
        <f t="shared" si="15"/>
        <v>7872</v>
      </c>
    </row>
    <row r="108" spans="1:26">
      <c r="A108" s="100" t="s">
        <v>224</v>
      </c>
      <c r="B108" s="108" t="str">
        <f>IFERROR(VLOOKUP(Tablo519[[#This Row],[ÜRÜN KODU]],YMKODLARI!$A$1:$K$363,2,0)," ")</f>
        <v>EMZİK ASKISI YUVARLAK MANDAL</v>
      </c>
      <c r="C108" s="99">
        <v>43994</v>
      </c>
      <c r="D108" s="100" t="s">
        <v>37</v>
      </c>
      <c r="E108" s="101">
        <v>0.60416666666666663</v>
      </c>
      <c r="F108" s="101">
        <v>0.72916666666666663</v>
      </c>
      <c r="G108" s="100">
        <f>IFERROR(VLOOKUP(Tablo519[[#This Row],[ÜRÜN KODU]],YMKODLARI!$A$1:$K$363,3,0)," ")</f>
        <v>16</v>
      </c>
      <c r="H108" s="100">
        <f>IFERROR(VLOOKUP(Tablo519[[#This Row],[ÜRÜN KODU]],YMKODLARI!$A$1:$K$363,4,0)," ")</f>
        <v>25</v>
      </c>
      <c r="I108" s="100">
        <v>564</v>
      </c>
      <c r="J108" s="100">
        <f>IFERROR(VLOOKUP(Tablo519[[#This Row],[ÜRÜN KODU]],YMKODLARI!$A$1:$K$363,9,0)," ")</f>
        <v>0</v>
      </c>
      <c r="K108" s="100" t="str">
        <f>IFERROR(VLOOKUP(Tablo519[[#This Row],[BOYA KODU]],Tablo14[#All],4,0)," ")</f>
        <v xml:space="preserve"> </v>
      </c>
      <c r="L108" s="100" t="str">
        <f>IFERROR(VLOOKUP(Tablo519[[#This Row],[BOYA KODU]],Tablo14[#All],6,0)," ")</f>
        <v xml:space="preserve"> </v>
      </c>
      <c r="M108" s="100" t="str">
        <f t="shared" si="10"/>
        <v xml:space="preserve"> </v>
      </c>
      <c r="N108" s="100" t="str">
        <f>IFERROR(VLOOKUP(Tablo519[[#This Row],[ÜRÜN KODU]],YMKODLARI!$A$1:$K$363,8,0)," ")</f>
        <v>HM 007</v>
      </c>
      <c r="O108" s="100" t="str">
        <f>IFERROR(VLOOKUP(Tablo519[[#This Row],[HAMMADDE KODU]],Tablo1[#All],3,0)," ")</f>
        <v>ABS</v>
      </c>
      <c r="P108" s="100" t="str">
        <f>IFERROR(VLOOKUP(Tablo519[[#This Row],[HAMMADDE KODU]],Tablo1[#All],4,0)," ")</f>
        <v>XXX</v>
      </c>
      <c r="Q108" s="100">
        <f>IFERROR(VLOOKUP(Tablo519[[#This Row],[ÜRÜN KODU]],YMKODLARI!$A$1:$K$363,5,0)," ")</f>
        <v>28.9</v>
      </c>
      <c r="R108" s="100">
        <f>IFERROR(VLOOKUP(Tablo519[[#This Row],[ÜRÜN KODU]],YMKODLARI!$A$1:$K$363,6,0)," ")</f>
        <v>23.6</v>
      </c>
      <c r="S108" s="100">
        <f>IFERROR(Tablo519[[#This Row],[YOLLUK HARİÇ BASKI GRAMI]]/Tablo519[[#This Row],[KALIP GÖZ ADEDİ]]," ")</f>
        <v>1.4750000000000001</v>
      </c>
      <c r="T108" s="100">
        <f t="shared" si="11"/>
        <v>5.2999999999999972</v>
      </c>
      <c r="U108" s="100">
        <v>5.2</v>
      </c>
      <c r="V108" s="100">
        <f t="shared" si="16"/>
        <v>18.510400000000001</v>
      </c>
      <c r="W108" s="101">
        <f t="shared" si="12"/>
        <v>24.125</v>
      </c>
      <c r="X108" s="102">
        <f t="shared" si="13"/>
        <v>3</v>
      </c>
      <c r="Y108" s="100">
        <f t="shared" si="14"/>
        <v>3.9166666666666665</v>
      </c>
      <c r="Z108" s="100">
        <f t="shared" si="15"/>
        <v>9024</v>
      </c>
    </row>
    <row r="109" spans="1:26">
      <c r="A109" s="100" t="s">
        <v>224</v>
      </c>
      <c r="B109" s="108" t="str">
        <f>IFERROR(VLOOKUP(Tablo519[[#This Row],[ÜRÜN KODU]],YMKODLARI!$A$1:$K$363,2,0)," ")</f>
        <v>EMZİK ASKISI YUVARLAK MANDAL</v>
      </c>
      <c r="C109" s="99">
        <v>43997</v>
      </c>
      <c r="D109" s="100" t="s">
        <v>37</v>
      </c>
      <c r="E109" s="101">
        <v>0.43055555555555558</v>
      </c>
      <c r="F109" s="101">
        <v>0.52083333333333337</v>
      </c>
      <c r="G109" s="100">
        <f>IFERROR(VLOOKUP(Tablo519[[#This Row],[ÜRÜN KODU]],YMKODLARI!$A$1:$K$363,3,0)," ")</f>
        <v>16</v>
      </c>
      <c r="H109" s="100">
        <f>IFERROR(VLOOKUP(Tablo519[[#This Row],[ÜRÜN KODU]],YMKODLARI!$A$1:$K$363,4,0)," ")</f>
        <v>25</v>
      </c>
      <c r="I109" s="100">
        <v>377</v>
      </c>
      <c r="J109" s="100">
        <f>IFERROR(VLOOKUP(Tablo519[[#This Row],[ÜRÜN KODU]],YMKODLARI!$A$1:$K$363,9,0)," ")</f>
        <v>0</v>
      </c>
      <c r="K109" s="100" t="str">
        <f>IFERROR(VLOOKUP(Tablo519[[#This Row],[BOYA KODU]],Tablo14[#All],4,0)," ")</f>
        <v xml:space="preserve"> </v>
      </c>
      <c r="L109" s="100" t="str">
        <f>IFERROR(VLOOKUP(Tablo519[[#This Row],[BOYA KODU]],Tablo14[#All],6,0)," ")</f>
        <v xml:space="preserve"> </v>
      </c>
      <c r="M109" s="100" t="str">
        <f t="shared" si="10"/>
        <v xml:space="preserve"> </v>
      </c>
      <c r="N109" s="100" t="str">
        <f>IFERROR(VLOOKUP(Tablo519[[#This Row],[ÜRÜN KODU]],YMKODLARI!$A$1:$K$363,8,0)," ")</f>
        <v>HM 007</v>
      </c>
      <c r="O109" s="100" t="str">
        <f>IFERROR(VLOOKUP(Tablo519[[#This Row],[HAMMADDE KODU]],Tablo1[#All],3,0)," ")</f>
        <v>ABS</v>
      </c>
      <c r="P109" s="100" t="str">
        <f>IFERROR(VLOOKUP(Tablo519[[#This Row],[HAMMADDE KODU]],Tablo1[#All],4,0)," ")</f>
        <v>XXX</v>
      </c>
      <c r="Q109" s="100">
        <f>IFERROR(VLOOKUP(Tablo519[[#This Row],[ÜRÜN KODU]],YMKODLARI!$A$1:$K$363,5,0)," ")</f>
        <v>28.9</v>
      </c>
      <c r="R109" s="100">
        <f>IFERROR(VLOOKUP(Tablo519[[#This Row],[ÜRÜN KODU]],YMKODLARI!$A$1:$K$363,6,0)," ")</f>
        <v>23.6</v>
      </c>
      <c r="S109" s="100">
        <f>IFERROR(Tablo519[[#This Row],[YOLLUK HARİÇ BASKI GRAMI]]/Tablo519[[#This Row],[KALIP GÖZ ADEDİ]]," ")</f>
        <v>1.4750000000000001</v>
      </c>
      <c r="T109" s="100">
        <f t="shared" si="11"/>
        <v>5.2999999999999972</v>
      </c>
      <c r="U109" s="100">
        <v>2.4</v>
      </c>
      <c r="V109" s="100">
        <f t="shared" si="16"/>
        <v>11.297200000000002</v>
      </c>
      <c r="W109" s="101">
        <f t="shared" si="12"/>
        <v>24.090277777777779</v>
      </c>
      <c r="X109" s="102">
        <f t="shared" si="13"/>
        <v>2.1666666666666856</v>
      </c>
      <c r="Y109" s="100">
        <f t="shared" si="14"/>
        <v>2.6180555555555554</v>
      </c>
      <c r="Z109" s="100">
        <f t="shared" si="15"/>
        <v>6032</v>
      </c>
    </row>
    <row r="110" spans="1:26">
      <c r="A110" s="100" t="s">
        <v>225</v>
      </c>
      <c r="B110" s="108" t="str">
        <f>IFERROR(VLOOKUP(Tablo519[[#This Row],[ÜRÜN KODU]],YMKODLARI!$A$1:$K$363,2,0)," ")</f>
        <v>TİRLE ZURNA</v>
      </c>
      <c r="C110" s="99">
        <v>43998</v>
      </c>
      <c r="D110" s="100" t="s">
        <v>33</v>
      </c>
      <c r="E110" s="101">
        <v>0.625</v>
      </c>
      <c r="F110" s="101">
        <v>0.75</v>
      </c>
      <c r="G110" s="100">
        <f>IFERROR(VLOOKUP(Tablo519[[#This Row],[ÜRÜN KODU]],YMKODLARI!$A$1:$K$363,3,0)," ")</f>
        <v>2</v>
      </c>
      <c r="H110" s="100">
        <f>IFERROR(VLOOKUP(Tablo519[[#This Row],[ÜRÜN KODU]],YMKODLARI!$A$1:$K$363,4,0)," ")</f>
        <v>15</v>
      </c>
      <c r="I110" s="100">
        <v>300</v>
      </c>
      <c r="J110" s="100" t="str">
        <f>IFERROR(VLOOKUP(Tablo519[[#This Row],[ÜRÜN KODU]],YMKODLARI!$A$1:$K$363,9,0)," ")</f>
        <v>Şeffaf</v>
      </c>
      <c r="K110" s="100" t="str">
        <f>IFERROR(VLOOKUP(Tablo519[[#This Row],[BOYA KODU]],Tablo14[#All],4,0)," ")</f>
        <v xml:space="preserve"> </v>
      </c>
      <c r="L110" s="100" t="str">
        <f>IFERROR(VLOOKUP(Tablo519[[#This Row],[BOYA KODU]],Tablo14[#All],6,0)," ")</f>
        <v xml:space="preserve"> </v>
      </c>
      <c r="M110" s="100" t="str">
        <f t="shared" si="10"/>
        <v xml:space="preserve"> </v>
      </c>
      <c r="N110" s="100" t="str">
        <f>IFERROR(VLOOKUP(Tablo519[[#This Row],[ÜRÜN KODU]],YMKODLARI!$A$1:$K$363,8,0)," ")</f>
        <v>HM 001</v>
      </c>
      <c r="O110" s="100" t="str">
        <f>IFERROR(VLOOKUP(Tablo519[[#This Row],[HAMMADDE KODU]],Tablo1[#All],3,0)," ")</f>
        <v>CAPILENE</v>
      </c>
      <c r="P110" s="100" t="str">
        <f>IFERROR(VLOOKUP(Tablo519[[#This Row],[HAMMADDE KODU]],Tablo1[#All],4,0)," ")</f>
        <v>PİNHAS</v>
      </c>
      <c r="Q110" s="100">
        <f>IFERROR(VLOOKUP(Tablo519[[#This Row],[ÜRÜN KODU]],YMKODLARI!$A$1:$K$363,5,0)," ")</f>
        <v>26.4</v>
      </c>
      <c r="R110" s="100">
        <f>IFERROR(VLOOKUP(Tablo519[[#This Row],[ÜRÜN KODU]],YMKODLARI!$A$1:$K$363,6,0)," ")</f>
        <v>25.9</v>
      </c>
      <c r="S110" s="100">
        <f>IFERROR(Tablo519[[#This Row],[YOLLUK HARİÇ BASKI GRAMI]]/Tablo519[[#This Row],[KALIP GÖZ ADEDİ]]," ")</f>
        <v>12.95</v>
      </c>
      <c r="T110" s="100">
        <f t="shared" si="11"/>
        <v>0.5</v>
      </c>
      <c r="U110" s="100">
        <v>4.2</v>
      </c>
      <c r="V110" s="100">
        <f t="shared" si="16"/>
        <v>11.969999999999999</v>
      </c>
      <c r="W110" s="101">
        <f t="shared" si="12"/>
        <v>24.125</v>
      </c>
      <c r="X110" s="102">
        <f t="shared" si="13"/>
        <v>3</v>
      </c>
      <c r="Y110" s="100">
        <f t="shared" si="14"/>
        <v>1.25</v>
      </c>
      <c r="Z110" s="100">
        <f t="shared" si="15"/>
        <v>600</v>
      </c>
    </row>
    <row r="111" spans="1:26">
      <c r="A111" s="100" t="s">
        <v>225</v>
      </c>
      <c r="B111" s="108" t="str">
        <f>IFERROR(VLOOKUP(Tablo519[[#This Row],[ÜRÜN KODU]],YMKODLARI!$A$1:$K$363,2,0)," ")</f>
        <v>TİRLE ZURNA</v>
      </c>
      <c r="C111" s="99">
        <v>43999</v>
      </c>
      <c r="D111" s="100" t="s">
        <v>33</v>
      </c>
      <c r="E111" s="101">
        <v>0.58333333333333337</v>
      </c>
      <c r="F111" s="101">
        <v>0.75</v>
      </c>
      <c r="G111" s="100">
        <f>IFERROR(VLOOKUP(Tablo519[[#This Row],[ÜRÜN KODU]],YMKODLARI!$A$1:$K$363,3,0)," ")</f>
        <v>2</v>
      </c>
      <c r="H111" s="100">
        <f>IFERROR(VLOOKUP(Tablo519[[#This Row],[ÜRÜN KODU]],YMKODLARI!$A$1:$K$363,4,0)," ")</f>
        <v>15</v>
      </c>
      <c r="I111" s="100">
        <v>566</v>
      </c>
      <c r="J111" s="100" t="str">
        <f>IFERROR(VLOOKUP(Tablo519[[#This Row],[ÜRÜN KODU]],YMKODLARI!$A$1:$K$363,9,0)," ")</f>
        <v>Şeffaf</v>
      </c>
      <c r="K111" s="100" t="str">
        <f>IFERROR(VLOOKUP(Tablo519[[#This Row],[BOYA KODU]],Tablo14[#All],4,0)," ")</f>
        <v xml:space="preserve"> </v>
      </c>
      <c r="L111" s="100" t="str">
        <f>IFERROR(VLOOKUP(Tablo519[[#This Row],[BOYA KODU]],Tablo14[#All],6,0)," ")</f>
        <v xml:space="preserve"> </v>
      </c>
      <c r="M111" s="100" t="str">
        <f t="shared" si="10"/>
        <v xml:space="preserve"> </v>
      </c>
      <c r="N111" s="100" t="str">
        <f>IFERROR(VLOOKUP(Tablo519[[#This Row],[ÜRÜN KODU]],YMKODLARI!$A$1:$K$363,8,0)," ")</f>
        <v>HM 001</v>
      </c>
      <c r="O111" s="100" t="str">
        <f>IFERROR(VLOOKUP(Tablo519[[#This Row],[HAMMADDE KODU]],Tablo1[#All],3,0)," ")</f>
        <v>CAPILENE</v>
      </c>
      <c r="P111" s="100" t="str">
        <f>IFERROR(VLOOKUP(Tablo519[[#This Row],[HAMMADDE KODU]],Tablo1[#All],4,0)," ")</f>
        <v>PİNHAS</v>
      </c>
      <c r="Q111" s="100">
        <f>IFERROR(VLOOKUP(Tablo519[[#This Row],[ÜRÜN KODU]],YMKODLARI!$A$1:$K$363,5,0)," ")</f>
        <v>26.4</v>
      </c>
      <c r="R111" s="100">
        <f>IFERROR(VLOOKUP(Tablo519[[#This Row],[ÜRÜN KODU]],YMKODLARI!$A$1:$K$363,6,0)," ")</f>
        <v>25.9</v>
      </c>
      <c r="S111" s="100">
        <f>IFERROR(Tablo519[[#This Row],[YOLLUK HARİÇ BASKI GRAMI]]/Tablo519[[#This Row],[KALIP GÖZ ADEDİ]]," ")</f>
        <v>12.95</v>
      </c>
      <c r="T111" s="100">
        <f t="shared" si="11"/>
        <v>0.5</v>
      </c>
      <c r="U111" s="100">
        <v>3.5</v>
      </c>
      <c r="V111" s="100">
        <f t="shared" si="16"/>
        <v>18.159399999999998</v>
      </c>
      <c r="W111" s="101">
        <f t="shared" si="12"/>
        <v>24.166666666666668</v>
      </c>
      <c r="X111" s="102">
        <f t="shared" si="13"/>
        <v>4.0000000000000284</v>
      </c>
      <c r="Y111" s="100">
        <f t="shared" si="14"/>
        <v>2.3583333333333334</v>
      </c>
      <c r="Z111" s="100">
        <f t="shared" si="15"/>
        <v>1132</v>
      </c>
    </row>
    <row r="112" spans="1:26">
      <c r="A112" s="100" t="s">
        <v>225</v>
      </c>
      <c r="B112" s="108" t="str">
        <f>IFERROR(VLOOKUP(Tablo519[[#This Row],[ÜRÜN KODU]],YMKODLARI!$A$1:$K$363,2,0)," ")</f>
        <v>TİRLE ZURNA</v>
      </c>
      <c r="C112" s="99">
        <v>44000</v>
      </c>
      <c r="D112" s="100" t="s">
        <v>33</v>
      </c>
      <c r="E112" s="101">
        <v>0.33333333333333331</v>
      </c>
      <c r="F112" s="101">
        <v>0.54166666666666663</v>
      </c>
      <c r="G112" s="100">
        <f>IFERROR(VLOOKUP(Tablo519[[#This Row],[ÜRÜN KODU]],YMKODLARI!$A$1:$K$363,3,0)," ")</f>
        <v>2</v>
      </c>
      <c r="H112" s="100">
        <f>IFERROR(VLOOKUP(Tablo519[[#This Row],[ÜRÜN KODU]],YMKODLARI!$A$1:$K$363,4,0)," ")</f>
        <v>15</v>
      </c>
      <c r="I112" s="100">
        <v>741</v>
      </c>
      <c r="J112" s="100" t="str">
        <f>IFERROR(VLOOKUP(Tablo519[[#This Row],[ÜRÜN KODU]],YMKODLARI!$A$1:$K$363,9,0)," ")</f>
        <v>Şeffaf</v>
      </c>
      <c r="K112" s="100" t="str">
        <f>IFERROR(VLOOKUP(Tablo519[[#This Row],[BOYA KODU]],Tablo14[#All],4,0)," ")</f>
        <v xml:space="preserve"> </v>
      </c>
      <c r="L112" s="100" t="str">
        <f>IFERROR(VLOOKUP(Tablo519[[#This Row],[BOYA KODU]],Tablo14[#All],6,0)," ")</f>
        <v xml:space="preserve"> </v>
      </c>
      <c r="M112" s="100" t="str">
        <f t="shared" si="10"/>
        <v xml:space="preserve"> </v>
      </c>
      <c r="N112" s="100" t="str">
        <f>IFERROR(VLOOKUP(Tablo519[[#This Row],[ÜRÜN KODU]],YMKODLARI!$A$1:$K$363,8,0)," ")</f>
        <v>HM 001</v>
      </c>
      <c r="O112" s="100" t="str">
        <f>IFERROR(VLOOKUP(Tablo519[[#This Row],[HAMMADDE KODU]],Tablo1[#All],3,0)," ")</f>
        <v>CAPILENE</v>
      </c>
      <c r="P112" s="100" t="str">
        <f>IFERROR(VLOOKUP(Tablo519[[#This Row],[HAMMADDE KODU]],Tablo1[#All],4,0)," ")</f>
        <v>PİNHAS</v>
      </c>
      <c r="Q112" s="100">
        <f>IFERROR(VLOOKUP(Tablo519[[#This Row],[ÜRÜN KODU]],YMKODLARI!$A$1:$K$363,5,0)," ")</f>
        <v>26.4</v>
      </c>
      <c r="R112" s="100">
        <f>IFERROR(VLOOKUP(Tablo519[[#This Row],[ÜRÜN KODU]],YMKODLARI!$A$1:$K$363,6,0)," ")</f>
        <v>25.9</v>
      </c>
      <c r="S112" s="100">
        <f>IFERROR(Tablo519[[#This Row],[YOLLUK HARİÇ BASKI GRAMI]]/Tablo519[[#This Row],[KALIP GÖZ ADEDİ]]," ")</f>
        <v>12.95</v>
      </c>
      <c r="T112" s="100">
        <f t="shared" si="11"/>
        <v>0.5</v>
      </c>
      <c r="U112" s="100">
        <v>2</v>
      </c>
      <c r="V112" s="100">
        <f t="shared" si="16"/>
        <v>21.191899999999997</v>
      </c>
      <c r="W112" s="101">
        <f t="shared" si="12"/>
        <v>24.208333333333332</v>
      </c>
      <c r="X112" s="102">
        <f t="shared" si="13"/>
        <v>4.9999999999999716</v>
      </c>
      <c r="Y112" s="100">
        <f t="shared" si="14"/>
        <v>3.0874999999999999</v>
      </c>
      <c r="Z112" s="100">
        <f t="shared" si="15"/>
        <v>1482</v>
      </c>
    </row>
    <row r="113" spans="1:26">
      <c r="A113" s="100" t="s">
        <v>226</v>
      </c>
      <c r="B113" s="108" t="str">
        <f>IFERROR(VLOOKUP(Tablo519[[#This Row],[ÜRÜN KODU]],YMKODLARI!$A$1:$K$363,2,0)," ")</f>
        <v>SAÇ FIRÇASI</v>
      </c>
      <c r="C113" s="99">
        <v>44004</v>
      </c>
      <c r="D113" s="100" t="s">
        <v>37</v>
      </c>
      <c r="E113" s="101">
        <v>0.34722222222222227</v>
      </c>
      <c r="F113" s="101">
        <v>0.79166666666666663</v>
      </c>
      <c r="G113" s="100">
        <f>IFERROR(VLOOKUP(Tablo519[[#This Row],[ÜRÜN KODU]],YMKODLARI!$A$1:$K$363,3,0)," ")</f>
        <v>2</v>
      </c>
      <c r="H113" s="100">
        <f>IFERROR(VLOOKUP(Tablo519[[#This Row],[ÜRÜN KODU]],YMKODLARI!$A$1:$K$363,4,0)," ")</f>
        <v>39</v>
      </c>
      <c r="I113" s="100">
        <v>808</v>
      </c>
      <c r="J113" s="100">
        <f>IFERROR(VLOOKUP(Tablo519[[#This Row],[ÜRÜN KODU]],YMKODLARI!$A$1:$K$363,9,0)," ")</f>
        <v>3409</v>
      </c>
      <c r="K113" s="100" t="str">
        <f>IFERROR(VLOOKUP(Tablo519[[#This Row],[BOYA KODU]],Tablo14[#All],4,0)," ")</f>
        <v>PEMBE</v>
      </c>
      <c r="L113" s="100">
        <f>IFERROR(VLOOKUP(Tablo519[[#This Row],[BOYA KODU]],Tablo14[#All],6,0)," ")</f>
        <v>5.0000000000000001E-3</v>
      </c>
      <c r="M113" s="100">
        <f t="shared" si="10"/>
        <v>188.66800000000003</v>
      </c>
      <c r="N113" s="100" t="str">
        <f>IFERROR(VLOOKUP(Tablo519[[#This Row],[ÜRÜN KODU]],YMKODLARI!$A$1:$K$363,8,0)," ")</f>
        <v>HM 001</v>
      </c>
      <c r="O113" s="100" t="str">
        <f>IFERROR(VLOOKUP(Tablo519[[#This Row],[HAMMADDE KODU]],Tablo1[#All],3,0)," ")</f>
        <v>CAPILENE</v>
      </c>
      <c r="P113" s="100" t="str">
        <f>IFERROR(VLOOKUP(Tablo519[[#This Row],[HAMMADDE KODU]],Tablo1[#All],4,0)," ")</f>
        <v>PİNHAS</v>
      </c>
      <c r="Q113" s="100">
        <f>IFERROR(VLOOKUP(Tablo519[[#This Row],[ÜRÜN KODU]],YMKODLARI!$A$1:$K$363,5,0)," ")</f>
        <v>46.7</v>
      </c>
      <c r="R113" s="100">
        <f>IFERROR(VLOOKUP(Tablo519[[#This Row],[ÜRÜN KODU]],YMKODLARI!$A$1:$K$363,6,0)," ")</f>
        <v>45.4</v>
      </c>
      <c r="S113" s="100">
        <f>IFERROR(Tablo519[[#This Row],[YOLLUK HARİÇ BASKI GRAMI]]/Tablo519[[#This Row],[KALIP GÖZ ADEDİ]]," ")</f>
        <v>22.7</v>
      </c>
      <c r="T113" s="100">
        <f t="shared" si="11"/>
        <v>1.3000000000000043</v>
      </c>
      <c r="U113" s="100">
        <v>10.5</v>
      </c>
      <c r="V113" s="100">
        <f t="shared" si="16"/>
        <v>47.183199999999999</v>
      </c>
      <c r="W113" s="101">
        <f t="shared" si="12"/>
        <v>24.444444444444443</v>
      </c>
      <c r="X113" s="102">
        <f t="shared" si="13"/>
        <v>10.666666666666629</v>
      </c>
      <c r="Y113" s="100">
        <f t="shared" si="14"/>
        <v>8.7533333333333339</v>
      </c>
      <c r="Z113" s="100">
        <f t="shared" si="15"/>
        <v>1616</v>
      </c>
    </row>
    <row r="114" spans="1:26">
      <c r="A114" s="100" t="s">
        <v>227</v>
      </c>
      <c r="B114" s="108" t="str">
        <f>IFERROR(VLOOKUP(Tablo519[[#This Row],[ÜRÜN KODU]],YMKODLARI!$A$1:$K$363,2,0)," ")</f>
        <v>SAÇ TARAĞI</v>
      </c>
      <c r="C114" s="99">
        <v>44004</v>
      </c>
      <c r="D114" s="100" t="s">
        <v>37</v>
      </c>
      <c r="E114" s="101"/>
      <c r="F114" s="101"/>
      <c r="G114" s="100">
        <f>IFERROR(VLOOKUP(Tablo519[[#This Row],[ÜRÜN KODU]],YMKODLARI!$A$1:$K$363,3,0)," ")</f>
        <v>2</v>
      </c>
      <c r="H114" s="100">
        <f>IFERROR(VLOOKUP(Tablo519[[#This Row],[ÜRÜN KODU]],YMKODLARI!$A$1:$K$363,4,0)," ")</f>
        <v>39</v>
      </c>
      <c r="I114" s="100">
        <v>808</v>
      </c>
      <c r="J114" s="100">
        <f>IFERROR(VLOOKUP(Tablo519[[#This Row],[ÜRÜN KODU]],YMKODLARI!$A$1:$K$363,9,0)," ")</f>
        <v>3409</v>
      </c>
      <c r="K114" s="100" t="str">
        <f>IFERROR(VLOOKUP(Tablo519[[#This Row],[BOYA KODU]],Tablo14[#All],4,0)," ")</f>
        <v>PEMBE</v>
      </c>
      <c r="L114" s="100">
        <f>IFERROR(VLOOKUP(Tablo519[[#This Row],[BOYA KODU]],Tablo14[#All],6,0)," ")</f>
        <v>5.0000000000000001E-3</v>
      </c>
      <c r="M114" s="100">
        <f t="shared" si="10"/>
        <v>56.963999999999999</v>
      </c>
      <c r="N114" s="100" t="str">
        <f>IFERROR(VLOOKUP(Tablo519[[#This Row],[ÜRÜN KODU]],YMKODLARI!$A$1:$K$363,8,0)," ")</f>
        <v>HM 001</v>
      </c>
      <c r="O114" s="100" t="str">
        <f>IFERROR(VLOOKUP(Tablo519[[#This Row],[HAMMADDE KODU]],Tablo1[#All],3,0)," ")</f>
        <v>CAPILENE</v>
      </c>
      <c r="P114" s="100" t="str">
        <f>IFERROR(VLOOKUP(Tablo519[[#This Row],[HAMMADDE KODU]],Tablo1[#All],4,0)," ")</f>
        <v>PİNHAS</v>
      </c>
      <c r="Q114" s="100">
        <f>IFERROR(VLOOKUP(Tablo519[[#This Row],[ÜRÜN KODU]],YMKODLARI!$A$1:$K$363,5,0)," ")</f>
        <v>14.1</v>
      </c>
      <c r="R114" s="100">
        <f>IFERROR(VLOOKUP(Tablo519[[#This Row],[ÜRÜN KODU]],YMKODLARI!$A$1:$K$363,6,0)," ")</f>
        <v>14.1</v>
      </c>
      <c r="S114" s="100">
        <f>IFERROR(Tablo519[[#This Row],[YOLLUK HARİÇ BASKI GRAMI]]/Tablo519[[#This Row],[KALIP GÖZ ADEDİ]]," ")</f>
        <v>7.05</v>
      </c>
      <c r="T114" s="100">
        <f t="shared" si="11"/>
        <v>0</v>
      </c>
      <c r="U114" s="100"/>
      <c r="V114" s="100">
        <f t="shared" si="16"/>
        <v>11.392799999999999</v>
      </c>
      <c r="W114" s="101">
        <f t="shared" si="12"/>
        <v>24</v>
      </c>
      <c r="X114" s="102">
        <f t="shared" si="13"/>
        <v>0</v>
      </c>
      <c r="Y114" s="100">
        <f t="shared" si="14"/>
        <v>8.7533333333333339</v>
      </c>
      <c r="Z114" s="100">
        <f t="shared" si="15"/>
        <v>1616</v>
      </c>
    </row>
    <row r="115" spans="1:26">
      <c r="A115" s="100" t="s">
        <v>226</v>
      </c>
      <c r="B115" s="108" t="str">
        <f>IFERROR(VLOOKUP(Tablo519[[#This Row],[ÜRÜN KODU]],YMKODLARI!$A$1:$K$363,2,0)," ")</f>
        <v>SAÇ FIRÇASI</v>
      </c>
      <c r="C115" s="99">
        <v>44005</v>
      </c>
      <c r="D115" s="100" t="s">
        <v>36</v>
      </c>
      <c r="E115" s="101">
        <v>0.33333333333333331</v>
      </c>
      <c r="F115" s="101">
        <v>0.57291666666666663</v>
      </c>
      <c r="G115" s="100">
        <f>IFERROR(VLOOKUP(Tablo519[[#This Row],[ÜRÜN KODU]],YMKODLARI!$A$1:$K$363,3,0)," ")</f>
        <v>2</v>
      </c>
      <c r="H115" s="100">
        <f>IFERROR(VLOOKUP(Tablo519[[#This Row],[ÜRÜN KODU]],YMKODLARI!$A$1:$K$363,4,0)," ")</f>
        <v>39</v>
      </c>
      <c r="I115" s="100">
        <v>90</v>
      </c>
      <c r="J115" s="100">
        <f>IFERROR(VLOOKUP(Tablo519[[#This Row],[ÜRÜN KODU]],YMKODLARI!$A$1:$K$363,9,0)," ")</f>
        <v>3409</v>
      </c>
      <c r="K115" s="100" t="str">
        <f>IFERROR(VLOOKUP(Tablo519[[#This Row],[BOYA KODU]],Tablo14[#All],4,0)," ")</f>
        <v>PEMBE</v>
      </c>
      <c r="L115" s="100">
        <f>IFERROR(VLOOKUP(Tablo519[[#This Row],[BOYA KODU]],Tablo14[#All],6,0)," ")</f>
        <v>5.0000000000000001E-3</v>
      </c>
      <c r="M115" s="100">
        <f t="shared" si="10"/>
        <v>21.015000000000001</v>
      </c>
      <c r="N115" s="100" t="str">
        <f>IFERROR(VLOOKUP(Tablo519[[#This Row],[ÜRÜN KODU]],YMKODLARI!$A$1:$K$363,8,0)," ")</f>
        <v>HM 001</v>
      </c>
      <c r="O115" s="100" t="str">
        <f>IFERROR(VLOOKUP(Tablo519[[#This Row],[HAMMADDE KODU]],Tablo1[#All],3,0)," ")</f>
        <v>CAPILENE</v>
      </c>
      <c r="P115" s="100" t="str">
        <f>IFERROR(VLOOKUP(Tablo519[[#This Row],[HAMMADDE KODU]],Tablo1[#All],4,0)," ")</f>
        <v>PİNHAS</v>
      </c>
      <c r="Q115" s="100">
        <f>IFERROR(VLOOKUP(Tablo519[[#This Row],[ÜRÜN KODU]],YMKODLARI!$A$1:$K$363,5,0)," ")</f>
        <v>46.7</v>
      </c>
      <c r="R115" s="100">
        <f>IFERROR(VLOOKUP(Tablo519[[#This Row],[ÜRÜN KODU]],YMKODLARI!$A$1:$K$363,6,0)," ")</f>
        <v>45.4</v>
      </c>
      <c r="S115" s="100">
        <f>IFERROR(Tablo519[[#This Row],[YOLLUK HARİÇ BASKI GRAMI]]/Tablo519[[#This Row],[KALIP GÖZ ADEDİ]]," ")</f>
        <v>22.7</v>
      </c>
      <c r="T115" s="100">
        <f t="shared" si="11"/>
        <v>1.3000000000000043</v>
      </c>
      <c r="U115" s="100"/>
      <c r="V115" s="100">
        <f t="shared" si="16"/>
        <v>4.0860000000000003</v>
      </c>
      <c r="W115" s="101">
        <f t="shared" si="12"/>
        <v>24.239583333333332</v>
      </c>
      <c r="X115" s="102">
        <f t="shared" si="13"/>
        <v>5.7499999999999716</v>
      </c>
      <c r="Y115" s="100">
        <f t="shared" si="14"/>
        <v>0.97499999999999998</v>
      </c>
      <c r="Z115" s="100">
        <f t="shared" si="15"/>
        <v>180</v>
      </c>
    </row>
    <row r="116" spans="1:26">
      <c r="A116" s="100" t="s">
        <v>227</v>
      </c>
      <c r="B116" s="108" t="str">
        <f>IFERROR(VLOOKUP(Tablo519[[#This Row],[ÜRÜN KODU]],YMKODLARI!$A$1:$K$363,2,0)," ")</f>
        <v>SAÇ TARAĞI</v>
      </c>
      <c r="C116" s="99">
        <v>44005</v>
      </c>
      <c r="D116" s="100" t="s">
        <v>36</v>
      </c>
      <c r="E116" s="101"/>
      <c r="F116" s="101"/>
      <c r="G116" s="100">
        <f>IFERROR(VLOOKUP(Tablo519[[#This Row],[ÜRÜN KODU]],YMKODLARI!$A$1:$K$363,3,0)," ")</f>
        <v>2</v>
      </c>
      <c r="H116" s="100">
        <f>IFERROR(VLOOKUP(Tablo519[[#This Row],[ÜRÜN KODU]],YMKODLARI!$A$1:$K$363,4,0)," ")</f>
        <v>39</v>
      </c>
      <c r="I116" s="100">
        <v>90</v>
      </c>
      <c r="J116" s="100">
        <f>IFERROR(VLOOKUP(Tablo519[[#This Row],[ÜRÜN KODU]],YMKODLARI!$A$1:$K$363,9,0)," ")</f>
        <v>3409</v>
      </c>
      <c r="K116" s="100" t="str">
        <f>IFERROR(VLOOKUP(Tablo519[[#This Row],[BOYA KODU]],Tablo14[#All],4,0)," ")</f>
        <v>PEMBE</v>
      </c>
      <c r="L116" s="100">
        <f>IFERROR(VLOOKUP(Tablo519[[#This Row],[BOYA KODU]],Tablo14[#All],6,0)," ")</f>
        <v>5.0000000000000001E-3</v>
      </c>
      <c r="M116" s="100">
        <f t="shared" si="10"/>
        <v>6.3449999999999998</v>
      </c>
      <c r="N116" s="100" t="str">
        <f>IFERROR(VLOOKUP(Tablo519[[#This Row],[ÜRÜN KODU]],YMKODLARI!$A$1:$K$363,8,0)," ")</f>
        <v>HM 001</v>
      </c>
      <c r="O116" s="100" t="str">
        <f>IFERROR(VLOOKUP(Tablo519[[#This Row],[HAMMADDE KODU]],Tablo1[#All],3,0)," ")</f>
        <v>CAPILENE</v>
      </c>
      <c r="P116" s="100" t="str">
        <f>IFERROR(VLOOKUP(Tablo519[[#This Row],[HAMMADDE KODU]],Tablo1[#All],4,0)," ")</f>
        <v>PİNHAS</v>
      </c>
      <c r="Q116" s="100">
        <f>IFERROR(VLOOKUP(Tablo519[[#This Row],[ÜRÜN KODU]],YMKODLARI!$A$1:$K$363,5,0)," ")</f>
        <v>14.1</v>
      </c>
      <c r="R116" s="100">
        <f>IFERROR(VLOOKUP(Tablo519[[#This Row],[ÜRÜN KODU]],YMKODLARI!$A$1:$K$363,6,0)," ")</f>
        <v>14.1</v>
      </c>
      <c r="S116" s="100">
        <f>IFERROR(Tablo519[[#This Row],[YOLLUK HARİÇ BASKI GRAMI]]/Tablo519[[#This Row],[KALIP GÖZ ADEDİ]]," ")</f>
        <v>7.05</v>
      </c>
      <c r="T116" s="100">
        <f t="shared" si="11"/>
        <v>0</v>
      </c>
      <c r="U116" s="100"/>
      <c r="V116" s="100">
        <f t="shared" si="16"/>
        <v>1.2689999999999999</v>
      </c>
      <c r="W116" s="101">
        <f t="shared" si="12"/>
        <v>24</v>
      </c>
      <c r="X116" s="102">
        <f t="shared" si="13"/>
        <v>0</v>
      </c>
      <c r="Y116" s="100">
        <f t="shared" si="14"/>
        <v>0.97499999999999998</v>
      </c>
      <c r="Z116" s="100">
        <f t="shared" si="15"/>
        <v>180</v>
      </c>
    </row>
    <row r="117" spans="1:26">
      <c r="A117" s="100" t="s">
        <v>228</v>
      </c>
      <c r="B117" s="108" t="str">
        <f>IFERROR(VLOOKUP(Tablo519[[#This Row],[ÜRÜN KODU]],YMKODLARI!$A$1:$K$363,2,0)," ")</f>
        <v>SAÇ FIRÇASI</v>
      </c>
      <c r="C117" s="99">
        <v>44005</v>
      </c>
      <c r="D117" s="100" t="s">
        <v>36</v>
      </c>
      <c r="E117" s="101">
        <v>0.58333333333333337</v>
      </c>
      <c r="F117" s="101">
        <v>0.75</v>
      </c>
      <c r="G117" s="100">
        <f>IFERROR(VLOOKUP(Tablo519[[#This Row],[ÜRÜN KODU]],YMKODLARI!$A$1:$K$363,3,0)," ")</f>
        <v>2</v>
      </c>
      <c r="H117" s="100">
        <f>IFERROR(VLOOKUP(Tablo519[[#This Row],[ÜRÜN KODU]],YMKODLARI!$A$1:$K$363,4,0)," ")</f>
        <v>39</v>
      </c>
      <c r="I117" s="100">
        <v>333</v>
      </c>
      <c r="J117" s="100">
        <f>IFERROR(VLOOKUP(Tablo519[[#This Row],[ÜRÜN KODU]],YMKODLARI!$A$1:$K$363,9,0)," ")</f>
        <v>5287</v>
      </c>
      <c r="K117" s="100" t="str">
        <f>IFERROR(VLOOKUP(Tablo519[[#This Row],[BOYA KODU]],Tablo14[#All],4,0)," ")</f>
        <v>MAVİ</v>
      </c>
      <c r="L117" s="100">
        <f>IFERROR(VLOOKUP(Tablo519[[#This Row],[BOYA KODU]],Tablo14[#All],6,0)," ")</f>
        <v>5.0000000000000001E-3</v>
      </c>
      <c r="M117" s="100">
        <f t="shared" si="10"/>
        <v>77.755499999999998</v>
      </c>
      <c r="N117" s="100" t="str">
        <f>IFERROR(VLOOKUP(Tablo519[[#This Row],[ÜRÜN KODU]],YMKODLARI!$A$1:$K$363,8,0)," ")</f>
        <v>HM 001</v>
      </c>
      <c r="O117" s="100" t="str">
        <f>IFERROR(VLOOKUP(Tablo519[[#This Row],[HAMMADDE KODU]],Tablo1[#All],3,0)," ")</f>
        <v>CAPILENE</v>
      </c>
      <c r="P117" s="100" t="str">
        <f>IFERROR(VLOOKUP(Tablo519[[#This Row],[HAMMADDE KODU]],Tablo1[#All],4,0)," ")</f>
        <v>PİNHAS</v>
      </c>
      <c r="Q117" s="100">
        <f>IFERROR(VLOOKUP(Tablo519[[#This Row],[ÜRÜN KODU]],YMKODLARI!$A$1:$K$363,5,0)," ")</f>
        <v>46.7</v>
      </c>
      <c r="R117" s="100">
        <f>IFERROR(VLOOKUP(Tablo519[[#This Row],[ÜRÜN KODU]],YMKODLARI!$A$1:$K$363,6,0)," ")</f>
        <v>45.4</v>
      </c>
      <c r="S117" s="100">
        <f>IFERROR(Tablo519[[#This Row],[YOLLUK HARİÇ BASKI GRAMI]]/Tablo519[[#This Row],[KALIP GÖZ ADEDİ]]," ")</f>
        <v>22.7</v>
      </c>
      <c r="T117" s="100">
        <f t="shared" si="11"/>
        <v>1.3000000000000043</v>
      </c>
      <c r="U117" s="100">
        <v>7</v>
      </c>
      <c r="V117" s="100">
        <f t="shared" si="16"/>
        <v>22.118199999999998</v>
      </c>
      <c r="W117" s="101">
        <f t="shared" si="12"/>
        <v>24.166666666666668</v>
      </c>
      <c r="X117" s="102">
        <f t="shared" si="13"/>
        <v>4.0000000000000284</v>
      </c>
      <c r="Y117" s="100">
        <f t="shared" si="14"/>
        <v>3.6074999999999999</v>
      </c>
      <c r="Z117" s="100">
        <f t="shared" si="15"/>
        <v>666</v>
      </c>
    </row>
    <row r="118" spans="1:26">
      <c r="A118" s="100" t="s">
        <v>229</v>
      </c>
      <c r="B118" s="108" t="str">
        <f>IFERROR(VLOOKUP(Tablo519[[#This Row],[ÜRÜN KODU]],YMKODLARI!$A$1:$K$363,2,0)," ")</f>
        <v>SAÇ TARAĞI</v>
      </c>
      <c r="C118" s="99">
        <v>44005</v>
      </c>
      <c r="D118" s="100" t="s">
        <v>36</v>
      </c>
      <c r="E118" s="101"/>
      <c r="F118" s="101"/>
      <c r="G118" s="100">
        <f>IFERROR(VLOOKUP(Tablo519[[#This Row],[ÜRÜN KODU]],YMKODLARI!$A$1:$K$363,3,0)," ")</f>
        <v>2</v>
      </c>
      <c r="H118" s="100">
        <f>IFERROR(VLOOKUP(Tablo519[[#This Row],[ÜRÜN KODU]],YMKODLARI!$A$1:$K$363,4,0)," ")</f>
        <v>39</v>
      </c>
      <c r="I118" s="100">
        <v>333</v>
      </c>
      <c r="J118" s="100">
        <f>IFERROR(VLOOKUP(Tablo519[[#This Row],[ÜRÜN KODU]],YMKODLARI!$A$1:$K$363,9,0)," ")</f>
        <v>5287</v>
      </c>
      <c r="K118" s="100" t="str">
        <f>IFERROR(VLOOKUP(Tablo519[[#This Row],[BOYA KODU]],Tablo14[#All],4,0)," ")</f>
        <v>MAVİ</v>
      </c>
      <c r="L118" s="100">
        <f>IFERROR(VLOOKUP(Tablo519[[#This Row],[BOYA KODU]],Tablo14[#All],6,0)," ")</f>
        <v>5.0000000000000001E-3</v>
      </c>
      <c r="M118" s="100">
        <f t="shared" si="10"/>
        <v>23.476500000000001</v>
      </c>
      <c r="N118" s="100" t="str">
        <f>IFERROR(VLOOKUP(Tablo519[[#This Row],[ÜRÜN KODU]],YMKODLARI!$A$1:$K$363,8,0)," ")</f>
        <v>HM 001</v>
      </c>
      <c r="O118" s="100" t="str">
        <f>IFERROR(VLOOKUP(Tablo519[[#This Row],[HAMMADDE KODU]],Tablo1[#All],3,0)," ")</f>
        <v>CAPILENE</v>
      </c>
      <c r="P118" s="100" t="str">
        <f>IFERROR(VLOOKUP(Tablo519[[#This Row],[HAMMADDE KODU]],Tablo1[#All],4,0)," ")</f>
        <v>PİNHAS</v>
      </c>
      <c r="Q118" s="100">
        <f>IFERROR(VLOOKUP(Tablo519[[#This Row],[ÜRÜN KODU]],YMKODLARI!$A$1:$K$363,5,0)," ")</f>
        <v>14.1</v>
      </c>
      <c r="R118" s="100">
        <f>IFERROR(VLOOKUP(Tablo519[[#This Row],[ÜRÜN KODU]],YMKODLARI!$A$1:$K$363,6,0)," ")</f>
        <v>14.1</v>
      </c>
      <c r="S118" s="100">
        <f>IFERROR(Tablo519[[#This Row],[YOLLUK HARİÇ BASKI GRAMI]]/Tablo519[[#This Row],[KALIP GÖZ ADEDİ]]," ")</f>
        <v>7.05</v>
      </c>
      <c r="T118" s="100">
        <f t="shared" si="11"/>
        <v>0</v>
      </c>
      <c r="U118" s="100"/>
      <c r="V118" s="100">
        <f t="shared" si="16"/>
        <v>4.6953000000000005</v>
      </c>
      <c r="W118" s="101">
        <f t="shared" si="12"/>
        <v>24</v>
      </c>
      <c r="X118" s="102">
        <f t="shared" si="13"/>
        <v>0</v>
      </c>
      <c r="Y118" s="100">
        <f t="shared" si="14"/>
        <v>3.6074999999999999</v>
      </c>
      <c r="Z118" s="100">
        <f t="shared" si="15"/>
        <v>666</v>
      </c>
    </row>
    <row r="119" spans="1:26">
      <c r="A119" s="100" t="s">
        <v>228</v>
      </c>
      <c r="B119" s="108" t="str">
        <f>IFERROR(VLOOKUP(Tablo519[[#This Row],[ÜRÜN KODU]],YMKODLARI!$A$1:$K$363,2,0)," ")</f>
        <v>SAÇ FIRÇASI</v>
      </c>
      <c r="C119" s="99">
        <v>44006</v>
      </c>
      <c r="D119" s="100" t="s">
        <v>36</v>
      </c>
      <c r="E119" s="101">
        <v>0.33333333333333331</v>
      </c>
      <c r="F119" s="101">
        <v>0.62152777777777779</v>
      </c>
      <c r="G119" s="100">
        <f>IFERROR(VLOOKUP(Tablo519[[#This Row],[ÜRÜN KODU]],YMKODLARI!$A$1:$K$363,3,0)," ")</f>
        <v>2</v>
      </c>
      <c r="H119" s="100">
        <f>IFERROR(VLOOKUP(Tablo519[[#This Row],[ÜRÜN KODU]],YMKODLARI!$A$1:$K$363,4,0)," ")</f>
        <v>39</v>
      </c>
      <c r="I119" s="100">
        <v>515</v>
      </c>
      <c r="J119" s="100">
        <f>IFERROR(VLOOKUP(Tablo519[[#This Row],[ÜRÜN KODU]],YMKODLARI!$A$1:$K$363,9,0)," ")</f>
        <v>5287</v>
      </c>
      <c r="K119" s="100" t="str">
        <f>IFERROR(VLOOKUP(Tablo519[[#This Row],[BOYA KODU]],Tablo14[#All],4,0)," ")</f>
        <v>MAVİ</v>
      </c>
      <c r="L119" s="100">
        <f>IFERROR(VLOOKUP(Tablo519[[#This Row],[BOYA KODU]],Tablo14[#All],6,0)," ")</f>
        <v>5.0000000000000001E-3</v>
      </c>
      <c r="M119" s="100">
        <f t="shared" si="10"/>
        <v>120.2525</v>
      </c>
      <c r="N119" s="100" t="str">
        <f>IFERROR(VLOOKUP(Tablo519[[#This Row],[ÜRÜN KODU]],YMKODLARI!$A$1:$K$363,8,0)," ")</f>
        <v>HM 001</v>
      </c>
      <c r="O119" s="100" t="str">
        <f>IFERROR(VLOOKUP(Tablo519[[#This Row],[HAMMADDE KODU]],Tablo1[#All],3,0)," ")</f>
        <v>CAPILENE</v>
      </c>
      <c r="P119" s="100" t="str">
        <f>IFERROR(VLOOKUP(Tablo519[[#This Row],[HAMMADDE KODU]],Tablo1[#All],4,0)," ")</f>
        <v>PİNHAS</v>
      </c>
      <c r="Q119" s="100">
        <f>IFERROR(VLOOKUP(Tablo519[[#This Row],[ÜRÜN KODU]],YMKODLARI!$A$1:$K$363,5,0)," ")</f>
        <v>46.7</v>
      </c>
      <c r="R119" s="100">
        <f>IFERROR(VLOOKUP(Tablo519[[#This Row],[ÜRÜN KODU]],YMKODLARI!$A$1:$K$363,6,0)," ")</f>
        <v>45.4</v>
      </c>
      <c r="S119" s="100">
        <f>IFERROR(Tablo519[[#This Row],[YOLLUK HARİÇ BASKI GRAMI]]/Tablo519[[#This Row],[KALIP GÖZ ADEDİ]]," ")</f>
        <v>22.7</v>
      </c>
      <c r="T119" s="100">
        <f t="shared" si="11"/>
        <v>1.3000000000000043</v>
      </c>
      <c r="U119" s="100"/>
      <c r="V119" s="100">
        <f t="shared" si="16"/>
        <v>23.381</v>
      </c>
      <c r="W119" s="101">
        <f t="shared" si="12"/>
        <v>24.288194444444443</v>
      </c>
      <c r="X119" s="102">
        <f t="shared" si="13"/>
        <v>6.9166666666666288</v>
      </c>
      <c r="Y119" s="100">
        <f t="shared" si="14"/>
        <v>5.5791666666666666</v>
      </c>
      <c r="Z119" s="100">
        <f t="shared" si="15"/>
        <v>1030</v>
      </c>
    </row>
    <row r="120" spans="1:26">
      <c r="A120" s="100" t="s">
        <v>229</v>
      </c>
      <c r="B120" s="108" t="str">
        <f>IFERROR(VLOOKUP(Tablo519[[#This Row],[ÜRÜN KODU]],YMKODLARI!$A$1:$K$363,2,0)," ")</f>
        <v>SAÇ TARAĞI</v>
      </c>
      <c r="C120" s="99">
        <v>44006</v>
      </c>
      <c r="D120" s="100" t="s">
        <v>36</v>
      </c>
      <c r="E120" s="101"/>
      <c r="F120" s="101"/>
      <c r="G120" s="100">
        <f>IFERROR(VLOOKUP(Tablo519[[#This Row],[ÜRÜN KODU]],YMKODLARI!$A$1:$K$363,3,0)," ")</f>
        <v>2</v>
      </c>
      <c r="H120" s="100">
        <f>IFERROR(VLOOKUP(Tablo519[[#This Row],[ÜRÜN KODU]],YMKODLARI!$A$1:$K$363,4,0)," ")</f>
        <v>39</v>
      </c>
      <c r="I120" s="100">
        <v>515</v>
      </c>
      <c r="J120" s="100">
        <f>IFERROR(VLOOKUP(Tablo519[[#This Row],[ÜRÜN KODU]],YMKODLARI!$A$1:$K$363,9,0)," ")</f>
        <v>5287</v>
      </c>
      <c r="K120" s="100" t="str">
        <f>IFERROR(VLOOKUP(Tablo519[[#This Row],[BOYA KODU]],Tablo14[#All],4,0)," ")</f>
        <v>MAVİ</v>
      </c>
      <c r="L120" s="100">
        <f>IFERROR(VLOOKUP(Tablo519[[#This Row],[BOYA KODU]],Tablo14[#All],6,0)," ")</f>
        <v>5.0000000000000001E-3</v>
      </c>
      <c r="M120" s="100">
        <f t="shared" si="10"/>
        <v>36.307499999999997</v>
      </c>
      <c r="N120" s="100" t="str">
        <f>IFERROR(VLOOKUP(Tablo519[[#This Row],[ÜRÜN KODU]],YMKODLARI!$A$1:$K$363,8,0)," ")</f>
        <v>HM 001</v>
      </c>
      <c r="O120" s="100" t="str">
        <f>IFERROR(VLOOKUP(Tablo519[[#This Row],[HAMMADDE KODU]],Tablo1[#All],3,0)," ")</f>
        <v>CAPILENE</v>
      </c>
      <c r="P120" s="100" t="str">
        <f>IFERROR(VLOOKUP(Tablo519[[#This Row],[HAMMADDE KODU]],Tablo1[#All],4,0)," ")</f>
        <v>PİNHAS</v>
      </c>
      <c r="Q120" s="100">
        <f>IFERROR(VLOOKUP(Tablo519[[#This Row],[ÜRÜN KODU]],YMKODLARI!$A$1:$K$363,5,0)," ")</f>
        <v>14.1</v>
      </c>
      <c r="R120" s="100">
        <f>IFERROR(VLOOKUP(Tablo519[[#This Row],[ÜRÜN KODU]],YMKODLARI!$A$1:$K$363,6,0)," ")</f>
        <v>14.1</v>
      </c>
      <c r="S120" s="100">
        <f>IFERROR(Tablo519[[#This Row],[YOLLUK HARİÇ BASKI GRAMI]]/Tablo519[[#This Row],[KALIP GÖZ ADEDİ]]," ")</f>
        <v>7.05</v>
      </c>
      <c r="T120" s="100">
        <f t="shared" si="11"/>
        <v>0</v>
      </c>
      <c r="U120" s="100"/>
      <c r="V120" s="100">
        <f t="shared" si="16"/>
        <v>7.2614999999999998</v>
      </c>
      <c r="W120" s="101">
        <f t="shared" si="12"/>
        <v>24</v>
      </c>
      <c r="X120" s="102">
        <f t="shared" si="13"/>
        <v>0</v>
      </c>
      <c r="Y120" s="100">
        <f t="shared" si="14"/>
        <v>5.5791666666666666</v>
      </c>
      <c r="Z120" s="100">
        <f t="shared" si="15"/>
        <v>1030</v>
      </c>
    </row>
    <row r="121" spans="1:26">
      <c r="A121" s="100" t="s">
        <v>230</v>
      </c>
      <c r="B121" s="108" t="str">
        <f>IFERROR(VLOOKUP(Tablo519[[#This Row],[ÜRÜN KODU]],YMKODLARI!$A$1:$K$363,2,0)," ")</f>
        <v>SAÇ FIRÇASI</v>
      </c>
      <c r="C121" s="99">
        <v>44006</v>
      </c>
      <c r="D121" s="100" t="s">
        <v>36</v>
      </c>
      <c r="E121" s="101">
        <v>0.625</v>
      </c>
      <c r="F121" s="101">
        <v>0.75</v>
      </c>
      <c r="G121" s="100">
        <f>IFERROR(VLOOKUP(Tablo519[[#This Row],[ÜRÜN KODU]],YMKODLARI!$A$1:$K$363,3,0)," ")</f>
        <v>2</v>
      </c>
      <c r="H121" s="100">
        <f>IFERROR(VLOOKUP(Tablo519[[#This Row],[ÜRÜN KODU]],YMKODLARI!$A$1:$K$363,4,0)," ")</f>
        <v>39</v>
      </c>
      <c r="I121" s="100">
        <v>150</v>
      </c>
      <c r="J121" s="100">
        <f>IFERROR(VLOOKUP(Tablo519[[#This Row],[ÜRÜN KODU]],YMKODLARI!$A$1:$K$363,9,0)," ")</f>
        <v>3041</v>
      </c>
      <c r="K121" s="100" t="str">
        <f>IFERROR(VLOOKUP(Tablo519[[#This Row],[BOYA KODU]],Tablo14[#All],4,0)," ")</f>
        <v>KIRMIZI</v>
      </c>
      <c r="L121" s="100">
        <f>IFERROR(VLOOKUP(Tablo519[[#This Row],[BOYA KODU]],Tablo14[#All],6,0)," ")</f>
        <v>5.0000000000000001E-3</v>
      </c>
      <c r="M121" s="100">
        <f t="shared" si="10"/>
        <v>35.024999999999999</v>
      </c>
      <c r="N121" s="100" t="str">
        <f>IFERROR(VLOOKUP(Tablo519[[#This Row],[ÜRÜN KODU]],YMKODLARI!$A$1:$K$363,8,0)," ")</f>
        <v>HM 001</v>
      </c>
      <c r="O121" s="100" t="str">
        <f>IFERROR(VLOOKUP(Tablo519[[#This Row],[HAMMADDE KODU]],Tablo1[#All],3,0)," ")</f>
        <v>CAPILENE</v>
      </c>
      <c r="P121" s="100" t="str">
        <f>IFERROR(VLOOKUP(Tablo519[[#This Row],[HAMMADDE KODU]],Tablo1[#All],4,0)," ")</f>
        <v>PİNHAS</v>
      </c>
      <c r="Q121" s="100">
        <f>IFERROR(VLOOKUP(Tablo519[[#This Row],[ÜRÜN KODU]],YMKODLARI!$A$1:$K$363,5,0)," ")</f>
        <v>46.7</v>
      </c>
      <c r="R121" s="100">
        <f>IFERROR(VLOOKUP(Tablo519[[#This Row],[ÜRÜN KODU]],YMKODLARI!$A$1:$K$363,6,0)," ")</f>
        <v>45.4</v>
      </c>
      <c r="S121" s="100">
        <f>IFERROR(Tablo519[[#This Row],[YOLLUK HARİÇ BASKI GRAMI]]/Tablo519[[#This Row],[KALIP GÖZ ADEDİ]]," ")</f>
        <v>22.7</v>
      </c>
      <c r="T121" s="100">
        <f t="shared" si="11"/>
        <v>1.3000000000000043</v>
      </c>
      <c r="U121" s="100"/>
      <c r="V121" s="100">
        <f t="shared" ref="V121:V135" si="17">IFERROR(U125+(R121*I121) /1000," ")</f>
        <v>26.31</v>
      </c>
      <c r="W121" s="101">
        <f t="shared" si="12"/>
        <v>24.125</v>
      </c>
      <c r="X121" s="102">
        <f t="shared" si="13"/>
        <v>3</v>
      </c>
      <c r="Y121" s="100">
        <f t="shared" si="14"/>
        <v>1.625</v>
      </c>
      <c r="Z121" s="100">
        <f t="shared" si="15"/>
        <v>300</v>
      </c>
    </row>
    <row r="122" spans="1:26">
      <c r="A122" s="100" t="s">
        <v>231</v>
      </c>
      <c r="B122" s="108" t="str">
        <f>IFERROR(VLOOKUP(Tablo519[[#This Row],[ÜRÜN KODU]],YMKODLARI!$A$1:$K$363,2,0)," ")</f>
        <v>SAÇ TARAĞI</v>
      </c>
      <c r="C122" s="99">
        <v>44006</v>
      </c>
      <c r="D122" s="100" t="s">
        <v>36</v>
      </c>
      <c r="E122" s="101"/>
      <c r="F122" s="101"/>
      <c r="G122" s="100">
        <f>IFERROR(VLOOKUP(Tablo519[[#This Row],[ÜRÜN KODU]],YMKODLARI!$A$1:$K$363,3,0)," ")</f>
        <v>2</v>
      </c>
      <c r="H122" s="100">
        <f>IFERROR(VLOOKUP(Tablo519[[#This Row],[ÜRÜN KODU]],YMKODLARI!$A$1:$K$363,4,0)," ")</f>
        <v>39</v>
      </c>
      <c r="I122" s="100">
        <v>150</v>
      </c>
      <c r="J122" s="100">
        <f>IFERROR(VLOOKUP(Tablo519[[#This Row],[ÜRÜN KODU]],YMKODLARI!$A$1:$K$363,9,0)," ")</f>
        <v>3041</v>
      </c>
      <c r="K122" s="100" t="str">
        <f>IFERROR(VLOOKUP(Tablo519[[#This Row],[BOYA KODU]],Tablo14[#All],4,0)," ")</f>
        <v>KIRMIZI</v>
      </c>
      <c r="L122" s="100">
        <f>IFERROR(VLOOKUP(Tablo519[[#This Row],[BOYA KODU]],Tablo14[#All],6,0)," ")</f>
        <v>5.0000000000000001E-3</v>
      </c>
      <c r="M122" s="100">
        <f t="shared" si="10"/>
        <v>10.575000000000001</v>
      </c>
      <c r="N122" s="100" t="str">
        <f>IFERROR(VLOOKUP(Tablo519[[#This Row],[ÜRÜN KODU]],YMKODLARI!$A$1:$K$363,8,0)," ")</f>
        <v>HM 001</v>
      </c>
      <c r="O122" s="100" t="str">
        <f>IFERROR(VLOOKUP(Tablo519[[#This Row],[HAMMADDE KODU]],Tablo1[#All],3,0)," ")</f>
        <v>CAPILENE</v>
      </c>
      <c r="P122" s="100" t="str">
        <f>IFERROR(VLOOKUP(Tablo519[[#This Row],[HAMMADDE KODU]],Tablo1[#All],4,0)," ")</f>
        <v>PİNHAS</v>
      </c>
      <c r="Q122" s="100">
        <f>IFERROR(VLOOKUP(Tablo519[[#This Row],[ÜRÜN KODU]],YMKODLARI!$A$1:$K$363,5,0)," ")</f>
        <v>14.1</v>
      </c>
      <c r="R122" s="100">
        <f>IFERROR(VLOOKUP(Tablo519[[#This Row],[ÜRÜN KODU]],YMKODLARI!$A$1:$K$363,6,0)," ")</f>
        <v>14.1</v>
      </c>
      <c r="S122" s="100">
        <f>IFERROR(Tablo519[[#This Row],[YOLLUK HARİÇ BASKI GRAMI]]/Tablo519[[#This Row],[KALIP GÖZ ADEDİ]]," ")</f>
        <v>7.05</v>
      </c>
      <c r="T122" s="100">
        <f t="shared" si="11"/>
        <v>0</v>
      </c>
      <c r="U122" s="100"/>
      <c r="V122" s="100">
        <f t="shared" si="17"/>
        <v>2.1150000000000002</v>
      </c>
      <c r="W122" s="101">
        <f t="shared" si="12"/>
        <v>24</v>
      </c>
      <c r="X122" s="102">
        <f t="shared" si="13"/>
        <v>0</v>
      </c>
      <c r="Y122" s="100">
        <f t="shared" si="14"/>
        <v>1.625</v>
      </c>
      <c r="Z122" s="100">
        <f t="shared" si="15"/>
        <v>300</v>
      </c>
    </row>
    <row r="123" spans="1:26">
      <c r="A123" s="100" t="s">
        <v>230</v>
      </c>
      <c r="B123" s="108" t="str">
        <f>IFERROR(VLOOKUP(Tablo519[[#This Row],[ÜRÜN KODU]],YMKODLARI!$A$1:$K$363,2,0)," ")</f>
        <v>SAÇ FIRÇASI</v>
      </c>
      <c r="C123" s="99">
        <v>44007</v>
      </c>
      <c r="D123" s="100" t="s">
        <v>36</v>
      </c>
      <c r="E123" s="101">
        <v>0.33333333333333331</v>
      </c>
      <c r="F123" s="101">
        <v>0.75</v>
      </c>
      <c r="G123" s="100">
        <f>IFERROR(VLOOKUP(Tablo519[[#This Row],[ÜRÜN KODU]],YMKODLARI!$A$1:$K$363,3,0)," ")</f>
        <v>2</v>
      </c>
      <c r="H123" s="100">
        <f>IFERROR(VLOOKUP(Tablo519[[#This Row],[ÜRÜN KODU]],YMKODLARI!$A$1:$K$363,4,0)," ")</f>
        <v>39</v>
      </c>
      <c r="I123" s="100">
        <v>489</v>
      </c>
      <c r="J123" s="100">
        <f>IFERROR(VLOOKUP(Tablo519[[#This Row],[ÜRÜN KODU]],YMKODLARI!$A$1:$K$363,9,0)," ")</f>
        <v>3041</v>
      </c>
      <c r="K123" s="100" t="str">
        <f>IFERROR(VLOOKUP(Tablo519[[#This Row],[BOYA KODU]],Tablo14[#All],4,0)," ")</f>
        <v>KIRMIZI</v>
      </c>
      <c r="L123" s="100">
        <f>IFERROR(VLOOKUP(Tablo519[[#This Row],[BOYA KODU]],Tablo14[#All],6,0)," ")</f>
        <v>5.0000000000000001E-3</v>
      </c>
      <c r="M123" s="100">
        <f t="shared" si="10"/>
        <v>114.18150000000001</v>
      </c>
      <c r="N123" s="100" t="str">
        <f>IFERROR(VLOOKUP(Tablo519[[#This Row],[ÜRÜN KODU]],YMKODLARI!$A$1:$K$363,8,0)," ")</f>
        <v>HM 001</v>
      </c>
      <c r="O123" s="100" t="str">
        <f>IFERROR(VLOOKUP(Tablo519[[#This Row],[HAMMADDE KODU]],Tablo1[#All],3,0)," ")</f>
        <v>CAPILENE</v>
      </c>
      <c r="P123" s="100" t="str">
        <f>IFERROR(VLOOKUP(Tablo519[[#This Row],[HAMMADDE KODU]],Tablo1[#All],4,0)," ")</f>
        <v>PİNHAS</v>
      </c>
      <c r="Q123" s="100">
        <f>IFERROR(VLOOKUP(Tablo519[[#This Row],[ÜRÜN KODU]],YMKODLARI!$A$1:$K$363,5,0)," ")</f>
        <v>46.7</v>
      </c>
      <c r="R123" s="100">
        <f>IFERROR(VLOOKUP(Tablo519[[#This Row],[ÜRÜN KODU]],YMKODLARI!$A$1:$K$363,6,0)," ")</f>
        <v>45.4</v>
      </c>
      <c r="S123" s="100">
        <f>IFERROR(Tablo519[[#This Row],[YOLLUK HARİÇ BASKI GRAMI]]/Tablo519[[#This Row],[KALIP GÖZ ADEDİ]]," ")</f>
        <v>22.7</v>
      </c>
      <c r="T123" s="100">
        <f t="shared" si="11"/>
        <v>1.3000000000000043</v>
      </c>
      <c r="U123" s="100"/>
      <c r="V123" s="100">
        <f t="shared" si="17"/>
        <v>22.200599999999998</v>
      </c>
      <c r="W123" s="101">
        <f t="shared" si="12"/>
        <v>24.416666666666668</v>
      </c>
      <c r="X123" s="102">
        <f t="shared" si="13"/>
        <v>10.000000000000028</v>
      </c>
      <c r="Y123" s="100">
        <f t="shared" si="14"/>
        <v>5.2975000000000003</v>
      </c>
      <c r="Z123" s="100">
        <f t="shared" si="15"/>
        <v>978</v>
      </c>
    </row>
    <row r="124" spans="1:26">
      <c r="A124" s="100" t="s">
        <v>231</v>
      </c>
      <c r="B124" s="108" t="str">
        <f>IFERROR(VLOOKUP(Tablo519[[#This Row],[ÜRÜN KODU]],YMKODLARI!$A$1:$K$363,2,0)," ")</f>
        <v>SAÇ TARAĞI</v>
      </c>
      <c r="C124" s="99">
        <v>44007</v>
      </c>
      <c r="D124" s="100" t="s">
        <v>36</v>
      </c>
      <c r="E124" s="101"/>
      <c r="F124" s="101"/>
      <c r="G124" s="100">
        <f>IFERROR(VLOOKUP(Tablo519[[#This Row],[ÜRÜN KODU]],YMKODLARI!$A$1:$K$363,3,0)," ")</f>
        <v>2</v>
      </c>
      <c r="H124" s="100">
        <f>IFERROR(VLOOKUP(Tablo519[[#This Row],[ÜRÜN KODU]],YMKODLARI!$A$1:$K$363,4,0)," ")</f>
        <v>39</v>
      </c>
      <c r="I124" s="100">
        <v>489</v>
      </c>
      <c r="J124" s="100">
        <f>IFERROR(VLOOKUP(Tablo519[[#This Row],[ÜRÜN KODU]],YMKODLARI!$A$1:$K$363,9,0)," ")</f>
        <v>3041</v>
      </c>
      <c r="K124" s="100" t="str">
        <f>IFERROR(VLOOKUP(Tablo519[[#This Row],[BOYA KODU]],Tablo14[#All],4,0)," ")</f>
        <v>KIRMIZI</v>
      </c>
      <c r="L124" s="100">
        <f>IFERROR(VLOOKUP(Tablo519[[#This Row],[BOYA KODU]],Tablo14[#All],6,0)," ")</f>
        <v>5.0000000000000001E-3</v>
      </c>
      <c r="M124" s="100">
        <f t="shared" si="10"/>
        <v>34.474499999999999</v>
      </c>
      <c r="N124" s="100" t="str">
        <f>IFERROR(VLOOKUP(Tablo519[[#This Row],[ÜRÜN KODU]],YMKODLARI!$A$1:$K$363,8,0)," ")</f>
        <v>HM 001</v>
      </c>
      <c r="O124" s="100" t="str">
        <f>IFERROR(VLOOKUP(Tablo519[[#This Row],[HAMMADDE KODU]],Tablo1[#All],3,0)," ")</f>
        <v>CAPILENE</v>
      </c>
      <c r="P124" s="100" t="str">
        <f>IFERROR(VLOOKUP(Tablo519[[#This Row],[HAMMADDE KODU]],Tablo1[#All],4,0)," ")</f>
        <v>PİNHAS</v>
      </c>
      <c r="Q124" s="100">
        <f>IFERROR(VLOOKUP(Tablo519[[#This Row],[ÜRÜN KODU]],YMKODLARI!$A$1:$K$363,5,0)," ")</f>
        <v>14.1</v>
      </c>
      <c r="R124" s="100">
        <f>IFERROR(VLOOKUP(Tablo519[[#This Row],[ÜRÜN KODU]],YMKODLARI!$A$1:$K$363,6,0)," ")</f>
        <v>14.1</v>
      </c>
      <c r="S124" s="100">
        <f>IFERROR(Tablo519[[#This Row],[YOLLUK HARİÇ BASKI GRAMI]]/Tablo519[[#This Row],[KALIP GÖZ ADEDİ]]," ")</f>
        <v>7.05</v>
      </c>
      <c r="T124" s="100">
        <f t="shared" si="11"/>
        <v>0</v>
      </c>
      <c r="U124" s="100"/>
      <c r="V124" s="100">
        <f t="shared" si="17"/>
        <v>11.8949</v>
      </c>
      <c r="W124" s="101">
        <f t="shared" si="12"/>
        <v>24</v>
      </c>
      <c r="X124" s="102">
        <f t="shared" si="13"/>
        <v>0</v>
      </c>
      <c r="Y124" s="100">
        <f t="shared" si="14"/>
        <v>5.2975000000000003</v>
      </c>
      <c r="Z124" s="100">
        <f t="shared" si="15"/>
        <v>978</v>
      </c>
    </row>
    <row r="125" spans="1:26">
      <c r="A125" s="100" t="s">
        <v>230</v>
      </c>
      <c r="B125" s="108" t="str">
        <f>IFERROR(VLOOKUP(Tablo519[[#This Row],[ÜRÜN KODU]],YMKODLARI!$A$1:$K$363,2,0)," ")</f>
        <v>SAÇ FIRÇASI</v>
      </c>
      <c r="C125" s="99">
        <v>44008</v>
      </c>
      <c r="D125" s="100" t="s">
        <v>36</v>
      </c>
      <c r="E125" s="101">
        <v>0.33333333333333331</v>
      </c>
      <c r="F125" s="101">
        <v>0.75</v>
      </c>
      <c r="G125" s="100">
        <f>IFERROR(VLOOKUP(Tablo519[[#This Row],[ÜRÜN KODU]],YMKODLARI!$A$1:$K$363,3,0)," ")</f>
        <v>2</v>
      </c>
      <c r="H125" s="100">
        <f>IFERROR(VLOOKUP(Tablo519[[#This Row],[ÜRÜN KODU]],YMKODLARI!$A$1:$K$363,4,0)," ")</f>
        <v>39</v>
      </c>
      <c r="I125" s="100">
        <v>641</v>
      </c>
      <c r="J125" s="100">
        <f>IFERROR(VLOOKUP(Tablo519[[#This Row],[ÜRÜN KODU]],YMKODLARI!$A$1:$K$363,9,0)," ")</f>
        <v>3041</v>
      </c>
      <c r="K125" s="100" t="str">
        <f>IFERROR(VLOOKUP(Tablo519[[#This Row],[BOYA KODU]],Tablo14[#All],4,0)," ")</f>
        <v>KIRMIZI</v>
      </c>
      <c r="L125" s="100">
        <f>IFERROR(VLOOKUP(Tablo519[[#This Row],[BOYA KODU]],Tablo14[#All],6,0)," ")</f>
        <v>5.0000000000000001E-3</v>
      </c>
      <c r="M125" s="100">
        <f t="shared" si="10"/>
        <v>149.67350000000002</v>
      </c>
      <c r="N125" s="100" t="str">
        <f>IFERROR(VLOOKUP(Tablo519[[#This Row],[ÜRÜN KODU]],YMKODLARI!$A$1:$K$363,8,0)," ")</f>
        <v>HM 001</v>
      </c>
      <c r="O125" s="100" t="str">
        <f>IFERROR(VLOOKUP(Tablo519[[#This Row],[HAMMADDE KODU]],Tablo1[#All],3,0)," ")</f>
        <v>CAPILENE</v>
      </c>
      <c r="P125" s="100" t="str">
        <f>IFERROR(VLOOKUP(Tablo519[[#This Row],[HAMMADDE KODU]],Tablo1[#All],4,0)," ")</f>
        <v>PİNHAS</v>
      </c>
      <c r="Q125" s="100">
        <f>IFERROR(VLOOKUP(Tablo519[[#This Row],[ÜRÜN KODU]],YMKODLARI!$A$1:$K$363,5,0)," ")</f>
        <v>46.7</v>
      </c>
      <c r="R125" s="100">
        <f>IFERROR(VLOOKUP(Tablo519[[#This Row],[ÜRÜN KODU]],YMKODLARI!$A$1:$K$363,6,0)," ")</f>
        <v>45.4</v>
      </c>
      <c r="S125" s="100">
        <f>IFERROR(Tablo519[[#This Row],[YOLLUK HARİÇ BASKI GRAMI]]/Tablo519[[#This Row],[KALIP GÖZ ADEDİ]]," ")</f>
        <v>22.7</v>
      </c>
      <c r="T125" s="100">
        <f t="shared" si="11"/>
        <v>1.3000000000000043</v>
      </c>
      <c r="U125" s="100">
        <v>19.5</v>
      </c>
      <c r="V125" s="100">
        <f t="shared" si="17"/>
        <v>31.101399999999998</v>
      </c>
      <c r="W125" s="101">
        <f t="shared" si="12"/>
        <v>24.416666666666668</v>
      </c>
      <c r="X125" s="102">
        <f t="shared" si="13"/>
        <v>10.000000000000028</v>
      </c>
      <c r="Y125" s="100">
        <f t="shared" si="14"/>
        <v>6.9441666666666668</v>
      </c>
      <c r="Z125" s="100">
        <f t="shared" si="15"/>
        <v>1282</v>
      </c>
    </row>
    <row r="126" spans="1:26">
      <c r="A126" s="100" t="s">
        <v>231</v>
      </c>
      <c r="B126" s="108" t="str">
        <f>IFERROR(VLOOKUP(Tablo519[[#This Row],[ÜRÜN KODU]],YMKODLARI!$A$1:$K$363,2,0)," ")</f>
        <v>SAÇ TARAĞI</v>
      </c>
      <c r="C126" s="99">
        <v>44008</v>
      </c>
      <c r="D126" s="100" t="s">
        <v>36</v>
      </c>
      <c r="E126" s="101"/>
      <c r="F126" s="101"/>
      <c r="G126" s="100">
        <f>IFERROR(VLOOKUP(Tablo519[[#This Row],[ÜRÜN KODU]],YMKODLARI!$A$1:$K$363,3,0)," ")</f>
        <v>2</v>
      </c>
      <c r="H126" s="100">
        <f>IFERROR(VLOOKUP(Tablo519[[#This Row],[ÜRÜN KODU]],YMKODLARI!$A$1:$K$363,4,0)," ")</f>
        <v>39</v>
      </c>
      <c r="I126" s="100">
        <v>641</v>
      </c>
      <c r="J126" s="100">
        <f>IFERROR(VLOOKUP(Tablo519[[#This Row],[ÜRÜN KODU]],YMKODLARI!$A$1:$K$363,9,0)," ")</f>
        <v>3041</v>
      </c>
      <c r="K126" s="100" t="str">
        <f>IFERROR(VLOOKUP(Tablo519[[#This Row],[BOYA KODU]],Tablo14[#All],4,0)," ")</f>
        <v>KIRMIZI</v>
      </c>
      <c r="L126" s="100">
        <f>IFERROR(VLOOKUP(Tablo519[[#This Row],[BOYA KODU]],Tablo14[#All],6,0)," ")</f>
        <v>5.0000000000000001E-3</v>
      </c>
      <c r="M126" s="100">
        <f t="shared" si="10"/>
        <v>45.1905</v>
      </c>
      <c r="N126" s="100" t="str">
        <f>IFERROR(VLOOKUP(Tablo519[[#This Row],[ÜRÜN KODU]],YMKODLARI!$A$1:$K$363,8,0)," ")</f>
        <v>HM 001</v>
      </c>
      <c r="O126" s="100" t="str">
        <f>IFERROR(VLOOKUP(Tablo519[[#This Row],[HAMMADDE KODU]],Tablo1[#All],3,0)," ")</f>
        <v>CAPILENE</v>
      </c>
      <c r="P126" s="100" t="str">
        <f>IFERROR(VLOOKUP(Tablo519[[#This Row],[HAMMADDE KODU]],Tablo1[#All],4,0)," ")</f>
        <v>PİNHAS</v>
      </c>
      <c r="Q126" s="100">
        <f>IFERROR(VLOOKUP(Tablo519[[#This Row],[ÜRÜN KODU]],YMKODLARI!$A$1:$K$363,5,0)," ")</f>
        <v>14.1</v>
      </c>
      <c r="R126" s="100">
        <f>IFERROR(VLOOKUP(Tablo519[[#This Row],[ÜRÜN KODU]],YMKODLARI!$A$1:$K$363,6,0)," ")</f>
        <v>14.1</v>
      </c>
      <c r="S126" s="100">
        <f>IFERROR(Tablo519[[#This Row],[YOLLUK HARİÇ BASKI GRAMI]]/Tablo519[[#This Row],[KALIP GÖZ ADEDİ]]," ")</f>
        <v>7.05</v>
      </c>
      <c r="T126" s="100">
        <f t="shared" si="11"/>
        <v>0</v>
      </c>
      <c r="U126" s="100"/>
      <c r="V126" s="100">
        <f t="shared" si="17"/>
        <v>11.238099999999999</v>
      </c>
      <c r="W126" s="101">
        <f t="shared" si="12"/>
        <v>24</v>
      </c>
      <c r="X126" s="102">
        <f t="shared" si="13"/>
        <v>0</v>
      </c>
      <c r="Y126" s="100">
        <f t="shared" si="14"/>
        <v>6.9441666666666668</v>
      </c>
      <c r="Z126" s="100">
        <f t="shared" si="15"/>
        <v>1282</v>
      </c>
    </row>
    <row r="127" spans="1:26">
      <c r="A127" s="100" t="s">
        <v>215</v>
      </c>
      <c r="B127" s="108" t="str">
        <f>IFERROR(VLOOKUP(Tablo519[[#This Row],[ÜRÜN KODU]],YMKODLARI!$A$1:$K$363,2,0)," ")</f>
        <v>MAMA KAŞIĞI SAP</v>
      </c>
      <c r="C127" s="99">
        <v>44011</v>
      </c>
      <c r="D127" s="100" t="s">
        <v>33</v>
      </c>
      <c r="E127" s="101">
        <v>0.47222222222222227</v>
      </c>
      <c r="F127" s="101">
        <v>0.75</v>
      </c>
      <c r="G127" s="100">
        <f>IFERROR(VLOOKUP(Tablo519[[#This Row],[ÜRÜN KODU]],YMKODLARI!$A$1:$K$363,3,0)," ")</f>
        <v>16</v>
      </c>
      <c r="H127" s="100">
        <f>IFERROR(VLOOKUP(Tablo519[[#This Row],[ÜRÜN KODU]],YMKODLARI!$A$1:$K$363,4,0)," ")</f>
        <v>27</v>
      </c>
      <c r="I127" s="100">
        <v>637</v>
      </c>
      <c r="J127" s="100" t="str">
        <f>IFERROR(VLOOKUP(Tablo519[[#This Row],[ÜRÜN KODU]],YMKODLARI!$A$1:$K$363,9,0)," ")</f>
        <v>9134A</v>
      </c>
      <c r="K127" s="100" t="str">
        <f>IFERROR(VLOOKUP(Tablo519[[#This Row],[BOYA KODU]],Tablo14[#All],4,0)," ")</f>
        <v>BEYAZ</v>
      </c>
      <c r="L127" s="100">
        <f>IFERROR(VLOOKUP(Tablo519[[#This Row],[BOYA KODU]],Tablo14[#All],6,0)," ")</f>
        <v>7.0000000000000001E-3</v>
      </c>
      <c r="M127" s="100">
        <f t="shared" si="10"/>
        <v>306.7792</v>
      </c>
      <c r="N127" s="100" t="str">
        <f>IFERROR(VLOOKUP(Tablo519[[#This Row],[ÜRÜN KODU]],YMKODLARI!$A$1:$K$363,8,0)," ")</f>
        <v>HM 001</v>
      </c>
      <c r="O127" s="100" t="str">
        <f>IFERROR(VLOOKUP(Tablo519[[#This Row],[HAMMADDE KODU]],Tablo1[#All],3,0)," ")</f>
        <v>CAPILENE</v>
      </c>
      <c r="P127" s="100" t="str">
        <f>IFERROR(VLOOKUP(Tablo519[[#This Row],[HAMMADDE KODU]],Tablo1[#All],4,0)," ")</f>
        <v>PİNHAS</v>
      </c>
      <c r="Q127" s="100">
        <f>IFERROR(VLOOKUP(Tablo519[[#This Row],[ÜRÜN KODU]],YMKODLARI!$A$1:$K$363,5,0)," ")</f>
        <v>68.8</v>
      </c>
      <c r="R127" s="100">
        <f>IFERROR(VLOOKUP(Tablo519[[#This Row],[ÜRÜN KODU]],YMKODLARI!$A$1:$K$363,6,0)," ")</f>
        <v>65</v>
      </c>
      <c r="S127" s="100">
        <f>IFERROR(Tablo519[[#This Row],[YOLLUK HARİÇ BASKI GRAMI]]/Tablo519[[#This Row],[KALIP GÖZ ADEDİ]]," ")</f>
        <v>4.0625</v>
      </c>
      <c r="T127" s="100">
        <f t="shared" si="11"/>
        <v>3.7999999999999972</v>
      </c>
      <c r="U127" s="100"/>
      <c r="V127" s="100">
        <f t="shared" si="17"/>
        <v>42.704999999999998</v>
      </c>
      <c r="W127" s="101">
        <f t="shared" si="12"/>
        <v>24.277777777777779</v>
      </c>
      <c r="X127" s="102">
        <f t="shared" si="13"/>
        <v>6.6666666666666856</v>
      </c>
      <c r="Y127" s="100">
        <f t="shared" si="14"/>
        <v>4.7774999999999999</v>
      </c>
      <c r="Z127" s="100">
        <f t="shared" si="15"/>
        <v>10192</v>
      </c>
    </row>
    <row r="128" spans="1:26">
      <c r="A128" s="100" t="s">
        <v>215</v>
      </c>
      <c r="B128" s="108" t="str">
        <f>IFERROR(VLOOKUP(Tablo519[[#This Row],[ÜRÜN KODU]],YMKODLARI!$A$1:$K$363,2,0)," ")</f>
        <v>MAMA KAŞIĞI SAP</v>
      </c>
      <c r="C128" s="99">
        <v>44012</v>
      </c>
      <c r="D128" s="100" t="s">
        <v>36</v>
      </c>
      <c r="E128" s="101">
        <v>0.33333333333333331</v>
      </c>
      <c r="F128" s="101">
        <v>0.48958333333333331</v>
      </c>
      <c r="G128" s="100">
        <f>IFERROR(VLOOKUP(Tablo519[[#This Row],[ÜRÜN KODU]],YMKODLARI!$A$1:$K$363,3,0)," ")</f>
        <v>16</v>
      </c>
      <c r="H128" s="100">
        <f>IFERROR(VLOOKUP(Tablo519[[#This Row],[ÜRÜN KODU]],YMKODLARI!$A$1:$K$363,4,0)," ")</f>
        <v>27</v>
      </c>
      <c r="I128" s="100">
        <v>356</v>
      </c>
      <c r="J128" s="100" t="str">
        <f>IFERROR(VLOOKUP(Tablo519[[#This Row],[ÜRÜN KODU]],YMKODLARI!$A$1:$K$363,9,0)," ")</f>
        <v>9134A</v>
      </c>
      <c r="K128" s="100" t="str">
        <f>IFERROR(VLOOKUP(Tablo519[[#This Row],[BOYA KODU]],Tablo14[#All],4,0)," ")</f>
        <v>BEYAZ</v>
      </c>
      <c r="L128" s="100">
        <f>IFERROR(VLOOKUP(Tablo519[[#This Row],[BOYA KODU]],Tablo14[#All],6,0)," ")</f>
        <v>7.0000000000000001E-3</v>
      </c>
      <c r="M128" s="100">
        <f t="shared" si="10"/>
        <v>171.4496</v>
      </c>
      <c r="N128" s="100" t="str">
        <f>IFERROR(VLOOKUP(Tablo519[[#This Row],[ÜRÜN KODU]],YMKODLARI!$A$1:$K$363,8,0)," ")</f>
        <v>HM 001</v>
      </c>
      <c r="O128" s="100" t="str">
        <f>IFERROR(VLOOKUP(Tablo519[[#This Row],[HAMMADDE KODU]],Tablo1[#All],3,0)," ")</f>
        <v>CAPILENE</v>
      </c>
      <c r="P128" s="100" t="str">
        <f>IFERROR(VLOOKUP(Tablo519[[#This Row],[HAMMADDE KODU]],Tablo1[#All],4,0)," ")</f>
        <v>PİNHAS</v>
      </c>
      <c r="Q128" s="100">
        <f>IFERROR(VLOOKUP(Tablo519[[#This Row],[ÜRÜN KODU]],YMKODLARI!$A$1:$K$363,5,0)," ")</f>
        <v>68.8</v>
      </c>
      <c r="R128" s="100">
        <f>IFERROR(VLOOKUP(Tablo519[[#This Row],[ÜRÜN KODU]],YMKODLARI!$A$1:$K$363,6,0)," ")</f>
        <v>65</v>
      </c>
      <c r="S128" s="100">
        <f>IFERROR(Tablo519[[#This Row],[YOLLUK HARİÇ BASKI GRAMI]]/Tablo519[[#This Row],[KALIP GÖZ ADEDİ]]," ")</f>
        <v>4.0625</v>
      </c>
      <c r="T128" s="100">
        <f t="shared" si="11"/>
        <v>3.7999999999999972</v>
      </c>
      <c r="U128" s="100">
        <v>5</v>
      </c>
      <c r="V128" s="100">
        <f t="shared" si="17"/>
        <v>24.740000000000002</v>
      </c>
      <c r="W128" s="101">
        <f t="shared" si="12"/>
        <v>24.15625</v>
      </c>
      <c r="X128" s="102">
        <f t="shared" si="13"/>
        <v>3.75</v>
      </c>
      <c r="Y128" s="100">
        <f t="shared" si="14"/>
        <v>2.67</v>
      </c>
      <c r="Z128" s="100">
        <f t="shared" si="15"/>
        <v>5696</v>
      </c>
    </row>
    <row r="129" spans="1:26">
      <c r="A129" s="100" t="s">
        <v>216</v>
      </c>
      <c r="B129" s="108" t="str">
        <f>IFERROR(VLOOKUP(Tablo519[[#This Row],[ÜRÜN KODU]],YMKODLARI!$A$1:$K$363,2,0)," ")</f>
        <v>MAMA KAŞIĞI SAP</v>
      </c>
      <c r="C129" s="99">
        <v>44012</v>
      </c>
      <c r="D129" s="100" t="s">
        <v>36</v>
      </c>
      <c r="E129" s="101">
        <v>0.49305555555555558</v>
      </c>
      <c r="F129" s="101">
        <v>0.63611111111111118</v>
      </c>
      <c r="G129" s="100">
        <f>IFERROR(VLOOKUP(Tablo519[[#This Row],[ÜRÜN KODU]],YMKODLARI!$A$1:$K$363,3,0)," ")</f>
        <v>16</v>
      </c>
      <c r="H129" s="100">
        <f>IFERROR(VLOOKUP(Tablo519[[#This Row],[ÜRÜN KODU]],YMKODLARI!$A$1:$K$363,4,0)," ")</f>
        <v>27</v>
      </c>
      <c r="I129" s="100">
        <v>338</v>
      </c>
      <c r="J129" s="100">
        <f>IFERROR(VLOOKUP(Tablo519[[#This Row],[ÜRÜN KODU]],YMKODLARI!$A$1:$K$363,9,0)," ")</f>
        <v>3409</v>
      </c>
      <c r="K129" s="100" t="str">
        <f>IFERROR(VLOOKUP(Tablo519[[#This Row],[BOYA KODU]],Tablo14[#All],4,0)," ")</f>
        <v>PEMBE</v>
      </c>
      <c r="L129" s="100">
        <f>IFERROR(VLOOKUP(Tablo519[[#This Row],[BOYA KODU]],Tablo14[#All],6,0)," ")</f>
        <v>5.0000000000000001E-3</v>
      </c>
      <c r="M129" s="100">
        <f t="shared" si="10"/>
        <v>116.27199999999999</v>
      </c>
      <c r="N129" s="100" t="str">
        <f>IFERROR(VLOOKUP(Tablo519[[#This Row],[ÜRÜN KODU]],YMKODLARI!$A$1:$K$363,8,0)," ")</f>
        <v>HM 001</v>
      </c>
      <c r="O129" s="100" t="str">
        <f>IFERROR(VLOOKUP(Tablo519[[#This Row],[HAMMADDE KODU]],Tablo1[#All],3,0)," ")</f>
        <v>CAPILENE</v>
      </c>
      <c r="P129" s="100" t="str">
        <f>IFERROR(VLOOKUP(Tablo519[[#This Row],[HAMMADDE KODU]],Tablo1[#All],4,0)," ")</f>
        <v>PİNHAS</v>
      </c>
      <c r="Q129" s="100">
        <f>IFERROR(VLOOKUP(Tablo519[[#This Row],[ÜRÜN KODU]],YMKODLARI!$A$1:$K$363,5,0)," ")</f>
        <v>68.8</v>
      </c>
      <c r="R129" s="100">
        <f>IFERROR(VLOOKUP(Tablo519[[#This Row],[ÜRÜN KODU]],YMKODLARI!$A$1:$K$363,6,0)," ")</f>
        <v>65</v>
      </c>
      <c r="S129" s="100">
        <f>IFERROR(Tablo519[[#This Row],[YOLLUK HARİÇ BASKI GRAMI]]/Tablo519[[#This Row],[KALIP GÖZ ADEDİ]]," ")</f>
        <v>4.0625</v>
      </c>
      <c r="T129" s="100">
        <f t="shared" si="11"/>
        <v>3.7999999999999972</v>
      </c>
      <c r="U129" s="100">
        <v>2</v>
      </c>
      <c r="V129" s="100">
        <f t="shared" si="17"/>
        <v>34.07</v>
      </c>
      <c r="W129" s="101">
        <f t="shared" si="12"/>
        <v>24.143055555555556</v>
      </c>
      <c r="X129" s="102">
        <f t="shared" si="13"/>
        <v>3.4333333333333371</v>
      </c>
      <c r="Y129" s="100">
        <f t="shared" si="14"/>
        <v>2.5350000000000001</v>
      </c>
      <c r="Z129" s="100">
        <f t="shared" si="15"/>
        <v>5408</v>
      </c>
    </row>
    <row r="130" spans="1:26">
      <c r="A130" s="100" t="s">
        <v>217</v>
      </c>
      <c r="B130" s="108" t="str">
        <f>IFERROR(VLOOKUP(Tablo519[[#This Row],[ÜRÜN KODU]],YMKODLARI!$A$1:$K$363,2,0)," ")</f>
        <v>MAMA KAŞIĞI SAP</v>
      </c>
      <c r="C130" s="99">
        <v>44012</v>
      </c>
      <c r="D130" s="100" t="s">
        <v>29</v>
      </c>
      <c r="E130" s="101">
        <v>0.64166666666666672</v>
      </c>
      <c r="F130" s="101">
        <v>0.75</v>
      </c>
      <c r="G130" s="100">
        <f>IFERROR(VLOOKUP(Tablo519[[#This Row],[ÜRÜN KODU]],YMKODLARI!$A$1:$K$363,3,0)," ")</f>
        <v>16</v>
      </c>
      <c r="H130" s="100">
        <f>IFERROR(VLOOKUP(Tablo519[[#This Row],[ÜRÜN KODU]],YMKODLARI!$A$1:$K$363,4,0)," ")</f>
        <v>27</v>
      </c>
      <c r="I130" s="100">
        <v>291</v>
      </c>
      <c r="J130" s="100">
        <f>IFERROR(VLOOKUP(Tablo519[[#This Row],[ÜRÜN KODU]],YMKODLARI!$A$1:$K$363,9,0)," ")</f>
        <v>5287</v>
      </c>
      <c r="K130" s="100" t="str">
        <f>IFERROR(VLOOKUP(Tablo519[[#This Row],[BOYA KODU]],Tablo14[#All],4,0)," ")</f>
        <v>MAVİ</v>
      </c>
      <c r="L130" s="100">
        <f>IFERROR(VLOOKUP(Tablo519[[#This Row],[BOYA KODU]],Tablo14[#All],6,0)," ")</f>
        <v>5.0000000000000001E-3</v>
      </c>
      <c r="M130" s="100">
        <f t="shared" si="10"/>
        <v>100.104</v>
      </c>
      <c r="N130" s="100" t="str">
        <f>IFERROR(VLOOKUP(Tablo519[[#This Row],[ÜRÜN KODU]],YMKODLARI!$A$1:$K$363,8,0)," ")</f>
        <v>HM 001</v>
      </c>
      <c r="O130" s="100" t="str">
        <f>IFERROR(VLOOKUP(Tablo519[[#This Row],[HAMMADDE KODU]],Tablo1[#All],3,0)," ")</f>
        <v>CAPILENE</v>
      </c>
      <c r="P130" s="100" t="str">
        <f>IFERROR(VLOOKUP(Tablo519[[#This Row],[HAMMADDE KODU]],Tablo1[#All],4,0)," ")</f>
        <v>PİNHAS</v>
      </c>
      <c r="Q130" s="100">
        <f>IFERROR(VLOOKUP(Tablo519[[#This Row],[ÜRÜN KODU]],YMKODLARI!$A$1:$K$363,5,0)," ")</f>
        <v>68.8</v>
      </c>
      <c r="R130" s="100">
        <f>IFERROR(VLOOKUP(Tablo519[[#This Row],[ÜRÜN KODU]],YMKODLARI!$A$1:$K$363,6,0)," ")</f>
        <v>65</v>
      </c>
      <c r="S130" s="100">
        <f>IFERROR(Tablo519[[#This Row],[YOLLUK HARİÇ BASKI GRAMI]]/Tablo519[[#This Row],[KALIP GÖZ ADEDİ]]," ")</f>
        <v>4.0625</v>
      </c>
      <c r="T130" s="100">
        <f t="shared" si="11"/>
        <v>3.7999999999999972</v>
      </c>
      <c r="U130" s="100">
        <v>2.2000000000000002</v>
      </c>
      <c r="V130" s="100">
        <f t="shared" si="17"/>
        <v>33.414999999999999</v>
      </c>
      <c r="W130" s="101">
        <f t="shared" si="12"/>
        <v>24.108333333333334</v>
      </c>
      <c r="X130" s="102">
        <f t="shared" si="13"/>
        <v>2.6000000000000227</v>
      </c>
      <c r="Y130" s="100">
        <f t="shared" si="14"/>
        <v>2.1825000000000001</v>
      </c>
      <c r="Z130" s="100">
        <f t="shared" si="15"/>
        <v>4656</v>
      </c>
    </row>
    <row r="131" spans="1:26">
      <c r="A131" s="100" t="s">
        <v>217</v>
      </c>
      <c r="B131" s="108" t="str">
        <f>IFERROR(VLOOKUP(Tablo519[[#This Row],[ÜRÜN KODU]],YMKODLARI!$A$1:$K$363,2,0)," ")</f>
        <v>MAMA KAŞIĞI SAP</v>
      </c>
      <c r="C131" s="99">
        <v>44013</v>
      </c>
      <c r="D131" s="100" t="s">
        <v>29</v>
      </c>
      <c r="E131" s="101">
        <v>0.33333333333333331</v>
      </c>
      <c r="F131" s="101">
        <v>0.36527777777777781</v>
      </c>
      <c r="G131" s="100">
        <f>IFERROR(VLOOKUP(Tablo519[[#This Row],[ÜRÜN KODU]],YMKODLARI!$A$1:$K$363,3,0)," ")</f>
        <v>16</v>
      </c>
      <c r="H131" s="100">
        <f>IFERROR(VLOOKUP(Tablo519[[#This Row],[ÜRÜN KODU]],YMKODLARI!$A$1:$K$363,4,0)," ")</f>
        <v>27</v>
      </c>
      <c r="I131" s="100">
        <v>39</v>
      </c>
      <c r="J131" s="100">
        <f>IFERROR(VLOOKUP(Tablo519[[#This Row],[ÜRÜN KODU]],YMKODLARI!$A$1:$K$363,9,0)," ")</f>
        <v>5287</v>
      </c>
      <c r="K131" s="100" t="str">
        <f>IFERROR(VLOOKUP(Tablo519[[#This Row],[BOYA KODU]],Tablo14[#All],4,0)," ")</f>
        <v>MAVİ</v>
      </c>
      <c r="L131" s="100">
        <f>IFERROR(VLOOKUP(Tablo519[[#This Row],[BOYA KODU]],Tablo14[#All],6,0)," ")</f>
        <v>5.0000000000000001E-3</v>
      </c>
      <c r="M131" s="100">
        <f t="shared" ref="M131:M194" si="18">IFERROR((I131*Q131)*L131," ")</f>
        <v>13.415999999999999</v>
      </c>
      <c r="N131" s="100" t="str">
        <f>IFERROR(VLOOKUP(Tablo519[[#This Row],[ÜRÜN KODU]],YMKODLARI!$A$1:$K$363,8,0)," ")</f>
        <v>HM 001</v>
      </c>
      <c r="O131" s="100" t="str">
        <f>IFERROR(VLOOKUP(Tablo519[[#This Row],[HAMMADDE KODU]],Tablo1[#All],3,0)," ")</f>
        <v>CAPILENE</v>
      </c>
      <c r="P131" s="100" t="str">
        <f>IFERROR(VLOOKUP(Tablo519[[#This Row],[HAMMADDE KODU]],Tablo1[#All],4,0)," ")</f>
        <v>PİNHAS</v>
      </c>
      <c r="Q131" s="100">
        <f>IFERROR(VLOOKUP(Tablo519[[#This Row],[ÜRÜN KODU]],YMKODLARI!$A$1:$K$363,5,0)," ")</f>
        <v>68.8</v>
      </c>
      <c r="R131" s="100">
        <f>IFERROR(VLOOKUP(Tablo519[[#This Row],[ÜRÜN KODU]],YMKODLARI!$A$1:$K$363,6,0)," ")</f>
        <v>65</v>
      </c>
      <c r="S131" s="100">
        <f>IFERROR(Tablo519[[#This Row],[YOLLUK HARİÇ BASKI GRAMI]]/Tablo519[[#This Row],[KALIP GÖZ ADEDİ]]," ")</f>
        <v>4.0625</v>
      </c>
      <c r="T131" s="100">
        <f t="shared" si="11"/>
        <v>3.7999999999999972</v>
      </c>
      <c r="U131" s="100">
        <v>1.3</v>
      </c>
      <c r="V131" s="100">
        <f t="shared" si="17"/>
        <v>18.635000000000002</v>
      </c>
      <c r="W131" s="101">
        <f t="shared" si="12"/>
        <v>24.031944444444445</v>
      </c>
      <c r="X131" s="102">
        <f t="shared" si="13"/>
        <v>0.76666666666667993</v>
      </c>
      <c r="Y131" s="100">
        <f t="shared" si="14"/>
        <v>0.29249999999999998</v>
      </c>
      <c r="Z131" s="100">
        <f t="shared" si="15"/>
        <v>624</v>
      </c>
    </row>
    <row r="132" spans="1:26">
      <c r="A132" s="100" t="s">
        <v>232</v>
      </c>
      <c r="B132" s="108" t="str">
        <f>IFERROR(VLOOKUP(Tablo519[[#This Row],[ÜRÜN KODU]],YMKODLARI!$A$1:$K$363,2,0)," ")</f>
        <v>EMZİK ASKISI ZİNCİR</v>
      </c>
      <c r="C132" s="99">
        <v>44018</v>
      </c>
      <c r="D132" s="100" t="s">
        <v>37</v>
      </c>
      <c r="E132" s="101">
        <v>0.58680555555555558</v>
      </c>
      <c r="F132" s="101">
        <v>0.75</v>
      </c>
      <c r="G132" s="100">
        <f>IFERROR(VLOOKUP(Tablo519[[#This Row],[ÜRÜN KODU]],YMKODLARI!$A$1:$K$363,3,0)," ")</f>
        <v>4</v>
      </c>
      <c r="H132" s="100">
        <f>IFERROR(VLOOKUP(Tablo519[[#This Row],[ÜRÜN KODU]],YMKODLARI!$A$1:$K$363,4,0)," ")</f>
        <v>18</v>
      </c>
      <c r="I132" s="100">
        <v>695</v>
      </c>
      <c r="J132" s="100" t="str">
        <f>IFERROR(VLOOKUP(Tablo519[[#This Row],[ÜRÜN KODU]],YMKODLARI!$A$1:$K$363,9,0)," ")</f>
        <v>708PK532G</v>
      </c>
      <c r="K132" s="100" t="str">
        <f>IFERROR(VLOOKUP(Tablo519[[#This Row],[BOYA KODU]],Tablo14[#All],4,0)," ")</f>
        <v>T.PEMBE</v>
      </c>
      <c r="L132" s="100">
        <f>IFERROR(VLOOKUP(Tablo519[[#This Row],[BOYA KODU]],Tablo14[#All],6,0)," ")</f>
        <v>2E-3</v>
      </c>
      <c r="M132" s="100">
        <f t="shared" si="18"/>
        <v>23.213000000000001</v>
      </c>
      <c r="N132" s="100" t="str">
        <f>IFERROR(VLOOKUP(Tablo519[[#This Row],[ÜRÜN KODU]],YMKODLARI!$A$1:$K$363,8,0)," ")</f>
        <v>HM 001</v>
      </c>
      <c r="O132" s="100" t="str">
        <f>IFERROR(VLOOKUP(Tablo519[[#This Row],[HAMMADDE KODU]],Tablo1[#All],3,0)," ")</f>
        <v>CAPILENE</v>
      </c>
      <c r="P132" s="100" t="str">
        <f>IFERROR(VLOOKUP(Tablo519[[#This Row],[HAMMADDE KODU]],Tablo1[#All],4,0)," ")</f>
        <v>PİNHAS</v>
      </c>
      <c r="Q132" s="100">
        <f>IFERROR(VLOOKUP(Tablo519[[#This Row],[ÜRÜN KODU]],YMKODLARI!$A$1:$K$363,5,0)," ")</f>
        <v>16.7</v>
      </c>
      <c r="R132" s="100">
        <f>IFERROR(VLOOKUP(Tablo519[[#This Row],[ÜRÜN KODU]],YMKODLARI!$A$1:$K$363,6,0)," ")</f>
        <v>6.3</v>
      </c>
      <c r="S132" s="100">
        <f>IFERROR(Tablo519[[#This Row],[YOLLUK HARİÇ BASKI GRAMI]]/Tablo519[[#This Row],[KALIP GÖZ ADEDİ]]," ")</f>
        <v>1.575</v>
      </c>
      <c r="T132" s="100">
        <f t="shared" ref="T132:T195" si="19">IFERROR(Q132-R132," ")</f>
        <v>10.399999999999999</v>
      </c>
      <c r="U132" s="100">
        <v>1.6</v>
      </c>
      <c r="V132" s="100">
        <f t="shared" si="17"/>
        <v>7.4785000000000004</v>
      </c>
      <c r="W132" s="101">
        <f t="shared" ref="W132:W195" si="20">IFERROR(24-(E132-F132)," ")</f>
        <v>24.163194444444443</v>
      </c>
      <c r="X132" s="102">
        <f t="shared" ref="X132:X195" si="21">IFERROR((W132-INT(W132))*24," ")</f>
        <v>3.9166666666666288</v>
      </c>
      <c r="Y132" s="100">
        <f t="shared" ref="Y132:Y195" si="22">IFERROR(H132*I132/3600," ")</f>
        <v>3.4750000000000001</v>
      </c>
      <c r="Z132" s="100">
        <f t="shared" ref="Z132:Z195" si="23">IFERROR(I132*G132," " )</f>
        <v>2780</v>
      </c>
    </row>
    <row r="133" spans="1:26">
      <c r="A133" s="100" t="s">
        <v>232</v>
      </c>
      <c r="B133" s="108" t="str">
        <f>IFERROR(VLOOKUP(Tablo519[[#This Row],[ÜRÜN KODU]],YMKODLARI!$A$1:$K$363,2,0)," ")</f>
        <v>EMZİK ASKISI ZİNCİR</v>
      </c>
      <c r="C133" s="99">
        <v>44019</v>
      </c>
      <c r="D133" s="100" t="s">
        <v>36</v>
      </c>
      <c r="E133" s="101">
        <v>0.33333333333333331</v>
      </c>
      <c r="F133" s="101">
        <v>0.46527777777777773</v>
      </c>
      <c r="G133" s="100">
        <f>IFERROR(VLOOKUP(Tablo519[[#This Row],[ÜRÜN KODU]],YMKODLARI!$A$1:$K$363,3,0)," ")</f>
        <v>4</v>
      </c>
      <c r="H133" s="100">
        <f>IFERROR(VLOOKUP(Tablo519[[#This Row],[ÜRÜN KODU]],YMKODLARI!$A$1:$K$363,4,0)," ")</f>
        <v>18</v>
      </c>
      <c r="I133" s="100">
        <v>427</v>
      </c>
      <c r="J133" s="100" t="str">
        <f>IFERROR(VLOOKUP(Tablo519[[#This Row],[ÜRÜN KODU]],YMKODLARI!$A$1:$K$363,9,0)," ")</f>
        <v>708PK532G</v>
      </c>
      <c r="K133" s="100" t="str">
        <f>IFERROR(VLOOKUP(Tablo519[[#This Row],[BOYA KODU]],Tablo14[#All],4,0)," ")</f>
        <v>T.PEMBE</v>
      </c>
      <c r="L133" s="100">
        <f>IFERROR(VLOOKUP(Tablo519[[#This Row],[BOYA KODU]],Tablo14[#All],6,0)," ")</f>
        <v>2E-3</v>
      </c>
      <c r="M133" s="100">
        <f t="shared" si="18"/>
        <v>14.261799999999999</v>
      </c>
      <c r="N133" s="100" t="str">
        <f>IFERROR(VLOOKUP(Tablo519[[#This Row],[ÜRÜN KODU]],YMKODLARI!$A$1:$K$363,8,0)," ")</f>
        <v>HM 001</v>
      </c>
      <c r="O133" s="100" t="str">
        <f>IFERROR(VLOOKUP(Tablo519[[#This Row],[HAMMADDE KODU]],Tablo1[#All],3,0)," ")</f>
        <v>CAPILENE</v>
      </c>
      <c r="P133" s="100" t="str">
        <f>IFERROR(VLOOKUP(Tablo519[[#This Row],[HAMMADDE KODU]],Tablo1[#All],4,0)," ")</f>
        <v>PİNHAS</v>
      </c>
      <c r="Q133" s="100">
        <f>IFERROR(VLOOKUP(Tablo519[[#This Row],[ÜRÜN KODU]],YMKODLARI!$A$1:$K$363,5,0)," ")</f>
        <v>16.7</v>
      </c>
      <c r="R133" s="100">
        <f>IFERROR(VLOOKUP(Tablo519[[#This Row],[ÜRÜN KODU]],YMKODLARI!$A$1:$K$363,6,0)," ")</f>
        <v>6.3</v>
      </c>
      <c r="S133" s="100">
        <f>IFERROR(Tablo519[[#This Row],[YOLLUK HARİÇ BASKI GRAMI]]/Tablo519[[#This Row],[KALIP GÖZ ADEDİ]]," ")</f>
        <v>1.575</v>
      </c>
      <c r="T133" s="100">
        <f t="shared" si="19"/>
        <v>10.399999999999999</v>
      </c>
      <c r="U133" s="100">
        <v>12.1</v>
      </c>
      <c r="V133" s="100">
        <f t="shared" si="17"/>
        <v>16.690100000000001</v>
      </c>
      <c r="W133" s="101">
        <f t="shared" si="20"/>
        <v>24.131944444444443</v>
      </c>
      <c r="X133" s="102">
        <f t="shared" si="21"/>
        <v>3.1666666666666288</v>
      </c>
      <c r="Y133" s="100">
        <f t="shared" si="22"/>
        <v>2.1349999999999998</v>
      </c>
      <c r="Z133" s="100">
        <f t="shared" si="23"/>
        <v>1708</v>
      </c>
    </row>
    <row r="134" spans="1:26">
      <c r="A134" s="100" t="s">
        <v>233</v>
      </c>
      <c r="B134" s="108" t="str">
        <f>IFERROR(VLOOKUP(Tablo519[[#This Row],[ÜRÜN KODU]],YMKODLARI!$A$1:$K$363,2,0)," ")</f>
        <v>EMZİK ASKISI ZİNCİR</v>
      </c>
      <c r="C134" s="99">
        <v>44019</v>
      </c>
      <c r="D134" s="100" t="s">
        <v>36</v>
      </c>
      <c r="E134" s="101">
        <v>0.46875</v>
      </c>
      <c r="F134" s="101">
        <v>0.75</v>
      </c>
      <c r="G134" s="100">
        <f>IFERROR(VLOOKUP(Tablo519[[#This Row],[ÜRÜN KODU]],YMKODLARI!$A$1:$K$363,3,0)," ")</f>
        <v>4</v>
      </c>
      <c r="H134" s="100">
        <f>IFERROR(VLOOKUP(Tablo519[[#This Row],[ÜRÜN KODU]],YMKODLARI!$A$1:$K$363,4,0)," ")</f>
        <v>18</v>
      </c>
      <c r="I134" s="100">
        <v>1107</v>
      </c>
      <c r="J134" s="100" t="str">
        <f>IFERROR(VLOOKUP(Tablo519[[#This Row],[ÜRÜN KODU]],YMKODLARI!$A$1:$K$363,9,0)," ")</f>
        <v>5139C</v>
      </c>
      <c r="K134" s="100" t="str">
        <f>IFERROR(VLOOKUP(Tablo519[[#This Row],[BOYA KODU]],Tablo14[#All],4,0)," ")</f>
        <v>T.MAVİ</v>
      </c>
      <c r="L134" s="100">
        <f>IFERROR(VLOOKUP(Tablo519[[#This Row],[BOYA KODU]],Tablo14[#All],6,0)," ")</f>
        <v>1E-3</v>
      </c>
      <c r="M134" s="100">
        <f t="shared" si="18"/>
        <v>18.486899999999999</v>
      </c>
      <c r="N134" s="100" t="str">
        <f>IFERROR(VLOOKUP(Tablo519[[#This Row],[ÜRÜN KODU]],YMKODLARI!$A$1:$K$363,8,0)," ")</f>
        <v>HM 001</v>
      </c>
      <c r="O134" s="100" t="str">
        <f>IFERROR(VLOOKUP(Tablo519[[#This Row],[HAMMADDE KODU]],Tablo1[#All],3,0)," ")</f>
        <v>CAPILENE</v>
      </c>
      <c r="P134" s="100" t="str">
        <f>IFERROR(VLOOKUP(Tablo519[[#This Row],[HAMMADDE KODU]],Tablo1[#All],4,0)," ")</f>
        <v>PİNHAS</v>
      </c>
      <c r="Q134" s="100">
        <f>IFERROR(VLOOKUP(Tablo519[[#This Row],[ÜRÜN KODU]],YMKODLARI!$A$1:$K$363,5,0)," ")</f>
        <v>16.7</v>
      </c>
      <c r="R134" s="100">
        <f>IFERROR(VLOOKUP(Tablo519[[#This Row],[ÜRÜN KODU]],YMKODLARI!$A$1:$K$363,6,0)," ")</f>
        <v>6.3</v>
      </c>
      <c r="S134" s="100">
        <f>IFERROR(Tablo519[[#This Row],[YOLLUK HARİÇ BASKI GRAMI]]/Tablo519[[#This Row],[KALIP GÖZ ADEDİ]]," ")</f>
        <v>1.575</v>
      </c>
      <c r="T134" s="100">
        <f t="shared" si="19"/>
        <v>10.399999999999999</v>
      </c>
      <c r="U134" s="100">
        <v>14.5</v>
      </c>
      <c r="V134" s="100">
        <f t="shared" si="17"/>
        <v>13.574099999999998</v>
      </c>
      <c r="W134" s="101">
        <f t="shared" si="20"/>
        <v>24.28125</v>
      </c>
      <c r="X134" s="102">
        <f t="shared" si="21"/>
        <v>6.75</v>
      </c>
      <c r="Y134" s="100">
        <f t="shared" si="22"/>
        <v>5.5350000000000001</v>
      </c>
      <c r="Z134" s="100">
        <f t="shared" si="23"/>
        <v>4428</v>
      </c>
    </row>
    <row r="135" spans="1:26">
      <c r="A135" s="100" t="s">
        <v>234</v>
      </c>
      <c r="B135" s="108" t="str">
        <f>IFERROR(VLOOKUP(Tablo519[[#This Row],[ÜRÜN KODU]],YMKODLARI!$A$1:$K$363,2,0)," ")</f>
        <v>EMZİK ASKISI ZİNCİR</v>
      </c>
      <c r="C135" s="99">
        <v>44020</v>
      </c>
      <c r="D135" s="100" t="s">
        <v>37</v>
      </c>
      <c r="E135" s="101">
        <v>0.33333333333333331</v>
      </c>
      <c r="F135" s="101">
        <v>0.69097222222222221</v>
      </c>
      <c r="G135" s="100">
        <f>IFERROR(VLOOKUP(Tablo519[[#This Row],[ÜRÜN KODU]],YMKODLARI!$A$1:$K$363,3,0)," ")</f>
        <v>4</v>
      </c>
      <c r="H135" s="100">
        <f>IFERROR(VLOOKUP(Tablo519[[#This Row],[ÜRÜN KODU]],YMKODLARI!$A$1:$K$363,4,0)," ")</f>
        <v>18</v>
      </c>
      <c r="I135" s="100">
        <v>1404</v>
      </c>
      <c r="J135" s="100" t="str">
        <f>IFERROR(VLOOKUP(Tablo519[[#This Row],[ÜRÜN KODU]],YMKODLARI!$A$1:$K$363,9,0)," ")</f>
        <v>708GN0539G</v>
      </c>
      <c r="K135" s="100" t="str">
        <f>IFERROR(VLOOKUP(Tablo519[[#This Row],[BOYA KODU]],Tablo14[#All],4,0)," ")</f>
        <v>T.YEŞİL</v>
      </c>
      <c r="L135" s="100">
        <f>IFERROR(VLOOKUP(Tablo519[[#This Row],[BOYA KODU]],Tablo14[#All],6,0)," ")</f>
        <v>2E-3</v>
      </c>
      <c r="M135" s="100">
        <f t="shared" si="18"/>
        <v>46.893599999999999</v>
      </c>
      <c r="N135" s="100" t="str">
        <f>IFERROR(VLOOKUP(Tablo519[[#This Row],[ÜRÜN KODU]],YMKODLARI!$A$1:$K$363,8,0)," ")</f>
        <v>HM 001</v>
      </c>
      <c r="O135" s="100" t="str">
        <f>IFERROR(VLOOKUP(Tablo519[[#This Row],[HAMMADDE KODU]],Tablo1[#All],3,0)," ")</f>
        <v>CAPILENE</v>
      </c>
      <c r="P135" s="100" t="str">
        <f>IFERROR(VLOOKUP(Tablo519[[#This Row],[HAMMADDE KODU]],Tablo1[#All],4,0)," ")</f>
        <v>PİNHAS</v>
      </c>
      <c r="Q135" s="100">
        <f>IFERROR(VLOOKUP(Tablo519[[#This Row],[ÜRÜN KODU]],YMKODLARI!$A$1:$K$363,5,0)," ")</f>
        <v>16.7</v>
      </c>
      <c r="R135" s="100">
        <f>IFERROR(VLOOKUP(Tablo519[[#This Row],[ÜRÜN KODU]],YMKODLARI!$A$1:$K$363,6,0)," ")</f>
        <v>6.3</v>
      </c>
      <c r="S135" s="100">
        <f>IFERROR(Tablo519[[#This Row],[YOLLUK HARİÇ BASKI GRAMI]]/Tablo519[[#This Row],[KALIP GÖZ ADEDİ]]," ")</f>
        <v>1.575</v>
      </c>
      <c r="T135" s="100">
        <f t="shared" si="19"/>
        <v>10.399999999999999</v>
      </c>
      <c r="U135" s="100">
        <v>16.100000000000001</v>
      </c>
      <c r="V135" s="100">
        <f t="shared" si="17"/>
        <v>18.9452</v>
      </c>
      <c r="W135" s="101">
        <f t="shared" si="20"/>
        <v>24.357638888888889</v>
      </c>
      <c r="X135" s="102">
        <f t="shared" si="21"/>
        <v>8.5833333333333428</v>
      </c>
      <c r="Y135" s="100">
        <f t="shared" si="22"/>
        <v>7.02</v>
      </c>
      <c r="Z135" s="100">
        <f t="shared" si="23"/>
        <v>5616</v>
      </c>
    </row>
    <row r="136" spans="1:26">
      <c r="A136" s="100" t="s">
        <v>235</v>
      </c>
      <c r="B136" s="108" t="str">
        <f>IFERROR(VLOOKUP(Tablo519[[#This Row],[ÜRÜN KODU]],YMKODLARI!$A$1:$K$363,2,0)," ")</f>
        <v>EMZİK ASKISI ZİNCİR</v>
      </c>
      <c r="C136" s="99">
        <v>44020</v>
      </c>
      <c r="D136" s="100" t="s">
        <v>37</v>
      </c>
      <c r="E136" s="101">
        <v>0.69097222222222221</v>
      </c>
      <c r="F136" s="101">
        <v>0.75</v>
      </c>
      <c r="G136" s="100">
        <f>IFERROR(VLOOKUP(Tablo519[[#This Row],[ÜRÜN KODU]],YMKODLARI!$A$1:$K$363,3,0)," ")</f>
        <v>4</v>
      </c>
      <c r="H136" s="100">
        <f>IFERROR(VLOOKUP(Tablo519[[#This Row],[ÜRÜN KODU]],YMKODLARI!$A$1:$K$363,4,0)," ")</f>
        <v>18</v>
      </c>
      <c r="I136" s="100">
        <v>280</v>
      </c>
      <c r="J136" s="100" t="str">
        <f>IFERROR(VLOOKUP(Tablo519[[#This Row],[ÜRÜN KODU]],YMKODLARI!$A$1:$K$363,9,0)," ")</f>
        <v>708VI0502G</v>
      </c>
      <c r="K136" s="100" t="str">
        <f>IFERROR(VLOOKUP(Tablo519[[#This Row],[BOYA KODU]],Tablo14[#All],4,0)," ")</f>
        <v>T.VİOLET</v>
      </c>
      <c r="L136" s="100">
        <f>IFERROR(VLOOKUP(Tablo519[[#This Row],[BOYA KODU]],Tablo14[#All],6,0)," ")</f>
        <v>2E-3</v>
      </c>
      <c r="M136" s="100">
        <f t="shared" si="18"/>
        <v>9.3520000000000003</v>
      </c>
      <c r="N136" s="100" t="str">
        <f>IFERROR(VLOOKUP(Tablo519[[#This Row],[ÜRÜN KODU]],YMKODLARI!$A$1:$K$363,8,0)," ")</f>
        <v>HM 001</v>
      </c>
      <c r="O136" s="100" t="str">
        <f>IFERROR(VLOOKUP(Tablo519[[#This Row],[HAMMADDE KODU]],Tablo1[#All],3,0)," ")</f>
        <v>CAPILENE</v>
      </c>
      <c r="P136" s="100" t="str">
        <f>IFERROR(VLOOKUP(Tablo519[[#This Row],[HAMMADDE KODU]],Tablo1[#All],4,0)," ")</f>
        <v>PİNHAS</v>
      </c>
      <c r="Q136" s="100">
        <f>IFERROR(VLOOKUP(Tablo519[[#This Row],[ÜRÜN KODU]],YMKODLARI!$A$1:$K$363,5,0)," ")</f>
        <v>16.7</v>
      </c>
      <c r="R136" s="100">
        <f>IFERROR(VLOOKUP(Tablo519[[#This Row],[ÜRÜN KODU]],YMKODLARI!$A$1:$K$363,6,0)," ")</f>
        <v>6.3</v>
      </c>
      <c r="S136" s="100">
        <f>IFERROR(Tablo519[[#This Row],[YOLLUK HARİÇ BASKI GRAMI]]/Tablo519[[#This Row],[KALIP GÖZ ADEDİ]]," ")</f>
        <v>1.575</v>
      </c>
      <c r="T136" s="100">
        <f t="shared" si="19"/>
        <v>10.399999999999999</v>
      </c>
      <c r="U136" s="100">
        <v>3.1</v>
      </c>
      <c r="V136" s="100" t="str">
        <f>IFERROR(#REF!+(R136*I136) /1000," ")</f>
        <v xml:space="preserve"> </v>
      </c>
      <c r="W136" s="101">
        <f t="shared" si="20"/>
        <v>24.059027777777779</v>
      </c>
      <c r="X136" s="102">
        <f t="shared" si="21"/>
        <v>1.4166666666666856</v>
      </c>
      <c r="Y136" s="100">
        <f t="shared" si="22"/>
        <v>1.4</v>
      </c>
      <c r="Z136" s="100">
        <f t="shared" si="23"/>
        <v>1120</v>
      </c>
    </row>
    <row r="137" spans="1:26">
      <c r="A137" s="100" t="s">
        <v>235</v>
      </c>
      <c r="B137" s="108" t="str">
        <f>IFERROR(VLOOKUP(Tablo519[[#This Row],[ÜRÜN KODU]],YMKODLARI!$A$1:$K$363,2,0)," ")</f>
        <v>EMZİK ASKISI ZİNCİR</v>
      </c>
      <c r="C137" s="99">
        <v>44021</v>
      </c>
      <c r="D137" s="100" t="s">
        <v>37</v>
      </c>
      <c r="E137" s="101">
        <v>0.33333333333333331</v>
      </c>
      <c r="F137" s="101">
        <v>0.61458333333333337</v>
      </c>
      <c r="G137" s="100">
        <f>IFERROR(VLOOKUP(Tablo519[[#This Row],[ÜRÜN KODU]],YMKODLARI!$A$1:$K$363,3,0)," ")</f>
        <v>4</v>
      </c>
      <c r="H137" s="100">
        <f>IFERROR(VLOOKUP(Tablo519[[#This Row],[ÜRÜN KODU]],YMKODLARI!$A$1:$K$363,4,0)," ")</f>
        <v>18</v>
      </c>
      <c r="I137" s="100">
        <v>1130</v>
      </c>
      <c r="J137" s="100" t="str">
        <f>IFERROR(VLOOKUP(Tablo519[[#This Row],[ÜRÜN KODU]],YMKODLARI!$A$1:$K$363,9,0)," ")</f>
        <v>708VI0502G</v>
      </c>
      <c r="K137" s="100" t="str">
        <f>IFERROR(VLOOKUP(Tablo519[[#This Row],[BOYA KODU]],Tablo14[#All],4,0)," ")</f>
        <v>T.VİOLET</v>
      </c>
      <c r="L137" s="100">
        <f>IFERROR(VLOOKUP(Tablo519[[#This Row],[BOYA KODU]],Tablo14[#All],6,0)," ")</f>
        <v>2E-3</v>
      </c>
      <c r="M137" s="100">
        <f t="shared" si="18"/>
        <v>37.741999999999997</v>
      </c>
      <c r="N137" s="100" t="str">
        <f>IFERROR(VLOOKUP(Tablo519[[#This Row],[ÜRÜN KODU]],YMKODLARI!$A$1:$K$363,8,0)," ")</f>
        <v>HM 001</v>
      </c>
      <c r="O137" s="100" t="str">
        <f>IFERROR(VLOOKUP(Tablo519[[#This Row],[HAMMADDE KODU]],Tablo1[#All],3,0)," ")</f>
        <v>CAPILENE</v>
      </c>
      <c r="P137" s="100" t="str">
        <f>IFERROR(VLOOKUP(Tablo519[[#This Row],[HAMMADDE KODU]],Tablo1[#All],4,0)," ")</f>
        <v>PİNHAS</v>
      </c>
      <c r="Q137" s="100">
        <f>IFERROR(VLOOKUP(Tablo519[[#This Row],[ÜRÜN KODU]],YMKODLARI!$A$1:$K$363,5,0)," ")</f>
        <v>16.7</v>
      </c>
      <c r="R137" s="100">
        <f>IFERROR(VLOOKUP(Tablo519[[#This Row],[ÜRÜN KODU]],YMKODLARI!$A$1:$K$363,6,0)," ")</f>
        <v>6.3</v>
      </c>
      <c r="S137" s="100">
        <f>IFERROR(Tablo519[[#This Row],[YOLLUK HARİÇ BASKI GRAMI]]/Tablo519[[#This Row],[KALIP GÖZ ADEDİ]]," ")</f>
        <v>1.575</v>
      </c>
      <c r="T137" s="100">
        <f t="shared" si="19"/>
        <v>10.399999999999999</v>
      </c>
      <c r="U137" s="100">
        <v>14</v>
      </c>
      <c r="V137" s="100" t="str">
        <f>IFERROR(#REF!+(R137*I137) /1000," ")</f>
        <v xml:space="preserve"> </v>
      </c>
      <c r="W137" s="101">
        <f t="shared" si="20"/>
        <v>24.28125</v>
      </c>
      <c r="X137" s="102">
        <f t="shared" si="21"/>
        <v>6.75</v>
      </c>
      <c r="Y137" s="100">
        <f t="shared" si="22"/>
        <v>5.65</v>
      </c>
      <c r="Z137" s="100">
        <f t="shared" si="23"/>
        <v>4520</v>
      </c>
    </row>
    <row r="138" spans="1:26">
      <c r="A138" s="100" t="s">
        <v>236</v>
      </c>
      <c r="B138" s="108" t="str">
        <f>IFERROR(VLOOKUP(Tablo519[[#This Row],[ÜRÜN KODU]],YMKODLARI!$A$1:$K$363,2,0)," ")</f>
        <v>EMZİK ASKISI ZİNCİR</v>
      </c>
      <c r="C138" s="99">
        <v>44021</v>
      </c>
      <c r="D138" s="100" t="s">
        <v>37</v>
      </c>
      <c r="E138" s="101">
        <v>0.61458333333333337</v>
      </c>
      <c r="F138" s="101">
        <v>0.75</v>
      </c>
      <c r="G138" s="100">
        <f>IFERROR(VLOOKUP(Tablo519[[#This Row],[ÜRÜN KODU]],YMKODLARI!$A$1:$K$363,3,0)," ")</f>
        <v>4</v>
      </c>
      <c r="H138" s="100">
        <f>IFERROR(VLOOKUP(Tablo519[[#This Row],[ÜRÜN KODU]],YMKODLARI!$A$1:$K$363,4,0)," ")</f>
        <v>18</v>
      </c>
      <c r="I138" s="100">
        <v>505</v>
      </c>
      <c r="J138" s="100" t="str">
        <f>IFERROR(VLOOKUP(Tablo519[[#This Row],[ÜRÜN KODU]],YMKODLARI!$A$1:$K$363,9,0)," ")</f>
        <v>9134A</v>
      </c>
      <c r="K138" s="100" t="str">
        <f>IFERROR(VLOOKUP(Tablo519[[#This Row],[BOYA KODU]],Tablo14[#All],4,0)," ")</f>
        <v>BEYAZ</v>
      </c>
      <c r="L138" s="100">
        <f>IFERROR(VLOOKUP(Tablo519[[#This Row],[BOYA KODU]],Tablo14[#All],6,0)," ")</f>
        <v>7.0000000000000001E-3</v>
      </c>
      <c r="M138" s="100">
        <f t="shared" si="18"/>
        <v>59.034500000000001</v>
      </c>
      <c r="N138" s="100" t="str">
        <f>IFERROR(VLOOKUP(Tablo519[[#This Row],[ÜRÜN KODU]],YMKODLARI!$A$1:$K$363,8,0)," ")</f>
        <v>HM 001</v>
      </c>
      <c r="O138" s="100" t="str">
        <f>IFERROR(VLOOKUP(Tablo519[[#This Row],[HAMMADDE KODU]],Tablo1[#All],3,0)," ")</f>
        <v>CAPILENE</v>
      </c>
      <c r="P138" s="100" t="str">
        <f>IFERROR(VLOOKUP(Tablo519[[#This Row],[HAMMADDE KODU]],Tablo1[#All],4,0)," ")</f>
        <v>PİNHAS</v>
      </c>
      <c r="Q138" s="100">
        <f>IFERROR(VLOOKUP(Tablo519[[#This Row],[ÜRÜN KODU]],YMKODLARI!$A$1:$K$363,5,0)," ")</f>
        <v>16.7</v>
      </c>
      <c r="R138" s="100">
        <f>IFERROR(VLOOKUP(Tablo519[[#This Row],[ÜRÜN KODU]],YMKODLARI!$A$1:$K$363,6,0)," ")</f>
        <v>6.3</v>
      </c>
      <c r="S138" s="100">
        <f>IFERROR(Tablo519[[#This Row],[YOLLUK HARİÇ BASKI GRAMI]]/Tablo519[[#This Row],[KALIP GÖZ ADEDİ]]," ")</f>
        <v>1.575</v>
      </c>
      <c r="T138" s="100">
        <f t="shared" si="19"/>
        <v>10.399999999999999</v>
      </c>
      <c r="U138" s="100">
        <v>6.6</v>
      </c>
      <c r="V138" s="100" t="str">
        <f>IFERROR(#REF!+(R138*I138) /1000," ")</f>
        <v xml:space="preserve"> </v>
      </c>
      <c r="W138" s="101">
        <f t="shared" si="20"/>
        <v>24.135416666666668</v>
      </c>
      <c r="X138" s="102">
        <f t="shared" si="21"/>
        <v>3.2500000000000284</v>
      </c>
      <c r="Y138" s="100">
        <f t="shared" si="22"/>
        <v>2.5249999999999999</v>
      </c>
      <c r="Z138" s="100">
        <f t="shared" si="23"/>
        <v>2020</v>
      </c>
    </row>
    <row r="139" spans="1:26">
      <c r="A139" s="100" t="s">
        <v>236</v>
      </c>
      <c r="B139" s="108" t="str">
        <f>IFERROR(VLOOKUP(Tablo519[[#This Row],[ÜRÜN KODU]],YMKODLARI!$A$1:$K$363,2,0)," ")</f>
        <v>EMZİK ASKISI ZİNCİR</v>
      </c>
      <c r="C139" s="99">
        <v>44022</v>
      </c>
      <c r="D139" s="100" t="s">
        <v>37</v>
      </c>
      <c r="E139" s="101">
        <v>0.33333333333333331</v>
      </c>
      <c r="F139" s="101">
        <v>0.54861111111111105</v>
      </c>
      <c r="G139" s="100">
        <f>IFERROR(VLOOKUP(Tablo519[[#This Row],[ÜRÜN KODU]],YMKODLARI!$A$1:$K$363,3,0)," ")</f>
        <v>4</v>
      </c>
      <c r="H139" s="100">
        <f>IFERROR(VLOOKUP(Tablo519[[#This Row],[ÜRÜN KODU]],YMKODLARI!$A$1:$K$363,4,0)," ")</f>
        <v>18</v>
      </c>
      <c r="I139" s="100">
        <v>877</v>
      </c>
      <c r="J139" s="100" t="str">
        <f>IFERROR(VLOOKUP(Tablo519[[#This Row],[ÜRÜN KODU]],YMKODLARI!$A$1:$K$363,9,0)," ")</f>
        <v>9134A</v>
      </c>
      <c r="K139" s="100" t="str">
        <f>IFERROR(VLOOKUP(Tablo519[[#This Row],[BOYA KODU]],Tablo14[#All],4,0)," ")</f>
        <v>BEYAZ</v>
      </c>
      <c r="L139" s="100">
        <f>IFERROR(VLOOKUP(Tablo519[[#This Row],[BOYA KODU]],Tablo14[#All],6,0)," ")</f>
        <v>7.0000000000000001E-3</v>
      </c>
      <c r="M139" s="100">
        <f t="shared" si="18"/>
        <v>102.5213</v>
      </c>
      <c r="N139" s="100" t="str">
        <f>IFERROR(VLOOKUP(Tablo519[[#This Row],[ÜRÜN KODU]],YMKODLARI!$A$1:$K$363,8,0)," ")</f>
        <v>HM 001</v>
      </c>
      <c r="O139" s="100" t="str">
        <f>IFERROR(VLOOKUP(Tablo519[[#This Row],[HAMMADDE KODU]],Tablo1[#All],3,0)," ")</f>
        <v>CAPILENE</v>
      </c>
      <c r="P139" s="100" t="str">
        <f>IFERROR(VLOOKUP(Tablo519[[#This Row],[HAMMADDE KODU]],Tablo1[#All],4,0)," ")</f>
        <v>PİNHAS</v>
      </c>
      <c r="Q139" s="100">
        <f>IFERROR(VLOOKUP(Tablo519[[#This Row],[ÜRÜN KODU]],YMKODLARI!$A$1:$K$363,5,0)," ")</f>
        <v>16.7</v>
      </c>
      <c r="R139" s="100">
        <f>IFERROR(VLOOKUP(Tablo519[[#This Row],[ÜRÜN KODU]],YMKODLARI!$A$1:$K$363,6,0)," ")</f>
        <v>6.3</v>
      </c>
      <c r="S139" s="100">
        <f>IFERROR(Tablo519[[#This Row],[YOLLUK HARİÇ BASKI GRAMI]]/Tablo519[[#This Row],[KALIP GÖZ ADEDİ]]," ")</f>
        <v>1.575</v>
      </c>
      <c r="T139" s="100">
        <f t="shared" si="19"/>
        <v>10.399999999999999</v>
      </c>
      <c r="U139" s="100">
        <v>10.1</v>
      </c>
      <c r="V139" s="100" t="str">
        <f>IFERROR(#REF!+(R139*I139) /1000," ")</f>
        <v xml:space="preserve"> </v>
      </c>
      <c r="W139" s="101">
        <f t="shared" si="20"/>
        <v>24.215277777777779</v>
      </c>
      <c r="X139" s="102">
        <f t="shared" si="21"/>
        <v>5.1666666666666856</v>
      </c>
      <c r="Y139" s="100">
        <f t="shared" si="22"/>
        <v>4.3849999999999998</v>
      </c>
      <c r="Z139" s="100">
        <f t="shared" si="23"/>
        <v>3508</v>
      </c>
    </row>
    <row r="140" spans="1:26">
      <c r="A140" s="100" t="s">
        <v>176</v>
      </c>
      <c r="B140" s="108" t="str">
        <f>IFERROR(VLOOKUP(Tablo519[[#This Row],[ÜRÜN KODU]],YMKODLARI!$A$1:$K$363,2,0)," ")</f>
        <v xml:space="preserve">BİBERON KAPAĞI </v>
      </c>
      <c r="C140" s="99">
        <v>44028</v>
      </c>
      <c r="D140" s="100" t="s">
        <v>33</v>
      </c>
      <c r="E140" s="101">
        <v>0.4375</v>
      </c>
      <c r="F140" s="101">
        <v>0.75</v>
      </c>
      <c r="G140" s="100">
        <f>IFERROR(VLOOKUP(Tablo519[[#This Row],[ÜRÜN KODU]],YMKODLARI!$A$1:$K$363,3,0)," ")</f>
        <v>8</v>
      </c>
      <c r="H140" s="100">
        <f>IFERROR(VLOOKUP(Tablo519[[#This Row],[ÜRÜN KODU]],YMKODLARI!$A$1:$K$363,4,0)," ")</f>
        <v>21</v>
      </c>
      <c r="I140" s="100">
        <v>935</v>
      </c>
      <c r="J140" s="100" t="str">
        <f>IFERROR(VLOOKUP(Tablo519[[#This Row],[ÜRÜN KODU]],YMKODLARI!$A$1:$K$363,9,0)," ")</f>
        <v>Şeffaf</v>
      </c>
      <c r="K140" s="100" t="str">
        <f>IFERROR(VLOOKUP(Tablo519[[#This Row],[BOYA KODU]],Tablo14[#All],4,0)," ")</f>
        <v xml:space="preserve"> </v>
      </c>
      <c r="L140" s="100" t="str">
        <f>IFERROR(VLOOKUP(Tablo519[[#This Row],[BOYA KODU]],Tablo14[#All],6,0)," ")</f>
        <v xml:space="preserve"> </v>
      </c>
      <c r="M140" s="100" t="str">
        <f t="shared" si="18"/>
        <v xml:space="preserve"> </v>
      </c>
      <c r="N140" s="100" t="str">
        <f>IFERROR(VLOOKUP(Tablo519[[#This Row],[ÜRÜN KODU]],YMKODLARI!$A$1:$K$363,8,0)," ")</f>
        <v>HM 001</v>
      </c>
      <c r="O140" s="100" t="str">
        <f>IFERROR(VLOOKUP(Tablo519[[#This Row],[HAMMADDE KODU]],Tablo1[#All],3,0)," ")</f>
        <v>CAPILENE</v>
      </c>
      <c r="P140" s="100" t="str">
        <f>IFERROR(VLOOKUP(Tablo519[[#This Row],[HAMMADDE KODU]],Tablo1[#All],4,0)," ")</f>
        <v>PİNHAS</v>
      </c>
      <c r="Q140" s="100">
        <f>IFERROR(VLOOKUP(Tablo519[[#This Row],[ÜRÜN KODU]],YMKODLARI!$A$1:$K$363,5,0)," ")</f>
        <v>40</v>
      </c>
      <c r="R140" s="100">
        <f>IFERROR(VLOOKUP(Tablo519[[#This Row],[ÜRÜN KODU]],YMKODLARI!$A$1:$K$363,6,0)," ")</f>
        <v>40</v>
      </c>
      <c r="S140" s="100">
        <f>IFERROR(Tablo519[[#This Row],[YOLLUK HARİÇ BASKI GRAMI]]/Tablo519[[#This Row],[KALIP GÖZ ADEDİ]]," ")</f>
        <v>5</v>
      </c>
      <c r="T140" s="100">
        <f t="shared" si="19"/>
        <v>0</v>
      </c>
      <c r="U140" s="100">
        <v>1</v>
      </c>
      <c r="V140" s="100">
        <f t="shared" si="16"/>
        <v>38.4</v>
      </c>
      <c r="W140" s="101">
        <f t="shared" si="20"/>
        <v>24.3125</v>
      </c>
      <c r="X140" s="102">
        <f t="shared" si="21"/>
        <v>7.5</v>
      </c>
      <c r="Y140" s="100">
        <f t="shared" si="22"/>
        <v>5.4541666666666666</v>
      </c>
      <c r="Z140" s="100">
        <f t="shared" si="23"/>
        <v>7480</v>
      </c>
    </row>
    <row r="141" spans="1:26">
      <c r="A141" s="100" t="s">
        <v>176</v>
      </c>
      <c r="B141" s="108" t="str">
        <f>IFERROR(VLOOKUP(Tablo519[[#This Row],[ÜRÜN KODU]],YMKODLARI!$A$1:$K$363,2,0)," ")</f>
        <v xml:space="preserve">BİBERON KAPAĞI </v>
      </c>
      <c r="C141" s="99">
        <v>44029</v>
      </c>
      <c r="D141" s="100" t="s">
        <v>33</v>
      </c>
      <c r="E141" s="101">
        <v>0.33333333333333331</v>
      </c>
      <c r="F141" s="101">
        <v>0.75</v>
      </c>
      <c r="G141" s="100">
        <f>IFERROR(VLOOKUP(Tablo519[[#This Row],[ÜRÜN KODU]],YMKODLARI!$A$1:$K$363,3,0)," ")</f>
        <v>8</v>
      </c>
      <c r="H141" s="100">
        <f>IFERROR(VLOOKUP(Tablo519[[#This Row],[ÜRÜN KODU]],YMKODLARI!$A$1:$K$363,4,0)," ")</f>
        <v>21</v>
      </c>
      <c r="I141" s="100">
        <v>1068</v>
      </c>
      <c r="J141" s="100" t="str">
        <f>IFERROR(VLOOKUP(Tablo519[[#This Row],[ÜRÜN KODU]],YMKODLARI!$A$1:$K$363,9,0)," ")</f>
        <v>Şeffaf</v>
      </c>
      <c r="K141" s="100" t="str">
        <f>IFERROR(VLOOKUP(Tablo519[[#This Row],[BOYA KODU]],Tablo14[#All],4,0)," ")</f>
        <v xml:space="preserve"> </v>
      </c>
      <c r="L141" s="100" t="str">
        <f>IFERROR(VLOOKUP(Tablo519[[#This Row],[BOYA KODU]],Tablo14[#All],6,0)," ")</f>
        <v xml:space="preserve"> </v>
      </c>
      <c r="M141" s="100" t="str">
        <f t="shared" si="18"/>
        <v xml:space="preserve"> </v>
      </c>
      <c r="N141" s="100" t="str">
        <f>IFERROR(VLOOKUP(Tablo519[[#This Row],[ÜRÜN KODU]],YMKODLARI!$A$1:$K$363,8,0)," ")</f>
        <v>HM 001</v>
      </c>
      <c r="O141" s="100" t="str">
        <f>IFERROR(VLOOKUP(Tablo519[[#This Row],[HAMMADDE KODU]],Tablo1[#All],3,0)," ")</f>
        <v>CAPILENE</v>
      </c>
      <c r="P141" s="100" t="str">
        <f>IFERROR(VLOOKUP(Tablo519[[#This Row],[HAMMADDE KODU]],Tablo1[#All],4,0)," ")</f>
        <v>PİNHAS</v>
      </c>
      <c r="Q141" s="100">
        <f>IFERROR(VLOOKUP(Tablo519[[#This Row],[ÜRÜN KODU]],YMKODLARI!$A$1:$K$363,5,0)," ")</f>
        <v>40</v>
      </c>
      <c r="R141" s="100">
        <f>IFERROR(VLOOKUP(Tablo519[[#This Row],[ÜRÜN KODU]],YMKODLARI!$A$1:$K$363,6,0)," ")</f>
        <v>40</v>
      </c>
      <c r="S141" s="100">
        <f>IFERROR(Tablo519[[#This Row],[YOLLUK HARİÇ BASKI GRAMI]]/Tablo519[[#This Row],[KALIP GÖZ ADEDİ]]," ")</f>
        <v>5</v>
      </c>
      <c r="T141" s="100">
        <f t="shared" si="19"/>
        <v>0</v>
      </c>
      <c r="U141" s="100">
        <v>0.6</v>
      </c>
      <c r="V141" s="100">
        <f t="shared" si="16"/>
        <v>43.32</v>
      </c>
      <c r="W141" s="101">
        <f t="shared" si="20"/>
        <v>24.416666666666668</v>
      </c>
      <c r="X141" s="102">
        <f t="shared" si="21"/>
        <v>10.000000000000028</v>
      </c>
      <c r="Y141" s="100">
        <f t="shared" si="22"/>
        <v>6.23</v>
      </c>
      <c r="Z141" s="100">
        <f t="shared" si="23"/>
        <v>8544</v>
      </c>
    </row>
    <row r="142" spans="1:26">
      <c r="A142" s="100" t="s">
        <v>237</v>
      </c>
      <c r="B142" s="108" t="str">
        <f>IFERROR(VLOOKUP(Tablo519[[#This Row],[ÜRÜN KODU]],YMKODLARI!$A$1:$K$363,2,0)," ")</f>
        <v>GENİŞ AĞIZ BİBERON VİDA</v>
      </c>
      <c r="C142" s="99">
        <v>44032</v>
      </c>
      <c r="D142" s="100" t="s">
        <v>33</v>
      </c>
      <c r="E142" s="101">
        <v>0.5</v>
      </c>
      <c r="F142" s="101">
        <v>0.75</v>
      </c>
      <c r="G142" s="100">
        <f>IFERROR(VLOOKUP(Tablo519[[#This Row],[ÜRÜN KODU]],YMKODLARI!$A$1:$K$363,3,0)," ")</f>
        <v>4</v>
      </c>
      <c r="H142" s="100">
        <f>IFERROR(VLOOKUP(Tablo519[[#This Row],[ÜRÜN KODU]],YMKODLARI!$A$1:$K$363,4,0)," ")</f>
        <v>32</v>
      </c>
      <c r="I142" s="100">
        <v>429</v>
      </c>
      <c r="J142" s="100">
        <f>IFERROR(VLOOKUP(Tablo519[[#This Row],[ÜRÜN KODU]],YMKODLARI!$A$1:$K$363,9,0)," ")</f>
        <v>3409</v>
      </c>
      <c r="K142" s="100" t="str">
        <f>IFERROR(VLOOKUP(Tablo519[[#This Row],[BOYA KODU]],Tablo14[#All],4,0)," ")</f>
        <v>PEMBE</v>
      </c>
      <c r="L142" s="100">
        <f>IFERROR(VLOOKUP(Tablo519[[#This Row],[BOYA KODU]],Tablo14[#All],6,0)," ")</f>
        <v>5.0000000000000001E-3</v>
      </c>
      <c r="M142" s="100">
        <f t="shared" si="18"/>
        <v>81.081000000000003</v>
      </c>
      <c r="N142" s="100" t="str">
        <f>IFERROR(VLOOKUP(Tablo519[[#This Row],[ÜRÜN KODU]],YMKODLARI!$A$1:$K$363,8,0)," ")</f>
        <v>HM 001</v>
      </c>
      <c r="O142" s="100" t="str">
        <f>IFERROR(VLOOKUP(Tablo519[[#This Row],[HAMMADDE KODU]],Tablo1[#All],3,0)," ")</f>
        <v>CAPILENE</v>
      </c>
      <c r="P142" s="100" t="str">
        <f>IFERROR(VLOOKUP(Tablo519[[#This Row],[HAMMADDE KODU]],Tablo1[#All],4,0)," ")</f>
        <v>PİNHAS</v>
      </c>
      <c r="Q142" s="100">
        <f>IFERROR(VLOOKUP(Tablo519[[#This Row],[ÜRÜN KODU]],YMKODLARI!$A$1:$K$363,5,0)," ")</f>
        <v>37.799999999999997</v>
      </c>
      <c r="R142" s="100">
        <f>IFERROR(VLOOKUP(Tablo519[[#This Row],[ÜRÜN KODU]],YMKODLARI!$A$1:$K$363,6,0)," ")</f>
        <v>37.799999999999997</v>
      </c>
      <c r="S142" s="100">
        <f>IFERROR(Tablo519[[#This Row],[YOLLUK HARİÇ BASKI GRAMI]]/Tablo519[[#This Row],[KALIP GÖZ ADEDİ]]," ")</f>
        <v>9.4499999999999993</v>
      </c>
      <c r="T142" s="100">
        <f t="shared" si="19"/>
        <v>0</v>
      </c>
      <c r="U142" s="100"/>
      <c r="V142" s="100">
        <f t="shared" si="16"/>
        <v>16.216200000000001</v>
      </c>
      <c r="W142" s="101">
        <f t="shared" si="20"/>
        <v>24.25</v>
      </c>
      <c r="X142" s="102">
        <f t="shared" si="21"/>
        <v>6</v>
      </c>
      <c r="Y142" s="100">
        <f t="shared" si="22"/>
        <v>3.8133333333333335</v>
      </c>
      <c r="Z142" s="100">
        <f t="shared" si="23"/>
        <v>1716</v>
      </c>
    </row>
    <row r="143" spans="1:26">
      <c r="A143" s="100" t="s">
        <v>237</v>
      </c>
      <c r="B143" s="108" t="str">
        <f>IFERROR(VLOOKUP(Tablo519[[#This Row],[ÜRÜN KODU]],YMKODLARI!$A$1:$K$363,2,0)," ")</f>
        <v>GENİŞ AĞIZ BİBERON VİDA</v>
      </c>
      <c r="C143" s="99">
        <v>44033</v>
      </c>
      <c r="D143" s="100" t="s">
        <v>33</v>
      </c>
      <c r="E143" s="101">
        <v>0.33333333333333331</v>
      </c>
      <c r="F143" s="101">
        <v>0.3888888888888889</v>
      </c>
      <c r="G143" s="100">
        <f>IFERROR(VLOOKUP(Tablo519[[#This Row],[ÜRÜN KODU]],YMKODLARI!$A$1:$K$363,3,0)," ")</f>
        <v>4</v>
      </c>
      <c r="H143" s="100">
        <f>IFERROR(VLOOKUP(Tablo519[[#This Row],[ÜRÜN KODU]],YMKODLARI!$A$1:$K$363,4,0)," ")</f>
        <v>32</v>
      </c>
      <c r="I143" s="100">
        <v>126</v>
      </c>
      <c r="J143" s="100">
        <f>IFERROR(VLOOKUP(Tablo519[[#This Row],[ÜRÜN KODU]],YMKODLARI!$A$1:$K$363,9,0)," ")</f>
        <v>3409</v>
      </c>
      <c r="K143" s="100" t="str">
        <f>IFERROR(VLOOKUP(Tablo519[[#This Row],[BOYA KODU]],Tablo14[#All],4,0)," ")</f>
        <v>PEMBE</v>
      </c>
      <c r="L143" s="100">
        <f>IFERROR(VLOOKUP(Tablo519[[#This Row],[BOYA KODU]],Tablo14[#All],6,0)," ")</f>
        <v>5.0000000000000001E-3</v>
      </c>
      <c r="M143" s="100">
        <f t="shared" si="18"/>
        <v>23.813999999999997</v>
      </c>
      <c r="N143" s="100" t="str">
        <f>IFERROR(VLOOKUP(Tablo519[[#This Row],[ÜRÜN KODU]],YMKODLARI!$A$1:$K$363,8,0)," ")</f>
        <v>HM 001</v>
      </c>
      <c r="O143" s="100" t="str">
        <f>IFERROR(VLOOKUP(Tablo519[[#This Row],[HAMMADDE KODU]],Tablo1[#All],3,0)," ")</f>
        <v>CAPILENE</v>
      </c>
      <c r="P143" s="100" t="str">
        <f>IFERROR(VLOOKUP(Tablo519[[#This Row],[HAMMADDE KODU]],Tablo1[#All],4,0)," ")</f>
        <v>PİNHAS</v>
      </c>
      <c r="Q143" s="100">
        <f>IFERROR(VLOOKUP(Tablo519[[#This Row],[ÜRÜN KODU]],YMKODLARI!$A$1:$K$363,5,0)," ")</f>
        <v>37.799999999999997</v>
      </c>
      <c r="R143" s="100">
        <f>IFERROR(VLOOKUP(Tablo519[[#This Row],[ÜRÜN KODU]],YMKODLARI!$A$1:$K$363,6,0)," ")</f>
        <v>37.799999999999997</v>
      </c>
      <c r="S143" s="100">
        <f>IFERROR(Tablo519[[#This Row],[YOLLUK HARİÇ BASKI GRAMI]]/Tablo519[[#This Row],[KALIP GÖZ ADEDİ]]," ")</f>
        <v>9.4499999999999993</v>
      </c>
      <c r="T143" s="100">
        <f t="shared" si="19"/>
        <v>0</v>
      </c>
      <c r="U143" s="100">
        <v>1.7</v>
      </c>
      <c r="V143" s="100">
        <f t="shared" si="16"/>
        <v>6.4627999999999997</v>
      </c>
      <c r="W143" s="101">
        <f t="shared" si="20"/>
        <v>24.055555555555557</v>
      </c>
      <c r="X143" s="102">
        <f t="shared" si="21"/>
        <v>1.3333333333333712</v>
      </c>
      <c r="Y143" s="100">
        <f t="shared" si="22"/>
        <v>1.1200000000000001</v>
      </c>
      <c r="Z143" s="100">
        <f t="shared" si="23"/>
        <v>504</v>
      </c>
    </row>
    <row r="144" spans="1:26">
      <c r="A144" s="100" t="s">
        <v>238</v>
      </c>
      <c r="B144" s="108" t="str">
        <f>IFERROR(VLOOKUP(Tablo519[[#This Row],[ÜRÜN KODU]],YMKODLARI!$A$1:$K$363,2,0)," ")</f>
        <v>GENİŞ AĞIZ BİBERON VİDA</v>
      </c>
      <c r="C144" s="99">
        <v>44033</v>
      </c>
      <c r="D144" s="100" t="s">
        <v>33</v>
      </c>
      <c r="E144" s="101">
        <v>0.3888888888888889</v>
      </c>
      <c r="F144" s="101">
        <v>0.59027777777777779</v>
      </c>
      <c r="G144" s="100">
        <f>IFERROR(VLOOKUP(Tablo519[[#This Row],[ÜRÜN KODU]],YMKODLARI!$A$1:$K$363,3,0)," ")</f>
        <v>4</v>
      </c>
      <c r="H144" s="100">
        <f>IFERROR(VLOOKUP(Tablo519[[#This Row],[ÜRÜN KODU]],YMKODLARI!$A$1:$K$363,4,0)," ")</f>
        <v>32</v>
      </c>
      <c r="I144" s="100">
        <v>435</v>
      </c>
      <c r="J144" s="100">
        <f>IFERROR(VLOOKUP(Tablo519[[#This Row],[ÜRÜN KODU]],YMKODLARI!$A$1:$K$363,9,0)," ")</f>
        <v>5287</v>
      </c>
      <c r="K144" s="100" t="str">
        <f>IFERROR(VLOOKUP(Tablo519[[#This Row],[BOYA KODU]],Tablo14[#All],4,0)," ")</f>
        <v>MAVİ</v>
      </c>
      <c r="L144" s="100">
        <f>IFERROR(VLOOKUP(Tablo519[[#This Row],[BOYA KODU]],Tablo14[#All],6,0)," ")</f>
        <v>5.0000000000000001E-3</v>
      </c>
      <c r="M144" s="100">
        <f t="shared" si="18"/>
        <v>82.215000000000003</v>
      </c>
      <c r="N144" s="100" t="str">
        <f>IFERROR(VLOOKUP(Tablo519[[#This Row],[ÜRÜN KODU]],YMKODLARI!$A$1:$K$363,8,0)," ")</f>
        <v>HM 001</v>
      </c>
      <c r="O144" s="100" t="str">
        <f>IFERROR(VLOOKUP(Tablo519[[#This Row],[HAMMADDE KODU]],Tablo1[#All],3,0)," ")</f>
        <v>CAPILENE</v>
      </c>
      <c r="P144" s="100" t="str">
        <f>IFERROR(VLOOKUP(Tablo519[[#This Row],[HAMMADDE KODU]],Tablo1[#All],4,0)," ")</f>
        <v>PİNHAS</v>
      </c>
      <c r="Q144" s="100">
        <f>IFERROR(VLOOKUP(Tablo519[[#This Row],[ÜRÜN KODU]],YMKODLARI!$A$1:$K$363,5,0)," ")</f>
        <v>37.799999999999997</v>
      </c>
      <c r="R144" s="100">
        <f>IFERROR(VLOOKUP(Tablo519[[#This Row],[ÜRÜN KODU]],YMKODLARI!$A$1:$K$363,6,0)," ")</f>
        <v>37.799999999999997</v>
      </c>
      <c r="S144" s="100">
        <f>IFERROR(Tablo519[[#This Row],[YOLLUK HARİÇ BASKI GRAMI]]/Tablo519[[#This Row],[KALIP GÖZ ADEDİ]]," ")</f>
        <v>9.4499999999999993</v>
      </c>
      <c r="T144" s="100">
        <f t="shared" si="19"/>
        <v>0</v>
      </c>
      <c r="U144" s="100">
        <v>1.4</v>
      </c>
      <c r="V144" s="100">
        <f t="shared" si="16"/>
        <v>17.843</v>
      </c>
      <c r="W144" s="101">
        <f t="shared" si="20"/>
        <v>24.201388888888889</v>
      </c>
      <c r="X144" s="102">
        <f t="shared" si="21"/>
        <v>4.8333333333333428</v>
      </c>
      <c r="Y144" s="100">
        <f t="shared" si="22"/>
        <v>3.8666666666666667</v>
      </c>
      <c r="Z144" s="100">
        <f t="shared" si="23"/>
        <v>1740</v>
      </c>
    </row>
    <row r="145" spans="1:26">
      <c r="A145" s="100" t="s">
        <v>239</v>
      </c>
      <c r="B145" s="108" t="str">
        <f>IFERROR(VLOOKUP(Tablo519[[#This Row],[ÜRÜN KODU]],YMKODLARI!$A$1:$K$363,2,0)," ")</f>
        <v>GENİŞ AĞIZ BİBERON VİDA</v>
      </c>
      <c r="C145" s="99">
        <v>44033</v>
      </c>
      <c r="D145" s="100" t="s">
        <v>33</v>
      </c>
      <c r="E145" s="101">
        <v>0.59722222222222221</v>
      </c>
      <c r="F145" s="101">
        <v>0.75</v>
      </c>
      <c r="G145" s="100">
        <f>IFERROR(VLOOKUP(Tablo519[[#This Row],[ÜRÜN KODU]],YMKODLARI!$A$1:$K$363,3,0)," ")</f>
        <v>4</v>
      </c>
      <c r="H145" s="100">
        <f>IFERROR(VLOOKUP(Tablo519[[#This Row],[ÜRÜN KODU]],YMKODLARI!$A$1:$K$363,4,0)," ")</f>
        <v>32</v>
      </c>
      <c r="I145" s="100">
        <v>390</v>
      </c>
      <c r="J145" s="100">
        <f>IFERROR(VLOOKUP(Tablo519[[#This Row],[ÜRÜN KODU]],YMKODLARI!$A$1:$K$363,9,0)," ")</f>
        <v>3041</v>
      </c>
      <c r="K145" s="100" t="str">
        <f>IFERROR(VLOOKUP(Tablo519[[#This Row],[BOYA KODU]],Tablo14[#All],4,0)," ")</f>
        <v>KIRMIZI</v>
      </c>
      <c r="L145" s="100">
        <f>IFERROR(VLOOKUP(Tablo519[[#This Row],[BOYA KODU]],Tablo14[#All],6,0)," ")</f>
        <v>5.0000000000000001E-3</v>
      </c>
      <c r="M145" s="100">
        <f t="shared" si="18"/>
        <v>73.709999999999994</v>
      </c>
      <c r="N145" s="100" t="str">
        <f>IFERROR(VLOOKUP(Tablo519[[#This Row],[ÜRÜN KODU]],YMKODLARI!$A$1:$K$363,8,0)," ")</f>
        <v>HM 001</v>
      </c>
      <c r="O145" s="100" t="str">
        <f>IFERROR(VLOOKUP(Tablo519[[#This Row],[HAMMADDE KODU]],Tablo1[#All],3,0)," ")</f>
        <v>CAPILENE</v>
      </c>
      <c r="P145" s="100" t="str">
        <f>IFERROR(VLOOKUP(Tablo519[[#This Row],[HAMMADDE KODU]],Tablo1[#All],4,0)," ")</f>
        <v>PİNHAS</v>
      </c>
      <c r="Q145" s="100">
        <f>IFERROR(VLOOKUP(Tablo519[[#This Row],[ÜRÜN KODU]],YMKODLARI!$A$1:$K$363,5,0)," ")</f>
        <v>37.799999999999997</v>
      </c>
      <c r="R145" s="100">
        <f>IFERROR(VLOOKUP(Tablo519[[#This Row],[ÜRÜN KODU]],YMKODLARI!$A$1:$K$363,6,0)," ")</f>
        <v>37.799999999999997</v>
      </c>
      <c r="S145" s="100">
        <f>IFERROR(Tablo519[[#This Row],[YOLLUK HARİÇ BASKI GRAMI]]/Tablo519[[#This Row],[KALIP GÖZ ADEDİ]]," ")</f>
        <v>9.4499999999999993</v>
      </c>
      <c r="T145" s="100">
        <f t="shared" si="19"/>
        <v>0</v>
      </c>
      <c r="U145" s="100">
        <v>0.4</v>
      </c>
      <c r="V145" s="100">
        <f t="shared" si="16"/>
        <v>15.141999999999998</v>
      </c>
      <c r="W145" s="101">
        <f t="shared" si="20"/>
        <v>24.152777777777779</v>
      </c>
      <c r="X145" s="102">
        <f t="shared" si="21"/>
        <v>3.6666666666666856</v>
      </c>
      <c r="Y145" s="100">
        <f t="shared" si="22"/>
        <v>3.4666666666666668</v>
      </c>
      <c r="Z145" s="100">
        <f t="shared" si="23"/>
        <v>1560</v>
      </c>
    </row>
    <row r="146" spans="1:26">
      <c r="A146" s="100" t="s">
        <v>212</v>
      </c>
      <c r="B146" s="108" t="str">
        <f>IFERROR(VLOOKUP(Tablo519[[#This Row],[ÜRÜN KODU]],YMKODLARI!$A$1:$K$363,2,0)," ")</f>
        <v xml:space="preserve"> BİBERON VİDA</v>
      </c>
      <c r="C146" s="99">
        <v>44034</v>
      </c>
      <c r="D146" s="100" t="s">
        <v>33</v>
      </c>
      <c r="E146" s="101">
        <v>0.44444444444444442</v>
      </c>
      <c r="F146" s="101">
        <v>0.53472222222222221</v>
      </c>
      <c r="G146" s="100">
        <f>IFERROR(VLOOKUP(Tablo519[[#This Row],[ÜRÜN KODU]],YMKODLARI!$A$1:$K$363,3,0)," ")</f>
        <v>4</v>
      </c>
      <c r="H146" s="100">
        <f>IFERROR(VLOOKUP(Tablo519[[#This Row],[ÜRÜN KODU]],YMKODLARI!$A$1:$K$363,4,0)," ")</f>
        <v>25</v>
      </c>
      <c r="I146" s="100">
        <v>322</v>
      </c>
      <c r="J146" s="100">
        <f>IFERROR(VLOOKUP(Tablo519[[#This Row],[ÜRÜN KODU]],YMKODLARI!$A$1:$K$363,9,0)," ")</f>
        <v>3041</v>
      </c>
      <c r="K146" s="100" t="str">
        <f>IFERROR(VLOOKUP(Tablo519[[#This Row],[BOYA KODU]],Tablo14[#All],4,0)," ")</f>
        <v>KIRMIZI</v>
      </c>
      <c r="L146" s="100">
        <f>IFERROR(VLOOKUP(Tablo519[[#This Row],[BOYA KODU]],Tablo14[#All],6,0)," ")</f>
        <v>5.0000000000000001E-3</v>
      </c>
      <c r="M146" s="100">
        <f t="shared" si="18"/>
        <v>44.597000000000001</v>
      </c>
      <c r="N146" s="100" t="str">
        <f>IFERROR(VLOOKUP(Tablo519[[#This Row],[ÜRÜN KODU]],YMKODLARI!$A$1:$K$363,8,0)," ")</f>
        <v>HM 001</v>
      </c>
      <c r="O146" s="100" t="str">
        <f>IFERROR(VLOOKUP(Tablo519[[#This Row],[HAMMADDE KODU]],Tablo1[#All],3,0)," ")</f>
        <v>CAPILENE</v>
      </c>
      <c r="P146" s="100" t="str">
        <f>IFERROR(VLOOKUP(Tablo519[[#This Row],[HAMMADDE KODU]],Tablo1[#All],4,0)," ")</f>
        <v>PİNHAS</v>
      </c>
      <c r="Q146" s="100">
        <f>IFERROR(VLOOKUP(Tablo519[[#This Row],[ÜRÜN KODU]],YMKODLARI!$A$1:$K$363,5,0)," ")</f>
        <v>27.7</v>
      </c>
      <c r="R146" s="100">
        <f>IFERROR(VLOOKUP(Tablo519[[#This Row],[ÜRÜN KODU]],YMKODLARI!$A$1:$K$363,6,0)," ")</f>
        <v>27.7</v>
      </c>
      <c r="S146" s="100">
        <f>IFERROR(Tablo519[[#This Row],[YOLLUK HARİÇ BASKI GRAMI]]/Tablo519[[#This Row],[KALIP GÖZ ADEDİ]]," ")</f>
        <v>6.9249999999999998</v>
      </c>
      <c r="T146" s="100">
        <f t="shared" si="19"/>
        <v>0</v>
      </c>
      <c r="U146" s="100">
        <v>1</v>
      </c>
      <c r="V146" s="100">
        <f t="shared" si="16"/>
        <v>9.9193999999999996</v>
      </c>
      <c r="W146" s="101">
        <f t="shared" si="20"/>
        <v>24.090277777777779</v>
      </c>
      <c r="X146" s="102">
        <f t="shared" si="21"/>
        <v>2.1666666666666856</v>
      </c>
      <c r="Y146" s="100">
        <f t="shared" si="22"/>
        <v>2.2361111111111112</v>
      </c>
      <c r="Z146" s="100">
        <f t="shared" si="23"/>
        <v>1288</v>
      </c>
    </row>
    <row r="147" spans="1:26">
      <c r="A147" s="100" t="s">
        <v>210</v>
      </c>
      <c r="B147" s="108" t="str">
        <f>IFERROR(VLOOKUP(Tablo519[[#This Row],[ÜRÜN KODU]],YMKODLARI!$A$1:$K$363,2,0)," ")</f>
        <v xml:space="preserve"> BİBERON VİDA</v>
      </c>
      <c r="C147" s="99">
        <v>44034</v>
      </c>
      <c r="D147" s="100" t="s">
        <v>33</v>
      </c>
      <c r="E147" s="101">
        <v>0.53472222222222221</v>
      </c>
      <c r="F147" s="101">
        <v>0.75</v>
      </c>
      <c r="G147" s="100">
        <f>IFERROR(VLOOKUP(Tablo519[[#This Row],[ÜRÜN KODU]],YMKODLARI!$A$1:$K$363,3,0)," ")</f>
        <v>4</v>
      </c>
      <c r="H147" s="100">
        <f>IFERROR(VLOOKUP(Tablo519[[#This Row],[ÜRÜN KODU]],YMKODLARI!$A$1:$K$363,4,0)," ")</f>
        <v>25</v>
      </c>
      <c r="I147" s="100">
        <v>595</v>
      </c>
      <c r="J147" s="100">
        <f>IFERROR(VLOOKUP(Tablo519[[#This Row],[ÜRÜN KODU]],YMKODLARI!$A$1:$K$363,9,0)," ")</f>
        <v>3409</v>
      </c>
      <c r="K147" s="100" t="str">
        <f>IFERROR(VLOOKUP(Tablo519[[#This Row],[BOYA KODU]],Tablo14[#All],4,0)," ")</f>
        <v>PEMBE</v>
      </c>
      <c r="L147" s="100">
        <f>IFERROR(VLOOKUP(Tablo519[[#This Row],[BOYA KODU]],Tablo14[#All],6,0)," ")</f>
        <v>5.0000000000000001E-3</v>
      </c>
      <c r="M147" s="100">
        <f t="shared" si="18"/>
        <v>82.407499999999999</v>
      </c>
      <c r="N147" s="100" t="str">
        <f>IFERROR(VLOOKUP(Tablo519[[#This Row],[ÜRÜN KODU]],YMKODLARI!$A$1:$K$363,8,0)," ")</f>
        <v>HM 001</v>
      </c>
      <c r="O147" s="100" t="str">
        <f>IFERROR(VLOOKUP(Tablo519[[#This Row],[HAMMADDE KODU]],Tablo1[#All],3,0)," ")</f>
        <v>CAPILENE</v>
      </c>
      <c r="P147" s="100" t="str">
        <f>IFERROR(VLOOKUP(Tablo519[[#This Row],[HAMMADDE KODU]],Tablo1[#All],4,0)," ")</f>
        <v>PİNHAS</v>
      </c>
      <c r="Q147" s="100">
        <f>IFERROR(VLOOKUP(Tablo519[[#This Row],[ÜRÜN KODU]],YMKODLARI!$A$1:$K$363,5,0)," ")</f>
        <v>27.7</v>
      </c>
      <c r="R147" s="100">
        <f>IFERROR(VLOOKUP(Tablo519[[#This Row],[ÜRÜN KODU]],YMKODLARI!$A$1:$K$363,6,0)," ")</f>
        <v>27.7</v>
      </c>
      <c r="S147" s="100">
        <f>IFERROR(Tablo519[[#This Row],[YOLLUK HARİÇ BASKI GRAMI]]/Tablo519[[#This Row],[KALIP GÖZ ADEDİ]]," ")</f>
        <v>6.9249999999999998</v>
      </c>
      <c r="T147" s="100">
        <f t="shared" si="19"/>
        <v>0</v>
      </c>
      <c r="U147" s="100">
        <v>0.6</v>
      </c>
      <c r="V147" s="100">
        <f t="shared" si="16"/>
        <v>17.081500000000002</v>
      </c>
      <c r="W147" s="101">
        <f t="shared" si="20"/>
        <v>24.215277777777779</v>
      </c>
      <c r="X147" s="102">
        <f t="shared" si="21"/>
        <v>5.1666666666666856</v>
      </c>
      <c r="Y147" s="100">
        <f t="shared" si="22"/>
        <v>4.1319444444444446</v>
      </c>
      <c r="Z147" s="100">
        <f t="shared" si="23"/>
        <v>2380</v>
      </c>
    </row>
    <row r="148" spans="1:26">
      <c r="A148" s="100" t="s">
        <v>210</v>
      </c>
      <c r="B148" s="108" t="str">
        <f>IFERROR(VLOOKUP(Tablo519[[#This Row],[ÜRÜN KODU]],YMKODLARI!$A$1:$K$363,2,0)," ")</f>
        <v xml:space="preserve"> BİBERON VİDA</v>
      </c>
      <c r="C148" s="99">
        <v>44035</v>
      </c>
      <c r="D148" s="100" t="s">
        <v>33</v>
      </c>
      <c r="E148" s="101">
        <v>0.33333333333333331</v>
      </c>
      <c r="F148" s="101">
        <v>0.44097222222222227</v>
      </c>
      <c r="G148" s="100">
        <f>IFERROR(VLOOKUP(Tablo519[[#This Row],[ÜRÜN KODU]],YMKODLARI!$A$1:$K$363,3,0)," ")</f>
        <v>4</v>
      </c>
      <c r="H148" s="100">
        <f>IFERROR(VLOOKUP(Tablo519[[#This Row],[ÜRÜN KODU]],YMKODLARI!$A$1:$K$363,4,0)," ")</f>
        <v>25</v>
      </c>
      <c r="I148" s="100">
        <v>271</v>
      </c>
      <c r="J148" s="100">
        <f>IFERROR(VLOOKUP(Tablo519[[#This Row],[ÜRÜN KODU]],YMKODLARI!$A$1:$K$363,9,0)," ")</f>
        <v>3409</v>
      </c>
      <c r="K148" s="100" t="str">
        <f>IFERROR(VLOOKUP(Tablo519[[#This Row],[BOYA KODU]],Tablo14[#All],4,0)," ")</f>
        <v>PEMBE</v>
      </c>
      <c r="L148" s="100">
        <f>IFERROR(VLOOKUP(Tablo519[[#This Row],[BOYA KODU]],Tablo14[#All],6,0)," ")</f>
        <v>5.0000000000000001E-3</v>
      </c>
      <c r="M148" s="100">
        <f t="shared" si="18"/>
        <v>37.533499999999997</v>
      </c>
      <c r="N148" s="100" t="str">
        <f>IFERROR(VLOOKUP(Tablo519[[#This Row],[ÜRÜN KODU]],YMKODLARI!$A$1:$K$363,8,0)," ")</f>
        <v>HM 001</v>
      </c>
      <c r="O148" s="100" t="str">
        <f>IFERROR(VLOOKUP(Tablo519[[#This Row],[HAMMADDE KODU]],Tablo1[#All],3,0)," ")</f>
        <v>CAPILENE</v>
      </c>
      <c r="P148" s="100" t="str">
        <f>IFERROR(VLOOKUP(Tablo519[[#This Row],[HAMMADDE KODU]],Tablo1[#All],4,0)," ")</f>
        <v>PİNHAS</v>
      </c>
      <c r="Q148" s="100">
        <f>IFERROR(VLOOKUP(Tablo519[[#This Row],[ÜRÜN KODU]],YMKODLARI!$A$1:$K$363,5,0)," ")</f>
        <v>27.7</v>
      </c>
      <c r="R148" s="100">
        <f>IFERROR(VLOOKUP(Tablo519[[#This Row],[ÜRÜN KODU]],YMKODLARI!$A$1:$K$363,6,0)," ")</f>
        <v>27.7</v>
      </c>
      <c r="S148" s="100">
        <f>IFERROR(Tablo519[[#This Row],[YOLLUK HARİÇ BASKI GRAMI]]/Tablo519[[#This Row],[KALIP GÖZ ADEDİ]]," ")</f>
        <v>6.9249999999999998</v>
      </c>
      <c r="T148" s="100">
        <f t="shared" si="19"/>
        <v>0</v>
      </c>
      <c r="U148" s="100">
        <v>1.5</v>
      </c>
      <c r="V148" s="100">
        <f t="shared" si="16"/>
        <v>9.0066999999999986</v>
      </c>
      <c r="W148" s="101">
        <f t="shared" si="20"/>
        <v>24.107638888888889</v>
      </c>
      <c r="X148" s="102">
        <f t="shared" si="21"/>
        <v>2.5833333333333428</v>
      </c>
      <c r="Y148" s="100">
        <f t="shared" si="22"/>
        <v>1.8819444444444444</v>
      </c>
      <c r="Z148" s="100">
        <f t="shared" si="23"/>
        <v>1084</v>
      </c>
    </row>
    <row r="149" spans="1:26">
      <c r="A149" s="100" t="s">
        <v>202</v>
      </c>
      <c r="B149" s="108" t="str">
        <f>IFERROR(VLOOKUP(Tablo519[[#This Row],[ÜRÜN KODU]],YMKODLARI!$A$1:$K$363,2,0)," ")</f>
        <v xml:space="preserve"> BİBERON VİDA</v>
      </c>
      <c r="C149" s="99">
        <v>44035</v>
      </c>
      <c r="D149" s="100" t="s">
        <v>33</v>
      </c>
      <c r="E149" s="101">
        <v>0.44097222222222227</v>
      </c>
      <c r="F149" s="101">
        <v>0.56944444444444442</v>
      </c>
      <c r="G149" s="100">
        <f>IFERROR(VLOOKUP(Tablo519[[#This Row],[ÜRÜN KODU]],YMKODLARI!$A$1:$K$363,3,0)," ")</f>
        <v>4</v>
      </c>
      <c r="H149" s="100">
        <f>IFERROR(VLOOKUP(Tablo519[[#This Row],[ÜRÜN KODU]],YMKODLARI!$A$1:$K$363,4,0)," ")</f>
        <v>25</v>
      </c>
      <c r="I149" s="100">
        <v>355</v>
      </c>
      <c r="J149" s="100" t="str">
        <f>IFERROR(VLOOKUP(Tablo519[[#This Row],[ÜRÜN KODU]],YMKODLARI!$A$1:$K$363,9,0)," ")</f>
        <v>9134A</v>
      </c>
      <c r="K149" s="100" t="str">
        <f>IFERROR(VLOOKUP(Tablo519[[#This Row],[BOYA KODU]],Tablo14[#All],4,0)," ")</f>
        <v>BEYAZ</v>
      </c>
      <c r="L149" s="100">
        <f>IFERROR(VLOOKUP(Tablo519[[#This Row],[BOYA KODU]],Tablo14[#All],6,0)," ")</f>
        <v>7.0000000000000001E-3</v>
      </c>
      <c r="M149" s="100">
        <f t="shared" si="18"/>
        <v>68.834500000000006</v>
      </c>
      <c r="N149" s="100" t="str">
        <f>IFERROR(VLOOKUP(Tablo519[[#This Row],[ÜRÜN KODU]],YMKODLARI!$A$1:$K$363,8,0)," ")</f>
        <v>HM 001</v>
      </c>
      <c r="O149" s="100" t="str">
        <f>IFERROR(VLOOKUP(Tablo519[[#This Row],[HAMMADDE KODU]],Tablo1[#All],3,0)," ")</f>
        <v>CAPILENE</v>
      </c>
      <c r="P149" s="100" t="str">
        <f>IFERROR(VLOOKUP(Tablo519[[#This Row],[HAMMADDE KODU]],Tablo1[#All],4,0)," ")</f>
        <v>PİNHAS</v>
      </c>
      <c r="Q149" s="100">
        <f>IFERROR(VLOOKUP(Tablo519[[#This Row],[ÜRÜN KODU]],YMKODLARI!$A$1:$K$363,5,0)," ")</f>
        <v>27.7</v>
      </c>
      <c r="R149" s="100">
        <f>IFERROR(VLOOKUP(Tablo519[[#This Row],[ÜRÜN KODU]],YMKODLARI!$A$1:$K$363,6,0)," ")</f>
        <v>27.7</v>
      </c>
      <c r="S149" s="100">
        <f>IFERROR(Tablo519[[#This Row],[YOLLUK HARİÇ BASKI GRAMI]]/Tablo519[[#This Row],[KALIP GÖZ ADEDİ]]," ")</f>
        <v>6.9249999999999998</v>
      </c>
      <c r="T149" s="100">
        <f t="shared" si="19"/>
        <v>0</v>
      </c>
      <c r="U149" s="100">
        <v>1.2</v>
      </c>
      <c r="V149" s="100">
        <f t="shared" si="16"/>
        <v>11.0335</v>
      </c>
      <c r="W149" s="101">
        <f t="shared" si="20"/>
        <v>24.128472222222221</v>
      </c>
      <c r="X149" s="102">
        <f t="shared" si="21"/>
        <v>3.0833333333333144</v>
      </c>
      <c r="Y149" s="100">
        <f t="shared" si="22"/>
        <v>2.4652777777777777</v>
      </c>
      <c r="Z149" s="100">
        <f t="shared" si="23"/>
        <v>1420</v>
      </c>
    </row>
    <row r="150" spans="1:26">
      <c r="A150" s="100" t="s">
        <v>202</v>
      </c>
      <c r="B150" s="108" t="str">
        <f>IFERROR(VLOOKUP(Tablo519[[#This Row],[ÜRÜN KODU]],YMKODLARI!$A$1:$K$363,2,0)," ")</f>
        <v xml:space="preserve"> BİBERON VİDA</v>
      </c>
      <c r="C150" s="99">
        <v>44035</v>
      </c>
      <c r="D150" s="100" t="s">
        <v>33</v>
      </c>
      <c r="E150" s="101">
        <v>0.56944444444444442</v>
      </c>
      <c r="F150" s="101">
        <v>0.67361111111111116</v>
      </c>
      <c r="G150" s="100">
        <f>IFERROR(VLOOKUP(Tablo519[[#This Row],[ÜRÜN KODU]],YMKODLARI!$A$1:$K$363,3,0)," ")</f>
        <v>4</v>
      </c>
      <c r="H150" s="100">
        <f>IFERROR(VLOOKUP(Tablo519[[#This Row],[ÜRÜN KODU]],YMKODLARI!$A$1:$K$363,4,0)," ")</f>
        <v>25</v>
      </c>
      <c r="I150" s="100">
        <v>313</v>
      </c>
      <c r="J150" s="100" t="str">
        <f>IFERROR(VLOOKUP(Tablo519[[#This Row],[ÜRÜN KODU]],YMKODLARI!$A$1:$K$363,9,0)," ")</f>
        <v>9134A</v>
      </c>
      <c r="K150" s="100" t="str">
        <f>IFERROR(VLOOKUP(Tablo519[[#This Row],[BOYA KODU]],Tablo14[#All],4,0)," ")</f>
        <v>BEYAZ</v>
      </c>
      <c r="L150" s="100">
        <f>IFERROR(VLOOKUP(Tablo519[[#This Row],[BOYA KODU]],Tablo14[#All],6,0)," ")</f>
        <v>7.0000000000000001E-3</v>
      </c>
      <c r="M150" s="100">
        <f t="shared" si="18"/>
        <v>60.690700000000007</v>
      </c>
      <c r="N150" s="100" t="str">
        <f>IFERROR(VLOOKUP(Tablo519[[#This Row],[ÜRÜN KODU]],YMKODLARI!$A$1:$K$363,8,0)," ")</f>
        <v>HM 001</v>
      </c>
      <c r="O150" s="100" t="str">
        <f>IFERROR(VLOOKUP(Tablo519[[#This Row],[HAMMADDE KODU]],Tablo1[#All],3,0)," ")</f>
        <v>CAPILENE</v>
      </c>
      <c r="P150" s="100" t="str">
        <f>IFERROR(VLOOKUP(Tablo519[[#This Row],[HAMMADDE KODU]],Tablo1[#All],4,0)," ")</f>
        <v>PİNHAS</v>
      </c>
      <c r="Q150" s="100">
        <f>IFERROR(VLOOKUP(Tablo519[[#This Row],[ÜRÜN KODU]],YMKODLARI!$A$1:$K$363,5,0)," ")</f>
        <v>27.7</v>
      </c>
      <c r="R150" s="100">
        <f>IFERROR(VLOOKUP(Tablo519[[#This Row],[ÜRÜN KODU]],YMKODLARI!$A$1:$K$363,6,0)," ")</f>
        <v>27.7</v>
      </c>
      <c r="S150" s="100">
        <f>IFERROR(Tablo519[[#This Row],[YOLLUK HARİÇ BASKI GRAMI]]/Tablo519[[#This Row],[KALIP GÖZ ADEDİ]]," ")</f>
        <v>6.9249999999999998</v>
      </c>
      <c r="T150" s="100">
        <f t="shared" si="19"/>
        <v>0</v>
      </c>
      <c r="U150" s="100">
        <v>1</v>
      </c>
      <c r="V150" s="100">
        <f t="shared" si="16"/>
        <v>9.6700999999999997</v>
      </c>
      <c r="W150" s="101">
        <f t="shared" si="20"/>
        <v>24.104166666666668</v>
      </c>
      <c r="X150" s="102">
        <f t="shared" si="21"/>
        <v>2.5000000000000284</v>
      </c>
      <c r="Y150" s="100">
        <f t="shared" si="22"/>
        <v>2.1736111111111112</v>
      </c>
      <c r="Z150" s="100">
        <f t="shared" si="23"/>
        <v>1252</v>
      </c>
    </row>
    <row r="151" spans="1:26">
      <c r="A151" s="100" t="s">
        <v>203</v>
      </c>
      <c r="B151" s="108" t="str">
        <f>IFERROR(VLOOKUP(Tablo519[[#This Row],[ÜRÜN KODU]],YMKODLARI!$A$1:$K$363,2,0)," ")</f>
        <v xml:space="preserve"> BİBERON VİDA</v>
      </c>
      <c r="C151" s="99">
        <v>44035</v>
      </c>
      <c r="D151" s="100" t="s">
        <v>33</v>
      </c>
      <c r="E151" s="101">
        <v>0.67361111111111116</v>
      </c>
      <c r="F151" s="101">
        <v>0.75</v>
      </c>
      <c r="G151" s="100">
        <f>IFERROR(VLOOKUP(Tablo519[[#This Row],[ÜRÜN KODU]],YMKODLARI!$A$1:$K$363,3,0)," ")</f>
        <v>4</v>
      </c>
      <c r="H151" s="100">
        <f>IFERROR(VLOOKUP(Tablo519[[#This Row],[ÜRÜN KODU]],YMKODLARI!$A$1:$K$363,4,0)," ")</f>
        <v>25</v>
      </c>
      <c r="I151" s="100">
        <v>270</v>
      </c>
      <c r="J151" s="100">
        <f>IFERROR(VLOOKUP(Tablo519[[#This Row],[ÜRÜN KODU]],YMKODLARI!$A$1:$K$363,9,0)," ")</f>
        <v>1290</v>
      </c>
      <c r="K151" s="100" t="str">
        <f>IFERROR(VLOOKUP(Tablo519[[#This Row],[BOYA KODU]],Tablo14[#All],4,0)," ")</f>
        <v>SARI</v>
      </c>
      <c r="L151" s="100">
        <f>IFERROR(VLOOKUP(Tablo519[[#This Row],[BOYA KODU]],Tablo14[#All],6,0)," ")</f>
        <v>5.0000000000000001E-3</v>
      </c>
      <c r="M151" s="100">
        <f t="shared" si="18"/>
        <v>37.395000000000003</v>
      </c>
      <c r="N151" s="100" t="str">
        <f>IFERROR(VLOOKUP(Tablo519[[#This Row],[ÜRÜN KODU]],YMKODLARI!$A$1:$K$363,8,0)," ")</f>
        <v>HM 001</v>
      </c>
      <c r="O151" s="100" t="str">
        <f>IFERROR(VLOOKUP(Tablo519[[#This Row],[HAMMADDE KODU]],Tablo1[#All],3,0)," ")</f>
        <v>CAPILENE</v>
      </c>
      <c r="P151" s="100" t="str">
        <f>IFERROR(VLOOKUP(Tablo519[[#This Row],[HAMMADDE KODU]],Tablo1[#All],4,0)," ")</f>
        <v>PİNHAS</v>
      </c>
      <c r="Q151" s="100">
        <f>IFERROR(VLOOKUP(Tablo519[[#This Row],[ÜRÜN KODU]],YMKODLARI!$A$1:$K$363,5,0)," ")</f>
        <v>27.7</v>
      </c>
      <c r="R151" s="100">
        <f>IFERROR(VLOOKUP(Tablo519[[#This Row],[ÜRÜN KODU]],YMKODLARI!$A$1:$K$363,6,0)," ")</f>
        <v>27.7</v>
      </c>
      <c r="S151" s="100">
        <f>IFERROR(Tablo519[[#This Row],[YOLLUK HARİÇ BASKI GRAMI]]/Tablo519[[#This Row],[KALIP GÖZ ADEDİ]]," ")</f>
        <v>6.9249999999999998</v>
      </c>
      <c r="T151" s="100">
        <f t="shared" si="19"/>
        <v>0</v>
      </c>
      <c r="U151" s="100">
        <v>0.4</v>
      </c>
      <c r="V151" s="100">
        <f t="shared" si="16"/>
        <v>7.8790000000000004</v>
      </c>
      <c r="W151" s="101">
        <f t="shared" si="20"/>
        <v>24.076388888888889</v>
      </c>
      <c r="X151" s="102">
        <f t="shared" si="21"/>
        <v>1.8333333333333428</v>
      </c>
      <c r="Y151" s="100">
        <f t="shared" si="22"/>
        <v>1.875</v>
      </c>
      <c r="Z151" s="100">
        <f t="shared" si="23"/>
        <v>1080</v>
      </c>
    </row>
    <row r="152" spans="1:26">
      <c r="A152" s="100" t="s">
        <v>211</v>
      </c>
      <c r="B152" s="108" t="str">
        <f>IFERROR(VLOOKUP(Tablo519[[#This Row],[ÜRÜN KODU]],YMKODLARI!$A$1:$K$363,2,0)," ")</f>
        <v xml:space="preserve"> BİBERON VİDA</v>
      </c>
      <c r="C152" s="99">
        <v>44036</v>
      </c>
      <c r="D152" s="100" t="s">
        <v>33</v>
      </c>
      <c r="E152" s="101">
        <v>0.33333333333333331</v>
      </c>
      <c r="F152" s="101">
        <v>0.44791666666666669</v>
      </c>
      <c r="G152" s="100">
        <f>IFERROR(VLOOKUP(Tablo519[[#This Row],[ÜRÜN KODU]],YMKODLARI!$A$1:$K$363,3,0)," ")</f>
        <v>4</v>
      </c>
      <c r="H152" s="100">
        <f>IFERROR(VLOOKUP(Tablo519[[#This Row],[ÜRÜN KODU]],YMKODLARI!$A$1:$K$363,4,0)," ")</f>
        <v>25</v>
      </c>
      <c r="I152" s="100">
        <v>306</v>
      </c>
      <c r="J152" s="100">
        <f>IFERROR(VLOOKUP(Tablo519[[#This Row],[ÜRÜN KODU]],YMKODLARI!$A$1:$K$363,9,0)," ")</f>
        <v>5287</v>
      </c>
      <c r="K152" s="100" t="str">
        <f>IFERROR(VLOOKUP(Tablo519[[#This Row],[BOYA KODU]],Tablo14[#All],4,0)," ")</f>
        <v>MAVİ</v>
      </c>
      <c r="L152" s="100">
        <f>IFERROR(VLOOKUP(Tablo519[[#This Row],[BOYA KODU]],Tablo14[#All],6,0)," ")</f>
        <v>5.0000000000000001E-3</v>
      </c>
      <c r="M152" s="100">
        <f t="shared" si="18"/>
        <v>42.380999999999993</v>
      </c>
      <c r="N152" s="100" t="str">
        <f>IFERROR(VLOOKUP(Tablo519[[#This Row],[ÜRÜN KODU]],YMKODLARI!$A$1:$K$363,8,0)," ")</f>
        <v>HM 001</v>
      </c>
      <c r="O152" s="100" t="str">
        <f>IFERROR(VLOOKUP(Tablo519[[#This Row],[HAMMADDE KODU]],Tablo1[#All],3,0)," ")</f>
        <v>CAPILENE</v>
      </c>
      <c r="P152" s="100" t="str">
        <f>IFERROR(VLOOKUP(Tablo519[[#This Row],[HAMMADDE KODU]],Tablo1[#All],4,0)," ")</f>
        <v>PİNHAS</v>
      </c>
      <c r="Q152" s="100">
        <f>IFERROR(VLOOKUP(Tablo519[[#This Row],[ÜRÜN KODU]],YMKODLARI!$A$1:$K$363,5,0)," ")</f>
        <v>27.7</v>
      </c>
      <c r="R152" s="100">
        <f>IFERROR(VLOOKUP(Tablo519[[#This Row],[ÜRÜN KODU]],YMKODLARI!$A$1:$K$363,6,0)," ")</f>
        <v>27.7</v>
      </c>
      <c r="S152" s="100">
        <f>IFERROR(Tablo519[[#This Row],[YOLLUK HARİÇ BASKI GRAMI]]/Tablo519[[#This Row],[KALIP GÖZ ADEDİ]]," ")</f>
        <v>6.9249999999999998</v>
      </c>
      <c r="T152" s="100">
        <f t="shared" si="19"/>
        <v>0</v>
      </c>
      <c r="U152" s="100">
        <v>0.7</v>
      </c>
      <c r="V152" s="100">
        <f t="shared" si="16"/>
        <v>9.1761999999999979</v>
      </c>
      <c r="W152" s="101">
        <f t="shared" si="20"/>
        <v>24.114583333333332</v>
      </c>
      <c r="X152" s="102">
        <f t="shared" si="21"/>
        <v>2.7499999999999716</v>
      </c>
      <c r="Y152" s="100">
        <f t="shared" si="22"/>
        <v>2.125</v>
      </c>
      <c r="Z152" s="100">
        <f t="shared" si="23"/>
        <v>1224</v>
      </c>
    </row>
    <row r="153" spans="1:26">
      <c r="A153" s="100" t="s">
        <v>204</v>
      </c>
      <c r="B153" s="108" t="str">
        <f>IFERROR(VLOOKUP(Tablo519[[#This Row],[ÜRÜN KODU]],YMKODLARI!$A$1:$K$363,2,0)," ")</f>
        <v xml:space="preserve"> BİBERON VİDA</v>
      </c>
      <c r="C153" s="99">
        <v>44036</v>
      </c>
      <c r="D153" s="100" t="s">
        <v>33</v>
      </c>
      <c r="E153" s="101">
        <v>0.44791666666666669</v>
      </c>
      <c r="F153" s="101">
        <v>0.54166666666666663</v>
      </c>
      <c r="G153" s="100">
        <f>IFERROR(VLOOKUP(Tablo519[[#This Row],[ÜRÜN KODU]],YMKODLARI!$A$1:$K$363,3,0)," ")</f>
        <v>4</v>
      </c>
      <c r="H153" s="100">
        <f>IFERROR(VLOOKUP(Tablo519[[#This Row],[ÜRÜN KODU]],YMKODLARI!$A$1:$K$363,4,0)," ")</f>
        <v>25</v>
      </c>
      <c r="I153" s="100">
        <v>320</v>
      </c>
      <c r="J153" s="100">
        <f>IFERROR(VLOOKUP(Tablo519[[#This Row],[ÜRÜN KODU]],YMKODLARI!$A$1:$K$363,9,0)," ")</f>
        <v>4090</v>
      </c>
      <c r="K153" s="100" t="str">
        <f>IFERROR(VLOOKUP(Tablo519[[#This Row],[BOYA KODU]],Tablo14[#All],4,0)," ")</f>
        <v>LİLA</v>
      </c>
      <c r="L153" s="100">
        <f>IFERROR(VLOOKUP(Tablo519[[#This Row],[BOYA KODU]],Tablo14[#All],6,0)," ")</f>
        <v>5.0000000000000001E-3</v>
      </c>
      <c r="M153" s="100">
        <f t="shared" si="18"/>
        <v>44.32</v>
      </c>
      <c r="N153" s="100" t="str">
        <f>IFERROR(VLOOKUP(Tablo519[[#This Row],[ÜRÜN KODU]],YMKODLARI!$A$1:$K$363,8,0)," ")</f>
        <v>HM 001</v>
      </c>
      <c r="O153" s="100" t="str">
        <f>IFERROR(VLOOKUP(Tablo519[[#This Row],[HAMMADDE KODU]],Tablo1[#All],3,0)," ")</f>
        <v>CAPILENE</v>
      </c>
      <c r="P153" s="100" t="str">
        <f>IFERROR(VLOOKUP(Tablo519[[#This Row],[HAMMADDE KODU]],Tablo1[#All],4,0)," ")</f>
        <v>PİNHAS</v>
      </c>
      <c r="Q153" s="100">
        <f>IFERROR(VLOOKUP(Tablo519[[#This Row],[ÜRÜN KODU]],YMKODLARI!$A$1:$K$363,5,0)," ")</f>
        <v>27.7</v>
      </c>
      <c r="R153" s="100">
        <f>IFERROR(VLOOKUP(Tablo519[[#This Row],[ÜRÜN KODU]],YMKODLARI!$A$1:$K$363,6,0)," ")</f>
        <v>27.7</v>
      </c>
      <c r="S153" s="100">
        <f>IFERROR(Tablo519[[#This Row],[YOLLUK HARİÇ BASKI GRAMI]]/Tablo519[[#This Row],[KALIP GÖZ ADEDİ]]," ")</f>
        <v>6.9249999999999998</v>
      </c>
      <c r="T153" s="100">
        <f t="shared" si="19"/>
        <v>0</v>
      </c>
      <c r="U153" s="100">
        <v>1.1000000000000001</v>
      </c>
      <c r="V153" s="100">
        <f t="shared" si="16"/>
        <v>9.9640000000000004</v>
      </c>
      <c r="W153" s="101">
        <f t="shared" si="20"/>
        <v>24.09375</v>
      </c>
      <c r="X153" s="102">
        <f t="shared" si="21"/>
        <v>2.25</v>
      </c>
      <c r="Y153" s="100">
        <f t="shared" si="22"/>
        <v>2.2222222222222223</v>
      </c>
      <c r="Z153" s="100">
        <f t="shared" si="23"/>
        <v>1280</v>
      </c>
    </row>
    <row r="154" spans="1:26">
      <c r="A154" s="100" t="s">
        <v>240</v>
      </c>
      <c r="B154" s="108" t="str">
        <f>IFERROR(VLOOKUP(Tablo519[[#This Row],[ÜRÜN KODU]],YMKODLARI!$A$1:$K$363,2,0)," ")</f>
        <v xml:space="preserve">TİRLE POMPA </v>
      </c>
      <c r="C154" s="99">
        <v>44036</v>
      </c>
      <c r="D154" s="100" t="s">
        <v>33</v>
      </c>
      <c r="E154" s="101">
        <v>0.69791666666666663</v>
      </c>
      <c r="F154" s="101">
        <v>0.74305555555555547</v>
      </c>
      <c r="G154" s="100">
        <f>IFERROR(VLOOKUP(Tablo519[[#This Row],[ÜRÜN KODU]],YMKODLARI!$A$1:$K$363,3,0)," ")</f>
        <v>4</v>
      </c>
      <c r="H154" s="100">
        <f>IFERROR(VLOOKUP(Tablo519[[#This Row],[ÜRÜN KODU]],YMKODLARI!$A$1:$K$363,4,0)," ")</f>
        <v>70</v>
      </c>
      <c r="I154" s="100">
        <v>56</v>
      </c>
      <c r="J154" s="100">
        <f>IFERROR(VLOOKUP(Tablo519[[#This Row],[ÜRÜN KODU]],YMKODLARI!$A$1:$K$363,9,0)," ")</f>
        <v>6192</v>
      </c>
      <c r="K154" s="100" t="str">
        <f>IFERROR(VLOOKUP(Tablo519[[#This Row],[BOYA KODU]],Tablo14[#All],4,0)," ")</f>
        <v>YEŞİL</v>
      </c>
      <c r="L154" s="100">
        <f>IFERROR(VLOOKUP(Tablo519[[#This Row],[BOYA KODU]],Tablo14[#All],6,0)," ")</f>
        <v>5.0000000000000001E-3</v>
      </c>
      <c r="M154" s="100">
        <f t="shared" si="18"/>
        <v>46.872</v>
      </c>
      <c r="N154" s="100" t="str">
        <f>IFERROR(VLOOKUP(Tablo519[[#This Row],[ÜRÜN KODU]],YMKODLARI!$A$1:$K$363,8,0)," ")</f>
        <v>HM 009</v>
      </c>
      <c r="O154" s="100" t="str">
        <f>IFERROR(VLOOKUP(Tablo519[[#This Row],[HAMMADDE KODU]],Tablo1[#All],3,0)," ")</f>
        <v>T.P.E.</v>
      </c>
      <c r="P154" s="100" t="str">
        <f>IFERROR(VLOOKUP(Tablo519[[#This Row],[HAMMADDE KODU]],Tablo1[#All],4,0)," ")</f>
        <v>ELASTRON KİMYA</v>
      </c>
      <c r="Q154" s="100">
        <f>IFERROR(VLOOKUP(Tablo519[[#This Row],[ÜRÜN KODU]],YMKODLARI!$A$1:$K$363,5,0)," ")</f>
        <v>167.4</v>
      </c>
      <c r="R154" s="100">
        <f>IFERROR(VLOOKUP(Tablo519[[#This Row],[ÜRÜN KODU]],YMKODLARI!$A$1:$K$363,6,0)," ")</f>
        <v>162.9</v>
      </c>
      <c r="S154" s="100">
        <f>IFERROR(Tablo519[[#This Row],[YOLLUK HARİÇ BASKI GRAMI]]/Tablo519[[#This Row],[KALIP GÖZ ADEDİ]]," ")</f>
        <v>40.725000000000001</v>
      </c>
      <c r="T154" s="100">
        <f t="shared" si="19"/>
        <v>4.5</v>
      </c>
      <c r="U154" s="100">
        <v>1</v>
      </c>
      <c r="V154" s="100">
        <f t="shared" si="16"/>
        <v>10.122399999999999</v>
      </c>
      <c r="W154" s="101">
        <f t="shared" si="20"/>
        <v>24.045138888888889</v>
      </c>
      <c r="X154" s="102">
        <f t="shared" si="21"/>
        <v>1.0833333333333428</v>
      </c>
      <c r="Y154" s="100">
        <f t="shared" si="22"/>
        <v>1.0888888888888888</v>
      </c>
      <c r="Z154" s="100">
        <f t="shared" si="23"/>
        <v>224</v>
      </c>
    </row>
    <row r="155" spans="1:26">
      <c r="A155" s="100" t="s">
        <v>240</v>
      </c>
      <c r="B155" s="108" t="str">
        <f>IFERROR(VLOOKUP(Tablo519[[#This Row],[ÜRÜN KODU]],YMKODLARI!$A$1:$K$363,2,0)," ")</f>
        <v xml:space="preserve">TİRLE POMPA </v>
      </c>
      <c r="C155" s="99">
        <v>44039</v>
      </c>
      <c r="D155" s="100" t="s">
        <v>33</v>
      </c>
      <c r="E155" s="101">
        <v>0.35069444444444442</v>
      </c>
      <c r="F155" s="101">
        <v>0.59722222222222221</v>
      </c>
      <c r="G155" s="100">
        <f>IFERROR(VLOOKUP(Tablo519[[#This Row],[ÜRÜN KODU]],YMKODLARI!$A$1:$K$363,3,0)," ")</f>
        <v>4</v>
      </c>
      <c r="H155" s="100">
        <f>IFERROR(VLOOKUP(Tablo519[[#This Row],[ÜRÜN KODU]],YMKODLARI!$A$1:$K$363,4,0)," ")</f>
        <v>70</v>
      </c>
      <c r="I155" s="100">
        <v>247</v>
      </c>
      <c r="J155" s="100">
        <f>IFERROR(VLOOKUP(Tablo519[[#This Row],[ÜRÜN KODU]],YMKODLARI!$A$1:$K$363,9,0)," ")</f>
        <v>6192</v>
      </c>
      <c r="K155" s="100" t="str">
        <f>IFERROR(VLOOKUP(Tablo519[[#This Row],[BOYA KODU]],Tablo14[#All],4,0)," ")</f>
        <v>YEŞİL</v>
      </c>
      <c r="L155" s="100">
        <f>IFERROR(VLOOKUP(Tablo519[[#This Row],[BOYA KODU]],Tablo14[#All],6,0)," ")</f>
        <v>5.0000000000000001E-3</v>
      </c>
      <c r="M155" s="100">
        <f t="shared" si="18"/>
        <v>206.73900000000003</v>
      </c>
      <c r="N155" s="100" t="str">
        <f>IFERROR(VLOOKUP(Tablo519[[#This Row],[ÜRÜN KODU]],YMKODLARI!$A$1:$K$363,8,0)," ")</f>
        <v>HM 009</v>
      </c>
      <c r="O155" s="100" t="str">
        <f>IFERROR(VLOOKUP(Tablo519[[#This Row],[HAMMADDE KODU]],Tablo1[#All],3,0)," ")</f>
        <v>T.P.E.</v>
      </c>
      <c r="P155" s="100" t="str">
        <f>IFERROR(VLOOKUP(Tablo519[[#This Row],[HAMMADDE KODU]],Tablo1[#All],4,0)," ")</f>
        <v>ELASTRON KİMYA</v>
      </c>
      <c r="Q155" s="100">
        <f>IFERROR(VLOOKUP(Tablo519[[#This Row],[ÜRÜN KODU]],YMKODLARI!$A$1:$K$363,5,0)," ")</f>
        <v>167.4</v>
      </c>
      <c r="R155" s="100">
        <f>IFERROR(VLOOKUP(Tablo519[[#This Row],[ÜRÜN KODU]],YMKODLARI!$A$1:$K$363,6,0)," ")</f>
        <v>162.9</v>
      </c>
      <c r="S155" s="100">
        <f>IFERROR(Tablo519[[#This Row],[YOLLUK HARİÇ BASKI GRAMI]]/Tablo519[[#This Row],[KALIP GÖZ ADEDİ]]," ")</f>
        <v>40.725000000000001</v>
      </c>
      <c r="T155" s="100">
        <f t="shared" si="19"/>
        <v>4.5</v>
      </c>
      <c r="U155" s="100">
        <v>2.2000000000000002</v>
      </c>
      <c r="V155" s="100">
        <f t="shared" si="16"/>
        <v>42.436300000000003</v>
      </c>
      <c r="W155" s="101">
        <f t="shared" si="20"/>
        <v>24.246527777777779</v>
      </c>
      <c r="X155" s="102">
        <f t="shared" si="21"/>
        <v>5.9166666666666856</v>
      </c>
      <c r="Y155" s="100">
        <f t="shared" si="22"/>
        <v>4.802777777777778</v>
      </c>
      <c r="Z155" s="100">
        <f t="shared" si="23"/>
        <v>988</v>
      </c>
    </row>
    <row r="156" spans="1:26">
      <c r="A156" s="100" t="s">
        <v>240</v>
      </c>
      <c r="B156" s="108" t="str">
        <f>IFERROR(VLOOKUP(Tablo519[[#This Row],[ÜRÜN KODU]],YMKODLARI!$A$1:$K$363,2,0)," ")</f>
        <v xml:space="preserve">TİRLE POMPA </v>
      </c>
      <c r="C156" s="99">
        <v>44040</v>
      </c>
      <c r="D156" s="100" t="s">
        <v>33</v>
      </c>
      <c r="E156" s="101">
        <v>0.33333333333333331</v>
      </c>
      <c r="F156" s="101">
        <v>0.36458333333333331</v>
      </c>
      <c r="G156" s="100">
        <f>IFERROR(VLOOKUP(Tablo519[[#This Row],[ÜRÜN KODU]],YMKODLARI!$A$1:$K$363,3,0)," ")</f>
        <v>4</v>
      </c>
      <c r="H156" s="100">
        <f>IFERROR(VLOOKUP(Tablo519[[#This Row],[ÜRÜN KODU]],YMKODLARI!$A$1:$K$363,4,0)," ")</f>
        <v>70</v>
      </c>
      <c r="I156" s="100">
        <v>10</v>
      </c>
      <c r="J156" s="100">
        <f>IFERROR(VLOOKUP(Tablo519[[#This Row],[ÜRÜN KODU]],YMKODLARI!$A$1:$K$363,9,0)," ")</f>
        <v>6192</v>
      </c>
      <c r="K156" s="100" t="str">
        <f>IFERROR(VLOOKUP(Tablo519[[#This Row],[BOYA KODU]],Tablo14[#All],4,0)," ")</f>
        <v>YEŞİL</v>
      </c>
      <c r="L156" s="100">
        <f>IFERROR(VLOOKUP(Tablo519[[#This Row],[BOYA KODU]],Tablo14[#All],6,0)," ")</f>
        <v>5.0000000000000001E-3</v>
      </c>
      <c r="M156" s="100">
        <f t="shared" si="18"/>
        <v>8.370000000000001</v>
      </c>
      <c r="N156" s="100" t="str">
        <f>IFERROR(VLOOKUP(Tablo519[[#This Row],[ÜRÜN KODU]],YMKODLARI!$A$1:$K$363,8,0)," ")</f>
        <v>HM 009</v>
      </c>
      <c r="O156" s="100" t="str">
        <f>IFERROR(VLOOKUP(Tablo519[[#This Row],[HAMMADDE KODU]],Tablo1[#All],3,0)," ")</f>
        <v>T.P.E.</v>
      </c>
      <c r="P156" s="100" t="str">
        <f>IFERROR(VLOOKUP(Tablo519[[#This Row],[HAMMADDE KODU]],Tablo1[#All],4,0)," ")</f>
        <v>ELASTRON KİMYA</v>
      </c>
      <c r="Q156" s="100">
        <f>IFERROR(VLOOKUP(Tablo519[[#This Row],[ÜRÜN KODU]],YMKODLARI!$A$1:$K$363,5,0)," ")</f>
        <v>167.4</v>
      </c>
      <c r="R156" s="100">
        <f>IFERROR(VLOOKUP(Tablo519[[#This Row],[ÜRÜN KODU]],YMKODLARI!$A$1:$K$363,6,0)," ")</f>
        <v>162.9</v>
      </c>
      <c r="S156" s="100">
        <f>IFERROR(Tablo519[[#This Row],[YOLLUK HARİÇ BASKI GRAMI]]/Tablo519[[#This Row],[KALIP GÖZ ADEDİ]]," ")</f>
        <v>40.725000000000001</v>
      </c>
      <c r="T156" s="100">
        <f t="shared" si="19"/>
        <v>4.5</v>
      </c>
      <c r="U156" s="100"/>
      <c r="V156" s="100">
        <f t="shared" si="16"/>
        <v>1.629</v>
      </c>
      <c r="W156" s="101">
        <f t="shared" si="20"/>
        <v>24.03125</v>
      </c>
      <c r="X156" s="102">
        <f t="shared" si="21"/>
        <v>0.75</v>
      </c>
      <c r="Y156" s="100">
        <f t="shared" si="22"/>
        <v>0.19444444444444445</v>
      </c>
      <c r="Z156" s="100">
        <f t="shared" si="23"/>
        <v>40</v>
      </c>
    </row>
    <row r="157" spans="1:26">
      <c r="A157" s="100" t="s">
        <v>240</v>
      </c>
      <c r="B157" s="108" t="str">
        <f>IFERROR(VLOOKUP(Tablo519[[#This Row],[ÜRÜN KODU]],YMKODLARI!$A$1:$K$363,2,0)," ")</f>
        <v xml:space="preserve">TİRLE POMPA </v>
      </c>
      <c r="C157" s="99">
        <v>44041</v>
      </c>
      <c r="D157" s="100" t="s">
        <v>33</v>
      </c>
      <c r="E157" s="101">
        <v>0.33333333333333331</v>
      </c>
      <c r="F157" s="101">
        <v>0.72222222222222221</v>
      </c>
      <c r="G157" s="100">
        <f>IFERROR(VLOOKUP(Tablo519[[#This Row],[ÜRÜN KODU]],YMKODLARI!$A$1:$K$363,3,0)," ")</f>
        <v>4</v>
      </c>
      <c r="H157" s="100">
        <f>IFERROR(VLOOKUP(Tablo519[[#This Row],[ÜRÜN KODU]],YMKODLARI!$A$1:$K$363,4,0)," ")</f>
        <v>70</v>
      </c>
      <c r="I157" s="100">
        <v>369</v>
      </c>
      <c r="J157" s="100">
        <f>IFERROR(VLOOKUP(Tablo519[[#This Row],[ÜRÜN KODU]],YMKODLARI!$A$1:$K$363,9,0)," ")</f>
        <v>6192</v>
      </c>
      <c r="K157" s="100" t="str">
        <f>IFERROR(VLOOKUP(Tablo519[[#This Row],[BOYA KODU]],Tablo14[#All],4,0)," ")</f>
        <v>YEŞİL</v>
      </c>
      <c r="L157" s="100">
        <f>IFERROR(VLOOKUP(Tablo519[[#This Row],[BOYA KODU]],Tablo14[#All],6,0)," ")</f>
        <v>5.0000000000000001E-3</v>
      </c>
      <c r="M157" s="100">
        <f t="shared" si="18"/>
        <v>308.85300000000001</v>
      </c>
      <c r="N157" s="100" t="str">
        <f>IFERROR(VLOOKUP(Tablo519[[#This Row],[ÜRÜN KODU]],YMKODLARI!$A$1:$K$363,8,0)," ")</f>
        <v>HM 009</v>
      </c>
      <c r="O157" s="100" t="str">
        <f>IFERROR(VLOOKUP(Tablo519[[#This Row],[HAMMADDE KODU]],Tablo1[#All],3,0)," ")</f>
        <v>T.P.E.</v>
      </c>
      <c r="P157" s="100" t="str">
        <f>IFERROR(VLOOKUP(Tablo519[[#This Row],[HAMMADDE KODU]],Tablo1[#All],4,0)," ")</f>
        <v>ELASTRON KİMYA</v>
      </c>
      <c r="Q157" s="100">
        <f>IFERROR(VLOOKUP(Tablo519[[#This Row],[ÜRÜN KODU]],YMKODLARI!$A$1:$K$363,5,0)," ")</f>
        <v>167.4</v>
      </c>
      <c r="R157" s="100">
        <f>IFERROR(VLOOKUP(Tablo519[[#This Row],[ÜRÜN KODU]],YMKODLARI!$A$1:$K$363,6,0)," ")</f>
        <v>162.9</v>
      </c>
      <c r="S157" s="100">
        <f>IFERROR(Tablo519[[#This Row],[YOLLUK HARİÇ BASKI GRAMI]]/Tablo519[[#This Row],[KALIP GÖZ ADEDİ]]," ")</f>
        <v>40.725000000000001</v>
      </c>
      <c r="T157" s="100">
        <f t="shared" si="19"/>
        <v>4.5</v>
      </c>
      <c r="U157" s="100">
        <v>3.7</v>
      </c>
      <c r="V157" s="100">
        <f t="shared" si="16"/>
        <v>63.810099999999998</v>
      </c>
      <c r="W157" s="101">
        <f t="shared" si="20"/>
        <v>24.388888888888889</v>
      </c>
      <c r="X157" s="102">
        <f t="shared" si="21"/>
        <v>9.3333333333333428</v>
      </c>
      <c r="Y157" s="100">
        <f t="shared" si="22"/>
        <v>7.1749999999999998</v>
      </c>
      <c r="Z157" s="100">
        <f t="shared" si="23"/>
        <v>1476</v>
      </c>
    </row>
    <row r="158" spans="1:26">
      <c r="A158" s="100" t="s">
        <v>240</v>
      </c>
      <c r="B158" s="108" t="str">
        <f>IFERROR(VLOOKUP(Tablo519[[#This Row],[ÜRÜN KODU]],YMKODLARI!$A$1:$K$363,2,0)," ")</f>
        <v xml:space="preserve">TİRLE POMPA </v>
      </c>
      <c r="C158" s="99">
        <v>44047</v>
      </c>
      <c r="D158" s="100" t="s">
        <v>33</v>
      </c>
      <c r="E158" s="101">
        <v>0.34027777777777773</v>
      </c>
      <c r="F158" s="101">
        <v>0.75</v>
      </c>
      <c r="G158" s="100">
        <f>IFERROR(VLOOKUP(Tablo519[[#This Row],[ÜRÜN KODU]],YMKODLARI!$A$1:$K$363,3,0)," ")</f>
        <v>4</v>
      </c>
      <c r="H158" s="100">
        <f>IFERROR(VLOOKUP(Tablo519[[#This Row],[ÜRÜN KODU]],YMKODLARI!$A$1:$K$363,4,0)," ")</f>
        <v>70</v>
      </c>
      <c r="I158" s="100">
        <v>297</v>
      </c>
      <c r="J158" s="100">
        <f>IFERROR(VLOOKUP(Tablo519[[#This Row],[ÜRÜN KODU]],YMKODLARI!$A$1:$K$363,9,0)," ")</f>
        <v>6192</v>
      </c>
      <c r="K158" s="100" t="str">
        <f>IFERROR(VLOOKUP(Tablo519[[#This Row],[BOYA KODU]],Tablo14[#All],4,0)," ")</f>
        <v>YEŞİL</v>
      </c>
      <c r="L158" s="100">
        <f>IFERROR(VLOOKUP(Tablo519[[#This Row],[BOYA KODU]],Tablo14[#All],6,0)," ")</f>
        <v>5.0000000000000001E-3</v>
      </c>
      <c r="M158" s="100">
        <f t="shared" si="18"/>
        <v>248.58900000000003</v>
      </c>
      <c r="N158" s="100" t="str">
        <f>IFERROR(VLOOKUP(Tablo519[[#This Row],[ÜRÜN KODU]],YMKODLARI!$A$1:$K$363,8,0)," ")</f>
        <v>HM 009</v>
      </c>
      <c r="O158" s="100" t="str">
        <f>IFERROR(VLOOKUP(Tablo519[[#This Row],[HAMMADDE KODU]],Tablo1[#All],3,0)," ")</f>
        <v>T.P.E.</v>
      </c>
      <c r="P158" s="100" t="str">
        <f>IFERROR(VLOOKUP(Tablo519[[#This Row],[HAMMADDE KODU]],Tablo1[#All],4,0)," ")</f>
        <v>ELASTRON KİMYA</v>
      </c>
      <c r="Q158" s="100">
        <f>IFERROR(VLOOKUP(Tablo519[[#This Row],[ÜRÜN KODU]],YMKODLARI!$A$1:$K$363,5,0)," ")</f>
        <v>167.4</v>
      </c>
      <c r="R158" s="100">
        <f>IFERROR(VLOOKUP(Tablo519[[#This Row],[ÜRÜN KODU]],YMKODLARI!$A$1:$K$363,6,0)," ")</f>
        <v>162.9</v>
      </c>
      <c r="S158" s="100">
        <f>IFERROR(Tablo519[[#This Row],[YOLLUK HARİÇ BASKI GRAMI]]/Tablo519[[#This Row],[KALIP GÖZ ADEDİ]]," ")</f>
        <v>40.725000000000001</v>
      </c>
      <c r="T158" s="100">
        <f t="shared" si="19"/>
        <v>4.5</v>
      </c>
      <c r="U158" s="100">
        <v>3.3</v>
      </c>
      <c r="V158" s="100">
        <f t="shared" si="16"/>
        <v>51.6813</v>
      </c>
      <c r="W158" s="101">
        <f t="shared" si="20"/>
        <v>24.409722222222221</v>
      </c>
      <c r="X158" s="102">
        <f t="shared" si="21"/>
        <v>9.8333333333333144</v>
      </c>
      <c r="Y158" s="100">
        <f t="shared" si="22"/>
        <v>5.7750000000000004</v>
      </c>
      <c r="Z158" s="100">
        <f t="shared" si="23"/>
        <v>1188</v>
      </c>
    </row>
    <row r="159" spans="1:26">
      <c r="A159" s="100" t="s">
        <v>241</v>
      </c>
      <c r="B159" s="108" t="str">
        <f>IFERROR(VLOOKUP(Tablo519[[#This Row],[ÜRÜN KODU]],YMKODLARI!$A$1:$K$363,2,0)," ")</f>
        <v>GENİŞ AĞIZ BİBERON KULP</v>
      </c>
      <c r="C159" s="99">
        <v>44048</v>
      </c>
      <c r="D159" s="100" t="s">
        <v>33</v>
      </c>
      <c r="E159" s="101">
        <v>0.60763888888888895</v>
      </c>
      <c r="F159" s="101">
        <v>0.75</v>
      </c>
      <c r="G159" s="100">
        <f>IFERROR(VLOOKUP(Tablo519[[#This Row],[ÜRÜN KODU]],YMKODLARI!$A$1:$K$363,3,0)," ")</f>
        <v>2</v>
      </c>
      <c r="H159" s="100">
        <f>IFERROR(VLOOKUP(Tablo519[[#This Row],[ÜRÜN KODU]],YMKODLARI!$A$1:$K$363,4,0)," ")</f>
        <v>23</v>
      </c>
      <c r="I159" s="100">
        <v>416</v>
      </c>
      <c r="J159" s="100">
        <f>IFERROR(VLOOKUP(Tablo519[[#This Row],[ÜRÜN KODU]],YMKODLARI!$A$1:$K$363,9,0)," ")</f>
        <v>3041</v>
      </c>
      <c r="K159" s="100" t="str">
        <f>IFERROR(VLOOKUP(Tablo519[[#This Row],[BOYA KODU]],Tablo14[#All],4,0)," ")</f>
        <v>KIRMIZI</v>
      </c>
      <c r="L159" s="100">
        <f>IFERROR(VLOOKUP(Tablo519[[#This Row],[BOYA KODU]],Tablo14[#All],6,0)," ")</f>
        <v>5.0000000000000001E-3</v>
      </c>
      <c r="M159" s="100">
        <f t="shared" si="18"/>
        <v>34.944000000000003</v>
      </c>
      <c r="N159" s="100" t="str">
        <f>IFERROR(VLOOKUP(Tablo519[[#This Row],[ÜRÜN KODU]],YMKODLARI!$A$1:$K$363,8,0)," ")</f>
        <v>HM 001</v>
      </c>
      <c r="O159" s="100" t="str">
        <f>IFERROR(VLOOKUP(Tablo519[[#This Row],[HAMMADDE KODU]],Tablo1[#All],3,0)," ")</f>
        <v>CAPILENE</v>
      </c>
      <c r="P159" s="100" t="str">
        <f>IFERROR(VLOOKUP(Tablo519[[#This Row],[HAMMADDE KODU]],Tablo1[#All],4,0)," ")</f>
        <v>PİNHAS</v>
      </c>
      <c r="Q159" s="100">
        <f>IFERROR(VLOOKUP(Tablo519[[#This Row],[ÜRÜN KODU]],YMKODLARI!$A$1:$K$363,5,0)," ")</f>
        <v>16.8</v>
      </c>
      <c r="R159" s="100">
        <f>IFERROR(VLOOKUP(Tablo519[[#This Row],[ÜRÜN KODU]],YMKODLARI!$A$1:$K$363,6,0)," ")</f>
        <v>16</v>
      </c>
      <c r="S159" s="100">
        <f>IFERROR(Tablo519[[#This Row],[YOLLUK HARİÇ BASKI GRAMI]]/Tablo519[[#This Row],[KALIP GÖZ ADEDİ]]," ")</f>
        <v>8</v>
      </c>
      <c r="T159" s="100">
        <f t="shared" si="19"/>
        <v>0.80000000000000071</v>
      </c>
      <c r="U159" s="100"/>
      <c r="V159" s="100">
        <f t="shared" si="16"/>
        <v>6.6559999999999997</v>
      </c>
      <c r="W159" s="101">
        <f t="shared" si="20"/>
        <v>24.142361111111111</v>
      </c>
      <c r="X159" s="102">
        <f t="shared" si="21"/>
        <v>3.4166666666666572</v>
      </c>
      <c r="Y159" s="100">
        <f t="shared" si="22"/>
        <v>2.6577777777777776</v>
      </c>
      <c r="Z159" s="100">
        <f t="shared" si="23"/>
        <v>832</v>
      </c>
    </row>
    <row r="160" spans="1:26">
      <c r="A160" s="100" t="s">
        <v>241</v>
      </c>
      <c r="B160" s="108" t="str">
        <f>IFERROR(VLOOKUP(Tablo519[[#This Row],[ÜRÜN KODU]],YMKODLARI!$A$1:$K$363,2,0)," ")</f>
        <v>GENİŞ AĞIZ BİBERON KULP</v>
      </c>
      <c r="C160" s="99">
        <v>44049</v>
      </c>
      <c r="D160" s="100" t="s">
        <v>33</v>
      </c>
      <c r="E160" s="101">
        <v>0.33333333333333331</v>
      </c>
      <c r="F160" s="101">
        <v>0.42708333333333331</v>
      </c>
      <c r="G160" s="100">
        <f>IFERROR(VLOOKUP(Tablo519[[#This Row],[ÜRÜN KODU]],YMKODLARI!$A$1:$K$363,3,0)," ")</f>
        <v>2</v>
      </c>
      <c r="H160" s="100">
        <f>IFERROR(VLOOKUP(Tablo519[[#This Row],[ÜRÜN KODU]],YMKODLARI!$A$1:$K$363,4,0)," ")</f>
        <v>23</v>
      </c>
      <c r="I160" s="100">
        <v>225</v>
      </c>
      <c r="J160" s="100">
        <f>IFERROR(VLOOKUP(Tablo519[[#This Row],[ÜRÜN KODU]],YMKODLARI!$A$1:$K$363,9,0)," ")</f>
        <v>3041</v>
      </c>
      <c r="K160" s="100" t="str">
        <f>IFERROR(VLOOKUP(Tablo519[[#This Row],[BOYA KODU]],Tablo14[#All],4,0)," ")</f>
        <v>KIRMIZI</v>
      </c>
      <c r="L160" s="100">
        <f>IFERROR(VLOOKUP(Tablo519[[#This Row],[BOYA KODU]],Tablo14[#All],6,0)," ")</f>
        <v>5.0000000000000001E-3</v>
      </c>
      <c r="M160" s="100">
        <f t="shared" si="18"/>
        <v>18.900000000000002</v>
      </c>
      <c r="N160" s="100" t="str">
        <f>IFERROR(VLOOKUP(Tablo519[[#This Row],[ÜRÜN KODU]],YMKODLARI!$A$1:$K$363,8,0)," ")</f>
        <v>HM 001</v>
      </c>
      <c r="O160" s="100" t="str">
        <f>IFERROR(VLOOKUP(Tablo519[[#This Row],[HAMMADDE KODU]],Tablo1[#All],3,0)," ")</f>
        <v>CAPILENE</v>
      </c>
      <c r="P160" s="100" t="str">
        <f>IFERROR(VLOOKUP(Tablo519[[#This Row],[HAMMADDE KODU]],Tablo1[#All],4,0)," ")</f>
        <v>PİNHAS</v>
      </c>
      <c r="Q160" s="100">
        <f>IFERROR(VLOOKUP(Tablo519[[#This Row],[ÜRÜN KODU]],YMKODLARI!$A$1:$K$363,5,0)," ")</f>
        <v>16.8</v>
      </c>
      <c r="R160" s="100">
        <f>IFERROR(VLOOKUP(Tablo519[[#This Row],[ÜRÜN KODU]],YMKODLARI!$A$1:$K$363,6,0)," ")</f>
        <v>16</v>
      </c>
      <c r="S160" s="100">
        <f>IFERROR(Tablo519[[#This Row],[YOLLUK HARİÇ BASKI GRAMI]]/Tablo519[[#This Row],[KALIP GÖZ ADEDİ]]," ")</f>
        <v>8</v>
      </c>
      <c r="T160" s="100">
        <f t="shared" si="19"/>
        <v>0.80000000000000071</v>
      </c>
      <c r="U160" s="100">
        <v>2</v>
      </c>
      <c r="V160" s="100">
        <f t="shared" si="16"/>
        <v>5.6</v>
      </c>
      <c r="W160" s="101">
        <f t="shared" si="20"/>
        <v>24.09375</v>
      </c>
      <c r="X160" s="102">
        <f t="shared" si="21"/>
        <v>2.25</v>
      </c>
      <c r="Y160" s="100">
        <f t="shared" si="22"/>
        <v>1.4375</v>
      </c>
      <c r="Z160" s="100">
        <f t="shared" si="23"/>
        <v>450</v>
      </c>
    </row>
    <row r="161" spans="1:26">
      <c r="A161" s="100" t="s">
        <v>219</v>
      </c>
      <c r="B161" s="108" t="str">
        <f>IFERROR(VLOOKUP(Tablo519[[#This Row],[ÜRÜN KODU]],YMKODLARI!$A$1:$K$363,2,0)," ")</f>
        <v>GENİŞ AĞIZ BİBERON KULP</v>
      </c>
      <c r="C161" s="99">
        <v>44049</v>
      </c>
      <c r="D161" s="100" t="s">
        <v>33</v>
      </c>
      <c r="E161" s="101">
        <v>0.42708333333333331</v>
      </c>
      <c r="F161" s="101">
        <v>0.60416666666666663</v>
      </c>
      <c r="G161" s="100">
        <f>IFERROR(VLOOKUP(Tablo519[[#This Row],[ÜRÜN KODU]],YMKODLARI!$A$1:$K$363,3,0)," ")</f>
        <v>2</v>
      </c>
      <c r="H161" s="100">
        <f>IFERROR(VLOOKUP(Tablo519[[#This Row],[ÜRÜN KODU]],YMKODLARI!$A$1:$K$363,4,0)," ")</f>
        <v>23</v>
      </c>
      <c r="I161" s="100">
        <v>576</v>
      </c>
      <c r="J161" s="100">
        <f>IFERROR(VLOOKUP(Tablo519[[#This Row],[ÜRÜN KODU]],YMKODLARI!$A$1:$K$363,9,0)," ")</f>
        <v>3409</v>
      </c>
      <c r="K161" s="100" t="str">
        <f>IFERROR(VLOOKUP(Tablo519[[#This Row],[BOYA KODU]],Tablo14[#All],4,0)," ")</f>
        <v>PEMBE</v>
      </c>
      <c r="L161" s="100">
        <f>IFERROR(VLOOKUP(Tablo519[[#This Row],[BOYA KODU]],Tablo14[#All],6,0)," ")</f>
        <v>5.0000000000000001E-3</v>
      </c>
      <c r="M161" s="100">
        <f t="shared" si="18"/>
        <v>48.384000000000007</v>
      </c>
      <c r="N161" s="100" t="str">
        <f>IFERROR(VLOOKUP(Tablo519[[#This Row],[ÜRÜN KODU]],YMKODLARI!$A$1:$K$363,8,0)," ")</f>
        <v>HM 001</v>
      </c>
      <c r="O161" s="100" t="str">
        <f>IFERROR(VLOOKUP(Tablo519[[#This Row],[HAMMADDE KODU]],Tablo1[#All],3,0)," ")</f>
        <v>CAPILENE</v>
      </c>
      <c r="P161" s="100" t="str">
        <f>IFERROR(VLOOKUP(Tablo519[[#This Row],[HAMMADDE KODU]],Tablo1[#All],4,0)," ")</f>
        <v>PİNHAS</v>
      </c>
      <c r="Q161" s="100">
        <f>IFERROR(VLOOKUP(Tablo519[[#This Row],[ÜRÜN KODU]],YMKODLARI!$A$1:$K$363,5,0)," ")</f>
        <v>16.8</v>
      </c>
      <c r="R161" s="100">
        <f>IFERROR(VLOOKUP(Tablo519[[#This Row],[ÜRÜN KODU]],YMKODLARI!$A$1:$K$363,6,0)," ")</f>
        <v>16</v>
      </c>
      <c r="S161" s="100">
        <f>IFERROR(Tablo519[[#This Row],[YOLLUK HARİÇ BASKI GRAMI]]/Tablo519[[#This Row],[KALIP GÖZ ADEDİ]]," ")</f>
        <v>8</v>
      </c>
      <c r="T161" s="100">
        <f t="shared" si="19"/>
        <v>0.80000000000000071</v>
      </c>
      <c r="U161" s="100"/>
      <c r="V161" s="100">
        <f t="shared" si="16"/>
        <v>9.2159999999999993</v>
      </c>
      <c r="W161" s="101">
        <f t="shared" si="20"/>
        <v>24.177083333333332</v>
      </c>
      <c r="X161" s="102">
        <f t="shared" si="21"/>
        <v>4.2499999999999716</v>
      </c>
      <c r="Y161" s="100">
        <f t="shared" si="22"/>
        <v>3.68</v>
      </c>
      <c r="Z161" s="100">
        <f t="shared" si="23"/>
        <v>1152</v>
      </c>
    </row>
    <row r="162" spans="1:26">
      <c r="A162" s="100" t="s">
        <v>242</v>
      </c>
      <c r="B162" s="108" t="str">
        <f>IFERROR(VLOOKUP(Tablo519[[#This Row],[ÜRÜN KODU]],YMKODLARI!$A$1:$K$363,2,0)," ")</f>
        <v>GENİŞ AĞIZ BİBERON KULP</v>
      </c>
      <c r="C162" s="99">
        <v>44049</v>
      </c>
      <c r="D162" s="100" t="s">
        <v>33</v>
      </c>
      <c r="E162" s="101">
        <v>0.60416666666666663</v>
      </c>
      <c r="F162" s="101">
        <v>0.75</v>
      </c>
      <c r="G162" s="100">
        <f>IFERROR(VLOOKUP(Tablo519[[#This Row],[ÜRÜN KODU]],YMKODLARI!$A$1:$K$363,3,0)," ")</f>
        <v>2</v>
      </c>
      <c r="H162" s="100">
        <f>IFERROR(VLOOKUP(Tablo519[[#This Row],[ÜRÜN KODU]],YMKODLARI!$A$1:$K$363,4,0)," ")</f>
        <v>23</v>
      </c>
      <c r="I162" s="100">
        <v>555</v>
      </c>
      <c r="J162" s="100">
        <f>IFERROR(VLOOKUP(Tablo519[[#This Row],[ÜRÜN KODU]],YMKODLARI!$A$1:$K$363,9,0)," ")</f>
        <v>5287</v>
      </c>
      <c r="K162" s="100" t="str">
        <f>IFERROR(VLOOKUP(Tablo519[[#This Row],[BOYA KODU]],Tablo14[#All],4,0)," ")</f>
        <v>MAVİ</v>
      </c>
      <c r="L162" s="100">
        <f>IFERROR(VLOOKUP(Tablo519[[#This Row],[BOYA KODU]],Tablo14[#All],6,0)," ")</f>
        <v>5.0000000000000001E-3</v>
      </c>
      <c r="M162" s="100">
        <f t="shared" si="18"/>
        <v>46.62</v>
      </c>
      <c r="N162" s="100" t="str">
        <f>IFERROR(VLOOKUP(Tablo519[[#This Row],[ÜRÜN KODU]],YMKODLARI!$A$1:$K$363,8,0)," ")</f>
        <v>HM 001</v>
      </c>
      <c r="O162" s="100" t="str">
        <f>IFERROR(VLOOKUP(Tablo519[[#This Row],[HAMMADDE KODU]],Tablo1[#All],3,0)," ")</f>
        <v>CAPILENE</v>
      </c>
      <c r="P162" s="100" t="str">
        <f>IFERROR(VLOOKUP(Tablo519[[#This Row],[HAMMADDE KODU]],Tablo1[#All],4,0)," ")</f>
        <v>PİNHAS</v>
      </c>
      <c r="Q162" s="100">
        <f>IFERROR(VLOOKUP(Tablo519[[#This Row],[ÜRÜN KODU]],YMKODLARI!$A$1:$K$363,5,0)," ")</f>
        <v>16.8</v>
      </c>
      <c r="R162" s="100">
        <f>IFERROR(VLOOKUP(Tablo519[[#This Row],[ÜRÜN KODU]],YMKODLARI!$A$1:$K$363,6,0)," ")</f>
        <v>16</v>
      </c>
      <c r="S162" s="100">
        <f>IFERROR(Tablo519[[#This Row],[YOLLUK HARİÇ BASKI GRAMI]]/Tablo519[[#This Row],[KALIP GÖZ ADEDİ]]," ")</f>
        <v>8</v>
      </c>
      <c r="T162" s="100">
        <f t="shared" si="19"/>
        <v>0.80000000000000071</v>
      </c>
      <c r="U162" s="100">
        <v>1.1000000000000001</v>
      </c>
      <c r="V162" s="100">
        <f t="shared" si="16"/>
        <v>9.98</v>
      </c>
      <c r="W162" s="101">
        <f t="shared" si="20"/>
        <v>24.145833333333332</v>
      </c>
      <c r="X162" s="102">
        <f t="shared" si="21"/>
        <v>3.4999999999999716</v>
      </c>
      <c r="Y162" s="100">
        <f t="shared" si="22"/>
        <v>3.5458333333333334</v>
      </c>
      <c r="Z162" s="100">
        <f t="shared" si="23"/>
        <v>1110</v>
      </c>
    </row>
    <row r="163" spans="1:26">
      <c r="A163" s="100" t="s">
        <v>242</v>
      </c>
      <c r="B163" s="108" t="str">
        <f>IFERROR(VLOOKUP(Tablo519[[#This Row],[ÜRÜN KODU]],YMKODLARI!$A$1:$K$363,2,0)," ")</f>
        <v>GENİŞ AĞIZ BİBERON KULP</v>
      </c>
      <c r="C163" s="99">
        <v>44050</v>
      </c>
      <c r="D163" s="100" t="s">
        <v>33</v>
      </c>
      <c r="E163" s="101">
        <v>0.34375</v>
      </c>
      <c r="F163" s="101">
        <v>0.47916666666666669</v>
      </c>
      <c r="G163" s="100">
        <f>IFERROR(VLOOKUP(Tablo519[[#This Row],[ÜRÜN KODU]],YMKODLARI!$A$1:$K$363,3,0)," ")</f>
        <v>2</v>
      </c>
      <c r="H163" s="100">
        <f>IFERROR(VLOOKUP(Tablo519[[#This Row],[ÜRÜN KODU]],YMKODLARI!$A$1:$K$363,4,0)," ")</f>
        <v>23</v>
      </c>
      <c r="I163" s="100">
        <v>515</v>
      </c>
      <c r="J163" s="100">
        <f>IFERROR(VLOOKUP(Tablo519[[#This Row],[ÜRÜN KODU]],YMKODLARI!$A$1:$K$363,9,0)," ")</f>
        <v>5287</v>
      </c>
      <c r="K163" s="100" t="str">
        <f>IFERROR(VLOOKUP(Tablo519[[#This Row],[BOYA KODU]],Tablo14[#All],4,0)," ")</f>
        <v>MAVİ</v>
      </c>
      <c r="L163" s="100">
        <f>IFERROR(VLOOKUP(Tablo519[[#This Row],[BOYA KODU]],Tablo14[#All],6,0)," ")</f>
        <v>5.0000000000000001E-3</v>
      </c>
      <c r="M163" s="100">
        <f t="shared" si="18"/>
        <v>43.26</v>
      </c>
      <c r="N163" s="100" t="str">
        <f>IFERROR(VLOOKUP(Tablo519[[#This Row],[ÜRÜN KODU]],YMKODLARI!$A$1:$K$363,8,0)," ")</f>
        <v>HM 001</v>
      </c>
      <c r="O163" s="100" t="str">
        <f>IFERROR(VLOOKUP(Tablo519[[#This Row],[HAMMADDE KODU]],Tablo1[#All],3,0)," ")</f>
        <v>CAPILENE</v>
      </c>
      <c r="P163" s="100" t="str">
        <f>IFERROR(VLOOKUP(Tablo519[[#This Row],[HAMMADDE KODU]],Tablo1[#All],4,0)," ")</f>
        <v>PİNHAS</v>
      </c>
      <c r="Q163" s="100">
        <f>IFERROR(VLOOKUP(Tablo519[[#This Row],[ÜRÜN KODU]],YMKODLARI!$A$1:$K$363,5,0)," ")</f>
        <v>16.8</v>
      </c>
      <c r="R163" s="100">
        <f>IFERROR(VLOOKUP(Tablo519[[#This Row],[ÜRÜN KODU]],YMKODLARI!$A$1:$K$363,6,0)," ")</f>
        <v>16</v>
      </c>
      <c r="S163" s="100">
        <f>IFERROR(Tablo519[[#This Row],[YOLLUK HARİÇ BASKI GRAMI]]/Tablo519[[#This Row],[KALIP GÖZ ADEDİ]]," ")</f>
        <v>8</v>
      </c>
      <c r="T163" s="100">
        <f t="shared" si="19"/>
        <v>0.80000000000000071</v>
      </c>
      <c r="U163" s="100"/>
      <c r="V163" s="100">
        <f t="shared" si="16"/>
        <v>8.24</v>
      </c>
      <c r="W163" s="101">
        <f t="shared" si="20"/>
        <v>24.135416666666668</v>
      </c>
      <c r="X163" s="102">
        <f t="shared" si="21"/>
        <v>3.2500000000000284</v>
      </c>
      <c r="Y163" s="100">
        <f t="shared" si="22"/>
        <v>3.2902777777777779</v>
      </c>
      <c r="Z163" s="100">
        <f t="shared" si="23"/>
        <v>1030</v>
      </c>
    </row>
    <row r="164" spans="1:26">
      <c r="A164" s="100" t="s">
        <v>243</v>
      </c>
      <c r="B164" s="108" t="str">
        <f>IFERROR(VLOOKUP(Tablo519[[#This Row],[ÜRÜN KODU]],YMKODLARI!$A$1:$K$363,2,0)," ")</f>
        <v>GENİŞ AĞIZ BİBERON KULP</v>
      </c>
      <c r="C164" s="99">
        <v>44050</v>
      </c>
      <c r="D164" s="100" t="s">
        <v>33</v>
      </c>
      <c r="E164" s="101">
        <v>0.47916666666666669</v>
      </c>
      <c r="F164" s="101">
        <v>0.59027777777777779</v>
      </c>
      <c r="G164" s="100">
        <f>IFERROR(VLOOKUP(Tablo519[[#This Row],[ÜRÜN KODU]],YMKODLARI!$A$1:$K$363,3,0)," ")</f>
        <v>2</v>
      </c>
      <c r="H164" s="100">
        <f>IFERROR(VLOOKUP(Tablo519[[#This Row],[ÜRÜN KODU]],YMKODLARI!$A$1:$K$363,4,0)," ")</f>
        <v>23</v>
      </c>
      <c r="I164" s="100">
        <v>310</v>
      </c>
      <c r="J164" s="100" t="str">
        <f>IFERROR(VLOOKUP(Tablo519[[#This Row],[ÜRÜN KODU]],YMKODLARI!$A$1:$K$363,9,0)," ")</f>
        <v>9134A</v>
      </c>
      <c r="K164" s="100" t="str">
        <f>IFERROR(VLOOKUP(Tablo519[[#This Row],[BOYA KODU]],Tablo14[#All],4,0)," ")</f>
        <v>BEYAZ</v>
      </c>
      <c r="L164" s="100">
        <f>IFERROR(VLOOKUP(Tablo519[[#This Row],[BOYA KODU]],Tablo14[#All],6,0)," ")</f>
        <v>7.0000000000000001E-3</v>
      </c>
      <c r="M164" s="100">
        <f t="shared" si="18"/>
        <v>36.456000000000003</v>
      </c>
      <c r="N164" s="100" t="str">
        <f>IFERROR(VLOOKUP(Tablo519[[#This Row],[ÜRÜN KODU]],YMKODLARI!$A$1:$K$363,8,0)," ")</f>
        <v>HM 001</v>
      </c>
      <c r="O164" s="100" t="str">
        <f>IFERROR(VLOOKUP(Tablo519[[#This Row],[HAMMADDE KODU]],Tablo1[#All],3,0)," ")</f>
        <v>CAPILENE</v>
      </c>
      <c r="P164" s="100" t="str">
        <f>IFERROR(VLOOKUP(Tablo519[[#This Row],[HAMMADDE KODU]],Tablo1[#All],4,0)," ")</f>
        <v>PİNHAS</v>
      </c>
      <c r="Q164" s="100">
        <f>IFERROR(VLOOKUP(Tablo519[[#This Row],[ÜRÜN KODU]],YMKODLARI!$A$1:$K$363,5,0)," ")</f>
        <v>16.8</v>
      </c>
      <c r="R164" s="100">
        <f>IFERROR(VLOOKUP(Tablo519[[#This Row],[ÜRÜN KODU]],YMKODLARI!$A$1:$K$363,6,0)," ")</f>
        <v>16</v>
      </c>
      <c r="S164" s="100">
        <f>IFERROR(Tablo519[[#This Row],[YOLLUK HARİÇ BASKI GRAMI]]/Tablo519[[#This Row],[KALIP GÖZ ADEDİ]]," ")</f>
        <v>8</v>
      </c>
      <c r="T164" s="100">
        <f t="shared" si="19"/>
        <v>0.80000000000000071</v>
      </c>
      <c r="U164" s="100">
        <v>1.08</v>
      </c>
      <c r="V164" s="100">
        <f t="shared" si="16"/>
        <v>6.04</v>
      </c>
      <c r="W164" s="101">
        <f t="shared" si="20"/>
        <v>24.111111111111111</v>
      </c>
      <c r="X164" s="102">
        <f t="shared" si="21"/>
        <v>2.6666666666666572</v>
      </c>
      <c r="Y164" s="100">
        <f t="shared" si="22"/>
        <v>1.9805555555555556</v>
      </c>
      <c r="Z164" s="100">
        <f t="shared" si="23"/>
        <v>620</v>
      </c>
    </row>
    <row r="165" spans="1:26">
      <c r="A165" s="100" t="s">
        <v>242</v>
      </c>
      <c r="B165" s="108" t="str">
        <f>IFERROR(VLOOKUP(Tablo519[[#This Row],[ÜRÜN KODU]],YMKODLARI!$A$1:$K$363,2,0)," ")</f>
        <v>GENİŞ AĞIZ BİBERON KULP</v>
      </c>
      <c r="C165" s="99">
        <v>44050</v>
      </c>
      <c r="D165" s="100" t="s">
        <v>33</v>
      </c>
      <c r="E165" s="101">
        <v>0.59027777777777779</v>
      </c>
      <c r="F165" s="101">
        <v>0.75</v>
      </c>
      <c r="G165" s="100">
        <f>IFERROR(VLOOKUP(Tablo519[[#This Row],[ÜRÜN KODU]],YMKODLARI!$A$1:$K$363,3,0)," ")</f>
        <v>2</v>
      </c>
      <c r="H165" s="100">
        <f>IFERROR(VLOOKUP(Tablo519[[#This Row],[ÜRÜN KODU]],YMKODLARI!$A$1:$K$363,4,0)," ")</f>
        <v>23</v>
      </c>
      <c r="I165" s="100">
        <v>588</v>
      </c>
      <c r="J165" s="100">
        <f>IFERROR(VLOOKUP(Tablo519[[#This Row],[ÜRÜN KODU]],YMKODLARI!$A$1:$K$363,9,0)," ")</f>
        <v>5287</v>
      </c>
      <c r="K165" s="100" t="str">
        <f>IFERROR(VLOOKUP(Tablo519[[#This Row],[BOYA KODU]],Tablo14[#All],4,0)," ")</f>
        <v>MAVİ</v>
      </c>
      <c r="L165" s="100">
        <f>IFERROR(VLOOKUP(Tablo519[[#This Row],[BOYA KODU]],Tablo14[#All],6,0)," ")</f>
        <v>5.0000000000000001E-3</v>
      </c>
      <c r="M165" s="100">
        <f t="shared" si="18"/>
        <v>49.391999999999996</v>
      </c>
      <c r="N165" s="100" t="str">
        <f>IFERROR(VLOOKUP(Tablo519[[#This Row],[ÜRÜN KODU]],YMKODLARI!$A$1:$K$363,8,0)," ")</f>
        <v>HM 001</v>
      </c>
      <c r="O165" s="100" t="str">
        <f>IFERROR(VLOOKUP(Tablo519[[#This Row],[HAMMADDE KODU]],Tablo1[#All],3,0)," ")</f>
        <v>CAPILENE</v>
      </c>
      <c r="P165" s="100" t="str">
        <f>IFERROR(VLOOKUP(Tablo519[[#This Row],[HAMMADDE KODU]],Tablo1[#All],4,0)," ")</f>
        <v>PİNHAS</v>
      </c>
      <c r="Q165" s="100">
        <f>IFERROR(VLOOKUP(Tablo519[[#This Row],[ÜRÜN KODU]],YMKODLARI!$A$1:$K$363,5,0)," ")</f>
        <v>16.8</v>
      </c>
      <c r="R165" s="100">
        <f>IFERROR(VLOOKUP(Tablo519[[#This Row],[ÜRÜN KODU]],YMKODLARI!$A$1:$K$363,6,0)," ")</f>
        <v>16</v>
      </c>
      <c r="S165" s="100">
        <f>IFERROR(Tablo519[[#This Row],[YOLLUK HARİÇ BASKI GRAMI]]/Tablo519[[#This Row],[KALIP GÖZ ADEDİ]]," ")</f>
        <v>8</v>
      </c>
      <c r="T165" s="100">
        <f t="shared" si="19"/>
        <v>0.80000000000000071</v>
      </c>
      <c r="U165" s="100">
        <v>2</v>
      </c>
      <c r="V165" s="100">
        <f t="shared" si="16"/>
        <v>11.407999999999999</v>
      </c>
      <c r="W165" s="101">
        <f t="shared" si="20"/>
        <v>24.159722222222221</v>
      </c>
      <c r="X165" s="102">
        <f t="shared" si="21"/>
        <v>3.8333333333333144</v>
      </c>
      <c r="Y165" s="100">
        <f t="shared" si="22"/>
        <v>3.7566666666666668</v>
      </c>
      <c r="Z165" s="100">
        <f t="shared" si="23"/>
        <v>1176</v>
      </c>
    </row>
    <row r="166" spans="1:26">
      <c r="A166" s="100" t="s">
        <v>242</v>
      </c>
      <c r="B166" s="108" t="str">
        <f>IFERROR(VLOOKUP(Tablo519[[#This Row],[ÜRÜN KODU]],YMKODLARI!$A$1:$K$363,2,0)," ")</f>
        <v>GENİŞ AĞIZ BİBERON KULP</v>
      </c>
      <c r="C166" s="99">
        <v>44053</v>
      </c>
      <c r="D166" s="100" t="s">
        <v>37</v>
      </c>
      <c r="E166" s="101">
        <v>0.33333333333333331</v>
      </c>
      <c r="F166" s="101">
        <v>0.44444444444444442</v>
      </c>
      <c r="G166" s="100">
        <f>IFERROR(VLOOKUP(Tablo519[[#This Row],[ÜRÜN KODU]],YMKODLARI!$A$1:$K$363,3,0)," ")</f>
        <v>2</v>
      </c>
      <c r="H166" s="100">
        <f>IFERROR(VLOOKUP(Tablo519[[#This Row],[ÜRÜN KODU]],YMKODLARI!$A$1:$K$363,4,0)," ")</f>
        <v>23</v>
      </c>
      <c r="I166" s="100">
        <v>412</v>
      </c>
      <c r="J166" s="100">
        <f>IFERROR(VLOOKUP(Tablo519[[#This Row],[ÜRÜN KODU]],YMKODLARI!$A$1:$K$363,9,0)," ")</f>
        <v>5287</v>
      </c>
      <c r="K166" s="100" t="str">
        <f>IFERROR(VLOOKUP(Tablo519[[#This Row],[BOYA KODU]],Tablo14[#All],4,0)," ")</f>
        <v>MAVİ</v>
      </c>
      <c r="L166" s="100">
        <f>IFERROR(VLOOKUP(Tablo519[[#This Row],[BOYA KODU]],Tablo14[#All],6,0)," ")</f>
        <v>5.0000000000000001E-3</v>
      </c>
      <c r="M166" s="100">
        <f t="shared" si="18"/>
        <v>34.608000000000004</v>
      </c>
      <c r="N166" s="100" t="str">
        <f>IFERROR(VLOOKUP(Tablo519[[#This Row],[ÜRÜN KODU]],YMKODLARI!$A$1:$K$363,8,0)," ")</f>
        <v>HM 001</v>
      </c>
      <c r="O166" s="100" t="str">
        <f>IFERROR(VLOOKUP(Tablo519[[#This Row],[HAMMADDE KODU]],Tablo1[#All],3,0)," ")</f>
        <v>CAPILENE</v>
      </c>
      <c r="P166" s="100" t="str">
        <f>IFERROR(VLOOKUP(Tablo519[[#This Row],[HAMMADDE KODU]],Tablo1[#All],4,0)," ")</f>
        <v>PİNHAS</v>
      </c>
      <c r="Q166" s="100">
        <f>IFERROR(VLOOKUP(Tablo519[[#This Row],[ÜRÜN KODU]],YMKODLARI!$A$1:$K$363,5,0)," ")</f>
        <v>16.8</v>
      </c>
      <c r="R166" s="100">
        <f>IFERROR(VLOOKUP(Tablo519[[#This Row],[ÜRÜN KODU]],YMKODLARI!$A$1:$K$363,6,0)," ")</f>
        <v>16</v>
      </c>
      <c r="S166" s="100">
        <f>IFERROR(Tablo519[[#This Row],[YOLLUK HARİÇ BASKI GRAMI]]/Tablo519[[#This Row],[KALIP GÖZ ADEDİ]]," ")</f>
        <v>8</v>
      </c>
      <c r="T166" s="100">
        <f t="shared" si="19"/>
        <v>0.80000000000000071</v>
      </c>
      <c r="U166" s="100">
        <v>0.8</v>
      </c>
      <c r="V166" s="100">
        <f t="shared" si="16"/>
        <v>7.3919999999999995</v>
      </c>
      <c r="W166" s="101">
        <f t="shared" si="20"/>
        <v>24.111111111111111</v>
      </c>
      <c r="X166" s="102">
        <f t="shared" si="21"/>
        <v>2.6666666666666572</v>
      </c>
      <c r="Y166" s="100">
        <f t="shared" si="22"/>
        <v>2.632222222222222</v>
      </c>
      <c r="Z166" s="100">
        <f t="shared" si="23"/>
        <v>824</v>
      </c>
    </row>
    <row r="167" spans="1:26">
      <c r="A167" s="100" t="s">
        <v>176</v>
      </c>
      <c r="B167" s="108" t="str">
        <f>IFERROR(VLOOKUP(Tablo519[[#This Row],[ÜRÜN KODU]],YMKODLARI!$A$1:$K$363,2,0)," ")</f>
        <v xml:space="preserve">BİBERON KAPAĞI </v>
      </c>
      <c r="C167" s="99">
        <v>44054</v>
      </c>
      <c r="D167" s="100" t="s">
        <v>27</v>
      </c>
      <c r="E167" s="101">
        <v>0.35416666666666669</v>
      </c>
      <c r="F167" s="101">
        <v>0.75</v>
      </c>
      <c r="G167" s="100">
        <f>IFERROR(VLOOKUP(Tablo519[[#This Row],[ÜRÜN KODU]],YMKODLARI!$A$1:$K$363,3,0)," ")</f>
        <v>8</v>
      </c>
      <c r="H167" s="100">
        <f>IFERROR(VLOOKUP(Tablo519[[#This Row],[ÜRÜN KODU]],YMKODLARI!$A$1:$K$363,4,0)," ")</f>
        <v>21</v>
      </c>
      <c r="I167" s="100">
        <v>1623</v>
      </c>
      <c r="J167" s="100" t="str">
        <f>IFERROR(VLOOKUP(Tablo519[[#This Row],[ÜRÜN KODU]],YMKODLARI!$A$1:$K$363,9,0)," ")</f>
        <v>Şeffaf</v>
      </c>
      <c r="K167" s="100" t="str">
        <f>IFERROR(VLOOKUP(Tablo519[[#This Row],[BOYA KODU]],Tablo14[#All],4,0)," ")</f>
        <v xml:space="preserve"> </v>
      </c>
      <c r="L167" s="100" t="str">
        <f>IFERROR(VLOOKUP(Tablo519[[#This Row],[BOYA KODU]],Tablo14[#All],6,0)," ")</f>
        <v xml:space="preserve"> </v>
      </c>
      <c r="M167" s="100" t="str">
        <f t="shared" si="18"/>
        <v xml:space="preserve"> </v>
      </c>
      <c r="N167" s="100" t="str">
        <f>IFERROR(VLOOKUP(Tablo519[[#This Row],[ÜRÜN KODU]],YMKODLARI!$A$1:$K$363,8,0)," ")</f>
        <v>HM 001</v>
      </c>
      <c r="O167" s="100" t="str">
        <f>IFERROR(VLOOKUP(Tablo519[[#This Row],[HAMMADDE KODU]],Tablo1[#All],3,0)," ")</f>
        <v>CAPILENE</v>
      </c>
      <c r="P167" s="100" t="str">
        <f>IFERROR(VLOOKUP(Tablo519[[#This Row],[HAMMADDE KODU]],Tablo1[#All],4,0)," ")</f>
        <v>PİNHAS</v>
      </c>
      <c r="Q167" s="100">
        <f>IFERROR(VLOOKUP(Tablo519[[#This Row],[ÜRÜN KODU]],YMKODLARI!$A$1:$K$363,5,0)," ")</f>
        <v>40</v>
      </c>
      <c r="R167" s="100">
        <f>IFERROR(VLOOKUP(Tablo519[[#This Row],[ÜRÜN KODU]],YMKODLARI!$A$1:$K$363,6,0)," ")</f>
        <v>40</v>
      </c>
      <c r="S167" s="100">
        <f>IFERROR(Tablo519[[#This Row],[YOLLUK HARİÇ BASKI GRAMI]]/Tablo519[[#This Row],[KALIP GÖZ ADEDİ]]," ")</f>
        <v>5</v>
      </c>
      <c r="T167" s="100">
        <f t="shared" si="19"/>
        <v>0</v>
      </c>
      <c r="U167" s="100"/>
      <c r="V167" s="100">
        <f t="shared" si="16"/>
        <v>64.92</v>
      </c>
      <c r="W167" s="101">
        <f t="shared" si="20"/>
        <v>24.395833333333332</v>
      </c>
      <c r="X167" s="102">
        <f t="shared" si="21"/>
        <v>9.4999999999999716</v>
      </c>
      <c r="Y167" s="100">
        <f t="shared" si="22"/>
        <v>9.4674999999999994</v>
      </c>
      <c r="Z167" s="100">
        <f t="shared" si="23"/>
        <v>12984</v>
      </c>
    </row>
    <row r="168" spans="1:26">
      <c r="A168" s="100" t="s">
        <v>176</v>
      </c>
      <c r="B168" s="108" t="str">
        <f>IFERROR(VLOOKUP(Tablo519[[#This Row],[ÜRÜN KODU]],YMKODLARI!$A$1:$K$363,2,0)," ")</f>
        <v xml:space="preserve">BİBERON KAPAĞI </v>
      </c>
      <c r="C168" s="99">
        <v>44055</v>
      </c>
      <c r="D168" s="100" t="s">
        <v>27</v>
      </c>
      <c r="E168" s="101">
        <v>0.33333333333333331</v>
      </c>
      <c r="F168" s="101">
        <v>0.75</v>
      </c>
      <c r="G168" s="100">
        <f>IFERROR(VLOOKUP(Tablo519[[#This Row],[ÜRÜN KODU]],YMKODLARI!$A$1:$K$363,3,0)," ")</f>
        <v>8</v>
      </c>
      <c r="H168" s="100">
        <f>IFERROR(VLOOKUP(Tablo519[[#This Row],[ÜRÜN KODU]],YMKODLARI!$A$1:$K$363,4,0)," ")</f>
        <v>21</v>
      </c>
      <c r="I168" s="100">
        <v>1644</v>
      </c>
      <c r="J168" s="100" t="str">
        <f>IFERROR(VLOOKUP(Tablo519[[#This Row],[ÜRÜN KODU]],YMKODLARI!$A$1:$K$363,9,0)," ")</f>
        <v>Şeffaf</v>
      </c>
      <c r="K168" s="100" t="str">
        <f>IFERROR(VLOOKUP(Tablo519[[#This Row],[BOYA KODU]],Tablo14[#All],4,0)," ")</f>
        <v xml:space="preserve"> </v>
      </c>
      <c r="L168" s="100" t="str">
        <f>IFERROR(VLOOKUP(Tablo519[[#This Row],[BOYA KODU]],Tablo14[#All],6,0)," ")</f>
        <v xml:space="preserve"> </v>
      </c>
      <c r="M168" s="100" t="str">
        <f t="shared" si="18"/>
        <v xml:space="preserve"> </v>
      </c>
      <c r="N168" s="100" t="str">
        <f>IFERROR(VLOOKUP(Tablo519[[#This Row],[ÜRÜN KODU]],YMKODLARI!$A$1:$K$363,8,0)," ")</f>
        <v>HM 001</v>
      </c>
      <c r="O168" s="100" t="str">
        <f>IFERROR(VLOOKUP(Tablo519[[#This Row],[HAMMADDE KODU]],Tablo1[#All],3,0)," ")</f>
        <v>CAPILENE</v>
      </c>
      <c r="P168" s="100" t="str">
        <f>IFERROR(VLOOKUP(Tablo519[[#This Row],[HAMMADDE KODU]],Tablo1[#All],4,0)," ")</f>
        <v>PİNHAS</v>
      </c>
      <c r="Q168" s="100">
        <f>IFERROR(VLOOKUP(Tablo519[[#This Row],[ÜRÜN KODU]],YMKODLARI!$A$1:$K$363,5,0)," ")</f>
        <v>40</v>
      </c>
      <c r="R168" s="100">
        <f>IFERROR(VLOOKUP(Tablo519[[#This Row],[ÜRÜN KODU]],YMKODLARI!$A$1:$K$363,6,0)," ")</f>
        <v>40</v>
      </c>
      <c r="S168" s="100">
        <f>IFERROR(Tablo519[[#This Row],[YOLLUK HARİÇ BASKI GRAMI]]/Tablo519[[#This Row],[KALIP GÖZ ADEDİ]]," ")</f>
        <v>5</v>
      </c>
      <c r="T168" s="100">
        <f t="shared" si="19"/>
        <v>0</v>
      </c>
      <c r="U168" s="100"/>
      <c r="V168" s="100">
        <f t="shared" si="16"/>
        <v>65.760000000000005</v>
      </c>
      <c r="W168" s="101">
        <f t="shared" si="20"/>
        <v>24.416666666666668</v>
      </c>
      <c r="X168" s="102">
        <f t="shared" si="21"/>
        <v>10.000000000000028</v>
      </c>
      <c r="Y168" s="100">
        <f t="shared" si="22"/>
        <v>9.59</v>
      </c>
      <c r="Z168" s="100">
        <f t="shared" si="23"/>
        <v>13152</v>
      </c>
    </row>
    <row r="169" spans="1:26">
      <c r="A169" s="100" t="s">
        <v>176</v>
      </c>
      <c r="B169" s="108" t="str">
        <f>IFERROR(VLOOKUP(Tablo519[[#This Row],[ÜRÜN KODU]],YMKODLARI!$A$1:$K$363,2,0)," ")</f>
        <v xml:space="preserve">BİBERON KAPAĞI </v>
      </c>
      <c r="C169" s="99">
        <v>44056</v>
      </c>
      <c r="D169" s="100" t="s">
        <v>27</v>
      </c>
      <c r="E169" s="101">
        <v>0.33333333333333331</v>
      </c>
      <c r="F169" s="101">
        <v>0.75</v>
      </c>
      <c r="G169" s="100">
        <f>IFERROR(VLOOKUP(Tablo519[[#This Row],[ÜRÜN KODU]],YMKODLARI!$A$1:$K$363,3,0)," ")</f>
        <v>8</v>
      </c>
      <c r="H169" s="100">
        <f>IFERROR(VLOOKUP(Tablo519[[#This Row],[ÜRÜN KODU]],YMKODLARI!$A$1:$K$363,4,0)," ")</f>
        <v>21</v>
      </c>
      <c r="I169" s="100">
        <v>1661</v>
      </c>
      <c r="J169" s="100" t="str">
        <f>IFERROR(VLOOKUP(Tablo519[[#This Row],[ÜRÜN KODU]],YMKODLARI!$A$1:$K$363,9,0)," ")</f>
        <v>Şeffaf</v>
      </c>
      <c r="K169" s="100" t="str">
        <f>IFERROR(VLOOKUP(Tablo519[[#This Row],[BOYA KODU]],Tablo14[#All],4,0)," ")</f>
        <v xml:space="preserve"> </v>
      </c>
      <c r="L169" s="100" t="str">
        <f>IFERROR(VLOOKUP(Tablo519[[#This Row],[BOYA KODU]],Tablo14[#All],6,0)," ")</f>
        <v xml:space="preserve"> </v>
      </c>
      <c r="M169" s="100" t="str">
        <f t="shared" si="18"/>
        <v xml:space="preserve"> </v>
      </c>
      <c r="N169" s="100" t="str">
        <f>IFERROR(VLOOKUP(Tablo519[[#This Row],[ÜRÜN KODU]],YMKODLARI!$A$1:$K$363,8,0)," ")</f>
        <v>HM 001</v>
      </c>
      <c r="O169" s="100" t="str">
        <f>IFERROR(VLOOKUP(Tablo519[[#This Row],[HAMMADDE KODU]],Tablo1[#All],3,0)," ")</f>
        <v>CAPILENE</v>
      </c>
      <c r="P169" s="100" t="str">
        <f>IFERROR(VLOOKUP(Tablo519[[#This Row],[HAMMADDE KODU]],Tablo1[#All],4,0)," ")</f>
        <v>PİNHAS</v>
      </c>
      <c r="Q169" s="100">
        <f>IFERROR(VLOOKUP(Tablo519[[#This Row],[ÜRÜN KODU]],YMKODLARI!$A$1:$K$363,5,0)," ")</f>
        <v>40</v>
      </c>
      <c r="R169" s="100">
        <f>IFERROR(VLOOKUP(Tablo519[[#This Row],[ÜRÜN KODU]],YMKODLARI!$A$1:$K$363,6,0)," ")</f>
        <v>40</v>
      </c>
      <c r="S169" s="100">
        <f>IFERROR(Tablo519[[#This Row],[YOLLUK HARİÇ BASKI GRAMI]]/Tablo519[[#This Row],[KALIP GÖZ ADEDİ]]," ")</f>
        <v>5</v>
      </c>
      <c r="T169" s="100">
        <f t="shared" si="19"/>
        <v>0</v>
      </c>
      <c r="U169" s="100">
        <v>2</v>
      </c>
      <c r="V169" s="100">
        <f t="shared" si="16"/>
        <v>68.44</v>
      </c>
      <c r="W169" s="101">
        <f t="shared" si="20"/>
        <v>24.416666666666668</v>
      </c>
      <c r="X169" s="102">
        <f t="shared" si="21"/>
        <v>10.000000000000028</v>
      </c>
      <c r="Y169" s="100">
        <f t="shared" si="22"/>
        <v>9.6891666666666669</v>
      </c>
      <c r="Z169" s="100">
        <f t="shared" si="23"/>
        <v>13288</v>
      </c>
    </row>
    <row r="170" spans="1:26">
      <c r="A170" s="100" t="s">
        <v>202</v>
      </c>
      <c r="B170" s="108" t="str">
        <f>IFERROR(VLOOKUP(Tablo519[[#This Row],[ÜRÜN KODU]],YMKODLARI!$A$1:$K$363,2,0)," ")</f>
        <v xml:space="preserve"> BİBERON VİDA</v>
      </c>
      <c r="C170" s="99">
        <v>44057</v>
      </c>
      <c r="D170" s="100" t="s">
        <v>33</v>
      </c>
      <c r="E170" s="101">
        <v>0.51736111111111105</v>
      </c>
      <c r="F170" s="101">
        <v>0.72916666666666663</v>
      </c>
      <c r="G170" s="100">
        <f>IFERROR(VLOOKUP(Tablo519[[#This Row],[ÜRÜN KODU]],YMKODLARI!$A$1:$K$363,3,0)," ")</f>
        <v>4</v>
      </c>
      <c r="H170" s="100">
        <f>IFERROR(VLOOKUP(Tablo519[[#This Row],[ÜRÜN KODU]],YMKODLARI!$A$1:$K$363,4,0)," ")</f>
        <v>25</v>
      </c>
      <c r="I170" s="100">
        <v>623</v>
      </c>
      <c r="J170" s="100" t="str">
        <f>IFERROR(VLOOKUP(Tablo519[[#This Row],[ÜRÜN KODU]],YMKODLARI!$A$1:$K$363,9,0)," ")</f>
        <v>9134A</v>
      </c>
      <c r="K170" s="100" t="str">
        <f>IFERROR(VLOOKUP(Tablo519[[#This Row],[BOYA KODU]],Tablo14[#All],4,0)," ")</f>
        <v>BEYAZ</v>
      </c>
      <c r="L170" s="100">
        <f>IFERROR(VLOOKUP(Tablo519[[#This Row],[BOYA KODU]],Tablo14[#All],6,0)," ")</f>
        <v>7.0000000000000001E-3</v>
      </c>
      <c r="M170" s="100">
        <f t="shared" si="18"/>
        <v>120.79969999999999</v>
      </c>
      <c r="N170" s="100" t="str">
        <f>IFERROR(VLOOKUP(Tablo519[[#This Row],[ÜRÜN KODU]],YMKODLARI!$A$1:$K$363,8,0)," ")</f>
        <v>HM 001</v>
      </c>
      <c r="O170" s="100" t="str">
        <f>IFERROR(VLOOKUP(Tablo519[[#This Row],[HAMMADDE KODU]],Tablo1[#All],3,0)," ")</f>
        <v>CAPILENE</v>
      </c>
      <c r="P170" s="100" t="str">
        <f>IFERROR(VLOOKUP(Tablo519[[#This Row],[HAMMADDE KODU]],Tablo1[#All],4,0)," ")</f>
        <v>PİNHAS</v>
      </c>
      <c r="Q170" s="100">
        <f>IFERROR(VLOOKUP(Tablo519[[#This Row],[ÜRÜN KODU]],YMKODLARI!$A$1:$K$363,5,0)," ")</f>
        <v>27.7</v>
      </c>
      <c r="R170" s="100">
        <f>IFERROR(VLOOKUP(Tablo519[[#This Row],[ÜRÜN KODU]],YMKODLARI!$A$1:$K$363,6,0)," ")</f>
        <v>27.7</v>
      </c>
      <c r="S170" s="100">
        <f>IFERROR(Tablo519[[#This Row],[YOLLUK HARİÇ BASKI GRAMI]]/Tablo519[[#This Row],[KALIP GÖZ ADEDİ]]," ")</f>
        <v>6.9249999999999998</v>
      </c>
      <c r="T170" s="100">
        <f t="shared" si="19"/>
        <v>0</v>
      </c>
      <c r="U170" s="100">
        <v>1.4</v>
      </c>
      <c r="V170" s="100">
        <f t="shared" ref="V170:V232" si="24">IFERROR(U170+(R170*I170) /1000," ")</f>
        <v>18.657099999999996</v>
      </c>
      <c r="W170" s="101">
        <f t="shared" si="20"/>
        <v>24.211805555555557</v>
      </c>
      <c r="X170" s="102">
        <f t="shared" si="21"/>
        <v>5.0833333333333712</v>
      </c>
      <c r="Y170" s="100">
        <f t="shared" si="22"/>
        <v>4.3263888888888893</v>
      </c>
      <c r="Z170" s="100">
        <f t="shared" si="23"/>
        <v>2492</v>
      </c>
    </row>
    <row r="171" spans="1:26">
      <c r="A171" s="100" t="s">
        <v>202</v>
      </c>
      <c r="B171" s="108" t="str">
        <f>IFERROR(VLOOKUP(Tablo519[[#This Row],[ÜRÜN KODU]],YMKODLARI!$A$1:$K$363,2,0)," ")</f>
        <v xml:space="preserve"> BİBERON VİDA</v>
      </c>
      <c r="C171" s="99">
        <v>44060</v>
      </c>
      <c r="D171" s="100" t="s">
        <v>33</v>
      </c>
      <c r="E171" s="101">
        <v>0.34027777777777773</v>
      </c>
      <c r="F171" s="101">
        <v>0.75</v>
      </c>
      <c r="G171" s="100">
        <f>IFERROR(VLOOKUP(Tablo519[[#This Row],[ÜRÜN KODU]],YMKODLARI!$A$1:$K$363,3,0)," ")</f>
        <v>4</v>
      </c>
      <c r="H171" s="100">
        <f>IFERROR(VLOOKUP(Tablo519[[#This Row],[ÜRÜN KODU]],YMKODLARI!$A$1:$K$363,4,0)," ")</f>
        <v>25</v>
      </c>
      <c r="I171" s="100">
        <v>1282</v>
      </c>
      <c r="J171" s="100" t="str">
        <f>IFERROR(VLOOKUP(Tablo519[[#This Row],[ÜRÜN KODU]],YMKODLARI!$A$1:$K$363,9,0)," ")</f>
        <v>9134A</v>
      </c>
      <c r="K171" s="100" t="str">
        <f>IFERROR(VLOOKUP(Tablo519[[#This Row],[BOYA KODU]],Tablo14[#All],4,0)," ")</f>
        <v>BEYAZ</v>
      </c>
      <c r="L171" s="100">
        <f>IFERROR(VLOOKUP(Tablo519[[#This Row],[BOYA KODU]],Tablo14[#All],6,0)," ")</f>
        <v>7.0000000000000001E-3</v>
      </c>
      <c r="M171" s="100">
        <f t="shared" si="18"/>
        <v>248.57980000000001</v>
      </c>
      <c r="N171" s="100" t="str">
        <f>IFERROR(VLOOKUP(Tablo519[[#This Row],[ÜRÜN KODU]],YMKODLARI!$A$1:$K$363,8,0)," ")</f>
        <v>HM 001</v>
      </c>
      <c r="O171" s="100" t="str">
        <f>IFERROR(VLOOKUP(Tablo519[[#This Row],[HAMMADDE KODU]],Tablo1[#All],3,0)," ")</f>
        <v>CAPILENE</v>
      </c>
      <c r="P171" s="100" t="str">
        <f>IFERROR(VLOOKUP(Tablo519[[#This Row],[HAMMADDE KODU]],Tablo1[#All],4,0)," ")</f>
        <v>PİNHAS</v>
      </c>
      <c r="Q171" s="100">
        <f>IFERROR(VLOOKUP(Tablo519[[#This Row],[ÜRÜN KODU]],YMKODLARI!$A$1:$K$363,5,0)," ")</f>
        <v>27.7</v>
      </c>
      <c r="R171" s="100">
        <f>IFERROR(VLOOKUP(Tablo519[[#This Row],[ÜRÜN KODU]],YMKODLARI!$A$1:$K$363,6,0)," ")</f>
        <v>27.7</v>
      </c>
      <c r="S171" s="100">
        <f>IFERROR(Tablo519[[#This Row],[YOLLUK HARİÇ BASKI GRAMI]]/Tablo519[[#This Row],[KALIP GÖZ ADEDİ]]," ")</f>
        <v>6.9249999999999998</v>
      </c>
      <c r="T171" s="100">
        <f t="shared" si="19"/>
        <v>0</v>
      </c>
      <c r="U171" s="100"/>
      <c r="V171" s="100">
        <f t="shared" si="24"/>
        <v>35.511400000000002</v>
      </c>
      <c r="W171" s="101">
        <f t="shared" si="20"/>
        <v>24.409722222222221</v>
      </c>
      <c r="X171" s="102">
        <f t="shared" si="21"/>
        <v>9.8333333333333144</v>
      </c>
      <c r="Y171" s="100">
        <f t="shared" si="22"/>
        <v>8.9027777777777786</v>
      </c>
      <c r="Z171" s="100">
        <f t="shared" si="23"/>
        <v>5128</v>
      </c>
    </row>
    <row r="172" spans="1:26">
      <c r="A172" s="100" t="s">
        <v>202</v>
      </c>
      <c r="B172" s="108" t="str">
        <f>IFERROR(VLOOKUP(Tablo519[[#This Row],[ÜRÜN KODU]],YMKODLARI!$A$1:$K$363,2,0)," ")</f>
        <v xml:space="preserve"> BİBERON VİDA</v>
      </c>
      <c r="C172" s="99">
        <v>44061</v>
      </c>
      <c r="D172" s="100" t="s">
        <v>33</v>
      </c>
      <c r="E172" s="101">
        <v>0.33333333333333331</v>
      </c>
      <c r="F172" s="101">
        <v>0.58333333333333337</v>
      </c>
      <c r="G172" s="100">
        <f>IFERROR(VLOOKUP(Tablo519[[#This Row],[ÜRÜN KODU]],YMKODLARI!$A$1:$K$363,3,0)," ")</f>
        <v>4</v>
      </c>
      <c r="H172" s="100">
        <f>IFERROR(VLOOKUP(Tablo519[[#This Row],[ÜRÜN KODU]],YMKODLARI!$A$1:$K$363,4,0)," ")</f>
        <v>25</v>
      </c>
      <c r="I172" s="100">
        <v>777</v>
      </c>
      <c r="J172" s="100" t="str">
        <f>IFERROR(VLOOKUP(Tablo519[[#This Row],[ÜRÜN KODU]],YMKODLARI!$A$1:$K$363,9,0)," ")</f>
        <v>9134A</v>
      </c>
      <c r="K172" s="100" t="str">
        <f>IFERROR(VLOOKUP(Tablo519[[#This Row],[BOYA KODU]],Tablo14[#All],4,0)," ")</f>
        <v>BEYAZ</v>
      </c>
      <c r="L172" s="100">
        <f>IFERROR(VLOOKUP(Tablo519[[#This Row],[BOYA KODU]],Tablo14[#All],6,0)," ")</f>
        <v>7.0000000000000001E-3</v>
      </c>
      <c r="M172" s="100">
        <f t="shared" si="18"/>
        <v>150.66029999999998</v>
      </c>
      <c r="N172" s="100" t="str">
        <f>IFERROR(VLOOKUP(Tablo519[[#This Row],[ÜRÜN KODU]],YMKODLARI!$A$1:$K$363,8,0)," ")</f>
        <v>HM 001</v>
      </c>
      <c r="O172" s="100" t="str">
        <f>IFERROR(VLOOKUP(Tablo519[[#This Row],[HAMMADDE KODU]],Tablo1[#All],3,0)," ")</f>
        <v>CAPILENE</v>
      </c>
      <c r="P172" s="100" t="str">
        <f>IFERROR(VLOOKUP(Tablo519[[#This Row],[HAMMADDE KODU]],Tablo1[#All],4,0)," ")</f>
        <v>PİNHAS</v>
      </c>
      <c r="Q172" s="100">
        <f>IFERROR(VLOOKUP(Tablo519[[#This Row],[ÜRÜN KODU]],YMKODLARI!$A$1:$K$363,5,0)," ")</f>
        <v>27.7</v>
      </c>
      <c r="R172" s="100">
        <f>IFERROR(VLOOKUP(Tablo519[[#This Row],[ÜRÜN KODU]],YMKODLARI!$A$1:$K$363,6,0)," ")</f>
        <v>27.7</v>
      </c>
      <c r="S172" s="100">
        <f>IFERROR(Tablo519[[#This Row],[YOLLUK HARİÇ BASKI GRAMI]]/Tablo519[[#This Row],[KALIP GÖZ ADEDİ]]," ")</f>
        <v>6.9249999999999998</v>
      </c>
      <c r="T172" s="100">
        <f t="shared" si="19"/>
        <v>0</v>
      </c>
      <c r="U172" s="100">
        <v>0.6</v>
      </c>
      <c r="V172" s="100">
        <f t="shared" si="24"/>
        <v>22.122899999999998</v>
      </c>
      <c r="W172" s="101">
        <f t="shared" si="20"/>
        <v>24.25</v>
      </c>
      <c r="X172" s="102">
        <f t="shared" si="21"/>
        <v>6</v>
      </c>
      <c r="Y172" s="100">
        <f t="shared" si="22"/>
        <v>5.395833333333333</v>
      </c>
      <c r="Z172" s="100">
        <f t="shared" si="23"/>
        <v>3108</v>
      </c>
    </row>
    <row r="173" spans="1:26">
      <c r="A173" s="100" t="s">
        <v>203</v>
      </c>
      <c r="B173" s="108" t="str">
        <f>IFERROR(VLOOKUP(Tablo519[[#This Row],[ÜRÜN KODU]],YMKODLARI!$A$1:$K$363,2,0)," ")</f>
        <v xml:space="preserve"> BİBERON VİDA</v>
      </c>
      <c r="C173" s="99">
        <v>44061</v>
      </c>
      <c r="D173" s="100" t="s">
        <v>33</v>
      </c>
      <c r="E173" s="101">
        <v>0.58333333333333337</v>
      </c>
      <c r="F173" s="101">
        <v>0.75</v>
      </c>
      <c r="G173" s="100">
        <f>IFERROR(VLOOKUP(Tablo519[[#This Row],[ÜRÜN KODU]],YMKODLARI!$A$1:$K$363,3,0)," ")</f>
        <v>4</v>
      </c>
      <c r="H173" s="100">
        <f>IFERROR(VLOOKUP(Tablo519[[#This Row],[ÜRÜN KODU]],YMKODLARI!$A$1:$K$363,4,0)," ")</f>
        <v>25</v>
      </c>
      <c r="I173" s="100">
        <v>570</v>
      </c>
      <c r="J173" s="100">
        <f>IFERROR(VLOOKUP(Tablo519[[#This Row],[ÜRÜN KODU]],YMKODLARI!$A$1:$K$363,9,0)," ")</f>
        <v>1290</v>
      </c>
      <c r="K173" s="100" t="str">
        <f>IFERROR(VLOOKUP(Tablo519[[#This Row],[BOYA KODU]],Tablo14[#All],4,0)," ")</f>
        <v>SARI</v>
      </c>
      <c r="L173" s="100">
        <f>IFERROR(VLOOKUP(Tablo519[[#This Row],[BOYA KODU]],Tablo14[#All],6,0)," ")</f>
        <v>5.0000000000000001E-3</v>
      </c>
      <c r="M173" s="100">
        <f t="shared" si="18"/>
        <v>78.945000000000007</v>
      </c>
      <c r="N173" s="100" t="str">
        <f>IFERROR(VLOOKUP(Tablo519[[#This Row],[ÜRÜN KODU]],YMKODLARI!$A$1:$K$363,8,0)," ")</f>
        <v>HM 001</v>
      </c>
      <c r="O173" s="100" t="str">
        <f>IFERROR(VLOOKUP(Tablo519[[#This Row],[HAMMADDE KODU]],Tablo1[#All],3,0)," ")</f>
        <v>CAPILENE</v>
      </c>
      <c r="P173" s="100" t="str">
        <f>IFERROR(VLOOKUP(Tablo519[[#This Row],[HAMMADDE KODU]],Tablo1[#All],4,0)," ")</f>
        <v>PİNHAS</v>
      </c>
      <c r="Q173" s="100">
        <f>IFERROR(VLOOKUP(Tablo519[[#This Row],[ÜRÜN KODU]],YMKODLARI!$A$1:$K$363,5,0)," ")</f>
        <v>27.7</v>
      </c>
      <c r="R173" s="100">
        <f>IFERROR(VLOOKUP(Tablo519[[#This Row],[ÜRÜN KODU]],YMKODLARI!$A$1:$K$363,6,0)," ")</f>
        <v>27.7</v>
      </c>
      <c r="S173" s="100">
        <f>IFERROR(Tablo519[[#This Row],[YOLLUK HARİÇ BASKI GRAMI]]/Tablo519[[#This Row],[KALIP GÖZ ADEDİ]]," ")</f>
        <v>6.9249999999999998</v>
      </c>
      <c r="T173" s="100">
        <f t="shared" si="19"/>
        <v>0</v>
      </c>
      <c r="U173" s="100"/>
      <c r="V173" s="100">
        <f t="shared" si="24"/>
        <v>15.789</v>
      </c>
      <c r="W173" s="101">
        <f t="shared" si="20"/>
        <v>24.166666666666668</v>
      </c>
      <c r="X173" s="102">
        <f t="shared" si="21"/>
        <v>4.0000000000000284</v>
      </c>
      <c r="Y173" s="100">
        <f t="shared" si="22"/>
        <v>3.9583333333333335</v>
      </c>
      <c r="Z173" s="100">
        <f t="shared" si="23"/>
        <v>2280</v>
      </c>
    </row>
    <row r="174" spans="1:26">
      <c r="A174" s="100" t="s">
        <v>203</v>
      </c>
      <c r="B174" s="108" t="str">
        <f>IFERROR(VLOOKUP(Tablo519[[#This Row],[ÜRÜN KODU]],YMKODLARI!$A$1:$K$363,2,0)," ")</f>
        <v xml:space="preserve"> BİBERON VİDA</v>
      </c>
      <c r="C174" s="99">
        <v>44062</v>
      </c>
      <c r="D174" s="100" t="s">
        <v>33</v>
      </c>
      <c r="E174" s="101">
        <v>0.33333333333333331</v>
      </c>
      <c r="F174" s="101">
        <v>0.59027777777777779</v>
      </c>
      <c r="G174" s="100">
        <f>IFERROR(VLOOKUP(Tablo519[[#This Row],[ÜRÜN KODU]],YMKODLARI!$A$1:$K$363,3,0)," ")</f>
        <v>4</v>
      </c>
      <c r="H174" s="100">
        <f>IFERROR(VLOOKUP(Tablo519[[#This Row],[ÜRÜN KODU]],YMKODLARI!$A$1:$K$363,4,0)," ")</f>
        <v>25</v>
      </c>
      <c r="I174" s="100">
        <v>741</v>
      </c>
      <c r="J174" s="100">
        <f>IFERROR(VLOOKUP(Tablo519[[#This Row],[ÜRÜN KODU]],YMKODLARI!$A$1:$K$363,9,0)," ")</f>
        <v>1290</v>
      </c>
      <c r="K174" s="100" t="str">
        <f>IFERROR(VLOOKUP(Tablo519[[#This Row],[BOYA KODU]],Tablo14[#All],4,0)," ")</f>
        <v>SARI</v>
      </c>
      <c r="L174" s="100">
        <f>IFERROR(VLOOKUP(Tablo519[[#This Row],[BOYA KODU]],Tablo14[#All],6,0)," ")</f>
        <v>5.0000000000000001E-3</v>
      </c>
      <c r="M174" s="100">
        <f t="shared" si="18"/>
        <v>102.6285</v>
      </c>
      <c r="N174" s="100" t="str">
        <f>IFERROR(VLOOKUP(Tablo519[[#This Row],[ÜRÜN KODU]],YMKODLARI!$A$1:$K$363,8,0)," ")</f>
        <v>HM 001</v>
      </c>
      <c r="O174" s="100" t="str">
        <f>IFERROR(VLOOKUP(Tablo519[[#This Row],[HAMMADDE KODU]],Tablo1[#All],3,0)," ")</f>
        <v>CAPILENE</v>
      </c>
      <c r="P174" s="100" t="str">
        <f>IFERROR(VLOOKUP(Tablo519[[#This Row],[HAMMADDE KODU]],Tablo1[#All],4,0)," ")</f>
        <v>PİNHAS</v>
      </c>
      <c r="Q174" s="100">
        <f>IFERROR(VLOOKUP(Tablo519[[#This Row],[ÜRÜN KODU]],YMKODLARI!$A$1:$K$363,5,0)," ")</f>
        <v>27.7</v>
      </c>
      <c r="R174" s="100">
        <f>IFERROR(VLOOKUP(Tablo519[[#This Row],[ÜRÜN KODU]],YMKODLARI!$A$1:$K$363,6,0)," ")</f>
        <v>27.7</v>
      </c>
      <c r="S174" s="100">
        <f>IFERROR(Tablo519[[#This Row],[YOLLUK HARİÇ BASKI GRAMI]]/Tablo519[[#This Row],[KALIP GÖZ ADEDİ]]," ")</f>
        <v>6.9249999999999998</v>
      </c>
      <c r="T174" s="100">
        <f t="shared" si="19"/>
        <v>0</v>
      </c>
      <c r="U174" s="100"/>
      <c r="V174" s="100">
        <f t="shared" si="24"/>
        <v>20.525700000000001</v>
      </c>
      <c r="W174" s="101">
        <f t="shared" si="20"/>
        <v>24.256944444444443</v>
      </c>
      <c r="X174" s="102">
        <f t="shared" si="21"/>
        <v>6.1666666666666288</v>
      </c>
      <c r="Y174" s="100">
        <f t="shared" si="22"/>
        <v>5.145833333333333</v>
      </c>
      <c r="Z174" s="100">
        <f t="shared" si="23"/>
        <v>2964</v>
      </c>
    </row>
    <row r="175" spans="1:26">
      <c r="A175" s="100" t="s">
        <v>211</v>
      </c>
      <c r="B175" s="108" t="str">
        <f>IFERROR(VLOOKUP(Tablo519[[#This Row],[ÜRÜN KODU]],YMKODLARI!$A$1:$K$363,2,0)," ")</f>
        <v xml:space="preserve"> BİBERON VİDA</v>
      </c>
      <c r="C175" s="99">
        <v>44062</v>
      </c>
      <c r="D175" s="100" t="s">
        <v>33</v>
      </c>
      <c r="E175" s="101">
        <v>0.59027777777777779</v>
      </c>
      <c r="F175" s="101">
        <v>0.75</v>
      </c>
      <c r="G175" s="100">
        <f>IFERROR(VLOOKUP(Tablo519[[#This Row],[ÜRÜN KODU]],YMKODLARI!$A$1:$K$363,3,0)," ")</f>
        <v>4</v>
      </c>
      <c r="H175" s="100">
        <f>IFERROR(VLOOKUP(Tablo519[[#This Row],[ÜRÜN KODU]],YMKODLARI!$A$1:$K$363,4,0)," ")</f>
        <v>25</v>
      </c>
      <c r="I175" s="100">
        <v>434</v>
      </c>
      <c r="J175" s="100">
        <f>IFERROR(VLOOKUP(Tablo519[[#This Row],[ÜRÜN KODU]],YMKODLARI!$A$1:$K$363,9,0)," ")</f>
        <v>5287</v>
      </c>
      <c r="K175" s="100" t="str">
        <f>IFERROR(VLOOKUP(Tablo519[[#This Row],[BOYA KODU]],Tablo14[#All],4,0)," ")</f>
        <v>MAVİ</v>
      </c>
      <c r="L175" s="100">
        <f>IFERROR(VLOOKUP(Tablo519[[#This Row],[BOYA KODU]],Tablo14[#All],6,0)," ")</f>
        <v>5.0000000000000001E-3</v>
      </c>
      <c r="M175" s="100">
        <f t="shared" si="18"/>
        <v>60.108999999999995</v>
      </c>
      <c r="N175" s="100" t="str">
        <f>IFERROR(VLOOKUP(Tablo519[[#This Row],[ÜRÜN KODU]],YMKODLARI!$A$1:$K$363,8,0)," ")</f>
        <v>HM 001</v>
      </c>
      <c r="O175" s="100" t="str">
        <f>IFERROR(VLOOKUP(Tablo519[[#This Row],[HAMMADDE KODU]],Tablo1[#All],3,0)," ")</f>
        <v>CAPILENE</v>
      </c>
      <c r="P175" s="100" t="str">
        <f>IFERROR(VLOOKUP(Tablo519[[#This Row],[HAMMADDE KODU]],Tablo1[#All],4,0)," ")</f>
        <v>PİNHAS</v>
      </c>
      <c r="Q175" s="100">
        <f>IFERROR(VLOOKUP(Tablo519[[#This Row],[ÜRÜN KODU]],YMKODLARI!$A$1:$K$363,5,0)," ")</f>
        <v>27.7</v>
      </c>
      <c r="R175" s="100">
        <f>IFERROR(VLOOKUP(Tablo519[[#This Row],[ÜRÜN KODU]],YMKODLARI!$A$1:$K$363,6,0)," ")</f>
        <v>27.7</v>
      </c>
      <c r="S175" s="100">
        <f>IFERROR(Tablo519[[#This Row],[YOLLUK HARİÇ BASKI GRAMI]]/Tablo519[[#This Row],[KALIP GÖZ ADEDİ]]," ")</f>
        <v>6.9249999999999998</v>
      </c>
      <c r="T175" s="100">
        <f t="shared" si="19"/>
        <v>0</v>
      </c>
      <c r="U175" s="100">
        <v>1</v>
      </c>
      <c r="V175" s="100">
        <f t="shared" si="24"/>
        <v>13.021799999999999</v>
      </c>
      <c r="W175" s="101">
        <f t="shared" si="20"/>
        <v>24.159722222222221</v>
      </c>
      <c r="X175" s="102">
        <f t="shared" si="21"/>
        <v>3.8333333333333144</v>
      </c>
      <c r="Y175" s="100">
        <f t="shared" si="22"/>
        <v>3.0138888888888888</v>
      </c>
      <c r="Z175" s="100">
        <f t="shared" si="23"/>
        <v>1736</v>
      </c>
    </row>
    <row r="176" spans="1:26">
      <c r="A176" s="100" t="s">
        <v>211</v>
      </c>
      <c r="B176" s="108" t="str">
        <f>IFERROR(VLOOKUP(Tablo519[[#This Row],[ÜRÜN KODU]],YMKODLARI!$A$1:$K$363,2,0)," ")</f>
        <v xml:space="preserve"> BİBERON VİDA</v>
      </c>
      <c r="C176" s="99">
        <v>44063</v>
      </c>
      <c r="D176" s="100" t="s">
        <v>33</v>
      </c>
      <c r="E176" s="101">
        <v>0.33333333333333331</v>
      </c>
      <c r="F176" s="101">
        <v>0.75</v>
      </c>
      <c r="G176" s="100">
        <f>IFERROR(VLOOKUP(Tablo519[[#This Row],[ÜRÜN KODU]],YMKODLARI!$A$1:$K$363,3,0)," ")</f>
        <v>4</v>
      </c>
      <c r="H176" s="100">
        <f>IFERROR(VLOOKUP(Tablo519[[#This Row],[ÜRÜN KODU]],YMKODLARI!$A$1:$K$363,4,0)," ")</f>
        <v>25</v>
      </c>
      <c r="I176" s="100">
        <v>1073</v>
      </c>
      <c r="J176" s="100">
        <f>IFERROR(VLOOKUP(Tablo519[[#This Row],[ÜRÜN KODU]],YMKODLARI!$A$1:$K$363,9,0)," ")</f>
        <v>5287</v>
      </c>
      <c r="K176" s="100" t="str">
        <f>IFERROR(VLOOKUP(Tablo519[[#This Row],[BOYA KODU]],Tablo14[#All],4,0)," ")</f>
        <v>MAVİ</v>
      </c>
      <c r="L176" s="100">
        <f>IFERROR(VLOOKUP(Tablo519[[#This Row],[BOYA KODU]],Tablo14[#All],6,0)," ")</f>
        <v>5.0000000000000001E-3</v>
      </c>
      <c r="M176" s="100">
        <f t="shared" si="18"/>
        <v>148.6105</v>
      </c>
      <c r="N176" s="100" t="str">
        <f>IFERROR(VLOOKUP(Tablo519[[#This Row],[ÜRÜN KODU]],YMKODLARI!$A$1:$K$363,8,0)," ")</f>
        <v>HM 001</v>
      </c>
      <c r="O176" s="100" t="str">
        <f>IFERROR(VLOOKUP(Tablo519[[#This Row],[HAMMADDE KODU]],Tablo1[#All],3,0)," ")</f>
        <v>CAPILENE</v>
      </c>
      <c r="P176" s="100" t="str">
        <f>IFERROR(VLOOKUP(Tablo519[[#This Row],[HAMMADDE KODU]],Tablo1[#All],4,0)," ")</f>
        <v>PİNHAS</v>
      </c>
      <c r="Q176" s="100">
        <f>IFERROR(VLOOKUP(Tablo519[[#This Row],[ÜRÜN KODU]],YMKODLARI!$A$1:$K$363,5,0)," ")</f>
        <v>27.7</v>
      </c>
      <c r="R176" s="100">
        <f>IFERROR(VLOOKUP(Tablo519[[#This Row],[ÜRÜN KODU]],YMKODLARI!$A$1:$K$363,6,0)," ")</f>
        <v>27.7</v>
      </c>
      <c r="S176" s="100">
        <f>IFERROR(Tablo519[[#This Row],[YOLLUK HARİÇ BASKI GRAMI]]/Tablo519[[#This Row],[KALIP GÖZ ADEDİ]]," ")</f>
        <v>6.9249999999999998</v>
      </c>
      <c r="T176" s="100">
        <f t="shared" si="19"/>
        <v>0</v>
      </c>
      <c r="U176" s="100"/>
      <c r="V176" s="100">
        <f t="shared" si="24"/>
        <v>29.722099999999998</v>
      </c>
      <c r="W176" s="101">
        <f t="shared" si="20"/>
        <v>24.416666666666668</v>
      </c>
      <c r="X176" s="102">
        <f t="shared" si="21"/>
        <v>10.000000000000028</v>
      </c>
      <c r="Y176" s="100">
        <f t="shared" si="22"/>
        <v>7.4513888888888893</v>
      </c>
      <c r="Z176" s="100">
        <f t="shared" si="23"/>
        <v>4292</v>
      </c>
    </row>
    <row r="177" spans="1:26">
      <c r="A177" s="100" t="s">
        <v>211</v>
      </c>
      <c r="B177" s="108" t="str">
        <f>IFERROR(VLOOKUP(Tablo519[[#This Row],[ÜRÜN KODU]],YMKODLARI!$A$1:$K$363,2,0)," ")</f>
        <v xml:space="preserve"> BİBERON VİDA</v>
      </c>
      <c r="C177" s="99">
        <v>44064</v>
      </c>
      <c r="D177" s="100" t="s">
        <v>33</v>
      </c>
      <c r="E177" s="101">
        <v>0.33333333333333331</v>
      </c>
      <c r="F177" s="101">
        <v>0.51736111111111105</v>
      </c>
      <c r="G177" s="100">
        <f>IFERROR(VLOOKUP(Tablo519[[#This Row],[ÜRÜN KODU]],YMKODLARI!$A$1:$K$363,3,0)," ")</f>
        <v>4</v>
      </c>
      <c r="H177" s="100">
        <f>IFERROR(VLOOKUP(Tablo519[[#This Row],[ÜRÜN KODU]],YMKODLARI!$A$1:$K$363,4,0)," ")</f>
        <v>25</v>
      </c>
      <c r="I177" s="100">
        <v>550</v>
      </c>
      <c r="J177" s="100">
        <f>IFERROR(VLOOKUP(Tablo519[[#This Row],[ÜRÜN KODU]],YMKODLARI!$A$1:$K$363,9,0)," ")</f>
        <v>5287</v>
      </c>
      <c r="K177" s="100" t="str">
        <f>IFERROR(VLOOKUP(Tablo519[[#This Row],[BOYA KODU]],Tablo14[#All],4,0)," ")</f>
        <v>MAVİ</v>
      </c>
      <c r="L177" s="100">
        <f>IFERROR(VLOOKUP(Tablo519[[#This Row],[BOYA KODU]],Tablo14[#All],6,0)," ")</f>
        <v>5.0000000000000001E-3</v>
      </c>
      <c r="M177" s="100">
        <f t="shared" si="18"/>
        <v>76.174999999999997</v>
      </c>
      <c r="N177" s="100" t="str">
        <f>IFERROR(VLOOKUP(Tablo519[[#This Row],[ÜRÜN KODU]],YMKODLARI!$A$1:$K$363,8,0)," ")</f>
        <v>HM 001</v>
      </c>
      <c r="O177" s="100" t="str">
        <f>IFERROR(VLOOKUP(Tablo519[[#This Row],[HAMMADDE KODU]],Tablo1[#All],3,0)," ")</f>
        <v>CAPILENE</v>
      </c>
      <c r="P177" s="100" t="str">
        <f>IFERROR(VLOOKUP(Tablo519[[#This Row],[HAMMADDE KODU]],Tablo1[#All],4,0)," ")</f>
        <v>PİNHAS</v>
      </c>
      <c r="Q177" s="100">
        <f>IFERROR(VLOOKUP(Tablo519[[#This Row],[ÜRÜN KODU]],YMKODLARI!$A$1:$K$363,5,0)," ")</f>
        <v>27.7</v>
      </c>
      <c r="R177" s="100">
        <f>IFERROR(VLOOKUP(Tablo519[[#This Row],[ÜRÜN KODU]],YMKODLARI!$A$1:$K$363,6,0)," ")</f>
        <v>27.7</v>
      </c>
      <c r="S177" s="100">
        <f>IFERROR(Tablo519[[#This Row],[YOLLUK HARİÇ BASKI GRAMI]]/Tablo519[[#This Row],[KALIP GÖZ ADEDİ]]," ")</f>
        <v>6.9249999999999998</v>
      </c>
      <c r="T177" s="100">
        <f t="shared" si="19"/>
        <v>0</v>
      </c>
      <c r="U177" s="100">
        <v>3.4</v>
      </c>
      <c r="V177" s="100">
        <f t="shared" si="24"/>
        <v>18.634999999999998</v>
      </c>
      <c r="W177" s="101">
        <f t="shared" si="20"/>
        <v>24.184027777777779</v>
      </c>
      <c r="X177" s="102">
        <f t="shared" si="21"/>
        <v>4.4166666666666856</v>
      </c>
      <c r="Y177" s="100">
        <f t="shared" si="22"/>
        <v>3.8194444444444446</v>
      </c>
      <c r="Z177" s="100">
        <f t="shared" si="23"/>
        <v>2200</v>
      </c>
    </row>
    <row r="178" spans="1:26">
      <c r="A178" s="100" t="s">
        <v>210</v>
      </c>
      <c r="B178" s="108" t="str">
        <f>IFERROR(VLOOKUP(Tablo519[[#This Row],[ÜRÜN KODU]],YMKODLARI!$A$1:$K$363,2,0)," ")</f>
        <v xml:space="preserve"> BİBERON VİDA</v>
      </c>
      <c r="C178" s="99">
        <v>44064</v>
      </c>
      <c r="D178" s="100" t="s">
        <v>33</v>
      </c>
      <c r="E178" s="101">
        <v>0.51736111111111105</v>
      </c>
      <c r="F178" s="101">
        <v>0.75</v>
      </c>
      <c r="G178" s="100">
        <f>IFERROR(VLOOKUP(Tablo519[[#This Row],[ÜRÜN KODU]],YMKODLARI!$A$1:$K$363,3,0)," ")</f>
        <v>4</v>
      </c>
      <c r="H178" s="100">
        <f>IFERROR(VLOOKUP(Tablo519[[#This Row],[ÜRÜN KODU]],YMKODLARI!$A$1:$K$363,4,0)," ")</f>
        <v>25</v>
      </c>
      <c r="I178" s="100">
        <v>650</v>
      </c>
      <c r="J178" s="100">
        <f>IFERROR(VLOOKUP(Tablo519[[#This Row],[ÜRÜN KODU]],YMKODLARI!$A$1:$K$363,9,0)," ")</f>
        <v>3409</v>
      </c>
      <c r="K178" s="100" t="str">
        <f>IFERROR(VLOOKUP(Tablo519[[#This Row],[BOYA KODU]],Tablo14[#All],4,0)," ")</f>
        <v>PEMBE</v>
      </c>
      <c r="L178" s="100">
        <f>IFERROR(VLOOKUP(Tablo519[[#This Row],[BOYA KODU]],Tablo14[#All],6,0)," ")</f>
        <v>5.0000000000000001E-3</v>
      </c>
      <c r="M178" s="100">
        <f t="shared" si="18"/>
        <v>90.025000000000006</v>
      </c>
      <c r="N178" s="100" t="str">
        <f>IFERROR(VLOOKUP(Tablo519[[#This Row],[ÜRÜN KODU]],YMKODLARI!$A$1:$K$363,8,0)," ")</f>
        <v>HM 001</v>
      </c>
      <c r="O178" s="100" t="str">
        <f>IFERROR(VLOOKUP(Tablo519[[#This Row],[HAMMADDE KODU]],Tablo1[#All],3,0)," ")</f>
        <v>CAPILENE</v>
      </c>
      <c r="P178" s="100" t="str">
        <f>IFERROR(VLOOKUP(Tablo519[[#This Row],[HAMMADDE KODU]],Tablo1[#All],4,0)," ")</f>
        <v>PİNHAS</v>
      </c>
      <c r="Q178" s="100">
        <f>IFERROR(VLOOKUP(Tablo519[[#This Row],[ÜRÜN KODU]],YMKODLARI!$A$1:$K$363,5,0)," ")</f>
        <v>27.7</v>
      </c>
      <c r="R178" s="100">
        <f>IFERROR(VLOOKUP(Tablo519[[#This Row],[ÜRÜN KODU]],YMKODLARI!$A$1:$K$363,6,0)," ")</f>
        <v>27.7</v>
      </c>
      <c r="S178" s="100">
        <f>IFERROR(Tablo519[[#This Row],[YOLLUK HARİÇ BASKI GRAMI]]/Tablo519[[#This Row],[KALIP GÖZ ADEDİ]]," ")</f>
        <v>6.9249999999999998</v>
      </c>
      <c r="T178" s="100">
        <f t="shared" si="19"/>
        <v>0</v>
      </c>
      <c r="U178" s="100">
        <v>2</v>
      </c>
      <c r="V178" s="100">
        <f t="shared" si="24"/>
        <v>20.004999999999999</v>
      </c>
      <c r="W178" s="101">
        <f t="shared" si="20"/>
        <v>24.232638888888889</v>
      </c>
      <c r="X178" s="102">
        <f t="shared" si="21"/>
        <v>5.5833333333333428</v>
      </c>
      <c r="Y178" s="100">
        <f t="shared" si="22"/>
        <v>4.5138888888888893</v>
      </c>
      <c r="Z178" s="100">
        <f t="shared" si="23"/>
        <v>2600</v>
      </c>
    </row>
    <row r="179" spans="1:26">
      <c r="A179" s="100" t="s">
        <v>210</v>
      </c>
      <c r="B179" s="108" t="str">
        <f>IFERROR(VLOOKUP(Tablo519[[#This Row],[ÜRÜN KODU]],YMKODLARI!$A$1:$K$363,2,0)," ")</f>
        <v xml:space="preserve"> BİBERON VİDA</v>
      </c>
      <c r="C179" s="99">
        <v>44067</v>
      </c>
      <c r="D179" s="100" t="s">
        <v>33</v>
      </c>
      <c r="E179" s="101">
        <v>0.33333333333333331</v>
      </c>
      <c r="F179" s="101">
        <v>0.75</v>
      </c>
      <c r="G179" s="100">
        <f>IFERROR(VLOOKUP(Tablo519[[#This Row],[ÜRÜN KODU]],YMKODLARI!$A$1:$K$363,3,0)," ")</f>
        <v>4</v>
      </c>
      <c r="H179" s="100">
        <f>IFERROR(VLOOKUP(Tablo519[[#This Row],[ÜRÜN KODU]],YMKODLARI!$A$1:$K$363,4,0)," ")</f>
        <v>25</v>
      </c>
      <c r="I179" s="100">
        <v>1181</v>
      </c>
      <c r="J179" s="100">
        <f>IFERROR(VLOOKUP(Tablo519[[#This Row],[ÜRÜN KODU]],YMKODLARI!$A$1:$K$363,9,0)," ")</f>
        <v>3409</v>
      </c>
      <c r="K179" s="100" t="str">
        <f>IFERROR(VLOOKUP(Tablo519[[#This Row],[BOYA KODU]],Tablo14[#All],4,0)," ")</f>
        <v>PEMBE</v>
      </c>
      <c r="L179" s="100">
        <f>IFERROR(VLOOKUP(Tablo519[[#This Row],[BOYA KODU]],Tablo14[#All],6,0)," ")</f>
        <v>5.0000000000000001E-3</v>
      </c>
      <c r="M179" s="100">
        <f t="shared" si="18"/>
        <v>163.5685</v>
      </c>
      <c r="N179" s="100" t="str">
        <f>IFERROR(VLOOKUP(Tablo519[[#This Row],[ÜRÜN KODU]],YMKODLARI!$A$1:$K$363,8,0)," ")</f>
        <v>HM 001</v>
      </c>
      <c r="O179" s="100" t="str">
        <f>IFERROR(VLOOKUP(Tablo519[[#This Row],[HAMMADDE KODU]],Tablo1[#All],3,0)," ")</f>
        <v>CAPILENE</v>
      </c>
      <c r="P179" s="100" t="str">
        <f>IFERROR(VLOOKUP(Tablo519[[#This Row],[HAMMADDE KODU]],Tablo1[#All],4,0)," ")</f>
        <v>PİNHAS</v>
      </c>
      <c r="Q179" s="100">
        <f>IFERROR(VLOOKUP(Tablo519[[#This Row],[ÜRÜN KODU]],YMKODLARI!$A$1:$K$363,5,0)," ")</f>
        <v>27.7</v>
      </c>
      <c r="R179" s="100">
        <f>IFERROR(VLOOKUP(Tablo519[[#This Row],[ÜRÜN KODU]],YMKODLARI!$A$1:$K$363,6,0)," ")</f>
        <v>27.7</v>
      </c>
      <c r="S179" s="100">
        <f>IFERROR(Tablo519[[#This Row],[YOLLUK HARİÇ BASKI GRAMI]]/Tablo519[[#This Row],[KALIP GÖZ ADEDİ]]," ")</f>
        <v>6.9249999999999998</v>
      </c>
      <c r="T179" s="100">
        <f t="shared" si="19"/>
        <v>0</v>
      </c>
      <c r="U179" s="100">
        <v>1.4</v>
      </c>
      <c r="V179" s="100">
        <f t="shared" si="24"/>
        <v>34.113700000000001</v>
      </c>
      <c r="W179" s="101">
        <f t="shared" si="20"/>
        <v>24.416666666666668</v>
      </c>
      <c r="X179" s="102">
        <f t="shared" si="21"/>
        <v>10.000000000000028</v>
      </c>
      <c r="Y179" s="100">
        <f t="shared" si="22"/>
        <v>8.2013888888888893</v>
      </c>
      <c r="Z179" s="100">
        <f t="shared" si="23"/>
        <v>4724</v>
      </c>
    </row>
    <row r="180" spans="1:26">
      <c r="A180" s="100" t="s">
        <v>210</v>
      </c>
      <c r="B180" s="108" t="str">
        <f>IFERROR(VLOOKUP(Tablo519[[#This Row],[ÜRÜN KODU]],YMKODLARI!$A$1:$K$363,2,0)," ")</f>
        <v xml:space="preserve"> BİBERON VİDA</v>
      </c>
      <c r="C180" s="99">
        <v>44068</v>
      </c>
      <c r="D180" s="100" t="s">
        <v>33</v>
      </c>
      <c r="E180" s="101">
        <v>0.33680555555555558</v>
      </c>
      <c r="F180" s="101">
        <v>0.35069444444444442</v>
      </c>
      <c r="G180" s="100">
        <f>IFERROR(VLOOKUP(Tablo519[[#This Row],[ÜRÜN KODU]],YMKODLARI!$A$1:$K$363,3,0)," ")</f>
        <v>4</v>
      </c>
      <c r="H180" s="100">
        <f>IFERROR(VLOOKUP(Tablo519[[#This Row],[ÜRÜN KODU]],YMKODLARI!$A$1:$K$363,4,0)," ")</f>
        <v>25</v>
      </c>
      <c r="I180" s="100">
        <v>45</v>
      </c>
      <c r="J180" s="100">
        <f>IFERROR(VLOOKUP(Tablo519[[#This Row],[ÜRÜN KODU]],YMKODLARI!$A$1:$K$363,9,0)," ")</f>
        <v>3409</v>
      </c>
      <c r="K180" s="100" t="str">
        <f>IFERROR(VLOOKUP(Tablo519[[#This Row],[BOYA KODU]],Tablo14[#All],4,0)," ")</f>
        <v>PEMBE</v>
      </c>
      <c r="L180" s="100">
        <f>IFERROR(VLOOKUP(Tablo519[[#This Row],[BOYA KODU]],Tablo14[#All],6,0)," ")</f>
        <v>5.0000000000000001E-3</v>
      </c>
      <c r="M180" s="100">
        <f t="shared" si="18"/>
        <v>6.2324999999999999</v>
      </c>
      <c r="N180" s="100" t="str">
        <f>IFERROR(VLOOKUP(Tablo519[[#This Row],[ÜRÜN KODU]],YMKODLARI!$A$1:$K$363,8,0)," ")</f>
        <v>HM 001</v>
      </c>
      <c r="O180" s="100" t="str">
        <f>IFERROR(VLOOKUP(Tablo519[[#This Row],[HAMMADDE KODU]],Tablo1[#All],3,0)," ")</f>
        <v>CAPILENE</v>
      </c>
      <c r="P180" s="100" t="str">
        <f>IFERROR(VLOOKUP(Tablo519[[#This Row],[HAMMADDE KODU]],Tablo1[#All],4,0)," ")</f>
        <v>PİNHAS</v>
      </c>
      <c r="Q180" s="100">
        <f>IFERROR(VLOOKUP(Tablo519[[#This Row],[ÜRÜN KODU]],YMKODLARI!$A$1:$K$363,5,0)," ")</f>
        <v>27.7</v>
      </c>
      <c r="R180" s="100">
        <f>IFERROR(VLOOKUP(Tablo519[[#This Row],[ÜRÜN KODU]],YMKODLARI!$A$1:$K$363,6,0)," ")</f>
        <v>27.7</v>
      </c>
      <c r="S180" s="100">
        <f>IFERROR(Tablo519[[#This Row],[YOLLUK HARİÇ BASKI GRAMI]]/Tablo519[[#This Row],[KALIP GÖZ ADEDİ]]," ")</f>
        <v>6.9249999999999998</v>
      </c>
      <c r="T180" s="100">
        <f t="shared" si="19"/>
        <v>0</v>
      </c>
      <c r="U180" s="100"/>
      <c r="V180" s="100">
        <f t="shared" si="24"/>
        <v>1.2464999999999999</v>
      </c>
      <c r="W180" s="101">
        <f t="shared" si="20"/>
        <v>24.013888888888889</v>
      </c>
      <c r="X180" s="102">
        <f t="shared" si="21"/>
        <v>0.33333333333334281</v>
      </c>
      <c r="Y180" s="100">
        <f t="shared" si="22"/>
        <v>0.3125</v>
      </c>
      <c r="Z180" s="100">
        <f t="shared" si="23"/>
        <v>180</v>
      </c>
    </row>
    <row r="181" spans="1:26">
      <c r="A181" s="100" t="s">
        <v>212</v>
      </c>
      <c r="B181" s="108" t="str">
        <f>IFERROR(VLOOKUP(Tablo519[[#This Row],[ÜRÜN KODU]],YMKODLARI!$A$1:$K$363,2,0)," ")</f>
        <v xml:space="preserve"> BİBERON VİDA</v>
      </c>
      <c r="C181" s="99">
        <v>44068</v>
      </c>
      <c r="D181" s="100" t="s">
        <v>33</v>
      </c>
      <c r="E181" s="101">
        <v>0.35069444444444442</v>
      </c>
      <c r="F181" s="101">
        <v>0.75</v>
      </c>
      <c r="G181" s="100">
        <f>IFERROR(VLOOKUP(Tablo519[[#This Row],[ÜRÜN KODU]],YMKODLARI!$A$1:$K$363,3,0)," ")</f>
        <v>4</v>
      </c>
      <c r="H181" s="100">
        <f>IFERROR(VLOOKUP(Tablo519[[#This Row],[ÜRÜN KODU]],YMKODLARI!$A$1:$K$363,4,0)," ")</f>
        <v>25</v>
      </c>
      <c r="I181" s="100">
        <v>1273</v>
      </c>
      <c r="J181" s="100">
        <f>IFERROR(VLOOKUP(Tablo519[[#This Row],[ÜRÜN KODU]],YMKODLARI!$A$1:$K$363,9,0)," ")</f>
        <v>3041</v>
      </c>
      <c r="K181" s="100" t="str">
        <f>IFERROR(VLOOKUP(Tablo519[[#This Row],[BOYA KODU]],Tablo14[#All],4,0)," ")</f>
        <v>KIRMIZI</v>
      </c>
      <c r="L181" s="100">
        <f>IFERROR(VLOOKUP(Tablo519[[#This Row],[BOYA KODU]],Tablo14[#All],6,0)," ")</f>
        <v>5.0000000000000001E-3</v>
      </c>
      <c r="M181" s="100">
        <f t="shared" si="18"/>
        <v>176.31049999999999</v>
      </c>
      <c r="N181" s="100" t="str">
        <f>IFERROR(VLOOKUP(Tablo519[[#This Row],[ÜRÜN KODU]],YMKODLARI!$A$1:$K$363,8,0)," ")</f>
        <v>HM 001</v>
      </c>
      <c r="O181" s="100" t="str">
        <f>IFERROR(VLOOKUP(Tablo519[[#This Row],[HAMMADDE KODU]],Tablo1[#All],3,0)," ")</f>
        <v>CAPILENE</v>
      </c>
      <c r="P181" s="100" t="str">
        <f>IFERROR(VLOOKUP(Tablo519[[#This Row],[HAMMADDE KODU]],Tablo1[#All],4,0)," ")</f>
        <v>PİNHAS</v>
      </c>
      <c r="Q181" s="100">
        <f>IFERROR(VLOOKUP(Tablo519[[#This Row],[ÜRÜN KODU]],YMKODLARI!$A$1:$K$363,5,0)," ")</f>
        <v>27.7</v>
      </c>
      <c r="R181" s="100">
        <f>IFERROR(VLOOKUP(Tablo519[[#This Row],[ÜRÜN KODU]],YMKODLARI!$A$1:$K$363,6,0)," ")</f>
        <v>27.7</v>
      </c>
      <c r="S181" s="100">
        <f>IFERROR(Tablo519[[#This Row],[YOLLUK HARİÇ BASKI GRAMI]]/Tablo519[[#This Row],[KALIP GÖZ ADEDİ]]," ")</f>
        <v>6.9249999999999998</v>
      </c>
      <c r="T181" s="100">
        <f t="shared" si="19"/>
        <v>0</v>
      </c>
      <c r="U181" s="100">
        <v>1.4</v>
      </c>
      <c r="V181" s="100">
        <f t="shared" si="24"/>
        <v>36.662099999999995</v>
      </c>
      <c r="W181" s="101">
        <f t="shared" si="20"/>
        <v>24.399305555555557</v>
      </c>
      <c r="X181" s="102">
        <f t="shared" si="21"/>
        <v>9.5833333333333712</v>
      </c>
      <c r="Y181" s="100">
        <f t="shared" si="22"/>
        <v>8.8402777777777786</v>
      </c>
      <c r="Z181" s="100">
        <f t="shared" si="23"/>
        <v>5092</v>
      </c>
    </row>
    <row r="182" spans="1:26">
      <c r="A182" s="100" t="s">
        <v>213</v>
      </c>
      <c r="B182" s="108" t="str">
        <f>IFERROR(VLOOKUP(Tablo519[[#This Row],[ÜRÜN KODU]],YMKODLARI!$A$1:$K$363,2,0)," ")</f>
        <v>GENİŞ AĞIZ BİBERON KAPAĞI</v>
      </c>
      <c r="C182" s="99">
        <v>44069</v>
      </c>
      <c r="D182" s="100" t="s">
        <v>36</v>
      </c>
      <c r="E182" s="101">
        <v>0.47916666666666669</v>
      </c>
      <c r="F182" s="101">
        <v>0.75</v>
      </c>
      <c r="G182" s="100">
        <f>IFERROR(VLOOKUP(Tablo519[[#This Row],[ÜRÜN KODU]],YMKODLARI!$A$1:$K$363,3,0)," ")</f>
        <v>4</v>
      </c>
      <c r="H182" s="100">
        <f>IFERROR(VLOOKUP(Tablo519[[#This Row],[ÜRÜN KODU]],YMKODLARI!$A$1:$K$363,4,0)," ")</f>
        <v>12</v>
      </c>
      <c r="I182" s="100">
        <v>1324</v>
      </c>
      <c r="J182" s="100" t="str">
        <f>IFERROR(VLOOKUP(Tablo519[[#This Row],[ÜRÜN KODU]],YMKODLARI!$A$1:$K$363,9,0)," ")</f>
        <v>Şeffaf</v>
      </c>
      <c r="K182" s="100" t="str">
        <f>IFERROR(VLOOKUP(Tablo519[[#This Row],[BOYA KODU]],Tablo14[#All],4,0)," ")</f>
        <v xml:space="preserve"> </v>
      </c>
      <c r="L182" s="100" t="str">
        <f>IFERROR(VLOOKUP(Tablo519[[#This Row],[BOYA KODU]],Tablo14[#All],6,0)," ")</f>
        <v xml:space="preserve"> </v>
      </c>
      <c r="M182" s="100" t="str">
        <f t="shared" si="18"/>
        <v xml:space="preserve"> </v>
      </c>
      <c r="N182" s="100" t="str">
        <f>IFERROR(VLOOKUP(Tablo519[[#This Row],[ÜRÜN KODU]],YMKODLARI!$A$1:$K$363,8,0)," ")</f>
        <v>HM 001</v>
      </c>
      <c r="O182" s="100" t="str">
        <f>IFERROR(VLOOKUP(Tablo519[[#This Row],[HAMMADDE KODU]],Tablo1[#All],3,0)," ")</f>
        <v>CAPILENE</v>
      </c>
      <c r="P182" s="100" t="str">
        <f>IFERROR(VLOOKUP(Tablo519[[#This Row],[HAMMADDE KODU]],Tablo1[#All],4,0)," ")</f>
        <v>PİNHAS</v>
      </c>
      <c r="Q182" s="100">
        <f>IFERROR(VLOOKUP(Tablo519[[#This Row],[ÜRÜN KODU]],YMKODLARI!$A$1:$K$363,5,0)," ")</f>
        <v>34.4</v>
      </c>
      <c r="R182" s="100">
        <f>IFERROR(VLOOKUP(Tablo519[[#This Row],[ÜRÜN KODU]],YMKODLARI!$A$1:$K$363,6,0)," ")</f>
        <v>34.4</v>
      </c>
      <c r="S182" s="100">
        <f>IFERROR(Tablo519[[#This Row],[YOLLUK HARİÇ BASKI GRAMI]]/Tablo519[[#This Row],[KALIP GÖZ ADEDİ]]," ")</f>
        <v>8.6</v>
      </c>
      <c r="T182" s="100">
        <f t="shared" si="19"/>
        <v>0</v>
      </c>
      <c r="U182" s="100"/>
      <c r="V182" s="100">
        <f t="shared" si="24"/>
        <v>45.5456</v>
      </c>
      <c r="W182" s="101">
        <f t="shared" si="20"/>
        <v>24.270833333333332</v>
      </c>
      <c r="X182" s="102">
        <f t="shared" si="21"/>
        <v>6.4999999999999716</v>
      </c>
      <c r="Y182" s="100">
        <f t="shared" si="22"/>
        <v>4.4133333333333331</v>
      </c>
      <c r="Z182" s="100">
        <f t="shared" si="23"/>
        <v>5296</v>
      </c>
    </row>
    <row r="183" spans="1:26">
      <c r="A183" s="100" t="s">
        <v>213</v>
      </c>
      <c r="B183" s="108" t="str">
        <f>IFERROR(VLOOKUP(Tablo519[[#This Row],[ÜRÜN KODU]],YMKODLARI!$A$1:$K$363,2,0)," ")</f>
        <v>GENİŞ AĞIZ BİBERON KAPAĞI</v>
      </c>
      <c r="C183" s="99">
        <v>44070</v>
      </c>
      <c r="D183" s="100" t="s">
        <v>36</v>
      </c>
      <c r="E183" s="101">
        <v>0.33333333333333331</v>
      </c>
      <c r="F183" s="101">
        <v>0.75</v>
      </c>
      <c r="G183" s="100">
        <f>IFERROR(VLOOKUP(Tablo519[[#This Row],[ÜRÜN KODU]],YMKODLARI!$A$1:$K$363,3,0)," ")</f>
        <v>4</v>
      </c>
      <c r="H183" s="100">
        <f>IFERROR(VLOOKUP(Tablo519[[#This Row],[ÜRÜN KODU]],YMKODLARI!$A$1:$K$363,4,0)," ")</f>
        <v>12</v>
      </c>
      <c r="I183" s="100">
        <v>2036</v>
      </c>
      <c r="J183" s="100" t="str">
        <f>IFERROR(VLOOKUP(Tablo519[[#This Row],[ÜRÜN KODU]],YMKODLARI!$A$1:$K$363,9,0)," ")</f>
        <v>Şeffaf</v>
      </c>
      <c r="K183" s="100" t="str">
        <f>IFERROR(VLOOKUP(Tablo519[[#This Row],[BOYA KODU]],Tablo14[#All],4,0)," ")</f>
        <v xml:space="preserve"> </v>
      </c>
      <c r="L183" s="100" t="str">
        <f>IFERROR(VLOOKUP(Tablo519[[#This Row],[BOYA KODU]],Tablo14[#All],6,0)," ")</f>
        <v xml:space="preserve"> </v>
      </c>
      <c r="M183" s="100" t="str">
        <f t="shared" si="18"/>
        <v xml:space="preserve"> </v>
      </c>
      <c r="N183" s="100" t="str">
        <f>IFERROR(VLOOKUP(Tablo519[[#This Row],[ÜRÜN KODU]],YMKODLARI!$A$1:$K$363,8,0)," ")</f>
        <v>HM 001</v>
      </c>
      <c r="O183" s="100" t="str">
        <f>IFERROR(VLOOKUP(Tablo519[[#This Row],[HAMMADDE KODU]],Tablo1[#All],3,0)," ")</f>
        <v>CAPILENE</v>
      </c>
      <c r="P183" s="100" t="str">
        <f>IFERROR(VLOOKUP(Tablo519[[#This Row],[HAMMADDE KODU]],Tablo1[#All],4,0)," ")</f>
        <v>PİNHAS</v>
      </c>
      <c r="Q183" s="100">
        <f>IFERROR(VLOOKUP(Tablo519[[#This Row],[ÜRÜN KODU]],YMKODLARI!$A$1:$K$363,5,0)," ")</f>
        <v>34.4</v>
      </c>
      <c r="R183" s="100">
        <f>IFERROR(VLOOKUP(Tablo519[[#This Row],[ÜRÜN KODU]],YMKODLARI!$A$1:$K$363,6,0)," ")</f>
        <v>34.4</v>
      </c>
      <c r="S183" s="100">
        <f>IFERROR(Tablo519[[#This Row],[YOLLUK HARİÇ BASKI GRAMI]]/Tablo519[[#This Row],[KALIP GÖZ ADEDİ]]," ")</f>
        <v>8.6</v>
      </c>
      <c r="T183" s="100">
        <f t="shared" si="19"/>
        <v>0</v>
      </c>
      <c r="U183" s="100"/>
      <c r="V183" s="100">
        <f t="shared" si="24"/>
        <v>70.038399999999996</v>
      </c>
      <c r="W183" s="101">
        <f t="shared" si="20"/>
        <v>24.416666666666668</v>
      </c>
      <c r="X183" s="102">
        <f t="shared" si="21"/>
        <v>10.000000000000028</v>
      </c>
      <c r="Y183" s="100">
        <f t="shared" si="22"/>
        <v>6.7866666666666671</v>
      </c>
      <c r="Z183" s="100">
        <f t="shared" si="23"/>
        <v>8144</v>
      </c>
    </row>
    <row r="184" spans="1:26">
      <c r="A184" s="100" t="s">
        <v>214</v>
      </c>
      <c r="B184" s="108" t="str">
        <f>IFERROR(VLOOKUP(Tablo519[[#This Row],[ÜRÜN KODU]],YMKODLARI!$A$1:$K$363,2,0)," ")</f>
        <v>EMZİK KAPAĞI</v>
      </c>
      <c r="C184" s="99">
        <v>44071</v>
      </c>
      <c r="D184" s="100" t="s">
        <v>33</v>
      </c>
      <c r="E184" s="101">
        <v>0.6875</v>
      </c>
      <c r="F184" s="101">
        <v>0.75</v>
      </c>
      <c r="G184" s="100">
        <f>IFERROR(VLOOKUP(Tablo519[[#This Row],[ÜRÜN KODU]],YMKODLARI!$A$1:$K$363,3,0)," ")</f>
        <v>8</v>
      </c>
      <c r="H184" s="100">
        <f>IFERROR(VLOOKUP(Tablo519[[#This Row],[ÜRÜN KODU]],YMKODLARI!$A$1:$K$363,4,0)," ")</f>
        <v>27</v>
      </c>
      <c r="I184" s="100">
        <v>188</v>
      </c>
      <c r="J184" s="100" t="str">
        <f>IFERROR(VLOOKUP(Tablo519[[#This Row],[ÜRÜN KODU]],YMKODLARI!$A$1:$K$363,9,0)," ")</f>
        <v>Şeffaf</v>
      </c>
      <c r="K184" s="100" t="str">
        <f>IFERROR(VLOOKUP(Tablo519[[#This Row],[BOYA KODU]],Tablo14[#All],4,0)," ")</f>
        <v xml:space="preserve"> </v>
      </c>
      <c r="L184" s="100" t="str">
        <f>IFERROR(VLOOKUP(Tablo519[[#This Row],[BOYA KODU]],Tablo14[#All],6,0)," ")</f>
        <v xml:space="preserve"> </v>
      </c>
      <c r="M184" s="100" t="str">
        <f t="shared" si="18"/>
        <v xml:space="preserve"> </v>
      </c>
      <c r="N184" s="100" t="str">
        <f>IFERROR(VLOOKUP(Tablo519[[#This Row],[ÜRÜN KODU]],YMKODLARI!$A$1:$K$363,8,0)," ")</f>
        <v>HM 001</v>
      </c>
      <c r="O184" s="100" t="str">
        <f>IFERROR(VLOOKUP(Tablo519[[#This Row],[HAMMADDE KODU]],Tablo1[#All],3,0)," ")</f>
        <v>CAPILENE</v>
      </c>
      <c r="P184" s="100" t="str">
        <f>IFERROR(VLOOKUP(Tablo519[[#This Row],[HAMMADDE KODU]],Tablo1[#All],4,0)," ")</f>
        <v>PİNHAS</v>
      </c>
      <c r="Q184" s="100">
        <f>IFERROR(VLOOKUP(Tablo519[[#This Row],[ÜRÜN KODU]],YMKODLARI!$A$1:$K$363,5,0)," ")</f>
        <v>27.2</v>
      </c>
      <c r="R184" s="100">
        <f>IFERROR(VLOOKUP(Tablo519[[#This Row],[ÜRÜN KODU]],YMKODLARI!$A$1:$K$363,6,0)," ")</f>
        <v>27.2</v>
      </c>
      <c r="S184" s="100">
        <f>IFERROR(Tablo519[[#This Row],[YOLLUK HARİÇ BASKI GRAMI]]/Tablo519[[#This Row],[KALIP GÖZ ADEDİ]]," ")</f>
        <v>3.4</v>
      </c>
      <c r="T184" s="100">
        <f t="shared" si="19"/>
        <v>0</v>
      </c>
      <c r="U184" s="100">
        <v>0.8</v>
      </c>
      <c r="V184" s="100">
        <f t="shared" si="24"/>
        <v>5.9135999999999989</v>
      </c>
      <c r="W184" s="101">
        <f t="shared" si="20"/>
        <v>24.0625</v>
      </c>
      <c r="X184" s="102">
        <f t="shared" si="21"/>
        <v>1.5</v>
      </c>
      <c r="Y184" s="100">
        <f t="shared" si="22"/>
        <v>1.41</v>
      </c>
      <c r="Z184" s="100">
        <f t="shared" si="23"/>
        <v>1504</v>
      </c>
    </row>
    <row r="185" spans="1:26">
      <c r="A185" s="100" t="s">
        <v>215</v>
      </c>
      <c r="B185" s="108" t="str">
        <f>IFERROR(VLOOKUP(Tablo519[[#This Row],[ÜRÜN KODU]],YMKODLARI!$A$1:$K$363,2,0)," ")</f>
        <v>MAMA KAŞIĞI SAP</v>
      </c>
      <c r="C185" s="99">
        <v>44074</v>
      </c>
      <c r="D185" s="100" t="s">
        <v>33</v>
      </c>
      <c r="E185" s="101">
        <v>0.45833333333333331</v>
      </c>
      <c r="F185" s="101">
        <v>0.75</v>
      </c>
      <c r="G185" s="100">
        <f>IFERROR(VLOOKUP(Tablo519[[#This Row],[ÜRÜN KODU]],YMKODLARI!$A$1:$K$363,3,0)," ")</f>
        <v>16</v>
      </c>
      <c r="H185" s="100">
        <f>IFERROR(VLOOKUP(Tablo519[[#This Row],[ÜRÜN KODU]],YMKODLARI!$A$1:$K$363,4,0)," ")</f>
        <v>27</v>
      </c>
      <c r="I185" s="100">
        <v>715</v>
      </c>
      <c r="J185" s="100" t="str">
        <f>IFERROR(VLOOKUP(Tablo519[[#This Row],[ÜRÜN KODU]],YMKODLARI!$A$1:$K$363,9,0)," ")</f>
        <v>9134A</v>
      </c>
      <c r="K185" s="100" t="str">
        <f>IFERROR(VLOOKUP(Tablo519[[#This Row],[BOYA KODU]],Tablo14[#All],4,0)," ")</f>
        <v>BEYAZ</v>
      </c>
      <c r="L185" s="100">
        <f>IFERROR(VLOOKUP(Tablo519[[#This Row],[BOYA KODU]],Tablo14[#All],6,0)," ")</f>
        <v>7.0000000000000001E-3</v>
      </c>
      <c r="M185" s="100">
        <f t="shared" si="18"/>
        <v>344.34399999999999</v>
      </c>
      <c r="N185" s="100" t="str">
        <f>IFERROR(VLOOKUP(Tablo519[[#This Row],[ÜRÜN KODU]],YMKODLARI!$A$1:$K$363,8,0)," ")</f>
        <v>HM 001</v>
      </c>
      <c r="O185" s="100" t="str">
        <f>IFERROR(VLOOKUP(Tablo519[[#This Row],[HAMMADDE KODU]],Tablo1[#All],3,0)," ")</f>
        <v>CAPILENE</v>
      </c>
      <c r="P185" s="100" t="str">
        <f>IFERROR(VLOOKUP(Tablo519[[#This Row],[HAMMADDE KODU]],Tablo1[#All],4,0)," ")</f>
        <v>PİNHAS</v>
      </c>
      <c r="Q185" s="100">
        <f>IFERROR(VLOOKUP(Tablo519[[#This Row],[ÜRÜN KODU]],YMKODLARI!$A$1:$K$363,5,0)," ")</f>
        <v>68.8</v>
      </c>
      <c r="R185" s="100">
        <f>IFERROR(VLOOKUP(Tablo519[[#This Row],[ÜRÜN KODU]],YMKODLARI!$A$1:$K$363,6,0)," ")</f>
        <v>65</v>
      </c>
      <c r="S185" s="100">
        <f>IFERROR(Tablo519[[#This Row],[YOLLUK HARİÇ BASKI GRAMI]]/Tablo519[[#This Row],[KALIP GÖZ ADEDİ]]," ")</f>
        <v>4.0625</v>
      </c>
      <c r="T185" s="100">
        <f t="shared" si="19"/>
        <v>3.7999999999999972</v>
      </c>
      <c r="U185" s="100">
        <v>2.5</v>
      </c>
      <c r="V185" s="100">
        <f t="shared" si="24"/>
        <v>48.975000000000001</v>
      </c>
      <c r="W185" s="101">
        <f t="shared" si="20"/>
        <v>24.291666666666668</v>
      </c>
      <c r="X185" s="102">
        <f t="shared" si="21"/>
        <v>7.0000000000000284</v>
      </c>
      <c r="Y185" s="100">
        <f t="shared" si="22"/>
        <v>5.3624999999999998</v>
      </c>
      <c r="Z185" s="100">
        <f t="shared" si="23"/>
        <v>11440</v>
      </c>
    </row>
    <row r="186" spans="1:26">
      <c r="A186" s="100" t="s">
        <v>215</v>
      </c>
      <c r="B186" s="108" t="str">
        <f>IFERROR(VLOOKUP(Tablo519[[#This Row],[ÜRÜN KODU]],YMKODLARI!$A$1:$K$363,2,0)," ")</f>
        <v>MAMA KAŞIĞI SAP</v>
      </c>
      <c r="C186" s="99">
        <v>44075</v>
      </c>
      <c r="D186" s="100" t="s">
        <v>33</v>
      </c>
      <c r="E186" s="101">
        <v>0.33680555555555558</v>
      </c>
      <c r="F186" s="101">
        <v>0.44444444444444442</v>
      </c>
      <c r="G186" s="100">
        <f>IFERROR(VLOOKUP(Tablo519[[#This Row],[ÜRÜN KODU]],YMKODLARI!$A$1:$K$363,3,0)," ")</f>
        <v>16</v>
      </c>
      <c r="H186" s="100">
        <f>IFERROR(VLOOKUP(Tablo519[[#This Row],[ÜRÜN KODU]],YMKODLARI!$A$1:$K$363,4,0)," ")</f>
        <v>27</v>
      </c>
      <c r="I186" s="100">
        <v>262</v>
      </c>
      <c r="J186" s="100" t="str">
        <f>IFERROR(VLOOKUP(Tablo519[[#This Row],[ÜRÜN KODU]],YMKODLARI!$A$1:$K$363,9,0)," ")</f>
        <v>9134A</v>
      </c>
      <c r="K186" s="100" t="str">
        <f>IFERROR(VLOOKUP(Tablo519[[#This Row],[BOYA KODU]],Tablo14[#All],4,0)," ")</f>
        <v>BEYAZ</v>
      </c>
      <c r="L186" s="100">
        <f>IFERROR(VLOOKUP(Tablo519[[#This Row],[BOYA KODU]],Tablo14[#All],6,0)," ")</f>
        <v>7.0000000000000001E-3</v>
      </c>
      <c r="M186" s="100">
        <f t="shared" si="18"/>
        <v>126.17919999999999</v>
      </c>
      <c r="N186" s="100" t="str">
        <f>IFERROR(VLOOKUP(Tablo519[[#This Row],[ÜRÜN KODU]],YMKODLARI!$A$1:$K$363,8,0)," ")</f>
        <v>HM 001</v>
      </c>
      <c r="O186" s="100" t="str">
        <f>IFERROR(VLOOKUP(Tablo519[[#This Row],[HAMMADDE KODU]],Tablo1[#All],3,0)," ")</f>
        <v>CAPILENE</v>
      </c>
      <c r="P186" s="100" t="str">
        <f>IFERROR(VLOOKUP(Tablo519[[#This Row],[HAMMADDE KODU]],Tablo1[#All],4,0)," ")</f>
        <v>PİNHAS</v>
      </c>
      <c r="Q186" s="100">
        <f>IFERROR(VLOOKUP(Tablo519[[#This Row],[ÜRÜN KODU]],YMKODLARI!$A$1:$K$363,5,0)," ")</f>
        <v>68.8</v>
      </c>
      <c r="R186" s="100">
        <f>IFERROR(VLOOKUP(Tablo519[[#This Row],[ÜRÜN KODU]],YMKODLARI!$A$1:$K$363,6,0)," ")</f>
        <v>65</v>
      </c>
      <c r="S186" s="100">
        <f>IFERROR(Tablo519[[#This Row],[YOLLUK HARİÇ BASKI GRAMI]]/Tablo519[[#This Row],[KALIP GÖZ ADEDİ]]," ")</f>
        <v>4.0625</v>
      </c>
      <c r="T186" s="100">
        <f t="shared" si="19"/>
        <v>3.7999999999999972</v>
      </c>
      <c r="U186" s="100">
        <v>3.6</v>
      </c>
      <c r="V186" s="100">
        <f t="shared" si="24"/>
        <v>20.630000000000003</v>
      </c>
      <c r="W186" s="101">
        <f t="shared" si="20"/>
        <v>24.107638888888889</v>
      </c>
      <c r="X186" s="102">
        <f t="shared" si="21"/>
        <v>2.5833333333333428</v>
      </c>
      <c r="Y186" s="100">
        <f t="shared" si="22"/>
        <v>1.9650000000000001</v>
      </c>
      <c r="Z186" s="100">
        <f t="shared" si="23"/>
        <v>4192</v>
      </c>
    </row>
    <row r="187" spans="1:26">
      <c r="A187" s="100" t="s">
        <v>216</v>
      </c>
      <c r="B187" s="108" t="str">
        <f>IFERROR(VLOOKUP(Tablo519[[#This Row],[ÜRÜN KODU]],YMKODLARI!$A$1:$K$363,2,0)," ")</f>
        <v>MAMA KAŞIĞI SAP</v>
      </c>
      <c r="C187" s="99">
        <v>44075</v>
      </c>
      <c r="D187" s="100" t="s">
        <v>33</v>
      </c>
      <c r="E187" s="101">
        <v>0.44791666666666669</v>
      </c>
      <c r="F187" s="101">
        <v>0.60069444444444442</v>
      </c>
      <c r="G187" s="100">
        <f>IFERROR(VLOOKUP(Tablo519[[#This Row],[ÜRÜN KODU]],YMKODLARI!$A$1:$K$363,3,0)," ")</f>
        <v>16</v>
      </c>
      <c r="H187" s="100">
        <f>IFERROR(VLOOKUP(Tablo519[[#This Row],[ÜRÜN KODU]],YMKODLARI!$A$1:$K$363,4,0)," ")</f>
        <v>27</v>
      </c>
      <c r="I187" s="100">
        <v>418</v>
      </c>
      <c r="J187" s="100">
        <f>IFERROR(VLOOKUP(Tablo519[[#This Row],[ÜRÜN KODU]],YMKODLARI!$A$1:$K$363,9,0)," ")</f>
        <v>3409</v>
      </c>
      <c r="K187" s="100" t="str">
        <f>IFERROR(VLOOKUP(Tablo519[[#This Row],[BOYA KODU]],Tablo14[#All],4,0)," ")</f>
        <v>PEMBE</v>
      </c>
      <c r="L187" s="100">
        <f>IFERROR(VLOOKUP(Tablo519[[#This Row],[BOYA KODU]],Tablo14[#All],6,0)," ")</f>
        <v>5.0000000000000001E-3</v>
      </c>
      <c r="M187" s="100">
        <f t="shared" si="18"/>
        <v>143.792</v>
      </c>
      <c r="N187" s="100" t="str">
        <f>IFERROR(VLOOKUP(Tablo519[[#This Row],[ÜRÜN KODU]],YMKODLARI!$A$1:$K$363,8,0)," ")</f>
        <v>HM 001</v>
      </c>
      <c r="O187" s="100" t="str">
        <f>IFERROR(VLOOKUP(Tablo519[[#This Row],[HAMMADDE KODU]],Tablo1[#All],3,0)," ")</f>
        <v>CAPILENE</v>
      </c>
      <c r="P187" s="100" t="str">
        <f>IFERROR(VLOOKUP(Tablo519[[#This Row],[HAMMADDE KODU]],Tablo1[#All],4,0)," ")</f>
        <v>PİNHAS</v>
      </c>
      <c r="Q187" s="100">
        <f>IFERROR(VLOOKUP(Tablo519[[#This Row],[ÜRÜN KODU]],YMKODLARI!$A$1:$K$363,5,0)," ")</f>
        <v>68.8</v>
      </c>
      <c r="R187" s="100">
        <f>IFERROR(VLOOKUP(Tablo519[[#This Row],[ÜRÜN KODU]],YMKODLARI!$A$1:$K$363,6,0)," ")</f>
        <v>65</v>
      </c>
      <c r="S187" s="100">
        <f>IFERROR(Tablo519[[#This Row],[YOLLUK HARİÇ BASKI GRAMI]]/Tablo519[[#This Row],[KALIP GÖZ ADEDİ]]," ")</f>
        <v>4.0625</v>
      </c>
      <c r="T187" s="100">
        <f t="shared" si="19"/>
        <v>3.7999999999999972</v>
      </c>
      <c r="U187" s="100">
        <v>2</v>
      </c>
      <c r="V187" s="100">
        <f t="shared" si="24"/>
        <v>29.17</v>
      </c>
      <c r="W187" s="101">
        <f t="shared" si="20"/>
        <v>24.152777777777779</v>
      </c>
      <c r="X187" s="102">
        <f t="shared" si="21"/>
        <v>3.6666666666666856</v>
      </c>
      <c r="Y187" s="100">
        <f t="shared" si="22"/>
        <v>3.1349999999999998</v>
      </c>
      <c r="Z187" s="100">
        <f t="shared" si="23"/>
        <v>6688</v>
      </c>
    </row>
    <row r="188" spans="1:26">
      <c r="A188" s="100" t="s">
        <v>217</v>
      </c>
      <c r="B188" s="108" t="str">
        <f>IFERROR(VLOOKUP(Tablo519[[#This Row],[ÜRÜN KODU]],YMKODLARI!$A$1:$K$363,2,0)," ")</f>
        <v>MAMA KAŞIĞI SAP</v>
      </c>
      <c r="C188" s="99">
        <v>44075</v>
      </c>
      <c r="D188" s="100" t="s">
        <v>33</v>
      </c>
      <c r="E188" s="101">
        <v>0.60069444444444442</v>
      </c>
      <c r="F188" s="101">
        <v>0.74305555555555547</v>
      </c>
      <c r="G188" s="100">
        <f>IFERROR(VLOOKUP(Tablo519[[#This Row],[ÜRÜN KODU]],YMKODLARI!$A$1:$K$363,3,0)," ")</f>
        <v>16</v>
      </c>
      <c r="H188" s="100">
        <f>IFERROR(VLOOKUP(Tablo519[[#This Row],[ÜRÜN KODU]],YMKODLARI!$A$1:$K$363,4,0)," ")</f>
        <v>27</v>
      </c>
      <c r="I188" s="100">
        <v>395</v>
      </c>
      <c r="J188" s="100">
        <f>IFERROR(VLOOKUP(Tablo519[[#This Row],[ÜRÜN KODU]],YMKODLARI!$A$1:$K$363,9,0)," ")</f>
        <v>5287</v>
      </c>
      <c r="K188" s="100" t="str">
        <f>IFERROR(VLOOKUP(Tablo519[[#This Row],[BOYA KODU]],Tablo14[#All],4,0)," ")</f>
        <v>MAVİ</v>
      </c>
      <c r="L188" s="100">
        <f>IFERROR(VLOOKUP(Tablo519[[#This Row],[BOYA KODU]],Tablo14[#All],6,0)," ")</f>
        <v>5.0000000000000001E-3</v>
      </c>
      <c r="M188" s="100">
        <f t="shared" si="18"/>
        <v>135.88</v>
      </c>
      <c r="N188" s="100" t="str">
        <f>IFERROR(VLOOKUP(Tablo519[[#This Row],[ÜRÜN KODU]],YMKODLARI!$A$1:$K$363,8,0)," ")</f>
        <v>HM 001</v>
      </c>
      <c r="O188" s="100" t="str">
        <f>IFERROR(VLOOKUP(Tablo519[[#This Row],[HAMMADDE KODU]],Tablo1[#All],3,0)," ")</f>
        <v>CAPILENE</v>
      </c>
      <c r="P188" s="100" t="str">
        <f>IFERROR(VLOOKUP(Tablo519[[#This Row],[HAMMADDE KODU]],Tablo1[#All],4,0)," ")</f>
        <v>PİNHAS</v>
      </c>
      <c r="Q188" s="100">
        <f>IFERROR(VLOOKUP(Tablo519[[#This Row],[ÜRÜN KODU]],YMKODLARI!$A$1:$K$363,5,0)," ")</f>
        <v>68.8</v>
      </c>
      <c r="R188" s="100">
        <f>IFERROR(VLOOKUP(Tablo519[[#This Row],[ÜRÜN KODU]],YMKODLARI!$A$1:$K$363,6,0)," ")</f>
        <v>65</v>
      </c>
      <c r="S188" s="100">
        <f>IFERROR(Tablo519[[#This Row],[YOLLUK HARİÇ BASKI GRAMI]]/Tablo519[[#This Row],[KALIP GÖZ ADEDİ]]," ")</f>
        <v>4.0625</v>
      </c>
      <c r="T188" s="100">
        <f t="shared" si="19"/>
        <v>3.7999999999999972</v>
      </c>
      <c r="U188" s="100">
        <v>3</v>
      </c>
      <c r="V188" s="100">
        <f t="shared" si="24"/>
        <v>28.675000000000001</v>
      </c>
      <c r="W188" s="101">
        <f t="shared" si="20"/>
        <v>24.142361111111111</v>
      </c>
      <c r="X188" s="102">
        <f t="shared" si="21"/>
        <v>3.4166666666666572</v>
      </c>
      <c r="Y188" s="100">
        <f t="shared" si="22"/>
        <v>2.9624999999999999</v>
      </c>
      <c r="Z188" s="100">
        <f t="shared" si="23"/>
        <v>6320</v>
      </c>
    </row>
    <row r="189" spans="1:26">
      <c r="A189" s="100" t="s">
        <v>228</v>
      </c>
      <c r="B189" s="108" t="str">
        <f>IFERROR(VLOOKUP(Tablo519[[#This Row],[ÜRÜN KODU]],YMKODLARI!$A$1:$K$363,2,0)," ")</f>
        <v>SAÇ FIRÇASI</v>
      </c>
      <c r="C189" s="99">
        <v>44078</v>
      </c>
      <c r="D189" s="100" t="s">
        <v>33</v>
      </c>
      <c r="E189" s="101">
        <v>0.69097222222222221</v>
      </c>
      <c r="F189" s="101">
        <v>0.73611111111111116</v>
      </c>
      <c r="G189" s="100">
        <f>IFERROR(VLOOKUP(Tablo519[[#This Row],[ÜRÜN KODU]],YMKODLARI!$A$1:$K$363,3,0)," ")</f>
        <v>2</v>
      </c>
      <c r="H189" s="100">
        <f>IFERROR(VLOOKUP(Tablo519[[#This Row],[ÜRÜN KODU]],YMKODLARI!$A$1:$K$363,4,0)," ")</f>
        <v>39</v>
      </c>
      <c r="I189" s="100">
        <v>84</v>
      </c>
      <c r="J189" s="100">
        <f>IFERROR(VLOOKUP(Tablo519[[#This Row],[ÜRÜN KODU]],YMKODLARI!$A$1:$K$363,9,0)," ")</f>
        <v>5287</v>
      </c>
      <c r="K189" s="100" t="str">
        <f>IFERROR(VLOOKUP(Tablo519[[#This Row],[BOYA KODU]],Tablo14[#All],4,0)," ")</f>
        <v>MAVİ</v>
      </c>
      <c r="L189" s="100">
        <f>IFERROR(VLOOKUP(Tablo519[[#This Row],[BOYA KODU]],Tablo14[#All],6,0)," ")</f>
        <v>5.0000000000000001E-3</v>
      </c>
      <c r="M189" s="100">
        <f t="shared" si="18"/>
        <v>19.614000000000001</v>
      </c>
      <c r="N189" s="100" t="str">
        <f>IFERROR(VLOOKUP(Tablo519[[#This Row],[ÜRÜN KODU]],YMKODLARI!$A$1:$K$363,8,0)," ")</f>
        <v>HM 001</v>
      </c>
      <c r="O189" s="100" t="str">
        <f>IFERROR(VLOOKUP(Tablo519[[#This Row],[HAMMADDE KODU]],Tablo1[#All],3,0)," ")</f>
        <v>CAPILENE</v>
      </c>
      <c r="P189" s="100" t="str">
        <f>IFERROR(VLOOKUP(Tablo519[[#This Row],[HAMMADDE KODU]],Tablo1[#All],4,0)," ")</f>
        <v>PİNHAS</v>
      </c>
      <c r="Q189" s="100">
        <f>IFERROR(VLOOKUP(Tablo519[[#This Row],[ÜRÜN KODU]],YMKODLARI!$A$1:$K$363,5,0)," ")</f>
        <v>46.7</v>
      </c>
      <c r="R189" s="100">
        <f>IFERROR(VLOOKUP(Tablo519[[#This Row],[ÜRÜN KODU]],YMKODLARI!$A$1:$K$363,6,0)," ")</f>
        <v>45.4</v>
      </c>
      <c r="S189" s="100">
        <f>IFERROR(Tablo519[[#This Row],[YOLLUK HARİÇ BASKI GRAMI]]/Tablo519[[#This Row],[KALIP GÖZ ADEDİ]]," ")</f>
        <v>22.7</v>
      </c>
      <c r="T189" s="100">
        <f t="shared" si="19"/>
        <v>1.3000000000000043</v>
      </c>
      <c r="U189" s="100">
        <v>1.5</v>
      </c>
      <c r="V189" s="100">
        <f t="shared" si="24"/>
        <v>5.3136000000000001</v>
      </c>
      <c r="W189" s="101">
        <f t="shared" si="20"/>
        <v>24.045138888888889</v>
      </c>
      <c r="X189" s="102">
        <f t="shared" si="21"/>
        <v>1.0833333333333428</v>
      </c>
      <c r="Y189" s="100">
        <f t="shared" si="22"/>
        <v>0.91</v>
      </c>
      <c r="Z189" s="100">
        <f t="shared" si="23"/>
        <v>168</v>
      </c>
    </row>
    <row r="190" spans="1:26">
      <c r="A190" s="100" t="s">
        <v>229</v>
      </c>
      <c r="B190" s="108" t="str">
        <f>IFERROR(VLOOKUP(Tablo519[[#This Row],[ÜRÜN KODU]],YMKODLARI!$A$1:$K$363,2,0)," ")</f>
        <v>SAÇ TARAĞI</v>
      </c>
      <c r="C190" s="99">
        <v>44078</v>
      </c>
      <c r="D190" s="100" t="s">
        <v>33</v>
      </c>
      <c r="E190" s="101"/>
      <c r="F190" s="101"/>
      <c r="G190" s="100">
        <f>IFERROR(VLOOKUP(Tablo519[[#This Row],[ÜRÜN KODU]],YMKODLARI!$A$1:$K$363,3,0)," ")</f>
        <v>2</v>
      </c>
      <c r="H190" s="100">
        <f>IFERROR(VLOOKUP(Tablo519[[#This Row],[ÜRÜN KODU]],YMKODLARI!$A$1:$K$363,4,0)," ")</f>
        <v>39</v>
      </c>
      <c r="I190" s="100">
        <v>84</v>
      </c>
      <c r="J190" s="100">
        <f>IFERROR(VLOOKUP(Tablo519[[#This Row],[ÜRÜN KODU]],YMKODLARI!$A$1:$K$363,9,0)," ")</f>
        <v>5287</v>
      </c>
      <c r="K190" s="100" t="str">
        <f>IFERROR(VLOOKUP(Tablo519[[#This Row],[BOYA KODU]],Tablo14[#All],4,0)," ")</f>
        <v>MAVİ</v>
      </c>
      <c r="L190" s="100">
        <f>IFERROR(VLOOKUP(Tablo519[[#This Row],[BOYA KODU]],Tablo14[#All],6,0)," ")</f>
        <v>5.0000000000000001E-3</v>
      </c>
      <c r="M190" s="100">
        <f t="shared" si="18"/>
        <v>5.9219999999999997</v>
      </c>
      <c r="N190" s="100" t="str">
        <f>IFERROR(VLOOKUP(Tablo519[[#This Row],[ÜRÜN KODU]],YMKODLARI!$A$1:$K$363,8,0)," ")</f>
        <v>HM 001</v>
      </c>
      <c r="O190" s="100" t="str">
        <f>IFERROR(VLOOKUP(Tablo519[[#This Row],[HAMMADDE KODU]],Tablo1[#All],3,0)," ")</f>
        <v>CAPILENE</v>
      </c>
      <c r="P190" s="100" t="str">
        <f>IFERROR(VLOOKUP(Tablo519[[#This Row],[HAMMADDE KODU]],Tablo1[#All],4,0)," ")</f>
        <v>PİNHAS</v>
      </c>
      <c r="Q190" s="100">
        <f>IFERROR(VLOOKUP(Tablo519[[#This Row],[ÜRÜN KODU]],YMKODLARI!$A$1:$K$363,5,0)," ")</f>
        <v>14.1</v>
      </c>
      <c r="R190" s="100">
        <f>IFERROR(VLOOKUP(Tablo519[[#This Row],[ÜRÜN KODU]],YMKODLARI!$A$1:$K$363,6,0)," ")</f>
        <v>14.1</v>
      </c>
      <c r="S190" s="100">
        <f>IFERROR(Tablo519[[#This Row],[YOLLUK HARİÇ BASKI GRAMI]]/Tablo519[[#This Row],[KALIP GÖZ ADEDİ]]," ")</f>
        <v>7.05</v>
      </c>
      <c r="T190" s="100">
        <f t="shared" si="19"/>
        <v>0</v>
      </c>
      <c r="U190" s="100">
        <v>2</v>
      </c>
      <c r="V190" s="100">
        <f t="shared" si="24"/>
        <v>3.1844000000000001</v>
      </c>
      <c r="W190" s="101">
        <f t="shared" si="20"/>
        <v>24</v>
      </c>
      <c r="X190" s="102">
        <f t="shared" si="21"/>
        <v>0</v>
      </c>
      <c r="Y190" s="100">
        <f t="shared" si="22"/>
        <v>0.91</v>
      </c>
      <c r="Z190" s="100">
        <f t="shared" si="23"/>
        <v>168</v>
      </c>
    </row>
    <row r="191" spans="1:26">
      <c r="A191" s="100" t="s">
        <v>228</v>
      </c>
      <c r="B191" s="108" t="str">
        <f>IFERROR(VLOOKUP(Tablo519[[#This Row],[ÜRÜN KODU]],YMKODLARI!$A$1:$K$363,2,0)," ")</f>
        <v>SAÇ FIRÇASI</v>
      </c>
      <c r="C191" s="99">
        <v>44081</v>
      </c>
      <c r="D191" s="100" t="s">
        <v>33</v>
      </c>
      <c r="E191" s="101">
        <v>0.33680555555555558</v>
      </c>
      <c r="F191" s="101">
        <v>0.75</v>
      </c>
      <c r="G191" s="100">
        <f>IFERROR(VLOOKUP(Tablo519[[#This Row],[ÜRÜN KODU]],YMKODLARI!$A$1:$K$363,3,0)," ")</f>
        <v>2</v>
      </c>
      <c r="H191" s="100">
        <f>IFERROR(VLOOKUP(Tablo519[[#This Row],[ÜRÜN KODU]],YMKODLARI!$A$1:$K$363,4,0)," ")</f>
        <v>39</v>
      </c>
      <c r="I191" s="100">
        <v>666</v>
      </c>
      <c r="J191" s="100">
        <f>IFERROR(VLOOKUP(Tablo519[[#This Row],[ÜRÜN KODU]],YMKODLARI!$A$1:$K$363,9,0)," ")</f>
        <v>5287</v>
      </c>
      <c r="K191" s="100" t="str">
        <f>IFERROR(VLOOKUP(Tablo519[[#This Row],[BOYA KODU]],Tablo14[#All],4,0)," ")</f>
        <v>MAVİ</v>
      </c>
      <c r="L191" s="100">
        <f>IFERROR(VLOOKUP(Tablo519[[#This Row],[BOYA KODU]],Tablo14[#All],6,0)," ")</f>
        <v>5.0000000000000001E-3</v>
      </c>
      <c r="M191" s="100">
        <f t="shared" si="18"/>
        <v>155.511</v>
      </c>
      <c r="N191" s="100" t="str">
        <f>IFERROR(VLOOKUP(Tablo519[[#This Row],[ÜRÜN KODU]],YMKODLARI!$A$1:$K$363,8,0)," ")</f>
        <v>HM 001</v>
      </c>
      <c r="O191" s="100" t="str">
        <f>IFERROR(VLOOKUP(Tablo519[[#This Row],[HAMMADDE KODU]],Tablo1[#All],3,0)," ")</f>
        <v>CAPILENE</v>
      </c>
      <c r="P191" s="100" t="str">
        <f>IFERROR(VLOOKUP(Tablo519[[#This Row],[HAMMADDE KODU]],Tablo1[#All],4,0)," ")</f>
        <v>PİNHAS</v>
      </c>
      <c r="Q191" s="100">
        <f>IFERROR(VLOOKUP(Tablo519[[#This Row],[ÜRÜN KODU]],YMKODLARI!$A$1:$K$363,5,0)," ")</f>
        <v>46.7</v>
      </c>
      <c r="R191" s="100">
        <f>IFERROR(VLOOKUP(Tablo519[[#This Row],[ÜRÜN KODU]],YMKODLARI!$A$1:$K$363,6,0)," ")</f>
        <v>45.4</v>
      </c>
      <c r="S191" s="100">
        <f>IFERROR(Tablo519[[#This Row],[YOLLUK HARİÇ BASKI GRAMI]]/Tablo519[[#This Row],[KALIP GÖZ ADEDİ]]," ")</f>
        <v>22.7</v>
      </c>
      <c r="T191" s="100">
        <f t="shared" si="19"/>
        <v>1.3000000000000043</v>
      </c>
      <c r="U191" s="100"/>
      <c r="V191" s="100">
        <f t="shared" si="24"/>
        <v>30.236399999999996</v>
      </c>
      <c r="W191" s="101">
        <f t="shared" si="20"/>
        <v>24.413194444444443</v>
      </c>
      <c r="X191" s="102">
        <f t="shared" si="21"/>
        <v>9.9166666666666288</v>
      </c>
      <c r="Y191" s="100">
        <f t="shared" si="22"/>
        <v>7.2149999999999999</v>
      </c>
      <c r="Z191" s="100">
        <f t="shared" si="23"/>
        <v>1332</v>
      </c>
    </row>
    <row r="192" spans="1:26">
      <c r="A192" s="100" t="s">
        <v>229</v>
      </c>
      <c r="B192" s="108" t="str">
        <f>IFERROR(VLOOKUP(Tablo519[[#This Row],[ÜRÜN KODU]],YMKODLARI!$A$1:$K$363,2,0)," ")</f>
        <v>SAÇ TARAĞI</v>
      </c>
      <c r="C192" s="99">
        <v>44081</v>
      </c>
      <c r="D192" s="100" t="s">
        <v>37</v>
      </c>
      <c r="E192" s="101"/>
      <c r="F192" s="101"/>
      <c r="G192" s="100">
        <f>IFERROR(VLOOKUP(Tablo519[[#This Row],[ÜRÜN KODU]],YMKODLARI!$A$1:$K$363,3,0)," ")</f>
        <v>2</v>
      </c>
      <c r="H192" s="100">
        <f>IFERROR(VLOOKUP(Tablo519[[#This Row],[ÜRÜN KODU]],YMKODLARI!$A$1:$K$363,4,0)," ")</f>
        <v>39</v>
      </c>
      <c r="I192" s="100">
        <v>666</v>
      </c>
      <c r="J192" s="100">
        <f>IFERROR(VLOOKUP(Tablo519[[#This Row],[ÜRÜN KODU]],YMKODLARI!$A$1:$K$363,9,0)," ")</f>
        <v>5287</v>
      </c>
      <c r="K192" s="100" t="str">
        <f>IFERROR(VLOOKUP(Tablo519[[#This Row],[BOYA KODU]],Tablo14[#All],4,0)," ")</f>
        <v>MAVİ</v>
      </c>
      <c r="L192" s="100">
        <f>IFERROR(VLOOKUP(Tablo519[[#This Row],[BOYA KODU]],Tablo14[#All],6,0)," ")</f>
        <v>5.0000000000000001E-3</v>
      </c>
      <c r="M192" s="100">
        <f t="shared" si="18"/>
        <v>46.953000000000003</v>
      </c>
      <c r="N192" s="100" t="str">
        <f>IFERROR(VLOOKUP(Tablo519[[#This Row],[ÜRÜN KODU]],YMKODLARI!$A$1:$K$363,8,0)," ")</f>
        <v>HM 001</v>
      </c>
      <c r="O192" s="100" t="str">
        <f>IFERROR(VLOOKUP(Tablo519[[#This Row],[HAMMADDE KODU]],Tablo1[#All],3,0)," ")</f>
        <v>CAPILENE</v>
      </c>
      <c r="P192" s="100" t="str">
        <f>IFERROR(VLOOKUP(Tablo519[[#This Row],[HAMMADDE KODU]],Tablo1[#All],4,0)," ")</f>
        <v>PİNHAS</v>
      </c>
      <c r="Q192" s="100">
        <f>IFERROR(VLOOKUP(Tablo519[[#This Row],[ÜRÜN KODU]],YMKODLARI!$A$1:$K$363,5,0)," ")</f>
        <v>14.1</v>
      </c>
      <c r="R192" s="100">
        <f>IFERROR(VLOOKUP(Tablo519[[#This Row],[ÜRÜN KODU]],YMKODLARI!$A$1:$K$363,6,0)," ")</f>
        <v>14.1</v>
      </c>
      <c r="S192" s="100">
        <f>IFERROR(Tablo519[[#This Row],[YOLLUK HARİÇ BASKI GRAMI]]/Tablo519[[#This Row],[KALIP GÖZ ADEDİ]]," ")</f>
        <v>7.05</v>
      </c>
      <c r="T192" s="100">
        <f t="shared" si="19"/>
        <v>0</v>
      </c>
      <c r="U192" s="100"/>
      <c r="V192" s="100">
        <f t="shared" si="24"/>
        <v>9.3906000000000009</v>
      </c>
      <c r="W192" s="101">
        <f t="shared" si="20"/>
        <v>24</v>
      </c>
      <c r="X192" s="102">
        <f t="shared" si="21"/>
        <v>0</v>
      </c>
      <c r="Y192" s="100">
        <f t="shared" si="22"/>
        <v>7.2149999999999999</v>
      </c>
      <c r="Z192" s="100">
        <f t="shared" si="23"/>
        <v>1332</v>
      </c>
    </row>
    <row r="193" spans="1:26">
      <c r="A193" s="100" t="s">
        <v>226</v>
      </c>
      <c r="B193" s="108" t="str">
        <f>IFERROR(VLOOKUP(Tablo519[[#This Row],[ÜRÜN KODU]],YMKODLARI!$A$1:$K$363,2,0)," ")</f>
        <v>SAÇ FIRÇASI</v>
      </c>
      <c r="C193" s="99">
        <v>44082</v>
      </c>
      <c r="D193" s="100" t="s">
        <v>37</v>
      </c>
      <c r="E193" s="101">
        <v>0.33333333333333331</v>
      </c>
      <c r="F193" s="101">
        <v>0.73611111111111116</v>
      </c>
      <c r="G193" s="100">
        <f>IFERROR(VLOOKUP(Tablo519[[#This Row],[ÜRÜN KODU]],YMKODLARI!$A$1:$K$363,3,0)," ")</f>
        <v>2</v>
      </c>
      <c r="H193" s="100">
        <f>IFERROR(VLOOKUP(Tablo519[[#This Row],[ÜRÜN KODU]],YMKODLARI!$A$1:$K$363,4,0)," ")</f>
        <v>39</v>
      </c>
      <c r="I193" s="100">
        <v>680</v>
      </c>
      <c r="J193" s="100">
        <f>IFERROR(VLOOKUP(Tablo519[[#This Row],[ÜRÜN KODU]],YMKODLARI!$A$1:$K$363,9,0)," ")</f>
        <v>3409</v>
      </c>
      <c r="K193" s="100" t="str">
        <f>IFERROR(VLOOKUP(Tablo519[[#This Row],[BOYA KODU]],Tablo14[#All],4,0)," ")</f>
        <v>PEMBE</v>
      </c>
      <c r="L193" s="100">
        <f>IFERROR(VLOOKUP(Tablo519[[#This Row],[BOYA KODU]],Tablo14[#All],6,0)," ")</f>
        <v>5.0000000000000001E-3</v>
      </c>
      <c r="M193" s="100">
        <f t="shared" si="18"/>
        <v>158.78000000000003</v>
      </c>
      <c r="N193" s="100" t="str">
        <f>IFERROR(VLOOKUP(Tablo519[[#This Row],[ÜRÜN KODU]],YMKODLARI!$A$1:$K$363,8,0)," ")</f>
        <v>HM 001</v>
      </c>
      <c r="O193" s="100" t="str">
        <f>IFERROR(VLOOKUP(Tablo519[[#This Row],[HAMMADDE KODU]],Tablo1[#All],3,0)," ")</f>
        <v>CAPILENE</v>
      </c>
      <c r="P193" s="100" t="str">
        <f>IFERROR(VLOOKUP(Tablo519[[#This Row],[HAMMADDE KODU]],Tablo1[#All],4,0)," ")</f>
        <v>PİNHAS</v>
      </c>
      <c r="Q193" s="100">
        <f>IFERROR(VLOOKUP(Tablo519[[#This Row],[ÜRÜN KODU]],YMKODLARI!$A$1:$K$363,5,0)," ")</f>
        <v>46.7</v>
      </c>
      <c r="R193" s="100">
        <f>IFERROR(VLOOKUP(Tablo519[[#This Row],[ÜRÜN KODU]],YMKODLARI!$A$1:$K$363,6,0)," ")</f>
        <v>45.4</v>
      </c>
      <c r="S193" s="100">
        <f>IFERROR(Tablo519[[#This Row],[YOLLUK HARİÇ BASKI GRAMI]]/Tablo519[[#This Row],[KALIP GÖZ ADEDİ]]," ")</f>
        <v>22.7</v>
      </c>
      <c r="T193" s="100">
        <f t="shared" si="19"/>
        <v>1.3000000000000043</v>
      </c>
      <c r="U193" s="100"/>
      <c r="V193" s="100">
        <f t="shared" si="24"/>
        <v>30.872</v>
      </c>
      <c r="W193" s="101">
        <f t="shared" si="20"/>
        <v>24.402777777777779</v>
      </c>
      <c r="X193" s="102">
        <f t="shared" si="21"/>
        <v>9.6666666666666856</v>
      </c>
      <c r="Y193" s="100">
        <f t="shared" si="22"/>
        <v>7.3666666666666663</v>
      </c>
      <c r="Z193" s="100">
        <f t="shared" si="23"/>
        <v>1360</v>
      </c>
    </row>
    <row r="194" spans="1:26">
      <c r="A194" s="100" t="s">
        <v>227</v>
      </c>
      <c r="B194" s="108" t="str">
        <f>IFERROR(VLOOKUP(Tablo519[[#This Row],[ÜRÜN KODU]],YMKODLARI!$A$1:$K$363,2,0)," ")</f>
        <v>SAÇ TARAĞI</v>
      </c>
      <c r="C194" s="99">
        <v>44082</v>
      </c>
      <c r="D194" s="100" t="s">
        <v>37</v>
      </c>
      <c r="E194" s="101"/>
      <c r="F194" s="101"/>
      <c r="G194" s="100">
        <f>IFERROR(VLOOKUP(Tablo519[[#This Row],[ÜRÜN KODU]],YMKODLARI!$A$1:$K$363,3,0)," ")</f>
        <v>2</v>
      </c>
      <c r="H194" s="100">
        <f>IFERROR(VLOOKUP(Tablo519[[#This Row],[ÜRÜN KODU]],YMKODLARI!$A$1:$K$363,4,0)," ")</f>
        <v>39</v>
      </c>
      <c r="I194" s="100">
        <v>680</v>
      </c>
      <c r="J194" s="100">
        <f>IFERROR(VLOOKUP(Tablo519[[#This Row],[ÜRÜN KODU]],YMKODLARI!$A$1:$K$363,9,0)," ")</f>
        <v>3409</v>
      </c>
      <c r="K194" s="100" t="str">
        <f>IFERROR(VLOOKUP(Tablo519[[#This Row],[BOYA KODU]],Tablo14[#All],4,0)," ")</f>
        <v>PEMBE</v>
      </c>
      <c r="L194" s="100">
        <f>IFERROR(VLOOKUP(Tablo519[[#This Row],[BOYA KODU]],Tablo14[#All],6,0)," ")</f>
        <v>5.0000000000000001E-3</v>
      </c>
      <c r="M194" s="100">
        <f t="shared" si="18"/>
        <v>47.94</v>
      </c>
      <c r="N194" s="100" t="str">
        <f>IFERROR(VLOOKUP(Tablo519[[#This Row],[ÜRÜN KODU]],YMKODLARI!$A$1:$K$363,8,0)," ")</f>
        <v>HM 001</v>
      </c>
      <c r="O194" s="100" t="str">
        <f>IFERROR(VLOOKUP(Tablo519[[#This Row],[HAMMADDE KODU]],Tablo1[#All],3,0)," ")</f>
        <v>CAPILENE</v>
      </c>
      <c r="P194" s="100" t="str">
        <f>IFERROR(VLOOKUP(Tablo519[[#This Row],[HAMMADDE KODU]],Tablo1[#All],4,0)," ")</f>
        <v>PİNHAS</v>
      </c>
      <c r="Q194" s="100">
        <f>IFERROR(VLOOKUP(Tablo519[[#This Row],[ÜRÜN KODU]],YMKODLARI!$A$1:$K$363,5,0)," ")</f>
        <v>14.1</v>
      </c>
      <c r="R194" s="100">
        <f>IFERROR(VLOOKUP(Tablo519[[#This Row],[ÜRÜN KODU]],YMKODLARI!$A$1:$K$363,6,0)," ")</f>
        <v>14.1</v>
      </c>
      <c r="S194" s="100">
        <f>IFERROR(Tablo519[[#This Row],[YOLLUK HARİÇ BASKI GRAMI]]/Tablo519[[#This Row],[KALIP GÖZ ADEDİ]]," ")</f>
        <v>7.05</v>
      </c>
      <c r="T194" s="100">
        <f t="shared" si="19"/>
        <v>0</v>
      </c>
      <c r="U194" s="100"/>
      <c r="V194" s="100">
        <f t="shared" si="24"/>
        <v>9.5879999999999992</v>
      </c>
      <c r="W194" s="101">
        <f t="shared" si="20"/>
        <v>24</v>
      </c>
      <c r="X194" s="102">
        <f t="shared" si="21"/>
        <v>0</v>
      </c>
      <c r="Y194" s="100">
        <f t="shared" si="22"/>
        <v>7.3666666666666663</v>
      </c>
      <c r="Z194" s="100">
        <f t="shared" si="23"/>
        <v>1360</v>
      </c>
    </row>
    <row r="195" spans="1:26">
      <c r="A195" s="100" t="s">
        <v>230</v>
      </c>
      <c r="B195" s="108" t="str">
        <f>IFERROR(VLOOKUP(Tablo519[[#This Row],[ÜRÜN KODU]],YMKODLARI!$A$1:$K$363,2,0)," ")</f>
        <v>SAÇ FIRÇASI</v>
      </c>
      <c r="C195" s="99">
        <v>44082</v>
      </c>
      <c r="D195" s="100" t="s">
        <v>37</v>
      </c>
      <c r="E195" s="101">
        <v>0.73611111111111116</v>
      </c>
      <c r="F195" s="101">
        <v>0.75</v>
      </c>
      <c r="G195" s="100">
        <f>IFERROR(VLOOKUP(Tablo519[[#This Row],[ÜRÜN KODU]],YMKODLARI!$A$1:$K$363,3,0)," ")</f>
        <v>2</v>
      </c>
      <c r="H195" s="100">
        <f>IFERROR(VLOOKUP(Tablo519[[#This Row],[ÜRÜN KODU]],YMKODLARI!$A$1:$K$363,4,0)," ")</f>
        <v>39</v>
      </c>
      <c r="I195" s="100">
        <v>16</v>
      </c>
      <c r="J195" s="100">
        <f>IFERROR(VLOOKUP(Tablo519[[#This Row],[ÜRÜN KODU]],YMKODLARI!$A$1:$K$363,9,0)," ")</f>
        <v>3041</v>
      </c>
      <c r="K195" s="100" t="str">
        <f>IFERROR(VLOOKUP(Tablo519[[#This Row],[BOYA KODU]],Tablo14[#All],4,0)," ")</f>
        <v>KIRMIZI</v>
      </c>
      <c r="L195" s="100">
        <f>IFERROR(VLOOKUP(Tablo519[[#This Row],[BOYA KODU]],Tablo14[#All],6,0)," ")</f>
        <v>5.0000000000000001E-3</v>
      </c>
      <c r="M195" s="100">
        <f t="shared" ref="M195:M257" si="25">IFERROR((I195*Q195)*L195," ")</f>
        <v>3.7360000000000002</v>
      </c>
      <c r="N195" s="100" t="str">
        <f>IFERROR(VLOOKUP(Tablo519[[#This Row],[ÜRÜN KODU]],YMKODLARI!$A$1:$K$363,8,0)," ")</f>
        <v>HM 001</v>
      </c>
      <c r="O195" s="100" t="str">
        <f>IFERROR(VLOOKUP(Tablo519[[#This Row],[HAMMADDE KODU]],Tablo1[#All],3,0)," ")</f>
        <v>CAPILENE</v>
      </c>
      <c r="P195" s="100" t="str">
        <f>IFERROR(VLOOKUP(Tablo519[[#This Row],[HAMMADDE KODU]],Tablo1[#All],4,0)," ")</f>
        <v>PİNHAS</v>
      </c>
      <c r="Q195" s="100">
        <f>IFERROR(VLOOKUP(Tablo519[[#This Row],[ÜRÜN KODU]],YMKODLARI!$A$1:$K$363,5,0)," ")</f>
        <v>46.7</v>
      </c>
      <c r="R195" s="100">
        <f>IFERROR(VLOOKUP(Tablo519[[#This Row],[ÜRÜN KODU]],YMKODLARI!$A$1:$K$363,6,0)," ")</f>
        <v>45.4</v>
      </c>
      <c r="S195" s="100">
        <f>IFERROR(Tablo519[[#This Row],[YOLLUK HARİÇ BASKI GRAMI]]/Tablo519[[#This Row],[KALIP GÖZ ADEDİ]]," ")</f>
        <v>22.7</v>
      </c>
      <c r="T195" s="100">
        <f t="shared" si="19"/>
        <v>1.3000000000000043</v>
      </c>
      <c r="U195" s="100"/>
      <c r="V195" s="100">
        <f t="shared" si="24"/>
        <v>0.72639999999999993</v>
      </c>
      <c r="W195" s="101">
        <f t="shared" si="20"/>
        <v>24.013888888888889</v>
      </c>
      <c r="X195" s="102">
        <f t="shared" si="21"/>
        <v>0.33333333333334281</v>
      </c>
      <c r="Y195" s="100">
        <f t="shared" si="22"/>
        <v>0.17333333333333334</v>
      </c>
      <c r="Z195" s="100">
        <f t="shared" si="23"/>
        <v>32</v>
      </c>
    </row>
    <row r="196" spans="1:26">
      <c r="A196" s="100" t="s">
        <v>231</v>
      </c>
      <c r="B196" s="108" t="str">
        <f>IFERROR(VLOOKUP(Tablo519[[#This Row],[ÜRÜN KODU]],YMKODLARI!$A$1:$K$363,2,0)," ")</f>
        <v>SAÇ TARAĞI</v>
      </c>
      <c r="C196" s="99">
        <v>44082</v>
      </c>
      <c r="D196" s="100" t="s">
        <v>37</v>
      </c>
      <c r="E196" s="101"/>
      <c r="F196" s="101"/>
      <c r="G196" s="100">
        <f>IFERROR(VLOOKUP(Tablo519[[#This Row],[ÜRÜN KODU]],YMKODLARI!$A$1:$K$363,3,0)," ")</f>
        <v>2</v>
      </c>
      <c r="H196" s="100">
        <f>IFERROR(VLOOKUP(Tablo519[[#This Row],[ÜRÜN KODU]],YMKODLARI!$A$1:$K$363,4,0)," ")</f>
        <v>39</v>
      </c>
      <c r="I196" s="100">
        <v>16</v>
      </c>
      <c r="J196" s="100">
        <f>IFERROR(VLOOKUP(Tablo519[[#This Row],[ÜRÜN KODU]],YMKODLARI!$A$1:$K$363,9,0)," ")</f>
        <v>3041</v>
      </c>
      <c r="K196" s="100" t="str">
        <f>IFERROR(VLOOKUP(Tablo519[[#This Row],[BOYA KODU]],Tablo14[#All],4,0)," ")</f>
        <v>KIRMIZI</v>
      </c>
      <c r="L196" s="100">
        <f>IFERROR(VLOOKUP(Tablo519[[#This Row],[BOYA KODU]],Tablo14[#All],6,0)," ")</f>
        <v>5.0000000000000001E-3</v>
      </c>
      <c r="M196" s="100">
        <f t="shared" si="25"/>
        <v>1.1279999999999999</v>
      </c>
      <c r="N196" s="100" t="str">
        <f>IFERROR(VLOOKUP(Tablo519[[#This Row],[ÜRÜN KODU]],YMKODLARI!$A$1:$K$363,8,0)," ")</f>
        <v>HM 001</v>
      </c>
      <c r="O196" s="100" t="str">
        <f>IFERROR(VLOOKUP(Tablo519[[#This Row],[HAMMADDE KODU]],Tablo1[#All],3,0)," ")</f>
        <v>CAPILENE</v>
      </c>
      <c r="P196" s="100" t="str">
        <f>IFERROR(VLOOKUP(Tablo519[[#This Row],[HAMMADDE KODU]],Tablo1[#All],4,0)," ")</f>
        <v>PİNHAS</v>
      </c>
      <c r="Q196" s="100">
        <f>IFERROR(VLOOKUP(Tablo519[[#This Row],[ÜRÜN KODU]],YMKODLARI!$A$1:$K$363,5,0)," ")</f>
        <v>14.1</v>
      </c>
      <c r="R196" s="100">
        <f>IFERROR(VLOOKUP(Tablo519[[#This Row],[ÜRÜN KODU]],YMKODLARI!$A$1:$K$363,6,0)," ")</f>
        <v>14.1</v>
      </c>
      <c r="S196" s="100">
        <f>IFERROR(Tablo519[[#This Row],[YOLLUK HARİÇ BASKI GRAMI]]/Tablo519[[#This Row],[KALIP GÖZ ADEDİ]]," ")</f>
        <v>7.05</v>
      </c>
      <c r="T196" s="100">
        <f t="shared" ref="T196:T258" si="26">IFERROR(Q196-R196," ")</f>
        <v>0</v>
      </c>
      <c r="U196" s="100">
        <v>11</v>
      </c>
      <c r="V196" s="100">
        <f t="shared" si="24"/>
        <v>11.2256</v>
      </c>
      <c r="W196" s="101">
        <f t="shared" ref="W196:W258" si="27">IFERROR(24-(E196-F196)," ")</f>
        <v>24</v>
      </c>
      <c r="X196" s="102">
        <f t="shared" ref="X196:X258" si="28">IFERROR((W196-INT(W196))*24," ")</f>
        <v>0</v>
      </c>
      <c r="Y196" s="100">
        <f t="shared" ref="Y196:Y258" si="29">IFERROR(H196*I196/3600," ")</f>
        <v>0.17333333333333334</v>
      </c>
      <c r="Z196" s="100">
        <f t="shared" ref="Z196:Z258" si="30">IFERROR(I196*G196," " )</f>
        <v>32</v>
      </c>
    </row>
    <row r="197" spans="1:26">
      <c r="A197" s="100" t="s">
        <v>230</v>
      </c>
      <c r="B197" s="108" t="str">
        <f>IFERROR(VLOOKUP(Tablo519[[#This Row],[ÜRÜN KODU]],YMKODLARI!$A$1:$K$363,2,0)," ")</f>
        <v>SAÇ FIRÇASI</v>
      </c>
      <c r="C197" s="99">
        <v>44083</v>
      </c>
      <c r="D197" s="100" t="s">
        <v>37</v>
      </c>
      <c r="E197" s="101">
        <v>0.33333333333333331</v>
      </c>
      <c r="F197" s="101">
        <v>0.66666666666666663</v>
      </c>
      <c r="G197" s="100">
        <f>IFERROR(VLOOKUP(Tablo519[[#This Row],[ÜRÜN KODU]],YMKODLARI!$A$1:$K$363,3,0)," ")</f>
        <v>2</v>
      </c>
      <c r="H197" s="100">
        <f>IFERROR(VLOOKUP(Tablo519[[#This Row],[ÜRÜN KODU]],YMKODLARI!$A$1:$K$363,4,0)," ")</f>
        <v>39</v>
      </c>
      <c r="I197" s="100">
        <v>467</v>
      </c>
      <c r="J197" s="100">
        <f>IFERROR(VLOOKUP(Tablo519[[#This Row],[ÜRÜN KODU]],YMKODLARI!$A$1:$K$363,9,0)," ")</f>
        <v>3041</v>
      </c>
      <c r="K197" s="100" t="str">
        <f>IFERROR(VLOOKUP(Tablo519[[#This Row],[BOYA KODU]],Tablo14[#All],4,0)," ")</f>
        <v>KIRMIZI</v>
      </c>
      <c r="L197" s="100">
        <f>IFERROR(VLOOKUP(Tablo519[[#This Row],[BOYA KODU]],Tablo14[#All],6,0)," ")</f>
        <v>5.0000000000000001E-3</v>
      </c>
      <c r="M197" s="100">
        <f t="shared" si="25"/>
        <v>109.04450000000001</v>
      </c>
      <c r="N197" s="100" t="str">
        <f>IFERROR(VLOOKUP(Tablo519[[#This Row],[ÜRÜN KODU]],YMKODLARI!$A$1:$K$363,8,0)," ")</f>
        <v>HM 001</v>
      </c>
      <c r="O197" s="100" t="str">
        <f>IFERROR(VLOOKUP(Tablo519[[#This Row],[HAMMADDE KODU]],Tablo1[#All],3,0)," ")</f>
        <v>CAPILENE</v>
      </c>
      <c r="P197" s="100" t="str">
        <f>IFERROR(VLOOKUP(Tablo519[[#This Row],[HAMMADDE KODU]],Tablo1[#All],4,0)," ")</f>
        <v>PİNHAS</v>
      </c>
      <c r="Q197" s="100">
        <f>IFERROR(VLOOKUP(Tablo519[[#This Row],[ÜRÜN KODU]],YMKODLARI!$A$1:$K$363,5,0)," ")</f>
        <v>46.7</v>
      </c>
      <c r="R197" s="100">
        <f>IFERROR(VLOOKUP(Tablo519[[#This Row],[ÜRÜN KODU]],YMKODLARI!$A$1:$K$363,6,0)," ")</f>
        <v>45.4</v>
      </c>
      <c r="S197" s="100">
        <f>IFERROR(Tablo519[[#This Row],[YOLLUK HARİÇ BASKI GRAMI]]/Tablo519[[#This Row],[KALIP GÖZ ADEDİ]]," ")</f>
        <v>22.7</v>
      </c>
      <c r="T197" s="100">
        <f t="shared" si="26"/>
        <v>1.3000000000000043</v>
      </c>
      <c r="U197" s="100">
        <v>6.8</v>
      </c>
      <c r="V197" s="100">
        <f t="shared" si="24"/>
        <v>28.001799999999999</v>
      </c>
      <c r="W197" s="101">
        <f t="shared" si="27"/>
        <v>24.333333333333332</v>
      </c>
      <c r="X197" s="102">
        <f t="shared" si="28"/>
        <v>7.9999999999999716</v>
      </c>
      <c r="Y197" s="100">
        <f t="shared" si="29"/>
        <v>5.059166666666667</v>
      </c>
      <c r="Z197" s="100">
        <f t="shared" si="30"/>
        <v>934</v>
      </c>
    </row>
    <row r="198" spans="1:26">
      <c r="A198" s="100" t="s">
        <v>231</v>
      </c>
      <c r="B198" s="108" t="str">
        <f>IFERROR(VLOOKUP(Tablo519[[#This Row],[ÜRÜN KODU]],YMKODLARI!$A$1:$K$363,2,0)," ")</f>
        <v>SAÇ TARAĞI</v>
      </c>
      <c r="C198" s="99">
        <v>44083</v>
      </c>
      <c r="D198" s="100" t="s">
        <v>37</v>
      </c>
      <c r="E198" s="101"/>
      <c r="F198" s="101"/>
      <c r="G198" s="100">
        <f>IFERROR(VLOOKUP(Tablo519[[#This Row],[ÜRÜN KODU]],YMKODLARI!$A$1:$K$363,3,0)," ")</f>
        <v>2</v>
      </c>
      <c r="H198" s="100">
        <f>IFERROR(VLOOKUP(Tablo519[[#This Row],[ÜRÜN KODU]],YMKODLARI!$A$1:$K$363,4,0)," ")</f>
        <v>39</v>
      </c>
      <c r="I198" s="100">
        <v>467</v>
      </c>
      <c r="J198" s="100">
        <f>IFERROR(VLOOKUP(Tablo519[[#This Row],[ÜRÜN KODU]],YMKODLARI!$A$1:$K$363,9,0)," ")</f>
        <v>3041</v>
      </c>
      <c r="K198" s="100" t="str">
        <f>IFERROR(VLOOKUP(Tablo519[[#This Row],[BOYA KODU]],Tablo14[#All],4,0)," ")</f>
        <v>KIRMIZI</v>
      </c>
      <c r="L198" s="100">
        <f>IFERROR(VLOOKUP(Tablo519[[#This Row],[BOYA KODU]],Tablo14[#All],6,0)," ")</f>
        <v>5.0000000000000001E-3</v>
      </c>
      <c r="M198" s="100">
        <f t="shared" si="25"/>
        <v>32.923499999999997</v>
      </c>
      <c r="N198" s="100" t="str">
        <f>IFERROR(VLOOKUP(Tablo519[[#This Row],[ÜRÜN KODU]],YMKODLARI!$A$1:$K$363,8,0)," ")</f>
        <v>HM 001</v>
      </c>
      <c r="O198" s="100" t="str">
        <f>IFERROR(VLOOKUP(Tablo519[[#This Row],[HAMMADDE KODU]],Tablo1[#All],3,0)," ")</f>
        <v>CAPILENE</v>
      </c>
      <c r="P198" s="100" t="str">
        <f>IFERROR(VLOOKUP(Tablo519[[#This Row],[HAMMADDE KODU]],Tablo1[#All],4,0)," ")</f>
        <v>PİNHAS</v>
      </c>
      <c r="Q198" s="100">
        <f>IFERROR(VLOOKUP(Tablo519[[#This Row],[ÜRÜN KODU]],YMKODLARI!$A$1:$K$363,5,0)," ")</f>
        <v>14.1</v>
      </c>
      <c r="R198" s="100">
        <f>IFERROR(VLOOKUP(Tablo519[[#This Row],[ÜRÜN KODU]],YMKODLARI!$A$1:$K$363,6,0)," ")</f>
        <v>14.1</v>
      </c>
      <c r="S198" s="100">
        <f>IFERROR(Tablo519[[#This Row],[YOLLUK HARİÇ BASKI GRAMI]]/Tablo519[[#This Row],[KALIP GÖZ ADEDİ]]," ")</f>
        <v>7.05</v>
      </c>
      <c r="T198" s="100">
        <f t="shared" si="26"/>
        <v>0</v>
      </c>
      <c r="U198" s="100">
        <v>10.33</v>
      </c>
      <c r="V198" s="100">
        <f t="shared" si="24"/>
        <v>16.9147</v>
      </c>
      <c r="W198" s="101">
        <f t="shared" si="27"/>
        <v>24</v>
      </c>
      <c r="X198" s="102">
        <f t="shared" si="28"/>
        <v>0</v>
      </c>
      <c r="Y198" s="100">
        <f t="shared" si="29"/>
        <v>5.059166666666667</v>
      </c>
      <c r="Z198" s="100">
        <f t="shared" si="30"/>
        <v>934</v>
      </c>
    </row>
    <row r="199" spans="1:26">
      <c r="A199" s="100" t="s">
        <v>239</v>
      </c>
      <c r="B199" s="108" t="str">
        <f>IFERROR(VLOOKUP(Tablo519[[#This Row],[ÜRÜN KODU]],YMKODLARI!$A$1:$K$363,2,0)," ")</f>
        <v>GENİŞ AĞIZ BİBERON VİDA</v>
      </c>
      <c r="C199" s="99">
        <v>44084</v>
      </c>
      <c r="D199" s="100" t="s">
        <v>37</v>
      </c>
      <c r="E199" s="101">
        <v>0.46527777777777773</v>
      </c>
      <c r="F199" s="101">
        <v>0.61805555555555558</v>
      </c>
      <c r="G199" s="100">
        <f>IFERROR(VLOOKUP(Tablo519[[#This Row],[ÜRÜN KODU]],YMKODLARI!$A$1:$K$363,3,0)," ")</f>
        <v>4</v>
      </c>
      <c r="H199" s="100">
        <f>IFERROR(VLOOKUP(Tablo519[[#This Row],[ÜRÜN KODU]],YMKODLARI!$A$1:$K$363,4,0)," ")</f>
        <v>32</v>
      </c>
      <c r="I199" s="100">
        <v>311</v>
      </c>
      <c r="J199" s="100">
        <f>IFERROR(VLOOKUP(Tablo519[[#This Row],[ÜRÜN KODU]],YMKODLARI!$A$1:$K$363,9,0)," ")</f>
        <v>3041</v>
      </c>
      <c r="K199" s="100" t="str">
        <f>IFERROR(VLOOKUP(Tablo519[[#This Row],[BOYA KODU]],Tablo14[#All],4,0)," ")</f>
        <v>KIRMIZI</v>
      </c>
      <c r="L199" s="100">
        <f>IFERROR(VLOOKUP(Tablo519[[#This Row],[BOYA KODU]],Tablo14[#All],6,0)," ")</f>
        <v>5.0000000000000001E-3</v>
      </c>
      <c r="M199" s="100">
        <f t="shared" si="25"/>
        <v>58.778999999999996</v>
      </c>
      <c r="N199" s="100" t="str">
        <f>IFERROR(VLOOKUP(Tablo519[[#This Row],[ÜRÜN KODU]],YMKODLARI!$A$1:$K$363,8,0)," ")</f>
        <v>HM 001</v>
      </c>
      <c r="O199" s="100" t="str">
        <f>IFERROR(VLOOKUP(Tablo519[[#This Row],[HAMMADDE KODU]],Tablo1[#All],3,0)," ")</f>
        <v>CAPILENE</v>
      </c>
      <c r="P199" s="100" t="str">
        <f>IFERROR(VLOOKUP(Tablo519[[#This Row],[HAMMADDE KODU]],Tablo1[#All],4,0)," ")</f>
        <v>PİNHAS</v>
      </c>
      <c r="Q199" s="100">
        <f>IFERROR(VLOOKUP(Tablo519[[#This Row],[ÜRÜN KODU]],YMKODLARI!$A$1:$K$363,5,0)," ")</f>
        <v>37.799999999999997</v>
      </c>
      <c r="R199" s="100">
        <f>IFERROR(VLOOKUP(Tablo519[[#This Row],[ÜRÜN KODU]],YMKODLARI!$A$1:$K$363,6,0)," ")</f>
        <v>37.799999999999997</v>
      </c>
      <c r="S199" s="100">
        <f>IFERROR(Tablo519[[#This Row],[YOLLUK HARİÇ BASKI GRAMI]]/Tablo519[[#This Row],[KALIP GÖZ ADEDİ]]," ")</f>
        <v>9.4499999999999993</v>
      </c>
      <c r="T199" s="100">
        <f t="shared" si="26"/>
        <v>0</v>
      </c>
      <c r="U199" s="100">
        <v>2.2000000000000002</v>
      </c>
      <c r="V199" s="100">
        <f t="shared" si="24"/>
        <v>13.9558</v>
      </c>
      <c r="W199" s="101">
        <f t="shared" si="27"/>
        <v>24.152777777777779</v>
      </c>
      <c r="X199" s="102">
        <f t="shared" si="28"/>
        <v>3.6666666666666856</v>
      </c>
      <c r="Y199" s="100">
        <f t="shared" si="29"/>
        <v>2.7644444444444445</v>
      </c>
      <c r="Z199" s="100">
        <f t="shared" si="30"/>
        <v>1244</v>
      </c>
    </row>
    <row r="200" spans="1:26">
      <c r="A200" s="100" t="s">
        <v>244</v>
      </c>
      <c r="B200" s="108" t="str">
        <f>IFERROR(VLOOKUP(Tablo519[[#This Row],[ÜRÜN KODU]],YMKODLARI!$A$1:$K$363,2,0)," ")</f>
        <v>GENİŞ AĞIZ BİBERON VİDA</v>
      </c>
      <c r="C200" s="99">
        <v>44084</v>
      </c>
      <c r="D200" s="100" t="s">
        <v>37</v>
      </c>
      <c r="E200" s="101">
        <v>0.61805555555555558</v>
      </c>
      <c r="F200" s="101">
        <v>0.70138888888888884</v>
      </c>
      <c r="G200" s="100">
        <f>IFERROR(VLOOKUP(Tablo519[[#This Row],[ÜRÜN KODU]],YMKODLARI!$A$1:$K$363,3,0)," ")</f>
        <v>4</v>
      </c>
      <c r="H200" s="100">
        <f>IFERROR(VLOOKUP(Tablo519[[#This Row],[ÜRÜN KODU]],YMKODLARI!$A$1:$K$363,4,0)," ")</f>
        <v>32</v>
      </c>
      <c r="I200" s="100">
        <v>185</v>
      </c>
      <c r="J200" s="100">
        <f>IFERROR(VLOOKUP(Tablo519[[#This Row],[ÜRÜN KODU]],YMKODLARI!$A$1:$K$363,9,0)," ")</f>
        <v>4090</v>
      </c>
      <c r="K200" s="100" t="str">
        <f>IFERROR(VLOOKUP(Tablo519[[#This Row],[BOYA KODU]],Tablo14[#All],4,0)," ")</f>
        <v>LİLA</v>
      </c>
      <c r="L200" s="100">
        <f>IFERROR(VLOOKUP(Tablo519[[#This Row],[BOYA KODU]],Tablo14[#All],6,0)," ")</f>
        <v>5.0000000000000001E-3</v>
      </c>
      <c r="M200" s="100">
        <f t="shared" si="25"/>
        <v>34.964999999999996</v>
      </c>
      <c r="N200" s="100" t="str">
        <f>IFERROR(VLOOKUP(Tablo519[[#This Row],[ÜRÜN KODU]],YMKODLARI!$A$1:$K$363,8,0)," ")</f>
        <v>HM 001</v>
      </c>
      <c r="O200" s="100" t="str">
        <f>IFERROR(VLOOKUP(Tablo519[[#This Row],[HAMMADDE KODU]],Tablo1[#All],3,0)," ")</f>
        <v>CAPILENE</v>
      </c>
      <c r="P200" s="100" t="str">
        <f>IFERROR(VLOOKUP(Tablo519[[#This Row],[HAMMADDE KODU]],Tablo1[#All],4,0)," ")</f>
        <v>PİNHAS</v>
      </c>
      <c r="Q200" s="100">
        <f>IFERROR(VLOOKUP(Tablo519[[#This Row],[ÜRÜN KODU]],YMKODLARI!$A$1:$K$363,5,0)," ")</f>
        <v>37.799999999999997</v>
      </c>
      <c r="R200" s="100">
        <f>IFERROR(VLOOKUP(Tablo519[[#This Row],[ÜRÜN KODU]],YMKODLARI!$A$1:$K$363,6,0)," ")</f>
        <v>37.799999999999997</v>
      </c>
      <c r="S200" s="100">
        <f>IFERROR(Tablo519[[#This Row],[YOLLUK HARİÇ BASKI GRAMI]]/Tablo519[[#This Row],[KALIP GÖZ ADEDİ]]," ")</f>
        <v>9.4499999999999993</v>
      </c>
      <c r="T200" s="100">
        <f t="shared" si="26"/>
        <v>0</v>
      </c>
      <c r="U200" s="100">
        <v>1.8</v>
      </c>
      <c r="V200" s="100">
        <f t="shared" si="24"/>
        <v>8.7929999999999993</v>
      </c>
      <c r="W200" s="101">
        <f t="shared" si="27"/>
        <v>24.083333333333332</v>
      </c>
      <c r="X200" s="102">
        <f t="shared" si="28"/>
        <v>1.9999999999999716</v>
      </c>
      <c r="Y200" s="100">
        <f t="shared" si="29"/>
        <v>1.6444444444444444</v>
      </c>
      <c r="Z200" s="100">
        <f t="shared" si="30"/>
        <v>740</v>
      </c>
    </row>
    <row r="201" spans="1:26">
      <c r="A201" s="100" t="s">
        <v>238</v>
      </c>
      <c r="B201" s="108" t="str">
        <f>IFERROR(VLOOKUP(Tablo519[[#This Row],[ÜRÜN KODU]],YMKODLARI!$A$1:$K$363,2,0)," ")</f>
        <v>GENİŞ AĞIZ BİBERON VİDA</v>
      </c>
      <c r="C201" s="99">
        <v>44084</v>
      </c>
      <c r="D201" s="100" t="s">
        <v>37</v>
      </c>
      <c r="E201" s="101">
        <v>0.70138888888888884</v>
      </c>
      <c r="F201" s="101">
        <v>0.75</v>
      </c>
      <c r="G201" s="100">
        <f>IFERROR(VLOOKUP(Tablo519[[#This Row],[ÜRÜN KODU]],YMKODLARI!$A$1:$K$363,3,0)," ")</f>
        <v>4</v>
      </c>
      <c r="H201" s="100">
        <f>IFERROR(VLOOKUP(Tablo519[[#This Row],[ÜRÜN KODU]],YMKODLARI!$A$1:$K$363,4,0)," ")</f>
        <v>32</v>
      </c>
      <c r="I201" s="100">
        <v>117</v>
      </c>
      <c r="J201" s="100">
        <f>IFERROR(VLOOKUP(Tablo519[[#This Row],[ÜRÜN KODU]],YMKODLARI!$A$1:$K$363,9,0)," ")</f>
        <v>5287</v>
      </c>
      <c r="K201" s="100" t="str">
        <f>IFERROR(VLOOKUP(Tablo519[[#This Row],[BOYA KODU]],Tablo14[#All],4,0)," ")</f>
        <v>MAVİ</v>
      </c>
      <c r="L201" s="100">
        <f>IFERROR(VLOOKUP(Tablo519[[#This Row],[BOYA KODU]],Tablo14[#All],6,0)," ")</f>
        <v>5.0000000000000001E-3</v>
      </c>
      <c r="M201" s="100">
        <f t="shared" si="25"/>
        <v>22.112999999999996</v>
      </c>
      <c r="N201" s="100" t="str">
        <f>IFERROR(VLOOKUP(Tablo519[[#This Row],[ÜRÜN KODU]],YMKODLARI!$A$1:$K$363,8,0)," ")</f>
        <v>HM 001</v>
      </c>
      <c r="O201" s="100" t="str">
        <f>IFERROR(VLOOKUP(Tablo519[[#This Row],[HAMMADDE KODU]],Tablo1[#All],3,0)," ")</f>
        <v>CAPILENE</v>
      </c>
      <c r="P201" s="100" t="str">
        <f>IFERROR(VLOOKUP(Tablo519[[#This Row],[HAMMADDE KODU]],Tablo1[#All],4,0)," ")</f>
        <v>PİNHAS</v>
      </c>
      <c r="Q201" s="100">
        <f>IFERROR(VLOOKUP(Tablo519[[#This Row],[ÜRÜN KODU]],YMKODLARI!$A$1:$K$363,5,0)," ")</f>
        <v>37.799999999999997</v>
      </c>
      <c r="R201" s="100">
        <f>IFERROR(VLOOKUP(Tablo519[[#This Row],[ÜRÜN KODU]],YMKODLARI!$A$1:$K$363,6,0)," ")</f>
        <v>37.799999999999997</v>
      </c>
      <c r="S201" s="100">
        <f>IFERROR(Tablo519[[#This Row],[YOLLUK HARİÇ BASKI GRAMI]]/Tablo519[[#This Row],[KALIP GÖZ ADEDİ]]," ")</f>
        <v>9.4499999999999993</v>
      </c>
      <c r="T201" s="100">
        <f t="shared" si="26"/>
        <v>0</v>
      </c>
      <c r="U201" s="100"/>
      <c r="V201" s="100">
        <f t="shared" si="24"/>
        <v>4.4225999999999992</v>
      </c>
      <c r="W201" s="101">
        <f t="shared" si="27"/>
        <v>24.048611111111111</v>
      </c>
      <c r="X201" s="102">
        <f t="shared" si="28"/>
        <v>1.1666666666666572</v>
      </c>
      <c r="Y201" s="100">
        <f t="shared" si="29"/>
        <v>1.04</v>
      </c>
      <c r="Z201" s="100">
        <f t="shared" si="30"/>
        <v>468</v>
      </c>
    </row>
    <row r="202" spans="1:26">
      <c r="A202" s="100" t="s">
        <v>238</v>
      </c>
      <c r="B202" s="108" t="str">
        <f>IFERROR(VLOOKUP(Tablo519[[#This Row],[ÜRÜN KODU]],YMKODLARI!$A$1:$K$363,2,0)," ")</f>
        <v>GENİŞ AĞIZ BİBERON VİDA</v>
      </c>
      <c r="C202" s="99">
        <v>44085</v>
      </c>
      <c r="D202" s="100" t="s">
        <v>37</v>
      </c>
      <c r="E202" s="101">
        <v>0.33333333333333331</v>
      </c>
      <c r="F202" s="101">
        <v>0.74305555555555547</v>
      </c>
      <c r="G202" s="100">
        <f>IFERROR(VLOOKUP(Tablo519[[#This Row],[ÜRÜN KODU]],YMKODLARI!$A$1:$K$363,3,0)," ")</f>
        <v>4</v>
      </c>
      <c r="H202" s="100">
        <f>IFERROR(VLOOKUP(Tablo519[[#This Row],[ÜRÜN KODU]],YMKODLARI!$A$1:$K$363,4,0)," ")</f>
        <v>32</v>
      </c>
      <c r="I202" s="100">
        <v>931</v>
      </c>
      <c r="J202" s="100">
        <f>IFERROR(VLOOKUP(Tablo519[[#This Row],[ÜRÜN KODU]],YMKODLARI!$A$1:$K$363,9,0)," ")</f>
        <v>5287</v>
      </c>
      <c r="K202" s="100" t="str">
        <f>IFERROR(VLOOKUP(Tablo519[[#This Row],[BOYA KODU]],Tablo14[#All],4,0)," ")</f>
        <v>MAVİ</v>
      </c>
      <c r="L202" s="100">
        <f>IFERROR(VLOOKUP(Tablo519[[#This Row],[BOYA KODU]],Tablo14[#All],6,0)," ")</f>
        <v>5.0000000000000001E-3</v>
      </c>
      <c r="M202" s="100">
        <f t="shared" si="25"/>
        <v>175.95899999999997</v>
      </c>
      <c r="N202" s="100" t="str">
        <f>IFERROR(VLOOKUP(Tablo519[[#This Row],[ÜRÜN KODU]],YMKODLARI!$A$1:$K$363,8,0)," ")</f>
        <v>HM 001</v>
      </c>
      <c r="O202" s="100" t="str">
        <f>IFERROR(VLOOKUP(Tablo519[[#This Row],[HAMMADDE KODU]],Tablo1[#All],3,0)," ")</f>
        <v>CAPILENE</v>
      </c>
      <c r="P202" s="100" t="str">
        <f>IFERROR(VLOOKUP(Tablo519[[#This Row],[HAMMADDE KODU]],Tablo1[#All],4,0)," ")</f>
        <v>PİNHAS</v>
      </c>
      <c r="Q202" s="100">
        <f>IFERROR(VLOOKUP(Tablo519[[#This Row],[ÜRÜN KODU]],YMKODLARI!$A$1:$K$363,5,0)," ")</f>
        <v>37.799999999999997</v>
      </c>
      <c r="R202" s="100">
        <f>IFERROR(VLOOKUP(Tablo519[[#This Row],[ÜRÜN KODU]],YMKODLARI!$A$1:$K$363,6,0)," ")</f>
        <v>37.799999999999997</v>
      </c>
      <c r="S202" s="100">
        <f>IFERROR(Tablo519[[#This Row],[YOLLUK HARİÇ BASKI GRAMI]]/Tablo519[[#This Row],[KALIP GÖZ ADEDİ]]," ")</f>
        <v>9.4499999999999993</v>
      </c>
      <c r="T202" s="100">
        <f t="shared" si="26"/>
        <v>0</v>
      </c>
      <c r="U202" s="100">
        <v>2</v>
      </c>
      <c r="V202" s="100">
        <f t="shared" si="24"/>
        <v>37.191799999999994</v>
      </c>
      <c r="W202" s="101">
        <f t="shared" si="27"/>
        <v>24.409722222222221</v>
      </c>
      <c r="X202" s="102">
        <f t="shared" si="28"/>
        <v>9.8333333333333144</v>
      </c>
      <c r="Y202" s="100">
        <f t="shared" si="29"/>
        <v>8.275555555555556</v>
      </c>
      <c r="Z202" s="100">
        <f t="shared" si="30"/>
        <v>3724</v>
      </c>
    </row>
    <row r="203" spans="1:26">
      <c r="A203" s="100" t="s">
        <v>237</v>
      </c>
      <c r="B203" s="108" t="str">
        <f>IFERROR(VLOOKUP(Tablo519[[#This Row],[ÜRÜN KODU]],YMKODLARI!$A$1:$K$363,2,0)," ")</f>
        <v>GENİŞ AĞIZ BİBERON VİDA</v>
      </c>
      <c r="C203" s="99">
        <v>44088</v>
      </c>
      <c r="D203" s="100" t="s">
        <v>37</v>
      </c>
      <c r="E203" s="101">
        <v>0.36458333333333331</v>
      </c>
      <c r="F203" s="101">
        <v>0.75</v>
      </c>
      <c r="G203" s="100">
        <f>IFERROR(VLOOKUP(Tablo519[[#This Row],[ÜRÜN KODU]],YMKODLARI!$A$1:$K$363,3,0)," ")</f>
        <v>4</v>
      </c>
      <c r="H203" s="100">
        <f>IFERROR(VLOOKUP(Tablo519[[#This Row],[ÜRÜN KODU]],YMKODLARI!$A$1:$K$363,4,0)," ")</f>
        <v>32</v>
      </c>
      <c r="I203" s="100">
        <v>940</v>
      </c>
      <c r="J203" s="100">
        <f>IFERROR(VLOOKUP(Tablo519[[#This Row],[ÜRÜN KODU]],YMKODLARI!$A$1:$K$363,9,0)," ")</f>
        <v>3409</v>
      </c>
      <c r="K203" s="100" t="str">
        <f>IFERROR(VLOOKUP(Tablo519[[#This Row],[BOYA KODU]],Tablo14[#All],4,0)," ")</f>
        <v>PEMBE</v>
      </c>
      <c r="L203" s="100">
        <f>IFERROR(VLOOKUP(Tablo519[[#This Row],[BOYA KODU]],Tablo14[#All],6,0)," ")</f>
        <v>5.0000000000000001E-3</v>
      </c>
      <c r="M203" s="100">
        <f t="shared" si="25"/>
        <v>177.66</v>
      </c>
      <c r="N203" s="100" t="str">
        <f>IFERROR(VLOOKUP(Tablo519[[#This Row],[ÜRÜN KODU]],YMKODLARI!$A$1:$K$363,8,0)," ")</f>
        <v>HM 001</v>
      </c>
      <c r="O203" s="100" t="str">
        <f>IFERROR(VLOOKUP(Tablo519[[#This Row],[HAMMADDE KODU]],Tablo1[#All],3,0)," ")</f>
        <v>CAPILENE</v>
      </c>
      <c r="P203" s="100" t="str">
        <f>IFERROR(VLOOKUP(Tablo519[[#This Row],[HAMMADDE KODU]],Tablo1[#All],4,0)," ")</f>
        <v>PİNHAS</v>
      </c>
      <c r="Q203" s="100">
        <f>IFERROR(VLOOKUP(Tablo519[[#This Row],[ÜRÜN KODU]],YMKODLARI!$A$1:$K$363,5,0)," ")</f>
        <v>37.799999999999997</v>
      </c>
      <c r="R203" s="100">
        <f>IFERROR(VLOOKUP(Tablo519[[#This Row],[ÜRÜN KODU]],YMKODLARI!$A$1:$K$363,6,0)," ")</f>
        <v>37.799999999999997</v>
      </c>
      <c r="S203" s="100">
        <f>IFERROR(Tablo519[[#This Row],[YOLLUK HARİÇ BASKI GRAMI]]/Tablo519[[#This Row],[KALIP GÖZ ADEDİ]]," ")</f>
        <v>9.4499999999999993</v>
      </c>
      <c r="T203" s="100">
        <f t="shared" si="26"/>
        <v>0</v>
      </c>
      <c r="U203" s="100"/>
      <c r="V203" s="100">
        <f t="shared" si="24"/>
        <v>35.531999999999996</v>
      </c>
      <c r="W203" s="101">
        <f t="shared" si="27"/>
        <v>24.385416666666668</v>
      </c>
      <c r="X203" s="102">
        <f t="shared" si="28"/>
        <v>9.2500000000000284</v>
      </c>
      <c r="Y203" s="100">
        <f t="shared" si="29"/>
        <v>8.3555555555555561</v>
      </c>
      <c r="Z203" s="100">
        <f t="shared" si="30"/>
        <v>3760</v>
      </c>
    </row>
    <row r="204" spans="1:26">
      <c r="A204" s="100" t="s">
        <v>237</v>
      </c>
      <c r="B204" s="108" t="str">
        <f>IFERROR(VLOOKUP(Tablo519[[#This Row],[ÜRÜN KODU]],YMKODLARI!$A$1:$K$363,2,0)," ")</f>
        <v>GENİŞ AĞIZ BİBERON VİDA</v>
      </c>
      <c r="C204" s="99">
        <v>44089</v>
      </c>
      <c r="D204" s="100" t="s">
        <v>37</v>
      </c>
      <c r="E204" s="101">
        <v>0.33333333333333331</v>
      </c>
      <c r="F204" s="101">
        <v>0.5</v>
      </c>
      <c r="G204" s="100">
        <f>IFERROR(VLOOKUP(Tablo519[[#This Row],[ÜRÜN KODU]],YMKODLARI!$A$1:$K$363,3,0)," ")</f>
        <v>4</v>
      </c>
      <c r="H204" s="100">
        <f>IFERROR(VLOOKUP(Tablo519[[#This Row],[ÜRÜN KODU]],YMKODLARI!$A$1:$K$363,4,0)," ")</f>
        <v>32</v>
      </c>
      <c r="I204" s="100">
        <v>385</v>
      </c>
      <c r="J204" s="100">
        <f>IFERROR(VLOOKUP(Tablo519[[#This Row],[ÜRÜN KODU]],YMKODLARI!$A$1:$K$363,9,0)," ")</f>
        <v>3409</v>
      </c>
      <c r="K204" s="100" t="str">
        <f>IFERROR(VLOOKUP(Tablo519[[#This Row],[BOYA KODU]],Tablo14[#All],4,0)," ")</f>
        <v>PEMBE</v>
      </c>
      <c r="L204" s="100">
        <f>IFERROR(VLOOKUP(Tablo519[[#This Row],[BOYA KODU]],Tablo14[#All],6,0)," ")</f>
        <v>5.0000000000000001E-3</v>
      </c>
      <c r="M204" s="100">
        <f t="shared" si="25"/>
        <v>72.764999999999986</v>
      </c>
      <c r="N204" s="100" t="str">
        <f>IFERROR(VLOOKUP(Tablo519[[#This Row],[ÜRÜN KODU]],YMKODLARI!$A$1:$K$363,8,0)," ")</f>
        <v>HM 001</v>
      </c>
      <c r="O204" s="100" t="str">
        <f>IFERROR(VLOOKUP(Tablo519[[#This Row],[HAMMADDE KODU]],Tablo1[#All],3,0)," ")</f>
        <v>CAPILENE</v>
      </c>
      <c r="P204" s="100" t="str">
        <f>IFERROR(VLOOKUP(Tablo519[[#This Row],[HAMMADDE KODU]],Tablo1[#All],4,0)," ")</f>
        <v>PİNHAS</v>
      </c>
      <c r="Q204" s="100">
        <f>IFERROR(VLOOKUP(Tablo519[[#This Row],[ÜRÜN KODU]],YMKODLARI!$A$1:$K$363,5,0)," ")</f>
        <v>37.799999999999997</v>
      </c>
      <c r="R204" s="100">
        <f>IFERROR(VLOOKUP(Tablo519[[#This Row],[ÜRÜN KODU]],YMKODLARI!$A$1:$K$363,6,0)," ")</f>
        <v>37.799999999999997</v>
      </c>
      <c r="S204" s="100">
        <f>IFERROR(Tablo519[[#This Row],[YOLLUK HARİÇ BASKI GRAMI]]/Tablo519[[#This Row],[KALIP GÖZ ADEDİ]]," ")</f>
        <v>9.4499999999999993</v>
      </c>
      <c r="T204" s="100">
        <f t="shared" si="26"/>
        <v>0</v>
      </c>
      <c r="U204" s="100"/>
      <c r="V204" s="100">
        <f t="shared" si="24"/>
        <v>14.552999999999999</v>
      </c>
      <c r="W204" s="101">
        <f t="shared" si="27"/>
        <v>24.166666666666668</v>
      </c>
      <c r="X204" s="102">
        <f t="shared" si="28"/>
        <v>4.0000000000000284</v>
      </c>
      <c r="Y204" s="100">
        <f t="shared" si="29"/>
        <v>3.4222222222222221</v>
      </c>
      <c r="Z204" s="100">
        <f t="shared" si="30"/>
        <v>1540</v>
      </c>
    </row>
    <row r="205" spans="1:26">
      <c r="A205" s="100" t="s">
        <v>245</v>
      </c>
      <c r="B205" s="108" t="str">
        <f>IFERROR(VLOOKUP(Tablo519[[#This Row],[ÜRÜN KODU]],YMKODLARI!$A$1:$K$363,2,0)," ")</f>
        <v>GENİŞ AĞIZ BİBERON VİDA</v>
      </c>
      <c r="C205" s="99">
        <v>44089</v>
      </c>
      <c r="D205" s="100" t="s">
        <v>37</v>
      </c>
      <c r="E205" s="101">
        <v>0.5</v>
      </c>
      <c r="F205" s="101">
        <v>0.6875</v>
      </c>
      <c r="G205" s="100">
        <f>IFERROR(VLOOKUP(Tablo519[[#This Row],[ÜRÜN KODU]],YMKODLARI!$A$1:$K$363,3,0)," ")</f>
        <v>4</v>
      </c>
      <c r="H205" s="100">
        <f>IFERROR(VLOOKUP(Tablo519[[#This Row],[ÜRÜN KODU]],YMKODLARI!$A$1:$K$363,4,0)," ")</f>
        <v>32</v>
      </c>
      <c r="I205" s="100">
        <v>406</v>
      </c>
      <c r="J205" s="100">
        <f>IFERROR(VLOOKUP(Tablo519[[#This Row],[ÜRÜN KODU]],YMKODLARI!$A$1:$K$363,9,0)," ")</f>
        <v>1290</v>
      </c>
      <c r="K205" s="100" t="str">
        <f>IFERROR(VLOOKUP(Tablo519[[#This Row],[BOYA KODU]],Tablo14[#All],4,0)," ")</f>
        <v>SARI</v>
      </c>
      <c r="L205" s="100">
        <f>IFERROR(VLOOKUP(Tablo519[[#This Row],[BOYA KODU]],Tablo14[#All],6,0)," ")</f>
        <v>5.0000000000000001E-3</v>
      </c>
      <c r="M205" s="100">
        <f t="shared" si="25"/>
        <v>76.733999999999995</v>
      </c>
      <c r="N205" s="100" t="str">
        <f>IFERROR(VLOOKUP(Tablo519[[#This Row],[ÜRÜN KODU]],YMKODLARI!$A$1:$K$363,8,0)," ")</f>
        <v>HM 001</v>
      </c>
      <c r="O205" s="100" t="str">
        <f>IFERROR(VLOOKUP(Tablo519[[#This Row],[HAMMADDE KODU]],Tablo1[#All],3,0)," ")</f>
        <v>CAPILENE</v>
      </c>
      <c r="P205" s="100" t="str">
        <f>IFERROR(VLOOKUP(Tablo519[[#This Row],[HAMMADDE KODU]],Tablo1[#All],4,0)," ")</f>
        <v>PİNHAS</v>
      </c>
      <c r="Q205" s="100">
        <f>IFERROR(VLOOKUP(Tablo519[[#This Row],[ÜRÜN KODU]],YMKODLARI!$A$1:$K$363,5,0)," ")</f>
        <v>37.799999999999997</v>
      </c>
      <c r="R205" s="100">
        <f>IFERROR(VLOOKUP(Tablo519[[#This Row],[ÜRÜN KODU]],YMKODLARI!$A$1:$K$363,6,0)," ")</f>
        <v>37.799999999999997</v>
      </c>
      <c r="S205" s="100">
        <f>IFERROR(Tablo519[[#This Row],[YOLLUK HARİÇ BASKI GRAMI]]/Tablo519[[#This Row],[KALIP GÖZ ADEDİ]]," ")</f>
        <v>9.4499999999999993</v>
      </c>
      <c r="T205" s="100">
        <f t="shared" si="26"/>
        <v>0</v>
      </c>
      <c r="U205" s="100"/>
      <c r="V205" s="100">
        <f t="shared" si="24"/>
        <v>15.3468</v>
      </c>
      <c r="W205" s="101">
        <f t="shared" si="27"/>
        <v>24.1875</v>
      </c>
      <c r="X205" s="102">
        <f t="shared" si="28"/>
        <v>4.5</v>
      </c>
      <c r="Y205" s="100">
        <f t="shared" si="29"/>
        <v>3.608888888888889</v>
      </c>
      <c r="Z205" s="100">
        <f t="shared" si="30"/>
        <v>1624</v>
      </c>
    </row>
    <row r="206" spans="1:26">
      <c r="A206" s="100" t="s">
        <v>214</v>
      </c>
      <c r="B206" s="108" t="str">
        <f>IFERROR(VLOOKUP(Tablo519[[#This Row],[ÜRÜN KODU]],YMKODLARI!$A$1:$K$363,2,0)," ")</f>
        <v>EMZİK KAPAĞI</v>
      </c>
      <c r="C206" s="99">
        <v>44090</v>
      </c>
      <c r="D206" s="100" t="s">
        <v>37</v>
      </c>
      <c r="E206" s="101">
        <v>0.66666666666666663</v>
      </c>
      <c r="F206" s="101">
        <v>0.75</v>
      </c>
      <c r="G206" s="100">
        <f>IFERROR(VLOOKUP(Tablo519[[#This Row],[ÜRÜN KODU]],YMKODLARI!$A$1:$K$363,3,0)," ")</f>
        <v>8</v>
      </c>
      <c r="H206" s="100">
        <f>IFERROR(VLOOKUP(Tablo519[[#This Row],[ÜRÜN KODU]],YMKODLARI!$A$1:$K$363,4,0)," ")</f>
        <v>27</v>
      </c>
      <c r="I206" s="100">
        <v>201</v>
      </c>
      <c r="J206" s="100" t="str">
        <f>IFERROR(VLOOKUP(Tablo519[[#This Row],[ÜRÜN KODU]],YMKODLARI!$A$1:$K$363,9,0)," ")</f>
        <v>Şeffaf</v>
      </c>
      <c r="K206" s="100" t="str">
        <f>IFERROR(VLOOKUP(Tablo519[[#This Row],[BOYA KODU]],Tablo14[#All],4,0)," ")</f>
        <v xml:space="preserve"> </v>
      </c>
      <c r="L206" s="100" t="str">
        <f>IFERROR(VLOOKUP(Tablo519[[#This Row],[BOYA KODU]],Tablo14[#All],6,0)," ")</f>
        <v xml:space="preserve"> </v>
      </c>
      <c r="M206" s="100" t="str">
        <f t="shared" si="25"/>
        <v xml:space="preserve"> </v>
      </c>
      <c r="N206" s="100" t="str">
        <f>IFERROR(VLOOKUP(Tablo519[[#This Row],[ÜRÜN KODU]],YMKODLARI!$A$1:$K$363,8,0)," ")</f>
        <v>HM 001</v>
      </c>
      <c r="O206" s="100" t="str">
        <f>IFERROR(VLOOKUP(Tablo519[[#This Row],[HAMMADDE KODU]],Tablo1[#All],3,0)," ")</f>
        <v>CAPILENE</v>
      </c>
      <c r="P206" s="100" t="str">
        <f>IFERROR(VLOOKUP(Tablo519[[#This Row],[HAMMADDE KODU]],Tablo1[#All],4,0)," ")</f>
        <v>PİNHAS</v>
      </c>
      <c r="Q206" s="100">
        <f>IFERROR(VLOOKUP(Tablo519[[#This Row],[ÜRÜN KODU]],YMKODLARI!$A$1:$K$363,5,0)," ")</f>
        <v>27.2</v>
      </c>
      <c r="R206" s="100">
        <f>IFERROR(VLOOKUP(Tablo519[[#This Row],[ÜRÜN KODU]],YMKODLARI!$A$1:$K$363,6,0)," ")</f>
        <v>27.2</v>
      </c>
      <c r="S206" s="100">
        <f>IFERROR(Tablo519[[#This Row],[YOLLUK HARİÇ BASKI GRAMI]]/Tablo519[[#This Row],[KALIP GÖZ ADEDİ]]," ")</f>
        <v>3.4</v>
      </c>
      <c r="T206" s="100">
        <f t="shared" si="26"/>
        <v>0</v>
      </c>
      <c r="U206" s="100"/>
      <c r="V206" s="100">
        <f t="shared" si="24"/>
        <v>5.4672000000000001</v>
      </c>
      <c r="W206" s="101">
        <f t="shared" si="27"/>
        <v>24.083333333333332</v>
      </c>
      <c r="X206" s="102">
        <f t="shared" si="28"/>
        <v>1.9999999999999716</v>
      </c>
      <c r="Y206" s="100">
        <f t="shared" si="29"/>
        <v>1.5075000000000001</v>
      </c>
      <c r="Z206" s="100">
        <f t="shared" si="30"/>
        <v>1608</v>
      </c>
    </row>
    <row r="207" spans="1:26">
      <c r="A207" s="100" t="s">
        <v>214</v>
      </c>
      <c r="B207" s="108" t="str">
        <f>IFERROR(VLOOKUP(Tablo519[[#This Row],[ÜRÜN KODU]],YMKODLARI!$A$1:$K$363,2,0)," ")</f>
        <v>EMZİK KAPAĞI</v>
      </c>
      <c r="C207" s="99">
        <v>44091</v>
      </c>
      <c r="D207" s="100" t="s">
        <v>37</v>
      </c>
      <c r="E207" s="101">
        <v>0.33333333333333331</v>
      </c>
      <c r="F207" s="101">
        <v>0.75</v>
      </c>
      <c r="G207" s="100">
        <f>IFERROR(VLOOKUP(Tablo519[[#This Row],[ÜRÜN KODU]],YMKODLARI!$A$1:$K$363,3,0)," ")</f>
        <v>8</v>
      </c>
      <c r="H207" s="100">
        <f>IFERROR(VLOOKUP(Tablo519[[#This Row],[ÜRÜN KODU]],YMKODLARI!$A$1:$K$363,4,0)," ")</f>
        <v>27</v>
      </c>
      <c r="I207" s="100">
        <v>1390</v>
      </c>
      <c r="J207" s="100" t="str">
        <f>IFERROR(VLOOKUP(Tablo519[[#This Row],[ÜRÜN KODU]],YMKODLARI!$A$1:$K$363,9,0)," ")</f>
        <v>Şeffaf</v>
      </c>
      <c r="K207" s="100" t="str">
        <f>IFERROR(VLOOKUP(Tablo519[[#This Row],[BOYA KODU]],Tablo14[#All],4,0)," ")</f>
        <v xml:space="preserve"> </v>
      </c>
      <c r="L207" s="100" t="str">
        <f>IFERROR(VLOOKUP(Tablo519[[#This Row],[BOYA KODU]],Tablo14[#All],6,0)," ")</f>
        <v xml:space="preserve"> </v>
      </c>
      <c r="M207" s="100" t="str">
        <f t="shared" si="25"/>
        <v xml:space="preserve"> </v>
      </c>
      <c r="N207" s="100" t="str">
        <f>IFERROR(VLOOKUP(Tablo519[[#This Row],[ÜRÜN KODU]],YMKODLARI!$A$1:$K$363,8,0)," ")</f>
        <v>HM 001</v>
      </c>
      <c r="O207" s="100" t="str">
        <f>IFERROR(VLOOKUP(Tablo519[[#This Row],[HAMMADDE KODU]],Tablo1[#All],3,0)," ")</f>
        <v>CAPILENE</v>
      </c>
      <c r="P207" s="100" t="str">
        <f>IFERROR(VLOOKUP(Tablo519[[#This Row],[HAMMADDE KODU]],Tablo1[#All],4,0)," ")</f>
        <v>PİNHAS</v>
      </c>
      <c r="Q207" s="100">
        <f>IFERROR(VLOOKUP(Tablo519[[#This Row],[ÜRÜN KODU]],YMKODLARI!$A$1:$K$363,5,0)," ")</f>
        <v>27.2</v>
      </c>
      <c r="R207" s="100">
        <f>IFERROR(VLOOKUP(Tablo519[[#This Row],[ÜRÜN KODU]],YMKODLARI!$A$1:$K$363,6,0)," ")</f>
        <v>27.2</v>
      </c>
      <c r="S207" s="100">
        <f>IFERROR(Tablo519[[#This Row],[YOLLUK HARİÇ BASKI GRAMI]]/Tablo519[[#This Row],[KALIP GÖZ ADEDİ]]," ")</f>
        <v>3.4</v>
      </c>
      <c r="T207" s="100">
        <f t="shared" si="26"/>
        <v>0</v>
      </c>
      <c r="U207" s="100">
        <v>3.8</v>
      </c>
      <c r="V207" s="100">
        <f t="shared" si="24"/>
        <v>41.607999999999997</v>
      </c>
      <c r="W207" s="101">
        <f t="shared" si="27"/>
        <v>24.416666666666668</v>
      </c>
      <c r="X207" s="102">
        <f t="shared" si="28"/>
        <v>10.000000000000028</v>
      </c>
      <c r="Y207" s="100">
        <f t="shared" si="29"/>
        <v>10.425000000000001</v>
      </c>
      <c r="Z207" s="100">
        <f t="shared" si="30"/>
        <v>11120</v>
      </c>
    </row>
    <row r="208" spans="1:26">
      <c r="A208" s="100" t="s">
        <v>214</v>
      </c>
      <c r="B208" s="108" t="str">
        <f>IFERROR(VLOOKUP(Tablo519[[#This Row],[ÜRÜN KODU]],YMKODLARI!$A$1:$K$363,2,0)," ")</f>
        <v>EMZİK KAPAĞI</v>
      </c>
      <c r="C208" s="99">
        <v>44092</v>
      </c>
      <c r="D208" s="100" t="s">
        <v>37</v>
      </c>
      <c r="E208" s="101">
        <v>0.33333333333333331</v>
      </c>
      <c r="F208" s="101">
        <v>0.75</v>
      </c>
      <c r="G208" s="100">
        <f>IFERROR(VLOOKUP(Tablo519[[#This Row],[ÜRÜN KODU]],YMKODLARI!$A$1:$K$363,3,0)," ")</f>
        <v>8</v>
      </c>
      <c r="H208" s="100">
        <f>IFERROR(VLOOKUP(Tablo519[[#This Row],[ÜRÜN KODU]],YMKODLARI!$A$1:$K$363,4,0)," ")</f>
        <v>27</v>
      </c>
      <c r="I208" s="100">
        <v>1453</v>
      </c>
      <c r="J208" s="100" t="str">
        <f>IFERROR(VLOOKUP(Tablo519[[#This Row],[ÜRÜN KODU]],YMKODLARI!$A$1:$K$363,9,0)," ")</f>
        <v>Şeffaf</v>
      </c>
      <c r="K208" s="100" t="str">
        <f>IFERROR(VLOOKUP(Tablo519[[#This Row],[BOYA KODU]],Tablo14[#All],4,0)," ")</f>
        <v xml:space="preserve"> </v>
      </c>
      <c r="L208" s="100" t="str">
        <f>IFERROR(VLOOKUP(Tablo519[[#This Row],[BOYA KODU]],Tablo14[#All],6,0)," ")</f>
        <v xml:space="preserve"> </v>
      </c>
      <c r="M208" s="100" t="str">
        <f t="shared" si="25"/>
        <v xml:space="preserve"> </v>
      </c>
      <c r="N208" s="100" t="str">
        <f>IFERROR(VLOOKUP(Tablo519[[#This Row],[ÜRÜN KODU]],YMKODLARI!$A$1:$K$363,8,0)," ")</f>
        <v>HM 001</v>
      </c>
      <c r="O208" s="100" t="str">
        <f>IFERROR(VLOOKUP(Tablo519[[#This Row],[HAMMADDE KODU]],Tablo1[#All],3,0)," ")</f>
        <v>CAPILENE</v>
      </c>
      <c r="P208" s="100" t="str">
        <f>IFERROR(VLOOKUP(Tablo519[[#This Row],[HAMMADDE KODU]],Tablo1[#All],4,0)," ")</f>
        <v>PİNHAS</v>
      </c>
      <c r="Q208" s="100">
        <f>IFERROR(VLOOKUP(Tablo519[[#This Row],[ÜRÜN KODU]],YMKODLARI!$A$1:$K$363,5,0)," ")</f>
        <v>27.2</v>
      </c>
      <c r="R208" s="100">
        <f>IFERROR(VLOOKUP(Tablo519[[#This Row],[ÜRÜN KODU]],YMKODLARI!$A$1:$K$363,6,0)," ")</f>
        <v>27.2</v>
      </c>
      <c r="S208" s="100">
        <f>IFERROR(Tablo519[[#This Row],[YOLLUK HARİÇ BASKI GRAMI]]/Tablo519[[#This Row],[KALIP GÖZ ADEDİ]]," ")</f>
        <v>3.4</v>
      </c>
      <c r="T208" s="100">
        <f t="shared" si="26"/>
        <v>0</v>
      </c>
      <c r="U208" s="100">
        <v>3.8</v>
      </c>
      <c r="V208" s="100">
        <f t="shared" si="24"/>
        <v>43.321599999999997</v>
      </c>
      <c r="W208" s="101">
        <f t="shared" si="27"/>
        <v>24.416666666666668</v>
      </c>
      <c r="X208" s="102">
        <f t="shared" si="28"/>
        <v>10.000000000000028</v>
      </c>
      <c r="Y208" s="100">
        <f t="shared" si="29"/>
        <v>10.897500000000001</v>
      </c>
      <c r="Z208" s="100">
        <f t="shared" si="30"/>
        <v>11624</v>
      </c>
    </row>
    <row r="209" spans="1:26">
      <c r="A209" s="100" t="s">
        <v>223</v>
      </c>
      <c r="B209" s="108" t="str">
        <f>IFERROR(VLOOKUP(Tablo519[[#This Row],[ÜRÜN KODU]],YMKODLARI!$A$1:$K$363,2,0)," ")</f>
        <v>EMZİK ASKISI YUVARLAK GÖVDE</v>
      </c>
      <c r="C209" s="99">
        <v>44095</v>
      </c>
      <c r="D209" s="100" t="s">
        <v>37</v>
      </c>
      <c r="E209" s="101">
        <v>0.4375</v>
      </c>
      <c r="F209" s="101">
        <v>0.75</v>
      </c>
      <c r="G209" s="100">
        <f>IFERROR(VLOOKUP(Tablo519[[#This Row],[ÜRÜN KODU]],YMKODLARI!$A$1:$K$363,3,0)," ")</f>
        <v>8</v>
      </c>
      <c r="H209" s="100">
        <f>IFERROR(VLOOKUP(Tablo519[[#This Row],[ÜRÜN KODU]],YMKODLARI!$A$1:$K$363,4,0)," ")</f>
        <v>26</v>
      </c>
      <c r="I209" s="100">
        <v>847</v>
      </c>
      <c r="J209" s="100">
        <f>IFERROR(VLOOKUP(Tablo519[[#This Row],[ÜRÜN KODU]],YMKODLARI!$A$1:$K$363,9,0)," ")</f>
        <v>0</v>
      </c>
      <c r="K209" s="100" t="str">
        <f>IFERROR(VLOOKUP(Tablo519[[#This Row],[BOYA KODU]],Tablo14[#All],4,0)," ")</f>
        <v xml:space="preserve"> </v>
      </c>
      <c r="L209" s="100" t="str">
        <f>IFERROR(VLOOKUP(Tablo519[[#This Row],[BOYA KODU]],Tablo14[#All],6,0)," ")</f>
        <v xml:space="preserve"> </v>
      </c>
      <c r="M209" s="100" t="str">
        <f t="shared" si="25"/>
        <v xml:space="preserve"> </v>
      </c>
      <c r="N209" s="100" t="str">
        <f>IFERROR(VLOOKUP(Tablo519[[#This Row],[ÜRÜN KODU]],YMKODLARI!$A$1:$K$363,8,0)," ")</f>
        <v>HM 007</v>
      </c>
      <c r="O209" s="100" t="str">
        <f>IFERROR(VLOOKUP(Tablo519[[#This Row],[HAMMADDE KODU]],Tablo1[#All],3,0)," ")</f>
        <v>ABS</v>
      </c>
      <c r="P209" s="100" t="str">
        <f>IFERROR(VLOOKUP(Tablo519[[#This Row],[HAMMADDE KODU]],Tablo1[#All],4,0)," ")</f>
        <v>XXX</v>
      </c>
      <c r="Q209" s="100">
        <f>IFERROR(VLOOKUP(Tablo519[[#This Row],[ÜRÜN KODU]],YMKODLARI!$A$1:$K$363,5,0)," ")</f>
        <v>38.1</v>
      </c>
      <c r="R209" s="100">
        <f>IFERROR(VLOOKUP(Tablo519[[#This Row],[ÜRÜN KODU]],YMKODLARI!$A$1:$K$363,6,0)," ")</f>
        <v>37.1</v>
      </c>
      <c r="S209" s="100">
        <f>IFERROR(Tablo519[[#This Row],[YOLLUK HARİÇ BASKI GRAMI]]/Tablo519[[#This Row],[KALIP GÖZ ADEDİ]]," ")</f>
        <v>4.6375000000000002</v>
      </c>
      <c r="T209" s="100">
        <f t="shared" si="26"/>
        <v>1</v>
      </c>
      <c r="U209" s="100"/>
      <c r="V209" s="100">
        <f t="shared" si="24"/>
        <v>31.4237</v>
      </c>
      <c r="W209" s="101">
        <f t="shared" si="27"/>
        <v>24.3125</v>
      </c>
      <c r="X209" s="102">
        <f t="shared" si="28"/>
        <v>7.5</v>
      </c>
      <c r="Y209" s="100">
        <f t="shared" si="29"/>
        <v>6.1172222222222219</v>
      </c>
      <c r="Z209" s="100">
        <f t="shared" si="30"/>
        <v>6776</v>
      </c>
    </row>
    <row r="210" spans="1:26">
      <c r="A210" s="100" t="s">
        <v>223</v>
      </c>
      <c r="B210" s="108" t="str">
        <f>IFERROR(VLOOKUP(Tablo519[[#This Row],[ÜRÜN KODU]],YMKODLARI!$A$1:$K$363,2,0)," ")</f>
        <v>EMZİK ASKISI YUVARLAK GÖVDE</v>
      </c>
      <c r="C210" s="99">
        <v>44096</v>
      </c>
      <c r="D210" s="100" t="s">
        <v>33</v>
      </c>
      <c r="E210" s="101">
        <v>0.33333333333333331</v>
      </c>
      <c r="F210" s="101">
        <v>0.52777777777777779</v>
      </c>
      <c r="G210" s="100">
        <f>IFERROR(VLOOKUP(Tablo519[[#This Row],[ÜRÜN KODU]],YMKODLARI!$A$1:$K$363,3,0)," ")</f>
        <v>8</v>
      </c>
      <c r="H210" s="100">
        <f>IFERROR(VLOOKUP(Tablo519[[#This Row],[ÜRÜN KODU]],YMKODLARI!$A$1:$K$363,4,0)," ")</f>
        <v>26</v>
      </c>
      <c r="I210" s="100">
        <v>579</v>
      </c>
      <c r="J210" s="100">
        <f>IFERROR(VLOOKUP(Tablo519[[#This Row],[ÜRÜN KODU]],YMKODLARI!$A$1:$K$363,9,0)," ")</f>
        <v>0</v>
      </c>
      <c r="K210" s="100" t="str">
        <f>IFERROR(VLOOKUP(Tablo519[[#This Row],[BOYA KODU]],Tablo14[#All],4,0)," ")</f>
        <v xml:space="preserve"> </v>
      </c>
      <c r="L210" s="100" t="str">
        <f>IFERROR(VLOOKUP(Tablo519[[#This Row],[BOYA KODU]],Tablo14[#All],6,0)," ")</f>
        <v xml:space="preserve"> </v>
      </c>
      <c r="M210" s="100" t="str">
        <f t="shared" si="25"/>
        <v xml:space="preserve"> </v>
      </c>
      <c r="N210" s="100" t="str">
        <f>IFERROR(VLOOKUP(Tablo519[[#This Row],[ÜRÜN KODU]],YMKODLARI!$A$1:$K$363,8,0)," ")</f>
        <v>HM 007</v>
      </c>
      <c r="O210" s="100" t="str">
        <f>IFERROR(VLOOKUP(Tablo519[[#This Row],[HAMMADDE KODU]],Tablo1[#All],3,0)," ")</f>
        <v>ABS</v>
      </c>
      <c r="P210" s="100" t="str">
        <f>IFERROR(VLOOKUP(Tablo519[[#This Row],[HAMMADDE KODU]],Tablo1[#All],4,0)," ")</f>
        <v>XXX</v>
      </c>
      <c r="Q210" s="100">
        <f>IFERROR(VLOOKUP(Tablo519[[#This Row],[ÜRÜN KODU]],YMKODLARI!$A$1:$K$363,5,0)," ")</f>
        <v>38.1</v>
      </c>
      <c r="R210" s="100">
        <f>IFERROR(VLOOKUP(Tablo519[[#This Row],[ÜRÜN KODU]],YMKODLARI!$A$1:$K$363,6,0)," ")</f>
        <v>37.1</v>
      </c>
      <c r="S210" s="100">
        <f>IFERROR(Tablo519[[#This Row],[YOLLUK HARİÇ BASKI GRAMI]]/Tablo519[[#This Row],[KALIP GÖZ ADEDİ]]," ")</f>
        <v>4.6375000000000002</v>
      </c>
      <c r="T210" s="100">
        <f t="shared" si="26"/>
        <v>1</v>
      </c>
      <c r="U210" s="100">
        <v>2.7</v>
      </c>
      <c r="V210" s="100">
        <f t="shared" si="24"/>
        <v>24.180900000000001</v>
      </c>
      <c r="W210" s="101">
        <f t="shared" si="27"/>
        <v>24.194444444444443</v>
      </c>
      <c r="X210" s="102">
        <f t="shared" si="28"/>
        <v>4.6666666666666288</v>
      </c>
      <c r="Y210" s="100">
        <f t="shared" si="29"/>
        <v>4.1816666666666666</v>
      </c>
      <c r="Z210" s="100">
        <f t="shared" si="30"/>
        <v>4632</v>
      </c>
    </row>
    <row r="211" spans="1:26">
      <c r="A211" s="100" t="s">
        <v>224</v>
      </c>
      <c r="B211" s="108" t="str">
        <f>IFERROR(VLOOKUP(Tablo519[[#This Row],[ÜRÜN KODU]],YMKODLARI!$A$1:$K$363,2,0)," ")</f>
        <v>EMZİK ASKISI YUVARLAK MANDAL</v>
      </c>
      <c r="C211" s="99">
        <v>44096</v>
      </c>
      <c r="D211" s="100" t="s">
        <v>33</v>
      </c>
      <c r="E211" s="101">
        <v>0.6875</v>
      </c>
      <c r="F211" s="101">
        <v>0.75</v>
      </c>
      <c r="G211" s="100">
        <f>IFERROR(VLOOKUP(Tablo519[[#This Row],[ÜRÜN KODU]],YMKODLARI!$A$1:$K$363,3,0)," ")</f>
        <v>16</v>
      </c>
      <c r="H211" s="100">
        <f>IFERROR(VLOOKUP(Tablo519[[#This Row],[ÜRÜN KODU]],YMKODLARI!$A$1:$K$363,4,0)," ")</f>
        <v>25</v>
      </c>
      <c r="I211" s="100">
        <v>208</v>
      </c>
      <c r="J211" s="100">
        <f>IFERROR(VLOOKUP(Tablo519[[#This Row],[ÜRÜN KODU]],YMKODLARI!$A$1:$K$363,9,0)," ")</f>
        <v>0</v>
      </c>
      <c r="K211" s="100" t="str">
        <f>IFERROR(VLOOKUP(Tablo519[[#This Row],[BOYA KODU]],Tablo14[#All],4,0)," ")</f>
        <v xml:space="preserve"> </v>
      </c>
      <c r="L211" s="100" t="str">
        <f>IFERROR(VLOOKUP(Tablo519[[#This Row],[BOYA KODU]],Tablo14[#All],6,0)," ")</f>
        <v xml:space="preserve"> </v>
      </c>
      <c r="M211" s="100" t="str">
        <f t="shared" si="25"/>
        <v xml:space="preserve"> </v>
      </c>
      <c r="N211" s="100" t="str">
        <f>IFERROR(VLOOKUP(Tablo519[[#This Row],[ÜRÜN KODU]],YMKODLARI!$A$1:$K$363,8,0)," ")</f>
        <v>HM 007</v>
      </c>
      <c r="O211" s="100" t="str">
        <f>IFERROR(VLOOKUP(Tablo519[[#This Row],[HAMMADDE KODU]],Tablo1[#All],3,0)," ")</f>
        <v>ABS</v>
      </c>
      <c r="P211" s="100" t="str">
        <f>IFERROR(VLOOKUP(Tablo519[[#This Row],[HAMMADDE KODU]],Tablo1[#All],4,0)," ")</f>
        <v>XXX</v>
      </c>
      <c r="Q211" s="100">
        <f>IFERROR(VLOOKUP(Tablo519[[#This Row],[ÜRÜN KODU]],YMKODLARI!$A$1:$K$363,5,0)," ")</f>
        <v>28.9</v>
      </c>
      <c r="R211" s="100">
        <f>IFERROR(VLOOKUP(Tablo519[[#This Row],[ÜRÜN KODU]],YMKODLARI!$A$1:$K$363,6,0)," ")</f>
        <v>23.6</v>
      </c>
      <c r="S211" s="100">
        <f>IFERROR(Tablo519[[#This Row],[YOLLUK HARİÇ BASKI GRAMI]]/Tablo519[[#This Row],[KALIP GÖZ ADEDİ]]," ")</f>
        <v>1.4750000000000001</v>
      </c>
      <c r="T211" s="100">
        <f t="shared" si="26"/>
        <v>5.2999999999999972</v>
      </c>
      <c r="U211" s="100"/>
      <c r="V211" s="100">
        <f t="shared" si="24"/>
        <v>4.9088000000000003</v>
      </c>
      <c r="W211" s="101">
        <f t="shared" si="27"/>
        <v>24.0625</v>
      </c>
      <c r="X211" s="102">
        <f t="shared" si="28"/>
        <v>1.5</v>
      </c>
      <c r="Y211" s="100">
        <f t="shared" si="29"/>
        <v>1.4444444444444444</v>
      </c>
      <c r="Z211" s="100">
        <f t="shared" si="30"/>
        <v>3328</v>
      </c>
    </row>
    <row r="212" spans="1:26">
      <c r="A212" s="100" t="s">
        <v>224</v>
      </c>
      <c r="B212" s="108" t="str">
        <f>IFERROR(VLOOKUP(Tablo519[[#This Row],[ÜRÜN KODU]],YMKODLARI!$A$1:$K$363,2,0)," ")</f>
        <v>EMZİK ASKISI YUVARLAK MANDAL</v>
      </c>
      <c r="C212" s="99">
        <v>44097</v>
      </c>
      <c r="D212" s="100" t="s">
        <v>33</v>
      </c>
      <c r="E212" s="101">
        <v>0.33333333333333331</v>
      </c>
      <c r="F212" s="101">
        <v>0.50694444444444442</v>
      </c>
      <c r="G212" s="100">
        <f>IFERROR(VLOOKUP(Tablo519[[#This Row],[ÜRÜN KODU]],YMKODLARI!$A$1:$K$363,3,0)," ")</f>
        <v>16</v>
      </c>
      <c r="H212" s="100">
        <f>IFERROR(VLOOKUP(Tablo519[[#This Row],[ÜRÜN KODU]],YMKODLARI!$A$1:$K$363,4,0)," ")</f>
        <v>25</v>
      </c>
      <c r="I212" s="100">
        <v>503</v>
      </c>
      <c r="J212" s="100">
        <f>IFERROR(VLOOKUP(Tablo519[[#This Row],[ÜRÜN KODU]],YMKODLARI!$A$1:$K$363,9,0)," ")</f>
        <v>0</v>
      </c>
      <c r="K212" s="100" t="str">
        <f>IFERROR(VLOOKUP(Tablo519[[#This Row],[BOYA KODU]],Tablo14[#All],4,0)," ")</f>
        <v xml:space="preserve"> </v>
      </c>
      <c r="L212" s="100" t="str">
        <f>IFERROR(VLOOKUP(Tablo519[[#This Row],[BOYA KODU]],Tablo14[#All],6,0)," ")</f>
        <v xml:space="preserve"> </v>
      </c>
      <c r="M212" s="100" t="str">
        <f t="shared" si="25"/>
        <v xml:space="preserve"> </v>
      </c>
      <c r="N212" s="100" t="str">
        <f>IFERROR(VLOOKUP(Tablo519[[#This Row],[ÜRÜN KODU]],YMKODLARI!$A$1:$K$363,8,0)," ")</f>
        <v>HM 007</v>
      </c>
      <c r="O212" s="100" t="str">
        <f>IFERROR(VLOOKUP(Tablo519[[#This Row],[HAMMADDE KODU]],Tablo1[#All],3,0)," ")</f>
        <v>ABS</v>
      </c>
      <c r="P212" s="100" t="str">
        <f>IFERROR(VLOOKUP(Tablo519[[#This Row],[HAMMADDE KODU]],Tablo1[#All],4,0)," ")</f>
        <v>XXX</v>
      </c>
      <c r="Q212" s="100">
        <f>IFERROR(VLOOKUP(Tablo519[[#This Row],[ÜRÜN KODU]],YMKODLARI!$A$1:$K$363,5,0)," ")</f>
        <v>28.9</v>
      </c>
      <c r="R212" s="100">
        <f>IFERROR(VLOOKUP(Tablo519[[#This Row],[ÜRÜN KODU]],YMKODLARI!$A$1:$K$363,6,0)," ")</f>
        <v>23.6</v>
      </c>
      <c r="S212" s="100">
        <f>IFERROR(Tablo519[[#This Row],[YOLLUK HARİÇ BASKI GRAMI]]/Tablo519[[#This Row],[KALIP GÖZ ADEDİ]]," ")</f>
        <v>1.4750000000000001</v>
      </c>
      <c r="T212" s="100">
        <f t="shared" si="26"/>
        <v>5.2999999999999972</v>
      </c>
      <c r="U212" s="100">
        <v>6</v>
      </c>
      <c r="V212" s="100">
        <f t="shared" si="24"/>
        <v>17.870800000000003</v>
      </c>
      <c r="W212" s="101">
        <f t="shared" si="27"/>
        <v>24.173611111111111</v>
      </c>
      <c r="X212" s="102">
        <f t="shared" si="28"/>
        <v>4.1666666666666572</v>
      </c>
      <c r="Y212" s="100">
        <f t="shared" si="29"/>
        <v>3.4930555555555554</v>
      </c>
      <c r="Z212" s="100">
        <f t="shared" si="30"/>
        <v>8048</v>
      </c>
    </row>
    <row r="213" spans="1:26">
      <c r="A213" s="100" t="s">
        <v>236</v>
      </c>
      <c r="B213" s="108" t="str">
        <f>IFERROR(VLOOKUP(Tablo519[[#This Row],[ÜRÜN KODU]],YMKODLARI!$A$1:$K$363,2,0)," ")</f>
        <v>EMZİK ASKISI ZİNCİR</v>
      </c>
      <c r="C213" s="99">
        <v>44098</v>
      </c>
      <c r="D213" s="100" t="s">
        <v>47</v>
      </c>
      <c r="E213" s="101">
        <v>0.34375</v>
      </c>
      <c r="F213" s="101">
        <v>0.75</v>
      </c>
      <c r="G213" s="100">
        <f>IFERROR(VLOOKUP(Tablo519[[#This Row],[ÜRÜN KODU]],YMKODLARI!$A$1:$K$363,3,0)," ")</f>
        <v>4</v>
      </c>
      <c r="H213" s="100">
        <f>IFERROR(VLOOKUP(Tablo519[[#This Row],[ÜRÜN KODU]],YMKODLARI!$A$1:$K$363,4,0)," ")</f>
        <v>18</v>
      </c>
      <c r="I213" s="100">
        <v>1573</v>
      </c>
      <c r="J213" s="100" t="str">
        <f>IFERROR(VLOOKUP(Tablo519[[#This Row],[ÜRÜN KODU]],YMKODLARI!$A$1:$K$363,9,0)," ")</f>
        <v>9134A</v>
      </c>
      <c r="K213" s="100" t="str">
        <f>IFERROR(VLOOKUP(Tablo519[[#This Row],[BOYA KODU]],Tablo14[#All],4,0)," ")</f>
        <v>BEYAZ</v>
      </c>
      <c r="L213" s="100">
        <f>IFERROR(VLOOKUP(Tablo519[[#This Row],[BOYA KODU]],Tablo14[#All],6,0)," ")</f>
        <v>7.0000000000000001E-3</v>
      </c>
      <c r="M213" s="100">
        <f t="shared" si="25"/>
        <v>183.8837</v>
      </c>
      <c r="N213" s="100" t="str">
        <f>IFERROR(VLOOKUP(Tablo519[[#This Row],[ÜRÜN KODU]],YMKODLARI!$A$1:$K$363,8,0)," ")</f>
        <v>HM 001</v>
      </c>
      <c r="O213" s="100" t="str">
        <f>IFERROR(VLOOKUP(Tablo519[[#This Row],[HAMMADDE KODU]],Tablo1[#All],3,0)," ")</f>
        <v>CAPILENE</v>
      </c>
      <c r="P213" s="100" t="str">
        <f>IFERROR(VLOOKUP(Tablo519[[#This Row],[HAMMADDE KODU]],Tablo1[#All],4,0)," ")</f>
        <v>PİNHAS</v>
      </c>
      <c r="Q213" s="100">
        <f>IFERROR(VLOOKUP(Tablo519[[#This Row],[ÜRÜN KODU]],YMKODLARI!$A$1:$K$363,5,0)," ")</f>
        <v>16.7</v>
      </c>
      <c r="R213" s="100">
        <f>IFERROR(VLOOKUP(Tablo519[[#This Row],[ÜRÜN KODU]],YMKODLARI!$A$1:$K$363,6,0)," ")</f>
        <v>6.3</v>
      </c>
      <c r="S213" s="100">
        <f>IFERROR(Tablo519[[#This Row],[YOLLUK HARİÇ BASKI GRAMI]]/Tablo519[[#This Row],[KALIP GÖZ ADEDİ]]," ")</f>
        <v>1.575</v>
      </c>
      <c r="T213" s="100">
        <f t="shared" si="26"/>
        <v>10.399999999999999</v>
      </c>
      <c r="U213" s="100">
        <v>3.6</v>
      </c>
      <c r="V213" s="100">
        <f t="shared" si="24"/>
        <v>13.5099</v>
      </c>
      <c r="W213" s="101">
        <f t="shared" si="27"/>
        <v>24.40625</v>
      </c>
      <c r="X213" s="102">
        <f t="shared" si="28"/>
        <v>9.75</v>
      </c>
      <c r="Y213" s="100">
        <f t="shared" si="29"/>
        <v>7.8650000000000002</v>
      </c>
      <c r="Z213" s="100">
        <f t="shared" si="30"/>
        <v>6292</v>
      </c>
    </row>
    <row r="214" spans="1:26">
      <c r="A214" s="100" t="s">
        <v>236</v>
      </c>
      <c r="B214" s="108" t="str">
        <f>IFERROR(VLOOKUP(Tablo519[[#This Row],[ÜRÜN KODU]],YMKODLARI!$A$1:$K$363,2,0)," ")</f>
        <v>EMZİK ASKISI ZİNCİR</v>
      </c>
      <c r="C214" s="99">
        <v>44099</v>
      </c>
      <c r="D214" s="100" t="s">
        <v>47</v>
      </c>
      <c r="E214" s="101">
        <v>0.33680555555555558</v>
      </c>
      <c r="F214" s="101">
        <v>0.61111111111111105</v>
      </c>
      <c r="G214" s="100">
        <f>IFERROR(VLOOKUP(Tablo519[[#This Row],[ÜRÜN KODU]],YMKODLARI!$A$1:$K$363,3,0)," ")</f>
        <v>4</v>
      </c>
      <c r="H214" s="100">
        <f>IFERROR(VLOOKUP(Tablo519[[#This Row],[ÜRÜN KODU]],YMKODLARI!$A$1:$K$363,4,0)," ")</f>
        <v>18</v>
      </c>
      <c r="I214" s="100">
        <v>1120</v>
      </c>
      <c r="J214" s="100" t="str">
        <f>IFERROR(VLOOKUP(Tablo519[[#This Row],[ÜRÜN KODU]],YMKODLARI!$A$1:$K$363,9,0)," ")</f>
        <v>9134A</v>
      </c>
      <c r="K214" s="100" t="str">
        <f>IFERROR(VLOOKUP(Tablo519[[#This Row],[BOYA KODU]],Tablo14[#All],4,0)," ")</f>
        <v>BEYAZ</v>
      </c>
      <c r="L214" s="100">
        <f>IFERROR(VLOOKUP(Tablo519[[#This Row],[BOYA KODU]],Tablo14[#All],6,0)," ")</f>
        <v>7.0000000000000001E-3</v>
      </c>
      <c r="M214" s="100">
        <f t="shared" si="25"/>
        <v>130.928</v>
      </c>
      <c r="N214" s="100" t="str">
        <f>IFERROR(VLOOKUP(Tablo519[[#This Row],[ÜRÜN KODU]],YMKODLARI!$A$1:$K$363,8,0)," ")</f>
        <v>HM 001</v>
      </c>
      <c r="O214" s="100" t="str">
        <f>IFERROR(VLOOKUP(Tablo519[[#This Row],[HAMMADDE KODU]],Tablo1[#All],3,0)," ")</f>
        <v>CAPILENE</v>
      </c>
      <c r="P214" s="100" t="str">
        <f>IFERROR(VLOOKUP(Tablo519[[#This Row],[HAMMADDE KODU]],Tablo1[#All],4,0)," ")</f>
        <v>PİNHAS</v>
      </c>
      <c r="Q214" s="100">
        <f>IFERROR(VLOOKUP(Tablo519[[#This Row],[ÜRÜN KODU]],YMKODLARI!$A$1:$K$363,5,0)," ")</f>
        <v>16.7</v>
      </c>
      <c r="R214" s="100">
        <f>IFERROR(VLOOKUP(Tablo519[[#This Row],[ÜRÜN KODU]],YMKODLARI!$A$1:$K$363,6,0)," ")</f>
        <v>6.3</v>
      </c>
      <c r="S214" s="100">
        <f>IFERROR(Tablo519[[#This Row],[YOLLUK HARİÇ BASKI GRAMI]]/Tablo519[[#This Row],[KALIP GÖZ ADEDİ]]," ")</f>
        <v>1.575</v>
      </c>
      <c r="T214" s="100">
        <f t="shared" si="26"/>
        <v>10.399999999999999</v>
      </c>
      <c r="U214" s="100"/>
      <c r="V214" s="100">
        <f t="shared" si="24"/>
        <v>7.056</v>
      </c>
      <c r="W214" s="101">
        <f t="shared" si="27"/>
        <v>24.274305555555557</v>
      </c>
      <c r="X214" s="102">
        <f t="shared" si="28"/>
        <v>6.5833333333333712</v>
      </c>
      <c r="Y214" s="100">
        <f t="shared" si="29"/>
        <v>5.6</v>
      </c>
      <c r="Z214" s="100">
        <f t="shared" si="30"/>
        <v>4480</v>
      </c>
    </row>
    <row r="215" spans="1:26">
      <c r="A215" s="100" t="s">
        <v>246</v>
      </c>
      <c r="B215" s="108" t="str">
        <f>IFERROR(VLOOKUP(Tablo519[[#This Row],[ÜRÜN KODU]],YMKODLARI!$A$1:$K$363,2,0)," ")</f>
        <v>EMZİK ASKISI ZİNCİR</v>
      </c>
      <c r="C215" s="99">
        <v>44099</v>
      </c>
      <c r="D215" s="100" t="s">
        <v>47</v>
      </c>
      <c r="E215" s="101">
        <v>0.61111111111111105</v>
      </c>
      <c r="F215" s="101">
        <v>0.70833333333333337</v>
      </c>
      <c r="G215" s="100">
        <f>IFERROR(VLOOKUP(Tablo519[[#This Row],[ÜRÜN KODU]],YMKODLARI!$A$1:$K$363,3,0)," ")</f>
        <v>4</v>
      </c>
      <c r="H215" s="100">
        <f>IFERROR(VLOOKUP(Tablo519[[#This Row],[ÜRÜN KODU]],YMKODLARI!$A$1:$K$363,4,0)," ")</f>
        <v>18</v>
      </c>
      <c r="I215" s="100">
        <v>371</v>
      </c>
      <c r="J215" s="100">
        <f>IFERROR(VLOOKUP(Tablo519[[#This Row],[ÜRÜN KODU]],YMKODLARI!$A$1:$K$363,9,0)," ")</f>
        <v>0</v>
      </c>
      <c r="K215" s="100" t="str">
        <f>IFERROR(VLOOKUP(Tablo519[[#This Row],[BOYA KODU]],Tablo14[#All],4,0)," ")</f>
        <v xml:space="preserve"> </v>
      </c>
      <c r="L215" s="100" t="str">
        <f>IFERROR(VLOOKUP(Tablo519[[#This Row],[BOYA KODU]],Tablo14[#All],6,0)," ")</f>
        <v xml:space="preserve"> </v>
      </c>
      <c r="M215" s="100" t="str">
        <f t="shared" si="25"/>
        <v xml:space="preserve"> </v>
      </c>
      <c r="N215" s="100" t="str">
        <f>IFERROR(VLOOKUP(Tablo519[[#This Row],[ÜRÜN KODU]],YMKODLARI!$A$1:$K$363,8,0)," ")</f>
        <v>HM 001</v>
      </c>
      <c r="O215" s="100" t="str">
        <f>IFERROR(VLOOKUP(Tablo519[[#This Row],[HAMMADDE KODU]],Tablo1[#All],3,0)," ")</f>
        <v>CAPILENE</v>
      </c>
      <c r="P215" s="100" t="str">
        <f>IFERROR(VLOOKUP(Tablo519[[#This Row],[HAMMADDE KODU]],Tablo1[#All],4,0)," ")</f>
        <v>PİNHAS</v>
      </c>
      <c r="Q215" s="100">
        <f>IFERROR(VLOOKUP(Tablo519[[#This Row],[ÜRÜN KODU]],YMKODLARI!$A$1:$K$363,5,0)," ")</f>
        <v>16.7</v>
      </c>
      <c r="R215" s="100">
        <f>IFERROR(VLOOKUP(Tablo519[[#This Row],[ÜRÜN KODU]],YMKODLARI!$A$1:$K$363,6,0)," ")</f>
        <v>6.3</v>
      </c>
      <c r="S215" s="100">
        <f>IFERROR(Tablo519[[#This Row],[YOLLUK HARİÇ BASKI GRAMI]]/Tablo519[[#This Row],[KALIP GÖZ ADEDİ]]," ")</f>
        <v>1.575</v>
      </c>
      <c r="T215" s="100">
        <f t="shared" si="26"/>
        <v>10.399999999999999</v>
      </c>
      <c r="U215" s="100"/>
      <c r="V215" s="100">
        <f t="shared" si="24"/>
        <v>2.3372999999999999</v>
      </c>
      <c r="W215" s="101">
        <f t="shared" si="27"/>
        <v>24.097222222222221</v>
      </c>
      <c r="X215" s="102">
        <f t="shared" si="28"/>
        <v>2.3333333333333144</v>
      </c>
      <c r="Y215" s="100">
        <f t="shared" si="29"/>
        <v>1.855</v>
      </c>
      <c r="Z215" s="100">
        <f t="shared" si="30"/>
        <v>1484</v>
      </c>
    </row>
    <row r="216" spans="1:26">
      <c r="A216" s="100" t="s">
        <v>246</v>
      </c>
      <c r="B216" s="108" t="str">
        <f>IFERROR(VLOOKUP(Tablo519[[#This Row],[ÜRÜN KODU]],YMKODLARI!$A$1:$K$363,2,0)," ")</f>
        <v>EMZİK ASKISI ZİNCİR</v>
      </c>
      <c r="C216" s="99">
        <v>44102</v>
      </c>
      <c r="D216" s="100" t="s">
        <v>47</v>
      </c>
      <c r="E216" s="101">
        <v>0.34375</v>
      </c>
      <c r="F216" s="101">
        <v>0.71527777777777779</v>
      </c>
      <c r="G216" s="100">
        <f>IFERROR(VLOOKUP(Tablo519[[#This Row],[ÜRÜN KODU]],YMKODLARI!$A$1:$K$363,3,0)," ")</f>
        <v>4</v>
      </c>
      <c r="H216" s="100">
        <f>IFERROR(VLOOKUP(Tablo519[[#This Row],[ÜRÜN KODU]],YMKODLARI!$A$1:$K$363,4,0)," ")</f>
        <v>18</v>
      </c>
      <c r="I216" s="100">
        <v>1498</v>
      </c>
      <c r="J216" s="100">
        <f>IFERROR(VLOOKUP(Tablo519[[#This Row],[ÜRÜN KODU]],YMKODLARI!$A$1:$K$363,9,0)," ")</f>
        <v>0</v>
      </c>
      <c r="K216" s="100" t="str">
        <f>IFERROR(VLOOKUP(Tablo519[[#This Row],[BOYA KODU]],Tablo14[#All],4,0)," ")</f>
        <v xml:space="preserve"> </v>
      </c>
      <c r="L216" s="100" t="str">
        <f>IFERROR(VLOOKUP(Tablo519[[#This Row],[BOYA KODU]],Tablo14[#All],6,0)," ")</f>
        <v xml:space="preserve"> </v>
      </c>
      <c r="M216" s="100" t="str">
        <f t="shared" si="25"/>
        <v xml:space="preserve"> </v>
      </c>
      <c r="N216" s="100" t="str">
        <f>IFERROR(VLOOKUP(Tablo519[[#This Row],[ÜRÜN KODU]],YMKODLARI!$A$1:$K$363,8,0)," ")</f>
        <v>HM 001</v>
      </c>
      <c r="O216" s="100" t="str">
        <f>IFERROR(VLOOKUP(Tablo519[[#This Row],[HAMMADDE KODU]],Tablo1[#All],3,0)," ")</f>
        <v>CAPILENE</v>
      </c>
      <c r="P216" s="100" t="str">
        <f>IFERROR(VLOOKUP(Tablo519[[#This Row],[HAMMADDE KODU]],Tablo1[#All],4,0)," ")</f>
        <v>PİNHAS</v>
      </c>
      <c r="Q216" s="100">
        <f>IFERROR(VLOOKUP(Tablo519[[#This Row],[ÜRÜN KODU]],YMKODLARI!$A$1:$K$363,5,0)," ")</f>
        <v>16.7</v>
      </c>
      <c r="R216" s="100">
        <f>IFERROR(VLOOKUP(Tablo519[[#This Row],[ÜRÜN KODU]],YMKODLARI!$A$1:$K$363,6,0)," ")</f>
        <v>6.3</v>
      </c>
      <c r="S216" s="100">
        <f>IFERROR(Tablo519[[#This Row],[YOLLUK HARİÇ BASKI GRAMI]]/Tablo519[[#This Row],[KALIP GÖZ ADEDİ]]," ")</f>
        <v>1.575</v>
      </c>
      <c r="T216" s="100">
        <f t="shared" si="26"/>
        <v>10.399999999999999</v>
      </c>
      <c r="U216" s="100"/>
      <c r="V216" s="100">
        <f t="shared" si="24"/>
        <v>9.4374000000000002</v>
      </c>
      <c r="W216" s="101">
        <f t="shared" si="27"/>
        <v>24.371527777777779</v>
      </c>
      <c r="X216" s="102">
        <f t="shared" si="28"/>
        <v>8.9166666666666856</v>
      </c>
      <c r="Y216" s="100">
        <f t="shared" si="29"/>
        <v>7.49</v>
      </c>
      <c r="Z216" s="100">
        <f t="shared" si="30"/>
        <v>5992</v>
      </c>
    </row>
    <row r="217" spans="1:26">
      <c r="A217" s="100" t="s">
        <v>247</v>
      </c>
      <c r="B217" s="108" t="str">
        <f>IFERROR(VLOOKUP(Tablo519[[#This Row],[ÜRÜN KODU]],YMKODLARI!$A$1:$K$363,2,0)," ")</f>
        <v>EMZİK ASKISI ZİNCİR</v>
      </c>
      <c r="C217" s="99">
        <v>44102</v>
      </c>
      <c r="D217" s="100" t="s">
        <v>47</v>
      </c>
      <c r="E217" s="101">
        <v>0.71875</v>
      </c>
      <c r="F217" s="101">
        <v>0.75</v>
      </c>
      <c r="G217" s="100">
        <f>IFERROR(VLOOKUP(Tablo519[[#This Row],[ÜRÜN KODU]],YMKODLARI!$A$1:$K$363,3,0)," ")</f>
        <v>4</v>
      </c>
      <c r="H217" s="100">
        <f>IFERROR(VLOOKUP(Tablo519[[#This Row],[ÜRÜN KODU]],YMKODLARI!$A$1:$K$363,4,0)," ")</f>
        <v>18</v>
      </c>
      <c r="I217" s="100">
        <v>158</v>
      </c>
      <c r="J217" s="100">
        <f>IFERROR(VLOOKUP(Tablo519[[#This Row],[ÜRÜN KODU]],YMKODLARI!$A$1:$K$363,9,0)," ")</f>
        <v>0</v>
      </c>
      <c r="K217" s="100" t="str">
        <f>IFERROR(VLOOKUP(Tablo519[[#This Row],[BOYA KODU]],Tablo14[#All],4,0)," ")</f>
        <v xml:space="preserve"> </v>
      </c>
      <c r="L217" s="100" t="str">
        <f>IFERROR(VLOOKUP(Tablo519[[#This Row],[BOYA KODU]],Tablo14[#All],6,0)," ")</f>
        <v xml:space="preserve"> </v>
      </c>
      <c r="M217" s="100" t="str">
        <f t="shared" si="25"/>
        <v xml:space="preserve"> </v>
      </c>
      <c r="N217" s="100" t="str">
        <f>IFERROR(VLOOKUP(Tablo519[[#This Row],[ÜRÜN KODU]],YMKODLARI!$A$1:$K$363,8,0)," ")</f>
        <v>HM 001</v>
      </c>
      <c r="O217" s="100" t="str">
        <f>IFERROR(VLOOKUP(Tablo519[[#This Row],[HAMMADDE KODU]],Tablo1[#All],3,0)," ")</f>
        <v>CAPILENE</v>
      </c>
      <c r="P217" s="100" t="str">
        <f>IFERROR(VLOOKUP(Tablo519[[#This Row],[HAMMADDE KODU]],Tablo1[#All],4,0)," ")</f>
        <v>PİNHAS</v>
      </c>
      <c r="Q217" s="100">
        <f>IFERROR(VLOOKUP(Tablo519[[#This Row],[ÜRÜN KODU]],YMKODLARI!$A$1:$K$363,5,0)," ")</f>
        <v>16.7</v>
      </c>
      <c r="R217" s="100">
        <f>IFERROR(VLOOKUP(Tablo519[[#This Row],[ÜRÜN KODU]],YMKODLARI!$A$1:$K$363,6,0)," ")</f>
        <v>6.3</v>
      </c>
      <c r="S217" s="100">
        <f>IFERROR(Tablo519[[#This Row],[YOLLUK HARİÇ BASKI GRAMI]]/Tablo519[[#This Row],[KALIP GÖZ ADEDİ]]," ")</f>
        <v>1.575</v>
      </c>
      <c r="T217" s="100">
        <f t="shared" si="26"/>
        <v>10.399999999999999</v>
      </c>
      <c r="U217" s="100"/>
      <c r="V217" s="100">
        <f t="shared" si="24"/>
        <v>0.99539999999999995</v>
      </c>
      <c r="W217" s="101">
        <f t="shared" si="27"/>
        <v>24.03125</v>
      </c>
      <c r="X217" s="102">
        <f t="shared" si="28"/>
        <v>0.75</v>
      </c>
      <c r="Y217" s="100">
        <f t="shared" si="29"/>
        <v>0.79</v>
      </c>
      <c r="Z217" s="100">
        <f t="shared" si="30"/>
        <v>632</v>
      </c>
    </row>
    <row r="218" spans="1:26">
      <c r="A218" s="100" t="s">
        <v>247</v>
      </c>
      <c r="B218" s="108" t="str">
        <f>IFERROR(VLOOKUP(Tablo519[[#This Row],[ÜRÜN KODU]],YMKODLARI!$A$1:$K$363,2,0)," ")</f>
        <v>EMZİK ASKISI ZİNCİR</v>
      </c>
      <c r="C218" s="99">
        <v>44103</v>
      </c>
      <c r="D218" s="100" t="s">
        <v>47</v>
      </c>
      <c r="E218" s="101">
        <v>0.34027777777777773</v>
      </c>
      <c r="F218" s="101">
        <v>0.75</v>
      </c>
      <c r="G218" s="100">
        <f>IFERROR(VLOOKUP(Tablo519[[#This Row],[ÜRÜN KODU]],YMKODLARI!$A$1:$K$363,3,0)," ")</f>
        <v>4</v>
      </c>
      <c r="H218" s="100">
        <f>IFERROR(VLOOKUP(Tablo519[[#This Row],[ÜRÜN KODU]],YMKODLARI!$A$1:$K$363,4,0)," ")</f>
        <v>18</v>
      </c>
      <c r="I218" s="100">
        <v>1669</v>
      </c>
      <c r="J218" s="100">
        <f>IFERROR(VLOOKUP(Tablo519[[#This Row],[ÜRÜN KODU]],YMKODLARI!$A$1:$K$363,9,0)," ")</f>
        <v>0</v>
      </c>
      <c r="K218" s="100" t="str">
        <f>IFERROR(VLOOKUP(Tablo519[[#This Row],[BOYA KODU]],Tablo14[#All],4,0)," ")</f>
        <v xml:space="preserve"> </v>
      </c>
      <c r="L218" s="100" t="str">
        <f>IFERROR(VLOOKUP(Tablo519[[#This Row],[BOYA KODU]],Tablo14[#All],6,0)," ")</f>
        <v xml:space="preserve"> </v>
      </c>
      <c r="M218" s="100" t="str">
        <f t="shared" si="25"/>
        <v xml:space="preserve"> </v>
      </c>
      <c r="N218" s="100" t="str">
        <f>IFERROR(VLOOKUP(Tablo519[[#This Row],[ÜRÜN KODU]],YMKODLARI!$A$1:$K$363,8,0)," ")</f>
        <v>HM 001</v>
      </c>
      <c r="O218" s="100" t="str">
        <f>IFERROR(VLOOKUP(Tablo519[[#This Row],[HAMMADDE KODU]],Tablo1[#All],3,0)," ")</f>
        <v>CAPILENE</v>
      </c>
      <c r="P218" s="100" t="str">
        <f>IFERROR(VLOOKUP(Tablo519[[#This Row],[HAMMADDE KODU]],Tablo1[#All],4,0)," ")</f>
        <v>PİNHAS</v>
      </c>
      <c r="Q218" s="100">
        <f>IFERROR(VLOOKUP(Tablo519[[#This Row],[ÜRÜN KODU]],YMKODLARI!$A$1:$K$363,5,0)," ")</f>
        <v>16.7</v>
      </c>
      <c r="R218" s="100">
        <f>IFERROR(VLOOKUP(Tablo519[[#This Row],[ÜRÜN KODU]],YMKODLARI!$A$1:$K$363,6,0)," ")</f>
        <v>6.3</v>
      </c>
      <c r="S218" s="100">
        <f>IFERROR(Tablo519[[#This Row],[YOLLUK HARİÇ BASKI GRAMI]]/Tablo519[[#This Row],[KALIP GÖZ ADEDİ]]," ")</f>
        <v>1.575</v>
      </c>
      <c r="T218" s="100">
        <f t="shared" si="26"/>
        <v>10.399999999999999</v>
      </c>
      <c r="U218" s="100"/>
      <c r="V218" s="100">
        <f t="shared" si="24"/>
        <v>10.514699999999999</v>
      </c>
      <c r="W218" s="101">
        <f t="shared" si="27"/>
        <v>24.409722222222221</v>
      </c>
      <c r="X218" s="102">
        <f t="shared" si="28"/>
        <v>9.8333333333333144</v>
      </c>
      <c r="Y218" s="100">
        <f t="shared" si="29"/>
        <v>8.3450000000000006</v>
      </c>
      <c r="Z218" s="100">
        <f t="shared" si="30"/>
        <v>6676</v>
      </c>
    </row>
    <row r="219" spans="1:26">
      <c r="A219" s="100" t="s">
        <v>248</v>
      </c>
      <c r="B219" s="108" t="str">
        <f>IFERROR(VLOOKUP(Tablo519[[#This Row],[ÜRÜN KODU]],YMKODLARI!$A$1:$K$363,2,0)," ")</f>
        <v>EMZİK ASKISI ZİNCİR</v>
      </c>
      <c r="C219" s="99">
        <v>44104</v>
      </c>
      <c r="D219" s="100" t="s">
        <v>47</v>
      </c>
      <c r="E219" s="101">
        <v>0.33680555555555558</v>
      </c>
      <c r="F219" s="101">
        <v>0.51736111111111105</v>
      </c>
      <c r="G219" s="100">
        <f>IFERROR(VLOOKUP(Tablo519[[#This Row],[ÜRÜN KODU]],YMKODLARI!$A$1:$K$363,3,0)," ")</f>
        <v>4</v>
      </c>
      <c r="H219" s="100">
        <f>IFERROR(VLOOKUP(Tablo519[[#This Row],[ÜRÜN KODU]],YMKODLARI!$A$1:$K$363,4,0)," ")</f>
        <v>18</v>
      </c>
      <c r="I219" s="100">
        <v>800</v>
      </c>
      <c r="J219" s="100">
        <f>IFERROR(VLOOKUP(Tablo519[[#This Row],[ÜRÜN KODU]],YMKODLARI!$A$1:$K$363,9,0)," ")</f>
        <v>0</v>
      </c>
      <c r="K219" s="100" t="str">
        <f>IFERROR(VLOOKUP(Tablo519[[#This Row],[BOYA KODU]],Tablo14[#All],4,0)," ")</f>
        <v xml:space="preserve"> </v>
      </c>
      <c r="L219" s="100" t="str">
        <f>IFERROR(VLOOKUP(Tablo519[[#This Row],[BOYA KODU]],Tablo14[#All],6,0)," ")</f>
        <v xml:space="preserve"> </v>
      </c>
      <c r="M219" s="100" t="str">
        <f t="shared" si="25"/>
        <v xml:space="preserve"> </v>
      </c>
      <c r="N219" s="100" t="str">
        <f>IFERROR(VLOOKUP(Tablo519[[#This Row],[ÜRÜN KODU]],YMKODLARI!$A$1:$K$363,8,0)," ")</f>
        <v>HM 001</v>
      </c>
      <c r="O219" s="100" t="str">
        <f>IFERROR(VLOOKUP(Tablo519[[#This Row],[HAMMADDE KODU]],Tablo1[#All],3,0)," ")</f>
        <v>CAPILENE</v>
      </c>
      <c r="P219" s="100" t="str">
        <f>IFERROR(VLOOKUP(Tablo519[[#This Row],[HAMMADDE KODU]],Tablo1[#All],4,0)," ")</f>
        <v>PİNHAS</v>
      </c>
      <c r="Q219" s="100">
        <f>IFERROR(VLOOKUP(Tablo519[[#This Row],[ÜRÜN KODU]],YMKODLARI!$A$1:$K$363,5,0)," ")</f>
        <v>16.7</v>
      </c>
      <c r="R219" s="100">
        <f>IFERROR(VLOOKUP(Tablo519[[#This Row],[ÜRÜN KODU]],YMKODLARI!$A$1:$K$363,6,0)," ")</f>
        <v>6.3</v>
      </c>
      <c r="S219" s="100">
        <f>IFERROR(Tablo519[[#This Row],[YOLLUK HARİÇ BASKI GRAMI]]/Tablo519[[#This Row],[KALIP GÖZ ADEDİ]]," ")</f>
        <v>1.575</v>
      </c>
      <c r="T219" s="100">
        <f t="shared" si="26"/>
        <v>10.399999999999999</v>
      </c>
      <c r="U219" s="100"/>
      <c r="V219" s="100">
        <f t="shared" si="24"/>
        <v>5.04</v>
      </c>
      <c r="W219" s="101">
        <f t="shared" si="27"/>
        <v>24.180555555555557</v>
      </c>
      <c r="X219" s="102">
        <f t="shared" si="28"/>
        <v>4.3333333333333712</v>
      </c>
      <c r="Y219" s="100">
        <f t="shared" si="29"/>
        <v>4</v>
      </c>
      <c r="Z219" s="100">
        <f t="shared" si="30"/>
        <v>3200</v>
      </c>
    </row>
    <row r="220" spans="1:26">
      <c r="A220" s="100" t="s">
        <v>249</v>
      </c>
      <c r="B220" s="108" t="str">
        <f>IFERROR(VLOOKUP(Tablo519[[#This Row],[ÜRÜN KODU]],YMKODLARI!$A$1:$K$363,2,0)," ")</f>
        <v>EMZİK ASKISI ZİNCİR</v>
      </c>
      <c r="C220" s="99">
        <v>44104</v>
      </c>
      <c r="D220" s="100" t="s">
        <v>47</v>
      </c>
      <c r="E220" s="101">
        <v>0.52083333333333337</v>
      </c>
      <c r="F220" s="101">
        <v>0.68402777777777779</v>
      </c>
      <c r="G220" s="100">
        <f>IFERROR(VLOOKUP(Tablo519[[#This Row],[ÜRÜN KODU]],YMKODLARI!$A$1:$K$363,3,0)," ")</f>
        <v>4</v>
      </c>
      <c r="H220" s="100">
        <f>IFERROR(VLOOKUP(Tablo519[[#This Row],[ÜRÜN KODU]],YMKODLARI!$A$1:$K$363,4,0)," ")</f>
        <v>18</v>
      </c>
      <c r="I220" s="100">
        <v>540</v>
      </c>
      <c r="J220" s="100">
        <f>IFERROR(VLOOKUP(Tablo519[[#This Row],[ÜRÜN KODU]],YMKODLARI!$A$1:$K$363,9,0)," ")</f>
        <v>0</v>
      </c>
      <c r="K220" s="100" t="str">
        <f>IFERROR(VLOOKUP(Tablo519[[#This Row],[BOYA KODU]],Tablo14[#All],4,0)," ")</f>
        <v xml:space="preserve"> </v>
      </c>
      <c r="L220" s="100" t="str">
        <f>IFERROR(VLOOKUP(Tablo519[[#This Row],[BOYA KODU]],Tablo14[#All],6,0)," ")</f>
        <v xml:space="preserve"> </v>
      </c>
      <c r="M220" s="100" t="str">
        <f t="shared" si="25"/>
        <v xml:space="preserve"> </v>
      </c>
      <c r="N220" s="100" t="str">
        <f>IFERROR(VLOOKUP(Tablo519[[#This Row],[ÜRÜN KODU]],YMKODLARI!$A$1:$K$363,8,0)," ")</f>
        <v>HM 001</v>
      </c>
      <c r="O220" s="100" t="str">
        <f>IFERROR(VLOOKUP(Tablo519[[#This Row],[HAMMADDE KODU]],Tablo1[#All],3,0)," ")</f>
        <v>CAPILENE</v>
      </c>
      <c r="P220" s="100" t="str">
        <f>IFERROR(VLOOKUP(Tablo519[[#This Row],[HAMMADDE KODU]],Tablo1[#All],4,0)," ")</f>
        <v>PİNHAS</v>
      </c>
      <c r="Q220" s="100">
        <f>IFERROR(VLOOKUP(Tablo519[[#This Row],[ÜRÜN KODU]],YMKODLARI!$A$1:$K$363,5,0)," ")</f>
        <v>16.7</v>
      </c>
      <c r="R220" s="100">
        <f>IFERROR(VLOOKUP(Tablo519[[#This Row],[ÜRÜN KODU]],YMKODLARI!$A$1:$K$363,6,0)," ")</f>
        <v>6.3</v>
      </c>
      <c r="S220" s="100">
        <f>IFERROR(Tablo519[[#This Row],[YOLLUK HARİÇ BASKI GRAMI]]/Tablo519[[#This Row],[KALIP GÖZ ADEDİ]]," ")</f>
        <v>1.575</v>
      </c>
      <c r="T220" s="100">
        <f t="shared" si="26"/>
        <v>10.399999999999999</v>
      </c>
      <c r="U220" s="100"/>
      <c r="V220" s="100">
        <f t="shared" si="24"/>
        <v>3.4020000000000001</v>
      </c>
      <c r="W220" s="101">
        <f t="shared" si="27"/>
        <v>24.163194444444443</v>
      </c>
      <c r="X220" s="102">
        <f t="shared" si="28"/>
        <v>3.9166666666666288</v>
      </c>
      <c r="Y220" s="100">
        <f t="shared" si="29"/>
        <v>2.7</v>
      </c>
      <c r="Z220" s="100">
        <f t="shared" si="30"/>
        <v>2160</v>
      </c>
    </row>
    <row r="221" spans="1:26">
      <c r="A221" s="100" t="s">
        <v>249</v>
      </c>
      <c r="B221" s="108" t="str">
        <f>IFERROR(VLOOKUP(Tablo519[[#This Row],[ÜRÜN KODU]],YMKODLARI!$A$1:$K$363,2,0)," ")</f>
        <v>EMZİK ASKISI ZİNCİR</v>
      </c>
      <c r="C221" s="99">
        <v>44104</v>
      </c>
      <c r="D221" s="100" t="s">
        <v>47</v>
      </c>
      <c r="E221" s="101">
        <v>0.6875</v>
      </c>
      <c r="F221" s="101">
        <v>0.75</v>
      </c>
      <c r="G221" s="100">
        <f>IFERROR(VLOOKUP(Tablo519[[#This Row],[ÜRÜN KODU]],YMKODLARI!$A$1:$K$363,3,0)," ")</f>
        <v>4</v>
      </c>
      <c r="H221" s="100">
        <f>IFERROR(VLOOKUP(Tablo519[[#This Row],[ÜRÜN KODU]],YMKODLARI!$A$1:$K$363,4,0)," ")</f>
        <v>18</v>
      </c>
      <c r="I221" s="100">
        <v>268</v>
      </c>
      <c r="J221" s="100">
        <f>IFERROR(VLOOKUP(Tablo519[[#This Row],[ÜRÜN KODU]],YMKODLARI!$A$1:$K$363,9,0)," ")</f>
        <v>0</v>
      </c>
      <c r="K221" s="100" t="str">
        <f>IFERROR(VLOOKUP(Tablo519[[#This Row],[BOYA KODU]],Tablo14[#All],4,0)," ")</f>
        <v xml:space="preserve"> </v>
      </c>
      <c r="L221" s="100" t="str">
        <f>IFERROR(VLOOKUP(Tablo519[[#This Row],[BOYA KODU]],Tablo14[#All],6,0)," ")</f>
        <v xml:space="preserve"> </v>
      </c>
      <c r="M221" s="100" t="str">
        <f t="shared" si="25"/>
        <v xml:space="preserve"> </v>
      </c>
      <c r="N221" s="100" t="str">
        <f>IFERROR(VLOOKUP(Tablo519[[#This Row],[ÜRÜN KODU]],YMKODLARI!$A$1:$K$363,8,0)," ")</f>
        <v>HM 001</v>
      </c>
      <c r="O221" s="100" t="str">
        <f>IFERROR(VLOOKUP(Tablo519[[#This Row],[HAMMADDE KODU]],Tablo1[#All],3,0)," ")</f>
        <v>CAPILENE</v>
      </c>
      <c r="P221" s="100" t="str">
        <f>IFERROR(VLOOKUP(Tablo519[[#This Row],[HAMMADDE KODU]],Tablo1[#All],4,0)," ")</f>
        <v>PİNHAS</v>
      </c>
      <c r="Q221" s="100">
        <f>IFERROR(VLOOKUP(Tablo519[[#This Row],[ÜRÜN KODU]],YMKODLARI!$A$1:$K$363,5,0)," ")</f>
        <v>16.7</v>
      </c>
      <c r="R221" s="100">
        <f>IFERROR(VLOOKUP(Tablo519[[#This Row],[ÜRÜN KODU]],YMKODLARI!$A$1:$K$363,6,0)," ")</f>
        <v>6.3</v>
      </c>
      <c r="S221" s="100">
        <f>IFERROR(Tablo519[[#This Row],[YOLLUK HARİÇ BASKI GRAMI]]/Tablo519[[#This Row],[KALIP GÖZ ADEDİ]]," ")</f>
        <v>1.575</v>
      </c>
      <c r="T221" s="100">
        <f t="shared" si="26"/>
        <v>10.399999999999999</v>
      </c>
      <c r="U221" s="100"/>
      <c r="V221" s="100">
        <f t="shared" si="24"/>
        <v>1.6883999999999999</v>
      </c>
      <c r="W221" s="101">
        <f t="shared" si="27"/>
        <v>24.0625</v>
      </c>
      <c r="X221" s="102">
        <f t="shared" si="28"/>
        <v>1.5</v>
      </c>
      <c r="Y221" s="100">
        <f t="shared" si="29"/>
        <v>1.34</v>
      </c>
      <c r="Z221" s="100">
        <f t="shared" si="30"/>
        <v>1072</v>
      </c>
    </row>
    <row r="222" spans="1:26">
      <c r="A222" s="100" t="s">
        <v>176</v>
      </c>
      <c r="B222" s="108" t="str">
        <f>IFERROR(VLOOKUP(Tablo519[[#This Row],[ÜRÜN KODU]],YMKODLARI!$A$1:$K$363,2,0)," ")</f>
        <v xml:space="preserve">BİBERON KAPAĞI </v>
      </c>
      <c r="C222" s="99">
        <v>44105</v>
      </c>
      <c r="D222" s="100" t="s">
        <v>47</v>
      </c>
      <c r="E222" s="101">
        <v>0.33680555555555558</v>
      </c>
      <c r="F222" s="101">
        <v>0.63888888888888895</v>
      </c>
      <c r="G222" s="100">
        <f>IFERROR(VLOOKUP(Tablo519[[#This Row],[ÜRÜN KODU]],YMKODLARI!$A$1:$K$363,3,0)," ")</f>
        <v>8</v>
      </c>
      <c r="H222" s="100">
        <f>IFERROR(VLOOKUP(Tablo519[[#This Row],[ÜRÜN KODU]],YMKODLARI!$A$1:$K$363,4,0)," ")</f>
        <v>21</v>
      </c>
      <c r="I222" s="100">
        <v>1234</v>
      </c>
      <c r="J222" s="100" t="str">
        <f>IFERROR(VLOOKUP(Tablo519[[#This Row],[ÜRÜN KODU]],YMKODLARI!$A$1:$K$363,9,0)," ")</f>
        <v>Şeffaf</v>
      </c>
      <c r="K222" s="100" t="str">
        <f>IFERROR(VLOOKUP(Tablo519[[#This Row],[BOYA KODU]],Tablo14[#All],4,0)," ")</f>
        <v xml:space="preserve"> </v>
      </c>
      <c r="L222" s="100" t="str">
        <f>IFERROR(VLOOKUP(Tablo519[[#This Row],[BOYA KODU]],Tablo14[#All],6,0)," ")</f>
        <v xml:space="preserve"> </v>
      </c>
      <c r="M222" s="100" t="str">
        <f t="shared" si="25"/>
        <v xml:space="preserve"> </v>
      </c>
      <c r="N222" s="100" t="str">
        <f>IFERROR(VLOOKUP(Tablo519[[#This Row],[ÜRÜN KODU]],YMKODLARI!$A$1:$K$363,8,0)," ")</f>
        <v>HM 001</v>
      </c>
      <c r="O222" s="100" t="str">
        <f>IFERROR(VLOOKUP(Tablo519[[#This Row],[HAMMADDE KODU]],Tablo1[#All],3,0)," ")</f>
        <v>CAPILENE</v>
      </c>
      <c r="P222" s="100" t="str">
        <f>IFERROR(VLOOKUP(Tablo519[[#This Row],[HAMMADDE KODU]],Tablo1[#All],4,0)," ")</f>
        <v>PİNHAS</v>
      </c>
      <c r="Q222" s="100">
        <f>IFERROR(VLOOKUP(Tablo519[[#This Row],[ÜRÜN KODU]],YMKODLARI!$A$1:$K$363,5,0)," ")</f>
        <v>40</v>
      </c>
      <c r="R222" s="100">
        <f>IFERROR(VLOOKUP(Tablo519[[#This Row],[ÜRÜN KODU]],YMKODLARI!$A$1:$K$363,6,0)," ")</f>
        <v>40</v>
      </c>
      <c r="S222" s="100">
        <f>IFERROR(Tablo519[[#This Row],[YOLLUK HARİÇ BASKI GRAMI]]/Tablo519[[#This Row],[KALIP GÖZ ADEDİ]]," ")</f>
        <v>5</v>
      </c>
      <c r="T222" s="100">
        <f t="shared" si="26"/>
        <v>0</v>
      </c>
      <c r="U222" s="100"/>
      <c r="V222" s="100">
        <f t="shared" si="24"/>
        <v>49.36</v>
      </c>
      <c r="W222" s="101">
        <f t="shared" si="27"/>
        <v>24.302083333333332</v>
      </c>
      <c r="X222" s="102">
        <f t="shared" si="28"/>
        <v>7.2499999999999716</v>
      </c>
      <c r="Y222" s="100">
        <f t="shared" si="29"/>
        <v>7.1983333333333333</v>
      </c>
      <c r="Z222" s="100">
        <f t="shared" si="30"/>
        <v>9872</v>
      </c>
    </row>
    <row r="223" spans="1:26">
      <c r="A223" s="100" t="s">
        <v>176</v>
      </c>
      <c r="B223" s="108" t="str">
        <f>IFERROR(VLOOKUP(Tablo519[[#This Row],[ÜRÜN KODU]],YMKODLARI!$A$1:$K$363,2,0)," ")</f>
        <v xml:space="preserve">BİBERON KAPAĞI </v>
      </c>
      <c r="C223" s="99">
        <v>44106</v>
      </c>
      <c r="D223" s="100" t="s">
        <v>47</v>
      </c>
      <c r="E223" s="101">
        <v>0.4513888888888889</v>
      </c>
      <c r="F223" s="101">
        <v>0.75</v>
      </c>
      <c r="G223" s="100">
        <f>IFERROR(VLOOKUP(Tablo519[[#This Row],[ÜRÜN KODU]],YMKODLARI!$A$1:$K$363,3,0)," ")</f>
        <v>8</v>
      </c>
      <c r="H223" s="100">
        <f>IFERROR(VLOOKUP(Tablo519[[#This Row],[ÜRÜN KODU]],YMKODLARI!$A$1:$K$363,4,0)," ")</f>
        <v>21</v>
      </c>
      <c r="I223" s="100">
        <v>996</v>
      </c>
      <c r="J223" s="100" t="str">
        <f>IFERROR(VLOOKUP(Tablo519[[#This Row],[ÜRÜN KODU]],YMKODLARI!$A$1:$K$363,9,0)," ")</f>
        <v>Şeffaf</v>
      </c>
      <c r="K223" s="100" t="str">
        <f>IFERROR(VLOOKUP(Tablo519[[#This Row],[BOYA KODU]],Tablo14[#All],4,0)," ")</f>
        <v xml:space="preserve"> </v>
      </c>
      <c r="L223" s="100" t="str">
        <f>IFERROR(VLOOKUP(Tablo519[[#This Row],[BOYA KODU]],Tablo14[#All],6,0)," ")</f>
        <v xml:space="preserve"> </v>
      </c>
      <c r="M223" s="100" t="str">
        <f t="shared" si="25"/>
        <v xml:space="preserve"> </v>
      </c>
      <c r="N223" s="100" t="str">
        <f>IFERROR(VLOOKUP(Tablo519[[#This Row],[ÜRÜN KODU]],YMKODLARI!$A$1:$K$363,8,0)," ")</f>
        <v>HM 001</v>
      </c>
      <c r="O223" s="100" t="str">
        <f>IFERROR(VLOOKUP(Tablo519[[#This Row],[HAMMADDE KODU]],Tablo1[#All],3,0)," ")</f>
        <v>CAPILENE</v>
      </c>
      <c r="P223" s="100" t="str">
        <f>IFERROR(VLOOKUP(Tablo519[[#This Row],[HAMMADDE KODU]],Tablo1[#All],4,0)," ")</f>
        <v>PİNHAS</v>
      </c>
      <c r="Q223" s="100">
        <f>IFERROR(VLOOKUP(Tablo519[[#This Row],[ÜRÜN KODU]],YMKODLARI!$A$1:$K$363,5,0)," ")</f>
        <v>40</v>
      </c>
      <c r="R223" s="100">
        <f>IFERROR(VLOOKUP(Tablo519[[#This Row],[ÜRÜN KODU]],YMKODLARI!$A$1:$K$363,6,0)," ")</f>
        <v>40</v>
      </c>
      <c r="S223" s="100">
        <f>IFERROR(Tablo519[[#This Row],[YOLLUK HARİÇ BASKI GRAMI]]/Tablo519[[#This Row],[KALIP GÖZ ADEDİ]]," ")</f>
        <v>5</v>
      </c>
      <c r="T223" s="100">
        <f t="shared" si="26"/>
        <v>0</v>
      </c>
      <c r="U223" s="100">
        <v>1</v>
      </c>
      <c r="V223" s="100">
        <f t="shared" si="24"/>
        <v>40.840000000000003</v>
      </c>
      <c r="W223" s="101">
        <f t="shared" si="27"/>
        <v>24.298611111111111</v>
      </c>
      <c r="X223" s="102">
        <f t="shared" si="28"/>
        <v>7.1666666666666572</v>
      </c>
      <c r="Y223" s="100">
        <f t="shared" si="29"/>
        <v>5.81</v>
      </c>
      <c r="Z223" s="100">
        <f t="shared" si="30"/>
        <v>7968</v>
      </c>
    </row>
    <row r="224" spans="1:26">
      <c r="A224" s="100" t="s">
        <v>176</v>
      </c>
      <c r="B224" s="108" t="str">
        <f>IFERROR(VLOOKUP(Tablo519[[#This Row],[ÜRÜN KODU]],YMKODLARI!$A$1:$K$363,2,0)," ")</f>
        <v xml:space="preserve">BİBERON KAPAĞI </v>
      </c>
      <c r="C224" s="99">
        <v>44109</v>
      </c>
      <c r="D224" s="100" t="s">
        <v>47</v>
      </c>
      <c r="E224" s="101">
        <v>0.34027777777777773</v>
      </c>
      <c r="F224" s="101">
        <v>0.75</v>
      </c>
      <c r="G224" s="100">
        <f>IFERROR(VLOOKUP(Tablo519[[#This Row],[ÜRÜN KODU]],YMKODLARI!$A$1:$K$363,3,0)," ")</f>
        <v>8</v>
      </c>
      <c r="H224" s="100">
        <f>IFERROR(VLOOKUP(Tablo519[[#This Row],[ÜRÜN KODU]],YMKODLARI!$A$1:$K$363,4,0)," ")</f>
        <v>21</v>
      </c>
      <c r="I224" s="100">
        <v>1337</v>
      </c>
      <c r="J224" s="100" t="str">
        <f>IFERROR(VLOOKUP(Tablo519[[#This Row],[ÜRÜN KODU]],YMKODLARI!$A$1:$K$363,9,0)," ")</f>
        <v>Şeffaf</v>
      </c>
      <c r="K224" s="100" t="str">
        <f>IFERROR(VLOOKUP(Tablo519[[#This Row],[BOYA KODU]],Tablo14[#All],4,0)," ")</f>
        <v xml:space="preserve"> </v>
      </c>
      <c r="L224" s="100" t="str">
        <f>IFERROR(VLOOKUP(Tablo519[[#This Row],[BOYA KODU]],Tablo14[#All],6,0)," ")</f>
        <v xml:space="preserve"> </v>
      </c>
      <c r="M224" s="100" t="str">
        <f t="shared" si="25"/>
        <v xml:space="preserve"> </v>
      </c>
      <c r="N224" s="100" t="str">
        <f>IFERROR(VLOOKUP(Tablo519[[#This Row],[ÜRÜN KODU]],YMKODLARI!$A$1:$K$363,8,0)," ")</f>
        <v>HM 001</v>
      </c>
      <c r="O224" s="100" t="str">
        <f>IFERROR(VLOOKUP(Tablo519[[#This Row],[HAMMADDE KODU]],Tablo1[#All],3,0)," ")</f>
        <v>CAPILENE</v>
      </c>
      <c r="P224" s="100" t="str">
        <f>IFERROR(VLOOKUP(Tablo519[[#This Row],[HAMMADDE KODU]],Tablo1[#All],4,0)," ")</f>
        <v>PİNHAS</v>
      </c>
      <c r="Q224" s="100">
        <f>IFERROR(VLOOKUP(Tablo519[[#This Row],[ÜRÜN KODU]],YMKODLARI!$A$1:$K$363,5,0)," ")</f>
        <v>40</v>
      </c>
      <c r="R224" s="100">
        <f>IFERROR(VLOOKUP(Tablo519[[#This Row],[ÜRÜN KODU]],YMKODLARI!$A$1:$K$363,6,0)," ")</f>
        <v>40</v>
      </c>
      <c r="S224" s="100">
        <f>IFERROR(Tablo519[[#This Row],[YOLLUK HARİÇ BASKI GRAMI]]/Tablo519[[#This Row],[KALIP GÖZ ADEDİ]]," ")</f>
        <v>5</v>
      </c>
      <c r="T224" s="100">
        <f t="shared" si="26"/>
        <v>0</v>
      </c>
      <c r="U224" s="100"/>
      <c r="V224" s="100">
        <f t="shared" si="24"/>
        <v>53.48</v>
      </c>
      <c r="W224" s="101">
        <f t="shared" si="27"/>
        <v>24.409722222222221</v>
      </c>
      <c r="X224" s="102">
        <f t="shared" si="28"/>
        <v>9.8333333333333144</v>
      </c>
      <c r="Y224" s="100">
        <f t="shared" si="29"/>
        <v>7.7991666666666664</v>
      </c>
      <c r="Z224" s="100">
        <f t="shared" si="30"/>
        <v>10696</v>
      </c>
    </row>
    <row r="225" spans="1:26">
      <c r="A225" s="100" t="s">
        <v>176</v>
      </c>
      <c r="B225" s="108" t="str">
        <f>IFERROR(VLOOKUP(Tablo519[[#This Row],[ÜRÜN KODU]],YMKODLARI!$A$1:$K$363,2,0)," ")</f>
        <v xml:space="preserve">BİBERON KAPAĞI </v>
      </c>
      <c r="C225" s="99">
        <v>44110</v>
      </c>
      <c r="D225" s="100" t="s">
        <v>47</v>
      </c>
      <c r="E225" s="101">
        <v>0.33680555555555558</v>
      </c>
      <c r="F225" s="101">
        <v>0.45833333333333331</v>
      </c>
      <c r="G225" s="100">
        <f>IFERROR(VLOOKUP(Tablo519[[#This Row],[ÜRÜN KODU]],YMKODLARI!$A$1:$K$363,3,0)," ")</f>
        <v>8</v>
      </c>
      <c r="H225" s="100">
        <f>IFERROR(VLOOKUP(Tablo519[[#This Row],[ÜRÜN KODU]],YMKODLARI!$A$1:$K$363,4,0)," ")</f>
        <v>21</v>
      </c>
      <c r="I225" s="100">
        <v>438</v>
      </c>
      <c r="J225" s="100" t="str">
        <f>IFERROR(VLOOKUP(Tablo519[[#This Row],[ÜRÜN KODU]],YMKODLARI!$A$1:$K$363,9,0)," ")</f>
        <v>Şeffaf</v>
      </c>
      <c r="K225" s="100" t="str">
        <f>IFERROR(VLOOKUP(Tablo519[[#This Row],[BOYA KODU]],Tablo14[#All],4,0)," ")</f>
        <v xml:space="preserve"> </v>
      </c>
      <c r="L225" s="100" t="str">
        <f>IFERROR(VLOOKUP(Tablo519[[#This Row],[BOYA KODU]],Tablo14[#All],6,0)," ")</f>
        <v xml:space="preserve"> </v>
      </c>
      <c r="M225" s="100" t="str">
        <f t="shared" si="25"/>
        <v xml:space="preserve"> </v>
      </c>
      <c r="N225" s="100" t="str">
        <f>IFERROR(VLOOKUP(Tablo519[[#This Row],[ÜRÜN KODU]],YMKODLARI!$A$1:$K$363,8,0)," ")</f>
        <v>HM 001</v>
      </c>
      <c r="O225" s="100" t="str">
        <f>IFERROR(VLOOKUP(Tablo519[[#This Row],[HAMMADDE KODU]],Tablo1[#All],3,0)," ")</f>
        <v>CAPILENE</v>
      </c>
      <c r="P225" s="100" t="str">
        <f>IFERROR(VLOOKUP(Tablo519[[#This Row],[HAMMADDE KODU]],Tablo1[#All],4,0)," ")</f>
        <v>PİNHAS</v>
      </c>
      <c r="Q225" s="100">
        <f>IFERROR(VLOOKUP(Tablo519[[#This Row],[ÜRÜN KODU]],YMKODLARI!$A$1:$K$363,5,0)," ")</f>
        <v>40</v>
      </c>
      <c r="R225" s="100">
        <f>IFERROR(VLOOKUP(Tablo519[[#This Row],[ÜRÜN KODU]],YMKODLARI!$A$1:$K$363,6,0)," ")</f>
        <v>40</v>
      </c>
      <c r="S225" s="100">
        <f>IFERROR(Tablo519[[#This Row],[YOLLUK HARİÇ BASKI GRAMI]]/Tablo519[[#This Row],[KALIP GÖZ ADEDİ]]," ")</f>
        <v>5</v>
      </c>
      <c r="T225" s="100">
        <f t="shared" si="26"/>
        <v>0</v>
      </c>
      <c r="U225" s="100">
        <v>1.8</v>
      </c>
      <c r="V225" s="100">
        <f t="shared" si="24"/>
        <v>19.32</v>
      </c>
      <c r="W225" s="101">
        <f t="shared" si="27"/>
        <v>24.121527777777779</v>
      </c>
      <c r="X225" s="102">
        <f t="shared" si="28"/>
        <v>2.9166666666666856</v>
      </c>
      <c r="Y225" s="100">
        <f t="shared" si="29"/>
        <v>2.5550000000000002</v>
      </c>
      <c r="Z225" s="100">
        <f t="shared" si="30"/>
        <v>3504</v>
      </c>
    </row>
    <row r="226" spans="1:26">
      <c r="A226" s="121" t="s">
        <v>560</v>
      </c>
      <c r="B226" s="108" t="str">
        <f>IFERROR(VLOOKUP(Tablo519[[#This Row],[ÜRÜN KODU]],YMKODLARI!$A$1:$K$379,2,0)," ")</f>
        <v>YUVARLAK SAKLAMA KABI KAPAĞI 1</v>
      </c>
      <c r="C226" s="99">
        <v>44111</v>
      </c>
      <c r="D226" s="100" t="s">
        <v>33</v>
      </c>
      <c r="E226" s="101">
        <v>0.41666666666666669</v>
      </c>
      <c r="F226" s="101">
        <v>0.48958333333333331</v>
      </c>
      <c r="G226" s="100">
        <f>IFERROR(VLOOKUP(Tablo519[[#This Row],[ÜRÜN KODU]],YMKODLARI!$A$1:$K$379,3,0)," ")</f>
        <v>2</v>
      </c>
      <c r="H226" s="100">
        <f>IFERROR(VLOOKUP(Tablo519[[#This Row],[ÜRÜN KODU]],YMKODLARI!$A$1:$K$379,4,0)," ")</f>
        <v>17</v>
      </c>
      <c r="I226" s="100">
        <v>294</v>
      </c>
      <c r="J226" s="100">
        <f>IFERROR(VLOOKUP(Tablo519[[#This Row],[ÜRÜN KODU]],YMKODLARI!$A$1:$K$379,9,0)," ")</f>
        <v>16640</v>
      </c>
      <c r="K226" s="100" t="str">
        <f>IFERROR(VLOOKUP(Tablo519[[#This Row],[BOYA KODU]],Tablo14[#All],4,0)," ")</f>
        <v>TURUNCU</v>
      </c>
      <c r="L226" s="102">
        <f>IFERROR(VLOOKUP(Tablo519[[#This Row],[BOYA KODU]],Tablo14[#All],6,0)," ")</f>
        <v>0.03</v>
      </c>
      <c r="M226" s="100">
        <f t="shared" si="25"/>
        <v>405.71999999999997</v>
      </c>
      <c r="N226" s="100" t="str">
        <f>IFERROR(VLOOKUP(Tablo519[[#This Row],[ÜRÜN KODU]],YMKODLARI!$A$1:$K$379,8,0)," ")</f>
        <v>HM 001</v>
      </c>
      <c r="O226" s="100" t="str">
        <f>IFERROR(VLOOKUP(Tablo519[[#This Row],[HAMMADDE KODU]],Tablo1[#All],3,0)," ")</f>
        <v>CAPILENE</v>
      </c>
      <c r="P226" s="100" t="str">
        <f>IFERROR(VLOOKUP(Tablo519[[#This Row],[HAMMADDE KODU]],Tablo1[#All],4,0)," ")</f>
        <v>PİNHAS</v>
      </c>
      <c r="Q226" s="100">
        <f>IFERROR(VLOOKUP(Tablo519[[#This Row],[ÜRÜN KODU]],YMKODLARI!$A$1:$K$379,5,0)," ")</f>
        <v>46</v>
      </c>
      <c r="R226" s="100">
        <f>IFERROR(VLOOKUP(Tablo519[[#This Row],[ÜRÜN KODU]],YMKODLARI!$A$1:$K$379,6,0)," ")</f>
        <v>46</v>
      </c>
      <c r="S226" s="100">
        <f>IFERROR(Tablo519[[#This Row],[YOLLUK HARİÇ BASKI GRAMI]]/Tablo519[[#This Row],[KALIP GÖZ ADEDİ]]," ")</f>
        <v>23</v>
      </c>
      <c r="T226" s="100">
        <f t="shared" si="26"/>
        <v>0</v>
      </c>
      <c r="U226" s="100">
        <v>2.6</v>
      </c>
      <c r="V226" s="100">
        <f t="shared" si="24"/>
        <v>16.123999999999999</v>
      </c>
      <c r="W226" s="101">
        <f t="shared" si="27"/>
        <v>24.072916666666668</v>
      </c>
      <c r="X226" s="102">
        <f t="shared" si="28"/>
        <v>1.7500000000000284</v>
      </c>
      <c r="Y226" s="100">
        <f t="shared" si="29"/>
        <v>1.3883333333333334</v>
      </c>
      <c r="Z226" s="100">
        <f t="shared" si="30"/>
        <v>588</v>
      </c>
    </row>
    <row r="227" spans="1:26">
      <c r="A227" s="100" t="s">
        <v>344</v>
      </c>
      <c r="B227" s="108" t="str">
        <f>IFERROR(VLOOKUP(Tablo519[[#This Row],[ÜRÜN KODU]],YMKODLARI!$A$1:$K$379,2,0)," ")</f>
        <v>125 ml BOMBELİ BİBERON KULP</v>
      </c>
      <c r="C227" s="99">
        <v>44123</v>
      </c>
      <c r="D227" s="119" t="s">
        <v>36</v>
      </c>
      <c r="E227" s="101">
        <v>0.45833333333333331</v>
      </c>
      <c r="F227" s="101">
        <v>0.62152777777777779</v>
      </c>
      <c r="G227" s="100">
        <f>IFERROR(VLOOKUP(Tablo519[[#This Row],[ÜRÜN KODU]],YMKODLARI!$A$1:$K$379,3,0)," ")</f>
        <v>2</v>
      </c>
      <c r="H227" s="100">
        <f>IFERROR(VLOOKUP(Tablo519[[#This Row],[ÜRÜN KODU]],YMKODLARI!$A$1:$K$379,4,0)," ")</f>
        <v>0</v>
      </c>
      <c r="I227" s="100">
        <v>444</v>
      </c>
      <c r="J227" s="100">
        <f>IFERROR(VLOOKUP(Tablo519[[#This Row],[ÜRÜN KODU]],YMKODLARI!$A$1:$K$379,9,0)," ")</f>
        <v>1290</v>
      </c>
      <c r="K227" s="100" t="str">
        <f>IFERROR(VLOOKUP(Tablo519[[#This Row],[BOYA KODU]],Tablo14[#All],4,0)," ")</f>
        <v>SARI</v>
      </c>
      <c r="L227" s="100">
        <f>IFERROR(VLOOKUP(Tablo519[[#This Row],[BOYA KODU]],Tablo14[#All],6,0)," ")</f>
        <v>5.0000000000000001E-3</v>
      </c>
      <c r="M227" s="100">
        <f t="shared" si="25"/>
        <v>0</v>
      </c>
      <c r="N227" s="100" t="str">
        <f>IFERROR(VLOOKUP(Tablo519[[#This Row],[ÜRÜN KODU]],YMKODLARI!$A$1:$K$363,8,0)," ")</f>
        <v>HM 002</v>
      </c>
      <c r="O227" s="100" t="str">
        <f>IFERROR(VLOOKUP(Tablo519[[#This Row],[HAMMADDE KODU]],Tablo1[#All],3,0)," ")</f>
        <v>NOVAREX</v>
      </c>
      <c r="P227" s="100" t="str">
        <f>IFERROR(VLOOKUP(Tablo519[[#This Row],[HAMMADDE KODU]],Tablo1[#All],4,0)," ")</f>
        <v>PİNHAS</v>
      </c>
      <c r="Q227" s="100">
        <f>IFERROR(VLOOKUP(Tablo519[[#This Row],[ÜRÜN KODU]],YMKODLARI!$A$1:$K$379,5,0)," ")</f>
        <v>0</v>
      </c>
      <c r="R227" s="100">
        <f>IFERROR(VLOOKUP(Tablo519[[#This Row],[ÜRÜN KODU]],YMKODLARI!$A$1:$K$379,6,0)," ")</f>
        <v>0</v>
      </c>
      <c r="S227" s="100">
        <f>IFERROR(Tablo519[[#This Row],[YOLLUK HARİÇ BASKI GRAMI]]/Tablo519[[#This Row],[KALIP GÖZ ADEDİ]]," ")</f>
        <v>0</v>
      </c>
      <c r="T227" s="100">
        <f t="shared" si="26"/>
        <v>0</v>
      </c>
      <c r="U227" s="100">
        <v>1.6</v>
      </c>
      <c r="V227" s="100">
        <f t="shared" si="24"/>
        <v>1.6</v>
      </c>
      <c r="W227" s="101">
        <f t="shared" si="27"/>
        <v>24.163194444444443</v>
      </c>
      <c r="X227" s="102">
        <f t="shared" si="28"/>
        <v>3.9166666666666288</v>
      </c>
      <c r="Y227" s="100">
        <f t="shared" si="29"/>
        <v>0</v>
      </c>
      <c r="Z227" s="100">
        <f t="shared" si="30"/>
        <v>888</v>
      </c>
    </row>
    <row r="228" spans="1:26">
      <c r="A228" s="100" t="s">
        <v>345</v>
      </c>
      <c r="B228" s="108" t="str">
        <f>IFERROR(VLOOKUP(Tablo519[[#This Row],[ÜRÜN KODU]],YMKODLARI!$A$1:$K$379,2,0)," ")</f>
        <v>125 ml BOMBELİ BİBERON KULP</v>
      </c>
      <c r="C228" s="99">
        <v>44123</v>
      </c>
      <c r="D228" s="119" t="s">
        <v>36</v>
      </c>
      <c r="E228" s="101">
        <v>0.625</v>
      </c>
      <c r="F228" s="101">
        <v>0.83333333333333337</v>
      </c>
      <c r="G228" s="100">
        <f>IFERROR(VLOOKUP(Tablo519[[#This Row],[ÜRÜN KODU]],YMKODLARI!$A$1:$K$379,3,0)," ")</f>
        <v>2</v>
      </c>
      <c r="H228" s="100">
        <f>IFERROR(VLOOKUP(Tablo519[[#This Row],[ÜRÜN KODU]],YMKODLARI!$A$1:$K$379,4,0)," ")</f>
        <v>0</v>
      </c>
      <c r="I228" s="100">
        <v>586</v>
      </c>
      <c r="J228" s="100">
        <f>IFERROR(VLOOKUP(Tablo519[[#This Row],[ÜRÜN KODU]],YMKODLARI!$A$1:$K$379,9,0)," ")</f>
        <v>3409</v>
      </c>
      <c r="K228" s="100" t="str">
        <f>IFERROR(VLOOKUP(Tablo519[[#This Row],[BOYA KODU]],Tablo14[#All],4,0)," ")</f>
        <v>PEMBE</v>
      </c>
      <c r="L228" s="100">
        <f>IFERROR(VLOOKUP(Tablo519[[#This Row],[BOYA KODU]],Tablo14[#All],6,0)," ")</f>
        <v>5.0000000000000001E-3</v>
      </c>
      <c r="M228" s="100">
        <f t="shared" si="25"/>
        <v>0</v>
      </c>
      <c r="N228" s="100" t="str">
        <f>IFERROR(VLOOKUP(Tablo519[[#This Row],[ÜRÜN KODU]],YMKODLARI!$A$1:$K$363,8,0)," ")</f>
        <v>HM 002</v>
      </c>
      <c r="O228" s="100" t="str">
        <f>IFERROR(VLOOKUP(Tablo519[[#This Row],[HAMMADDE KODU]],Tablo1[#All],3,0)," ")</f>
        <v>NOVAREX</v>
      </c>
      <c r="P228" s="100" t="str">
        <f>IFERROR(VLOOKUP(Tablo519[[#This Row],[HAMMADDE KODU]],Tablo1[#All],4,0)," ")</f>
        <v>PİNHAS</v>
      </c>
      <c r="Q228" s="100">
        <f>IFERROR(VLOOKUP(Tablo519[[#This Row],[ÜRÜN KODU]],YMKODLARI!$A$1:$K$379,5,0)," ")</f>
        <v>0</v>
      </c>
      <c r="R228" s="100">
        <f>IFERROR(VLOOKUP(Tablo519[[#This Row],[ÜRÜN KODU]],YMKODLARI!$A$1:$K$379,6,0)," ")</f>
        <v>0</v>
      </c>
      <c r="S228" s="100">
        <f>IFERROR(Tablo519[[#This Row],[YOLLUK HARİÇ BASKI GRAMI]]/Tablo519[[#This Row],[KALIP GÖZ ADEDİ]]," ")</f>
        <v>0</v>
      </c>
      <c r="T228" s="100">
        <f t="shared" si="26"/>
        <v>0</v>
      </c>
      <c r="U228" s="100">
        <v>2</v>
      </c>
      <c r="V228" s="100">
        <f t="shared" si="24"/>
        <v>2</v>
      </c>
      <c r="W228" s="101">
        <f t="shared" si="27"/>
        <v>24.208333333333332</v>
      </c>
      <c r="X228" s="102">
        <f t="shared" si="28"/>
        <v>4.9999999999999716</v>
      </c>
      <c r="Y228" s="100">
        <f t="shared" si="29"/>
        <v>0</v>
      </c>
      <c r="Z228" s="100">
        <f t="shared" si="30"/>
        <v>1172</v>
      </c>
    </row>
    <row r="229" spans="1:26">
      <c r="A229" s="121" t="s">
        <v>561</v>
      </c>
      <c r="B229" s="108" t="str">
        <f>IFERROR(VLOOKUP(Tablo519[[#This Row],[ÜRÜN KODU]],YMKODLARI!$A$1:$K$379,2,0)," ")</f>
        <v>YUVARLAK SAKLAMA KABI KAPAĞI 2</v>
      </c>
      <c r="C229" s="99">
        <v>44124</v>
      </c>
      <c r="D229" s="100" t="s">
        <v>33</v>
      </c>
      <c r="E229" s="101">
        <v>0.54166666666666663</v>
      </c>
      <c r="F229" s="101">
        <v>0.64236111111111105</v>
      </c>
      <c r="G229" s="100">
        <f>IFERROR(VLOOKUP(Tablo519[[#This Row],[ÜRÜN KODU]],YMKODLARI!$A$1:$K$379,3,0)," ")</f>
        <v>2</v>
      </c>
      <c r="H229" s="100">
        <f>IFERROR(VLOOKUP(Tablo519[[#This Row],[ÜRÜN KODU]],YMKODLARI!$A$1:$K$379,4,0)," ")</f>
        <v>22</v>
      </c>
      <c r="I229" s="100">
        <v>254</v>
      </c>
      <c r="J229" s="100">
        <f>IFERROR(VLOOKUP(Tablo519[[#This Row],[ÜRÜN KODU]],YMKODLARI!$A$1:$K$379,9,0)," ")</f>
        <v>16640</v>
      </c>
      <c r="K229" s="100" t="str">
        <f>IFERROR(VLOOKUP(Tablo519[[#This Row],[BOYA KODU]],Tablo14[#All],4,0)," ")</f>
        <v>TURUNCU</v>
      </c>
      <c r="L229" s="100">
        <f>IFERROR(VLOOKUP(Tablo519[[#This Row],[BOYA KODU]],Tablo14[#All],6,0)," ")</f>
        <v>0.03</v>
      </c>
      <c r="M229" s="100">
        <f t="shared" si="25"/>
        <v>549.40199999999993</v>
      </c>
      <c r="N229" s="100" t="str">
        <f>IFERROR(VLOOKUP(Tablo519[[#This Row],[ÜRÜN KODU]],YMKODLARI!$A$1:$K$363,8,0)," ")</f>
        <v xml:space="preserve"> </v>
      </c>
      <c r="O229" s="100" t="str">
        <f>IFERROR(VLOOKUP(Tablo519[[#This Row],[HAMMADDE KODU]],Tablo1[#All],3,0)," ")</f>
        <v xml:space="preserve"> </v>
      </c>
      <c r="P229" s="100" t="str">
        <f>IFERROR(VLOOKUP(Tablo519[[#This Row],[HAMMADDE KODU]],Tablo1[#All],4,0)," ")</f>
        <v xml:space="preserve"> </v>
      </c>
      <c r="Q229" s="100">
        <f>IFERROR(VLOOKUP(Tablo519[[#This Row],[ÜRÜN KODU]],YMKODLARI!$A$1:$K$379,5,0)," ")</f>
        <v>72.099999999999994</v>
      </c>
      <c r="R229" s="100">
        <f>IFERROR(VLOOKUP(Tablo519[[#This Row],[ÜRÜN KODU]],YMKODLARI!$A$1:$K$379,6,0)," ")</f>
        <v>72.099999999999994</v>
      </c>
      <c r="S229" s="100">
        <f>IFERROR(Tablo519[[#This Row],[YOLLUK HARİÇ BASKI GRAMI]]/Tablo519[[#This Row],[KALIP GÖZ ADEDİ]]," ")</f>
        <v>36.049999999999997</v>
      </c>
      <c r="T229" s="100">
        <f t="shared" si="26"/>
        <v>0</v>
      </c>
      <c r="U229" s="100">
        <v>2.6</v>
      </c>
      <c r="V229" s="100">
        <f t="shared" si="24"/>
        <v>20.913399999999999</v>
      </c>
      <c r="W229" s="101">
        <f t="shared" si="27"/>
        <v>24.100694444444443</v>
      </c>
      <c r="X229" s="102">
        <f t="shared" si="28"/>
        <v>2.4166666666666288</v>
      </c>
      <c r="Y229" s="100">
        <f t="shared" si="29"/>
        <v>1.5522222222222222</v>
      </c>
      <c r="Z229" s="100">
        <f t="shared" si="30"/>
        <v>508</v>
      </c>
    </row>
    <row r="230" spans="1:26">
      <c r="A230" s="100" t="s">
        <v>560</v>
      </c>
      <c r="B230" s="108" t="str">
        <f>IFERROR(VLOOKUP(Tablo519[[#This Row],[ÜRÜN KODU]],YMKODLARI!$A$1:$K$379,2,0)," ")</f>
        <v>YUVARLAK SAKLAMA KABI KAPAĞI 1</v>
      </c>
      <c r="C230" s="99">
        <v>44124</v>
      </c>
      <c r="D230" s="100" t="s">
        <v>27</v>
      </c>
      <c r="E230" s="101">
        <v>0.6875</v>
      </c>
      <c r="F230" s="101">
        <v>0.77083333333333337</v>
      </c>
      <c r="G230" s="100">
        <f>IFERROR(VLOOKUP(Tablo519[[#This Row],[ÜRÜN KODU]],YMKODLARI!$A$1:$K$379,3,0)," ")</f>
        <v>2</v>
      </c>
      <c r="H230" s="100">
        <f>IFERROR(VLOOKUP(Tablo519[[#This Row],[ÜRÜN KODU]],YMKODLARI!$A$1:$K$379,4,0)," ")</f>
        <v>17</v>
      </c>
      <c r="I230" s="100">
        <v>182</v>
      </c>
      <c r="J230" s="100">
        <f>IFERROR(VLOOKUP(Tablo519[[#This Row],[ÜRÜN KODU]],YMKODLARI!$A$1:$K$379,9,0)," ")</f>
        <v>16640</v>
      </c>
      <c r="K230" s="100" t="str">
        <f>IFERROR(VLOOKUP(Tablo519[[#This Row],[BOYA KODU]],Tablo14[#All],4,0)," ")</f>
        <v>TURUNCU</v>
      </c>
      <c r="L230" s="100">
        <f>IFERROR(VLOOKUP(Tablo519[[#This Row],[BOYA KODU]],Tablo14[#All],6,0)," ")</f>
        <v>0.03</v>
      </c>
      <c r="M230" s="100">
        <f t="shared" si="25"/>
        <v>251.16</v>
      </c>
      <c r="N230" s="100" t="str">
        <f>IFERROR(VLOOKUP(Tablo519[[#This Row],[ÜRÜN KODU]],YMKODLARI!$A$1:$K$363,8,0)," ")</f>
        <v xml:space="preserve"> </v>
      </c>
      <c r="O230" s="100" t="str">
        <f>IFERROR(VLOOKUP(Tablo519[[#This Row],[HAMMADDE KODU]],Tablo1[#All],3,0)," ")</f>
        <v xml:space="preserve"> </v>
      </c>
      <c r="P230" s="100" t="str">
        <f>IFERROR(VLOOKUP(Tablo519[[#This Row],[HAMMADDE KODU]],Tablo1[#All],4,0)," ")</f>
        <v xml:space="preserve"> </v>
      </c>
      <c r="Q230" s="100">
        <f>IFERROR(VLOOKUP(Tablo519[[#This Row],[ÜRÜN KODU]],YMKODLARI!$A$1:$K$379,5,0)," ")</f>
        <v>46</v>
      </c>
      <c r="R230" s="100">
        <f>IFERROR(VLOOKUP(Tablo519[[#This Row],[ÜRÜN KODU]],YMKODLARI!$A$1:$K$379,6,0)," ")</f>
        <v>46</v>
      </c>
      <c r="S230" s="100">
        <f>IFERROR(Tablo519[[#This Row],[YOLLUK HARİÇ BASKI GRAMI]]/Tablo519[[#This Row],[KALIP GÖZ ADEDİ]]," ")</f>
        <v>23</v>
      </c>
      <c r="T230" s="100">
        <f t="shared" si="26"/>
        <v>0</v>
      </c>
      <c r="U230" s="100">
        <v>1.3</v>
      </c>
      <c r="V230" s="100">
        <f t="shared" si="24"/>
        <v>9.6720000000000006</v>
      </c>
      <c r="W230" s="101">
        <f t="shared" si="27"/>
        <v>24.083333333333332</v>
      </c>
      <c r="X230" s="102">
        <f t="shared" si="28"/>
        <v>1.9999999999999716</v>
      </c>
      <c r="Y230" s="100">
        <f t="shared" si="29"/>
        <v>0.85944444444444446</v>
      </c>
      <c r="Z230" s="100">
        <f t="shared" si="30"/>
        <v>364</v>
      </c>
    </row>
    <row r="231" spans="1:26">
      <c r="A231" s="100" t="s">
        <v>562</v>
      </c>
      <c r="B231" s="108" t="str">
        <f>IFERROR(VLOOKUP(Tablo519[[#This Row],[ÜRÜN KODU]],YMKODLARI!$A$1:$K$379,2,0)," ")</f>
        <v>YUVARLAK SAKLAMA KABI KAPAĞI 3</v>
      </c>
      <c r="C231" s="99">
        <v>44125</v>
      </c>
      <c r="D231" s="100" t="s">
        <v>37</v>
      </c>
      <c r="E231" s="101">
        <v>0.45833333333333331</v>
      </c>
      <c r="F231" s="101">
        <v>0.58333333333333337</v>
      </c>
      <c r="G231" s="100">
        <f>IFERROR(VLOOKUP(Tablo519[[#This Row],[ÜRÜN KODU]],YMKODLARI!$A$1:$K$379,3,0)," ")</f>
        <v>1</v>
      </c>
      <c r="H231" s="100">
        <f>IFERROR(VLOOKUP(Tablo519[[#This Row],[ÜRÜN KODU]],YMKODLARI!$A$1:$K$379,4,0)," ")</f>
        <v>20</v>
      </c>
      <c r="I231" s="100">
        <v>150</v>
      </c>
      <c r="J231" s="100">
        <f>IFERROR(VLOOKUP(Tablo519[[#This Row],[ÜRÜN KODU]],YMKODLARI!$A$1:$K$379,9,0)," ")</f>
        <v>16640</v>
      </c>
      <c r="K231" s="100" t="str">
        <f>IFERROR(VLOOKUP(Tablo519[[#This Row],[BOYA KODU]],Tablo14[#All],4,0)," ")</f>
        <v>TURUNCU</v>
      </c>
      <c r="L231" s="100">
        <f>IFERROR(VLOOKUP(Tablo519[[#This Row],[BOYA KODU]],Tablo14[#All],6,0)," ")</f>
        <v>0.03</v>
      </c>
      <c r="M231" s="100">
        <f t="shared" si="25"/>
        <v>229.04999999999998</v>
      </c>
      <c r="N231" s="100" t="str">
        <f>IFERROR(VLOOKUP(Tablo519[[#This Row],[ÜRÜN KODU]],YMKODLARI!$A$1:$K$363,8,0)," ")</f>
        <v xml:space="preserve"> </v>
      </c>
      <c r="O231" s="100" t="str">
        <f>IFERROR(VLOOKUP(Tablo519[[#This Row],[HAMMADDE KODU]],Tablo1[#All],3,0)," ")</f>
        <v xml:space="preserve"> </v>
      </c>
      <c r="P231" s="100" t="str">
        <f>IFERROR(VLOOKUP(Tablo519[[#This Row],[HAMMADDE KODU]],Tablo1[#All],4,0)," ")</f>
        <v xml:space="preserve"> </v>
      </c>
      <c r="Q231" s="100">
        <f>IFERROR(VLOOKUP(Tablo519[[#This Row],[ÜRÜN KODU]],YMKODLARI!$A$1:$K$379,5,0)," ")</f>
        <v>50.9</v>
      </c>
      <c r="R231" s="100">
        <f>IFERROR(VLOOKUP(Tablo519[[#This Row],[ÜRÜN KODU]],YMKODLARI!$A$1:$K$379,6,0)," ")</f>
        <v>50.9</v>
      </c>
      <c r="S231" s="100">
        <f>IFERROR(Tablo519[[#This Row],[YOLLUK HARİÇ BASKI GRAMI]]/Tablo519[[#This Row],[KALIP GÖZ ADEDİ]]," ")</f>
        <v>50.9</v>
      </c>
      <c r="T231" s="100">
        <f t="shared" si="26"/>
        <v>0</v>
      </c>
      <c r="U231" s="100"/>
      <c r="V231" s="100">
        <f t="shared" si="24"/>
        <v>7.6349999999999998</v>
      </c>
      <c r="W231" s="101">
        <f t="shared" si="27"/>
        <v>24.125</v>
      </c>
      <c r="X231" s="102">
        <f t="shared" si="28"/>
        <v>3</v>
      </c>
      <c r="Y231" s="100">
        <f t="shared" si="29"/>
        <v>0.83333333333333337</v>
      </c>
      <c r="Z231" s="100">
        <f t="shared" si="30"/>
        <v>150</v>
      </c>
    </row>
    <row r="232" spans="1:26">
      <c r="A232" s="100" t="s">
        <v>562</v>
      </c>
      <c r="B232" s="108" t="str">
        <f>IFERROR(VLOOKUP(Tablo519[[#This Row],[ÜRÜN KODU]],YMKODLARI!$A$1:$K$379,2,0)," ")</f>
        <v>YUVARLAK SAKLAMA KABI KAPAĞI 3</v>
      </c>
      <c r="C232" s="99">
        <v>44126</v>
      </c>
      <c r="D232" s="100" t="s">
        <v>47</v>
      </c>
      <c r="E232" s="101">
        <v>0.33333333333333331</v>
      </c>
      <c r="F232" s="101">
        <v>0.52083333333333337</v>
      </c>
      <c r="G232" s="100">
        <f>IFERROR(VLOOKUP(Tablo519[[#This Row],[ÜRÜN KODU]],YMKODLARI!$A$1:$K$379,3,0)," ")</f>
        <v>1</v>
      </c>
      <c r="H232" s="100">
        <f>IFERROR(VLOOKUP(Tablo519[[#This Row],[ÜRÜN KODU]],YMKODLARI!$A$1:$K$379,4,0)," ")</f>
        <v>20</v>
      </c>
      <c r="I232" s="100">
        <v>416</v>
      </c>
      <c r="J232" s="100">
        <f>IFERROR(VLOOKUP(Tablo519[[#This Row],[ÜRÜN KODU]],YMKODLARI!$A$1:$K$379,9,0)," ")</f>
        <v>16640</v>
      </c>
      <c r="K232" s="100" t="str">
        <f>IFERROR(VLOOKUP(Tablo519[[#This Row],[BOYA KODU]],Tablo14[#All],4,0)," ")</f>
        <v>TURUNCU</v>
      </c>
      <c r="L232" s="100">
        <f>IFERROR(VLOOKUP(Tablo519[[#This Row],[BOYA KODU]],Tablo14[#All],6,0)," ")</f>
        <v>0.03</v>
      </c>
      <c r="M232" s="100">
        <f t="shared" si="25"/>
        <v>635.23199999999986</v>
      </c>
      <c r="N232" s="100" t="str">
        <f>IFERROR(VLOOKUP(Tablo519[[#This Row],[ÜRÜN KODU]],YMKODLARI!$A$1:$K$363,8,0)," ")</f>
        <v xml:space="preserve"> </v>
      </c>
      <c r="O232" s="100" t="str">
        <f>IFERROR(VLOOKUP(Tablo519[[#This Row],[HAMMADDE KODU]],Tablo1[#All],3,0)," ")</f>
        <v xml:space="preserve"> </v>
      </c>
      <c r="P232" s="100" t="str">
        <f>IFERROR(VLOOKUP(Tablo519[[#This Row],[HAMMADDE KODU]],Tablo1[#All],4,0)," ")</f>
        <v xml:space="preserve"> </v>
      </c>
      <c r="Q232" s="100">
        <f>IFERROR(VLOOKUP(Tablo519[[#This Row],[ÜRÜN KODU]],YMKODLARI!$A$1:$K$379,5,0)," ")</f>
        <v>50.9</v>
      </c>
      <c r="R232" s="100">
        <f>IFERROR(VLOOKUP(Tablo519[[#This Row],[ÜRÜN KODU]],YMKODLARI!$A$1:$K$379,6,0)," ")</f>
        <v>50.9</v>
      </c>
      <c r="S232" s="100">
        <f>IFERROR(Tablo519[[#This Row],[YOLLUK HARİÇ BASKI GRAMI]]/Tablo519[[#This Row],[KALIP GÖZ ADEDİ]]," ")</f>
        <v>50.9</v>
      </c>
      <c r="T232" s="100">
        <f t="shared" si="26"/>
        <v>0</v>
      </c>
      <c r="U232" s="100">
        <v>2.6</v>
      </c>
      <c r="V232" s="100">
        <f t="shared" si="24"/>
        <v>23.7744</v>
      </c>
      <c r="W232" s="101">
        <f t="shared" si="27"/>
        <v>24.1875</v>
      </c>
      <c r="X232" s="102">
        <f t="shared" si="28"/>
        <v>4.5</v>
      </c>
      <c r="Y232" s="100">
        <f t="shared" si="29"/>
        <v>2.3111111111111109</v>
      </c>
      <c r="Z232" s="100">
        <f t="shared" si="30"/>
        <v>416</v>
      </c>
    </row>
    <row r="233" spans="1:26">
      <c r="A233" s="100" t="s">
        <v>571</v>
      </c>
      <c r="B233" s="108" t="str">
        <f>IFERROR(VLOOKUP(Tablo519[[#This Row],[ÜRÜN KODU]],YMKODLARI!$A$1:$K$379,2,0)," ")</f>
        <v xml:space="preserve">TİRLE POMPA </v>
      </c>
      <c r="C233" s="99">
        <v>44127</v>
      </c>
      <c r="D233" s="100" t="s">
        <v>37</v>
      </c>
      <c r="E233" s="101">
        <v>0.45833333333333331</v>
      </c>
      <c r="F233" s="101">
        <v>0.75</v>
      </c>
      <c r="G233" s="100">
        <f>IFERROR(VLOOKUP(Tablo519[[#This Row],[ÜRÜN KODU]],YMKODLARI!$A$1:$K$379,3,0)," ")</f>
        <v>4</v>
      </c>
      <c r="H233" s="100">
        <f>IFERROR(VLOOKUP(Tablo519[[#This Row],[ÜRÜN KODU]],YMKODLARI!$A$1:$K$379,4,0)," ")</f>
        <v>70</v>
      </c>
      <c r="I233" s="100">
        <v>224</v>
      </c>
      <c r="J233" s="100">
        <f>IFERROR(VLOOKUP(Tablo519[[#This Row],[ÜRÜN KODU]],YMKODLARI!$A$1:$K$379,9,0)," ")</f>
        <v>3409</v>
      </c>
      <c r="K233" s="100" t="str">
        <f>IFERROR(VLOOKUP(Tablo519[[#This Row],[BOYA KODU]],Tablo14[#All],4,0)," ")</f>
        <v>PEMBE</v>
      </c>
      <c r="L233" s="100">
        <f>IFERROR(VLOOKUP(Tablo519[[#This Row],[BOYA KODU]],Tablo14[#All],6,0)," ")</f>
        <v>5.0000000000000001E-3</v>
      </c>
      <c r="M233" s="100">
        <f t="shared" si="25"/>
        <v>187.488</v>
      </c>
      <c r="N233" s="100" t="str">
        <f>IFERROR(VLOOKUP(Tablo519[[#This Row],[ÜRÜN KODU]],YMKODLARI!$A$1:$K$363,8,0)," ")</f>
        <v>HM 009</v>
      </c>
      <c r="O233" s="100" t="str">
        <f>IFERROR(VLOOKUP(Tablo519[[#This Row],[HAMMADDE KODU]],Tablo1[#All],3,0)," ")</f>
        <v>T.P.E.</v>
      </c>
      <c r="P233" s="100" t="str">
        <f>IFERROR(VLOOKUP(Tablo519[[#This Row],[HAMMADDE KODU]],Tablo1[#All],4,0)," ")</f>
        <v>ELASTRON KİMYA</v>
      </c>
      <c r="Q233" s="100">
        <f>IFERROR(VLOOKUP(Tablo519[[#This Row],[ÜRÜN KODU]],YMKODLARI!$A$1:$K$379,5,0)," ")</f>
        <v>167.4</v>
      </c>
      <c r="R233" s="100">
        <f>IFERROR(VLOOKUP(Tablo519[[#This Row],[ÜRÜN KODU]],YMKODLARI!$A$1:$K$379,6,0)," ")</f>
        <v>162.9</v>
      </c>
      <c r="S233" s="100">
        <f>IFERROR(Tablo519[[#This Row],[YOLLUK HARİÇ BASKI GRAMI]]/Tablo519[[#This Row],[KALIP GÖZ ADEDİ]]," ")</f>
        <v>40.725000000000001</v>
      </c>
      <c r="T233" s="100">
        <f t="shared" si="26"/>
        <v>4.5</v>
      </c>
      <c r="U233" s="100">
        <v>9.3000000000000007</v>
      </c>
      <c r="V233" s="100">
        <f t="shared" ref="V233:V296" si="31">IFERROR(U233+(R233*I233) /1000," ")</f>
        <v>45.789599999999993</v>
      </c>
      <c r="W233" s="101">
        <f t="shared" si="27"/>
        <v>24.291666666666668</v>
      </c>
      <c r="X233" s="102">
        <f t="shared" si="28"/>
        <v>7.0000000000000284</v>
      </c>
      <c r="Y233" s="100">
        <f t="shared" si="29"/>
        <v>4.3555555555555552</v>
      </c>
      <c r="Z233" s="100">
        <f t="shared" si="30"/>
        <v>896</v>
      </c>
    </row>
    <row r="234" spans="1:26">
      <c r="A234" s="100" t="s">
        <v>571</v>
      </c>
      <c r="B234" s="108" t="str">
        <f>IFERROR(VLOOKUP(Tablo519[[#This Row],[ÜRÜN KODU]],YMKODLARI!$A$1:$K$379,2,0)," ")</f>
        <v xml:space="preserve">TİRLE POMPA </v>
      </c>
      <c r="C234" s="99">
        <v>44130</v>
      </c>
      <c r="D234" s="100" t="s">
        <v>37</v>
      </c>
      <c r="E234" s="101">
        <v>0.33333333333333331</v>
      </c>
      <c r="F234" s="101">
        <v>0.75</v>
      </c>
      <c r="G234" s="100">
        <f>IFERROR(VLOOKUP(Tablo519[[#This Row],[ÜRÜN KODU]],YMKODLARI!$A$1:$K$379,3,0)," ")</f>
        <v>4</v>
      </c>
      <c r="H234" s="100">
        <f>IFERROR(VLOOKUP(Tablo519[[#This Row],[ÜRÜN KODU]],YMKODLARI!$A$1:$K$379,4,0)," ")</f>
        <v>70</v>
      </c>
      <c r="I234" s="100">
        <v>400</v>
      </c>
      <c r="J234" s="100">
        <f>IFERROR(VLOOKUP(Tablo519[[#This Row],[ÜRÜN KODU]],YMKODLARI!$A$1:$K$379,9,0)," ")</f>
        <v>3409</v>
      </c>
      <c r="K234" s="100" t="str">
        <f>IFERROR(VLOOKUP(Tablo519[[#This Row],[BOYA KODU]],Tablo14[#All],4,0)," ")</f>
        <v>PEMBE</v>
      </c>
      <c r="L234" s="100">
        <f>IFERROR(VLOOKUP(Tablo519[[#This Row],[BOYA KODU]],Tablo14[#All],6,0)," ")</f>
        <v>5.0000000000000001E-3</v>
      </c>
      <c r="M234" s="100">
        <f t="shared" si="25"/>
        <v>334.8</v>
      </c>
      <c r="N234" s="100" t="str">
        <f>IFERROR(VLOOKUP(Tablo519[[#This Row],[ÜRÜN KODU]],YMKODLARI!$A$1:$K$363,8,0)," ")</f>
        <v>HM 009</v>
      </c>
      <c r="O234" s="100" t="str">
        <f>IFERROR(VLOOKUP(Tablo519[[#This Row],[HAMMADDE KODU]],Tablo1[#All],3,0)," ")</f>
        <v>T.P.E.</v>
      </c>
      <c r="P234" s="100" t="str">
        <f>IFERROR(VLOOKUP(Tablo519[[#This Row],[HAMMADDE KODU]],Tablo1[#All],4,0)," ")</f>
        <v>ELASTRON KİMYA</v>
      </c>
      <c r="Q234" s="100">
        <f>IFERROR(VLOOKUP(Tablo519[[#This Row],[ÜRÜN KODU]],YMKODLARI!$A$1:$K$379,5,0)," ")</f>
        <v>167.4</v>
      </c>
      <c r="R234" s="100">
        <f>IFERROR(VLOOKUP(Tablo519[[#This Row],[ÜRÜN KODU]],YMKODLARI!$A$1:$K$379,6,0)," ")</f>
        <v>162.9</v>
      </c>
      <c r="S234" s="100">
        <f>IFERROR(Tablo519[[#This Row],[YOLLUK HARİÇ BASKI GRAMI]]/Tablo519[[#This Row],[KALIP GÖZ ADEDİ]]," ")</f>
        <v>40.725000000000001</v>
      </c>
      <c r="T234" s="100">
        <f t="shared" si="26"/>
        <v>4.5</v>
      </c>
      <c r="U234" s="100">
        <v>5.7</v>
      </c>
      <c r="V234" s="100">
        <f t="shared" si="31"/>
        <v>70.86</v>
      </c>
      <c r="W234" s="101">
        <f t="shared" si="27"/>
        <v>24.416666666666668</v>
      </c>
      <c r="X234" s="102">
        <f t="shared" si="28"/>
        <v>10.000000000000028</v>
      </c>
      <c r="Y234" s="100">
        <f t="shared" si="29"/>
        <v>7.7777777777777777</v>
      </c>
      <c r="Z234" s="100">
        <f t="shared" si="30"/>
        <v>1600</v>
      </c>
    </row>
    <row r="235" spans="1:26">
      <c r="A235" s="100" t="s">
        <v>571</v>
      </c>
      <c r="B235" s="108" t="str">
        <f>IFERROR(VLOOKUP(Tablo519[[#This Row],[ÜRÜN KODU]],YMKODLARI!$A$1:$K$379,2,0)," ")</f>
        <v xml:space="preserve">TİRLE POMPA </v>
      </c>
      <c r="C235" s="99">
        <v>44131</v>
      </c>
      <c r="D235" s="100" t="s">
        <v>33</v>
      </c>
      <c r="E235" s="101">
        <v>0.33333333333333331</v>
      </c>
      <c r="F235" s="101">
        <v>0.75</v>
      </c>
      <c r="G235" s="100">
        <f>IFERROR(VLOOKUP(Tablo519[[#This Row],[ÜRÜN KODU]],YMKODLARI!$A$1:$K$379,3,0)," ")</f>
        <v>4</v>
      </c>
      <c r="H235" s="100">
        <f>IFERROR(VLOOKUP(Tablo519[[#This Row],[ÜRÜN KODU]],YMKODLARI!$A$1:$K$379,4,0)," ")</f>
        <v>70</v>
      </c>
      <c r="I235" s="100">
        <v>373</v>
      </c>
      <c r="J235" s="100">
        <f>IFERROR(VLOOKUP(Tablo519[[#This Row],[ÜRÜN KODU]],YMKODLARI!$A$1:$K$379,9,0)," ")</f>
        <v>3409</v>
      </c>
      <c r="K235" s="100" t="str">
        <f>IFERROR(VLOOKUP(Tablo519[[#This Row],[BOYA KODU]],Tablo14[#All],4,0)," ")</f>
        <v>PEMBE</v>
      </c>
      <c r="L235" s="100">
        <f>IFERROR(VLOOKUP(Tablo519[[#This Row],[BOYA KODU]],Tablo14[#All],6,0)," ")</f>
        <v>5.0000000000000001E-3</v>
      </c>
      <c r="M235" s="100">
        <f t="shared" si="25"/>
        <v>312.20100000000002</v>
      </c>
      <c r="N235" s="100" t="str">
        <f>IFERROR(VLOOKUP(Tablo519[[#This Row],[ÜRÜN KODU]],YMKODLARI!$A$1:$K$363,8,0)," ")</f>
        <v>HM 009</v>
      </c>
      <c r="O235" s="100" t="str">
        <f>IFERROR(VLOOKUP(Tablo519[[#This Row],[HAMMADDE KODU]],Tablo1[#All],3,0)," ")</f>
        <v>T.P.E.</v>
      </c>
      <c r="P235" s="100" t="str">
        <f>IFERROR(VLOOKUP(Tablo519[[#This Row],[HAMMADDE KODU]],Tablo1[#All],4,0)," ")</f>
        <v>ELASTRON KİMYA</v>
      </c>
      <c r="Q235" s="100">
        <f>IFERROR(VLOOKUP(Tablo519[[#This Row],[ÜRÜN KODU]],YMKODLARI!$A$1:$K$379,5,0)," ")</f>
        <v>167.4</v>
      </c>
      <c r="R235" s="100">
        <f>IFERROR(VLOOKUP(Tablo519[[#This Row],[ÜRÜN KODU]],YMKODLARI!$A$1:$K$379,6,0)," ")</f>
        <v>162.9</v>
      </c>
      <c r="S235" s="100">
        <f>IFERROR(Tablo519[[#This Row],[YOLLUK HARİÇ BASKI GRAMI]]/Tablo519[[#This Row],[KALIP GÖZ ADEDİ]]," ")</f>
        <v>40.725000000000001</v>
      </c>
      <c r="T235" s="100">
        <f t="shared" si="26"/>
        <v>4.5</v>
      </c>
      <c r="U235" s="100">
        <v>5.5</v>
      </c>
      <c r="V235" s="100">
        <f t="shared" si="31"/>
        <v>66.261700000000005</v>
      </c>
      <c r="W235" s="101">
        <f t="shared" si="27"/>
        <v>24.416666666666668</v>
      </c>
      <c r="X235" s="102">
        <f t="shared" si="28"/>
        <v>10.000000000000028</v>
      </c>
      <c r="Y235" s="100">
        <f t="shared" si="29"/>
        <v>7.2527777777777782</v>
      </c>
      <c r="Z235" s="100">
        <f t="shared" si="30"/>
        <v>1492</v>
      </c>
    </row>
    <row r="236" spans="1:26">
      <c r="A236" s="100" t="s">
        <v>571</v>
      </c>
      <c r="B236" s="108" t="str">
        <f>IFERROR(VLOOKUP(Tablo519[[#This Row],[ÜRÜN KODU]],YMKODLARI!$A$1:$K$379,2,0)," ")</f>
        <v xml:space="preserve">TİRLE POMPA </v>
      </c>
      <c r="C236" s="99">
        <v>44132</v>
      </c>
      <c r="D236" s="119" t="s">
        <v>33</v>
      </c>
      <c r="E236" s="101">
        <v>0.35069444444444442</v>
      </c>
      <c r="F236" s="101">
        <v>0.57986111111111105</v>
      </c>
      <c r="G236" s="100">
        <f>IFERROR(VLOOKUP(Tablo519[[#This Row],[ÜRÜN KODU]],YMKODLARI!$A$1:$K$379,3,0)," ")</f>
        <v>4</v>
      </c>
      <c r="H236" s="100">
        <f>IFERROR(VLOOKUP(Tablo519[[#This Row],[ÜRÜN KODU]],YMKODLARI!$A$1:$K$379,4,0)," ")</f>
        <v>70</v>
      </c>
      <c r="I236" s="100">
        <v>104</v>
      </c>
      <c r="J236" s="100">
        <f>IFERROR(VLOOKUP(Tablo519[[#This Row],[ÜRÜN KODU]],YMKODLARI!$A$1:$K$379,9,0)," ")</f>
        <v>3409</v>
      </c>
      <c r="K236" s="100" t="str">
        <f>IFERROR(VLOOKUP(Tablo519[[#This Row],[BOYA KODU]],Tablo14[#All],4,0)," ")</f>
        <v>PEMBE</v>
      </c>
      <c r="L236" s="100">
        <f>IFERROR(VLOOKUP(Tablo519[[#This Row],[BOYA KODU]],Tablo14[#All],6,0)," ")</f>
        <v>5.0000000000000001E-3</v>
      </c>
      <c r="M236" s="100">
        <f t="shared" si="25"/>
        <v>87.048000000000016</v>
      </c>
      <c r="N236" s="100" t="str">
        <f>IFERROR(VLOOKUP(Tablo519[[#This Row],[ÜRÜN KODU]],YMKODLARI!$A$1:$K$363,8,0)," ")</f>
        <v>HM 009</v>
      </c>
      <c r="O236" s="100" t="str">
        <f>IFERROR(VLOOKUP(Tablo519[[#This Row],[HAMMADDE KODU]],Tablo1[#All],3,0)," ")</f>
        <v>T.P.E.</v>
      </c>
      <c r="P236" s="100" t="str">
        <f>IFERROR(VLOOKUP(Tablo519[[#This Row],[HAMMADDE KODU]],Tablo1[#All],4,0)," ")</f>
        <v>ELASTRON KİMYA</v>
      </c>
      <c r="Q236" s="100">
        <f>IFERROR(VLOOKUP(Tablo519[[#This Row],[ÜRÜN KODU]],YMKODLARI!$A$1:$K$379,5,0)," ")</f>
        <v>167.4</v>
      </c>
      <c r="R236" s="100">
        <f>IFERROR(VLOOKUP(Tablo519[[#This Row],[ÜRÜN KODU]],YMKODLARI!$A$1:$K$379,6,0)," ")</f>
        <v>162.9</v>
      </c>
      <c r="S236" s="100">
        <f>IFERROR(Tablo519[[#This Row],[YOLLUK HARİÇ BASKI GRAMI]]/Tablo519[[#This Row],[KALIP GÖZ ADEDİ]]," ")</f>
        <v>40.725000000000001</v>
      </c>
      <c r="T236" s="100">
        <f t="shared" si="26"/>
        <v>4.5</v>
      </c>
      <c r="U236" s="100">
        <v>2.4</v>
      </c>
      <c r="V236" s="100">
        <f t="shared" si="31"/>
        <v>19.3416</v>
      </c>
      <c r="W236" s="101">
        <f t="shared" si="27"/>
        <v>24.229166666666668</v>
      </c>
      <c r="X236" s="102">
        <f t="shared" si="28"/>
        <v>5.5000000000000284</v>
      </c>
      <c r="Y236" s="100">
        <f t="shared" si="29"/>
        <v>2.0222222222222221</v>
      </c>
      <c r="Z236" s="100">
        <f t="shared" si="30"/>
        <v>416</v>
      </c>
    </row>
    <row r="237" spans="1:26">
      <c r="A237" s="100" t="s">
        <v>572</v>
      </c>
      <c r="B237" s="108" t="str">
        <f>IFERROR(VLOOKUP(Tablo519[[#This Row],[ÜRÜN KODU]],YMKODLARI!$A$1:$K$379,2,0)," ")</f>
        <v xml:space="preserve">TİRLE POMPA </v>
      </c>
      <c r="C237" s="99">
        <v>44132</v>
      </c>
      <c r="D237" s="119" t="s">
        <v>33</v>
      </c>
      <c r="E237" s="101">
        <v>0.58333333333333337</v>
      </c>
      <c r="F237" s="101">
        <v>0.75</v>
      </c>
      <c r="G237" s="100">
        <f>IFERROR(VLOOKUP(Tablo519[[#This Row],[ÜRÜN KODU]],YMKODLARI!$A$1:$K$379,3,0)," ")</f>
        <v>4</v>
      </c>
      <c r="H237" s="100">
        <f>IFERROR(VLOOKUP(Tablo519[[#This Row],[ÜRÜN KODU]],YMKODLARI!$A$1:$K$379,4,0)," ")</f>
        <v>70</v>
      </c>
      <c r="I237" s="100">
        <v>159</v>
      </c>
      <c r="J237" s="100">
        <f>IFERROR(VLOOKUP(Tablo519[[#This Row],[ÜRÜN KODU]],YMKODLARI!$A$1:$K$379,9,0)," ")</f>
        <v>5287</v>
      </c>
      <c r="K237" s="100" t="str">
        <f>IFERROR(VLOOKUP(Tablo519[[#This Row],[BOYA KODU]],Tablo14[#All],4,0)," ")</f>
        <v>MAVİ</v>
      </c>
      <c r="L237" s="100">
        <f>IFERROR(VLOOKUP(Tablo519[[#This Row],[BOYA KODU]],Tablo14[#All],6,0)," ")</f>
        <v>5.0000000000000001E-3</v>
      </c>
      <c r="M237" s="100">
        <f t="shared" si="25"/>
        <v>133.08300000000003</v>
      </c>
      <c r="N237" s="100" t="str">
        <f>IFERROR(VLOOKUP(Tablo519[[#This Row],[ÜRÜN KODU]],YMKODLARI!$A$1:$K$363,8,0)," ")</f>
        <v>HM 009</v>
      </c>
      <c r="O237" s="100" t="str">
        <f>IFERROR(VLOOKUP(Tablo519[[#This Row],[HAMMADDE KODU]],Tablo1[#All],3,0)," ")</f>
        <v>T.P.E.</v>
      </c>
      <c r="P237" s="100" t="str">
        <f>IFERROR(VLOOKUP(Tablo519[[#This Row],[HAMMADDE KODU]],Tablo1[#All],4,0)," ")</f>
        <v>ELASTRON KİMYA</v>
      </c>
      <c r="Q237" s="100">
        <f>IFERROR(VLOOKUP(Tablo519[[#This Row],[ÜRÜN KODU]],YMKODLARI!$A$1:$K$379,5,0)," ")</f>
        <v>167.4</v>
      </c>
      <c r="R237" s="100">
        <f>IFERROR(VLOOKUP(Tablo519[[#This Row],[ÜRÜN KODU]],YMKODLARI!$A$1:$K$379,6,0)," ")</f>
        <v>162.9</v>
      </c>
      <c r="S237" s="100">
        <f>IFERROR(Tablo519[[#This Row],[YOLLUK HARİÇ BASKI GRAMI]]/Tablo519[[#This Row],[KALIP GÖZ ADEDİ]]," ")</f>
        <v>40.725000000000001</v>
      </c>
      <c r="T237" s="100">
        <f t="shared" si="26"/>
        <v>4.5</v>
      </c>
      <c r="U237" s="100">
        <v>2.6</v>
      </c>
      <c r="V237" s="100">
        <f t="shared" si="31"/>
        <v>28.501100000000005</v>
      </c>
      <c r="W237" s="101">
        <f t="shared" si="27"/>
        <v>24.166666666666668</v>
      </c>
      <c r="X237" s="102">
        <f t="shared" si="28"/>
        <v>4.0000000000000284</v>
      </c>
      <c r="Y237" s="100">
        <f t="shared" si="29"/>
        <v>3.0916666666666668</v>
      </c>
      <c r="Z237" s="100">
        <f t="shared" si="30"/>
        <v>636</v>
      </c>
    </row>
    <row r="238" spans="1:26">
      <c r="A238" s="100" t="s">
        <v>572</v>
      </c>
      <c r="B238" s="108" t="str">
        <f>IFERROR(VLOOKUP(Tablo519[[#This Row],[ÜRÜN KODU]],YMKODLARI!$A$1:$K$379,2,0)," ")</f>
        <v xml:space="preserve">TİRLE POMPA </v>
      </c>
      <c r="C238" s="99">
        <v>44133</v>
      </c>
      <c r="D238" s="100" t="s">
        <v>47</v>
      </c>
      <c r="E238" s="101">
        <v>0.33680555555555558</v>
      </c>
      <c r="F238" s="101">
        <v>0.70833333333333337</v>
      </c>
      <c r="G238" s="100">
        <f>IFERROR(VLOOKUP(Tablo519[[#This Row],[ÜRÜN KODU]],YMKODLARI!$A$1:$K$379,3,0)," ")</f>
        <v>4</v>
      </c>
      <c r="H238" s="100">
        <f>IFERROR(VLOOKUP(Tablo519[[#This Row],[ÜRÜN KODU]],YMKODLARI!$A$1:$K$379,4,0)," ")</f>
        <v>70</v>
      </c>
      <c r="I238" s="100">
        <v>309</v>
      </c>
      <c r="J238" s="100">
        <f>IFERROR(VLOOKUP(Tablo519[[#This Row],[ÜRÜN KODU]],YMKODLARI!$A$1:$K$379,9,0)," ")</f>
        <v>5287</v>
      </c>
      <c r="K238" s="100" t="str">
        <f>IFERROR(VLOOKUP(Tablo519[[#This Row],[BOYA KODU]],Tablo14[#All],4,0)," ")</f>
        <v>MAVİ</v>
      </c>
      <c r="L238" s="100">
        <f>IFERROR(VLOOKUP(Tablo519[[#This Row],[BOYA KODU]],Tablo14[#All],6,0)," ")</f>
        <v>5.0000000000000001E-3</v>
      </c>
      <c r="M238" s="100">
        <f t="shared" si="25"/>
        <v>258.63299999999998</v>
      </c>
      <c r="N238" s="100" t="str">
        <f>IFERROR(VLOOKUP(Tablo519[[#This Row],[ÜRÜN KODU]],YMKODLARI!$A$1:$K$363,8,0)," ")</f>
        <v>HM 009</v>
      </c>
      <c r="O238" s="100" t="str">
        <f>IFERROR(VLOOKUP(Tablo519[[#This Row],[HAMMADDE KODU]],Tablo1[#All],3,0)," ")</f>
        <v>T.P.E.</v>
      </c>
      <c r="P238" s="100" t="str">
        <f>IFERROR(VLOOKUP(Tablo519[[#This Row],[HAMMADDE KODU]],Tablo1[#All],4,0)," ")</f>
        <v>ELASTRON KİMYA</v>
      </c>
      <c r="Q238" s="100">
        <f>IFERROR(VLOOKUP(Tablo519[[#This Row],[ÜRÜN KODU]],YMKODLARI!$A$1:$K$379,5,0)," ")</f>
        <v>167.4</v>
      </c>
      <c r="R238" s="100">
        <f>IFERROR(VLOOKUP(Tablo519[[#This Row],[ÜRÜN KODU]],YMKODLARI!$A$1:$K$379,6,0)," ")</f>
        <v>162.9</v>
      </c>
      <c r="S238" s="100">
        <f>IFERROR(Tablo519[[#This Row],[YOLLUK HARİÇ BASKI GRAMI]]/Tablo519[[#This Row],[KALIP GÖZ ADEDİ]]," ")</f>
        <v>40.725000000000001</v>
      </c>
      <c r="T238" s="100">
        <f t="shared" si="26"/>
        <v>4.5</v>
      </c>
      <c r="U238" s="100">
        <v>5.4</v>
      </c>
      <c r="V238" s="100">
        <f t="shared" si="31"/>
        <v>55.7361</v>
      </c>
      <c r="W238" s="101">
        <f t="shared" si="27"/>
        <v>24.371527777777779</v>
      </c>
      <c r="X238" s="102">
        <f t="shared" si="28"/>
        <v>8.9166666666666856</v>
      </c>
      <c r="Y238" s="100">
        <f t="shared" si="29"/>
        <v>6.0083333333333337</v>
      </c>
      <c r="Z238" s="100">
        <f t="shared" si="30"/>
        <v>1236</v>
      </c>
    </row>
    <row r="239" spans="1:26">
      <c r="A239" s="100" t="s">
        <v>572</v>
      </c>
      <c r="B239" s="108" t="str">
        <f>IFERROR(VLOOKUP(Tablo519[[#This Row],[ÜRÜN KODU]],YMKODLARI!$A$1:$K$379,2,0)," ")</f>
        <v xml:space="preserve">TİRLE POMPA </v>
      </c>
      <c r="C239" s="99">
        <v>44134</v>
      </c>
      <c r="D239" s="100" t="s">
        <v>47</v>
      </c>
      <c r="E239" s="101">
        <v>0.34027777777777773</v>
      </c>
      <c r="F239" s="101">
        <v>0.73611111111111116</v>
      </c>
      <c r="G239" s="100">
        <f>IFERROR(VLOOKUP(Tablo519[[#This Row],[ÜRÜN KODU]],YMKODLARI!$A$1:$K$379,3,0)," ")</f>
        <v>4</v>
      </c>
      <c r="H239" s="100">
        <f>IFERROR(VLOOKUP(Tablo519[[#This Row],[ÜRÜN KODU]],YMKODLARI!$A$1:$K$379,4,0)," ")</f>
        <v>70</v>
      </c>
      <c r="I239" s="100">
        <v>334</v>
      </c>
      <c r="J239" s="100">
        <f>IFERROR(VLOOKUP(Tablo519[[#This Row],[ÜRÜN KODU]],YMKODLARI!$A$1:$K$379,9,0)," ")</f>
        <v>5287</v>
      </c>
      <c r="K239" s="100" t="str">
        <f>IFERROR(VLOOKUP(Tablo519[[#This Row],[BOYA KODU]],Tablo14[#All],4,0)," ")</f>
        <v>MAVİ</v>
      </c>
      <c r="L239" s="100">
        <f>IFERROR(VLOOKUP(Tablo519[[#This Row],[BOYA KODU]],Tablo14[#All],6,0)," ")</f>
        <v>5.0000000000000001E-3</v>
      </c>
      <c r="M239" s="100">
        <f t="shared" si="25"/>
        <v>279.55799999999999</v>
      </c>
      <c r="N239" s="100" t="str">
        <f>IFERROR(VLOOKUP(Tablo519[[#This Row],[ÜRÜN KODU]],YMKODLARI!$A$1:$K$363,8,0)," ")</f>
        <v>HM 009</v>
      </c>
      <c r="O239" s="100" t="str">
        <f>IFERROR(VLOOKUP(Tablo519[[#This Row],[HAMMADDE KODU]],Tablo1[#All],3,0)," ")</f>
        <v>T.P.E.</v>
      </c>
      <c r="P239" s="100" t="str">
        <f>IFERROR(VLOOKUP(Tablo519[[#This Row],[HAMMADDE KODU]],Tablo1[#All],4,0)," ")</f>
        <v>ELASTRON KİMYA</v>
      </c>
      <c r="Q239" s="100">
        <f>IFERROR(VLOOKUP(Tablo519[[#This Row],[ÜRÜN KODU]],YMKODLARI!$A$1:$K$379,5,0)," ")</f>
        <v>167.4</v>
      </c>
      <c r="R239" s="100">
        <f>IFERROR(VLOOKUP(Tablo519[[#This Row],[ÜRÜN KODU]],YMKODLARI!$A$1:$K$379,6,0)," ")</f>
        <v>162.9</v>
      </c>
      <c r="S239" s="100">
        <f>IFERROR(Tablo519[[#This Row],[YOLLUK HARİÇ BASKI GRAMI]]/Tablo519[[#This Row],[KALIP GÖZ ADEDİ]]," ")</f>
        <v>40.725000000000001</v>
      </c>
      <c r="T239" s="100">
        <f t="shared" si="26"/>
        <v>4.5</v>
      </c>
      <c r="U239" s="100">
        <v>6.3</v>
      </c>
      <c r="V239" s="100">
        <f t="shared" si="31"/>
        <v>60.708599999999997</v>
      </c>
      <c r="W239" s="101">
        <f t="shared" si="27"/>
        <v>24.395833333333332</v>
      </c>
      <c r="X239" s="102">
        <f t="shared" si="28"/>
        <v>9.4999999999999716</v>
      </c>
      <c r="Y239" s="100">
        <f t="shared" si="29"/>
        <v>6.4944444444444445</v>
      </c>
      <c r="Z239" s="100">
        <f t="shared" si="30"/>
        <v>1336</v>
      </c>
    </row>
    <row r="240" spans="1:26">
      <c r="A240" s="100" t="s">
        <v>572</v>
      </c>
      <c r="B240" s="108" t="str">
        <f>IFERROR(VLOOKUP(Tablo519[[#This Row],[ÜRÜN KODU]],YMKODLARI!$A$1:$K$379,2,0)," ")</f>
        <v xml:space="preserve">TİRLE POMPA </v>
      </c>
      <c r="C240" s="99">
        <v>44137</v>
      </c>
      <c r="D240" s="100" t="s">
        <v>47</v>
      </c>
      <c r="E240" s="101">
        <v>0.33333333333333331</v>
      </c>
      <c r="F240" s="101">
        <v>0.75</v>
      </c>
      <c r="G240" s="100">
        <f>IFERROR(VLOOKUP(Tablo519[[#This Row],[ÜRÜN KODU]],YMKODLARI!$A$1:$K$379,3,0)," ")</f>
        <v>4</v>
      </c>
      <c r="H240" s="100">
        <f>IFERROR(VLOOKUP(Tablo519[[#This Row],[ÜRÜN KODU]],YMKODLARI!$A$1:$K$379,4,0)," ")</f>
        <v>70</v>
      </c>
      <c r="I240" s="100">
        <v>333</v>
      </c>
      <c r="J240" s="100">
        <f>IFERROR(VLOOKUP(Tablo519[[#This Row],[ÜRÜN KODU]],YMKODLARI!$A$1:$K$379,9,0)," ")</f>
        <v>5287</v>
      </c>
      <c r="K240" s="100" t="str">
        <f>IFERROR(VLOOKUP(Tablo519[[#This Row],[BOYA KODU]],Tablo14[#All],4,0)," ")</f>
        <v>MAVİ</v>
      </c>
      <c r="L240" s="100">
        <f>IFERROR(VLOOKUP(Tablo519[[#This Row],[BOYA KODU]],Tablo14[#All],6,0)," ")</f>
        <v>5.0000000000000001E-3</v>
      </c>
      <c r="M240" s="100">
        <f t="shared" si="25"/>
        <v>278.721</v>
      </c>
      <c r="N240" s="100" t="str">
        <f>IFERROR(VLOOKUP(Tablo519[[#This Row],[ÜRÜN KODU]],YMKODLARI!$A$1:$K$363,8,0)," ")</f>
        <v>HM 009</v>
      </c>
      <c r="O240" s="100" t="str">
        <f>IFERROR(VLOOKUP(Tablo519[[#This Row],[HAMMADDE KODU]],Tablo1[#All],3,0)," ")</f>
        <v>T.P.E.</v>
      </c>
      <c r="P240" s="100" t="str">
        <f>IFERROR(VLOOKUP(Tablo519[[#This Row],[HAMMADDE KODU]],Tablo1[#All],4,0)," ")</f>
        <v>ELASTRON KİMYA</v>
      </c>
      <c r="Q240" s="100">
        <f>IFERROR(VLOOKUP(Tablo519[[#This Row],[ÜRÜN KODU]],YMKODLARI!$A$1:$K$379,5,0)," ")</f>
        <v>167.4</v>
      </c>
      <c r="R240" s="100">
        <f>IFERROR(VLOOKUP(Tablo519[[#This Row],[ÜRÜN KODU]],YMKODLARI!$A$1:$K$379,6,0)," ")</f>
        <v>162.9</v>
      </c>
      <c r="S240" s="100">
        <f>IFERROR(Tablo519[[#This Row],[YOLLUK HARİÇ BASKI GRAMI]]/Tablo519[[#This Row],[KALIP GÖZ ADEDİ]]," ")</f>
        <v>40.725000000000001</v>
      </c>
      <c r="T240" s="100">
        <f t="shared" si="26"/>
        <v>4.5</v>
      </c>
      <c r="U240" s="100">
        <v>14</v>
      </c>
      <c r="V240" s="100">
        <f t="shared" si="31"/>
        <v>68.245699999999999</v>
      </c>
      <c r="W240" s="101">
        <f t="shared" si="27"/>
        <v>24.416666666666668</v>
      </c>
      <c r="X240" s="102">
        <f t="shared" si="28"/>
        <v>10.000000000000028</v>
      </c>
      <c r="Y240" s="100">
        <f t="shared" si="29"/>
        <v>6.4749999999999996</v>
      </c>
      <c r="Z240" s="100">
        <f t="shared" si="30"/>
        <v>1332</v>
      </c>
    </row>
    <row r="241" spans="1:26">
      <c r="A241" s="100" t="s">
        <v>240</v>
      </c>
      <c r="B241" s="108" t="str">
        <f>IFERROR(VLOOKUP(Tablo519[[#This Row],[ÜRÜN KODU]],YMKODLARI!$A$1:$K$379,2,0)," ")</f>
        <v xml:space="preserve">TİRLE POMPA </v>
      </c>
      <c r="C241" s="99">
        <v>44138</v>
      </c>
      <c r="D241" s="100" t="s">
        <v>47</v>
      </c>
      <c r="E241" s="101">
        <v>0.375</v>
      </c>
      <c r="F241" s="101">
        <v>0.70486111111111116</v>
      </c>
      <c r="G241" s="100">
        <f>IFERROR(VLOOKUP(Tablo519[[#This Row],[ÜRÜN KODU]],YMKODLARI!$A$1:$K$379,3,0)," ")</f>
        <v>4</v>
      </c>
      <c r="H241" s="100">
        <f>IFERROR(VLOOKUP(Tablo519[[#This Row],[ÜRÜN KODU]],YMKODLARI!$A$1:$K$379,4,0)," ")</f>
        <v>70</v>
      </c>
      <c r="I241" s="100">
        <v>225</v>
      </c>
      <c r="J241" s="100">
        <f>IFERROR(VLOOKUP(Tablo519[[#This Row],[ÜRÜN KODU]],YMKODLARI!$A$1:$K$379,9,0)," ")</f>
        <v>6192</v>
      </c>
      <c r="K241" s="100" t="str">
        <f>IFERROR(VLOOKUP(Tablo519[[#This Row],[BOYA KODU]],Tablo14[#All],4,0)," ")</f>
        <v>YEŞİL</v>
      </c>
      <c r="L241" s="100">
        <f>IFERROR(VLOOKUP(Tablo519[[#This Row],[BOYA KODU]],Tablo14[#All],6,0)," ")</f>
        <v>5.0000000000000001E-3</v>
      </c>
      <c r="M241" s="100">
        <f t="shared" si="25"/>
        <v>188.32500000000002</v>
      </c>
      <c r="N241" s="100" t="str">
        <f>IFERROR(VLOOKUP(Tablo519[[#This Row],[ÜRÜN KODU]],YMKODLARI!$A$1:$K$363,8,0)," ")</f>
        <v>HM 009</v>
      </c>
      <c r="O241" s="100" t="str">
        <f>IFERROR(VLOOKUP(Tablo519[[#This Row],[HAMMADDE KODU]],Tablo1[#All],3,0)," ")</f>
        <v>T.P.E.</v>
      </c>
      <c r="P241" s="100" t="str">
        <f>IFERROR(VLOOKUP(Tablo519[[#This Row],[HAMMADDE KODU]],Tablo1[#All],4,0)," ")</f>
        <v>ELASTRON KİMYA</v>
      </c>
      <c r="Q241" s="100">
        <f>IFERROR(VLOOKUP(Tablo519[[#This Row],[ÜRÜN KODU]],YMKODLARI!$A$1:$K$379,5,0)," ")</f>
        <v>167.4</v>
      </c>
      <c r="R241" s="100">
        <f>IFERROR(VLOOKUP(Tablo519[[#This Row],[ÜRÜN KODU]],YMKODLARI!$A$1:$K$379,6,0)," ")</f>
        <v>162.9</v>
      </c>
      <c r="S241" s="100">
        <f>IFERROR(Tablo519[[#This Row],[YOLLUK HARİÇ BASKI GRAMI]]/Tablo519[[#This Row],[KALIP GÖZ ADEDİ]]," ")</f>
        <v>40.725000000000001</v>
      </c>
      <c r="T241" s="100">
        <f t="shared" si="26"/>
        <v>4.5</v>
      </c>
      <c r="U241" s="100">
        <v>3</v>
      </c>
      <c r="V241" s="100">
        <f t="shared" si="31"/>
        <v>39.652500000000003</v>
      </c>
      <c r="W241" s="101">
        <f t="shared" si="27"/>
        <v>24.329861111111111</v>
      </c>
      <c r="X241" s="102">
        <f t="shared" si="28"/>
        <v>7.9166666666666572</v>
      </c>
      <c r="Y241" s="100">
        <f t="shared" si="29"/>
        <v>4.375</v>
      </c>
      <c r="Z241" s="100">
        <f t="shared" si="30"/>
        <v>900</v>
      </c>
    </row>
    <row r="242" spans="1:26">
      <c r="A242" s="100" t="s">
        <v>240</v>
      </c>
      <c r="B242" s="108" t="str">
        <f>IFERROR(VLOOKUP(Tablo519[[#This Row],[ÜRÜN KODU]],YMKODLARI!$A$1:$K$379,2,0)," ")</f>
        <v xml:space="preserve">TİRLE POMPA </v>
      </c>
      <c r="C242" s="99">
        <v>44138</v>
      </c>
      <c r="D242" s="100" t="s">
        <v>47</v>
      </c>
      <c r="E242" s="101">
        <v>0.70833333333333337</v>
      </c>
      <c r="F242" s="101">
        <v>0.74305555555555547</v>
      </c>
      <c r="G242" s="100">
        <f>IFERROR(VLOOKUP(Tablo519[[#This Row],[ÜRÜN KODU]],YMKODLARI!$A$1:$K$379,3,0)," ")</f>
        <v>4</v>
      </c>
      <c r="H242" s="100">
        <f>IFERROR(VLOOKUP(Tablo519[[#This Row],[ÜRÜN KODU]],YMKODLARI!$A$1:$K$379,4,0)," ")</f>
        <v>70</v>
      </c>
      <c r="I242" s="100">
        <v>41</v>
      </c>
      <c r="J242" s="100">
        <f>IFERROR(VLOOKUP(Tablo519[[#This Row],[ÜRÜN KODU]],YMKODLARI!$A$1:$K$379,9,0)," ")</f>
        <v>6192</v>
      </c>
      <c r="K242" s="100" t="str">
        <f>IFERROR(VLOOKUP(Tablo519[[#This Row],[BOYA KODU]],Tablo14[#All],4,0)," ")</f>
        <v>YEŞİL</v>
      </c>
      <c r="L242" s="100">
        <f>IFERROR(VLOOKUP(Tablo519[[#This Row],[BOYA KODU]],Tablo14[#All],6,0)," ")</f>
        <v>5.0000000000000001E-3</v>
      </c>
      <c r="M242" s="100">
        <f t="shared" si="25"/>
        <v>34.317</v>
      </c>
      <c r="N242" s="100" t="str">
        <f>IFERROR(VLOOKUP(Tablo519[[#This Row],[ÜRÜN KODU]],YMKODLARI!$A$1:$K$363,8,0)," ")</f>
        <v>HM 009</v>
      </c>
      <c r="O242" s="100" t="str">
        <f>IFERROR(VLOOKUP(Tablo519[[#This Row],[HAMMADDE KODU]],Tablo1[#All],3,0)," ")</f>
        <v>T.P.E.</v>
      </c>
      <c r="P242" s="100" t="str">
        <f>IFERROR(VLOOKUP(Tablo519[[#This Row],[HAMMADDE KODU]],Tablo1[#All],4,0)," ")</f>
        <v>ELASTRON KİMYA</v>
      </c>
      <c r="Q242" s="100">
        <f>IFERROR(VLOOKUP(Tablo519[[#This Row],[ÜRÜN KODU]],YMKODLARI!$A$1:$K$379,5,0)," ")</f>
        <v>167.4</v>
      </c>
      <c r="R242" s="100">
        <f>IFERROR(VLOOKUP(Tablo519[[#This Row],[ÜRÜN KODU]],YMKODLARI!$A$1:$K$379,6,0)," ")</f>
        <v>162.9</v>
      </c>
      <c r="S242" s="100">
        <f>IFERROR(Tablo519[[#This Row],[YOLLUK HARİÇ BASKI GRAMI]]/Tablo519[[#This Row],[KALIP GÖZ ADEDİ]]," ")</f>
        <v>40.725000000000001</v>
      </c>
      <c r="T242" s="100">
        <f t="shared" si="26"/>
        <v>4.5</v>
      </c>
      <c r="U242" s="100">
        <v>3</v>
      </c>
      <c r="V242" s="100">
        <f t="shared" si="31"/>
        <v>9.6789000000000005</v>
      </c>
      <c r="W242" s="101">
        <f t="shared" si="27"/>
        <v>24.034722222222221</v>
      </c>
      <c r="X242" s="102">
        <f t="shared" si="28"/>
        <v>0.83333333333331439</v>
      </c>
      <c r="Y242" s="100">
        <f t="shared" si="29"/>
        <v>0.79722222222222228</v>
      </c>
      <c r="Z242" s="100">
        <f t="shared" si="30"/>
        <v>164</v>
      </c>
    </row>
    <row r="243" spans="1:26">
      <c r="A243" s="100" t="s">
        <v>240</v>
      </c>
      <c r="B243" s="108" t="str">
        <f>IFERROR(VLOOKUP(Tablo519[[#This Row],[ÜRÜN KODU]],YMKODLARI!$A$1:$K$379,2,0)," ")</f>
        <v xml:space="preserve">TİRLE POMPA </v>
      </c>
      <c r="C243" s="99">
        <v>44139</v>
      </c>
      <c r="D243" s="100" t="s">
        <v>47</v>
      </c>
      <c r="E243" s="101">
        <v>0.33680555555555558</v>
      </c>
      <c r="F243" s="101">
        <v>0.64236111111111105</v>
      </c>
      <c r="G243" s="100">
        <f>IFERROR(VLOOKUP(Tablo519[[#This Row],[ÜRÜN KODU]],YMKODLARI!$A$1:$K$379,3,0)," ")</f>
        <v>4</v>
      </c>
      <c r="H243" s="100">
        <f>IFERROR(VLOOKUP(Tablo519[[#This Row],[ÜRÜN KODU]],YMKODLARI!$A$1:$K$379,4,0)," ")</f>
        <v>70</v>
      </c>
      <c r="I243" s="100">
        <v>195</v>
      </c>
      <c r="J243" s="100">
        <f>IFERROR(VLOOKUP(Tablo519[[#This Row],[ÜRÜN KODU]],YMKODLARI!$A$1:$K$379,9,0)," ")</f>
        <v>6192</v>
      </c>
      <c r="K243" s="100" t="str">
        <f>IFERROR(VLOOKUP(Tablo519[[#This Row],[BOYA KODU]],Tablo14[#All],4,0)," ")</f>
        <v>YEŞİL</v>
      </c>
      <c r="L243" s="100">
        <f>IFERROR(VLOOKUP(Tablo519[[#This Row],[BOYA KODU]],Tablo14[#All],6,0)," ")</f>
        <v>5.0000000000000001E-3</v>
      </c>
      <c r="M243" s="100">
        <f t="shared" si="25"/>
        <v>163.215</v>
      </c>
      <c r="N243" s="100" t="str">
        <f>IFERROR(VLOOKUP(Tablo519[[#This Row],[ÜRÜN KODU]],YMKODLARI!$A$1:$K$363,8,0)," ")</f>
        <v>HM 009</v>
      </c>
      <c r="O243" s="100" t="str">
        <f>IFERROR(VLOOKUP(Tablo519[[#This Row],[HAMMADDE KODU]],Tablo1[#All],3,0)," ")</f>
        <v>T.P.E.</v>
      </c>
      <c r="P243" s="100" t="str">
        <f>IFERROR(VLOOKUP(Tablo519[[#This Row],[HAMMADDE KODU]],Tablo1[#All],4,0)," ")</f>
        <v>ELASTRON KİMYA</v>
      </c>
      <c r="Q243" s="100">
        <f>IFERROR(VLOOKUP(Tablo519[[#This Row],[ÜRÜN KODU]],YMKODLARI!$A$1:$K$379,5,0)," ")</f>
        <v>167.4</v>
      </c>
      <c r="R243" s="100">
        <f>IFERROR(VLOOKUP(Tablo519[[#This Row],[ÜRÜN KODU]],YMKODLARI!$A$1:$K$379,6,0)," ")</f>
        <v>162.9</v>
      </c>
      <c r="S243" s="100">
        <f>IFERROR(Tablo519[[#This Row],[YOLLUK HARİÇ BASKI GRAMI]]/Tablo519[[#This Row],[KALIP GÖZ ADEDİ]]," ")</f>
        <v>40.725000000000001</v>
      </c>
      <c r="T243" s="100">
        <f t="shared" si="26"/>
        <v>4.5</v>
      </c>
      <c r="U243" s="100">
        <v>15</v>
      </c>
      <c r="V243" s="100">
        <f t="shared" si="31"/>
        <v>46.765500000000003</v>
      </c>
      <c r="W243" s="101">
        <f t="shared" si="27"/>
        <v>24.305555555555557</v>
      </c>
      <c r="X243" s="102">
        <f t="shared" si="28"/>
        <v>7.3333333333333712</v>
      </c>
      <c r="Y243" s="100">
        <f t="shared" si="29"/>
        <v>3.7916666666666665</v>
      </c>
      <c r="Z243" s="100">
        <f t="shared" si="30"/>
        <v>780</v>
      </c>
    </row>
    <row r="244" spans="1:26">
      <c r="A244" s="100" t="s">
        <v>240</v>
      </c>
      <c r="B244" s="108" t="str">
        <f>IFERROR(VLOOKUP(Tablo519[[#This Row],[ÜRÜN KODU]],YMKODLARI!$A$1:$K$379,2,0)," ")</f>
        <v xml:space="preserve">TİRLE POMPA </v>
      </c>
      <c r="C244" s="99">
        <v>44139</v>
      </c>
      <c r="D244" s="100" t="s">
        <v>47</v>
      </c>
      <c r="E244" s="101">
        <v>0.64583333333333337</v>
      </c>
      <c r="F244" s="101">
        <v>0.75</v>
      </c>
      <c r="G244" s="100">
        <f>IFERROR(VLOOKUP(Tablo519[[#This Row],[ÜRÜN KODU]],YMKODLARI!$A$1:$K$379,3,0)," ")</f>
        <v>4</v>
      </c>
      <c r="H244" s="100">
        <f>IFERROR(VLOOKUP(Tablo519[[#This Row],[ÜRÜN KODU]],YMKODLARI!$A$1:$K$379,4,0)," ")</f>
        <v>70</v>
      </c>
      <c r="I244" s="100">
        <v>85</v>
      </c>
      <c r="J244" s="100">
        <f>IFERROR(VLOOKUP(Tablo519[[#This Row],[ÜRÜN KODU]],YMKODLARI!$A$1:$K$379,9,0)," ")</f>
        <v>6192</v>
      </c>
      <c r="K244" s="100" t="str">
        <f>IFERROR(VLOOKUP(Tablo519[[#This Row],[BOYA KODU]],Tablo14[#All],4,0)," ")</f>
        <v>YEŞİL</v>
      </c>
      <c r="L244" s="100">
        <f>IFERROR(VLOOKUP(Tablo519[[#This Row],[BOYA KODU]],Tablo14[#All],6,0)," ")</f>
        <v>5.0000000000000001E-3</v>
      </c>
      <c r="M244" s="100">
        <f t="shared" si="25"/>
        <v>71.144999999999996</v>
      </c>
      <c r="N244" s="100" t="str">
        <f>IFERROR(VLOOKUP(Tablo519[[#This Row],[ÜRÜN KODU]],YMKODLARI!$A$1:$K$363,8,0)," ")</f>
        <v>HM 009</v>
      </c>
      <c r="O244" s="100" t="str">
        <f>IFERROR(VLOOKUP(Tablo519[[#This Row],[HAMMADDE KODU]],Tablo1[#All],3,0)," ")</f>
        <v>T.P.E.</v>
      </c>
      <c r="P244" s="100" t="str">
        <f>IFERROR(VLOOKUP(Tablo519[[#This Row],[HAMMADDE KODU]],Tablo1[#All],4,0)," ")</f>
        <v>ELASTRON KİMYA</v>
      </c>
      <c r="Q244" s="100">
        <f>IFERROR(VLOOKUP(Tablo519[[#This Row],[ÜRÜN KODU]],YMKODLARI!$A$1:$K$379,5,0)," ")</f>
        <v>167.4</v>
      </c>
      <c r="R244" s="100">
        <f>IFERROR(VLOOKUP(Tablo519[[#This Row],[ÜRÜN KODU]],YMKODLARI!$A$1:$K$379,6,0)," ")</f>
        <v>162.9</v>
      </c>
      <c r="S244" s="100">
        <f>IFERROR(Tablo519[[#This Row],[YOLLUK HARİÇ BASKI GRAMI]]/Tablo519[[#This Row],[KALIP GÖZ ADEDİ]]," ")</f>
        <v>40.725000000000001</v>
      </c>
      <c r="T244" s="100">
        <f t="shared" si="26"/>
        <v>4.5</v>
      </c>
      <c r="U244" s="100">
        <v>4</v>
      </c>
      <c r="V244" s="100">
        <f t="shared" si="31"/>
        <v>17.846499999999999</v>
      </c>
      <c r="W244" s="101">
        <f t="shared" si="27"/>
        <v>24.104166666666668</v>
      </c>
      <c r="X244" s="102">
        <f t="shared" si="28"/>
        <v>2.5000000000000284</v>
      </c>
      <c r="Y244" s="100">
        <f t="shared" si="29"/>
        <v>1.6527777777777777</v>
      </c>
      <c r="Z244" s="100">
        <f t="shared" si="30"/>
        <v>340</v>
      </c>
    </row>
    <row r="245" spans="1:26">
      <c r="A245" s="100" t="s">
        <v>240</v>
      </c>
      <c r="B245" s="108" t="str">
        <f>IFERROR(VLOOKUP(Tablo519[[#This Row],[ÜRÜN KODU]],YMKODLARI!$A$1:$K$379,2,0)," ")</f>
        <v xml:space="preserve">TİRLE POMPA </v>
      </c>
      <c r="C245" s="99">
        <v>44140</v>
      </c>
      <c r="D245" s="100" t="s">
        <v>47</v>
      </c>
      <c r="E245" s="101">
        <v>0.33333333333333331</v>
      </c>
      <c r="F245" s="101">
        <v>0.68402777777777779</v>
      </c>
      <c r="G245" s="100">
        <f>IFERROR(VLOOKUP(Tablo519[[#This Row],[ÜRÜN KODU]],YMKODLARI!$A$1:$K$379,3,0)," ")</f>
        <v>4</v>
      </c>
      <c r="H245" s="100">
        <f>IFERROR(VLOOKUP(Tablo519[[#This Row],[ÜRÜN KODU]],YMKODLARI!$A$1:$K$379,4,0)," ")</f>
        <v>70</v>
      </c>
      <c r="I245" s="100">
        <v>278</v>
      </c>
      <c r="J245" s="100">
        <f>IFERROR(VLOOKUP(Tablo519[[#This Row],[ÜRÜN KODU]],YMKODLARI!$A$1:$K$379,9,0)," ")</f>
        <v>6192</v>
      </c>
      <c r="K245" s="100" t="str">
        <f>IFERROR(VLOOKUP(Tablo519[[#This Row],[BOYA KODU]],Tablo14[#All],4,0)," ")</f>
        <v>YEŞİL</v>
      </c>
      <c r="L245" s="100">
        <f>IFERROR(VLOOKUP(Tablo519[[#This Row],[BOYA KODU]],Tablo14[#All],6,0)," ")</f>
        <v>5.0000000000000001E-3</v>
      </c>
      <c r="M245" s="100">
        <f t="shared" si="25"/>
        <v>232.68600000000004</v>
      </c>
      <c r="N245" s="100" t="str">
        <f>IFERROR(VLOOKUP(Tablo519[[#This Row],[ÜRÜN KODU]],YMKODLARI!$A$1:$K$363,8,0)," ")</f>
        <v>HM 009</v>
      </c>
      <c r="O245" s="100" t="str">
        <f>IFERROR(VLOOKUP(Tablo519[[#This Row],[HAMMADDE KODU]],Tablo1[#All],3,0)," ")</f>
        <v>T.P.E.</v>
      </c>
      <c r="P245" s="100" t="str">
        <f>IFERROR(VLOOKUP(Tablo519[[#This Row],[HAMMADDE KODU]],Tablo1[#All],4,0)," ")</f>
        <v>ELASTRON KİMYA</v>
      </c>
      <c r="Q245" s="100">
        <f>IFERROR(VLOOKUP(Tablo519[[#This Row],[ÜRÜN KODU]],YMKODLARI!$A$1:$K$379,5,0)," ")</f>
        <v>167.4</v>
      </c>
      <c r="R245" s="100">
        <f>IFERROR(VLOOKUP(Tablo519[[#This Row],[ÜRÜN KODU]],YMKODLARI!$A$1:$K$379,6,0)," ")</f>
        <v>162.9</v>
      </c>
      <c r="S245" s="100">
        <f>IFERROR(Tablo519[[#This Row],[YOLLUK HARİÇ BASKI GRAMI]]/Tablo519[[#This Row],[KALIP GÖZ ADEDİ]]," ")</f>
        <v>40.725000000000001</v>
      </c>
      <c r="T245" s="100">
        <f t="shared" si="26"/>
        <v>4.5</v>
      </c>
      <c r="U245" s="100">
        <v>14</v>
      </c>
      <c r="V245" s="100">
        <f t="shared" si="31"/>
        <v>59.286200000000001</v>
      </c>
      <c r="W245" s="101">
        <f t="shared" si="27"/>
        <v>24.350694444444443</v>
      </c>
      <c r="X245" s="102">
        <f t="shared" si="28"/>
        <v>8.4166666666666288</v>
      </c>
      <c r="Y245" s="100">
        <f t="shared" si="29"/>
        <v>5.4055555555555559</v>
      </c>
      <c r="Z245" s="100">
        <f t="shared" si="30"/>
        <v>1112</v>
      </c>
    </row>
    <row r="246" spans="1:26">
      <c r="A246" s="100" t="s">
        <v>240</v>
      </c>
      <c r="B246" s="108" t="str">
        <f>IFERROR(VLOOKUP(Tablo519[[#This Row],[ÜRÜN KODU]],YMKODLARI!$A$1:$K$379,2,0)," ")</f>
        <v xml:space="preserve">TİRLE POMPA </v>
      </c>
      <c r="C246" s="99">
        <v>44140</v>
      </c>
      <c r="D246" s="100" t="s">
        <v>47</v>
      </c>
      <c r="E246" s="101">
        <v>0.70138888888888884</v>
      </c>
      <c r="F246" s="101">
        <v>0.75</v>
      </c>
      <c r="G246" s="100">
        <f>IFERROR(VLOOKUP(Tablo519[[#This Row],[ÜRÜN KODU]],YMKODLARI!$A$1:$K$379,3,0)," ")</f>
        <v>4</v>
      </c>
      <c r="H246" s="100">
        <f>IFERROR(VLOOKUP(Tablo519[[#This Row],[ÜRÜN KODU]],YMKODLARI!$A$1:$K$379,4,0)," ")</f>
        <v>70</v>
      </c>
      <c r="I246" s="100">
        <v>45</v>
      </c>
      <c r="J246" s="100">
        <f>IFERROR(VLOOKUP(Tablo519[[#This Row],[ÜRÜN KODU]],YMKODLARI!$A$1:$K$379,9,0)," ")</f>
        <v>6192</v>
      </c>
      <c r="K246" s="100" t="str">
        <f>IFERROR(VLOOKUP(Tablo519[[#This Row],[BOYA KODU]],Tablo14[#All],4,0)," ")</f>
        <v>YEŞİL</v>
      </c>
      <c r="L246" s="100">
        <f>IFERROR(VLOOKUP(Tablo519[[#This Row],[BOYA KODU]],Tablo14[#All],6,0)," ")</f>
        <v>5.0000000000000001E-3</v>
      </c>
      <c r="M246" s="100">
        <f t="shared" si="25"/>
        <v>37.664999999999999</v>
      </c>
      <c r="N246" s="100" t="str">
        <f>IFERROR(VLOOKUP(Tablo519[[#This Row],[ÜRÜN KODU]],YMKODLARI!$A$1:$K$363,8,0)," ")</f>
        <v>HM 009</v>
      </c>
      <c r="O246" s="100" t="str">
        <f>IFERROR(VLOOKUP(Tablo519[[#This Row],[HAMMADDE KODU]],Tablo1[#All],3,0)," ")</f>
        <v>T.P.E.</v>
      </c>
      <c r="P246" s="100" t="str">
        <f>IFERROR(VLOOKUP(Tablo519[[#This Row],[HAMMADDE KODU]],Tablo1[#All],4,0)," ")</f>
        <v>ELASTRON KİMYA</v>
      </c>
      <c r="Q246" s="100">
        <f>IFERROR(VLOOKUP(Tablo519[[#This Row],[ÜRÜN KODU]],YMKODLARI!$A$1:$K$379,5,0)," ")</f>
        <v>167.4</v>
      </c>
      <c r="R246" s="100">
        <f>IFERROR(VLOOKUP(Tablo519[[#This Row],[ÜRÜN KODU]],YMKODLARI!$A$1:$K$379,6,0)," ")</f>
        <v>162.9</v>
      </c>
      <c r="S246" s="100">
        <f>IFERROR(Tablo519[[#This Row],[YOLLUK HARİÇ BASKI GRAMI]]/Tablo519[[#This Row],[KALIP GÖZ ADEDİ]]," ")</f>
        <v>40.725000000000001</v>
      </c>
      <c r="T246" s="100">
        <f t="shared" si="26"/>
        <v>4.5</v>
      </c>
      <c r="U246" s="100">
        <v>4</v>
      </c>
      <c r="V246" s="100">
        <f t="shared" si="31"/>
        <v>11.330500000000001</v>
      </c>
      <c r="W246" s="101">
        <f t="shared" si="27"/>
        <v>24.048611111111111</v>
      </c>
      <c r="X246" s="102">
        <f t="shared" si="28"/>
        <v>1.1666666666666572</v>
      </c>
      <c r="Y246" s="100">
        <f t="shared" si="29"/>
        <v>0.875</v>
      </c>
      <c r="Z246" s="100">
        <f t="shared" si="30"/>
        <v>180</v>
      </c>
    </row>
    <row r="247" spans="1:26">
      <c r="A247" s="100" t="s">
        <v>240</v>
      </c>
      <c r="B247" s="108" t="str">
        <f>IFERROR(VLOOKUP(Tablo519[[#This Row],[ÜRÜN KODU]],YMKODLARI!$A$1:$K$379,2,0)," ")</f>
        <v xml:space="preserve">TİRLE POMPA </v>
      </c>
      <c r="C247" s="99">
        <v>44141</v>
      </c>
      <c r="D247" s="100" t="s">
        <v>47</v>
      </c>
      <c r="E247" s="101">
        <v>0.33333333333333331</v>
      </c>
      <c r="F247" s="101">
        <v>0.73611111111111116</v>
      </c>
      <c r="G247" s="100">
        <f>IFERROR(VLOOKUP(Tablo519[[#This Row],[ÜRÜN KODU]],YMKODLARI!$A$1:$K$379,3,0)," ")</f>
        <v>4</v>
      </c>
      <c r="H247" s="100">
        <f>IFERROR(VLOOKUP(Tablo519[[#This Row],[ÜRÜN KODU]],YMKODLARI!$A$1:$K$379,4,0)," ")</f>
        <v>70</v>
      </c>
      <c r="I247" s="100">
        <v>330</v>
      </c>
      <c r="J247" s="100">
        <f>IFERROR(VLOOKUP(Tablo519[[#This Row],[ÜRÜN KODU]],YMKODLARI!$A$1:$K$379,9,0)," ")</f>
        <v>6192</v>
      </c>
      <c r="K247" s="100" t="str">
        <f>IFERROR(VLOOKUP(Tablo519[[#This Row],[BOYA KODU]],Tablo14[#All],4,0)," ")</f>
        <v>YEŞİL</v>
      </c>
      <c r="L247" s="100">
        <f>IFERROR(VLOOKUP(Tablo519[[#This Row],[BOYA KODU]],Tablo14[#All],6,0)," ")</f>
        <v>5.0000000000000001E-3</v>
      </c>
      <c r="M247" s="100">
        <f t="shared" si="25"/>
        <v>276.20999999999998</v>
      </c>
      <c r="N247" s="100" t="str">
        <f>IFERROR(VLOOKUP(Tablo519[[#This Row],[ÜRÜN KODU]],YMKODLARI!$A$1:$K$363,8,0)," ")</f>
        <v>HM 009</v>
      </c>
      <c r="O247" s="100" t="str">
        <f>IFERROR(VLOOKUP(Tablo519[[#This Row],[HAMMADDE KODU]],Tablo1[#All],3,0)," ")</f>
        <v>T.P.E.</v>
      </c>
      <c r="P247" s="100" t="str">
        <f>IFERROR(VLOOKUP(Tablo519[[#This Row],[HAMMADDE KODU]],Tablo1[#All],4,0)," ")</f>
        <v>ELASTRON KİMYA</v>
      </c>
      <c r="Q247" s="100">
        <f>IFERROR(VLOOKUP(Tablo519[[#This Row],[ÜRÜN KODU]],YMKODLARI!$A$1:$K$379,5,0)," ")</f>
        <v>167.4</v>
      </c>
      <c r="R247" s="100">
        <f>IFERROR(VLOOKUP(Tablo519[[#This Row],[ÜRÜN KODU]],YMKODLARI!$A$1:$K$379,6,0)," ")</f>
        <v>162.9</v>
      </c>
      <c r="S247" s="100">
        <f>IFERROR(Tablo519[[#This Row],[YOLLUK HARİÇ BASKI GRAMI]]/Tablo519[[#This Row],[KALIP GÖZ ADEDİ]]," ")</f>
        <v>40.725000000000001</v>
      </c>
      <c r="T247" s="100">
        <f t="shared" si="26"/>
        <v>4.5</v>
      </c>
      <c r="U247" s="100">
        <v>11</v>
      </c>
      <c r="V247" s="100">
        <f t="shared" si="31"/>
        <v>64.757000000000005</v>
      </c>
      <c r="W247" s="101">
        <f t="shared" si="27"/>
        <v>24.402777777777779</v>
      </c>
      <c r="X247" s="102">
        <f t="shared" si="28"/>
        <v>9.6666666666666856</v>
      </c>
      <c r="Y247" s="100">
        <f t="shared" si="29"/>
        <v>6.416666666666667</v>
      </c>
      <c r="Z247" s="100">
        <f t="shared" si="30"/>
        <v>1320</v>
      </c>
    </row>
    <row r="248" spans="1:26">
      <c r="A248" s="100" t="s">
        <v>240</v>
      </c>
      <c r="B248" s="108" t="str">
        <f>IFERROR(VLOOKUP(Tablo519[[#This Row],[ÜRÜN KODU]],YMKODLARI!$A$1:$K$379,2,0)," ")</f>
        <v xml:space="preserve">TİRLE POMPA </v>
      </c>
      <c r="C248" s="99">
        <v>44144</v>
      </c>
      <c r="D248" s="100" t="s">
        <v>47</v>
      </c>
      <c r="E248" s="101">
        <v>0.33333333333333331</v>
      </c>
      <c r="F248" s="101">
        <v>0.72916666666666663</v>
      </c>
      <c r="G248" s="100">
        <f>IFERROR(VLOOKUP(Tablo519[[#This Row],[ÜRÜN KODU]],YMKODLARI!$A$1:$K$379,3,0)," ")</f>
        <v>4</v>
      </c>
      <c r="H248" s="100">
        <f>IFERROR(VLOOKUP(Tablo519[[#This Row],[ÜRÜN KODU]],YMKODLARI!$A$1:$K$379,4,0)," ")</f>
        <v>70</v>
      </c>
      <c r="I248" s="100">
        <v>230</v>
      </c>
      <c r="J248" s="100">
        <f>IFERROR(VLOOKUP(Tablo519[[#This Row],[ÜRÜN KODU]],YMKODLARI!$A$1:$K$379,9,0)," ")</f>
        <v>6192</v>
      </c>
      <c r="K248" s="100" t="str">
        <f>IFERROR(VLOOKUP(Tablo519[[#This Row],[BOYA KODU]],Tablo14[#All],4,0)," ")</f>
        <v>YEŞİL</v>
      </c>
      <c r="L248" s="100">
        <f>IFERROR(VLOOKUP(Tablo519[[#This Row],[BOYA KODU]],Tablo14[#All],6,0)," ")</f>
        <v>5.0000000000000001E-3</v>
      </c>
      <c r="M248" s="100">
        <f t="shared" si="25"/>
        <v>192.51</v>
      </c>
      <c r="N248" s="100" t="str">
        <f>IFERROR(VLOOKUP(Tablo519[[#This Row],[ÜRÜN KODU]],YMKODLARI!$A$1:$K$363,8,0)," ")</f>
        <v>HM 009</v>
      </c>
      <c r="O248" s="100" t="str">
        <f>IFERROR(VLOOKUP(Tablo519[[#This Row],[HAMMADDE KODU]],Tablo1[#All],3,0)," ")</f>
        <v>T.P.E.</v>
      </c>
      <c r="P248" s="100" t="str">
        <f>IFERROR(VLOOKUP(Tablo519[[#This Row],[HAMMADDE KODU]],Tablo1[#All],4,0)," ")</f>
        <v>ELASTRON KİMYA</v>
      </c>
      <c r="Q248" s="100">
        <f>IFERROR(VLOOKUP(Tablo519[[#This Row],[ÜRÜN KODU]],YMKODLARI!$A$1:$K$379,5,0)," ")</f>
        <v>167.4</v>
      </c>
      <c r="R248" s="100">
        <f>IFERROR(VLOOKUP(Tablo519[[#This Row],[ÜRÜN KODU]],YMKODLARI!$A$1:$K$379,6,0)," ")</f>
        <v>162.9</v>
      </c>
      <c r="S248" s="100">
        <f>IFERROR(Tablo519[[#This Row],[YOLLUK HARİÇ BASKI GRAMI]]/Tablo519[[#This Row],[KALIP GÖZ ADEDİ]]," ")</f>
        <v>40.725000000000001</v>
      </c>
      <c r="T248" s="100">
        <f t="shared" si="26"/>
        <v>4.5</v>
      </c>
      <c r="U248" s="100">
        <v>9</v>
      </c>
      <c r="V248" s="100">
        <f t="shared" si="31"/>
        <v>46.466999999999999</v>
      </c>
      <c r="W248" s="101">
        <f t="shared" si="27"/>
        <v>24.395833333333332</v>
      </c>
      <c r="X248" s="102">
        <f t="shared" si="28"/>
        <v>9.4999999999999716</v>
      </c>
      <c r="Y248" s="100">
        <f t="shared" si="29"/>
        <v>4.4722222222222223</v>
      </c>
      <c r="Z248" s="100">
        <f t="shared" si="30"/>
        <v>920</v>
      </c>
    </row>
    <row r="249" spans="1:26">
      <c r="A249" s="100" t="s">
        <v>228</v>
      </c>
      <c r="B249" s="108" t="str">
        <f>IFERROR(VLOOKUP(Tablo519[[#This Row],[ÜRÜN KODU]],YMKODLARI!$A$1:$K$379,2,0)," ")</f>
        <v>SAÇ FIRÇASI</v>
      </c>
      <c r="C249" s="99">
        <v>44145</v>
      </c>
      <c r="D249" s="100" t="s">
        <v>27</v>
      </c>
      <c r="E249" s="101"/>
      <c r="F249" s="101"/>
      <c r="G249" s="100">
        <f>IFERROR(VLOOKUP(Tablo519[[#This Row],[ÜRÜN KODU]],YMKODLARI!$A$1:$K$379,3,0)," ")</f>
        <v>2</v>
      </c>
      <c r="H249" s="100">
        <f>IFERROR(VLOOKUP(Tablo519[[#This Row],[ÜRÜN KODU]],YMKODLARI!$A$1:$K$379,4,0)," ")</f>
        <v>39</v>
      </c>
      <c r="I249" s="100">
        <v>259</v>
      </c>
      <c r="J249" s="100">
        <f>IFERROR(VLOOKUP(Tablo519[[#This Row],[ÜRÜN KODU]],YMKODLARI!$A$1:$K$379,9,0)," ")</f>
        <v>5287</v>
      </c>
      <c r="K249" s="100" t="str">
        <f>IFERROR(VLOOKUP(Tablo519[[#This Row],[BOYA KODU]],Tablo14[#All],4,0)," ")</f>
        <v>MAVİ</v>
      </c>
      <c r="L249" s="100">
        <f>IFERROR(VLOOKUP(Tablo519[[#This Row],[BOYA KODU]],Tablo14[#All],6,0)," ")</f>
        <v>5.0000000000000001E-3</v>
      </c>
      <c r="M249" s="100">
        <f t="shared" si="25"/>
        <v>60.476500000000009</v>
      </c>
      <c r="N249" s="100" t="str">
        <f>IFERROR(VLOOKUP(Tablo519[[#This Row],[ÜRÜN KODU]],YMKODLARI!$A$1:$K$363,8,0)," ")</f>
        <v>HM 001</v>
      </c>
      <c r="O249" s="100" t="str">
        <f>IFERROR(VLOOKUP(Tablo519[[#This Row],[HAMMADDE KODU]],Tablo1[#All],3,0)," ")</f>
        <v>CAPILENE</v>
      </c>
      <c r="P249" s="100" t="str">
        <f>IFERROR(VLOOKUP(Tablo519[[#This Row],[HAMMADDE KODU]],Tablo1[#All],4,0)," ")</f>
        <v>PİNHAS</v>
      </c>
      <c r="Q249" s="100">
        <f>IFERROR(VLOOKUP(Tablo519[[#This Row],[ÜRÜN KODU]],YMKODLARI!$A$1:$K$379,5,0)," ")</f>
        <v>46.7</v>
      </c>
      <c r="R249" s="100">
        <f>IFERROR(VLOOKUP(Tablo519[[#This Row],[ÜRÜN KODU]],YMKODLARI!$A$1:$K$379,6,0)," ")</f>
        <v>45.4</v>
      </c>
      <c r="S249" s="100">
        <f>IFERROR(Tablo519[[#This Row],[YOLLUK HARİÇ BASKI GRAMI]]/Tablo519[[#This Row],[KALIP GÖZ ADEDİ]]," ")</f>
        <v>22.7</v>
      </c>
      <c r="T249" s="100">
        <f t="shared" si="26"/>
        <v>1.3000000000000043</v>
      </c>
      <c r="U249" s="100"/>
      <c r="V249" s="100">
        <f t="shared" si="31"/>
        <v>11.758599999999999</v>
      </c>
      <c r="W249" s="101">
        <f>IFERROR(24-(E250-F250)," ")</f>
        <v>24.166666666666668</v>
      </c>
      <c r="X249" s="102">
        <f t="shared" si="28"/>
        <v>4.0000000000000284</v>
      </c>
      <c r="Y249" s="100">
        <f t="shared" si="29"/>
        <v>2.8058333333333332</v>
      </c>
      <c r="Z249" s="100">
        <f t="shared" si="30"/>
        <v>518</v>
      </c>
    </row>
    <row r="250" spans="1:26">
      <c r="A250" s="100" t="s">
        <v>229</v>
      </c>
      <c r="B250" s="108" t="str">
        <f>IFERROR(VLOOKUP(Tablo519[[#This Row],[ÜRÜN KODU]],YMKODLARI!$A$1:$K$379,2,0)," ")</f>
        <v>SAÇ TARAĞI</v>
      </c>
      <c r="C250" s="99">
        <v>44145</v>
      </c>
      <c r="D250" s="100" t="s">
        <v>27</v>
      </c>
      <c r="E250" s="101">
        <v>0.58333333333333337</v>
      </c>
      <c r="F250" s="101">
        <v>0.75</v>
      </c>
      <c r="G250" s="100">
        <f>IFERROR(VLOOKUP(Tablo519[[#This Row],[ÜRÜN KODU]],YMKODLARI!$A$1:$K$379,3,0)," ")</f>
        <v>2</v>
      </c>
      <c r="H250" s="100">
        <f>IFERROR(VLOOKUP(Tablo519[[#This Row],[ÜRÜN KODU]],YMKODLARI!$A$1:$K$379,4,0)," ")</f>
        <v>39</v>
      </c>
      <c r="I250" s="100">
        <v>259</v>
      </c>
      <c r="J250" s="100">
        <f>IFERROR(VLOOKUP(Tablo519[[#This Row],[ÜRÜN KODU]],YMKODLARI!$A$1:$K$379,9,0)," ")</f>
        <v>5287</v>
      </c>
      <c r="K250" s="100" t="str">
        <f>IFERROR(VLOOKUP(Tablo519[[#This Row],[BOYA KODU]],Tablo14[#All],4,0)," ")</f>
        <v>MAVİ</v>
      </c>
      <c r="L250" s="100">
        <f>IFERROR(VLOOKUP(Tablo519[[#This Row],[BOYA KODU]],Tablo14[#All],6,0)," ")</f>
        <v>5.0000000000000001E-3</v>
      </c>
      <c r="M250" s="100">
        <f t="shared" si="25"/>
        <v>18.259499999999999</v>
      </c>
      <c r="N250" s="100" t="str">
        <f>IFERROR(VLOOKUP(Tablo519[[#This Row],[ÜRÜN KODU]],YMKODLARI!$A$1:$K$363,8,0)," ")</f>
        <v>HM 001</v>
      </c>
      <c r="O250" s="100" t="str">
        <f>IFERROR(VLOOKUP(Tablo519[[#This Row],[HAMMADDE KODU]],Tablo1[#All],3,0)," ")</f>
        <v>CAPILENE</v>
      </c>
      <c r="P250" s="100" t="str">
        <f>IFERROR(VLOOKUP(Tablo519[[#This Row],[HAMMADDE KODU]],Tablo1[#All],4,0)," ")</f>
        <v>PİNHAS</v>
      </c>
      <c r="Q250" s="100">
        <f>IFERROR(VLOOKUP(Tablo519[[#This Row],[ÜRÜN KODU]],YMKODLARI!$A$1:$K$379,5,0)," ")</f>
        <v>14.1</v>
      </c>
      <c r="R250" s="100">
        <f>IFERROR(VLOOKUP(Tablo519[[#This Row],[ÜRÜN KODU]],YMKODLARI!$A$1:$K$379,6,0)," ")</f>
        <v>14.1</v>
      </c>
      <c r="S250" s="100">
        <f>IFERROR(Tablo519[[#This Row],[YOLLUK HARİÇ BASKI GRAMI]]/Tablo519[[#This Row],[KALIP GÖZ ADEDİ]]," ")</f>
        <v>7.05</v>
      </c>
      <c r="T250" s="100">
        <f t="shared" si="26"/>
        <v>0</v>
      </c>
      <c r="U250" s="100">
        <v>1.1000000000000001</v>
      </c>
      <c r="V250" s="100">
        <f t="shared" si="31"/>
        <v>4.7519</v>
      </c>
      <c r="W250" s="101">
        <f>IFERROR(24-(E252-F252)," ")</f>
        <v>24.416666666666668</v>
      </c>
      <c r="X250" s="102">
        <f t="shared" si="28"/>
        <v>10.000000000000028</v>
      </c>
      <c r="Y250" s="100">
        <f t="shared" si="29"/>
        <v>2.8058333333333332</v>
      </c>
      <c r="Z250" s="100">
        <f t="shared" si="30"/>
        <v>518</v>
      </c>
    </row>
    <row r="251" spans="1:26">
      <c r="A251" s="100" t="s">
        <v>228</v>
      </c>
      <c r="B251" s="108" t="str">
        <f>IFERROR(VLOOKUP(Tablo519[[#This Row],[ÜRÜN KODU]],YMKODLARI!$A$1:$K$379,2,0)," ")</f>
        <v>SAÇ FIRÇASI</v>
      </c>
      <c r="C251" s="99">
        <v>44146</v>
      </c>
      <c r="D251" s="100" t="s">
        <v>47</v>
      </c>
      <c r="E251" s="101"/>
      <c r="F251" s="101"/>
      <c r="G251" s="100">
        <f>IFERROR(VLOOKUP(Tablo519[[#This Row],[ÜRÜN KODU]],YMKODLARI!$A$1:$K$379,3,0)," ")</f>
        <v>2</v>
      </c>
      <c r="H251" s="100">
        <f>IFERROR(VLOOKUP(Tablo519[[#This Row],[ÜRÜN KODU]],YMKODLARI!$A$1:$K$379,4,0)," ")</f>
        <v>39</v>
      </c>
      <c r="I251" s="100">
        <v>626</v>
      </c>
      <c r="J251" s="100">
        <f>IFERROR(VLOOKUP(Tablo519[[#This Row],[ÜRÜN KODU]],YMKODLARI!$A$1:$K$379,9,0)," ")</f>
        <v>5287</v>
      </c>
      <c r="K251" s="100" t="str">
        <f>IFERROR(VLOOKUP(Tablo519[[#This Row],[BOYA KODU]],Tablo14[#All],4,0)," ")</f>
        <v>MAVİ</v>
      </c>
      <c r="L251" s="100">
        <f>IFERROR(VLOOKUP(Tablo519[[#This Row],[BOYA KODU]],Tablo14[#All],6,0)," ")</f>
        <v>5.0000000000000001E-3</v>
      </c>
      <c r="M251" s="100">
        <f t="shared" si="25"/>
        <v>146.17100000000002</v>
      </c>
      <c r="N251" s="100" t="str">
        <f>IFERROR(VLOOKUP(Tablo519[[#This Row],[ÜRÜN KODU]],YMKODLARI!$A$1:$K$363,8,0)," ")</f>
        <v>HM 001</v>
      </c>
      <c r="O251" s="100" t="str">
        <f>IFERROR(VLOOKUP(Tablo519[[#This Row],[HAMMADDE KODU]],Tablo1[#All],3,0)," ")</f>
        <v>CAPILENE</v>
      </c>
      <c r="P251" s="100" t="str">
        <f>IFERROR(VLOOKUP(Tablo519[[#This Row],[HAMMADDE KODU]],Tablo1[#All],4,0)," ")</f>
        <v>PİNHAS</v>
      </c>
      <c r="Q251" s="100">
        <f>IFERROR(VLOOKUP(Tablo519[[#This Row],[ÜRÜN KODU]],YMKODLARI!$A$1:$K$379,5,0)," ")</f>
        <v>46.7</v>
      </c>
      <c r="R251" s="100">
        <f>IFERROR(VLOOKUP(Tablo519[[#This Row],[ÜRÜN KODU]],YMKODLARI!$A$1:$K$379,6,0)," ")</f>
        <v>45.4</v>
      </c>
      <c r="S251" s="100">
        <f>IFERROR(Tablo519[[#This Row],[YOLLUK HARİÇ BASKI GRAMI]]/Tablo519[[#This Row],[KALIP GÖZ ADEDİ]]," ")</f>
        <v>22.7</v>
      </c>
      <c r="T251" s="100">
        <f t="shared" si="26"/>
        <v>1.3000000000000043</v>
      </c>
      <c r="U251" s="100"/>
      <c r="V251" s="100">
        <f t="shared" si="31"/>
        <v>28.420399999999997</v>
      </c>
      <c r="W251" s="101">
        <f t="shared" si="27"/>
        <v>24</v>
      </c>
      <c r="X251" s="102">
        <f t="shared" si="28"/>
        <v>0</v>
      </c>
      <c r="Y251" s="100">
        <f t="shared" si="29"/>
        <v>6.7816666666666663</v>
      </c>
      <c r="Z251" s="100">
        <f t="shared" si="30"/>
        <v>1252</v>
      </c>
    </row>
    <row r="252" spans="1:26">
      <c r="A252" s="100" t="s">
        <v>229</v>
      </c>
      <c r="B252" s="108" t="str">
        <f>IFERROR(VLOOKUP(Tablo519[[#This Row],[ÜRÜN KODU]],YMKODLARI!$A$1:$K$379,2,0)," ")</f>
        <v>SAÇ TARAĞI</v>
      </c>
      <c r="C252" s="99">
        <v>44146</v>
      </c>
      <c r="D252" s="100" t="s">
        <v>47</v>
      </c>
      <c r="E252" s="101">
        <v>0.33333333333333331</v>
      </c>
      <c r="F252" s="101">
        <v>0.75</v>
      </c>
      <c r="G252" s="100">
        <f>IFERROR(VLOOKUP(Tablo519[[#This Row],[ÜRÜN KODU]],YMKODLARI!$A$1:$K$379,3,0)," ")</f>
        <v>2</v>
      </c>
      <c r="H252" s="100">
        <f>IFERROR(VLOOKUP(Tablo519[[#This Row],[ÜRÜN KODU]],YMKODLARI!$A$1:$K$379,4,0)," ")</f>
        <v>39</v>
      </c>
      <c r="I252" s="100">
        <v>626</v>
      </c>
      <c r="J252" s="100">
        <f>IFERROR(VLOOKUP(Tablo519[[#This Row],[ÜRÜN KODU]],YMKODLARI!$A$1:$K$379,9,0)," ")</f>
        <v>5287</v>
      </c>
      <c r="K252" s="100" t="str">
        <f>IFERROR(VLOOKUP(Tablo519[[#This Row],[BOYA KODU]],Tablo14[#All],4,0)," ")</f>
        <v>MAVİ</v>
      </c>
      <c r="L252" s="100">
        <f>IFERROR(VLOOKUP(Tablo519[[#This Row],[BOYA KODU]],Tablo14[#All],6,0)," ")</f>
        <v>5.0000000000000001E-3</v>
      </c>
      <c r="M252" s="100">
        <f t="shared" si="25"/>
        <v>44.133000000000003</v>
      </c>
      <c r="N252" s="100" t="str">
        <f>IFERROR(VLOOKUP(Tablo519[[#This Row],[ÜRÜN KODU]],YMKODLARI!$A$1:$K$363,8,0)," ")</f>
        <v>HM 001</v>
      </c>
      <c r="O252" s="100" t="str">
        <f>IFERROR(VLOOKUP(Tablo519[[#This Row],[HAMMADDE KODU]],Tablo1[#All],3,0)," ")</f>
        <v>CAPILENE</v>
      </c>
      <c r="P252" s="100" t="str">
        <f>IFERROR(VLOOKUP(Tablo519[[#This Row],[HAMMADDE KODU]],Tablo1[#All],4,0)," ")</f>
        <v>PİNHAS</v>
      </c>
      <c r="Q252" s="100">
        <f>IFERROR(VLOOKUP(Tablo519[[#This Row],[ÜRÜN KODU]],YMKODLARI!$A$1:$K$379,5,0)," ")</f>
        <v>14.1</v>
      </c>
      <c r="R252" s="100">
        <f>IFERROR(VLOOKUP(Tablo519[[#This Row],[ÜRÜN KODU]],YMKODLARI!$A$1:$K$379,6,0)," ")</f>
        <v>14.1</v>
      </c>
      <c r="S252" s="100">
        <f>IFERROR(Tablo519[[#This Row],[YOLLUK HARİÇ BASKI GRAMI]]/Tablo519[[#This Row],[KALIP GÖZ ADEDİ]]," ")</f>
        <v>7.05</v>
      </c>
      <c r="T252" s="100">
        <f t="shared" si="26"/>
        <v>0</v>
      </c>
      <c r="U252" s="100">
        <v>8.1999999999999993</v>
      </c>
      <c r="V252" s="100">
        <f t="shared" si="31"/>
        <v>17.026600000000002</v>
      </c>
      <c r="W252" s="101" t="str">
        <f>IFERROR(24-(#REF!-#REF!)," ")</f>
        <v xml:space="preserve"> </v>
      </c>
      <c r="X252" s="102" t="str">
        <f t="shared" si="28"/>
        <v xml:space="preserve"> </v>
      </c>
      <c r="Y252" s="100">
        <f t="shared" si="29"/>
        <v>6.7816666666666663</v>
      </c>
      <c r="Z252" s="100">
        <f t="shared" si="30"/>
        <v>1252</v>
      </c>
    </row>
    <row r="253" spans="1:26">
      <c r="A253" s="100" t="s">
        <v>228</v>
      </c>
      <c r="B253" s="108" t="str">
        <f>IFERROR(VLOOKUP(Tablo519[[#This Row],[ÜRÜN KODU]],YMKODLARI!$A$1:$K$379,2,0)," ")</f>
        <v>SAÇ FIRÇASI</v>
      </c>
      <c r="C253" s="99">
        <v>44147</v>
      </c>
      <c r="D253" s="100"/>
      <c r="E253" s="101"/>
      <c r="F253" s="101"/>
      <c r="G253" s="100">
        <f>IFERROR(VLOOKUP(Tablo519[[#This Row],[ÜRÜN KODU]],YMKODLARI!$A$1:$K$379,3,0)," ")</f>
        <v>2</v>
      </c>
      <c r="H253" s="100">
        <f>IFERROR(VLOOKUP(Tablo519[[#This Row],[ÜRÜN KODU]],YMKODLARI!$A$1:$K$379,4,0)," ")</f>
        <v>39</v>
      </c>
      <c r="I253" s="100">
        <v>470</v>
      </c>
      <c r="J253" s="100">
        <f>IFERROR(VLOOKUP(Tablo519[[#This Row],[ÜRÜN KODU]],YMKODLARI!$A$1:$K$379,9,0)," ")</f>
        <v>5287</v>
      </c>
      <c r="K253" s="100" t="str">
        <f>IFERROR(VLOOKUP(Tablo519[[#This Row],[BOYA KODU]],Tablo14[#All],4,0)," ")</f>
        <v>MAVİ</v>
      </c>
      <c r="L253" s="100">
        <f>IFERROR(VLOOKUP(Tablo519[[#This Row],[BOYA KODU]],Tablo14[#All],6,0)," ")</f>
        <v>5.0000000000000001E-3</v>
      </c>
      <c r="M253" s="100">
        <f t="shared" si="25"/>
        <v>109.745</v>
      </c>
      <c r="N253" s="100" t="str">
        <f>IFERROR(VLOOKUP(Tablo519[[#This Row],[ÜRÜN KODU]],YMKODLARI!$A$1:$K$363,8,0)," ")</f>
        <v>HM 001</v>
      </c>
      <c r="O253" s="100" t="str">
        <f>IFERROR(VLOOKUP(Tablo519[[#This Row],[HAMMADDE KODU]],Tablo1[#All],3,0)," ")</f>
        <v>CAPILENE</v>
      </c>
      <c r="P253" s="100" t="str">
        <f>IFERROR(VLOOKUP(Tablo519[[#This Row],[HAMMADDE KODU]],Tablo1[#All],4,0)," ")</f>
        <v>PİNHAS</v>
      </c>
      <c r="Q253" s="100">
        <f>IFERROR(VLOOKUP(Tablo519[[#This Row],[ÜRÜN KODU]],YMKODLARI!$A$1:$K$379,5,0)," ")</f>
        <v>46.7</v>
      </c>
      <c r="R253" s="100">
        <f>IFERROR(VLOOKUP(Tablo519[[#This Row],[ÜRÜN KODU]],YMKODLARI!$A$1:$K$379,6,0)," ")</f>
        <v>45.4</v>
      </c>
      <c r="S253" s="100">
        <f>IFERROR(Tablo519[[#This Row],[YOLLUK HARİÇ BASKI GRAMI]]/Tablo519[[#This Row],[KALIP GÖZ ADEDİ]]," ")</f>
        <v>22.7</v>
      </c>
      <c r="T253" s="100">
        <f t="shared" si="26"/>
        <v>1.3000000000000043</v>
      </c>
      <c r="U253" s="100"/>
      <c r="V253" s="100">
        <f t="shared" si="31"/>
        <v>21.338000000000001</v>
      </c>
      <c r="W253" s="101">
        <f t="shared" si="27"/>
        <v>24</v>
      </c>
      <c r="X253" s="102">
        <f t="shared" si="28"/>
        <v>0</v>
      </c>
      <c r="Y253" s="100">
        <f t="shared" si="29"/>
        <v>5.0916666666666668</v>
      </c>
      <c r="Z253" s="100">
        <f t="shared" si="30"/>
        <v>940</v>
      </c>
    </row>
    <row r="254" spans="1:26">
      <c r="A254" s="100" t="s">
        <v>229</v>
      </c>
      <c r="B254" s="108" t="str">
        <f>IFERROR(VLOOKUP(Tablo519[[#This Row],[ÜRÜN KODU]],YMKODLARI!$A$1:$K$379,2,0)," ")</f>
        <v>SAÇ TARAĞI</v>
      </c>
      <c r="C254" s="99">
        <v>44147</v>
      </c>
      <c r="D254" s="100" t="s">
        <v>47</v>
      </c>
      <c r="E254" s="101"/>
      <c r="F254" s="101"/>
      <c r="G254" s="100">
        <f>IFERROR(VLOOKUP(Tablo519[[#This Row],[ÜRÜN KODU]],YMKODLARI!$A$1:$K$379,3,0)," ")</f>
        <v>2</v>
      </c>
      <c r="H254" s="100">
        <f>IFERROR(VLOOKUP(Tablo519[[#This Row],[ÜRÜN KODU]],YMKODLARI!$A$1:$K$379,4,0)," ")</f>
        <v>39</v>
      </c>
      <c r="I254" s="100">
        <v>470</v>
      </c>
      <c r="J254" s="100">
        <f>IFERROR(VLOOKUP(Tablo519[[#This Row],[ÜRÜN KODU]],YMKODLARI!$A$1:$K$379,9,0)," ")</f>
        <v>5287</v>
      </c>
      <c r="K254" s="100" t="str">
        <f>IFERROR(VLOOKUP(Tablo519[[#This Row],[BOYA KODU]],Tablo14[#All],4,0)," ")</f>
        <v>MAVİ</v>
      </c>
      <c r="L254" s="100">
        <f>IFERROR(VLOOKUP(Tablo519[[#This Row],[BOYA KODU]],Tablo14[#All],6,0)," ")</f>
        <v>5.0000000000000001E-3</v>
      </c>
      <c r="M254" s="100">
        <f t="shared" si="25"/>
        <v>33.134999999999998</v>
      </c>
      <c r="N254" s="100" t="str">
        <f>IFERROR(VLOOKUP(Tablo519[[#This Row],[ÜRÜN KODU]],YMKODLARI!$A$1:$K$363,8,0)," ")</f>
        <v>HM 001</v>
      </c>
      <c r="O254" s="100" t="str">
        <f>IFERROR(VLOOKUP(Tablo519[[#This Row],[HAMMADDE KODU]],Tablo1[#All],3,0)," ")</f>
        <v>CAPILENE</v>
      </c>
      <c r="P254" s="100" t="str">
        <f>IFERROR(VLOOKUP(Tablo519[[#This Row],[HAMMADDE KODU]],Tablo1[#All],4,0)," ")</f>
        <v>PİNHAS</v>
      </c>
      <c r="Q254" s="100">
        <f>IFERROR(VLOOKUP(Tablo519[[#This Row],[ÜRÜN KODU]],YMKODLARI!$A$1:$K$379,5,0)," ")</f>
        <v>14.1</v>
      </c>
      <c r="R254" s="100">
        <f>IFERROR(VLOOKUP(Tablo519[[#This Row],[ÜRÜN KODU]],YMKODLARI!$A$1:$K$379,6,0)," ")</f>
        <v>14.1</v>
      </c>
      <c r="S254" s="100">
        <f>IFERROR(Tablo519[[#This Row],[YOLLUK HARİÇ BASKI GRAMI]]/Tablo519[[#This Row],[KALIP GÖZ ADEDİ]]," ")</f>
        <v>7.05</v>
      </c>
      <c r="T254" s="100">
        <f t="shared" si="26"/>
        <v>0</v>
      </c>
      <c r="U254" s="100">
        <v>12</v>
      </c>
      <c r="V254" s="100">
        <f t="shared" si="31"/>
        <v>18.626999999999999</v>
      </c>
      <c r="W254" s="101">
        <f t="shared" si="27"/>
        <v>24</v>
      </c>
      <c r="X254" s="102">
        <f t="shared" si="28"/>
        <v>0</v>
      </c>
      <c r="Y254" s="100">
        <f t="shared" si="29"/>
        <v>5.0916666666666668</v>
      </c>
      <c r="Z254" s="100">
        <f t="shared" si="30"/>
        <v>940</v>
      </c>
    </row>
    <row r="255" spans="1:26">
      <c r="A255" s="100" t="s">
        <v>226</v>
      </c>
      <c r="B255" s="108" t="str">
        <f>IFERROR(VLOOKUP(Tablo519[[#This Row],[ÜRÜN KODU]],YMKODLARI!$A$1:$K$379,2,0)," ")</f>
        <v>SAÇ FIRÇASI</v>
      </c>
      <c r="C255" s="99">
        <v>44147</v>
      </c>
      <c r="D255" s="100"/>
      <c r="E255" s="101"/>
      <c r="F255" s="101"/>
      <c r="G255" s="100">
        <f>IFERROR(VLOOKUP(Tablo519[[#This Row],[ÜRÜN KODU]],YMKODLARI!$A$1:$K$379,3,0)," ")</f>
        <v>2</v>
      </c>
      <c r="H255" s="100">
        <f>IFERROR(VLOOKUP(Tablo519[[#This Row],[ÜRÜN KODU]],YMKODLARI!$A$1:$K$379,4,0)," ")</f>
        <v>39</v>
      </c>
      <c r="I255" s="100">
        <v>114</v>
      </c>
      <c r="J255" s="100">
        <f>IFERROR(VLOOKUP(Tablo519[[#This Row],[ÜRÜN KODU]],YMKODLARI!$A$1:$K$379,9,0)," ")</f>
        <v>3409</v>
      </c>
      <c r="K255" s="100" t="str">
        <f>IFERROR(VLOOKUP(Tablo519[[#This Row],[BOYA KODU]],Tablo14[#All],4,0)," ")</f>
        <v>PEMBE</v>
      </c>
      <c r="L255" s="100">
        <f>IFERROR(VLOOKUP(Tablo519[[#This Row],[BOYA KODU]],Tablo14[#All],6,0)," ")</f>
        <v>5.0000000000000001E-3</v>
      </c>
      <c r="M255" s="100">
        <f t="shared" si="25"/>
        <v>26.619</v>
      </c>
      <c r="N255" s="100" t="str">
        <f>IFERROR(VLOOKUP(Tablo519[[#This Row],[ÜRÜN KODU]],YMKODLARI!$A$1:$K$363,8,0)," ")</f>
        <v>HM 001</v>
      </c>
      <c r="O255" s="100" t="str">
        <f>IFERROR(VLOOKUP(Tablo519[[#This Row],[HAMMADDE KODU]],Tablo1[#All],3,0)," ")</f>
        <v>CAPILENE</v>
      </c>
      <c r="P255" s="100" t="str">
        <f>IFERROR(VLOOKUP(Tablo519[[#This Row],[HAMMADDE KODU]],Tablo1[#All],4,0)," ")</f>
        <v>PİNHAS</v>
      </c>
      <c r="Q255" s="100">
        <f>IFERROR(VLOOKUP(Tablo519[[#This Row],[ÜRÜN KODU]],YMKODLARI!$A$1:$K$379,5,0)," ")</f>
        <v>46.7</v>
      </c>
      <c r="R255" s="100">
        <f>IFERROR(VLOOKUP(Tablo519[[#This Row],[ÜRÜN KODU]],YMKODLARI!$A$1:$K$379,6,0)," ")</f>
        <v>45.4</v>
      </c>
      <c r="S255" s="100">
        <f>IFERROR(Tablo519[[#This Row],[YOLLUK HARİÇ BASKI GRAMI]]/Tablo519[[#This Row],[KALIP GÖZ ADEDİ]]," ")</f>
        <v>22.7</v>
      </c>
      <c r="T255" s="100">
        <f t="shared" si="26"/>
        <v>1.3000000000000043</v>
      </c>
      <c r="U255" s="100"/>
      <c r="V255" s="100">
        <f t="shared" si="31"/>
        <v>5.1755999999999993</v>
      </c>
      <c r="W255" s="101">
        <f t="shared" si="27"/>
        <v>24</v>
      </c>
      <c r="X255" s="102">
        <f t="shared" si="28"/>
        <v>0</v>
      </c>
      <c r="Y255" s="100">
        <f t="shared" si="29"/>
        <v>1.2350000000000001</v>
      </c>
      <c r="Z255" s="100">
        <f t="shared" si="30"/>
        <v>228</v>
      </c>
    </row>
    <row r="256" spans="1:26">
      <c r="A256" s="100" t="s">
        <v>227</v>
      </c>
      <c r="B256" s="108" t="str">
        <f>IFERROR(VLOOKUP(Tablo519[[#This Row],[ÜRÜN KODU]],YMKODLARI!$A$1:$K$379,2,0)," ")</f>
        <v>SAÇ TARAĞI</v>
      </c>
      <c r="C256" s="99">
        <v>44147</v>
      </c>
      <c r="D256" s="100" t="s">
        <v>47</v>
      </c>
      <c r="E256" s="101"/>
      <c r="F256" s="101"/>
      <c r="G256" s="100">
        <f>IFERROR(VLOOKUP(Tablo519[[#This Row],[ÜRÜN KODU]],YMKODLARI!$A$1:$K$379,3,0)," ")</f>
        <v>2</v>
      </c>
      <c r="H256" s="100">
        <f>IFERROR(VLOOKUP(Tablo519[[#This Row],[ÜRÜN KODU]],YMKODLARI!$A$1:$K$379,4,0)," ")</f>
        <v>39</v>
      </c>
      <c r="I256" s="100">
        <v>114</v>
      </c>
      <c r="J256" s="100">
        <f>IFERROR(VLOOKUP(Tablo519[[#This Row],[ÜRÜN KODU]],YMKODLARI!$A$1:$K$379,9,0)," ")</f>
        <v>3409</v>
      </c>
      <c r="K256" s="100" t="str">
        <f>IFERROR(VLOOKUP(Tablo519[[#This Row],[BOYA KODU]],Tablo14[#All],4,0)," ")</f>
        <v>PEMBE</v>
      </c>
      <c r="L256" s="100">
        <f>IFERROR(VLOOKUP(Tablo519[[#This Row],[BOYA KODU]],Tablo14[#All],6,0)," ")</f>
        <v>5.0000000000000001E-3</v>
      </c>
      <c r="M256" s="100">
        <f t="shared" si="25"/>
        <v>8.036999999999999</v>
      </c>
      <c r="N256" s="100" t="str">
        <f>IFERROR(VLOOKUP(Tablo519[[#This Row],[ÜRÜN KODU]],YMKODLARI!$A$1:$K$363,8,0)," ")</f>
        <v>HM 001</v>
      </c>
      <c r="O256" s="100" t="str">
        <f>IFERROR(VLOOKUP(Tablo519[[#This Row],[HAMMADDE KODU]],Tablo1[#All],3,0)," ")</f>
        <v>CAPILENE</v>
      </c>
      <c r="P256" s="100" t="str">
        <f>IFERROR(VLOOKUP(Tablo519[[#This Row],[HAMMADDE KODU]],Tablo1[#All],4,0)," ")</f>
        <v>PİNHAS</v>
      </c>
      <c r="Q256" s="100">
        <f>IFERROR(VLOOKUP(Tablo519[[#This Row],[ÜRÜN KODU]],YMKODLARI!$A$1:$K$379,5,0)," ")</f>
        <v>14.1</v>
      </c>
      <c r="R256" s="100">
        <f>IFERROR(VLOOKUP(Tablo519[[#This Row],[ÜRÜN KODU]],YMKODLARI!$A$1:$K$379,6,0)," ")</f>
        <v>14.1</v>
      </c>
      <c r="S256" s="100">
        <f>IFERROR(Tablo519[[#This Row],[YOLLUK HARİÇ BASKI GRAMI]]/Tablo519[[#This Row],[KALIP GÖZ ADEDİ]]," ")</f>
        <v>7.05</v>
      </c>
      <c r="T256" s="100">
        <f t="shared" si="26"/>
        <v>0</v>
      </c>
      <c r="U256" s="100">
        <v>4.5999999999999996</v>
      </c>
      <c r="V256" s="100">
        <f t="shared" si="31"/>
        <v>6.2073999999999998</v>
      </c>
      <c r="W256" s="101">
        <f t="shared" si="27"/>
        <v>24</v>
      </c>
      <c r="X256" s="102">
        <f t="shared" si="28"/>
        <v>0</v>
      </c>
      <c r="Y256" s="100">
        <f t="shared" si="29"/>
        <v>1.2350000000000001</v>
      </c>
      <c r="Z256" s="100">
        <f t="shared" si="30"/>
        <v>228</v>
      </c>
    </row>
    <row r="257" spans="1:26">
      <c r="A257" s="100" t="s">
        <v>226</v>
      </c>
      <c r="B257" s="108" t="str">
        <f>IFERROR(VLOOKUP(Tablo519[[#This Row],[ÜRÜN KODU]],YMKODLARI!$A$1:$K$379,2,0)," ")</f>
        <v>SAÇ FIRÇASI</v>
      </c>
      <c r="C257" s="99">
        <v>44148</v>
      </c>
      <c r="D257" s="100"/>
      <c r="E257" s="101"/>
      <c r="F257" s="101"/>
      <c r="G257" s="100">
        <f>IFERROR(VLOOKUP(Tablo519[[#This Row],[ÜRÜN KODU]],YMKODLARI!$A$1:$K$379,3,0)," ")</f>
        <v>2</v>
      </c>
      <c r="H257" s="100">
        <f>IFERROR(VLOOKUP(Tablo519[[#This Row],[ÜRÜN KODU]],YMKODLARI!$A$1:$K$379,4,0)," ")</f>
        <v>39</v>
      </c>
      <c r="I257" s="100">
        <v>391</v>
      </c>
      <c r="J257" s="100">
        <f>IFERROR(VLOOKUP(Tablo519[[#This Row],[ÜRÜN KODU]],YMKODLARI!$A$1:$K$379,9,0)," ")</f>
        <v>3409</v>
      </c>
      <c r="K257" s="100" t="str">
        <f>IFERROR(VLOOKUP(Tablo519[[#This Row],[BOYA KODU]],Tablo14[#All],4,0)," ")</f>
        <v>PEMBE</v>
      </c>
      <c r="L257" s="100">
        <f>IFERROR(VLOOKUP(Tablo519[[#This Row],[BOYA KODU]],Tablo14[#All],6,0)," ")</f>
        <v>5.0000000000000001E-3</v>
      </c>
      <c r="M257" s="100">
        <f t="shared" si="25"/>
        <v>91.298500000000004</v>
      </c>
      <c r="N257" s="100" t="str">
        <f>IFERROR(VLOOKUP(Tablo519[[#This Row],[ÜRÜN KODU]],YMKODLARI!$A$1:$K$363,8,0)," ")</f>
        <v>HM 001</v>
      </c>
      <c r="O257" s="100" t="str">
        <f>IFERROR(VLOOKUP(Tablo519[[#This Row],[HAMMADDE KODU]],Tablo1[#All],3,0)," ")</f>
        <v>CAPILENE</v>
      </c>
      <c r="P257" s="100" t="str">
        <f>IFERROR(VLOOKUP(Tablo519[[#This Row],[HAMMADDE KODU]],Tablo1[#All],4,0)," ")</f>
        <v>PİNHAS</v>
      </c>
      <c r="Q257" s="100">
        <f>IFERROR(VLOOKUP(Tablo519[[#This Row],[ÜRÜN KODU]],YMKODLARI!$A$1:$K$379,5,0)," ")</f>
        <v>46.7</v>
      </c>
      <c r="R257" s="100">
        <f>IFERROR(VLOOKUP(Tablo519[[#This Row],[ÜRÜN KODU]],YMKODLARI!$A$1:$K$379,6,0)," ")</f>
        <v>45.4</v>
      </c>
      <c r="S257" s="100">
        <f>IFERROR(Tablo519[[#This Row],[YOLLUK HARİÇ BASKI GRAMI]]/Tablo519[[#This Row],[KALIP GÖZ ADEDİ]]," ")</f>
        <v>22.7</v>
      </c>
      <c r="T257" s="100">
        <f t="shared" si="26"/>
        <v>1.3000000000000043</v>
      </c>
      <c r="U257" s="100"/>
      <c r="V257" s="100">
        <f t="shared" si="31"/>
        <v>17.751399999999997</v>
      </c>
      <c r="W257" s="101">
        <f t="shared" si="27"/>
        <v>24</v>
      </c>
      <c r="X257" s="102">
        <f t="shared" si="28"/>
        <v>0</v>
      </c>
      <c r="Y257" s="100">
        <f t="shared" si="29"/>
        <v>4.2358333333333329</v>
      </c>
      <c r="Z257" s="100">
        <f t="shared" si="30"/>
        <v>782</v>
      </c>
    </row>
    <row r="258" spans="1:26">
      <c r="A258" s="100" t="s">
        <v>227</v>
      </c>
      <c r="B258" s="108" t="str">
        <f>IFERROR(VLOOKUP(Tablo519[[#This Row],[ÜRÜN KODU]],YMKODLARI!$A$1:$K$379,2,0)," ")</f>
        <v>SAÇ TARAĞI</v>
      </c>
      <c r="C258" s="99">
        <v>44148</v>
      </c>
      <c r="D258" s="100" t="s">
        <v>47</v>
      </c>
      <c r="E258" s="101"/>
      <c r="F258" s="101"/>
      <c r="G258" s="100">
        <f>IFERROR(VLOOKUP(Tablo519[[#This Row],[ÜRÜN KODU]],YMKODLARI!$A$1:$K$379,3,0)," ")</f>
        <v>2</v>
      </c>
      <c r="H258" s="100">
        <f>IFERROR(VLOOKUP(Tablo519[[#This Row],[ÜRÜN KODU]],YMKODLARI!$A$1:$K$379,4,0)," ")</f>
        <v>39</v>
      </c>
      <c r="I258" s="100">
        <v>391</v>
      </c>
      <c r="J258" s="100">
        <f>IFERROR(VLOOKUP(Tablo519[[#This Row],[ÜRÜN KODU]],YMKODLARI!$A$1:$K$379,9,0)," ")</f>
        <v>3409</v>
      </c>
      <c r="K258" s="100" t="str">
        <f>IFERROR(VLOOKUP(Tablo519[[#This Row],[BOYA KODU]],Tablo14[#All],4,0)," ")</f>
        <v>PEMBE</v>
      </c>
      <c r="L258" s="100">
        <f>IFERROR(VLOOKUP(Tablo519[[#This Row],[BOYA KODU]],Tablo14[#All],6,0)," ")</f>
        <v>5.0000000000000001E-3</v>
      </c>
      <c r="M258" s="100">
        <f t="shared" ref="M258:M321" si="32">IFERROR((I258*Q258)*L258," ")</f>
        <v>27.565499999999997</v>
      </c>
      <c r="N258" s="100" t="str">
        <f>IFERROR(VLOOKUP(Tablo519[[#This Row],[ÜRÜN KODU]],YMKODLARI!$A$1:$K$363,8,0)," ")</f>
        <v>HM 001</v>
      </c>
      <c r="O258" s="100" t="str">
        <f>IFERROR(VLOOKUP(Tablo519[[#This Row],[HAMMADDE KODU]],Tablo1[#All],3,0)," ")</f>
        <v>CAPILENE</v>
      </c>
      <c r="P258" s="100" t="str">
        <f>IFERROR(VLOOKUP(Tablo519[[#This Row],[HAMMADDE KODU]],Tablo1[#All],4,0)," ")</f>
        <v>PİNHAS</v>
      </c>
      <c r="Q258" s="100">
        <f>IFERROR(VLOOKUP(Tablo519[[#This Row],[ÜRÜN KODU]],YMKODLARI!$A$1:$K$379,5,0)," ")</f>
        <v>14.1</v>
      </c>
      <c r="R258" s="100">
        <f>IFERROR(VLOOKUP(Tablo519[[#This Row],[ÜRÜN KODU]],YMKODLARI!$A$1:$K$379,6,0)," ")</f>
        <v>14.1</v>
      </c>
      <c r="S258" s="100">
        <f>IFERROR(Tablo519[[#This Row],[YOLLUK HARİÇ BASKI GRAMI]]/Tablo519[[#This Row],[KALIP GÖZ ADEDİ]]," ")</f>
        <v>7.05</v>
      </c>
      <c r="T258" s="100">
        <f t="shared" si="26"/>
        <v>0</v>
      </c>
      <c r="U258" s="100">
        <v>12</v>
      </c>
      <c r="V258" s="100">
        <f t="shared" si="31"/>
        <v>17.513100000000001</v>
      </c>
      <c r="W258" s="101">
        <f t="shared" si="27"/>
        <v>24</v>
      </c>
      <c r="X258" s="102">
        <f t="shared" si="28"/>
        <v>0</v>
      </c>
      <c r="Y258" s="100">
        <f t="shared" si="29"/>
        <v>4.2358333333333329</v>
      </c>
      <c r="Z258" s="100">
        <f t="shared" si="30"/>
        <v>782</v>
      </c>
    </row>
    <row r="259" spans="1:26">
      <c r="A259" s="100" t="s">
        <v>226</v>
      </c>
      <c r="B259" s="108" t="str">
        <f>IFERROR(VLOOKUP(Tablo519[[#This Row],[ÜRÜN KODU]],YMKODLARI!$A$1:$K$379,2,0)," ")</f>
        <v>SAÇ FIRÇASI</v>
      </c>
      <c r="C259" s="99">
        <v>44151</v>
      </c>
      <c r="D259" s="100"/>
      <c r="E259" s="101"/>
      <c r="F259" s="101"/>
      <c r="G259" s="100">
        <f>IFERROR(VLOOKUP(Tablo519[[#This Row],[ÜRÜN KODU]],YMKODLARI!$A$1:$K$379,3,0)," ")</f>
        <v>2</v>
      </c>
      <c r="H259" s="100">
        <f>IFERROR(VLOOKUP(Tablo519[[#This Row],[ÜRÜN KODU]],YMKODLARI!$A$1:$K$379,4,0)," ")</f>
        <v>39</v>
      </c>
      <c r="I259" s="100">
        <v>597</v>
      </c>
      <c r="J259" s="100">
        <f>IFERROR(VLOOKUP(Tablo519[[#This Row],[ÜRÜN KODU]],YMKODLARI!$A$1:$K$379,9,0)," ")</f>
        <v>3409</v>
      </c>
      <c r="K259" s="100" t="str">
        <f>IFERROR(VLOOKUP(Tablo519[[#This Row],[BOYA KODU]],Tablo14[#All],4,0)," ")</f>
        <v>PEMBE</v>
      </c>
      <c r="L259" s="100">
        <f>IFERROR(VLOOKUP(Tablo519[[#This Row],[BOYA KODU]],Tablo14[#All],6,0)," ")</f>
        <v>5.0000000000000001E-3</v>
      </c>
      <c r="M259" s="100">
        <f t="shared" si="32"/>
        <v>139.39950000000002</v>
      </c>
      <c r="N259" s="100" t="str">
        <f>IFERROR(VLOOKUP(Tablo519[[#This Row],[ÜRÜN KODU]],YMKODLARI!$A$1:$K$363,8,0)," ")</f>
        <v>HM 001</v>
      </c>
      <c r="O259" s="100" t="str">
        <f>IFERROR(VLOOKUP(Tablo519[[#This Row],[HAMMADDE KODU]],Tablo1[#All],3,0)," ")</f>
        <v>CAPILENE</v>
      </c>
      <c r="P259" s="100" t="str">
        <f>IFERROR(VLOOKUP(Tablo519[[#This Row],[HAMMADDE KODU]],Tablo1[#All],4,0)," ")</f>
        <v>PİNHAS</v>
      </c>
      <c r="Q259" s="100">
        <f>IFERROR(VLOOKUP(Tablo519[[#This Row],[ÜRÜN KODU]],YMKODLARI!$A$1:$K$379,5,0)," ")</f>
        <v>46.7</v>
      </c>
      <c r="R259" s="100">
        <f>IFERROR(VLOOKUP(Tablo519[[#This Row],[ÜRÜN KODU]],YMKODLARI!$A$1:$K$379,6,0)," ")</f>
        <v>45.4</v>
      </c>
      <c r="S259" s="100">
        <f>IFERROR(Tablo519[[#This Row],[YOLLUK HARİÇ BASKI GRAMI]]/Tablo519[[#This Row],[KALIP GÖZ ADEDİ]]," ")</f>
        <v>22.7</v>
      </c>
      <c r="T259" s="100">
        <f t="shared" ref="T259:T322" si="33">IFERROR(Q259-R259," ")</f>
        <v>1.3000000000000043</v>
      </c>
      <c r="U259" s="100"/>
      <c r="V259" s="100">
        <f t="shared" si="31"/>
        <v>27.1038</v>
      </c>
      <c r="W259" s="101">
        <f t="shared" ref="W259:W322" si="34">IFERROR(24-(E259-F259)," ")</f>
        <v>24</v>
      </c>
      <c r="X259" s="102">
        <f t="shared" ref="X259:X322" si="35">IFERROR((W259-INT(W259))*24," ")</f>
        <v>0</v>
      </c>
      <c r="Y259" s="100">
        <f t="shared" ref="Y259:Y322" si="36">IFERROR(H259*I259/3600," ")</f>
        <v>6.4675000000000002</v>
      </c>
      <c r="Z259" s="100">
        <f t="shared" ref="Z259:Z322" si="37">IFERROR(I259*G259," " )</f>
        <v>1194</v>
      </c>
    </row>
    <row r="260" spans="1:26">
      <c r="A260" s="100" t="s">
        <v>227</v>
      </c>
      <c r="B260" s="108" t="str">
        <f>IFERROR(VLOOKUP(Tablo519[[#This Row],[ÜRÜN KODU]],YMKODLARI!$A$1:$K$379,2,0)," ")</f>
        <v>SAÇ TARAĞI</v>
      </c>
      <c r="C260" s="99">
        <v>44151</v>
      </c>
      <c r="D260" s="100" t="s">
        <v>47</v>
      </c>
      <c r="E260" s="101"/>
      <c r="F260" s="101"/>
      <c r="G260" s="100">
        <f>IFERROR(VLOOKUP(Tablo519[[#This Row],[ÜRÜN KODU]],YMKODLARI!$A$1:$K$379,3,0)," ")</f>
        <v>2</v>
      </c>
      <c r="H260" s="100">
        <f>IFERROR(VLOOKUP(Tablo519[[#This Row],[ÜRÜN KODU]],YMKODLARI!$A$1:$K$379,4,0)," ")</f>
        <v>39</v>
      </c>
      <c r="I260" s="100">
        <v>597</v>
      </c>
      <c r="J260" s="100">
        <f>IFERROR(VLOOKUP(Tablo519[[#This Row],[ÜRÜN KODU]],YMKODLARI!$A$1:$K$379,9,0)," ")</f>
        <v>3409</v>
      </c>
      <c r="K260" s="100" t="str">
        <f>IFERROR(VLOOKUP(Tablo519[[#This Row],[BOYA KODU]],Tablo14[#All],4,0)," ")</f>
        <v>PEMBE</v>
      </c>
      <c r="L260" s="100">
        <f>IFERROR(VLOOKUP(Tablo519[[#This Row],[BOYA KODU]],Tablo14[#All],6,0)," ")</f>
        <v>5.0000000000000001E-3</v>
      </c>
      <c r="M260" s="100">
        <f t="shared" si="32"/>
        <v>42.088499999999996</v>
      </c>
      <c r="N260" s="100" t="str">
        <f>IFERROR(VLOOKUP(Tablo519[[#This Row],[ÜRÜN KODU]],YMKODLARI!$A$1:$K$363,8,0)," ")</f>
        <v>HM 001</v>
      </c>
      <c r="O260" s="100" t="str">
        <f>IFERROR(VLOOKUP(Tablo519[[#This Row],[HAMMADDE KODU]],Tablo1[#All],3,0)," ")</f>
        <v>CAPILENE</v>
      </c>
      <c r="P260" s="100" t="str">
        <f>IFERROR(VLOOKUP(Tablo519[[#This Row],[HAMMADDE KODU]],Tablo1[#All],4,0)," ")</f>
        <v>PİNHAS</v>
      </c>
      <c r="Q260" s="100">
        <f>IFERROR(VLOOKUP(Tablo519[[#This Row],[ÜRÜN KODU]],YMKODLARI!$A$1:$K$379,5,0)," ")</f>
        <v>14.1</v>
      </c>
      <c r="R260" s="100">
        <f>IFERROR(VLOOKUP(Tablo519[[#This Row],[ÜRÜN KODU]],YMKODLARI!$A$1:$K$379,6,0)," ")</f>
        <v>14.1</v>
      </c>
      <c r="S260" s="100">
        <f>IFERROR(Tablo519[[#This Row],[YOLLUK HARİÇ BASKI GRAMI]]/Tablo519[[#This Row],[KALIP GÖZ ADEDİ]]," ")</f>
        <v>7.05</v>
      </c>
      <c r="T260" s="100">
        <f t="shared" si="33"/>
        <v>0</v>
      </c>
      <c r="U260" s="100">
        <v>14</v>
      </c>
      <c r="V260" s="100">
        <f t="shared" si="31"/>
        <v>22.417699999999996</v>
      </c>
      <c r="W260" s="101">
        <f t="shared" si="34"/>
        <v>24</v>
      </c>
      <c r="X260" s="102">
        <f t="shared" si="35"/>
        <v>0</v>
      </c>
      <c r="Y260" s="100">
        <f t="shared" si="36"/>
        <v>6.4675000000000002</v>
      </c>
      <c r="Z260" s="100">
        <f t="shared" si="37"/>
        <v>1194</v>
      </c>
    </row>
    <row r="261" spans="1:26">
      <c r="A261" s="100" t="s">
        <v>226</v>
      </c>
      <c r="B261" s="108" t="str">
        <f>IFERROR(VLOOKUP(Tablo519[[#This Row],[ÜRÜN KODU]],YMKODLARI!$A$1:$K$379,2,0)," ")</f>
        <v>SAÇ FIRÇASI</v>
      </c>
      <c r="C261" s="99">
        <v>44152</v>
      </c>
      <c r="D261" s="100"/>
      <c r="E261" s="101"/>
      <c r="F261" s="101"/>
      <c r="G261" s="100">
        <f>IFERROR(VLOOKUP(Tablo519[[#This Row],[ÜRÜN KODU]],YMKODLARI!$A$1:$K$379,3,0)," ")</f>
        <v>2</v>
      </c>
      <c r="H261" s="100">
        <f>IFERROR(VLOOKUP(Tablo519[[#This Row],[ÜRÜN KODU]],YMKODLARI!$A$1:$K$379,4,0)," ")</f>
        <v>39</v>
      </c>
      <c r="I261" s="100">
        <v>639</v>
      </c>
      <c r="J261" s="100">
        <f>IFERROR(VLOOKUP(Tablo519[[#This Row],[ÜRÜN KODU]],YMKODLARI!$A$1:$K$379,9,0)," ")</f>
        <v>3409</v>
      </c>
      <c r="K261" s="100" t="str">
        <f>IFERROR(VLOOKUP(Tablo519[[#This Row],[BOYA KODU]],Tablo14[#All],4,0)," ")</f>
        <v>PEMBE</v>
      </c>
      <c r="L261" s="100">
        <f>IFERROR(VLOOKUP(Tablo519[[#This Row],[BOYA KODU]],Tablo14[#All],6,0)," ")</f>
        <v>5.0000000000000001E-3</v>
      </c>
      <c r="M261" s="100">
        <f t="shared" si="32"/>
        <v>149.20650000000001</v>
      </c>
      <c r="N261" s="100" t="str">
        <f>IFERROR(VLOOKUP(Tablo519[[#This Row],[ÜRÜN KODU]],YMKODLARI!$A$1:$K$363,8,0)," ")</f>
        <v>HM 001</v>
      </c>
      <c r="O261" s="100" t="str">
        <f>IFERROR(VLOOKUP(Tablo519[[#This Row],[HAMMADDE KODU]],Tablo1[#All],3,0)," ")</f>
        <v>CAPILENE</v>
      </c>
      <c r="P261" s="100" t="str">
        <f>IFERROR(VLOOKUP(Tablo519[[#This Row],[HAMMADDE KODU]],Tablo1[#All],4,0)," ")</f>
        <v>PİNHAS</v>
      </c>
      <c r="Q261" s="100">
        <f>IFERROR(VLOOKUP(Tablo519[[#This Row],[ÜRÜN KODU]],YMKODLARI!$A$1:$K$379,5,0)," ")</f>
        <v>46.7</v>
      </c>
      <c r="R261" s="100">
        <f>IFERROR(VLOOKUP(Tablo519[[#This Row],[ÜRÜN KODU]],YMKODLARI!$A$1:$K$379,6,0)," ")</f>
        <v>45.4</v>
      </c>
      <c r="S261" s="100">
        <f>IFERROR(Tablo519[[#This Row],[YOLLUK HARİÇ BASKI GRAMI]]/Tablo519[[#This Row],[KALIP GÖZ ADEDİ]]," ")</f>
        <v>22.7</v>
      </c>
      <c r="T261" s="100">
        <f t="shared" si="33"/>
        <v>1.3000000000000043</v>
      </c>
      <c r="U261" s="100"/>
      <c r="V261" s="100">
        <f t="shared" si="31"/>
        <v>29.0106</v>
      </c>
      <c r="W261" s="101">
        <f t="shared" si="34"/>
        <v>24</v>
      </c>
      <c r="X261" s="102">
        <f t="shared" si="35"/>
        <v>0</v>
      </c>
      <c r="Y261" s="100">
        <f t="shared" si="36"/>
        <v>6.9225000000000003</v>
      </c>
      <c r="Z261" s="100">
        <f t="shared" si="37"/>
        <v>1278</v>
      </c>
    </row>
    <row r="262" spans="1:26">
      <c r="A262" s="100" t="s">
        <v>227</v>
      </c>
      <c r="B262" s="108" t="str">
        <f>IFERROR(VLOOKUP(Tablo519[[#This Row],[ÜRÜN KODU]],YMKODLARI!$A$1:$K$379,2,0)," ")</f>
        <v>SAÇ TARAĞI</v>
      </c>
      <c r="C262" s="99">
        <v>44152</v>
      </c>
      <c r="D262" s="100" t="s">
        <v>47</v>
      </c>
      <c r="E262" s="101"/>
      <c r="F262" s="101"/>
      <c r="G262" s="100">
        <f>IFERROR(VLOOKUP(Tablo519[[#This Row],[ÜRÜN KODU]],YMKODLARI!$A$1:$K$379,3,0)," ")</f>
        <v>2</v>
      </c>
      <c r="H262" s="100">
        <f>IFERROR(VLOOKUP(Tablo519[[#This Row],[ÜRÜN KODU]],YMKODLARI!$A$1:$K$379,4,0)," ")</f>
        <v>39</v>
      </c>
      <c r="I262" s="100">
        <v>639</v>
      </c>
      <c r="J262" s="100">
        <f>IFERROR(VLOOKUP(Tablo519[[#This Row],[ÜRÜN KODU]],YMKODLARI!$A$1:$K$379,9,0)," ")</f>
        <v>3409</v>
      </c>
      <c r="K262" s="100" t="str">
        <f>IFERROR(VLOOKUP(Tablo519[[#This Row],[BOYA KODU]],Tablo14[#All],4,0)," ")</f>
        <v>PEMBE</v>
      </c>
      <c r="L262" s="100">
        <f>IFERROR(VLOOKUP(Tablo519[[#This Row],[BOYA KODU]],Tablo14[#All],6,0)," ")</f>
        <v>5.0000000000000001E-3</v>
      </c>
      <c r="M262" s="100">
        <f t="shared" si="32"/>
        <v>45.049500000000002</v>
      </c>
      <c r="N262" s="100" t="str">
        <f>IFERROR(VLOOKUP(Tablo519[[#This Row],[ÜRÜN KODU]],YMKODLARI!$A$1:$K$363,8,0)," ")</f>
        <v>HM 001</v>
      </c>
      <c r="O262" s="100" t="str">
        <f>IFERROR(VLOOKUP(Tablo519[[#This Row],[HAMMADDE KODU]],Tablo1[#All],3,0)," ")</f>
        <v>CAPILENE</v>
      </c>
      <c r="P262" s="100" t="str">
        <f>IFERROR(VLOOKUP(Tablo519[[#This Row],[HAMMADDE KODU]],Tablo1[#All],4,0)," ")</f>
        <v>PİNHAS</v>
      </c>
      <c r="Q262" s="100">
        <f>IFERROR(VLOOKUP(Tablo519[[#This Row],[ÜRÜN KODU]],YMKODLARI!$A$1:$K$379,5,0)," ")</f>
        <v>14.1</v>
      </c>
      <c r="R262" s="100">
        <f>IFERROR(VLOOKUP(Tablo519[[#This Row],[ÜRÜN KODU]],YMKODLARI!$A$1:$K$379,6,0)," ")</f>
        <v>14.1</v>
      </c>
      <c r="S262" s="100">
        <f>IFERROR(Tablo519[[#This Row],[YOLLUK HARİÇ BASKI GRAMI]]/Tablo519[[#This Row],[KALIP GÖZ ADEDİ]]," ")</f>
        <v>7.05</v>
      </c>
      <c r="T262" s="100">
        <f t="shared" si="33"/>
        <v>0</v>
      </c>
      <c r="U262" s="100">
        <v>14</v>
      </c>
      <c r="V262" s="100">
        <f t="shared" si="31"/>
        <v>23.009900000000002</v>
      </c>
      <c r="W262" s="101">
        <f t="shared" si="34"/>
        <v>24</v>
      </c>
      <c r="X262" s="102">
        <f t="shared" si="35"/>
        <v>0</v>
      </c>
      <c r="Y262" s="100">
        <f t="shared" si="36"/>
        <v>6.9225000000000003</v>
      </c>
      <c r="Z262" s="100">
        <f t="shared" si="37"/>
        <v>1278</v>
      </c>
    </row>
    <row r="263" spans="1:26">
      <c r="A263" s="100" t="s">
        <v>230</v>
      </c>
      <c r="B263" s="108" t="str">
        <f>IFERROR(VLOOKUP(Tablo519[[#This Row],[ÜRÜN KODU]],YMKODLARI!$A$1:$K$379,2,0)," ")</f>
        <v>SAÇ FIRÇASI</v>
      </c>
      <c r="C263" s="99">
        <v>44152</v>
      </c>
      <c r="D263" s="100"/>
      <c r="E263" s="101"/>
      <c r="F263" s="101"/>
      <c r="G263" s="100">
        <f>IFERROR(VLOOKUP(Tablo519[[#This Row],[ÜRÜN KODU]],YMKODLARI!$A$1:$K$379,3,0)," ")</f>
        <v>2</v>
      </c>
      <c r="H263" s="100">
        <f>IFERROR(VLOOKUP(Tablo519[[#This Row],[ÜRÜN KODU]],YMKODLARI!$A$1:$K$379,4,0)," ")</f>
        <v>39</v>
      </c>
      <c r="I263" s="100">
        <v>64</v>
      </c>
      <c r="J263" s="100">
        <f>IFERROR(VLOOKUP(Tablo519[[#This Row],[ÜRÜN KODU]],YMKODLARI!$A$1:$K$379,9,0)," ")</f>
        <v>3041</v>
      </c>
      <c r="K263" s="100" t="str">
        <f>IFERROR(VLOOKUP(Tablo519[[#This Row],[BOYA KODU]],Tablo14[#All],4,0)," ")</f>
        <v>KIRMIZI</v>
      </c>
      <c r="L263" s="100">
        <f>IFERROR(VLOOKUP(Tablo519[[#This Row],[BOYA KODU]],Tablo14[#All],6,0)," ")</f>
        <v>5.0000000000000001E-3</v>
      </c>
      <c r="M263" s="100">
        <f t="shared" si="32"/>
        <v>14.944000000000001</v>
      </c>
      <c r="N263" s="100" t="str">
        <f>IFERROR(VLOOKUP(Tablo519[[#This Row],[ÜRÜN KODU]],YMKODLARI!$A$1:$K$363,8,0)," ")</f>
        <v>HM 001</v>
      </c>
      <c r="O263" s="100" t="str">
        <f>IFERROR(VLOOKUP(Tablo519[[#This Row],[HAMMADDE KODU]],Tablo1[#All],3,0)," ")</f>
        <v>CAPILENE</v>
      </c>
      <c r="P263" s="100" t="str">
        <f>IFERROR(VLOOKUP(Tablo519[[#This Row],[HAMMADDE KODU]],Tablo1[#All],4,0)," ")</f>
        <v>PİNHAS</v>
      </c>
      <c r="Q263" s="100">
        <f>IFERROR(VLOOKUP(Tablo519[[#This Row],[ÜRÜN KODU]],YMKODLARI!$A$1:$K$379,5,0)," ")</f>
        <v>46.7</v>
      </c>
      <c r="R263" s="100">
        <f>IFERROR(VLOOKUP(Tablo519[[#This Row],[ÜRÜN KODU]],YMKODLARI!$A$1:$K$379,6,0)," ")</f>
        <v>45.4</v>
      </c>
      <c r="S263" s="100">
        <f>IFERROR(Tablo519[[#This Row],[YOLLUK HARİÇ BASKI GRAMI]]/Tablo519[[#This Row],[KALIP GÖZ ADEDİ]]," ")</f>
        <v>22.7</v>
      </c>
      <c r="T263" s="100">
        <f t="shared" si="33"/>
        <v>1.3000000000000043</v>
      </c>
      <c r="U263" s="100"/>
      <c r="V263" s="100">
        <f t="shared" si="31"/>
        <v>2.9055999999999997</v>
      </c>
      <c r="W263" s="101">
        <f t="shared" si="34"/>
        <v>24</v>
      </c>
      <c r="X263" s="102">
        <f t="shared" si="35"/>
        <v>0</v>
      </c>
      <c r="Y263" s="100">
        <f t="shared" si="36"/>
        <v>0.69333333333333336</v>
      </c>
      <c r="Z263" s="100">
        <f t="shared" si="37"/>
        <v>128</v>
      </c>
    </row>
    <row r="264" spans="1:26">
      <c r="A264" s="100" t="s">
        <v>231</v>
      </c>
      <c r="B264" s="108" t="str">
        <f>IFERROR(VLOOKUP(Tablo519[[#This Row],[ÜRÜN KODU]],YMKODLARI!$A$1:$K$379,2,0)," ")</f>
        <v>SAÇ TARAĞI</v>
      </c>
      <c r="C264" s="99">
        <v>44152</v>
      </c>
      <c r="D264" s="100" t="s">
        <v>47</v>
      </c>
      <c r="E264" s="101"/>
      <c r="F264" s="101"/>
      <c r="G264" s="100">
        <f>IFERROR(VLOOKUP(Tablo519[[#This Row],[ÜRÜN KODU]],YMKODLARI!$A$1:$K$379,3,0)," ")</f>
        <v>2</v>
      </c>
      <c r="H264" s="100">
        <f>IFERROR(VLOOKUP(Tablo519[[#This Row],[ÜRÜN KODU]],YMKODLARI!$A$1:$K$379,4,0)," ")</f>
        <v>39</v>
      </c>
      <c r="I264" s="100">
        <v>64</v>
      </c>
      <c r="J264" s="100">
        <f>IFERROR(VLOOKUP(Tablo519[[#This Row],[ÜRÜN KODU]],YMKODLARI!$A$1:$K$379,9,0)," ")</f>
        <v>3041</v>
      </c>
      <c r="K264" s="100" t="str">
        <f>IFERROR(VLOOKUP(Tablo519[[#This Row],[BOYA KODU]],Tablo14[#All],4,0)," ")</f>
        <v>KIRMIZI</v>
      </c>
      <c r="L264" s="100">
        <f>IFERROR(VLOOKUP(Tablo519[[#This Row],[BOYA KODU]],Tablo14[#All],6,0)," ")</f>
        <v>5.0000000000000001E-3</v>
      </c>
      <c r="M264" s="100">
        <f t="shared" si="32"/>
        <v>4.5119999999999996</v>
      </c>
      <c r="N264" s="100" t="str">
        <f>IFERROR(VLOOKUP(Tablo519[[#This Row],[ÜRÜN KODU]],YMKODLARI!$A$1:$K$363,8,0)," ")</f>
        <v>HM 001</v>
      </c>
      <c r="O264" s="100" t="str">
        <f>IFERROR(VLOOKUP(Tablo519[[#This Row],[HAMMADDE KODU]],Tablo1[#All],3,0)," ")</f>
        <v>CAPILENE</v>
      </c>
      <c r="P264" s="100" t="str">
        <f>IFERROR(VLOOKUP(Tablo519[[#This Row],[HAMMADDE KODU]],Tablo1[#All],4,0)," ")</f>
        <v>PİNHAS</v>
      </c>
      <c r="Q264" s="100">
        <f>IFERROR(VLOOKUP(Tablo519[[#This Row],[ÜRÜN KODU]],YMKODLARI!$A$1:$K$379,5,0)," ")</f>
        <v>14.1</v>
      </c>
      <c r="R264" s="100">
        <f>IFERROR(VLOOKUP(Tablo519[[#This Row],[ÜRÜN KODU]],YMKODLARI!$A$1:$K$379,6,0)," ")</f>
        <v>14.1</v>
      </c>
      <c r="S264" s="100">
        <f>IFERROR(Tablo519[[#This Row],[YOLLUK HARİÇ BASKI GRAMI]]/Tablo519[[#This Row],[KALIP GÖZ ADEDİ]]," ")</f>
        <v>7.05</v>
      </c>
      <c r="T264" s="100">
        <f t="shared" si="33"/>
        <v>0</v>
      </c>
      <c r="U264" s="100">
        <v>2.7</v>
      </c>
      <c r="V264" s="100">
        <f t="shared" si="31"/>
        <v>3.6024000000000003</v>
      </c>
      <c r="W264" s="101">
        <f t="shared" si="34"/>
        <v>24</v>
      </c>
      <c r="X264" s="102">
        <f t="shared" si="35"/>
        <v>0</v>
      </c>
      <c r="Y264" s="100">
        <f t="shared" si="36"/>
        <v>0.69333333333333336</v>
      </c>
      <c r="Z264" s="100">
        <f t="shared" si="37"/>
        <v>128</v>
      </c>
    </row>
    <row r="265" spans="1:26">
      <c r="A265" s="100" t="s">
        <v>230</v>
      </c>
      <c r="B265" s="108" t="str">
        <f>IFERROR(VLOOKUP(Tablo519[[#This Row],[ÜRÜN KODU]],YMKODLARI!$A$1:$K$379,2,0)," ")</f>
        <v>SAÇ FIRÇASI</v>
      </c>
      <c r="C265" s="99">
        <v>44153</v>
      </c>
      <c r="D265" s="100"/>
      <c r="E265" s="101"/>
      <c r="F265" s="101"/>
      <c r="G265" s="100">
        <f>IFERROR(VLOOKUP(Tablo519[[#This Row],[ÜRÜN KODU]],YMKODLARI!$A$1:$K$379,3,0)," ")</f>
        <v>2</v>
      </c>
      <c r="H265" s="100">
        <f>IFERROR(VLOOKUP(Tablo519[[#This Row],[ÜRÜN KODU]],YMKODLARI!$A$1:$K$379,4,0)," ")</f>
        <v>39</v>
      </c>
      <c r="I265" s="100">
        <v>647</v>
      </c>
      <c r="J265" s="100">
        <f>IFERROR(VLOOKUP(Tablo519[[#This Row],[ÜRÜN KODU]],YMKODLARI!$A$1:$K$379,9,0)," ")</f>
        <v>3041</v>
      </c>
      <c r="K265" s="100" t="str">
        <f>IFERROR(VLOOKUP(Tablo519[[#This Row],[BOYA KODU]],Tablo14[#All],4,0)," ")</f>
        <v>KIRMIZI</v>
      </c>
      <c r="L265" s="100">
        <f>IFERROR(VLOOKUP(Tablo519[[#This Row],[BOYA KODU]],Tablo14[#All],6,0)," ")</f>
        <v>5.0000000000000001E-3</v>
      </c>
      <c r="M265" s="100">
        <f t="shared" si="32"/>
        <v>151.0745</v>
      </c>
      <c r="N265" s="100" t="str">
        <f>IFERROR(VLOOKUP(Tablo519[[#This Row],[ÜRÜN KODU]],YMKODLARI!$A$1:$K$363,8,0)," ")</f>
        <v>HM 001</v>
      </c>
      <c r="O265" s="100" t="str">
        <f>IFERROR(VLOOKUP(Tablo519[[#This Row],[HAMMADDE KODU]],Tablo1[#All],3,0)," ")</f>
        <v>CAPILENE</v>
      </c>
      <c r="P265" s="100" t="str">
        <f>IFERROR(VLOOKUP(Tablo519[[#This Row],[HAMMADDE KODU]],Tablo1[#All],4,0)," ")</f>
        <v>PİNHAS</v>
      </c>
      <c r="Q265" s="100">
        <f>IFERROR(VLOOKUP(Tablo519[[#This Row],[ÜRÜN KODU]],YMKODLARI!$A$1:$K$379,5,0)," ")</f>
        <v>46.7</v>
      </c>
      <c r="R265" s="100">
        <f>IFERROR(VLOOKUP(Tablo519[[#This Row],[ÜRÜN KODU]],YMKODLARI!$A$1:$K$379,6,0)," ")</f>
        <v>45.4</v>
      </c>
      <c r="S265" s="100">
        <f>IFERROR(Tablo519[[#This Row],[YOLLUK HARİÇ BASKI GRAMI]]/Tablo519[[#This Row],[KALIP GÖZ ADEDİ]]," ")</f>
        <v>22.7</v>
      </c>
      <c r="T265" s="100">
        <f t="shared" si="33"/>
        <v>1.3000000000000043</v>
      </c>
      <c r="U265" s="100"/>
      <c r="V265" s="100">
        <f t="shared" si="31"/>
        <v>29.373799999999999</v>
      </c>
      <c r="W265" s="101">
        <f t="shared" si="34"/>
        <v>24</v>
      </c>
      <c r="X265" s="102">
        <f t="shared" si="35"/>
        <v>0</v>
      </c>
      <c r="Y265" s="100">
        <f t="shared" si="36"/>
        <v>7.0091666666666663</v>
      </c>
      <c r="Z265" s="100">
        <f t="shared" si="37"/>
        <v>1294</v>
      </c>
    </row>
    <row r="266" spans="1:26">
      <c r="A266" s="100" t="s">
        <v>231</v>
      </c>
      <c r="B266" s="108" t="str">
        <f>IFERROR(VLOOKUP(Tablo519[[#This Row],[ÜRÜN KODU]],YMKODLARI!$A$1:$K$379,2,0)," ")</f>
        <v>SAÇ TARAĞI</v>
      </c>
      <c r="C266" s="99">
        <v>44153</v>
      </c>
      <c r="D266" s="100" t="s">
        <v>47</v>
      </c>
      <c r="E266" s="101"/>
      <c r="F266" s="101"/>
      <c r="G266" s="100">
        <f>IFERROR(VLOOKUP(Tablo519[[#This Row],[ÜRÜN KODU]],YMKODLARI!$A$1:$K$379,3,0)," ")</f>
        <v>2</v>
      </c>
      <c r="H266" s="100">
        <f>IFERROR(VLOOKUP(Tablo519[[#This Row],[ÜRÜN KODU]],YMKODLARI!$A$1:$K$379,4,0)," ")</f>
        <v>39</v>
      </c>
      <c r="I266" s="100">
        <v>647</v>
      </c>
      <c r="J266" s="100">
        <f>IFERROR(VLOOKUP(Tablo519[[#This Row],[ÜRÜN KODU]],YMKODLARI!$A$1:$K$379,9,0)," ")</f>
        <v>3041</v>
      </c>
      <c r="K266" s="100" t="str">
        <f>IFERROR(VLOOKUP(Tablo519[[#This Row],[BOYA KODU]],Tablo14[#All],4,0)," ")</f>
        <v>KIRMIZI</v>
      </c>
      <c r="L266" s="100">
        <f>IFERROR(VLOOKUP(Tablo519[[#This Row],[BOYA KODU]],Tablo14[#All],6,0)," ")</f>
        <v>5.0000000000000001E-3</v>
      </c>
      <c r="M266" s="100">
        <f t="shared" si="32"/>
        <v>45.613499999999995</v>
      </c>
      <c r="N266" s="100" t="str">
        <f>IFERROR(VLOOKUP(Tablo519[[#This Row],[ÜRÜN KODU]],YMKODLARI!$A$1:$K$363,8,0)," ")</f>
        <v>HM 001</v>
      </c>
      <c r="O266" s="100" t="str">
        <f>IFERROR(VLOOKUP(Tablo519[[#This Row],[HAMMADDE KODU]],Tablo1[#All],3,0)," ")</f>
        <v>CAPILENE</v>
      </c>
      <c r="P266" s="100" t="str">
        <f>IFERROR(VLOOKUP(Tablo519[[#This Row],[HAMMADDE KODU]],Tablo1[#All],4,0)," ")</f>
        <v>PİNHAS</v>
      </c>
      <c r="Q266" s="100">
        <f>IFERROR(VLOOKUP(Tablo519[[#This Row],[ÜRÜN KODU]],YMKODLARI!$A$1:$K$379,5,0)," ")</f>
        <v>14.1</v>
      </c>
      <c r="R266" s="100">
        <f>IFERROR(VLOOKUP(Tablo519[[#This Row],[ÜRÜN KODU]],YMKODLARI!$A$1:$K$379,6,0)," ")</f>
        <v>14.1</v>
      </c>
      <c r="S266" s="100">
        <f>IFERROR(Tablo519[[#This Row],[YOLLUK HARİÇ BASKI GRAMI]]/Tablo519[[#This Row],[KALIP GÖZ ADEDİ]]," ")</f>
        <v>7.05</v>
      </c>
      <c r="T266" s="100">
        <f t="shared" si="33"/>
        <v>0</v>
      </c>
      <c r="U266" s="100">
        <v>7</v>
      </c>
      <c r="V266" s="100">
        <f t="shared" si="31"/>
        <v>16.122699999999998</v>
      </c>
      <c r="W266" s="101">
        <f t="shared" si="34"/>
        <v>24</v>
      </c>
      <c r="X266" s="102">
        <f t="shared" si="35"/>
        <v>0</v>
      </c>
      <c r="Y266" s="100">
        <f t="shared" si="36"/>
        <v>7.0091666666666663</v>
      </c>
      <c r="Z266" s="100">
        <f t="shared" si="37"/>
        <v>1294</v>
      </c>
    </row>
    <row r="267" spans="1:26">
      <c r="A267" s="100" t="s">
        <v>230</v>
      </c>
      <c r="B267" s="108" t="str">
        <f>IFERROR(VLOOKUP(Tablo519[[#This Row],[ÜRÜN KODU]],YMKODLARI!$A$1:$K$379,2,0)," ")</f>
        <v>SAÇ FIRÇASI</v>
      </c>
      <c r="C267" s="99">
        <v>44154</v>
      </c>
      <c r="D267" s="100"/>
      <c r="E267" s="101"/>
      <c r="F267" s="101"/>
      <c r="G267" s="100">
        <f>IFERROR(VLOOKUP(Tablo519[[#This Row],[ÜRÜN KODU]],YMKODLARI!$A$1:$K$379,3,0)," ")</f>
        <v>2</v>
      </c>
      <c r="H267" s="100">
        <f>IFERROR(VLOOKUP(Tablo519[[#This Row],[ÜRÜN KODU]],YMKODLARI!$A$1:$K$379,4,0)," ")</f>
        <v>39</v>
      </c>
      <c r="I267" s="100">
        <v>715</v>
      </c>
      <c r="J267" s="100">
        <f>IFERROR(VLOOKUP(Tablo519[[#This Row],[ÜRÜN KODU]],YMKODLARI!$A$1:$K$379,9,0)," ")</f>
        <v>3041</v>
      </c>
      <c r="K267" s="100" t="str">
        <f>IFERROR(VLOOKUP(Tablo519[[#This Row],[BOYA KODU]],Tablo14[#All],4,0)," ")</f>
        <v>KIRMIZI</v>
      </c>
      <c r="L267" s="100">
        <f>IFERROR(VLOOKUP(Tablo519[[#This Row],[BOYA KODU]],Tablo14[#All],6,0)," ")</f>
        <v>5.0000000000000001E-3</v>
      </c>
      <c r="M267" s="100">
        <f t="shared" si="32"/>
        <v>166.95250000000001</v>
      </c>
      <c r="N267" s="100" t="str">
        <f>IFERROR(VLOOKUP(Tablo519[[#This Row],[ÜRÜN KODU]],YMKODLARI!$A$1:$K$363,8,0)," ")</f>
        <v>HM 001</v>
      </c>
      <c r="O267" s="100" t="str">
        <f>IFERROR(VLOOKUP(Tablo519[[#This Row],[HAMMADDE KODU]],Tablo1[#All],3,0)," ")</f>
        <v>CAPILENE</v>
      </c>
      <c r="P267" s="100" t="str">
        <f>IFERROR(VLOOKUP(Tablo519[[#This Row],[HAMMADDE KODU]],Tablo1[#All],4,0)," ")</f>
        <v>PİNHAS</v>
      </c>
      <c r="Q267" s="100">
        <f>IFERROR(VLOOKUP(Tablo519[[#This Row],[ÜRÜN KODU]],YMKODLARI!$A$1:$K$379,5,0)," ")</f>
        <v>46.7</v>
      </c>
      <c r="R267" s="100">
        <f>IFERROR(VLOOKUP(Tablo519[[#This Row],[ÜRÜN KODU]],YMKODLARI!$A$1:$K$379,6,0)," ")</f>
        <v>45.4</v>
      </c>
      <c r="S267" s="100">
        <f>IFERROR(Tablo519[[#This Row],[YOLLUK HARİÇ BASKI GRAMI]]/Tablo519[[#This Row],[KALIP GÖZ ADEDİ]]," ")</f>
        <v>22.7</v>
      </c>
      <c r="T267" s="100">
        <f t="shared" si="33"/>
        <v>1.3000000000000043</v>
      </c>
      <c r="U267" s="100"/>
      <c r="V267" s="100">
        <f t="shared" si="31"/>
        <v>32.460999999999999</v>
      </c>
      <c r="W267" s="101">
        <f t="shared" si="34"/>
        <v>24</v>
      </c>
      <c r="X267" s="102">
        <f t="shared" si="35"/>
        <v>0</v>
      </c>
      <c r="Y267" s="100">
        <f t="shared" si="36"/>
        <v>7.7458333333333336</v>
      </c>
      <c r="Z267" s="100">
        <f t="shared" si="37"/>
        <v>1430</v>
      </c>
    </row>
    <row r="268" spans="1:26">
      <c r="A268" s="100" t="s">
        <v>231</v>
      </c>
      <c r="B268" s="108" t="str">
        <f>IFERROR(VLOOKUP(Tablo519[[#This Row],[ÜRÜN KODU]],YMKODLARI!$A$1:$K$379,2,0)," ")</f>
        <v>SAÇ TARAĞI</v>
      </c>
      <c r="C268" s="99">
        <v>44154</v>
      </c>
      <c r="D268" s="100" t="s">
        <v>47</v>
      </c>
      <c r="E268" s="101"/>
      <c r="F268" s="101"/>
      <c r="G268" s="100">
        <f>IFERROR(VLOOKUP(Tablo519[[#This Row],[ÜRÜN KODU]],YMKODLARI!$A$1:$K$379,3,0)," ")</f>
        <v>2</v>
      </c>
      <c r="H268" s="100">
        <f>IFERROR(VLOOKUP(Tablo519[[#This Row],[ÜRÜN KODU]],YMKODLARI!$A$1:$K$379,4,0)," ")</f>
        <v>39</v>
      </c>
      <c r="I268" s="100">
        <v>715</v>
      </c>
      <c r="J268" s="100">
        <f>IFERROR(VLOOKUP(Tablo519[[#This Row],[ÜRÜN KODU]],YMKODLARI!$A$1:$K$379,9,0)," ")</f>
        <v>3041</v>
      </c>
      <c r="K268" s="100" t="str">
        <f>IFERROR(VLOOKUP(Tablo519[[#This Row],[BOYA KODU]],Tablo14[#All],4,0)," ")</f>
        <v>KIRMIZI</v>
      </c>
      <c r="L268" s="100">
        <f>IFERROR(VLOOKUP(Tablo519[[#This Row],[BOYA KODU]],Tablo14[#All],6,0)," ")</f>
        <v>5.0000000000000001E-3</v>
      </c>
      <c r="M268" s="100">
        <f t="shared" si="32"/>
        <v>50.407499999999999</v>
      </c>
      <c r="N268" s="100" t="str">
        <f>IFERROR(VLOOKUP(Tablo519[[#This Row],[ÜRÜN KODU]],YMKODLARI!$A$1:$K$363,8,0)," ")</f>
        <v>HM 001</v>
      </c>
      <c r="O268" s="100" t="str">
        <f>IFERROR(VLOOKUP(Tablo519[[#This Row],[HAMMADDE KODU]],Tablo1[#All],3,0)," ")</f>
        <v>CAPILENE</v>
      </c>
      <c r="P268" s="100" t="str">
        <f>IFERROR(VLOOKUP(Tablo519[[#This Row],[HAMMADDE KODU]],Tablo1[#All],4,0)," ")</f>
        <v>PİNHAS</v>
      </c>
      <c r="Q268" s="100">
        <f>IFERROR(VLOOKUP(Tablo519[[#This Row],[ÜRÜN KODU]],YMKODLARI!$A$1:$K$379,5,0)," ")</f>
        <v>14.1</v>
      </c>
      <c r="R268" s="100">
        <f>IFERROR(VLOOKUP(Tablo519[[#This Row],[ÜRÜN KODU]],YMKODLARI!$A$1:$K$379,6,0)," ")</f>
        <v>14.1</v>
      </c>
      <c r="S268" s="100">
        <f>IFERROR(Tablo519[[#This Row],[YOLLUK HARİÇ BASKI GRAMI]]/Tablo519[[#This Row],[KALIP GÖZ ADEDİ]]," ")</f>
        <v>7.05</v>
      </c>
      <c r="T268" s="100">
        <f t="shared" si="33"/>
        <v>0</v>
      </c>
      <c r="U268" s="100">
        <v>2.5</v>
      </c>
      <c r="V268" s="100">
        <f t="shared" si="31"/>
        <v>12.5815</v>
      </c>
      <c r="W268" s="101">
        <f t="shared" si="34"/>
        <v>24</v>
      </c>
      <c r="X268" s="102">
        <f t="shared" si="35"/>
        <v>0</v>
      </c>
      <c r="Y268" s="100">
        <f t="shared" si="36"/>
        <v>7.7458333333333336</v>
      </c>
      <c r="Z268" s="100">
        <f t="shared" si="37"/>
        <v>1430</v>
      </c>
    </row>
    <row r="269" spans="1:26">
      <c r="A269" s="100" t="s">
        <v>230</v>
      </c>
      <c r="B269" s="108" t="str">
        <f>IFERROR(VLOOKUP(Tablo519[[#This Row],[ÜRÜN KODU]],YMKODLARI!$A$1:$K$379,2,0)," ")</f>
        <v>SAÇ FIRÇASI</v>
      </c>
      <c r="C269" s="99">
        <v>44155</v>
      </c>
      <c r="D269" s="100"/>
      <c r="E269" s="101"/>
      <c r="F269" s="101"/>
      <c r="G269" s="100">
        <f>IFERROR(VLOOKUP(Tablo519[[#This Row],[ÜRÜN KODU]],YMKODLARI!$A$1:$K$379,3,0)," ")</f>
        <v>2</v>
      </c>
      <c r="H269" s="100">
        <f>IFERROR(VLOOKUP(Tablo519[[#This Row],[ÜRÜN KODU]],YMKODLARI!$A$1:$K$379,4,0)," ")</f>
        <v>39</v>
      </c>
      <c r="I269" s="100">
        <v>155</v>
      </c>
      <c r="J269" s="100">
        <f>IFERROR(VLOOKUP(Tablo519[[#This Row],[ÜRÜN KODU]],YMKODLARI!$A$1:$K$379,9,0)," ")</f>
        <v>3041</v>
      </c>
      <c r="K269" s="100" t="str">
        <f>IFERROR(VLOOKUP(Tablo519[[#This Row],[BOYA KODU]],Tablo14[#All],4,0)," ")</f>
        <v>KIRMIZI</v>
      </c>
      <c r="L269" s="100">
        <f>IFERROR(VLOOKUP(Tablo519[[#This Row],[BOYA KODU]],Tablo14[#All],6,0)," ")</f>
        <v>5.0000000000000001E-3</v>
      </c>
      <c r="M269" s="100">
        <f t="shared" si="32"/>
        <v>36.192500000000003</v>
      </c>
      <c r="N269" s="100" t="str">
        <f>IFERROR(VLOOKUP(Tablo519[[#This Row],[ÜRÜN KODU]],YMKODLARI!$A$1:$K$363,8,0)," ")</f>
        <v>HM 001</v>
      </c>
      <c r="O269" s="100" t="str">
        <f>IFERROR(VLOOKUP(Tablo519[[#This Row],[HAMMADDE KODU]],Tablo1[#All],3,0)," ")</f>
        <v>CAPILENE</v>
      </c>
      <c r="P269" s="100" t="str">
        <f>IFERROR(VLOOKUP(Tablo519[[#This Row],[HAMMADDE KODU]],Tablo1[#All],4,0)," ")</f>
        <v>PİNHAS</v>
      </c>
      <c r="Q269" s="100">
        <f>IFERROR(VLOOKUP(Tablo519[[#This Row],[ÜRÜN KODU]],YMKODLARI!$A$1:$K$379,5,0)," ")</f>
        <v>46.7</v>
      </c>
      <c r="R269" s="100">
        <f>IFERROR(VLOOKUP(Tablo519[[#This Row],[ÜRÜN KODU]],YMKODLARI!$A$1:$K$379,6,0)," ")</f>
        <v>45.4</v>
      </c>
      <c r="S269" s="100">
        <f>IFERROR(Tablo519[[#This Row],[YOLLUK HARİÇ BASKI GRAMI]]/Tablo519[[#This Row],[KALIP GÖZ ADEDİ]]," ")</f>
        <v>22.7</v>
      </c>
      <c r="T269" s="100">
        <f t="shared" si="33"/>
        <v>1.3000000000000043</v>
      </c>
      <c r="U269" s="100"/>
      <c r="V269" s="100">
        <f t="shared" si="31"/>
        <v>7.0369999999999999</v>
      </c>
      <c r="W269" s="101">
        <f t="shared" si="34"/>
        <v>24</v>
      </c>
      <c r="X269" s="102">
        <f t="shared" si="35"/>
        <v>0</v>
      </c>
      <c r="Y269" s="100">
        <f t="shared" si="36"/>
        <v>1.6791666666666667</v>
      </c>
      <c r="Z269" s="100">
        <f t="shared" si="37"/>
        <v>310</v>
      </c>
    </row>
    <row r="270" spans="1:26">
      <c r="A270" s="100" t="s">
        <v>231</v>
      </c>
      <c r="B270" s="108" t="str">
        <f>IFERROR(VLOOKUP(Tablo519[[#This Row],[ÜRÜN KODU]],YMKODLARI!$A$1:$K$379,2,0)," ")</f>
        <v>SAÇ TARAĞI</v>
      </c>
      <c r="C270" s="99">
        <v>44155</v>
      </c>
      <c r="D270" s="100" t="s">
        <v>47</v>
      </c>
      <c r="E270" s="101"/>
      <c r="F270" s="101"/>
      <c r="G270" s="100">
        <f>IFERROR(VLOOKUP(Tablo519[[#This Row],[ÜRÜN KODU]],YMKODLARI!$A$1:$K$379,3,0)," ")</f>
        <v>2</v>
      </c>
      <c r="H270" s="100">
        <f>IFERROR(VLOOKUP(Tablo519[[#This Row],[ÜRÜN KODU]],YMKODLARI!$A$1:$K$379,4,0)," ")</f>
        <v>39</v>
      </c>
      <c r="I270" s="100">
        <v>155</v>
      </c>
      <c r="J270" s="100">
        <f>IFERROR(VLOOKUP(Tablo519[[#This Row],[ÜRÜN KODU]],YMKODLARI!$A$1:$K$379,9,0)," ")</f>
        <v>3041</v>
      </c>
      <c r="K270" s="100" t="str">
        <f>IFERROR(VLOOKUP(Tablo519[[#This Row],[BOYA KODU]],Tablo14[#All],4,0)," ")</f>
        <v>KIRMIZI</v>
      </c>
      <c r="L270" s="100">
        <f>IFERROR(VLOOKUP(Tablo519[[#This Row],[BOYA KODU]],Tablo14[#All],6,0)," ")</f>
        <v>5.0000000000000001E-3</v>
      </c>
      <c r="M270" s="100">
        <f t="shared" si="32"/>
        <v>10.9275</v>
      </c>
      <c r="N270" s="100" t="str">
        <f>IFERROR(VLOOKUP(Tablo519[[#This Row],[ÜRÜN KODU]],YMKODLARI!$A$1:$K$363,8,0)," ")</f>
        <v>HM 001</v>
      </c>
      <c r="O270" s="100" t="str">
        <f>IFERROR(VLOOKUP(Tablo519[[#This Row],[HAMMADDE KODU]],Tablo1[#All],3,0)," ")</f>
        <v>CAPILENE</v>
      </c>
      <c r="P270" s="100" t="str">
        <f>IFERROR(VLOOKUP(Tablo519[[#This Row],[HAMMADDE KODU]],Tablo1[#All],4,0)," ")</f>
        <v>PİNHAS</v>
      </c>
      <c r="Q270" s="100">
        <f>IFERROR(VLOOKUP(Tablo519[[#This Row],[ÜRÜN KODU]],YMKODLARI!$A$1:$K$379,5,0)," ")</f>
        <v>14.1</v>
      </c>
      <c r="R270" s="100">
        <f>IFERROR(VLOOKUP(Tablo519[[#This Row],[ÜRÜN KODU]],YMKODLARI!$A$1:$K$379,6,0)," ")</f>
        <v>14.1</v>
      </c>
      <c r="S270" s="100">
        <f>IFERROR(Tablo519[[#This Row],[YOLLUK HARİÇ BASKI GRAMI]]/Tablo519[[#This Row],[KALIP GÖZ ADEDİ]]," ")</f>
        <v>7.05</v>
      </c>
      <c r="T270" s="100">
        <f t="shared" si="33"/>
        <v>0</v>
      </c>
      <c r="U270" s="100">
        <v>2.5</v>
      </c>
      <c r="V270" s="100">
        <f t="shared" si="31"/>
        <v>4.6855000000000002</v>
      </c>
      <c r="W270" s="101">
        <f t="shared" si="34"/>
        <v>24</v>
      </c>
      <c r="X270" s="102">
        <f t="shared" si="35"/>
        <v>0</v>
      </c>
      <c r="Y270" s="100">
        <f t="shared" si="36"/>
        <v>1.6791666666666667</v>
      </c>
      <c r="Z270" s="100">
        <f t="shared" si="37"/>
        <v>310</v>
      </c>
    </row>
    <row r="271" spans="1:26">
      <c r="A271" s="100" t="s">
        <v>560</v>
      </c>
      <c r="B271" s="108" t="str">
        <f>IFERROR(VLOOKUP(Tablo519[[#This Row],[ÜRÜN KODU]],YMKODLARI!$A$1:$K$379,2,0)," ")</f>
        <v>YUVARLAK SAKLAMA KABI KAPAĞI 1</v>
      </c>
      <c r="C271" s="99">
        <v>44155</v>
      </c>
      <c r="D271" s="100" t="s">
        <v>47</v>
      </c>
      <c r="E271" s="101"/>
      <c r="F271" s="101"/>
      <c r="G271" s="100">
        <f>IFERROR(VLOOKUP(Tablo519[[#This Row],[ÜRÜN KODU]],YMKODLARI!$A$1:$K$379,3,0)," ")</f>
        <v>2</v>
      </c>
      <c r="H271" s="100">
        <f>IFERROR(VLOOKUP(Tablo519[[#This Row],[ÜRÜN KODU]],YMKODLARI!$A$1:$K$379,4,0)," ")</f>
        <v>17</v>
      </c>
      <c r="I271" s="100">
        <v>239</v>
      </c>
      <c r="J271" s="100">
        <f>IFERROR(VLOOKUP(Tablo519[[#This Row],[ÜRÜN KODU]],YMKODLARI!$A$1:$K$379,9,0)," ")</f>
        <v>16640</v>
      </c>
      <c r="K271" s="100" t="str">
        <f>IFERROR(VLOOKUP(Tablo519[[#This Row],[BOYA KODU]],Tablo14[#All],4,0)," ")</f>
        <v>TURUNCU</v>
      </c>
      <c r="L271" s="100">
        <f>IFERROR(VLOOKUP(Tablo519[[#This Row],[BOYA KODU]],Tablo14[#All],6,0)," ")</f>
        <v>0.03</v>
      </c>
      <c r="M271" s="100">
        <f t="shared" si="32"/>
        <v>329.82</v>
      </c>
      <c r="N271" s="100" t="str">
        <f>IFERROR(VLOOKUP(Tablo519[[#This Row],[ÜRÜN KODU]],YMKODLARI!$A$1:$K$363,8,0)," ")</f>
        <v xml:space="preserve"> </v>
      </c>
      <c r="O271" s="100" t="str">
        <f>IFERROR(VLOOKUP(Tablo519[[#This Row],[HAMMADDE KODU]],Tablo1[#All],3,0)," ")</f>
        <v xml:space="preserve"> </v>
      </c>
      <c r="P271" s="100" t="str">
        <f>IFERROR(VLOOKUP(Tablo519[[#This Row],[HAMMADDE KODU]],Tablo1[#All],4,0)," ")</f>
        <v xml:space="preserve"> </v>
      </c>
      <c r="Q271" s="100">
        <f>IFERROR(VLOOKUP(Tablo519[[#This Row],[ÜRÜN KODU]],YMKODLARI!$A$1:$K$379,5,0)," ")</f>
        <v>46</v>
      </c>
      <c r="R271" s="100">
        <f>IFERROR(VLOOKUP(Tablo519[[#This Row],[ÜRÜN KODU]],YMKODLARI!$A$1:$K$379,6,0)," ")</f>
        <v>46</v>
      </c>
      <c r="S271" s="100">
        <f>IFERROR(Tablo519[[#This Row],[YOLLUK HARİÇ BASKI GRAMI]]/Tablo519[[#This Row],[KALIP GÖZ ADEDİ]]," ")</f>
        <v>23</v>
      </c>
      <c r="T271" s="100">
        <f t="shared" si="33"/>
        <v>0</v>
      </c>
      <c r="U271" s="100">
        <v>1</v>
      </c>
      <c r="V271" s="100">
        <f t="shared" si="31"/>
        <v>11.994</v>
      </c>
      <c r="W271" s="101">
        <f t="shared" si="34"/>
        <v>24</v>
      </c>
      <c r="X271" s="102">
        <f t="shared" si="35"/>
        <v>0</v>
      </c>
      <c r="Y271" s="100">
        <f t="shared" si="36"/>
        <v>1.128611111111111</v>
      </c>
      <c r="Z271" s="100">
        <f t="shared" si="37"/>
        <v>478</v>
      </c>
    </row>
    <row r="272" spans="1:26">
      <c r="A272" s="100" t="s">
        <v>561</v>
      </c>
      <c r="B272" s="108" t="str">
        <f>IFERROR(VLOOKUP(Tablo519[[#This Row],[ÜRÜN KODU]],YMKODLARI!$A$1:$K$379,2,0)," ")</f>
        <v>YUVARLAK SAKLAMA KABI KAPAĞI 2</v>
      </c>
      <c r="C272" s="99">
        <v>44158</v>
      </c>
      <c r="D272" s="100" t="s">
        <v>33</v>
      </c>
      <c r="E272" s="101"/>
      <c r="F272" s="101"/>
      <c r="G272" s="100">
        <f>IFERROR(VLOOKUP(Tablo519[[#This Row],[ÜRÜN KODU]],YMKODLARI!$A$1:$K$379,3,0)," ")</f>
        <v>2</v>
      </c>
      <c r="H272" s="100">
        <f>IFERROR(VLOOKUP(Tablo519[[#This Row],[ÜRÜN KODU]],YMKODLARI!$A$1:$K$379,4,0)," ")</f>
        <v>22</v>
      </c>
      <c r="I272" s="100">
        <v>237</v>
      </c>
      <c r="J272" s="100">
        <f>IFERROR(VLOOKUP(Tablo519[[#This Row],[ÜRÜN KODU]],YMKODLARI!$A$1:$K$379,9,0)," ")</f>
        <v>16640</v>
      </c>
      <c r="K272" s="100" t="str">
        <f>IFERROR(VLOOKUP(Tablo519[[#This Row],[BOYA KODU]],Tablo14[#All],4,0)," ")</f>
        <v>TURUNCU</v>
      </c>
      <c r="L272" s="100">
        <f>IFERROR(VLOOKUP(Tablo519[[#This Row],[BOYA KODU]],Tablo14[#All],6,0)," ")</f>
        <v>0.03</v>
      </c>
      <c r="M272" s="100">
        <f t="shared" si="32"/>
        <v>512.63099999999986</v>
      </c>
      <c r="N272" s="100" t="str">
        <f>IFERROR(VLOOKUP(Tablo519[[#This Row],[ÜRÜN KODU]],YMKODLARI!$A$1:$K$363,8,0)," ")</f>
        <v xml:space="preserve"> </v>
      </c>
      <c r="O272" s="100" t="str">
        <f>IFERROR(VLOOKUP(Tablo519[[#This Row],[HAMMADDE KODU]],Tablo1[#All],3,0)," ")</f>
        <v xml:space="preserve"> </v>
      </c>
      <c r="P272" s="100" t="str">
        <f>IFERROR(VLOOKUP(Tablo519[[#This Row],[HAMMADDE KODU]],Tablo1[#All],4,0)," ")</f>
        <v xml:space="preserve"> </v>
      </c>
      <c r="Q272" s="100">
        <f>IFERROR(VLOOKUP(Tablo519[[#This Row],[ÜRÜN KODU]],YMKODLARI!$A$1:$K$379,5,0)," ")</f>
        <v>72.099999999999994</v>
      </c>
      <c r="R272" s="100">
        <f>IFERROR(VLOOKUP(Tablo519[[#This Row],[ÜRÜN KODU]],YMKODLARI!$A$1:$K$379,6,0)," ")</f>
        <v>72.099999999999994</v>
      </c>
      <c r="S272" s="100">
        <f>IFERROR(Tablo519[[#This Row],[YOLLUK HARİÇ BASKI GRAMI]]/Tablo519[[#This Row],[KALIP GÖZ ADEDİ]]," ")</f>
        <v>36.049999999999997</v>
      </c>
      <c r="T272" s="100">
        <f t="shared" si="33"/>
        <v>0</v>
      </c>
      <c r="U272" s="100"/>
      <c r="V272" s="100">
        <f t="shared" si="31"/>
        <v>17.087699999999998</v>
      </c>
      <c r="W272" s="101">
        <f t="shared" si="34"/>
        <v>24</v>
      </c>
      <c r="X272" s="102">
        <f t="shared" si="35"/>
        <v>0</v>
      </c>
      <c r="Y272" s="100">
        <f t="shared" si="36"/>
        <v>1.4483333333333333</v>
      </c>
      <c r="Z272" s="100">
        <f t="shared" si="37"/>
        <v>474</v>
      </c>
    </row>
    <row r="273" spans="1:26">
      <c r="A273" s="100"/>
      <c r="B273" s="108" t="str">
        <f>IFERROR(VLOOKUP(Tablo519[[#This Row],[ÜRÜN KODU]],YMKODLARI!$A$1:$K$379,2,0)," ")</f>
        <v xml:space="preserve"> </v>
      </c>
      <c r="C273" s="99"/>
      <c r="D273" s="100"/>
      <c r="E273" s="101"/>
      <c r="F273" s="101"/>
      <c r="G273" s="100" t="str">
        <f>IFERROR(VLOOKUP(Tablo519[[#This Row],[ÜRÜN KODU]],YMKODLARI!$A$1:$K$379,3,0)," ")</f>
        <v xml:space="preserve"> </v>
      </c>
      <c r="H273" s="100" t="str">
        <f>IFERROR(VLOOKUP(Tablo519[[#This Row],[ÜRÜN KODU]],YMKODLARI!$A$1:$K$379,4,0)," ")</f>
        <v xml:space="preserve"> </v>
      </c>
      <c r="I273" s="100"/>
      <c r="J273" s="100" t="str">
        <f>IFERROR(VLOOKUP(Tablo519[[#This Row],[ÜRÜN KODU]],YMKODLARI!$A$1:$K$379,9,0)," ")</f>
        <v xml:space="preserve"> </v>
      </c>
      <c r="K273" s="100" t="str">
        <f>IFERROR(VLOOKUP(Tablo519[[#This Row],[BOYA KODU]],Tablo14[#All],4,0)," ")</f>
        <v xml:space="preserve"> </v>
      </c>
      <c r="L273" s="100" t="str">
        <f>IFERROR(VLOOKUP(Tablo519[[#This Row],[BOYA KODU]],Tablo14[#All],6,0)," ")</f>
        <v xml:space="preserve"> </v>
      </c>
      <c r="M273" s="100" t="str">
        <f t="shared" si="32"/>
        <v xml:space="preserve"> </v>
      </c>
      <c r="N273" s="100" t="str">
        <f>IFERROR(VLOOKUP(Tablo519[[#This Row],[ÜRÜN KODU]],YMKODLARI!$A$1:$K$363,8,0)," ")</f>
        <v xml:space="preserve"> </v>
      </c>
      <c r="O273" s="100" t="str">
        <f>IFERROR(VLOOKUP(Tablo519[[#This Row],[HAMMADDE KODU]],Tablo1[#All],3,0)," ")</f>
        <v xml:space="preserve"> </v>
      </c>
      <c r="P273" s="100" t="str">
        <f>IFERROR(VLOOKUP(Tablo519[[#This Row],[HAMMADDE KODU]],Tablo1[#All],4,0)," ")</f>
        <v xml:space="preserve"> </v>
      </c>
      <c r="Q273" s="100" t="str">
        <f>IFERROR(VLOOKUP(Tablo519[[#This Row],[ÜRÜN KODU]],YMKODLARI!$A$1:$K$379,5,0)," ")</f>
        <v xml:space="preserve"> </v>
      </c>
      <c r="R273" s="100" t="str">
        <f>IFERROR(VLOOKUP(Tablo519[[#This Row],[ÜRÜN KODU]],YMKODLARI!$A$1:$K$379,6,0)," ")</f>
        <v xml:space="preserve"> </v>
      </c>
      <c r="S273" s="100" t="str">
        <f>IFERROR(Tablo519[[#This Row],[YOLLUK HARİÇ BASKI GRAMI]]/Tablo519[[#This Row],[KALIP GÖZ ADEDİ]]," ")</f>
        <v xml:space="preserve"> </v>
      </c>
      <c r="T273" s="100" t="str">
        <f t="shared" si="33"/>
        <v xml:space="preserve"> </v>
      </c>
      <c r="U273" s="100"/>
      <c r="V273" s="100" t="str">
        <f t="shared" si="31"/>
        <v xml:space="preserve"> </v>
      </c>
      <c r="W273" s="101">
        <f t="shared" si="34"/>
        <v>24</v>
      </c>
      <c r="X273" s="102">
        <f t="shared" si="35"/>
        <v>0</v>
      </c>
      <c r="Y273" s="100" t="str">
        <f t="shared" si="36"/>
        <v xml:space="preserve"> </v>
      </c>
      <c r="Z273" s="100" t="str">
        <f t="shared" si="37"/>
        <v xml:space="preserve"> </v>
      </c>
    </row>
    <row r="274" spans="1:26">
      <c r="A274" s="100"/>
      <c r="B274" s="108" t="str">
        <f>IFERROR(VLOOKUP(Tablo519[[#This Row],[ÜRÜN KODU]],YMKODLARI!$A$1:$K$379,2,0)," ")</f>
        <v xml:space="preserve"> </v>
      </c>
      <c r="C274" s="99"/>
      <c r="D274" s="100"/>
      <c r="E274" s="101"/>
      <c r="F274" s="101"/>
      <c r="G274" s="100" t="str">
        <f>IFERROR(VLOOKUP(Tablo519[[#This Row],[ÜRÜN KODU]],YMKODLARI!$A$1:$K$379,3,0)," ")</f>
        <v xml:space="preserve"> </v>
      </c>
      <c r="H274" s="100" t="str">
        <f>IFERROR(VLOOKUP(Tablo519[[#This Row],[ÜRÜN KODU]],YMKODLARI!$A$1:$K$379,4,0)," ")</f>
        <v xml:space="preserve"> </v>
      </c>
      <c r="I274" s="100"/>
      <c r="J274" s="100" t="str">
        <f>IFERROR(VLOOKUP(Tablo519[[#This Row],[ÜRÜN KODU]],YMKODLARI!$A$1:$K$379,9,0)," ")</f>
        <v xml:space="preserve"> </v>
      </c>
      <c r="K274" s="100" t="str">
        <f>IFERROR(VLOOKUP(Tablo519[[#This Row],[BOYA KODU]],Tablo14[#All],4,0)," ")</f>
        <v xml:space="preserve"> </v>
      </c>
      <c r="L274" s="100" t="str">
        <f>IFERROR(VLOOKUP(Tablo519[[#This Row],[BOYA KODU]],Tablo14[#All],6,0)," ")</f>
        <v xml:space="preserve"> </v>
      </c>
      <c r="M274" s="100" t="str">
        <f t="shared" si="32"/>
        <v xml:space="preserve"> </v>
      </c>
      <c r="N274" s="100" t="str">
        <f>IFERROR(VLOOKUP(Tablo519[[#This Row],[ÜRÜN KODU]],YMKODLARI!$A$1:$K$363,8,0)," ")</f>
        <v xml:space="preserve"> </v>
      </c>
      <c r="O274" s="100" t="str">
        <f>IFERROR(VLOOKUP(Tablo519[[#This Row],[HAMMADDE KODU]],Tablo1[#All],3,0)," ")</f>
        <v xml:space="preserve"> </v>
      </c>
      <c r="P274" s="100" t="str">
        <f>IFERROR(VLOOKUP(Tablo519[[#This Row],[HAMMADDE KODU]],Tablo1[#All],4,0)," ")</f>
        <v xml:space="preserve"> </v>
      </c>
      <c r="Q274" s="100" t="str">
        <f>IFERROR(VLOOKUP(Tablo519[[#This Row],[ÜRÜN KODU]],YMKODLARI!$A$1:$K$379,5,0)," ")</f>
        <v xml:space="preserve"> </v>
      </c>
      <c r="R274" s="100" t="str">
        <f>IFERROR(VLOOKUP(Tablo519[[#This Row],[ÜRÜN KODU]],YMKODLARI!$A$1:$K$379,6,0)," ")</f>
        <v xml:space="preserve"> </v>
      </c>
      <c r="S274" s="100" t="str">
        <f>IFERROR(Tablo519[[#This Row],[YOLLUK HARİÇ BASKI GRAMI]]/Tablo519[[#This Row],[KALIP GÖZ ADEDİ]]," ")</f>
        <v xml:space="preserve"> </v>
      </c>
      <c r="T274" s="100" t="str">
        <f t="shared" si="33"/>
        <v xml:space="preserve"> </v>
      </c>
      <c r="U274" s="100"/>
      <c r="V274" s="100" t="str">
        <f t="shared" si="31"/>
        <v xml:space="preserve"> </v>
      </c>
      <c r="W274" s="101">
        <f t="shared" si="34"/>
        <v>24</v>
      </c>
      <c r="X274" s="102">
        <f t="shared" si="35"/>
        <v>0</v>
      </c>
      <c r="Y274" s="100" t="str">
        <f t="shared" si="36"/>
        <v xml:space="preserve"> </v>
      </c>
      <c r="Z274" s="100" t="str">
        <f t="shared" si="37"/>
        <v xml:space="preserve"> </v>
      </c>
    </row>
    <row r="275" spans="1:26">
      <c r="A275" s="100"/>
      <c r="B275" s="108" t="str">
        <f>IFERROR(VLOOKUP(Tablo519[[#This Row],[ÜRÜN KODU]],YMKODLARI!$A$1:$K$379,2,0)," ")</f>
        <v xml:space="preserve"> </v>
      </c>
      <c r="C275" s="99"/>
      <c r="D275" s="100"/>
      <c r="E275" s="101"/>
      <c r="F275" s="101"/>
      <c r="G275" s="100" t="str">
        <f>IFERROR(VLOOKUP(Tablo519[[#This Row],[ÜRÜN KODU]],YMKODLARI!$A$1:$K$379,3,0)," ")</f>
        <v xml:space="preserve"> </v>
      </c>
      <c r="H275" s="100" t="str">
        <f>IFERROR(VLOOKUP(Tablo519[[#This Row],[ÜRÜN KODU]],YMKODLARI!$A$1:$K$379,4,0)," ")</f>
        <v xml:space="preserve"> </v>
      </c>
      <c r="I275" s="100"/>
      <c r="J275" s="100" t="str">
        <f>IFERROR(VLOOKUP(Tablo519[[#This Row],[ÜRÜN KODU]],YMKODLARI!$A$1:$K$379,9,0)," ")</f>
        <v xml:space="preserve"> </v>
      </c>
      <c r="K275" s="100" t="str">
        <f>IFERROR(VLOOKUP(Tablo519[[#This Row],[BOYA KODU]],Tablo14[#All],4,0)," ")</f>
        <v xml:space="preserve"> </v>
      </c>
      <c r="L275" s="100" t="str">
        <f>IFERROR(VLOOKUP(Tablo519[[#This Row],[BOYA KODU]],Tablo14[#All],6,0)," ")</f>
        <v xml:space="preserve"> </v>
      </c>
      <c r="M275" s="100" t="str">
        <f t="shared" si="32"/>
        <v xml:space="preserve"> </v>
      </c>
      <c r="N275" s="100" t="str">
        <f>IFERROR(VLOOKUP(Tablo519[[#This Row],[ÜRÜN KODU]],YMKODLARI!$A$1:$K$363,8,0)," ")</f>
        <v xml:space="preserve"> </v>
      </c>
      <c r="O275" s="100" t="str">
        <f>IFERROR(VLOOKUP(Tablo519[[#This Row],[HAMMADDE KODU]],Tablo1[#All],3,0)," ")</f>
        <v xml:space="preserve"> </v>
      </c>
      <c r="P275" s="100" t="str">
        <f>IFERROR(VLOOKUP(Tablo519[[#This Row],[HAMMADDE KODU]],Tablo1[#All],4,0)," ")</f>
        <v xml:space="preserve"> </v>
      </c>
      <c r="Q275" s="100" t="str">
        <f>IFERROR(VLOOKUP(Tablo519[[#This Row],[ÜRÜN KODU]],YMKODLARI!$A$1:$K$379,5,0)," ")</f>
        <v xml:space="preserve"> </v>
      </c>
      <c r="R275" s="100" t="str">
        <f>IFERROR(VLOOKUP(Tablo519[[#This Row],[ÜRÜN KODU]],YMKODLARI!$A$1:$K$379,6,0)," ")</f>
        <v xml:space="preserve"> </v>
      </c>
      <c r="S275" s="100" t="str">
        <f>IFERROR(Tablo519[[#This Row],[YOLLUK HARİÇ BASKI GRAMI]]/Tablo519[[#This Row],[KALIP GÖZ ADEDİ]]," ")</f>
        <v xml:space="preserve"> </v>
      </c>
      <c r="T275" s="100" t="str">
        <f t="shared" si="33"/>
        <v xml:space="preserve"> </v>
      </c>
      <c r="U275" s="100"/>
      <c r="V275" s="100" t="str">
        <f t="shared" si="31"/>
        <v xml:space="preserve"> </v>
      </c>
      <c r="W275" s="101">
        <f t="shared" si="34"/>
        <v>24</v>
      </c>
      <c r="X275" s="102">
        <f t="shared" si="35"/>
        <v>0</v>
      </c>
      <c r="Y275" s="100" t="str">
        <f t="shared" si="36"/>
        <v xml:space="preserve"> </v>
      </c>
      <c r="Z275" s="100" t="str">
        <f t="shared" si="37"/>
        <v xml:space="preserve"> </v>
      </c>
    </row>
    <row r="276" spans="1:26">
      <c r="A276" s="100"/>
      <c r="B276" s="108" t="str">
        <f>IFERROR(VLOOKUP(Tablo519[[#This Row],[ÜRÜN KODU]],YMKODLARI!$A$1:$K$379,2,0)," ")</f>
        <v xml:space="preserve"> </v>
      </c>
      <c r="C276" s="99"/>
      <c r="D276" s="100"/>
      <c r="E276" s="101"/>
      <c r="F276" s="101"/>
      <c r="G276" s="100" t="str">
        <f>IFERROR(VLOOKUP(Tablo519[[#This Row],[ÜRÜN KODU]],YMKODLARI!$A$1:$K$379,3,0)," ")</f>
        <v xml:space="preserve"> </v>
      </c>
      <c r="H276" s="100" t="str">
        <f>IFERROR(VLOOKUP(Tablo519[[#This Row],[ÜRÜN KODU]],YMKODLARI!$A$1:$K$379,4,0)," ")</f>
        <v xml:space="preserve"> </v>
      </c>
      <c r="I276" s="100"/>
      <c r="J276" s="100" t="str">
        <f>IFERROR(VLOOKUP(Tablo519[[#This Row],[ÜRÜN KODU]],YMKODLARI!$A$1:$K$379,9,0)," ")</f>
        <v xml:space="preserve"> </v>
      </c>
      <c r="K276" s="100" t="str">
        <f>IFERROR(VLOOKUP(Tablo519[[#This Row],[BOYA KODU]],Tablo14[#All],4,0)," ")</f>
        <v xml:space="preserve"> </v>
      </c>
      <c r="L276" s="100" t="str">
        <f>IFERROR(VLOOKUP(Tablo519[[#This Row],[BOYA KODU]],Tablo14[#All],6,0)," ")</f>
        <v xml:space="preserve"> </v>
      </c>
      <c r="M276" s="100" t="str">
        <f t="shared" si="32"/>
        <v xml:space="preserve"> </v>
      </c>
      <c r="N276" s="100" t="str">
        <f>IFERROR(VLOOKUP(Tablo519[[#This Row],[ÜRÜN KODU]],YMKODLARI!$A$1:$K$363,8,0)," ")</f>
        <v xml:space="preserve"> </v>
      </c>
      <c r="O276" s="100" t="str">
        <f>IFERROR(VLOOKUP(Tablo519[[#This Row],[HAMMADDE KODU]],Tablo1[#All],3,0)," ")</f>
        <v xml:space="preserve"> </v>
      </c>
      <c r="P276" s="100" t="str">
        <f>IFERROR(VLOOKUP(Tablo519[[#This Row],[HAMMADDE KODU]],Tablo1[#All],4,0)," ")</f>
        <v xml:space="preserve"> </v>
      </c>
      <c r="Q276" s="100" t="str">
        <f>IFERROR(VLOOKUP(Tablo519[[#This Row],[ÜRÜN KODU]],YMKODLARI!$A$1:$K$379,5,0)," ")</f>
        <v xml:space="preserve"> </v>
      </c>
      <c r="R276" s="100" t="str">
        <f>IFERROR(VLOOKUP(Tablo519[[#This Row],[ÜRÜN KODU]],YMKODLARI!$A$1:$K$379,6,0)," ")</f>
        <v xml:space="preserve"> </v>
      </c>
      <c r="S276" s="100" t="str">
        <f>IFERROR(Tablo519[[#This Row],[YOLLUK HARİÇ BASKI GRAMI]]/Tablo519[[#This Row],[KALIP GÖZ ADEDİ]]," ")</f>
        <v xml:space="preserve"> </v>
      </c>
      <c r="T276" s="100" t="str">
        <f t="shared" si="33"/>
        <v xml:space="preserve"> </v>
      </c>
      <c r="U276" s="100"/>
      <c r="V276" s="100" t="str">
        <f t="shared" si="31"/>
        <v xml:space="preserve"> </v>
      </c>
      <c r="W276" s="101">
        <f t="shared" si="34"/>
        <v>24</v>
      </c>
      <c r="X276" s="102">
        <f t="shared" si="35"/>
        <v>0</v>
      </c>
      <c r="Y276" s="100" t="str">
        <f t="shared" si="36"/>
        <v xml:space="preserve"> </v>
      </c>
      <c r="Z276" s="100" t="str">
        <f t="shared" si="37"/>
        <v xml:space="preserve"> </v>
      </c>
    </row>
    <row r="277" spans="1:26">
      <c r="A277" s="100"/>
      <c r="B277" s="108" t="str">
        <f>IFERROR(VLOOKUP(Tablo519[[#This Row],[ÜRÜN KODU]],YMKODLARI!$A$1:$K$379,2,0)," ")</f>
        <v xml:space="preserve"> </v>
      </c>
      <c r="C277" s="99"/>
      <c r="D277" s="100"/>
      <c r="E277" s="101"/>
      <c r="F277" s="101"/>
      <c r="G277" s="100" t="str">
        <f>IFERROR(VLOOKUP(Tablo519[[#This Row],[ÜRÜN KODU]],YMKODLARI!$A$1:$K$379,3,0)," ")</f>
        <v xml:space="preserve"> </v>
      </c>
      <c r="H277" s="100" t="str">
        <f>IFERROR(VLOOKUP(Tablo519[[#This Row],[ÜRÜN KODU]],YMKODLARI!$A$1:$K$379,4,0)," ")</f>
        <v xml:space="preserve"> </v>
      </c>
      <c r="I277" s="100"/>
      <c r="J277" s="100" t="str">
        <f>IFERROR(VLOOKUP(Tablo519[[#This Row],[ÜRÜN KODU]],YMKODLARI!$A$1:$K$379,9,0)," ")</f>
        <v xml:space="preserve"> </v>
      </c>
      <c r="K277" s="100" t="str">
        <f>IFERROR(VLOOKUP(Tablo519[[#This Row],[BOYA KODU]],Tablo14[#All],4,0)," ")</f>
        <v xml:space="preserve"> </v>
      </c>
      <c r="L277" s="100" t="str">
        <f>IFERROR(VLOOKUP(Tablo519[[#This Row],[BOYA KODU]],Tablo14[#All],6,0)," ")</f>
        <v xml:space="preserve"> </v>
      </c>
      <c r="M277" s="100" t="str">
        <f t="shared" si="32"/>
        <v xml:space="preserve"> </v>
      </c>
      <c r="N277" s="100" t="str">
        <f>IFERROR(VLOOKUP(Tablo519[[#This Row],[ÜRÜN KODU]],YMKODLARI!$A$1:$K$363,8,0)," ")</f>
        <v xml:space="preserve"> </v>
      </c>
      <c r="O277" s="100" t="str">
        <f>IFERROR(VLOOKUP(Tablo519[[#This Row],[HAMMADDE KODU]],Tablo1[#All],3,0)," ")</f>
        <v xml:space="preserve"> </v>
      </c>
      <c r="P277" s="100" t="str">
        <f>IFERROR(VLOOKUP(Tablo519[[#This Row],[HAMMADDE KODU]],Tablo1[#All],4,0)," ")</f>
        <v xml:space="preserve"> </v>
      </c>
      <c r="Q277" s="100" t="str">
        <f>IFERROR(VLOOKUP(Tablo519[[#This Row],[ÜRÜN KODU]],YMKODLARI!$A$1:$K$379,5,0)," ")</f>
        <v xml:space="preserve"> </v>
      </c>
      <c r="R277" s="100" t="str">
        <f>IFERROR(VLOOKUP(Tablo519[[#This Row],[ÜRÜN KODU]],YMKODLARI!$A$1:$K$379,6,0)," ")</f>
        <v xml:space="preserve"> </v>
      </c>
      <c r="S277" s="100" t="str">
        <f>IFERROR(Tablo519[[#This Row],[YOLLUK HARİÇ BASKI GRAMI]]/Tablo519[[#This Row],[KALIP GÖZ ADEDİ]]," ")</f>
        <v xml:space="preserve"> </v>
      </c>
      <c r="T277" s="100" t="str">
        <f t="shared" si="33"/>
        <v xml:space="preserve"> </v>
      </c>
      <c r="U277" s="100"/>
      <c r="V277" s="100" t="str">
        <f t="shared" si="31"/>
        <v xml:space="preserve"> </v>
      </c>
      <c r="W277" s="101">
        <f t="shared" si="34"/>
        <v>24</v>
      </c>
      <c r="X277" s="102">
        <f t="shared" si="35"/>
        <v>0</v>
      </c>
      <c r="Y277" s="100" t="str">
        <f t="shared" si="36"/>
        <v xml:space="preserve"> </v>
      </c>
      <c r="Z277" s="100" t="str">
        <f t="shared" si="37"/>
        <v xml:space="preserve"> </v>
      </c>
    </row>
    <row r="278" spans="1:26">
      <c r="A278" s="100"/>
      <c r="B278" s="108" t="str">
        <f>IFERROR(VLOOKUP(Tablo519[[#This Row],[ÜRÜN KODU]],YMKODLARI!$A$1:$K$379,2,0)," ")</f>
        <v xml:space="preserve"> </v>
      </c>
      <c r="C278" s="99"/>
      <c r="D278" s="100"/>
      <c r="E278" s="101"/>
      <c r="F278" s="101"/>
      <c r="G278" s="100" t="str">
        <f>IFERROR(VLOOKUP(Tablo519[[#This Row],[ÜRÜN KODU]],YMKODLARI!$A$1:$K$379,3,0)," ")</f>
        <v xml:space="preserve"> </v>
      </c>
      <c r="H278" s="100" t="str">
        <f>IFERROR(VLOOKUP(Tablo519[[#This Row],[ÜRÜN KODU]],YMKODLARI!$A$1:$K$379,4,0)," ")</f>
        <v xml:space="preserve"> </v>
      </c>
      <c r="I278" s="100"/>
      <c r="J278" s="100" t="str">
        <f>IFERROR(VLOOKUP(Tablo519[[#This Row],[ÜRÜN KODU]],YMKODLARI!$A$1:$K$379,9,0)," ")</f>
        <v xml:space="preserve"> </v>
      </c>
      <c r="K278" s="100" t="str">
        <f>IFERROR(VLOOKUP(Tablo519[[#This Row],[BOYA KODU]],Tablo14[#All],4,0)," ")</f>
        <v xml:space="preserve"> </v>
      </c>
      <c r="L278" s="100" t="str">
        <f>IFERROR(VLOOKUP(Tablo519[[#This Row],[BOYA KODU]],Tablo14[#All],6,0)," ")</f>
        <v xml:space="preserve"> </v>
      </c>
      <c r="M278" s="100" t="str">
        <f t="shared" si="32"/>
        <v xml:space="preserve"> </v>
      </c>
      <c r="N278" s="100" t="str">
        <f>IFERROR(VLOOKUP(Tablo519[[#This Row],[ÜRÜN KODU]],YMKODLARI!$A$1:$K$363,8,0)," ")</f>
        <v xml:space="preserve"> </v>
      </c>
      <c r="O278" s="100" t="str">
        <f>IFERROR(VLOOKUP(Tablo519[[#This Row],[HAMMADDE KODU]],Tablo1[#All],3,0)," ")</f>
        <v xml:space="preserve"> </v>
      </c>
      <c r="P278" s="100" t="str">
        <f>IFERROR(VLOOKUP(Tablo519[[#This Row],[HAMMADDE KODU]],Tablo1[#All],4,0)," ")</f>
        <v xml:space="preserve"> </v>
      </c>
      <c r="Q278" s="100" t="str">
        <f>IFERROR(VLOOKUP(Tablo519[[#This Row],[ÜRÜN KODU]],YMKODLARI!$A$1:$K$379,5,0)," ")</f>
        <v xml:space="preserve"> </v>
      </c>
      <c r="R278" s="100" t="str">
        <f>IFERROR(VLOOKUP(Tablo519[[#This Row],[ÜRÜN KODU]],YMKODLARI!$A$1:$K$379,6,0)," ")</f>
        <v xml:space="preserve"> </v>
      </c>
      <c r="S278" s="100" t="str">
        <f>IFERROR(Tablo519[[#This Row],[YOLLUK HARİÇ BASKI GRAMI]]/Tablo519[[#This Row],[KALIP GÖZ ADEDİ]]," ")</f>
        <v xml:space="preserve"> </v>
      </c>
      <c r="T278" s="100" t="str">
        <f t="shared" si="33"/>
        <v xml:space="preserve"> </v>
      </c>
      <c r="U278" s="100"/>
      <c r="V278" s="100" t="str">
        <f t="shared" si="31"/>
        <v xml:space="preserve"> </v>
      </c>
      <c r="W278" s="101">
        <f t="shared" si="34"/>
        <v>24</v>
      </c>
      <c r="X278" s="102">
        <f t="shared" si="35"/>
        <v>0</v>
      </c>
      <c r="Y278" s="100" t="str">
        <f t="shared" si="36"/>
        <v xml:space="preserve"> </v>
      </c>
      <c r="Z278" s="100" t="str">
        <f t="shared" si="37"/>
        <v xml:space="preserve"> </v>
      </c>
    </row>
    <row r="279" spans="1:26">
      <c r="A279" s="100"/>
      <c r="B279" s="108" t="str">
        <f>IFERROR(VLOOKUP(Tablo519[[#This Row],[ÜRÜN KODU]],YMKODLARI!$A$1:$K$379,2,0)," ")</f>
        <v xml:space="preserve"> </v>
      </c>
      <c r="C279" s="99"/>
      <c r="D279" s="100"/>
      <c r="E279" s="101"/>
      <c r="F279" s="101"/>
      <c r="G279" s="100" t="str">
        <f>IFERROR(VLOOKUP(Tablo519[[#This Row],[ÜRÜN KODU]],YMKODLARI!$A$1:$K$379,3,0)," ")</f>
        <v xml:space="preserve"> </v>
      </c>
      <c r="H279" s="100" t="str">
        <f>IFERROR(VLOOKUP(Tablo519[[#This Row],[ÜRÜN KODU]],YMKODLARI!$A$1:$K$379,4,0)," ")</f>
        <v xml:space="preserve"> </v>
      </c>
      <c r="I279" s="100"/>
      <c r="J279" s="100" t="str">
        <f>IFERROR(VLOOKUP(Tablo519[[#This Row],[ÜRÜN KODU]],YMKODLARI!$A$1:$K$379,9,0)," ")</f>
        <v xml:space="preserve"> </v>
      </c>
      <c r="K279" s="100" t="str">
        <f>IFERROR(VLOOKUP(Tablo519[[#This Row],[BOYA KODU]],Tablo14[#All],4,0)," ")</f>
        <v xml:space="preserve"> </v>
      </c>
      <c r="L279" s="100" t="str">
        <f>IFERROR(VLOOKUP(Tablo519[[#This Row],[BOYA KODU]],Tablo14[#All],6,0)," ")</f>
        <v xml:space="preserve"> </v>
      </c>
      <c r="M279" s="100" t="str">
        <f t="shared" si="32"/>
        <v xml:space="preserve"> </v>
      </c>
      <c r="N279" s="100" t="str">
        <f>IFERROR(VLOOKUP(Tablo519[[#This Row],[ÜRÜN KODU]],YMKODLARI!$A$1:$K$363,8,0)," ")</f>
        <v xml:space="preserve"> </v>
      </c>
      <c r="O279" s="100" t="str">
        <f>IFERROR(VLOOKUP(Tablo519[[#This Row],[HAMMADDE KODU]],Tablo1[#All],3,0)," ")</f>
        <v xml:space="preserve"> </v>
      </c>
      <c r="P279" s="100" t="str">
        <f>IFERROR(VLOOKUP(Tablo519[[#This Row],[HAMMADDE KODU]],Tablo1[#All],4,0)," ")</f>
        <v xml:space="preserve"> </v>
      </c>
      <c r="Q279" s="100" t="str">
        <f>IFERROR(VLOOKUP(Tablo519[[#This Row],[ÜRÜN KODU]],YMKODLARI!$A$1:$K$379,5,0)," ")</f>
        <v xml:space="preserve"> </v>
      </c>
      <c r="R279" s="100" t="str">
        <f>IFERROR(VLOOKUP(Tablo519[[#This Row],[ÜRÜN KODU]],YMKODLARI!$A$1:$K$379,6,0)," ")</f>
        <v xml:space="preserve"> </v>
      </c>
      <c r="S279" s="100" t="str">
        <f>IFERROR(Tablo519[[#This Row],[YOLLUK HARİÇ BASKI GRAMI]]/Tablo519[[#This Row],[KALIP GÖZ ADEDİ]]," ")</f>
        <v xml:space="preserve"> </v>
      </c>
      <c r="T279" s="100" t="str">
        <f t="shared" si="33"/>
        <v xml:space="preserve"> </v>
      </c>
      <c r="U279" s="100"/>
      <c r="V279" s="100" t="str">
        <f t="shared" si="31"/>
        <v xml:space="preserve"> </v>
      </c>
      <c r="W279" s="101">
        <f t="shared" si="34"/>
        <v>24</v>
      </c>
      <c r="X279" s="102">
        <f t="shared" si="35"/>
        <v>0</v>
      </c>
      <c r="Y279" s="100" t="str">
        <f t="shared" si="36"/>
        <v xml:space="preserve"> </v>
      </c>
      <c r="Z279" s="100" t="str">
        <f t="shared" si="37"/>
        <v xml:space="preserve"> </v>
      </c>
    </row>
    <row r="280" spans="1:26">
      <c r="A280" s="100"/>
      <c r="B280" s="108" t="str">
        <f>IFERROR(VLOOKUP(Tablo519[[#This Row],[ÜRÜN KODU]],YMKODLARI!$A$1:$K$379,2,0)," ")</f>
        <v xml:space="preserve"> </v>
      </c>
      <c r="C280" s="99"/>
      <c r="D280" s="100"/>
      <c r="E280" s="101"/>
      <c r="F280" s="101"/>
      <c r="G280" s="100" t="str">
        <f>IFERROR(VLOOKUP(Tablo519[[#This Row],[ÜRÜN KODU]],YMKODLARI!$A$1:$K$379,3,0)," ")</f>
        <v xml:space="preserve"> </v>
      </c>
      <c r="H280" s="100" t="str">
        <f>IFERROR(VLOOKUP(Tablo519[[#This Row],[ÜRÜN KODU]],YMKODLARI!$A$1:$K$379,4,0)," ")</f>
        <v xml:space="preserve"> </v>
      </c>
      <c r="I280" s="100"/>
      <c r="J280" s="100" t="str">
        <f>IFERROR(VLOOKUP(Tablo519[[#This Row],[ÜRÜN KODU]],YMKODLARI!$A$1:$K$379,9,0)," ")</f>
        <v xml:space="preserve"> </v>
      </c>
      <c r="K280" s="100" t="str">
        <f>IFERROR(VLOOKUP(Tablo519[[#This Row],[BOYA KODU]],Tablo14[#All],4,0)," ")</f>
        <v xml:space="preserve"> </v>
      </c>
      <c r="L280" s="100" t="str">
        <f>IFERROR(VLOOKUP(Tablo519[[#This Row],[BOYA KODU]],Tablo14[#All],6,0)," ")</f>
        <v xml:space="preserve"> </v>
      </c>
      <c r="M280" s="100" t="str">
        <f t="shared" si="32"/>
        <v xml:space="preserve"> </v>
      </c>
      <c r="N280" s="100" t="str">
        <f>IFERROR(VLOOKUP(Tablo519[[#This Row],[ÜRÜN KODU]],YMKODLARI!$A$1:$K$363,8,0)," ")</f>
        <v xml:space="preserve"> </v>
      </c>
      <c r="O280" s="100" t="str">
        <f>IFERROR(VLOOKUP(Tablo519[[#This Row],[HAMMADDE KODU]],Tablo1[#All],3,0)," ")</f>
        <v xml:space="preserve"> </v>
      </c>
      <c r="P280" s="100" t="str">
        <f>IFERROR(VLOOKUP(Tablo519[[#This Row],[HAMMADDE KODU]],Tablo1[#All],4,0)," ")</f>
        <v xml:space="preserve"> </v>
      </c>
      <c r="Q280" s="100" t="str">
        <f>IFERROR(VLOOKUP(Tablo519[[#This Row],[ÜRÜN KODU]],YMKODLARI!$A$1:$K$379,5,0)," ")</f>
        <v xml:space="preserve"> </v>
      </c>
      <c r="R280" s="100" t="str">
        <f>IFERROR(VLOOKUP(Tablo519[[#This Row],[ÜRÜN KODU]],YMKODLARI!$A$1:$K$379,6,0)," ")</f>
        <v xml:space="preserve"> </v>
      </c>
      <c r="S280" s="100" t="str">
        <f>IFERROR(Tablo519[[#This Row],[YOLLUK HARİÇ BASKI GRAMI]]/Tablo519[[#This Row],[KALIP GÖZ ADEDİ]]," ")</f>
        <v xml:space="preserve"> </v>
      </c>
      <c r="T280" s="100" t="str">
        <f t="shared" si="33"/>
        <v xml:space="preserve"> </v>
      </c>
      <c r="U280" s="100"/>
      <c r="V280" s="100" t="str">
        <f t="shared" si="31"/>
        <v xml:space="preserve"> </v>
      </c>
      <c r="W280" s="101">
        <f t="shared" si="34"/>
        <v>24</v>
      </c>
      <c r="X280" s="102">
        <f t="shared" si="35"/>
        <v>0</v>
      </c>
      <c r="Y280" s="100" t="str">
        <f t="shared" si="36"/>
        <v xml:space="preserve"> </v>
      </c>
      <c r="Z280" s="100" t="str">
        <f t="shared" si="37"/>
        <v xml:space="preserve"> </v>
      </c>
    </row>
    <row r="281" spans="1:26">
      <c r="A281" s="100"/>
      <c r="B281" s="108" t="str">
        <f>IFERROR(VLOOKUP(Tablo519[[#This Row],[ÜRÜN KODU]],YMKODLARI!$A$1:$K$379,2,0)," ")</f>
        <v xml:space="preserve"> </v>
      </c>
      <c r="C281" s="99"/>
      <c r="D281" s="100"/>
      <c r="E281" s="101"/>
      <c r="F281" s="101"/>
      <c r="G281" s="100" t="str">
        <f>IFERROR(VLOOKUP(Tablo519[[#This Row],[ÜRÜN KODU]],YMKODLARI!$A$1:$K$379,3,0)," ")</f>
        <v xml:space="preserve"> </v>
      </c>
      <c r="H281" s="100" t="str">
        <f>IFERROR(VLOOKUP(Tablo519[[#This Row],[ÜRÜN KODU]],YMKODLARI!$A$1:$K$379,4,0)," ")</f>
        <v xml:space="preserve"> </v>
      </c>
      <c r="I281" s="100"/>
      <c r="J281" s="100" t="str">
        <f>IFERROR(VLOOKUP(Tablo519[[#This Row],[ÜRÜN KODU]],YMKODLARI!$A$1:$K$379,9,0)," ")</f>
        <v xml:space="preserve"> </v>
      </c>
      <c r="K281" s="100" t="str">
        <f>IFERROR(VLOOKUP(Tablo519[[#This Row],[BOYA KODU]],Tablo14[#All],4,0)," ")</f>
        <v xml:space="preserve"> </v>
      </c>
      <c r="L281" s="100" t="str">
        <f>IFERROR(VLOOKUP(Tablo519[[#This Row],[BOYA KODU]],Tablo14[#All],6,0)," ")</f>
        <v xml:space="preserve"> </v>
      </c>
      <c r="M281" s="100" t="str">
        <f t="shared" si="32"/>
        <v xml:space="preserve"> </v>
      </c>
      <c r="N281" s="100" t="str">
        <f>IFERROR(VLOOKUP(Tablo519[[#This Row],[ÜRÜN KODU]],YMKODLARI!$A$1:$K$363,8,0)," ")</f>
        <v xml:space="preserve"> </v>
      </c>
      <c r="O281" s="100" t="str">
        <f>IFERROR(VLOOKUP(Tablo519[[#This Row],[HAMMADDE KODU]],Tablo1[#All],3,0)," ")</f>
        <v xml:space="preserve"> </v>
      </c>
      <c r="P281" s="100" t="str">
        <f>IFERROR(VLOOKUP(Tablo519[[#This Row],[HAMMADDE KODU]],Tablo1[#All],4,0)," ")</f>
        <v xml:space="preserve"> </v>
      </c>
      <c r="Q281" s="100" t="str">
        <f>IFERROR(VLOOKUP(Tablo519[[#This Row],[ÜRÜN KODU]],YMKODLARI!$A$1:$K$379,5,0)," ")</f>
        <v xml:space="preserve"> </v>
      </c>
      <c r="R281" s="100" t="str">
        <f>IFERROR(VLOOKUP(Tablo519[[#This Row],[ÜRÜN KODU]],YMKODLARI!$A$1:$K$379,6,0)," ")</f>
        <v xml:space="preserve"> </v>
      </c>
      <c r="S281" s="100" t="str">
        <f>IFERROR(Tablo519[[#This Row],[YOLLUK HARİÇ BASKI GRAMI]]/Tablo519[[#This Row],[KALIP GÖZ ADEDİ]]," ")</f>
        <v xml:space="preserve"> </v>
      </c>
      <c r="T281" s="100" t="str">
        <f t="shared" si="33"/>
        <v xml:space="preserve"> </v>
      </c>
      <c r="U281" s="100"/>
      <c r="V281" s="100" t="str">
        <f t="shared" si="31"/>
        <v xml:space="preserve"> </v>
      </c>
      <c r="W281" s="101">
        <f t="shared" si="34"/>
        <v>24</v>
      </c>
      <c r="X281" s="102">
        <f t="shared" si="35"/>
        <v>0</v>
      </c>
      <c r="Y281" s="100" t="str">
        <f t="shared" si="36"/>
        <v xml:space="preserve"> </v>
      </c>
      <c r="Z281" s="100" t="str">
        <f t="shared" si="37"/>
        <v xml:space="preserve"> </v>
      </c>
    </row>
    <row r="282" spans="1:26">
      <c r="A282" s="100"/>
      <c r="B282" s="108" t="str">
        <f>IFERROR(VLOOKUP(Tablo519[[#This Row],[ÜRÜN KODU]],YMKODLARI!$A$1:$K$379,2,0)," ")</f>
        <v xml:space="preserve"> </v>
      </c>
      <c r="C282" s="99"/>
      <c r="D282" s="100"/>
      <c r="E282" s="101"/>
      <c r="F282" s="101"/>
      <c r="G282" s="100" t="str">
        <f>IFERROR(VLOOKUP(Tablo519[[#This Row],[ÜRÜN KODU]],YMKODLARI!$A$1:$K$379,3,0)," ")</f>
        <v xml:space="preserve"> </v>
      </c>
      <c r="H282" s="100" t="str">
        <f>IFERROR(VLOOKUP(Tablo519[[#This Row],[ÜRÜN KODU]],YMKODLARI!$A$1:$K$379,4,0)," ")</f>
        <v xml:space="preserve"> </v>
      </c>
      <c r="I282" s="100"/>
      <c r="J282" s="100" t="str">
        <f>IFERROR(VLOOKUP(Tablo519[[#This Row],[ÜRÜN KODU]],YMKODLARI!$A$1:$K$379,9,0)," ")</f>
        <v xml:space="preserve"> </v>
      </c>
      <c r="K282" s="100" t="str">
        <f>IFERROR(VLOOKUP(Tablo519[[#This Row],[BOYA KODU]],Tablo14[#All],4,0)," ")</f>
        <v xml:space="preserve"> </v>
      </c>
      <c r="L282" s="100" t="str">
        <f>IFERROR(VLOOKUP(Tablo519[[#This Row],[BOYA KODU]],Tablo14[#All],6,0)," ")</f>
        <v xml:space="preserve"> </v>
      </c>
      <c r="M282" s="100" t="str">
        <f t="shared" si="32"/>
        <v xml:space="preserve"> </v>
      </c>
      <c r="N282" s="100" t="str">
        <f>IFERROR(VLOOKUP(Tablo519[[#This Row],[ÜRÜN KODU]],YMKODLARI!$A$1:$K$363,8,0)," ")</f>
        <v xml:space="preserve"> </v>
      </c>
      <c r="O282" s="100" t="str">
        <f>IFERROR(VLOOKUP(Tablo519[[#This Row],[HAMMADDE KODU]],Tablo1[#All],3,0)," ")</f>
        <v xml:space="preserve"> </v>
      </c>
      <c r="P282" s="100" t="str">
        <f>IFERROR(VLOOKUP(Tablo519[[#This Row],[HAMMADDE KODU]],Tablo1[#All],4,0)," ")</f>
        <v xml:space="preserve"> </v>
      </c>
      <c r="Q282" s="100" t="str">
        <f>IFERROR(VLOOKUP(Tablo519[[#This Row],[ÜRÜN KODU]],YMKODLARI!$A$1:$K$379,5,0)," ")</f>
        <v xml:space="preserve"> </v>
      </c>
      <c r="R282" s="100" t="str">
        <f>IFERROR(VLOOKUP(Tablo519[[#This Row],[ÜRÜN KODU]],YMKODLARI!$A$1:$K$379,6,0)," ")</f>
        <v xml:space="preserve"> </v>
      </c>
      <c r="S282" s="100" t="str">
        <f>IFERROR(Tablo519[[#This Row],[YOLLUK HARİÇ BASKI GRAMI]]/Tablo519[[#This Row],[KALIP GÖZ ADEDİ]]," ")</f>
        <v xml:space="preserve"> </v>
      </c>
      <c r="T282" s="100" t="str">
        <f t="shared" si="33"/>
        <v xml:space="preserve"> </v>
      </c>
      <c r="U282" s="100"/>
      <c r="V282" s="100" t="str">
        <f t="shared" si="31"/>
        <v xml:space="preserve"> </v>
      </c>
      <c r="W282" s="101">
        <f t="shared" si="34"/>
        <v>24</v>
      </c>
      <c r="X282" s="102">
        <f t="shared" si="35"/>
        <v>0</v>
      </c>
      <c r="Y282" s="100" t="str">
        <f t="shared" si="36"/>
        <v xml:space="preserve"> </v>
      </c>
      <c r="Z282" s="100" t="str">
        <f t="shared" si="37"/>
        <v xml:space="preserve"> </v>
      </c>
    </row>
    <row r="283" spans="1:26">
      <c r="A283" s="100"/>
      <c r="B283" s="108" t="str">
        <f>IFERROR(VLOOKUP(Tablo519[[#This Row],[ÜRÜN KODU]],YMKODLARI!$A$1:$K$379,2,0)," ")</f>
        <v xml:space="preserve"> </v>
      </c>
      <c r="C283" s="99"/>
      <c r="D283" s="100"/>
      <c r="E283" s="101"/>
      <c r="F283" s="101"/>
      <c r="G283" s="100" t="str">
        <f>IFERROR(VLOOKUP(Tablo519[[#This Row],[ÜRÜN KODU]],YMKODLARI!$A$1:$K$379,3,0)," ")</f>
        <v xml:space="preserve"> </v>
      </c>
      <c r="H283" s="100" t="str">
        <f>IFERROR(VLOOKUP(Tablo519[[#This Row],[ÜRÜN KODU]],YMKODLARI!$A$1:$K$379,4,0)," ")</f>
        <v xml:space="preserve"> </v>
      </c>
      <c r="I283" s="100"/>
      <c r="J283" s="100" t="str">
        <f>IFERROR(VLOOKUP(Tablo519[[#This Row],[ÜRÜN KODU]],YMKODLARI!$A$1:$K$379,9,0)," ")</f>
        <v xml:space="preserve"> </v>
      </c>
      <c r="K283" s="100" t="str">
        <f>IFERROR(VLOOKUP(Tablo519[[#This Row],[BOYA KODU]],Tablo14[#All],4,0)," ")</f>
        <v xml:space="preserve"> </v>
      </c>
      <c r="L283" s="100" t="str">
        <f>IFERROR(VLOOKUP(Tablo519[[#This Row],[BOYA KODU]],Tablo14[#All],6,0)," ")</f>
        <v xml:space="preserve"> </v>
      </c>
      <c r="M283" s="100" t="str">
        <f t="shared" si="32"/>
        <v xml:space="preserve"> </v>
      </c>
      <c r="N283" s="100" t="str">
        <f>IFERROR(VLOOKUP(Tablo519[[#This Row],[ÜRÜN KODU]],YMKODLARI!$A$1:$K$363,8,0)," ")</f>
        <v xml:space="preserve"> </v>
      </c>
      <c r="O283" s="100" t="str">
        <f>IFERROR(VLOOKUP(Tablo519[[#This Row],[HAMMADDE KODU]],Tablo1[#All],3,0)," ")</f>
        <v xml:space="preserve"> </v>
      </c>
      <c r="P283" s="100" t="str">
        <f>IFERROR(VLOOKUP(Tablo519[[#This Row],[HAMMADDE KODU]],Tablo1[#All],4,0)," ")</f>
        <v xml:space="preserve"> </v>
      </c>
      <c r="Q283" s="100" t="str">
        <f>IFERROR(VLOOKUP(Tablo519[[#This Row],[ÜRÜN KODU]],YMKODLARI!$A$1:$K$379,5,0)," ")</f>
        <v xml:space="preserve"> </v>
      </c>
      <c r="R283" s="100" t="str">
        <f>IFERROR(VLOOKUP(Tablo519[[#This Row],[ÜRÜN KODU]],YMKODLARI!$A$1:$K$379,6,0)," ")</f>
        <v xml:space="preserve"> </v>
      </c>
      <c r="S283" s="100" t="str">
        <f>IFERROR(Tablo519[[#This Row],[YOLLUK HARİÇ BASKI GRAMI]]/Tablo519[[#This Row],[KALIP GÖZ ADEDİ]]," ")</f>
        <v xml:space="preserve"> </v>
      </c>
      <c r="T283" s="100" t="str">
        <f t="shared" si="33"/>
        <v xml:space="preserve"> </v>
      </c>
      <c r="U283" s="100"/>
      <c r="V283" s="100" t="str">
        <f t="shared" si="31"/>
        <v xml:space="preserve"> </v>
      </c>
      <c r="W283" s="101">
        <f t="shared" si="34"/>
        <v>24</v>
      </c>
      <c r="X283" s="102">
        <f t="shared" si="35"/>
        <v>0</v>
      </c>
      <c r="Y283" s="100" t="str">
        <f t="shared" si="36"/>
        <v xml:space="preserve"> </v>
      </c>
      <c r="Z283" s="100" t="str">
        <f t="shared" si="37"/>
        <v xml:space="preserve"> </v>
      </c>
    </row>
    <row r="284" spans="1:26">
      <c r="A284" s="100"/>
      <c r="B284" s="108" t="str">
        <f>IFERROR(VLOOKUP(Tablo519[[#This Row],[ÜRÜN KODU]],YMKODLARI!$A$1:$K$379,2,0)," ")</f>
        <v xml:space="preserve"> </v>
      </c>
      <c r="C284" s="99"/>
      <c r="D284" s="100"/>
      <c r="E284" s="101"/>
      <c r="F284" s="101"/>
      <c r="G284" s="100" t="str">
        <f>IFERROR(VLOOKUP(Tablo519[[#This Row],[ÜRÜN KODU]],YMKODLARI!$A$1:$K$379,3,0)," ")</f>
        <v xml:space="preserve"> </v>
      </c>
      <c r="H284" s="100" t="str">
        <f>IFERROR(VLOOKUP(Tablo519[[#This Row],[ÜRÜN KODU]],YMKODLARI!$A$1:$K$379,4,0)," ")</f>
        <v xml:space="preserve"> </v>
      </c>
      <c r="I284" s="100"/>
      <c r="J284" s="100" t="str">
        <f>IFERROR(VLOOKUP(Tablo519[[#This Row],[ÜRÜN KODU]],YMKODLARI!$A$1:$K$379,9,0)," ")</f>
        <v xml:space="preserve"> </v>
      </c>
      <c r="K284" s="100" t="str">
        <f>IFERROR(VLOOKUP(Tablo519[[#This Row],[BOYA KODU]],Tablo14[#All],4,0)," ")</f>
        <v xml:space="preserve"> </v>
      </c>
      <c r="L284" s="100" t="str">
        <f>IFERROR(VLOOKUP(Tablo519[[#This Row],[BOYA KODU]],Tablo14[#All],6,0)," ")</f>
        <v xml:space="preserve"> </v>
      </c>
      <c r="M284" s="100" t="str">
        <f t="shared" si="32"/>
        <v xml:space="preserve"> </v>
      </c>
      <c r="N284" s="100" t="str">
        <f>IFERROR(VLOOKUP(Tablo519[[#This Row],[ÜRÜN KODU]],YMKODLARI!$A$1:$K$363,8,0)," ")</f>
        <v xml:space="preserve"> </v>
      </c>
      <c r="O284" s="100" t="str">
        <f>IFERROR(VLOOKUP(Tablo519[[#This Row],[HAMMADDE KODU]],Tablo1[#All],3,0)," ")</f>
        <v xml:space="preserve"> </v>
      </c>
      <c r="P284" s="100" t="str">
        <f>IFERROR(VLOOKUP(Tablo519[[#This Row],[HAMMADDE KODU]],Tablo1[#All],4,0)," ")</f>
        <v xml:space="preserve"> </v>
      </c>
      <c r="Q284" s="100" t="str">
        <f>IFERROR(VLOOKUP(Tablo519[[#This Row],[ÜRÜN KODU]],YMKODLARI!$A$1:$K$379,5,0)," ")</f>
        <v xml:space="preserve"> </v>
      </c>
      <c r="R284" s="100" t="str">
        <f>IFERROR(VLOOKUP(Tablo519[[#This Row],[ÜRÜN KODU]],YMKODLARI!$A$1:$K$379,6,0)," ")</f>
        <v xml:space="preserve"> </v>
      </c>
      <c r="S284" s="100" t="str">
        <f>IFERROR(Tablo519[[#This Row],[YOLLUK HARİÇ BASKI GRAMI]]/Tablo519[[#This Row],[KALIP GÖZ ADEDİ]]," ")</f>
        <v xml:space="preserve"> </v>
      </c>
      <c r="T284" s="100" t="str">
        <f t="shared" si="33"/>
        <v xml:space="preserve"> </v>
      </c>
      <c r="U284" s="100"/>
      <c r="V284" s="100" t="str">
        <f t="shared" si="31"/>
        <v xml:space="preserve"> </v>
      </c>
      <c r="W284" s="101">
        <f t="shared" si="34"/>
        <v>24</v>
      </c>
      <c r="X284" s="102">
        <f t="shared" si="35"/>
        <v>0</v>
      </c>
      <c r="Y284" s="100" t="str">
        <f t="shared" si="36"/>
        <v xml:space="preserve"> </v>
      </c>
      <c r="Z284" s="100" t="str">
        <f t="shared" si="37"/>
        <v xml:space="preserve"> </v>
      </c>
    </row>
    <row r="285" spans="1:26">
      <c r="A285" s="100"/>
      <c r="B285" s="108" t="str">
        <f>IFERROR(VLOOKUP(Tablo519[[#This Row],[ÜRÜN KODU]],YMKODLARI!$A$1:$K$379,2,0)," ")</f>
        <v xml:space="preserve"> </v>
      </c>
      <c r="C285" s="99"/>
      <c r="D285" s="100"/>
      <c r="E285" s="101"/>
      <c r="F285" s="101"/>
      <c r="G285" s="100" t="str">
        <f>IFERROR(VLOOKUP(Tablo519[[#This Row],[ÜRÜN KODU]],YMKODLARI!$A$1:$K$379,3,0)," ")</f>
        <v xml:space="preserve"> </v>
      </c>
      <c r="H285" s="100" t="str">
        <f>IFERROR(VLOOKUP(Tablo519[[#This Row],[ÜRÜN KODU]],YMKODLARI!$A$1:$K$379,4,0)," ")</f>
        <v xml:space="preserve"> </v>
      </c>
      <c r="I285" s="100"/>
      <c r="J285" s="100" t="str">
        <f>IFERROR(VLOOKUP(Tablo519[[#This Row],[ÜRÜN KODU]],YMKODLARI!$A$1:$K$379,9,0)," ")</f>
        <v xml:space="preserve"> </v>
      </c>
      <c r="K285" s="100" t="str">
        <f>IFERROR(VLOOKUP(Tablo519[[#This Row],[BOYA KODU]],Tablo14[#All],4,0)," ")</f>
        <v xml:space="preserve"> </v>
      </c>
      <c r="L285" s="100" t="str">
        <f>IFERROR(VLOOKUP(Tablo519[[#This Row],[BOYA KODU]],Tablo14[#All],6,0)," ")</f>
        <v xml:space="preserve"> </v>
      </c>
      <c r="M285" s="100" t="str">
        <f t="shared" si="32"/>
        <v xml:space="preserve"> </v>
      </c>
      <c r="N285" s="100" t="str">
        <f>IFERROR(VLOOKUP(Tablo519[[#This Row],[ÜRÜN KODU]],YMKODLARI!$A$1:$K$363,8,0)," ")</f>
        <v xml:space="preserve"> </v>
      </c>
      <c r="O285" s="100" t="str">
        <f>IFERROR(VLOOKUP(Tablo519[[#This Row],[HAMMADDE KODU]],Tablo1[#All],3,0)," ")</f>
        <v xml:space="preserve"> </v>
      </c>
      <c r="P285" s="100" t="str">
        <f>IFERROR(VLOOKUP(Tablo519[[#This Row],[HAMMADDE KODU]],Tablo1[#All],4,0)," ")</f>
        <v xml:space="preserve"> </v>
      </c>
      <c r="Q285" s="100" t="str">
        <f>IFERROR(VLOOKUP(Tablo519[[#This Row],[ÜRÜN KODU]],YMKODLARI!$A$1:$K$379,5,0)," ")</f>
        <v xml:space="preserve"> </v>
      </c>
      <c r="R285" s="100" t="str">
        <f>IFERROR(VLOOKUP(Tablo519[[#This Row],[ÜRÜN KODU]],YMKODLARI!$A$1:$K$379,6,0)," ")</f>
        <v xml:space="preserve"> </v>
      </c>
      <c r="S285" s="100" t="str">
        <f>IFERROR(Tablo519[[#This Row],[YOLLUK HARİÇ BASKI GRAMI]]/Tablo519[[#This Row],[KALIP GÖZ ADEDİ]]," ")</f>
        <v xml:space="preserve"> </v>
      </c>
      <c r="T285" s="100" t="str">
        <f t="shared" si="33"/>
        <v xml:space="preserve"> </v>
      </c>
      <c r="U285" s="100"/>
      <c r="V285" s="100" t="str">
        <f t="shared" si="31"/>
        <v xml:space="preserve"> </v>
      </c>
      <c r="W285" s="101">
        <f t="shared" si="34"/>
        <v>24</v>
      </c>
      <c r="X285" s="102">
        <f t="shared" si="35"/>
        <v>0</v>
      </c>
      <c r="Y285" s="100" t="str">
        <f t="shared" si="36"/>
        <v xml:space="preserve"> </v>
      </c>
      <c r="Z285" s="100" t="str">
        <f t="shared" si="37"/>
        <v xml:space="preserve"> </v>
      </c>
    </row>
    <row r="286" spans="1:26">
      <c r="A286" s="100"/>
      <c r="B286" s="108" t="str">
        <f>IFERROR(VLOOKUP(Tablo519[[#This Row],[ÜRÜN KODU]],YMKODLARI!$A$1:$K$379,2,0)," ")</f>
        <v xml:space="preserve"> </v>
      </c>
      <c r="C286" s="99"/>
      <c r="D286" s="100"/>
      <c r="E286" s="101"/>
      <c r="F286" s="101"/>
      <c r="G286" s="100" t="str">
        <f>IFERROR(VLOOKUP(Tablo519[[#This Row],[ÜRÜN KODU]],YMKODLARI!$A$1:$K$379,3,0)," ")</f>
        <v xml:space="preserve"> </v>
      </c>
      <c r="H286" s="100" t="str">
        <f>IFERROR(VLOOKUP(Tablo519[[#This Row],[ÜRÜN KODU]],YMKODLARI!$A$1:$K$379,4,0)," ")</f>
        <v xml:space="preserve"> </v>
      </c>
      <c r="I286" s="100"/>
      <c r="J286" s="100" t="str">
        <f>IFERROR(VLOOKUP(Tablo519[[#This Row],[ÜRÜN KODU]],YMKODLARI!$A$1:$K$379,9,0)," ")</f>
        <v xml:space="preserve"> </v>
      </c>
      <c r="K286" s="100" t="str">
        <f>IFERROR(VLOOKUP(Tablo519[[#This Row],[BOYA KODU]],Tablo14[#All],4,0)," ")</f>
        <v xml:space="preserve"> </v>
      </c>
      <c r="L286" s="100" t="str">
        <f>IFERROR(VLOOKUP(Tablo519[[#This Row],[BOYA KODU]],Tablo14[#All],6,0)," ")</f>
        <v xml:space="preserve"> </v>
      </c>
      <c r="M286" s="100" t="str">
        <f t="shared" si="32"/>
        <v xml:space="preserve"> </v>
      </c>
      <c r="N286" s="100" t="str">
        <f>IFERROR(VLOOKUP(Tablo519[[#This Row],[ÜRÜN KODU]],YMKODLARI!$A$1:$K$363,8,0)," ")</f>
        <v xml:space="preserve"> </v>
      </c>
      <c r="O286" s="100" t="str">
        <f>IFERROR(VLOOKUP(Tablo519[[#This Row],[HAMMADDE KODU]],Tablo1[#All],3,0)," ")</f>
        <v xml:space="preserve"> </v>
      </c>
      <c r="P286" s="100" t="str">
        <f>IFERROR(VLOOKUP(Tablo519[[#This Row],[HAMMADDE KODU]],Tablo1[#All],4,0)," ")</f>
        <v xml:space="preserve"> </v>
      </c>
      <c r="Q286" s="100" t="str">
        <f>IFERROR(VLOOKUP(Tablo519[[#This Row],[ÜRÜN KODU]],YMKODLARI!$A$1:$K$379,5,0)," ")</f>
        <v xml:space="preserve"> </v>
      </c>
      <c r="R286" s="100" t="str">
        <f>IFERROR(VLOOKUP(Tablo519[[#This Row],[ÜRÜN KODU]],YMKODLARI!$A$1:$K$379,6,0)," ")</f>
        <v xml:space="preserve"> </v>
      </c>
      <c r="S286" s="100" t="str">
        <f>IFERROR(Tablo519[[#This Row],[YOLLUK HARİÇ BASKI GRAMI]]/Tablo519[[#This Row],[KALIP GÖZ ADEDİ]]," ")</f>
        <v xml:space="preserve"> </v>
      </c>
      <c r="T286" s="100" t="str">
        <f t="shared" si="33"/>
        <v xml:space="preserve"> </v>
      </c>
      <c r="U286" s="100"/>
      <c r="V286" s="100" t="str">
        <f t="shared" si="31"/>
        <v xml:space="preserve"> </v>
      </c>
      <c r="W286" s="101">
        <f t="shared" si="34"/>
        <v>24</v>
      </c>
      <c r="X286" s="102">
        <f t="shared" si="35"/>
        <v>0</v>
      </c>
      <c r="Y286" s="100" t="str">
        <f t="shared" si="36"/>
        <v xml:space="preserve"> </v>
      </c>
      <c r="Z286" s="100" t="str">
        <f t="shared" si="37"/>
        <v xml:space="preserve"> </v>
      </c>
    </row>
    <row r="287" spans="1:26">
      <c r="A287" s="100"/>
      <c r="B287" s="108" t="str">
        <f>IFERROR(VLOOKUP(Tablo519[[#This Row],[ÜRÜN KODU]],YMKODLARI!$A$1:$K$379,2,0)," ")</f>
        <v xml:space="preserve"> </v>
      </c>
      <c r="C287" s="99"/>
      <c r="D287" s="100"/>
      <c r="E287" s="101"/>
      <c r="F287" s="101"/>
      <c r="G287" s="100" t="str">
        <f>IFERROR(VLOOKUP(Tablo519[[#This Row],[ÜRÜN KODU]],YMKODLARI!$A$1:$K$379,3,0)," ")</f>
        <v xml:space="preserve"> </v>
      </c>
      <c r="H287" s="100" t="str">
        <f>IFERROR(VLOOKUP(Tablo519[[#This Row],[ÜRÜN KODU]],YMKODLARI!$A$1:$K$379,4,0)," ")</f>
        <v xml:space="preserve"> </v>
      </c>
      <c r="I287" s="100"/>
      <c r="J287" s="100" t="str">
        <f>IFERROR(VLOOKUP(Tablo519[[#This Row],[ÜRÜN KODU]],YMKODLARI!$A$1:$K$379,9,0)," ")</f>
        <v xml:space="preserve"> </v>
      </c>
      <c r="K287" s="100" t="str">
        <f>IFERROR(VLOOKUP(Tablo519[[#This Row],[BOYA KODU]],Tablo14[#All],4,0)," ")</f>
        <v xml:space="preserve"> </v>
      </c>
      <c r="L287" s="100" t="str">
        <f>IFERROR(VLOOKUP(Tablo519[[#This Row],[BOYA KODU]],Tablo14[#All],6,0)," ")</f>
        <v xml:space="preserve"> </v>
      </c>
      <c r="M287" s="100" t="str">
        <f t="shared" si="32"/>
        <v xml:space="preserve"> </v>
      </c>
      <c r="N287" s="100" t="str">
        <f>IFERROR(VLOOKUP(Tablo519[[#This Row],[ÜRÜN KODU]],YMKODLARI!$A$1:$K$363,8,0)," ")</f>
        <v xml:space="preserve"> </v>
      </c>
      <c r="O287" s="100" t="str">
        <f>IFERROR(VLOOKUP(Tablo519[[#This Row],[HAMMADDE KODU]],Tablo1[#All],3,0)," ")</f>
        <v xml:space="preserve"> </v>
      </c>
      <c r="P287" s="100" t="str">
        <f>IFERROR(VLOOKUP(Tablo519[[#This Row],[HAMMADDE KODU]],Tablo1[#All],4,0)," ")</f>
        <v xml:space="preserve"> </v>
      </c>
      <c r="Q287" s="100" t="str">
        <f>IFERROR(VLOOKUP(Tablo519[[#This Row],[ÜRÜN KODU]],YMKODLARI!$A$1:$K$379,5,0)," ")</f>
        <v xml:space="preserve"> </v>
      </c>
      <c r="R287" s="100" t="str">
        <f>IFERROR(VLOOKUP(Tablo519[[#This Row],[ÜRÜN KODU]],YMKODLARI!$A$1:$K$379,6,0)," ")</f>
        <v xml:space="preserve"> </v>
      </c>
      <c r="S287" s="100" t="str">
        <f>IFERROR(Tablo519[[#This Row],[YOLLUK HARİÇ BASKI GRAMI]]/Tablo519[[#This Row],[KALIP GÖZ ADEDİ]]," ")</f>
        <v xml:space="preserve"> </v>
      </c>
      <c r="T287" s="100" t="str">
        <f t="shared" si="33"/>
        <v xml:space="preserve"> </v>
      </c>
      <c r="U287" s="100"/>
      <c r="V287" s="100" t="str">
        <f t="shared" si="31"/>
        <v xml:space="preserve"> </v>
      </c>
      <c r="W287" s="101">
        <f t="shared" si="34"/>
        <v>24</v>
      </c>
      <c r="X287" s="102">
        <f t="shared" si="35"/>
        <v>0</v>
      </c>
      <c r="Y287" s="100" t="str">
        <f t="shared" si="36"/>
        <v xml:space="preserve"> </v>
      </c>
      <c r="Z287" s="100" t="str">
        <f t="shared" si="37"/>
        <v xml:space="preserve"> </v>
      </c>
    </row>
    <row r="288" spans="1:26">
      <c r="A288" s="100"/>
      <c r="B288" s="108" t="str">
        <f>IFERROR(VLOOKUP(Tablo519[[#This Row],[ÜRÜN KODU]],YMKODLARI!$A$1:$K$379,2,0)," ")</f>
        <v xml:space="preserve"> </v>
      </c>
      <c r="C288" s="99"/>
      <c r="D288" s="100"/>
      <c r="E288" s="101"/>
      <c r="F288" s="101"/>
      <c r="G288" s="100" t="str">
        <f>IFERROR(VLOOKUP(Tablo519[[#This Row],[ÜRÜN KODU]],YMKODLARI!$A$1:$K$379,3,0)," ")</f>
        <v xml:space="preserve"> </v>
      </c>
      <c r="H288" s="100" t="str">
        <f>IFERROR(VLOOKUP(Tablo519[[#This Row],[ÜRÜN KODU]],YMKODLARI!$A$1:$K$379,4,0)," ")</f>
        <v xml:space="preserve"> </v>
      </c>
      <c r="I288" s="100"/>
      <c r="J288" s="100" t="str">
        <f>IFERROR(VLOOKUP(Tablo519[[#This Row],[ÜRÜN KODU]],YMKODLARI!$A$1:$K$379,9,0)," ")</f>
        <v xml:space="preserve"> </v>
      </c>
      <c r="K288" s="100" t="str">
        <f>IFERROR(VLOOKUP(Tablo519[[#This Row],[BOYA KODU]],Tablo14[#All],4,0)," ")</f>
        <v xml:space="preserve"> </v>
      </c>
      <c r="L288" s="100" t="str">
        <f>IFERROR(VLOOKUP(Tablo519[[#This Row],[BOYA KODU]],Tablo14[#All],6,0)," ")</f>
        <v xml:space="preserve"> </v>
      </c>
      <c r="M288" s="100" t="str">
        <f t="shared" si="32"/>
        <v xml:space="preserve"> </v>
      </c>
      <c r="N288" s="100" t="str">
        <f>IFERROR(VLOOKUP(Tablo519[[#This Row],[ÜRÜN KODU]],YMKODLARI!$A$1:$K$363,8,0)," ")</f>
        <v xml:space="preserve"> </v>
      </c>
      <c r="O288" s="100" t="str">
        <f>IFERROR(VLOOKUP(Tablo519[[#This Row],[HAMMADDE KODU]],Tablo1[#All],3,0)," ")</f>
        <v xml:space="preserve"> </v>
      </c>
      <c r="P288" s="100" t="str">
        <f>IFERROR(VLOOKUP(Tablo519[[#This Row],[HAMMADDE KODU]],Tablo1[#All],4,0)," ")</f>
        <v xml:space="preserve"> </v>
      </c>
      <c r="Q288" s="100" t="str">
        <f>IFERROR(VLOOKUP(Tablo519[[#This Row],[ÜRÜN KODU]],YMKODLARI!$A$1:$K$379,5,0)," ")</f>
        <v xml:space="preserve"> </v>
      </c>
      <c r="R288" s="100" t="str">
        <f>IFERROR(VLOOKUP(Tablo519[[#This Row],[ÜRÜN KODU]],YMKODLARI!$A$1:$K$379,6,0)," ")</f>
        <v xml:space="preserve"> </v>
      </c>
      <c r="S288" s="100" t="str">
        <f>IFERROR(Tablo519[[#This Row],[YOLLUK HARİÇ BASKI GRAMI]]/Tablo519[[#This Row],[KALIP GÖZ ADEDİ]]," ")</f>
        <v xml:space="preserve"> </v>
      </c>
      <c r="T288" s="100" t="str">
        <f t="shared" si="33"/>
        <v xml:space="preserve"> </v>
      </c>
      <c r="U288" s="100"/>
      <c r="V288" s="100" t="str">
        <f t="shared" si="31"/>
        <v xml:space="preserve"> </v>
      </c>
      <c r="W288" s="101">
        <f t="shared" si="34"/>
        <v>24</v>
      </c>
      <c r="X288" s="102">
        <f t="shared" si="35"/>
        <v>0</v>
      </c>
      <c r="Y288" s="100" t="str">
        <f t="shared" si="36"/>
        <v xml:space="preserve"> </v>
      </c>
      <c r="Z288" s="100" t="str">
        <f t="shared" si="37"/>
        <v xml:space="preserve"> </v>
      </c>
    </row>
    <row r="289" spans="1:26">
      <c r="A289" s="100"/>
      <c r="B289" s="108" t="str">
        <f>IFERROR(VLOOKUP(Tablo519[[#This Row],[ÜRÜN KODU]],YMKODLARI!$A$1:$K$379,2,0)," ")</f>
        <v xml:space="preserve"> </v>
      </c>
      <c r="C289" s="99"/>
      <c r="D289" s="100"/>
      <c r="E289" s="101"/>
      <c r="F289" s="101"/>
      <c r="G289" s="100" t="str">
        <f>IFERROR(VLOOKUP(Tablo519[[#This Row],[ÜRÜN KODU]],YMKODLARI!$A$1:$K$379,3,0)," ")</f>
        <v xml:space="preserve"> </v>
      </c>
      <c r="H289" s="100" t="str">
        <f>IFERROR(VLOOKUP(Tablo519[[#This Row],[ÜRÜN KODU]],YMKODLARI!$A$1:$K$379,4,0)," ")</f>
        <v xml:space="preserve"> </v>
      </c>
      <c r="I289" s="100"/>
      <c r="J289" s="100" t="str">
        <f>IFERROR(VLOOKUP(Tablo519[[#This Row],[ÜRÜN KODU]],YMKODLARI!$A$1:$K$379,9,0)," ")</f>
        <v xml:space="preserve"> </v>
      </c>
      <c r="K289" s="100" t="str">
        <f>IFERROR(VLOOKUP(Tablo519[[#This Row],[BOYA KODU]],Tablo14[#All],4,0)," ")</f>
        <v xml:space="preserve"> </v>
      </c>
      <c r="L289" s="100" t="str">
        <f>IFERROR(VLOOKUP(Tablo519[[#This Row],[BOYA KODU]],Tablo14[#All],6,0)," ")</f>
        <v xml:space="preserve"> </v>
      </c>
      <c r="M289" s="100" t="str">
        <f t="shared" si="32"/>
        <v xml:space="preserve"> </v>
      </c>
      <c r="N289" s="100" t="str">
        <f>IFERROR(VLOOKUP(Tablo519[[#This Row],[ÜRÜN KODU]],YMKODLARI!$A$1:$K$363,8,0)," ")</f>
        <v xml:space="preserve"> </v>
      </c>
      <c r="O289" s="100" t="str">
        <f>IFERROR(VLOOKUP(Tablo519[[#This Row],[HAMMADDE KODU]],Tablo1[#All],3,0)," ")</f>
        <v xml:space="preserve"> </v>
      </c>
      <c r="P289" s="100" t="str">
        <f>IFERROR(VLOOKUP(Tablo519[[#This Row],[HAMMADDE KODU]],Tablo1[#All],4,0)," ")</f>
        <v xml:space="preserve"> </v>
      </c>
      <c r="Q289" s="100" t="str">
        <f>IFERROR(VLOOKUP(Tablo519[[#This Row],[ÜRÜN KODU]],YMKODLARI!$A$1:$K$379,5,0)," ")</f>
        <v xml:space="preserve"> </v>
      </c>
      <c r="R289" s="100" t="str">
        <f>IFERROR(VLOOKUP(Tablo519[[#This Row],[ÜRÜN KODU]],YMKODLARI!$A$1:$K$379,6,0)," ")</f>
        <v xml:space="preserve"> </v>
      </c>
      <c r="S289" s="100" t="str">
        <f>IFERROR(Tablo519[[#This Row],[YOLLUK HARİÇ BASKI GRAMI]]/Tablo519[[#This Row],[KALIP GÖZ ADEDİ]]," ")</f>
        <v xml:space="preserve"> </v>
      </c>
      <c r="T289" s="100" t="str">
        <f t="shared" si="33"/>
        <v xml:space="preserve"> </v>
      </c>
      <c r="U289" s="100"/>
      <c r="V289" s="100" t="str">
        <f t="shared" si="31"/>
        <v xml:space="preserve"> </v>
      </c>
      <c r="W289" s="101">
        <f t="shared" si="34"/>
        <v>24</v>
      </c>
      <c r="X289" s="102">
        <f t="shared" si="35"/>
        <v>0</v>
      </c>
      <c r="Y289" s="100" t="str">
        <f t="shared" si="36"/>
        <v xml:space="preserve"> </v>
      </c>
      <c r="Z289" s="100" t="str">
        <f t="shared" si="37"/>
        <v xml:space="preserve"> </v>
      </c>
    </row>
    <row r="290" spans="1:26">
      <c r="A290" s="100"/>
      <c r="B290" s="108" t="str">
        <f>IFERROR(VLOOKUP(Tablo519[[#This Row],[ÜRÜN KODU]],YMKODLARI!$A$1:$K$379,2,0)," ")</f>
        <v xml:space="preserve"> </v>
      </c>
      <c r="C290" s="99"/>
      <c r="D290" s="100"/>
      <c r="E290" s="101"/>
      <c r="F290" s="101"/>
      <c r="G290" s="100" t="str">
        <f>IFERROR(VLOOKUP(Tablo519[[#This Row],[ÜRÜN KODU]],YMKODLARI!$A$1:$K$379,3,0)," ")</f>
        <v xml:space="preserve"> </v>
      </c>
      <c r="H290" s="100" t="str">
        <f>IFERROR(VLOOKUP(Tablo519[[#This Row],[ÜRÜN KODU]],YMKODLARI!$A$1:$K$379,4,0)," ")</f>
        <v xml:space="preserve"> </v>
      </c>
      <c r="I290" s="100"/>
      <c r="J290" s="100" t="str">
        <f>IFERROR(VLOOKUP(Tablo519[[#This Row],[ÜRÜN KODU]],YMKODLARI!$A$1:$K$379,9,0)," ")</f>
        <v xml:space="preserve"> </v>
      </c>
      <c r="K290" s="100" t="str">
        <f>IFERROR(VLOOKUP(Tablo519[[#This Row],[BOYA KODU]],Tablo14[#All],4,0)," ")</f>
        <v xml:space="preserve"> </v>
      </c>
      <c r="L290" s="100" t="str">
        <f>IFERROR(VLOOKUP(Tablo519[[#This Row],[BOYA KODU]],Tablo14[#All],6,0)," ")</f>
        <v xml:space="preserve"> </v>
      </c>
      <c r="M290" s="100" t="str">
        <f t="shared" si="32"/>
        <v xml:space="preserve"> </v>
      </c>
      <c r="N290" s="100" t="str">
        <f>IFERROR(VLOOKUP(Tablo519[[#This Row],[ÜRÜN KODU]],YMKODLARI!$A$1:$K$363,8,0)," ")</f>
        <v xml:space="preserve"> </v>
      </c>
      <c r="O290" s="100" t="str">
        <f>IFERROR(VLOOKUP(Tablo519[[#This Row],[HAMMADDE KODU]],Tablo1[#All],3,0)," ")</f>
        <v xml:space="preserve"> </v>
      </c>
      <c r="P290" s="100" t="str">
        <f>IFERROR(VLOOKUP(Tablo519[[#This Row],[HAMMADDE KODU]],Tablo1[#All],4,0)," ")</f>
        <v xml:space="preserve"> </v>
      </c>
      <c r="Q290" s="100" t="str">
        <f>IFERROR(VLOOKUP(Tablo519[[#This Row],[ÜRÜN KODU]],YMKODLARI!$A$1:$K$379,5,0)," ")</f>
        <v xml:space="preserve"> </v>
      </c>
      <c r="R290" s="100" t="str">
        <f>IFERROR(VLOOKUP(Tablo519[[#This Row],[ÜRÜN KODU]],YMKODLARI!$A$1:$K$379,6,0)," ")</f>
        <v xml:space="preserve"> </v>
      </c>
      <c r="S290" s="100" t="str">
        <f>IFERROR(Tablo519[[#This Row],[YOLLUK HARİÇ BASKI GRAMI]]/Tablo519[[#This Row],[KALIP GÖZ ADEDİ]]," ")</f>
        <v xml:space="preserve"> </v>
      </c>
      <c r="T290" s="100" t="str">
        <f t="shared" si="33"/>
        <v xml:space="preserve"> </v>
      </c>
      <c r="U290" s="100"/>
      <c r="V290" s="100" t="str">
        <f t="shared" si="31"/>
        <v xml:space="preserve"> </v>
      </c>
      <c r="W290" s="101">
        <f t="shared" si="34"/>
        <v>24</v>
      </c>
      <c r="X290" s="102">
        <f t="shared" si="35"/>
        <v>0</v>
      </c>
      <c r="Y290" s="100" t="str">
        <f t="shared" si="36"/>
        <v xml:space="preserve"> </v>
      </c>
      <c r="Z290" s="100" t="str">
        <f t="shared" si="37"/>
        <v xml:space="preserve"> </v>
      </c>
    </row>
    <row r="291" spans="1:26">
      <c r="A291" s="100"/>
      <c r="B291" s="108" t="str">
        <f>IFERROR(VLOOKUP(Tablo519[[#This Row],[ÜRÜN KODU]],YMKODLARI!$A$1:$K$379,2,0)," ")</f>
        <v xml:space="preserve"> </v>
      </c>
      <c r="C291" s="99"/>
      <c r="D291" s="100"/>
      <c r="E291" s="101"/>
      <c r="F291" s="101"/>
      <c r="G291" s="100" t="str">
        <f>IFERROR(VLOOKUP(Tablo519[[#This Row],[ÜRÜN KODU]],YMKODLARI!$A$1:$K$379,3,0)," ")</f>
        <v xml:space="preserve"> </v>
      </c>
      <c r="H291" s="100" t="str">
        <f>IFERROR(VLOOKUP(Tablo519[[#This Row],[ÜRÜN KODU]],YMKODLARI!$A$1:$K$379,4,0)," ")</f>
        <v xml:space="preserve"> </v>
      </c>
      <c r="I291" s="100"/>
      <c r="J291" s="100" t="str">
        <f>IFERROR(VLOOKUP(Tablo519[[#This Row],[ÜRÜN KODU]],YMKODLARI!$A$1:$K$379,9,0)," ")</f>
        <v xml:space="preserve"> </v>
      </c>
      <c r="K291" s="100" t="str">
        <f>IFERROR(VLOOKUP(Tablo519[[#This Row],[BOYA KODU]],Tablo14[#All],4,0)," ")</f>
        <v xml:space="preserve"> </v>
      </c>
      <c r="L291" s="100" t="str">
        <f>IFERROR(VLOOKUP(Tablo519[[#This Row],[BOYA KODU]],Tablo14[#All],6,0)," ")</f>
        <v xml:space="preserve"> </v>
      </c>
      <c r="M291" s="100" t="str">
        <f t="shared" si="32"/>
        <v xml:space="preserve"> </v>
      </c>
      <c r="N291" s="100" t="str">
        <f>IFERROR(VLOOKUP(Tablo519[[#This Row],[ÜRÜN KODU]],YMKODLARI!$A$1:$K$363,8,0)," ")</f>
        <v xml:space="preserve"> </v>
      </c>
      <c r="O291" s="100" t="str">
        <f>IFERROR(VLOOKUP(Tablo519[[#This Row],[HAMMADDE KODU]],Tablo1[#All],3,0)," ")</f>
        <v xml:space="preserve"> </v>
      </c>
      <c r="P291" s="100" t="str">
        <f>IFERROR(VLOOKUP(Tablo519[[#This Row],[HAMMADDE KODU]],Tablo1[#All],4,0)," ")</f>
        <v xml:space="preserve"> </v>
      </c>
      <c r="Q291" s="100" t="str">
        <f>IFERROR(VLOOKUP(Tablo519[[#This Row],[ÜRÜN KODU]],YMKODLARI!$A$1:$K$379,5,0)," ")</f>
        <v xml:space="preserve"> </v>
      </c>
      <c r="R291" s="100" t="str">
        <f>IFERROR(VLOOKUP(Tablo519[[#This Row],[ÜRÜN KODU]],YMKODLARI!$A$1:$K$379,6,0)," ")</f>
        <v xml:space="preserve"> </v>
      </c>
      <c r="S291" s="100" t="str">
        <f>IFERROR(Tablo519[[#This Row],[YOLLUK HARİÇ BASKI GRAMI]]/Tablo519[[#This Row],[KALIP GÖZ ADEDİ]]," ")</f>
        <v xml:space="preserve"> </v>
      </c>
      <c r="T291" s="100" t="str">
        <f t="shared" si="33"/>
        <v xml:space="preserve"> </v>
      </c>
      <c r="U291" s="100"/>
      <c r="V291" s="100" t="str">
        <f t="shared" si="31"/>
        <v xml:space="preserve"> </v>
      </c>
      <c r="W291" s="101">
        <f t="shared" si="34"/>
        <v>24</v>
      </c>
      <c r="X291" s="102">
        <f t="shared" si="35"/>
        <v>0</v>
      </c>
      <c r="Y291" s="100" t="str">
        <f t="shared" si="36"/>
        <v xml:space="preserve"> </v>
      </c>
      <c r="Z291" s="100" t="str">
        <f t="shared" si="37"/>
        <v xml:space="preserve"> </v>
      </c>
    </row>
    <row r="292" spans="1:26">
      <c r="A292" s="100"/>
      <c r="B292" s="108" t="str">
        <f>IFERROR(VLOOKUP(Tablo519[[#This Row],[ÜRÜN KODU]],YMKODLARI!$A$1:$K$379,2,0)," ")</f>
        <v xml:space="preserve"> </v>
      </c>
      <c r="C292" s="99"/>
      <c r="D292" s="100"/>
      <c r="E292" s="101"/>
      <c r="F292" s="101"/>
      <c r="G292" s="100" t="str">
        <f>IFERROR(VLOOKUP(Tablo519[[#This Row],[ÜRÜN KODU]],YMKODLARI!$A$1:$K$379,3,0)," ")</f>
        <v xml:space="preserve"> </v>
      </c>
      <c r="H292" s="100" t="str">
        <f>IFERROR(VLOOKUP(Tablo519[[#This Row],[ÜRÜN KODU]],YMKODLARI!$A$1:$K$379,4,0)," ")</f>
        <v xml:space="preserve"> </v>
      </c>
      <c r="I292" s="100"/>
      <c r="J292" s="100" t="str">
        <f>IFERROR(VLOOKUP(Tablo519[[#This Row],[ÜRÜN KODU]],YMKODLARI!$A$1:$K$379,9,0)," ")</f>
        <v xml:space="preserve"> </v>
      </c>
      <c r="K292" s="100" t="str">
        <f>IFERROR(VLOOKUP(Tablo519[[#This Row],[BOYA KODU]],Tablo14[#All],4,0)," ")</f>
        <v xml:space="preserve"> </v>
      </c>
      <c r="L292" s="100" t="str">
        <f>IFERROR(VLOOKUP(Tablo519[[#This Row],[BOYA KODU]],Tablo14[#All],6,0)," ")</f>
        <v xml:space="preserve"> </v>
      </c>
      <c r="M292" s="100" t="str">
        <f t="shared" si="32"/>
        <v xml:space="preserve"> </v>
      </c>
      <c r="N292" s="100" t="str">
        <f>IFERROR(VLOOKUP(Tablo519[[#This Row],[ÜRÜN KODU]],YMKODLARI!$A$1:$K$363,8,0)," ")</f>
        <v xml:space="preserve"> </v>
      </c>
      <c r="O292" s="100" t="str">
        <f>IFERROR(VLOOKUP(Tablo519[[#This Row],[HAMMADDE KODU]],Tablo1[#All],3,0)," ")</f>
        <v xml:space="preserve"> </v>
      </c>
      <c r="P292" s="100" t="str">
        <f>IFERROR(VLOOKUP(Tablo519[[#This Row],[HAMMADDE KODU]],Tablo1[#All],4,0)," ")</f>
        <v xml:space="preserve"> </v>
      </c>
      <c r="Q292" s="100" t="str">
        <f>IFERROR(VLOOKUP(Tablo519[[#This Row],[ÜRÜN KODU]],YMKODLARI!$A$1:$K$379,5,0)," ")</f>
        <v xml:space="preserve"> </v>
      </c>
      <c r="R292" s="100" t="str">
        <f>IFERROR(VLOOKUP(Tablo519[[#This Row],[ÜRÜN KODU]],YMKODLARI!$A$1:$K$379,6,0)," ")</f>
        <v xml:space="preserve"> </v>
      </c>
      <c r="S292" s="100" t="str">
        <f>IFERROR(Tablo519[[#This Row],[YOLLUK HARİÇ BASKI GRAMI]]/Tablo519[[#This Row],[KALIP GÖZ ADEDİ]]," ")</f>
        <v xml:space="preserve"> </v>
      </c>
      <c r="T292" s="100" t="str">
        <f t="shared" si="33"/>
        <v xml:space="preserve"> </v>
      </c>
      <c r="U292" s="100"/>
      <c r="V292" s="100" t="str">
        <f t="shared" si="31"/>
        <v xml:space="preserve"> </v>
      </c>
      <c r="W292" s="101">
        <f t="shared" si="34"/>
        <v>24</v>
      </c>
      <c r="X292" s="102">
        <f t="shared" si="35"/>
        <v>0</v>
      </c>
      <c r="Y292" s="100" t="str">
        <f t="shared" si="36"/>
        <v xml:space="preserve"> </v>
      </c>
      <c r="Z292" s="100" t="str">
        <f t="shared" si="37"/>
        <v xml:space="preserve"> </v>
      </c>
    </row>
    <row r="293" spans="1:26">
      <c r="A293" s="100"/>
      <c r="B293" s="108" t="str">
        <f>IFERROR(VLOOKUP(Tablo519[[#This Row],[ÜRÜN KODU]],YMKODLARI!$A$1:$K$379,2,0)," ")</f>
        <v xml:space="preserve"> </v>
      </c>
      <c r="C293" s="99"/>
      <c r="D293" s="100"/>
      <c r="E293" s="101"/>
      <c r="F293" s="101"/>
      <c r="G293" s="100" t="str">
        <f>IFERROR(VLOOKUP(Tablo519[[#This Row],[ÜRÜN KODU]],YMKODLARI!$A$1:$K$379,3,0)," ")</f>
        <v xml:space="preserve"> </v>
      </c>
      <c r="H293" s="100" t="str">
        <f>IFERROR(VLOOKUP(Tablo519[[#This Row],[ÜRÜN KODU]],YMKODLARI!$A$1:$K$379,4,0)," ")</f>
        <v xml:space="preserve"> </v>
      </c>
      <c r="I293" s="100"/>
      <c r="J293" s="100" t="str">
        <f>IFERROR(VLOOKUP(Tablo519[[#This Row],[ÜRÜN KODU]],YMKODLARI!$A$1:$K$379,9,0)," ")</f>
        <v xml:space="preserve"> </v>
      </c>
      <c r="K293" s="100" t="str">
        <f>IFERROR(VLOOKUP(Tablo519[[#This Row],[BOYA KODU]],Tablo14[#All],4,0)," ")</f>
        <v xml:space="preserve"> </v>
      </c>
      <c r="L293" s="100" t="str">
        <f>IFERROR(VLOOKUP(Tablo519[[#This Row],[BOYA KODU]],Tablo14[#All],6,0)," ")</f>
        <v xml:space="preserve"> </v>
      </c>
      <c r="M293" s="100" t="str">
        <f t="shared" si="32"/>
        <v xml:space="preserve"> </v>
      </c>
      <c r="N293" s="100" t="str">
        <f>IFERROR(VLOOKUP(Tablo519[[#This Row],[ÜRÜN KODU]],YMKODLARI!$A$1:$K$363,8,0)," ")</f>
        <v xml:space="preserve"> </v>
      </c>
      <c r="O293" s="100" t="str">
        <f>IFERROR(VLOOKUP(Tablo519[[#This Row],[HAMMADDE KODU]],Tablo1[#All],3,0)," ")</f>
        <v xml:space="preserve"> </v>
      </c>
      <c r="P293" s="100" t="str">
        <f>IFERROR(VLOOKUP(Tablo519[[#This Row],[HAMMADDE KODU]],Tablo1[#All],4,0)," ")</f>
        <v xml:space="preserve"> </v>
      </c>
      <c r="Q293" s="100" t="str">
        <f>IFERROR(VLOOKUP(Tablo519[[#This Row],[ÜRÜN KODU]],YMKODLARI!$A$1:$K$379,5,0)," ")</f>
        <v xml:space="preserve"> </v>
      </c>
      <c r="R293" s="100" t="str">
        <f>IFERROR(VLOOKUP(Tablo519[[#This Row],[ÜRÜN KODU]],YMKODLARI!$A$1:$K$379,6,0)," ")</f>
        <v xml:space="preserve"> </v>
      </c>
      <c r="S293" s="100" t="str">
        <f>IFERROR(Tablo519[[#This Row],[YOLLUK HARİÇ BASKI GRAMI]]/Tablo519[[#This Row],[KALIP GÖZ ADEDİ]]," ")</f>
        <v xml:space="preserve"> </v>
      </c>
      <c r="T293" s="100" t="str">
        <f t="shared" si="33"/>
        <v xml:space="preserve"> </v>
      </c>
      <c r="U293" s="100"/>
      <c r="V293" s="100" t="str">
        <f t="shared" si="31"/>
        <v xml:space="preserve"> </v>
      </c>
      <c r="W293" s="101">
        <f t="shared" si="34"/>
        <v>24</v>
      </c>
      <c r="X293" s="102">
        <f t="shared" si="35"/>
        <v>0</v>
      </c>
      <c r="Y293" s="100" t="str">
        <f t="shared" si="36"/>
        <v xml:space="preserve"> </v>
      </c>
      <c r="Z293" s="100" t="str">
        <f t="shared" si="37"/>
        <v xml:space="preserve"> </v>
      </c>
    </row>
    <row r="294" spans="1:26">
      <c r="A294" s="100"/>
      <c r="B294" s="108" t="str">
        <f>IFERROR(VLOOKUP(Tablo519[[#This Row],[ÜRÜN KODU]],YMKODLARI!$A$1:$K$379,2,0)," ")</f>
        <v xml:space="preserve"> </v>
      </c>
      <c r="C294" s="99"/>
      <c r="D294" s="100"/>
      <c r="E294" s="101"/>
      <c r="F294" s="101"/>
      <c r="G294" s="100" t="str">
        <f>IFERROR(VLOOKUP(Tablo519[[#This Row],[ÜRÜN KODU]],YMKODLARI!$A$1:$K$379,3,0)," ")</f>
        <v xml:space="preserve"> </v>
      </c>
      <c r="H294" s="100" t="str">
        <f>IFERROR(VLOOKUP(Tablo519[[#This Row],[ÜRÜN KODU]],YMKODLARI!$A$1:$K$379,4,0)," ")</f>
        <v xml:space="preserve"> </v>
      </c>
      <c r="I294" s="100"/>
      <c r="J294" s="100" t="str">
        <f>IFERROR(VLOOKUP(Tablo519[[#This Row],[ÜRÜN KODU]],YMKODLARI!$A$1:$K$379,9,0)," ")</f>
        <v xml:space="preserve"> </v>
      </c>
      <c r="K294" s="100" t="str">
        <f>IFERROR(VLOOKUP(Tablo519[[#This Row],[BOYA KODU]],Tablo14[#All],4,0)," ")</f>
        <v xml:space="preserve"> </v>
      </c>
      <c r="L294" s="100" t="str">
        <f>IFERROR(VLOOKUP(Tablo519[[#This Row],[BOYA KODU]],Tablo14[#All],6,0)," ")</f>
        <v xml:space="preserve"> </v>
      </c>
      <c r="M294" s="100" t="str">
        <f t="shared" si="32"/>
        <v xml:space="preserve"> </v>
      </c>
      <c r="N294" s="100" t="str">
        <f>IFERROR(VLOOKUP(Tablo519[[#This Row],[ÜRÜN KODU]],YMKODLARI!$A$1:$K$363,8,0)," ")</f>
        <v xml:space="preserve"> </v>
      </c>
      <c r="O294" s="100" t="str">
        <f>IFERROR(VLOOKUP(Tablo519[[#This Row],[HAMMADDE KODU]],Tablo1[#All],3,0)," ")</f>
        <v xml:space="preserve"> </v>
      </c>
      <c r="P294" s="100" t="str">
        <f>IFERROR(VLOOKUP(Tablo519[[#This Row],[HAMMADDE KODU]],Tablo1[#All],4,0)," ")</f>
        <v xml:space="preserve"> </v>
      </c>
      <c r="Q294" s="100" t="str">
        <f>IFERROR(VLOOKUP(Tablo519[[#This Row],[ÜRÜN KODU]],YMKODLARI!$A$1:$K$379,5,0)," ")</f>
        <v xml:space="preserve"> </v>
      </c>
      <c r="R294" s="100" t="str">
        <f>IFERROR(VLOOKUP(Tablo519[[#This Row],[ÜRÜN KODU]],YMKODLARI!$A$1:$K$379,6,0)," ")</f>
        <v xml:space="preserve"> </v>
      </c>
      <c r="S294" s="100" t="str">
        <f>IFERROR(Tablo519[[#This Row],[YOLLUK HARİÇ BASKI GRAMI]]/Tablo519[[#This Row],[KALIP GÖZ ADEDİ]]," ")</f>
        <v xml:space="preserve"> </v>
      </c>
      <c r="T294" s="100" t="str">
        <f t="shared" si="33"/>
        <v xml:space="preserve"> </v>
      </c>
      <c r="U294" s="100"/>
      <c r="V294" s="100" t="str">
        <f t="shared" si="31"/>
        <v xml:space="preserve"> </v>
      </c>
      <c r="W294" s="101">
        <f t="shared" si="34"/>
        <v>24</v>
      </c>
      <c r="X294" s="102">
        <f t="shared" si="35"/>
        <v>0</v>
      </c>
      <c r="Y294" s="100" t="str">
        <f t="shared" si="36"/>
        <v xml:space="preserve"> </v>
      </c>
      <c r="Z294" s="100" t="str">
        <f t="shared" si="37"/>
        <v xml:space="preserve"> </v>
      </c>
    </row>
    <row r="295" spans="1:26">
      <c r="A295" s="100"/>
      <c r="B295" s="108" t="str">
        <f>IFERROR(VLOOKUP(Tablo519[[#This Row],[ÜRÜN KODU]],YMKODLARI!$A$1:$K$379,2,0)," ")</f>
        <v xml:space="preserve"> </v>
      </c>
      <c r="C295" s="99"/>
      <c r="D295" s="100"/>
      <c r="E295" s="101"/>
      <c r="F295" s="101"/>
      <c r="G295" s="100" t="str">
        <f>IFERROR(VLOOKUP(Tablo519[[#This Row],[ÜRÜN KODU]],YMKODLARI!$A$1:$K$379,3,0)," ")</f>
        <v xml:space="preserve"> </v>
      </c>
      <c r="H295" s="100" t="str">
        <f>IFERROR(VLOOKUP(Tablo519[[#This Row],[ÜRÜN KODU]],YMKODLARI!$A$1:$K$379,4,0)," ")</f>
        <v xml:space="preserve"> </v>
      </c>
      <c r="I295" s="100"/>
      <c r="J295" s="100" t="str">
        <f>IFERROR(VLOOKUP(Tablo519[[#This Row],[ÜRÜN KODU]],YMKODLARI!$A$1:$K$379,9,0)," ")</f>
        <v xml:space="preserve"> </v>
      </c>
      <c r="K295" s="100" t="str">
        <f>IFERROR(VLOOKUP(Tablo519[[#This Row],[BOYA KODU]],Tablo14[#All],4,0)," ")</f>
        <v xml:space="preserve"> </v>
      </c>
      <c r="L295" s="100" t="str">
        <f>IFERROR(VLOOKUP(Tablo519[[#This Row],[BOYA KODU]],Tablo14[#All],6,0)," ")</f>
        <v xml:space="preserve"> </v>
      </c>
      <c r="M295" s="100" t="str">
        <f t="shared" si="32"/>
        <v xml:space="preserve"> </v>
      </c>
      <c r="N295" s="100" t="str">
        <f>IFERROR(VLOOKUP(Tablo519[[#This Row],[ÜRÜN KODU]],YMKODLARI!$A$1:$K$363,8,0)," ")</f>
        <v xml:space="preserve"> </v>
      </c>
      <c r="O295" s="100" t="str">
        <f>IFERROR(VLOOKUP(Tablo519[[#This Row],[HAMMADDE KODU]],Tablo1[#All],3,0)," ")</f>
        <v xml:space="preserve"> </v>
      </c>
      <c r="P295" s="100" t="str">
        <f>IFERROR(VLOOKUP(Tablo519[[#This Row],[HAMMADDE KODU]],Tablo1[#All],4,0)," ")</f>
        <v xml:space="preserve"> </v>
      </c>
      <c r="Q295" s="100" t="str">
        <f>IFERROR(VLOOKUP(Tablo519[[#This Row],[ÜRÜN KODU]],YMKODLARI!$A$1:$K$379,5,0)," ")</f>
        <v xml:space="preserve"> </v>
      </c>
      <c r="R295" s="100" t="str">
        <f>IFERROR(VLOOKUP(Tablo519[[#This Row],[ÜRÜN KODU]],YMKODLARI!$A$1:$K$379,6,0)," ")</f>
        <v xml:space="preserve"> </v>
      </c>
      <c r="S295" s="100" t="str">
        <f>IFERROR(Tablo519[[#This Row],[YOLLUK HARİÇ BASKI GRAMI]]/Tablo519[[#This Row],[KALIP GÖZ ADEDİ]]," ")</f>
        <v xml:space="preserve"> </v>
      </c>
      <c r="T295" s="100" t="str">
        <f t="shared" si="33"/>
        <v xml:space="preserve"> </v>
      </c>
      <c r="U295" s="100"/>
      <c r="V295" s="100" t="str">
        <f t="shared" si="31"/>
        <v xml:space="preserve"> </v>
      </c>
      <c r="W295" s="101">
        <f t="shared" si="34"/>
        <v>24</v>
      </c>
      <c r="X295" s="102">
        <f t="shared" si="35"/>
        <v>0</v>
      </c>
      <c r="Y295" s="100" t="str">
        <f t="shared" si="36"/>
        <v xml:space="preserve"> </v>
      </c>
      <c r="Z295" s="100" t="str">
        <f t="shared" si="37"/>
        <v xml:space="preserve"> </v>
      </c>
    </row>
    <row r="296" spans="1:26">
      <c r="A296" s="100"/>
      <c r="B296" s="108" t="str">
        <f>IFERROR(VLOOKUP(Tablo519[[#This Row],[ÜRÜN KODU]],YMKODLARI!$A$1:$K$379,2,0)," ")</f>
        <v xml:space="preserve"> </v>
      </c>
      <c r="C296" s="99"/>
      <c r="D296" s="100"/>
      <c r="E296" s="101"/>
      <c r="F296" s="101"/>
      <c r="G296" s="100" t="str">
        <f>IFERROR(VLOOKUP(Tablo519[[#This Row],[ÜRÜN KODU]],YMKODLARI!$A$1:$K$379,3,0)," ")</f>
        <v xml:space="preserve"> </v>
      </c>
      <c r="H296" s="100" t="str">
        <f>IFERROR(VLOOKUP(Tablo519[[#This Row],[ÜRÜN KODU]],YMKODLARI!$A$1:$K$379,4,0)," ")</f>
        <v xml:space="preserve"> </v>
      </c>
      <c r="I296" s="100"/>
      <c r="J296" s="100" t="str">
        <f>IFERROR(VLOOKUP(Tablo519[[#This Row],[ÜRÜN KODU]],YMKODLARI!$A$1:$K$379,9,0)," ")</f>
        <v xml:space="preserve"> </v>
      </c>
      <c r="K296" s="100" t="str">
        <f>IFERROR(VLOOKUP(Tablo519[[#This Row],[BOYA KODU]],Tablo14[#All],4,0)," ")</f>
        <v xml:space="preserve"> </v>
      </c>
      <c r="L296" s="100" t="str">
        <f>IFERROR(VLOOKUP(Tablo519[[#This Row],[BOYA KODU]],Tablo14[#All],6,0)," ")</f>
        <v xml:space="preserve"> </v>
      </c>
      <c r="M296" s="100" t="str">
        <f t="shared" si="32"/>
        <v xml:space="preserve"> </v>
      </c>
      <c r="N296" s="100" t="str">
        <f>IFERROR(VLOOKUP(Tablo519[[#This Row],[ÜRÜN KODU]],YMKODLARI!$A$1:$K$363,8,0)," ")</f>
        <v xml:space="preserve"> </v>
      </c>
      <c r="O296" s="100" t="str">
        <f>IFERROR(VLOOKUP(Tablo519[[#This Row],[HAMMADDE KODU]],Tablo1[#All],3,0)," ")</f>
        <v xml:space="preserve"> </v>
      </c>
      <c r="P296" s="100" t="str">
        <f>IFERROR(VLOOKUP(Tablo519[[#This Row],[HAMMADDE KODU]],Tablo1[#All],4,0)," ")</f>
        <v xml:space="preserve"> </v>
      </c>
      <c r="Q296" s="100" t="str">
        <f>IFERROR(VLOOKUP(Tablo519[[#This Row],[ÜRÜN KODU]],YMKODLARI!$A$1:$K$379,5,0)," ")</f>
        <v xml:space="preserve"> </v>
      </c>
      <c r="R296" s="100" t="str">
        <f>IFERROR(VLOOKUP(Tablo519[[#This Row],[ÜRÜN KODU]],YMKODLARI!$A$1:$K$379,6,0)," ")</f>
        <v xml:space="preserve"> </v>
      </c>
      <c r="S296" s="100" t="str">
        <f>IFERROR(Tablo519[[#This Row],[YOLLUK HARİÇ BASKI GRAMI]]/Tablo519[[#This Row],[KALIP GÖZ ADEDİ]]," ")</f>
        <v xml:space="preserve"> </v>
      </c>
      <c r="T296" s="100" t="str">
        <f t="shared" si="33"/>
        <v xml:space="preserve"> </v>
      </c>
      <c r="U296" s="100"/>
      <c r="V296" s="100" t="str">
        <f t="shared" si="31"/>
        <v xml:space="preserve"> </v>
      </c>
      <c r="W296" s="101">
        <f t="shared" si="34"/>
        <v>24</v>
      </c>
      <c r="X296" s="102">
        <f t="shared" si="35"/>
        <v>0</v>
      </c>
      <c r="Y296" s="100" t="str">
        <f t="shared" si="36"/>
        <v xml:space="preserve"> </v>
      </c>
      <c r="Z296" s="100" t="str">
        <f t="shared" si="37"/>
        <v xml:space="preserve"> </v>
      </c>
    </row>
    <row r="297" spans="1:26">
      <c r="A297" s="100"/>
      <c r="B297" s="108" t="str">
        <f>IFERROR(VLOOKUP(Tablo519[[#This Row],[ÜRÜN KODU]],YMKODLARI!$A$1:$K$379,2,0)," ")</f>
        <v xml:space="preserve"> </v>
      </c>
      <c r="C297" s="99"/>
      <c r="D297" s="100"/>
      <c r="E297" s="101"/>
      <c r="F297" s="101"/>
      <c r="G297" s="100" t="str">
        <f>IFERROR(VLOOKUP(Tablo519[[#This Row],[ÜRÜN KODU]],YMKODLARI!$A$1:$K$379,3,0)," ")</f>
        <v xml:space="preserve"> </v>
      </c>
      <c r="H297" s="100" t="str">
        <f>IFERROR(VLOOKUP(Tablo519[[#This Row],[ÜRÜN KODU]],YMKODLARI!$A$1:$K$379,4,0)," ")</f>
        <v xml:space="preserve"> </v>
      </c>
      <c r="I297" s="100"/>
      <c r="J297" s="100" t="str">
        <f>IFERROR(VLOOKUP(Tablo519[[#This Row],[ÜRÜN KODU]],YMKODLARI!$A$1:$K$379,9,0)," ")</f>
        <v xml:space="preserve"> </v>
      </c>
      <c r="K297" s="100" t="str">
        <f>IFERROR(VLOOKUP(Tablo519[[#This Row],[BOYA KODU]],Tablo14[#All],4,0)," ")</f>
        <v xml:space="preserve"> </v>
      </c>
      <c r="L297" s="100" t="str">
        <f>IFERROR(VLOOKUP(Tablo519[[#This Row],[BOYA KODU]],Tablo14[#All],6,0)," ")</f>
        <v xml:space="preserve"> </v>
      </c>
      <c r="M297" s="100" t="str">
        <f t="shared" si="32"/>
        <v xml:space="preserve"> </v>
      </c>
      <c r="N297" s="100" t="str">
        <f>IFERROR(VLOOKUP(Tablo519[[#This Row],[ÜRÜN KODU]],YMKODLARI!$A$1:$K$363,8,0)," ")</f>
        <v xml:space="preserve"> </v>
      </c>
      <c r="O297" s="100" t="str">
        <f>IFERROR(VLOOKUP(Tablo519[[#This Row],[HAMMADDE KODU]],Tablo1[#All],3,0)," ")</f>
        <v xml:space="preserve"> </v>
      </c>
      <c r="P297" s="100" t="str">
        <f>IFERROR(VLOOKUP(Tablo519[[#This Row],[HAMMADDE KODU]],Tablo1[#All],4,0)," ")</f>
        <v xml:space="preserve"> </v>
      </c>
      <c r="Q297" s="100" t="str">
        <f>IFERROR(VLOOKUP(Tablo519[[#This Row],[ÜRÜN KODU]],YMKODLARI!$A$1:$K$379,5,0)," ")</f>
        <v xml:space="preserve"> </v>
      </c>
      <c r="R297" s="100" t="str">
        <f>IFERROR(VLOOKUP(Tablo519[[#This Row],[ÜRÜN KODU]],YMKODLARI!$A$1:$K$379,6,0)," ")</f>
        <v xml:space="preserve"> </v>
      </c>
      <c r="S297" s="100" t="str">
        <f>IFERROR(Tablo519[[#This Row],[YOLLUK HARİÇ BASKI GRAMI]]/Tablo519[[#This Row],[KALIP GÖZ ADEDİ]]," ")</f>
        <v xml:space="preserve"> </v>
      </c>
      <c r="T297" s="100" t="str">
        <f t="shared" si="33"/>
        <v xml:space="preserve"> </v>
      </c>
      <c r="U297" s="100"/>
      <c r="V297" s="100" t="str">
        <f t="shared" ref="V297:V360" si="38">IFERROR(U297+(R297*I297) /1000," ")</f>
        <v xml:space="preserve"> </v>
      </c>
      <c r="W297" s="101">
        <f t="shared" si="34"/>
        <v>24</v>
      </c>
      <c r="X297" s="102">
        <f t="shared" si="35"/>
        <v>0</v>
      </c>
      <c r="Y297" s="100" t="str">
        <f t="shared" si="36"/>
        <v xml:space="preserve"> </v>
      </c>
      <c r="Z297" s="100" t="str">
        <f t="shared" si="37"/>
        <v xml:space="preserve"> </v>
      </c>
    </row>
    <row r="298" spans="1:26">
      <c r="A298" s="100"/>
      <c r="B298" s="108" t="str">
        <f>IFERROR(VLOOKUP(Tablo519[[#This Row],[ÜRÜN KODU]],YMKODLARI!$A$1:$K$379,2,0)," ")</f>
        <v xml:space="preserve"> </v>
      </c>
      <c r="C298" s="99"/>
      <c r="D298" s="100"/>
      <c r="E298" s="101"/>
      <c r="F298" s="101"/>
      <c r="G298" s="100" t="str">
        <f>IFERROR(VLOOKUP(Tablo519[[#This Row],[ÜRÜN KODU]],YMKODLARI!$A$1:$K$379,3,0)," ")</f>
        <v xml:space="preserve"> </v>
      </c>
      <c r="H298" s="100" t="str">
        <f>IFERROR(VLOOKUP(Tablo519[[#This Row],[ÜRÜN KODU]],YMKODLARI!$A$1:$K$379,4,0)," ")</f>
        <v xml:space="preserve"> </v>
      </c>
      <c r="I298" s="100"/>
      <c r="J298" s="100" t="str">
        <f>IFERROR(VLOOKUP(Tablo519[[#This Row],[ÜRÜN KODU]],YMKODLARI!$A$1:$K$379,9,0)," ")</f>
        <v xml:space="preserve"> </v>
      </c>
      <c r="K298" s="100" t="str">
        <f>IFERROR(VLOOKUP(Tablo519[[#This Row],[BOYA KODU]],Tablo14[#All],4,0)," ")</f>
        <v xml:space="preserve"> </v>
      </c>
      <c r="L298" s="100" t="str">
        <f>IFERROR(VLOOKUP(Tablo519[[#This Row],[BOYA KODU]],Tablo14[#All],6,0)," ")</f>
        <v xml:space="preserve"> </v>
      </c>
      <c r="M298" s="100" t="str">
        <f t="shared" si="32"/>
        <v xml:space="preserve"> </v>
      </c>
      <c r="N298" s="100" t="str">
        <f>IFERROR(VLOOKUP(Tablo519[[#This Row],[ÜRÜN KODU]],YMKODLARI!$A$1:$K$363,8,0)," ")</f>
        <v xml:space="preserve"> </v>
      </c>
      <c r="O298" s="100" t="str">
        <f>IFERROR(VLOOKUP(Tablo519[[#This Row],[HAMMADDE KODU]],Tablo1[#All],3,0)," ")</f>
        <v xml:space="preserve"> </v>
      </c>
      <c r="P298" s="100" t="str">
        <f>IFERROR(VLOOKUP(Tablo519[[#This Row],[HAMMADDE KODU]],Tablo1[#All],4,0)," ")</f>
        <v xml:space="preserve"> </v>
      </c>
      <c r="Q298" s="100" t="str">
        <f>IFERROR(VLOOKUP(Tablo519[[#This Row],[ÜRÜN KODU]],YMKODLARI!$A$1:$K$379,5,0)," ")</f>
        <v xml:space="preserve"> </v>
      </c>
      <c r="R298" s="100" t="str">
        <f>IFERROR(VLOOKUP(Tablo519[[#This Row],[ÜRÜN KODU]],YMKODLARI!$A$1:$K$379,6,0)," ")</f>
        <v xml:space="preserve"> </v>
      </c>
      <c r="S298" s="100" t="str">
        <f>IFERROR(Tablo519[[#This Row],[YOLLUK HARİÇ BASKI GRAMI]]/Tablo519[[#This Row],[KALIP GÖZ ADEDİ]]," ")</f>
        <v xml:space="preserve"> </v>
      </c>
      <c r="T298" s="100" t="str">
        <f t="shared" si="33"/>
        <v xml:space="preserve"> </v>
      </c>
      <c r="U298" s="100"/>
      <c r="V298" s="100" t="str">
        <f t="shared" si="38"/>
        <v xml:space="preserve"> </v>
      </c>
      <c r="W298" s="101">
        <f t="shared" si="34"/>
        <v>24</v>
      </c>
      <c r="X298" s="102">
        <f t="shared" si="35"/>
        <v>0</v>
      </c>
      <c r="Y298" s="100" t="str">
        <f t="shared" si="36"/>
        <v xml:space="preserve"> </v>
      </c>
      <c r="Z298" s="100" t="str">
        <f t="shared" si="37"/>
        <v xml:space="preserve"> </v>
      </c>
    </row>
    <row r="299" spans="1:26">
      <c r="A299" s="100"/>
      <c r="B299" s="108" t="str">
        <f>IFERROR(VLOOKUP(Tablo519[[#This Row],[ÜRÜN KODU]],YMKODLARI!$A$1:$K$379,2,0)," ")</f>
        <v xml:space="preserve"> </v>
      </c>
      <c r="C299" s="99"/>
      <c r="D299" s="100"/>
      <c r="E299" s="101"/>
      <c r="F299" s="101"/>
      <c r="G299" s="100" t="str">
        <f>IFERROR(VLOOKUP(Tablo519[[#This Row],[ÜRÜN KODU]],YMKODLARI!$A$1:$K$379,3,0)," ")</f>
        <v xml:space="preserve"> </v>
      </c>
      <c r="H299" s="100" t="str">
        <f>IFERROR(VLOOKUP(Tablo519[[#This Row],[ÜRÜN KODU]],YMKODLARI!$A$1:$K$379,4,0)," ")</f>
        <v xml:space="preserve"> </v>
      </c>
      <c r="I299" s="100"/>
      <c r="J299" s="100" t="str">
        <f>IFERROR(VLOOKUP(Tablo519[[#This Row],[ÜRÜN KODU]],YMKODLARI!$A$1:$K$379,9,0)," ")</f>
        <v xml:space="preserve"> </v>
      </c>
      <c r="K299" s="100" t="str">
        <f>IFERROR(VLOOKUP(Tablo519[[#This Row],[BOYA KODU]],Tablo14[#All],4,0)," ")</f>
        <v xml:space="preserve"> </v>
      </c>
      <c r="L299" s="100" t="str">
        <f>IFERROR(VLOOKUP(Tablo519[[#This Row],[BOYA KODU]],Tablo14[#All],6,0)," ")</f>
        <v xml:space="preserve"> </v>
      </c>
      <c r="M299" s="100" t="str">
        <f t="shared" si="32"/>
        <v xml:space="preserve"> </v>
      </c>
      <c r="N299" s="100" t="str">
        <f>IFERROR(VLOOKUP(Tablo519[[#This Row],[ÜRÜN KODU]],YMKODLARI!$A$1:$K$363,8,0)," ")</f>
        <v xml:space="preserve"> </v>
      </c>
      <c r="O299" s="100" t="str">
        <f>IFERROR(VLOOKUP(Tablo519[[#This Row],[HAMMADDE KODU]],Tablo1[#All],3,0)," ")</f>
        <v xml:space="preserve"> </v>
      </c>
      <c r="P299" s="100" t="str">
        <f>IFERROR(VLOOKUP(Tablo519[[#This Row],[HAMMADDE KODU]],Tablo1[#All],4,0)," ")</f>
        <v xml:space="preserve"> </v>
      </c>
      <c r="Q299" s="100" t="str">
        <f>IFERROR(VLOOKUP(Tablo519[[#This Row],[ÜRÜN KODU]],YMKODLARI!$A$1:$K$379,5,0)," ")</f>
        <v xml:space="preserve"> </v>
      </c>
      <c r="R299" s="100" t="str">
        <f>IFERROR(VLOOKUP(Tablo519[[#This Row],[ÜRÜN KODU]],YMKODLARI!$A$1:$K$379,6,0)," ")</f>
        <v xml:space="preserve"> </v>
      </c>
      <c r="S299" s="100" t="str">
        <f>IFERROR(Tablo519[[#This Row],[YOLLUK HARİÇ BASKI GRAMI]]/Tablo519[[#This Row],[KALIP GÖZ ADEDİ]]," ")</f>
        <v xml:space="preserve"> </v>
      </c>
      <c r="T299" s="100" t="str">
        <f t="shared" si="33"/>
        <v xml:space="preserve"> </v>
      </c>
      <c r="U299" s="100"/>
      <c r="V299" s="100" t="str">
        <f t="shared" si="38"/>
        <v xml:space="preserve"> </v>
      </c>
      <c r="W299" s="101">
        <f t="shared" si="34"/>
        <v>24</v>
      </c>
      <c r="X299" s="102">
        <f t="shared" si="35"/>
        <v>0</v>
      </c>
      <c r="Y299" s="100" t="str">
        <f t="shared" si="36"/>
        <v xml:space="preserve"> </v>
      </c>
      <c r="Z299" s="100" t="str">
        <f t="shared" si="37"/>
        <v xml:space="preserve"> </v>
      </c>
    </row>
    <row r="300" spans="1:26">
      <c r="A300" s="100"/>
      <c r="B300" s="108" t="str">
        <f>IFERROR(VLOOKUP(Tablo519[[#This Row],[ÜRÜN KODU]],YMKODLARI!$A$1:$K$379,2,0)," ")</f>
        <v xml:space="preserve"> </v>
      </c>
      <c r="C300" s="99"/>
      <c r="D300" s="100"/>
      <c r="E300" s="101"/>
      <c r="F300" s="101"/>
      <c r="G300" s="100" t="str">
        <f>IFERROR(VLOOKUP(Tablo519[[#This Row],[ÜRÜN KODU]],YMKODLARI!$A$1:$K$379,3,0)," ")</f>
        <v xml:space="preserve"> </v>
      </c>
      <c r="H300" s="100" t="str">
        <f>IFERROR(VLOOKUP(Tablo519[[#This Row],[ÜRÜN KODU]],YMKODLARI!$A$1:$K$379,4,0)," ")</f>
        <v xml:space="preserve"> </v>
      </c>
      <c r="I300" s="100"/>
      <c r="J300" s="100" t="str">
        <f>IFERROR(VLOOKUP(Tablo519[[#This Row],[ÜRÜN KODU]],YMKODLARI!$A$1:$K$379,9,0)," ")</f>
        <v xml:space="preserve"> </v>
      </c>
      <c r="K300" s="100" t="str">
        <f>IFERROR(VLOOKUP(Tablo519[[#This Row],[BOYA KODU]],Tablo14[#All],4,0)," ")</f>
        <v xml:space="preserve"> </v>
      </c>
      <c r="L300" s="100" t="str">
        <f>IFERROR(VLOOKUP(Tablo519[[#This Row],[BOYA KODU]],Tablo14[#All],6,0)," ")</f>
        <v xml:space="preserve"> </v>
      </c>
      <c r="M300" s="100" t="str">
        <f t="shared" si="32"/>
        <v xml:space="preserve"> </v>
      </c>
      <c r="N300" s="100" t="str">
        <f>IFERROR(VLOOKUP(Tablo519[[#This Row],[ÜRÜN KODU]],YMKODLARI!$A$1:$K$363,8,0)," ")</f>
        <v xml:space="preserve"> </v>
      </c>
      <c r="O300" s="100" t="str">
        <f>IFERROR(VLOOKUP(Tablo519[[#This Row],[HAMMADDE KODU]],Tablo1[#All],3,0)," ")</f>
        <v xml:space="preserve"> </v>
      </c>
      <c r="P300" s="100" t="str">
        <f>IFERROR(VLOOKUP(Tablo519[[#This Row],[HAMMADDE KODU]],Tablo1[#All],4,0)," ")</f>
        <v xml:space="preserve"> </v>
      </c>
      <c r="Q300" s="100" t="str">
        <f>IFERROR(VLOOKUP(Tablo519[[#This Row],[ÜRÜN KODU]],YMKODLARI!$A$1:$K$379,5,0)," ")</f>
        <v xml:space="preserve"> </v>
      </c>
      <c r="R300" s="100" t="str">
        <f>IFERROR(VLOOKUP(Tablo519[[#This Row],[ÜRÜN KODU]],YMKODLARI!$A$1:$K$379,6,0)," ")</f>
        <v xml:space="preserve"> </v>
      </c>
      <c r="S300" s="100" t="str">
        <f>IFERROR(Tablo519[[#This Row],[YOLLUK HARİÇ BASKI GRAMI]]/Tablo519[[#This Row],[KALIP GÖZ ADEDİ]]," ")</f>
        <v xml:space="preserve"> </v>
      </c>
      <c r="T300" s="100" t="str">
        <f t="shared" si="33"/>
        <v xml:space="preserve"> </v>
      </c>
      <c r="U300" s="100"/>
      <c r="V300" s="100" t="str">
        <f t="shared" si="38"/>
        <v xml:space="preserve"> </v>
      </c>
      <c r="W300" s="101">
        <f t="shared" si="34"/>
        <v>24</v>
      </c>
      <c r="X300" s="102">
        <f t="shared" si="35"/>
        <v>0</v>
      </c>
      <c r="Y300" s="100" t="str">
        <f t="shared" si="36"/>
        <v xml:space="preserve"> </v>
      </c>
      <c r="Z300" s="100" t="str">
        <f t="shared" si="37"/>
        <v xml:space="preserve"> </v>
      </c>
    </row>
    <row r="301" spans="1:26">
      <c r="A301" s="100"/>
      <c r="B301" s="108" t="str">
        <f>IFERROR(VLOOKUP(Tablo519[[#This Row],[ÜRÜN KODU]],YMKODLARI!$A$1:$K$379,2,0)," ")</f>
        <v xml:space="preserve"> </v>
      </c>
      <c r="C301" s="99"/>
      <c r="D301" s="100"/>
      <c r="E301" s="101"/>
      <c r="F301" s="101"/>
      <c r="G301" s="100" t="str">
        <f>IFERROR(VLOOKUP(Tablo519[[#This Row],[ÜRÜN KODU]],YMKODLARI!$A$1:$K$379,3,0)," ")</f>
        <v xml:space="preserve"> </v>
      </c>
      <c r="H301" s="100" t="str">
        <f>IFERROR(VLOOKUP(Tablo519[[#This Row],[ÜRÜN KODU]],YMKODLARI!$A$1:$K$379,4,0)," ")</f>
        <v xml:space="preserve"> </v>
      </c>
      <c r="I301" s="100"/>
      <c r="J301" s="100" t="str">
        <f>IFERROR(VLOOKUP(Tablo519[[#This Row],[ÜRÜN KODU]],YMKODLARI!$A$1:$K$379,9,0)," ")</f>
        <v xml:space="preserve"> </v>
      </c>
      <c r="K301" s="100" t="str">
        <f>IFERROR(VLOOKUP(Tablo519[[#This Row],[BOYA KODU]],Tablo14[#All],4,0)," ")</f>
        <v xml:space="preserve"> </v>
      </c>
      <c r="L301" s="100" t="str">
        <f>IFERROR(VLOOKUP(Tablo519[[#This Row],[BOYA KODU]],Tablo14[#All],6,0)," ")</f>
        <v xml:space="preserve"> </v>
      </c>
      <c r="M301" s="100" t="str">
        <f t="shared" si="32"/>
        <v xml:space="preserve"> </v>
      </c>
      <c r="N301" s="100" t="str">
        <f>IFERROR(VLOOKUP(Tablo519[[#This Row],[ÜRÜN KODU]],YMKODLARI!$A$1:$K$363,8,0)," ")</f>
        <v xml:space="preserve"> </v>
      </c>
      <c r="O301" s="100" t="str">
        <f>IFERROR(VLOOKUP(Tablo519[[#This Row],[HAMMADDE KODU]],Tablo1[#All],3,0)," ")</f>
        <v xml:space="preserve"> </v>
      </c>
      <c r="P301" s="100" t="str">
        <f>IFERROR(VLOOKUP(Tablo519[[#This Row],[HAMMADDE KODU]],Tablo1[#All],4,0)," ")</f>
        <v xml:space="preserve"> </v>
      </c>
      <c r="Q301" s="100" t="str">
        <f>IFERROR(VLOOKUP(Tablo519[[#This Row],[ÜRÜN KODU]],YMKODLARI!$A$1:$K$379,5,0)," ")</f>
        <v xml:space="preserve"> </v>
      </c>
      <c r="R301" s="100" t="str">
        <f>IFERROR(VLOOKUP(Tablo519[[#This Row],[ÜRÜN KODU]],YMKODLARI!$A$1:$K$379,6,0)," ")</f>
        <v xml:space="preserve"> </v>
      </c>
      <c r="S301" s="100" t="str">
        <f>IFERROR(Tablo519[[#This Row],[YOLLUK HARİÇ BASKI GRAMI]]/Tablo519[[#This Row],[KALIP GÖZ ADEDİ]]," ")</f>
        <v xml:space="preserve"> </v>
      </c>
      <c r="T301" s="100" t="str">
        <f t="shared" si="33"/>
        <v xml:space="preserve"> </v>
      </c>
      <c r="U301" s="100"/>
      <c r="V301" s="100" t="str">
        <f t="shared" si="38"/>
        <v xml:space="preserve"> </v>
      </c>
      <c r="W301" s="101">
        <f t="shared" si="34"/>
        <v>24</v>
      </c>
      <c r="X301" s="102">
        <f t="shared" si="35"/>
        <v>0</v>
      </c>
      <c r="Y301" s="100" t="str">
        <f t="shared" si="36"/>
        <v xml:space="preserve"> </v>
      </c>
      <c r="Z301" s="100" t="str">
        <f t="shared" si="37"/>
        <v xml:space="preserve"> </v>
      </c>
    </row>
    <row r="302" spans="1:26">
      <c r="A302" s="100"/>
      <c r="B302" s="108" t="str">
        <f>IFERROR(VLOOKUP(Tablo519[[#This Row],[ÜRÜN KODU]],YMKODLARI!$A$1:$K$379,2,0)," ")</f>
        <v xml:space="preserve"> </v>
      </c>
      <c r="C302" s="99"/>
      <c r="D302" s="100"/>
      <c r="E302" s="101"/>
      <c r="F302" s="101"/>
      <c r="G302" s="100" t="str">
        <f>IFERROR(VLOOKUP(Tablo519[[#This Row],[ÜRÜN KODU]],YMKODLARI!$A$1:$K$379,3,0)," ")</f>
        <v xml:space="preserve"> </v>
      </c>
      <c r="H302" s="100" t="str">
        <f>IFERROR(VLOOKUP(Tablo519[[#This Row],[ÜRÜN KODU]],YMKODLARI!$A$1:$K$379,4,0)," ")</f>
        <v xml:space="preserve"> </v>
      </c>
      <c r="I302" s="100"/>
      <c r="J302" s="100" t="str">
        <f>IFERROR(VLOOKUP(Tablo519[[#This Row],[ÜRÜN KODU]],YMKODLARI!$A$1:$K$379,9,0)," ")</f>
        <v xml:space="preserve"> </v>
      </c>
      <c r="K302" s="100" t="str">
        <f>IFERROR(VLOOKUP(Tablo519[[#This Row],[BOYA KODU]],Tablo14[#All],4,0)," ")</f>
        <v xml:space="preserve"> </v>
      </c>
      <c r="L302" s="100" t="str">
        <f>IFERROR(VLOOKUP(Tablo519[[#This Row],[BOYA KODU]],Tablo14[#All],6,0)," ")</f>
        <v xml:space="preserve"> </v>
      </c>
      <c r="M302" s="100" t="str">
        <f t="shared" si="32"/>
        <v xml:space="preserve"> </v>
      </c>
      <c r="N302" s="100" t="str">
        <f>IFERROR(VLOOKUP(Tablo519[[#This Row],[ÜRÜN KODU]],YMKODLARI!$A$1:$K$363,8,0)," ")</f>
        <v xml:space="preserve"> </v>
      </c>
      <c r="O302" s="100" t="str">
        <f>IFERROR(VLOOKUP(Tablo519[[#This Row],[HAMMADDE KODU]],Tablo1[#All],3,0)," ")</f>
        <v xml:space="preserve"> </v>
      </c>
      <c r="P302" s="100" t="str">
        <f>IFERROR(VLOOKUP(Tablo519[[#This Row],[HAMMADDE KODU]],Tablo1[#All],4,0)," ")</f>
        <v xml:space="preserve"> </v>
      </c>
      <c r="Q302" s="100" t="str">
        <f>IFERROR(VLOOKUP(Tablo519[[#This Row],[ÜRÜN KODU]],YMKODLARI!$A$1:$K$379,5,0)," ")</f>
        <v xml:space="preserve"> </v>
      </c>
      <c r="R302" s="100" t="str">
        <f>IFERROR(VLOOKUP(Tablo519[[#This Row],[ÜRÜN KODU]],YMKODLARI!$A$1:$K$379,6,0)," ")</f>
        <v xml:space="preserve"> </v>
      </c>
      <c r="S302" s="100" t="str">
        <f>IFERROR(Tablo519[[#This Row],[YOLLUK HARİÇ BASKI GRAMI]]/Tablo519[[#This Row],[KALIP GÖZ ADEDİ]]," ")</f>
        <v xml:space="preserve"> </v>
      </c>
      <c r="T302" s="100" t="str">
        <f t="shared" si="33"/>
        <v xml:space="preserve"> </v>
      </c>
      <c r="U302" s="100"/>
      <c r="V302" s="100" t="str">
        <f t="shared" si="38"/>
        <v xml:space="preserve"> </v>
      </c>
      <c r="W302" s="101">
        <f t="shared" si="34"/>
        <v>24</v>
      </c>
      <c r="X302" s="102">
        <f t="shared" si="35"/>
        <v>0</v>
      </c>
      <c r="Y302" s="100" t="str">
        <f t="shared" si="36"/>
        <v xml:space="preserve"> </v>
      </c>
      <c r="Z302" s="100" t="str">
        <f t="shared" si="37"/>
        <v xml:space="preserve"> </v>
      </c>
    </row>
    <row r="303" spans="1:26">
      <c r="A303" s="100"/>
      <c r="B303" s="108" t="str">
        <f>IFERROR(VLOOKUP(Tablo519[[#This Row],[ÜRÜN KODU]],YMKODLARI!$A$1:$K$379,2,0)," ")</f>
        <v xml:space="preserve"> </v>
      </c>
      <c r="C303" s="99"/>
      <c r="D303" s="100"/>
      <c r="E303" s="101"/>
      <c r="F303" s="101"/>
      <c r="G303" s="100" t="str">
        <f>IFERROR(VLOOKUP(Tablo519[[#This Row],[ÜRÜN KODU]],YMKODLARI!$A$1:$K$379,3,0)," ")</f>
        <v xml:space="preserve"> </v>
      </c>
      <c r="H303" s="100" t="str">
        <f>IFERROR(VLOOKUP(Tablo519[[#This Row],[ÜRÜN KODU]],YMKODLARI!$A$1:$K$379,4,0)," ")</f>
        <v xml:space="preserve"> </v>
      </c>
      <c r="I303" s="100"/>
      <c r="J303" s="100" t="str">
        <f>IFERROR(VLOOKUP(Tablo519[[#This Row],[ÜRÜN KODU]],YMKODLARI!$A$1:$K$379,9,0)," ")</f>
        <v xml:space="preserve"> </v>
      </c>
      <c r="K303" s="100" t="str">
        <f>IFERROR(VLOOKUP(Tablo519[[#This Row],[BOYA KODU]],Tablo14[#All],4,0)," ")</f>
        <v xml:space="preserve"> </v>
      </c>
      <c r="L303" s="100" t="str">
        <f>IFERROR(VLOOKUP(Tablo519[[#This Row],[BOYA KODU]],Tablo14[#All],6,0)," ")</f>
        <v xml:space="preserve"> </v>
      </c>
      <c r="M303" s="100" t="str">
        <f t="shared" si="32"/>
        <v xml:space="preserve"> </v>
      </c>
      <c r="N303" s="100" t="str">
        <f>IFERROR(VLOOKUP(Tablo519[[#This Row],[ÜRÜN KODU]],YMKODLARI!$A$1:$K$363,8,0)," ")</f>
        <v xml:space="preserve"> </v>
      </c>
      <c r="O303" s="100" t="str">
        <f>IFERROR(VLOOKUP(Tablo519[[#This Row],[HAMMADDE KODU]],Tablo1[#All],3,0)," ")</f>
        <v xml:space="preserve"> </v>
      </c>
      <c r="P303" s="100" t="str">
        <f>IFERROR(VLOOKUP(Tablo519[[#This Row],[HAMMADDE KODU]],Tablo1[#All],4,0)," ")</f>
        <v xml:space="preserve"> </v>
      </c>
      <c r="Q303" s="100" t="str">
        <f>IFERROR(VLOOKUP(Tablo519[[#This Row],[ÜRÜN KODU]],YMKODLARI!$A$1:$K$379,5,0)," ")</f>
        <v xml:space="preserve"> </v>
      </c>
      <c r="R303" s="100" t="str">
        <f>IFERROR(VLOOKUP(Tablo519[[#This Row],[ÜRÜN KODU]],YMKODLARI!$A$1:$K$379,6,0)," ")</f>
        <v xml:space="preserve"> </v>
      </c>
      <c r="S303" s="100" t="str">
        <f>IFERROR(Tablo519[[#This Row],[YOLLUK HARİÇ BASKI GRAMI]]/Tablo519[[#This Row],[KALIP GÖZ ADEDİ]]," ")</f>
        <v xml:space="preserve"> </v>
      </c>
      <c r="T303" s="100" t="str">
        <f t="shared" si="33"/>
        <v xml:space="preserve"> </v>
      </c>
      <c r="U303" s="100"/>
      <c r="V303" s="100" t="str">
        <f t="shared" si="38"/>
        <v xml:space="preserve"> </v>
      </c>
      <c r="W303" s="101">
        <f t="shared" si="34"/>
        <v>24</v>
      </c>
      <c r="X303" s="102">
        <f t="shared" si="35"/>
        <v>0</v>
      </c>
      <c r="Y303" s="100" t="str">
        <f t="shared" si="36"/>
        <v xml:space="preserve"> </v>
      </c>
      <c r="Z303" s="100" t="str">
        <f t="shared" si="37"/>
        <v xml:space="preserve"> </v>
      </c>
    </row>
    <row r="304" spans="1:26">
      <c r="A304" s="100"/>
      <c r="B304" s="108" t="str">
        <f>IFERROR(VLOOKUP(Tablo519[[#This Row],[ÜRÜN KODU]],YMKODLARI!$A$1:$K$379,2,0)," ")</f>
        <v xml:space="preserve"> </v>
      </c>
      <c r="C304" s="99"/>
      <c r="D304" s="100"/>
      <c r="E304" s="101"/>
      <c r="F304" s="101"/>
      <c r="G304" s="100" t="str">
        <f>IFERROR(VLOOKUP(Tablo519[[#This Row],[ÜRÜN KODU]],YMKODLARI!$A$1:$K$379,3,0)," ")</f>
        <v xml:space="preserve"> </v>
      </c>
      <c r="H304" s="100" t="str">
        <f>IFERROR(VLOOKUP(Tablo519[[#This Row],[ÜRÜN KODU]],YMKODLARI!$A$1:$K$379,4,0)," ")</f>
        <v xml:space="preserve"> </v>
      </c>
      <c r="I304" s="100"/>
      <c r="J304" s="100" t="str">
        <f>IFERROR(VLOOKUP(Tablo519[[#This Row],[ÜRÜN KODU]],YMKODLARI!$A$1:$K$379,9,0)," ")</f>
        <v xml:space="preserve"> </v>
      </c>
      <c r="K304" s="100" t="str">
        <f>IFERROR(VLOOKUP(Tablo519[[#This Row],[BOYA KODU]],Tablo14[#All],4,0)," ")</f>
        <v xml:space="preserve"> </v>
      </c>
      <c r="L304" s="100" t="str">
        <f>IFERROR(VLOOKUP(Tablo519[[#This Row],[BOYA KODU]],Tablo14[#All],6,0)," ")</f>
        <v xml:space="preserve"> </v>
      </c>
      <c r="M304" s="100" t="str">
        <f t="shared" si="32"/>
        <v xml:space="preserve"> </v>
      </c>
      <c r="N304" s="100" t="str">
        <f>IFERROR(VLOOKUP(Tablo519[[#This Row],[ÜRÜN KODU]],YMKODLARI!$A$1:$K$363,8,0)," ")</f>
        <v xml:space="preserve"> </v>
      </c>
      <c r="O304" s="100" t="str">
        <f>IFERROR(VLOOKUP(Tablo519[[#This Row],[HAMMADDE KODU]],Tablo1[#All],3,0)," ")</f>
        <v xml:space="preserve"> </v>
      </c>
      <c r="P304" s="100" t="str">
        <f>IFERROR(VLOOKUP(Tablo519[[#This Row],[HAMMADDE KODU]],Tablo1[#All],4,0)," ")</f>
        <v xml:space="preserve"> </v>
      </c>
      <c r="Q304" s="100" t="str">
        <f>IFERROR(VLOOKUP(Tablo519[[#This Row],[ÜRÜN KODU]],YMKODLARI!$A$1:$K$379,5,0)," ")</f>
        <v xml:space="preserve"> </v>
      </c>
      <c r="R304" s="100" t="str">
        <f>IFERROR(VLOOKUP(Tablo519[[#This Row],[ÜRÜN KODU]],YMKODLARI!$A$1:$K$379,6,0)," ")</f>
        <v xml:space="preserve"> </v>
      </c>
      <c r="S304" s="100" t="str">
        <f>IFERROR(Tablo519[[#This Row],[YOLLUK HARİÇ BASKI GRAMI]]/Tablo519[[#This Row],[KALIP GÖZ ADEDİ]]," ")</f>
        <v xml:space="preserve"> </v>
      </c>
      <c r="T304" s="100" t="str">
        <f t="shared" si="33"/>
        <v xml:space="preserve"> </v>
      </c>
      <c r="U304" s="100"/>
      <c r="V304" s="100" t="str">
        <f t="shared" si="38"/>
        <v xml:space="preserve"> </v>
      </c>
      <c r="W304" s="101">
        <f t="shared" si="34"/>
        <v>24</v>
      </c>
      <c r="X304" s="102">
        <f t="shared" si="35"/>
        <v>0</v>
      </c>
      <c r="Y304" s="100" t="str">
        <f t="shared" si="36"/>
        <v xml:space="preserve"> </v>
      </c>
      <c r="Z304" s="100" t="str">
        <f t="shared" si="37"/>
        <v xml:space="preserve"> </v>
      </c>
    </row>
    <row r="305" spans="1:26">
      <c r="A305" s="100"/>
      <c r="B305" s="108" t="str">
        <f>IFERROR(VLOOKUP(Tablo519[[#This Row],[ÜRÜN KODU]],YMKODLARI!$A$1:$K$379,2,0)," ")</f>
        <v xml:space="preserve"> </v>
      </c>
      <c r="C305" s="99"/>
      <c r="D305" s="100"/>
      <c r="E305" s="101"/>
      <c r="F305" s="101"/>
      <c r="G305" s="100" t="str">
        <f>IFERROR(VLOOKUP(Tablo519[[#This Row],[ÜRÜN KODU]],YMKODLARI!$A$1:$K$379,3,0)," ")</f>
        <v xml:space="preserve"> </v>
      </c>
      <c r="H305" s="100" t="str">
        <f>IFERROR(VLOOKUP(Tablo519[[#This Row],[ÜRÜN KODU]],YMKODLARI!$A$1:$K$379,4,0)," ")</f>
        <v xml:space="preserve"> </v>
      </c>
      <c r="I305" s="100"/>
      <c r="J305" s="100" t="str">
        <f>IFERROR(VLOOKUP(Tablo519[[#This Row],[ÜRÜN KODU]],YMKODLARI!$A$1:$K$379,9,0)," ")</f>
        <v xml:space="preserve"> </v>
      </c>
      <c r="K305" s="100" t="str">
        <f>IFERROR(VLOOKUP(Tablo519[[#This Row],[BOYA KODU]],Tablo14[#All],4,0)," ")</f>
        <v xml:space="preserve"> </v>
      </c>
      <c r="L305" s="100" t="str">
        <f>IFERROR(VLOOKUP(Tablo519[[#This Row],[BOYA KODU]],Tablo14[#All],6,0)," ")</f>
        <v xml:space="preserve"> </v>
      </c>
      <c r="M305" s="100" t="str">
        <f t="shared" si="32"/>
        <v xml:space="preserve"> </v>
      </c>
      <c r="N305" s="100" t="str">
        <f>IFERROR(VLOOKUP(Tablo519[[#This Row],[ÜRÜN KODU]],YMKODLARI!$A$1:$K$363,8,0)," ")</f>
        <v xml:space="preserve"> </v>
      </c>
      <c r="O305" s="100" t="str">
        <f>IFERROR(VLOOKUP(Tablo519[[#This Row],[HAMMADDE KODU]],Tablo1[#All],3,0)," ")</f>
        <v xml:space="preserve"> </v>
      </c>
      <c r="P305" s="100" t="str">
        <f>IFERROR(VLOOKUP(Tablo519[[#This Row],[HAMMADDE KODU]],Tablo1[#All],4,0)," ")</f>
        <v xml:space="preserve"> </v>
      </c>
      <c r="Q305" s="100" t="str">
        <f>IFERROR(VLOOKUP(Tablo519[[#This Row],[ÜRÜN KODU]],YMKODLARI!$A$1:$K$379,5,0)," ")</f>
        <v xml:space="preserve"> </v>
      </c>
      <c r="R305" s="100" t="str">
        <f>IFERROR(VLOOKUP(Tablo519[[#This Row],[ÜRÜN KODU]],YMKODLARI!$A$1:$K$379,6,0)," ")</f>
        <v xml:space="preserve"> </v>
      </c>
      <c r="S305" s="100" t="str">
        <f>IFERROR(Tablo519[[#This Row],[YOLLUK HARİÇ BASKI GRAMI]]/Tablo519[[#This Row],[KALIP GÖZ ADEDİ]]," ")</f>
        <v xml:space="preserve"> </v>
      </c>
      <c r="T305" s="100" t="str">
        <f t="shared" si="33"/>
        <v xml:space="preserve"> </v>
      </c>
      <c r="U305" s="100"/>
      <c r="V305" s="100" t="str">
        <f t="shared" si="38"/>
        <v xml:space="preserve"> </v>
      </c>
      <c r="W305" s="101">
        <f t="shared" si="34"/>
        <v>24</v>
      </c>
      <c r="X305" s="102">
        <f t="shared" si="35"/>
        <v>0</v>
      </c>
      <c r="Y305" s="100" t="str">
        <f t="shared" si="36"/>
        <v xml:space="preserve"> </v>
      </c>
      <c r="Z305" s="100" t="str">
        <f t="shared" si="37"/>
        <v xml:space="preserve"> </v>
      </c>
    </row>
    <row r="306" spans="1:26">
      <c r="A306" s="100"/>
      <c r="B306" s="108" t="str">
        <f>IFERROR(VLOOKUP(Tablo519[[#This Row],[ÜRÜN KODU]],YMKODLARI!$A$1:$K$379,2,0)," ")</f>
        <v xml:space="preserve"> </v>
      </c>
      <c r="C306" s="99"/>
      <c r="D306" s="100"/>
      <c r="E306" s="101"/>
      <c r="F306" s="101"/>
      <c r="G306" s="100" t="str">
        <f>IFERROR(VLOOKUP(Tablo519[[#This Row],[ÜRÜN KODU]],YMKODLARI!$A$1:$K$379,3,0)," ")</f>
        <v xml:space="preserve"> </v>
      </c>
      <c r="H306" s="100" t="str">
        <f>IFERROR(VLOOKUP(Tablo519[[#This Row],[ÜRÜN KODU]],YMKODLARI!$A$1:$K$379,4,0)," ")</f>
        <v xml:space="preserve"> </v>
      </c>
      <c r="I306" s="100"/>
      <c r="J306" s="100" t="str">
        <f>IFERROR(VLOOKUP(Tablo519[[#This Row],[ÜRÜN KODU]],YMKODLARI!$A$1:$K$379,9,0)," ")</f>
        <v xml:space="preserve"> </v>
      </c>
      <c r="K306" s="100" t="str">
        <f>IFERROR(VLOOKUP(Tablo519[[#This Row],[BOYA KODU]],Tablo14[#All],4,0)," ")</f>
        <v xml:space="preserve"> </v>
      </c>
      <c r="L306" s="100" t="str">
        <f>IFERROR(VLOOKUP(Tablo519[[#This Row],[BOYA KODU]],Tablo14[#All],6,0)," ")</f>
        <v xml:space="preserve"> </v>
      </c>
      <c r="M306" s="100" t="str">
        <f t="shared" si="32"/>
        <v xml:space="preserve"> </v>
      </c>
      <c r="N306" s="100" t="str">
        <f>IFERROR(VLOOKUP(Tablo519[[#This Row],[ÜRÜN KODU]],YMKODLARI!$A$1:$K$363,8,0)," ")</f>
        <v xml:space="preserve"> </v>
      </c>
      <c r="O306" s="100" t="str">
        <f>IFERROR(VLOOKUP(Tablo519[[#This Row],[HAMMADDE KODU]],Tablo1[#All],3,0)," ")</f>
        <v xml:space="preserve"> </v>
      </c>
      <c r="P306" s="100" t="str">
        <f>IFERROR(VLOOKUP(Tablo519[[#This Row],[HAMMADDE KODU]],Tablo1[#All],4,0)," ")</f>
        <v xml:space="preserve"> </v>
      </c>
      <c r="Q306" s="100" t="str">
        <f>IFERROR(VLOOKUP(Tablo519[[#This Row],[ÜRÜN KODU]],YMKODLARI!$A$1:$K$379,5,0)," ")</f>
        <v xml:space="preserve"> </v>
      </c>
      <c r="R306" s="100" t="str">
        <f>IFERROR(VLOOKUP(Tablo519[[#This Row],[ÜRÜN KODU]],YMKODLARI!$A$1:$K$379,6,0)," ")</f>
        <v xml:space="preserve"> </v>
      </c>
      <c r="S306" s="100" t="str">
        <f>IFERROR(Tablo519[[#This Row],[YOLLUK HARİÇ BASKI GRAMI]]/Tablo519[[#This Row],[KALIP GÖZ ADEDİ]]," ")</f>
        <v xml:space="preserve"> </v>
      </c>
      <c r="T306" s="100" t="str">
        <f t="shared" si="33"/>
        <v xml:space="preserve"> </v>
      </c>
      <c r="U306" s="100"/>
      <c r="V306" s="100" t="str">
        <f t="shared" si="38"/>
        <v xml:space="preserve"> </v>
      </c>
      <c r="W306" s="101">
        <f t="shared" si="34"/>
        <v>24</v>
      </c>
      <c r="X306" s="102">
        <f t="shared" si="35"/>
        <v>0</v>
      </c>
      <c r="Y306" s="100" t="str">
        <f t="shared" si="36"/>
        <v xml:space="preserve"> </v>
      </c>
      <c r="Z306" s="100" t="str">
        <f t="shared" si="37"/>
        <v xml:space="preserve"> </v>
      </c>
    </row>
    <row r="307" spans="1:26">
      <c r="A307" s="100"/>
      <c r="B307" s="108" t="str">
        <f>IFERROR(VLOOKUP(Tablo519[[#This Row],[ÜRÜN KODU]],YMKODLARI!$A$1:$K$379,2,0)," ")</f>
        <v xml:space="preserve"> </v>
      </c>
      <c r="C307" s="99"/>
      <c r="D307" s="100"/>
      <c r="E307" s="101"/>
      <c r="F307" s="101"/>
      <c r="G307" s="100" t="str">
        <f>IFERROR(VLOOKUP(Tablo519[[#This Row],[ÜRÜN KODU]],YMKODLARI!$A$1:$K$379,3,0)," ")</f>
        <v xml:space="preserve"> </v>
      </c>
      <c r="H307" s="100" t="str">
        <f>IFERROR(VLOOKUP(Tablo519[[#This Row],[ÜRÜN KODU]],YMKODLARI!$A$1:$K$379,4,0)," ")</f>
        <v xml:space="preserve"> </v>
      </c>
      <c r="I307" s="100"/>
      <c r="J307" s="100" t="str">
        <f>IFERROR(VLOOKUP(Tablo519[[#This Row],[ÜRÜN KODU]],YMKODLARI!$A$1:$K$379,9,0)," ")</f>
        <v xml:space="preserve"> </v>
      </c>
      <c r="K307" s="100" t="str">
        <f>IFERROR(VLOOKUP(Tablo519[[#This Row],[BOYA KODU]],Tablo14[#All],4,0)," ")</f>
        <v xml:space="preserve"> </v>
      </c>
      <c r="L307" s="100" t="str">
        <f>IFERROR(VLOOKUP(Tablo519[[#This Row],[BOYA KODU]],Tablo14[#All],6,0)," ")</f>
        <v xml:space="preserve"> </v>
      </c>
      <c r="M307" s="100" t="str">
        <f t="shared" si="32"/>
        <v xml:space="preserve"> </v>
      </c>
      <c r="N307" s="100" t="str">
        <f>IFERROR(VLOOKUP(Tablo519[[#This Row],[ÜRÜN KODU]],YMKODLARI!$A$1:$K$363,8,0)," ")</f>
        <v xml:space="preserve"> </v>
      </c>
      <c r="O307" s="100" t="str">
        <f>IFERROR(VLOOKUP(Tablo519[[#This Row],[HAMMADDE KODU]],Tablo1[#All],3,0)," ")</f>
        <v xml:space="preserve"> </v>
      </c>
      <c r="P307" s="100" t="str">
        <f>IFERROR(VLOOKUP(Tablo519[[#This Row],[HAMMADDE KODU]],Tablo1[#All],4,0)," ")</f>
        <v xml:space="preserve"> </v>
      </c>
      <c r="Q307" s="100" t="str">
        <f>IFERROR(VLOOKUP(Tablo519[[#This Row],[ÜRÜN KODU]],YMKODLARI!$A$1:$K$379,5,0)," ")</f>
        <v xml:space="preserve"> </v>
      </c>
      <c r="R307" s="100" t="str">
        <f>IFERROR(VLOOKUP(Tablo519[[#This Row],[ÜRÜN KODU]],YMKODLARI!$A$1:$K$379,6,0)," ")</f>
        <v xml:space="preserve"> </v>
      </c>
      <c r="S307" s="100" t="str">
        <f>IFERROR(Tablo519[[#This Row],[YOLLUK HARİÇ BASKI GRAMI]]/Tablo519[[#This Row],[KALIP GÖZ ADEDİ]]," ")</f>
        <v xml:space="preserve"> </v>
      </c>
      <c r="T307" s="100" t="str">
        <f t="shared" si="33"/>
        <v xml:space="preserve"> </v>
      </c>
      <c r="U307" s="100"/>
      <c r="V307" s="100" t="str">
        <f t="shared" si="38"/>
        <v xml:space="preserve"> </v>
      </c>
      <c r="W307" s="101">
        <f t="shared" si="34"/>
        <v>24</v>
      </c>
      <c r="X307" s="102">
        <f t="shared" si="35"/>
        <v>0</v>
      </c>
      <c r="Y307" s="100" t="str">
        <f t="shared" si="36"/>
        <v xml:space="preserve"> </v>
      </c>
      <c r="Z307" s="100" t="str">
        <f t="shared" si="37"/>
        <v xml:space="preserve"> </v>
      </c>
    </row>
    <row r="308" spans="1:26">
      <c r="A308" s="100"/>
      <c r="B308" s="108" t="str">
        <f>IFERROR(VLOOKUP(Tablo519[[#This Row],[ÜRÜN KODU]],YMKODLARI!$A$1:$K$379,2,0)," ")</f>
        <v xml:space="preserve"> </v>
      </c>
      <c r="C308" s="99"/>
      <c r="D308" s="100"/>
      <c r="E308" s="101"/>
      <c r="F308" s="101"/>
      <c r="G308" s="100" t="str">
        <f>IFERROR(VLOOKUP(Tablo519[[#This Row],[ÜRÜN KODU]],YMKODLARI!$A$1:$K$379,3,0)," ")</f>
        <v xml:space="preserve"> </v>
      </c>
      <c r="H308" s="100" t="str">
        <f>IFERROR(VLOOKUP(Tablo519[[#This Row],[ÜRÜN KODU]],YMKODLARI!$A$1:$K$379,4,0)," ")</f>
        <v xml:space="preserve"> </v>
      </c>
      <c r="I308" s="100"/>
      <c r="J308" s="100" t="str">
        <f>IFERROR(VLOOKUP(Tablo519[[#This Row],[ÜRÜN KODU]],YMKODLARI!$A$1:$K$379,9,0)," ")</f>
        <v xml:space="preserve"> </v>
      </c>
      <c r="K308" s="100" t="str">
        <f>IFERROR(VLOOKUP(Tablo519[[#This Row],[BOYA KODU]],Tablo14[#All],4,0)," ")</f>
        <v xml:space="preserve"> </v>
      </c>
      <c r="L308" s="100" t="str">
        <f>IFERROR(VLOOKUP(Tablo519[[#This Row],[BOYA KODU]],Tablo14[#All],6,0)," ")</f>
        <v xml:space="preserve"> </v>
      </c>
      <c r="M308" s="100" t="str">
        <f t="shared" si="32"/>
        <v xml:space="preserve"> </v>
      </c>
      <c r="N308" s="100" t="str">
        <f>IFERROR(VLOOKUP(Tablo519[[#This Row],[ÜRÜN KODU]],YMKODLARI!$A$1:$K$363,8,0)," ")</f>
        <v xml:space="preserve"> </v>
      </c>
      <c r="O308" s="100" t="str">
        <f>IFERROR(VLOOKUP(Tablo519[[#This Row],[HAMMADDE KODU]],Tablo1[#All],3,0)," ")</f>
        <v xml:space="preserve"> </v>
      </c>
      <c r="P308" s="100" t="str">
        <f>IFERROR(VLOOKUP(Tablo519[[#This Row],[HAMMADDE KODU]],Tablo1[#All],4,0)," ")</f>
        <v xml:space="preserve"> </v>
      </c>
      <c r="Q308" s="100" t="str">
        <f>IFERROR(VLOOKUP(Tablo519[[#This Row],[ÜRÜN KODU]],YMKODLARI!$A$1:$K$379,5,0)," ")</f>
        <v xml:space="preserve"> </v>
      </c>
      <c r="R308" s="100" t="str">
        <f>IFERROR(VLOOKUP(Tablo519[[#This Row],[ÜRÜN KODU]],YMKODLARI!$A$1:$K$379,6,0)," ")</f>
        <v xml:space="preserve"> </v>
      </c>
      <c r="S308" s="100" t="str">
        <f>IFERROR(Tablo519[[#This Row],[YOLLUK HARİÇ BASKI GRAMI]]/Tablo519[[#This Row],[KALIP GÖZ ADEDİ]]," ")</f>
        <v xml:space="preserve"> </v>
      </c>
      <c r="T308" s="100" t="str">
        <f t="shared" si="33"/>
        <v xml:space="preserve"> </v>
      </c>
      <c r="U308" s="100"/>
      <c r="V308" s="100" t="str">
        <f t="shared" si="38"/>
        <v xml:space="preserve"> </v>
      </c>
      <c r="W308" s="101">
        <f t="shared" si="34"/>
        <v>24</v>
      </c>
      <c r="X308" s="102">
        <f t="shared" si="35"/>
        <v>0</v>
      </c>
      <c r="Y308" s="100" t="str">
        <f t="shared" si="36"/>
        <v xml:space="preserve"> </v>
      </c>
      <c r="Z308" s="100" t="str">
        <f t="shared" si="37"/>
        <v xml:space="preserve"> </v>
      </c>
    </row>
    <row r="309" spans="1:26">
      <c r="A309" s="100"/>
      <c r="B309" s="108" t="str">
        <f>IFERROR(VLOOKUP(Tablo519[[#This Row],[ÜRÜN KODU]],YMKODLARI!$A$1:$K$379,2,0)," ")</f>
        <v xml:space="preserve"> </v>
      </c>
      <c r="C309" s="99"/>
      <c r="D309" s="100"/>
      <c r="E309" s="101"/>
      <c r="F309" s="101"/>
      <c r="G309" s="100" t="str">
        <f>IFERROR(VLOOKUP(Tablo519[[#This Row],[ÜRÜN KODU]],YMKODLARI!$A$1:$K$379,3,0)," ")</f>
        <v xml:space="preserve"> </v>
      </c>
      <c r="H309" s="100" t="str">
        <f>IFERROR(VLOOKUP(Tablo519[[#This Row],[ÜRÜN KODU]],YMKODLARI!$A$1:$K$379,4,0)," ")</f>
        <v xml:space="preserve"> </v>
      </c>
      <c r="I309" s="100"/>
      <c r="J309" s="100" t="str">
        <f>IFERROR(VLOOKUP(Tablo519[[#This Row],[ÜRÜN KODU]],YMKODLARI!$A$1:$K$379,9,0)," ")</f>
        <v xml:space="preserve"> </v>
      </c>
      <c r="K309" s="100" t="str">
        <f>IFERROR(VLOOKUP(Tablo519[[#This Row],[BOYA KODU]],Tablo14[#All],4,0)," ")</f>
        <v xml:space="preserve"> </v>
      </c>
      <c r="L309" s="100" t="str">
        <f>IFERROR(VLOOKUP(Tablo519[[#This Row],[BOYA KODU]],Tablo14[#All],6,0)," ")</f>
        <v xml:space="preserve"> </v>
      </c>
      <c r="M309" s="100" t="str">
        <f t="shared" si="32"/>
        <v xml:space="preserve"> </v>
      </c>
      <c r="N309" s="100" t="str">
        <f>IFERROR(VLOOKUP(Tablo519[[#This Row],[ÜRÜN KODU]],YMKODLARI!$A$1:$K$363,8,0)," ")</f>
        <v xml:space="preserve"> </v>
      </c>
      <c r="O309" s="100" t="str">
        <f>IFERROR(VLOOKUP(Tablo519[[#This Row],[HAMMADDE KODU]],Tablo1[#All],3,0)," ")</f>
        <v xml:space="preserve"> </v>
      </c>
      <c r="P309" s="100" t="str">
        <f>IFERROR(VLOOKUP(Tablo519[[#This Row],[HAMMADDE KODU]],Tablo1[#All],4,0)," ")</f>
        <v xml:space="preserve"> </v>
      </c>
      <c r="Q309" s="100" t="str">
        <f>IFERROR(VLOOKUP(Tablo519[[#This Row],[ÜRÜN KODU]],YMKODLARI!$A$1:$K$379,5,0)," ")</f>
        <v xml:space="preserve"> </v>
      </c>
      <c r="R309" s="100" t="str">
        <f>IFERROR(VLOOKUP(Tablo519[[#This Row],[ÜRÜN KODU]],YMKODLARI!$A$1:$K$379,6,0)," ")</f>
        <v xml:space="preserve"> </v>
      </c>
      <c r="S309" s="100" t="str">
        <f>IFERROR(Tablo519[[#This Row],[YOLLUK HARİÇ BASKI GRAMI]]/Tablo519[[#This Row],[KALIP GÖZ ADEDİ]]," ")</f>
        <v xml:space="preserve"> </v>
      </c>
      <c r="T309" s="100" t="str">
        <f t="shared" si="33"/>
        <v xml:space="preserve"> </v>
      </c>
      <c r="U309" s="100"/>
      <c r="V309" s="100" t="str">
        <f t="shared" si="38"/>
        <v xml:space="preserve"> </v>
      </c>
      <c r="W309" s="101">
        <f t="shared" si="34"/>
        <v>24</v>
      </c>
      <c r="X309" s="102">
        <f t="shared" si="35"/>
        <v>0</v>
      </c>
      <c r="Y309" s="100" t="str">
        <f t="shared" si="36"/>
        <v xml:space="preserve"> </v>
      </c>
      <c r="Z309" s="100" t="str">
        <f t="shared" si="37"/>
        <v xml:space="preserve"> </v>
      </c>
    </row>
    <row r="310" spans="1:26">
      <c r="A310" s="100"/>
      <c r="B310" s="108" t="str">
        <f>IFERROR(VLOOKUP(Tablo519[[#This Row],[ÜRÜN KODU]],YMKODLARI!$A$1:$K$379,2,0)," ")</f>
        <v xml:space="preserve"> </v>
      </c>
      <c r="C310" s="99"/>
      <c r="D310" s="100"/>
      <c r="E310" s="101"/>
      <c r="F310" s="101"/>
      <c r="G310" s="100" t="str">
        <f>IFERROR(VLOOKUP(Tablo519[[#This Row],[ÜRÜN KODU]],YMKODLARI!$A$1:$K$379,3,0)," ")</f>
        <v xml:space="preserve"> </v>
      </c>
      <c r="H310" s="100" t="str">
        <f>IFERROR(VLOOKUP(Tablo519[[#This Row],[ÜRÜN KODU]],YMKODLARI!$A$1:$K$379,4,0)," ")</f>
        <v xml:space="preserve"> </v>
      </c>
      <c r="I310" s="100"/>
      <c r="J310" s="100" t="str">
        <f>IFERROR(VLOOKUP(Tablo519[[#This Row],[ÜRÜN KODU]],YMKODLARI!$A$1:$K$379,9,0)," ")</f>
        <v xml:space="preserve"> </v>
      </c>
      <c r="K310" s="100" t="str">
        <f>IFERROR(VLOOKUP(Tablo519[[#This Row],[BOYA KODU]],Tablo14[#All],4,0)," ")</f>
        <v xml:space="preserve"> </v>
      </c>
      <c r="L310" s="100" t="str">
        <f>IFERROR(VLOOKUP(Tablo519[[#This Row],[BOYA KODU]],Tablo14[#All],6,0)," ")</f>
        <v xml:space="preserve"> </v>
      </c>
      <c r="M310" s="100" t="str">
        <f t="shared" si="32"/>
        <v xml:space="preserve"> </v>
      </c>
      <c r="N310" s="100" t="str">
        <f>IFERROR(VLOOKUP(Tablo519[[#This Row],[ÜRÜN KODU]],YMKODLARI!$A$1:$K$363,8,0)," ")</f>
        <v xml:space="preserve"> </v>
      </c>
      <c r="O310" s="100" t="str">
        <f>IFERROR(VLOOKUP(Tablo519[[#This Row],[HAMMADDE KODU]],Tablo1[#All],3,0)," ")</f>
        <v xml:space="preserve"> </v>
      </c>
      <c r="P310" s="100" t="str">
        <f>IFERROR(VLOOKUP(Tablo519[[#This Row],[HAMMADDE KODU]],Tablo1[#All],4,0)," ")</f>
        <v xml:space="preserve"> </v>
      </c>
      <c r="Q310" s="100" t="str">
        <f>IFERROR(VLOOKUP(Tablo519[[#This Row],[ÜRÜN KODU]],YMKODLARI!$A$1:$K$379,5,0)," ")</f>
        <v xml:space="preserve"> </v>
      </c>
      <c r="R310" s="100" t="str">
        <f>IFERROR(VLOOKUP(Tablo519[[#This Row],[ÜRÜN KODU]],YMKODLARI!$A$1:$K$379,6,0)," ")</f>
        <v xml:space="preserve"> </v>
      </c>
      <c r="S310" s="100" t="str">
        <f>IFERROR(Tablo519[[#This Row],[YOLLUK HARİÇ BASKI GRAMI]]/Tablo519[[#This Row],[KALIP GÖZ ADEDİ]]," ")</f>
        <v xml:space="preserve"> </v>
      </c>
      <c r="T310" s="100" t="str">
        <f t="shared" si="33"/>
        <v xml:space="preserve"> </v>
      </c>
      <c r="U310" s="100"/>
      <c r="V310" s="100" t="str">
        <f t="shared" si="38"/>
        <v xml:space="preserve"> </v>
      </c>
      <c r="W310" s="101">
        <f t="shared" si="34"/>
        <v>24</v>
      </c>
      <c r="X310" s="102">
        <f t="shared" si="35"/>
        <v>0</v>
      </c>
      <c r="Y310" s="100" t="str">
        <f t="shared" si="36"/>
        <v xml:space="preserve"> </v>
      </c>
      <c r="Z310" s="100" t="str">
        <f t="shared" si="37"/>
        <v xml:space="preserve"> </v>
      </c>
    </row>
    <row r="311" spans="1:26">
      <c r="A311" s="100"/>
      <c r="B311" s="108" t="str">
        <f>IFERROR(VLOOKUP(Tablo519[[#This Row],[ÜRÜN KODU]],YMKODLARI!$A$1:$K$379,2,0)," ")</f>
        <v xml:space="preserve"> </v>
      </c>
      <c r="C311" s="99"/>
      <c r="D311" s="100"/>
      <c r="E311" s="101"/>
      <c r="F311" s="101"/>
      <c r="G311" s="100" t="str">
        <f>IFERROR(VLOOKUP(Tablo519[[#This Row],[ÜRÜN KODU]],YMKODLARI!$A$1:$K$379,3,0)," ")</f>
        <v xml:space="preserve"> </v>
      </c>
      <c r="H311" s="100" t="str">
        <f>IFERROR(VLOOKUP(Tablo519[[#This Row],[ÜRÜN KODU]],YMKODLARI!$A$1:$K$379,4,0)," ")</f>
        <v xml:space="preserve"> </v>
      </c>
      <c r="I311" s="100"/>
      <c r="J311" s="100" t="str">
        <f>IFERROR(VLOOKUP(Tablo519[[#This Row],[ÜRÜN KODU]],YMKODLARI!$A$1:$K$379,9,0)," ")</f>
        <v xml:space="preserve"> </v>
      </c>
      <c r="K311" s="100" t="str">
        <f>IFERROR(VLOOKUP(Tablo519[[#This Row],[BOYA KODU]],Tablo14[#All],4,0)," ")</f>
        <v xml:space="preserve"> </v>
      </c>
      <c r="L311" s="100" t="str">
        <f>IFERROR(VLOOKUP(Tablo519[[#This Row],[BOYA KODU]],Tablo14[#All],6,0)," ")</f>
        <v xml:space="preserve"> </v>
      </c>
      <c r="M311" s="100" t="str">
        <f t="shared" si="32"/>
        <v xml:space="preserve"> </v>
      </c>
      <c r="N311" s="100" t="str">
        <f>IFERROR(VLOOKUP(Tablo519[[#This Row],[ÜRÜN KODU]],YMKODLARI!$A$1:$K$363,8,0)," ")</f>
        <v xml:space="preserve"> </v>
      </c>
      <c r="O311" s="100" t="str">
        <f>IFERROR(VLOOKUP(Tablo519[[#This Row],[HAMMADDE KODU]],Tablo1[#All],3,0)," ")</f>
        <v xml:space="preserve"> </v>
      </c>
      <c r="P311" s="100" t="str">
        <f>IFERROR(VLOOKUP(Tablo519[[#This Row],[HAMMADDE KODU]],Tablo1[#All],4,0)," ")</f>
        <v xml:space="preserve"> </v>
      </c>
      <c r="Q311" s="100" t="str">
        <f>IFERROR(VLOOKUP(Tablo519[[#This Row],[ÜRÜN KODU]],YMKODLARI!$A$1:$K$379,5,0)," ")</f>
        <v xml:space="preserve"> </v>
      </c>
      <c r="R311" s="100" t="str">
        <f>IFERROR(VLOOKUP(Tablo519[[#This Row],[ÜRÜN KODU]],YMKODLARI!$A$1:$K$379,6,0)," ")</f>
        <v xml:space="preserve"> </v>
      </c>
      <c r="S311" s="100" t="str">
        <f>IFERROR(Tablo519[[#This Row],[YOLLUK HARİÇ BASKI GRAMI]]/Tablo519[[#This Row],[KALIP GÖZ ADEDİ]]," ")</f>
        <v xml:space="preserve"> </v>
      </c>
      <c r="T311" s="100" t="str">
        <f t="shared" si="33"/>
        <v xml:space="preserve"> </v>
      </c>
      <c r="U311" s="100"/>
      <c r="V311" s="100" t="str">
        <f t="shared" si="38"/>
        <v xml:space="preserve"> </v>
      </c>
      <c r="W311" s="101">
        <f t="shared" si="34"/>
        <v>24</v>
      </c>
      <c r="X311" s="102">
        <f t="shared" si="35"/>
        <v>0</v>
      </c>
      <c r="Y311" s="100" t="str">
        <f t="shared" si="36"/>
        <v xml:space="preserve"> </v>
      </c>
      <c r="Z311" s="100" t="str">
        <f t="shared" si="37"/>
        <v xml:space="preserve"> </v>
      </c>
    </row>
    <row r="312" spans="1:26">
      <c r="A312" s="100"/>
      <c r="B312" s="108" t="str">
        <f>IFERROR(VLOOKUP(Tablo519[[#This Row],[ÜRÜN KODU]],YMKODLARI!$A$1:$K$379,2,0)," ")</f>
        <v xml:space="preserve"> </v>
      </c>
      <c r="C312" s="99"/>
      <c r="D312" s="100"/>
      <c r="E312" s="101"/>
      <c r="F312" s="101"/>
      <c r="G312" s="100" t="str">
        <f>IFERROR(VLOOKUP(Tablo519[[#This Row],[ÜRÜN KODU]],YMKODLARI!$A$1:$K$379,3,0)," ")</f>
        <v xml:space="preserve"> </v>
      </c>
      <c r="H312" s="100" t="str">
        <f>IFERROR(VLOOKUP(Tablo519[[#This Row],[ÜRÜN KODU]],YMKODLARI!$A$1:$K$379,4,0)," ")</f>
        <v xml:space="preserve"> </v>
      </c>
      <c r="I312" s="100"/>
      <c r="J312" s="100" t="str">
        <f>IFERROR(VLOOKUP(Tablo519[[#This Row],[ÜRÜN KODU]],YMKODLARI!$A$1:$K$379,9,0)," ")</f>
        <v xml:space="preserve"> </v>
      </c>
      <c r="K312" s="100" t="str">
        <f>IFERROR(VLOOKUP(Tablo519[[#This Row],[BOYA KODU]],Tablo14[#All],4,0)," ")</f>
        <v xml:space="preserve"> </v>
      </c>
      <c r="L312" s="100" t="str">
        <f>IFERROR(VLOOKUP(Tablo519[[#This Row],[BOYA KODU]],Tablo14[#All],6,0)," ")</f>
        <v xml:space="preserve"> </v>
      </c>
      <c r="M312" s="100" t="str">
        <f t="shared" si="32"/>
        <v xml:space="preserve"> </v>
      </c>
      <c r="N312" s="100" t="str">
        <f>IFERROR(VLOOKUP(Tablo519[[#This Row],[ÜRÜN KODU]],YMKODLARI!$A$1:$K$363,8,0)," ")</f>
        <v xml:space="preserve"> </v>
      </c>
      <c r="O312" s="100" t="str">
        <f>IFERROR(VLOOKUP(Tablo519[[#This Row],[HAMMADDE KODU]],Tablo1[#All],3,0)," ")</f>
        <v xml:space="preserve"> </v>
      </c>
      <c r="P312" s="100" t="str">
        <f>IFERROR(VLOOKUP(Tablo519[[#This Row],[HAMMADDE KODU]],Tablo1[#All],4,0)," ")</f>
        <v xml:space="preserve"> </v>
      </c>
      <c r="Q312" s="100" t="str">
        <f>IFERROR(VLOOKUP(Tablo519[[#This Row],[ÜRÜN KODU]],YMKODLARI!$A$1:$K$379,5,0)," ")</f>
        <v xml:space="preserve"> </v>
      </c>
      <c r="R312" s="100" t="str">
        <f>IFERROR(VLOOKUP(Tablo519[[#This Row],[ÜRÜN KODU]],YMKODLARI!$A$1:$K$379,6,0)," ")</f>
        <v xml:space="preserve"> </v>
      </c>
      <c r="S312" s="100" t="str">
        <f>IFERROR(Tablo519[[#This Row],[YOLLUK HARİÇ BASKI GRAMI]]/Tablo519[[#This Row],[KALIP GÖZ ADEDİ]]," ")</f>
        <v xml:space="preserve"> </v>
      </c>
      <c r="T312" s="100" t="str">
        <f t="shared" si="33"/>
        <v xml:space="preserve"> </v>
      </c>
      <c r="U312" s="100"/>
      <c r="V312" s="100" t="str">
        <f t="shared" si="38"/>
        <v xml:space="preserve"> </v>
      </c>
      <c r="W312" s="101">
        <f t="shared" si="34"/>
        <v>24</v>
      </c>
      <c r="X312" s="102">
        <f t="shared" si="35"/>
        <v>0</v>
      </c>
      <c r="Y312" s="100" t="str">
        <f t="shared" si="36"/>
        <v xml:space="preserve"> </v>
      </c>
      <c r="Z312" s="100" t="str">
        <f t="shared" si="37"/>
        <v xml:space="preserve"> </v>
      </c>
    </row>
    <row r="313" spans="1:26">
      <c r="A313" s="100"/>
      <c r="B313" s="108" t="str">
        <f>IFERROR(VLOOKUP(Tablo519[[#This Row],[ÜRÜN KODU]],YMKODLARI!$A$1:$K$379,2,0)," ")</f>
        <v xml:space="preserve"> </v>
      </c>
      <c r="C313" s="99"/>
      <c r="D313" s="100"/>
      <c r="E313" s="101"/>
      <c r="F313" s="101"/>
      <c r="G313" s="100" t="str">
        <f>IFERROR(VLOOKUP(Tablo519[[#This Row],[ÜRÜN KODU]],YMKODLARI!$A$1:$K$379,3,0)," ")</f>
        <v xml:space="preserve"> </v>
      </c>
      <c r="H313" s="100" t="str">
        <f>IFERROR(VLOOKUP(Tablo519[[#This Row],[ÜRÜN KODU]],YMKODLARI!$A$1:$K$379,4,0)," ")</f>
        <v xml:space="preserve"> </v>
      </c>
      <c r="I313" s="100"/>
      <c r="J313" s="100" t="str">
        <f>IFERROR(VLOOKUP(Tablo519[[#This Row],[ÜRÜN KODU]],YMKODLARI!$A$1:$K$379,9,0)," ")</f>
        <v xml:space="preserve"> </v>
      </c>
      <c r="K313" s="100" t="str">
        <f>IFERROR(VLOOKUP(Tablo519[[#This Row],[BOYA KODU]],Tablo14[#All],4,0)," ")</f>
        <v xml:space="preserve"> </v>
      </c>
      <c r="L313" s="100" t="str">
        <f>IFERROR(VLOOKUP(Tablo519[[#This Row],[BOYA KODU]],Tablo14[#All],6,0)," ")</f>
        <v xml:space="preserve"> </v>
      </c>
      <c r="M313" s="100" t="str">
        <f t="shared" si="32"/>
        <v xml:space="preserve"> </v>
      </c>
      <c r="N313" s="100" t="str">
        <f>IFERROR(VLOOKUP(Tablo519[[#This Row],[ÜRÜN KODU]],YMKODLARI!$A$1:$K$363,8,0)," ")</f>
        <v xml:space="preserve"> </v>
      </c>
      <c r="O313" s="100" t="str">
        <f>IFERROR(VLOOKUP(Tablo519[[#This Row],[HAMMADDE KODU]],Tablo1[#All],3,0)," ")</f>
        <v xml:space="preserve"> </v>
      </c>
      <c r="P313" s="100" t="str">
        <f>IFERROR(VLOOKUP(Tablo519[[#This Row],[HAMMADDE KODU]],Tablo1[#All],4,0)," ")</f>
        <v xml:space="preserve"> </v>
      </c>
      <c r="Q313" s="100" t="str">
        <f>IFERROR(VLOOKUP(Tablo519[[#This Row],[ÜRÜN KODU]],YMKODLARI!$A$1:$K$379,5,0)," ")</f>
        <v xml:space="preserve"> </v>
      </c>
      <c r="R313" s="100" t="str">
        <f>IFERROR(VLOOKUP(Tablo519[[#This Row],[ÜRÜN KODU]],YMKODLARI!$A$1:$K$379,6,0)," ")</f>
        <v xml:space="preserve"> </v>
      </c>
      <c r="S313" s="100" t="str">
        <f>IFERROR(Tablo519[[#This Row],[YOLLUK HARİÇ BASKI GRAMI]]/Tablo519[[#This Row],[KALIP GÖZ ADEDİ]]," ")</f>
        <v xml:space="preserve"> </v>
      </c>
      <c r="T313" s="100" t="str">
        <f t="shared" si="33"/>
        <v xml:space="preserve"> </v>
      </c>
      <c r="U313" s="100"/>
      <c r="V313" s="100" t="str">
        <f t="shared" si="38"/>
        <v xml:space="preserve"> </v>
      </c>
      <c r="W313" s="101">
        <f t="shared" si="34"/>
        <v>24</v>
      </c>
      <c r="X313" s="102">
        <f t="shared" si="35"/>
        <v>0</v>
      </c>
      <c r="Y313" s="100" t="str">
        <f t="shared" si="36"/>
        <v xml:space="preserve"> </v>
      </c>
      <c r="Z313" s="100" t="str">
        <f t="shared" si="37"/>
        <v xml:space="preserve"> </v>
      </c>
    </row>
    <row r="314" spans="1:26">
      <c r="A314" s="100"/>
      <c r="B314" s="108" t="str">
        <f>IFERROR(VLOOKUP(Tablo519[[#This Row],[ÜRÜN KODU]],YMKODLARI!$A$1:$K$379,2,0)," ")</f>
        <v xml:space="preserve"> </v>
      </c>
      <c r="C314" s="99"/>
      <c r="D314" s="100"/>
      <c r="E314" s="101"/>
      <c r="F314" s="101"/>
      <c r="G314" s="100" t="str">
        <f>IFERROR(VLOOKUP(Tablo519[[#This Row],[ÜRÜN KODU]],YMKODLARI!$A$1:$K$379,3,0)," ")</f>
        <v xml:space="preserve"> </v>
      </c>
      <c r="H314" s="100" t="str">
        <f>IFERROR(VLOOKUP(Tablo519[[#This Row],[ÜRÜN KODU]],YMKODLARI!$A$1:$K$379,4,0)," ")</f>
        <v xml:space="preserve"> </v>
      </c>
      <c r="I314" s="100"/>
      <c r="J314" s="100" t="str">
        <f>IFERROR(VLOOKUP(Tablo519[[#This Row],[ÜRÜN KODU]],YMKODLARI!$A$1:$K$379,9,0)," ")</f>
        <v xml:space="preserve"> </v>
      </c>
      <c r="K314" s="100" t="str">
        <f>IFERROR(VLOOKUP(Tablo519[[#This Row],[BOYA KODU]],Tablo14[#All],4,0)," ")</f>
        <v xml:space="preserve"> </v>
      </c>
      <c r="L314" s="100" t="str">
        <f>IFERROR(VLOOKUP(Tablo519[[#This Row],[BOYA KODU]],Tablo14[#All],6,0)," ")</f>
        <v xml:space="preserve"> </v>
      </c>
      <c r="M314" s="100" t="str">
        <f t="shared" si="32"/>
        <v xml:space="preserve"> </v>
      </c>
      <c r="N314" s="100" t="str">
        <f>IFERROR(VLOOKUP(Tablo519[[#This Row],[ÜRÜN KODU]],YMKODLARI!$A$1:$K$363,8,0)," ")</f>
        <v xml:space="preserve"> </v>
      </c>
      <c r="O314" s="100" t="str">
        <f>IFERROR(VLOOKUP(Tablo519[[#This Row],[HAMMADDE KODU]],Tablo1[#All],3,0)," ")</f>
        <v xml:space="preserve"> </v>
      </c>
      <c r="P314" s="100" t="str">
        <f>IFERROR(VLOOKUP(Tablo519[[#This Row],[HAMMADDE KODU]],Tablo1[#All],4,0)," ")</f>
        <v xml:space="preserve"> </v>
      </c>
      <c r="Q314" s="100" t="str">
        <f>IFERROR(VLOOKUP(Tablo519[[#This Row],[ÜRÜN KODU]],YMKODLARI!$A$1:$K$379,5,0)," ")</f>
        <v xml:space="preserve"> </v>
      </c>
      <c r="R314" s="100" t="str">
        <f>IFERROR(VLOOKUP(Tablo519[[#This Row],[ÜRÜN KODU]],YMKODLARI!$A$1:$K$379,6,0)," ")</f>
        <v xml:space="preserve"> </v>
      </c>
      <c r="S314" s="100" t="str">
        <f>IFERROR(Tablo519[[#This Row],[YOLLUK HARİÇ BASKI GRAMI]]/Tablo519[[#This Row],[KALIP GÖZ ADEDİ]]," ")</f>
        <v xml:space="preserve"> </v>
      </c>
      <c r="T314" s="100" t="str">
        <f t="shared" si="33"/>
        <v xml:space="preserve"> </v>
      </c>
      <c r="U314" s="100"/>
      <c r="V314" s="100" t="str">
        <f t="shared" si="38"/>
        <v xml:space="preserve"> </v>
      </c>
      <c r="W314" s="101">
        <f t="shared" si="34"/>
        <v>24</v>
      </c>
      <c r="X314" s="102">
        <f t="shared" si="35"/>
        <v>0</v>
      </c>
      <c r="Y314" s="100" t="str">
        <f t="shared" si="36"/>
        <v xml:space="preserve"> </v>
      </c>
      <c r="Z314" s="100" t="str">
        <f t="shared" si="37"/>
        <v xml:space="preserve"> </v>
      </c>
    </row>
    <row r="315" spans="1:26">
      <c r="A315" s="100"/>
      <c r="B315" s="108" t="str">
        <f>IFERROR(VLOOKUP(Tablo519[[#This Row],[ÜRÜN KODU]],YMKODLARI!$A$1:$K$379,2,0)," ")</f>
        <v xml:space="preserve"> </v>
      </c>
      <c r="C315" s="99"/>
      <c r="D315" s="100"/>
      <c r="E315" s="101"/>
      <c r="F315" s="101"/>
      <c r="G315" s="100" t="str">
        <f>IFERROR(VLOOKUP(Tablo519[[#This Row],[ÜRÜN KODU]],YMKODLARI!$A$1:$K$379,3,0)," ")</f>
        <v xml:space="preserve"> </v>
      </c>
      <c r="H315" s="100" t="str">
        <f>IFERROR(VLOOKUP(Tablo519[[#This Row],[ÜRÜN KODU]],YMKODLARI!$A$1:$K$379,4,0)," ")</f>
        <v xml:space="preserve"> </v>
      </c>
      <c r="I315" s="100"/>
      <c r="J315" s="100" t="str">
        <f>IFERROR(VLOOKUP(Tablo519[[#This Row],[ÜRÜN KODU]],YMKODLARI!$A$1:$K$379,9,0)," ")</f>
        <v xml:space="preserve"> </v>
      </c>
      <c r="K315" s="100" t="str">
        <f>IFERROR(VLOOKUP(Tablo519[[#This Row],[BOYA KODU]],Tablo14[#All],4,0)," ")</f>
        <v xml:space="preserve"> </v>
      </c>
      <c r="L315" s="100" t="str">
        <f>IFERROR(VLOOKUP(Tablo519[[#This Row],[BOYA KODU]],Tablo14[#All],6,0)," ")</f>
        <v xml:space="preserve"> </v>
      </c>
      <c r="M315" s="100" t="str">
        <f t="shared" si="32"/>
        <v xml:space="preserve"> </v>
      </c>
      <c r="N315" s="100" t="str">
        <f>IFERROR(VLOOKUP(Tablo519[[#This Row],[ÜRÜN KODU]],YMKODLARI!$A$1:$K$363,8,0)," ")</f>
        <v xml:space="preserve"> </v>
      </c>
      <c r="O315" s="100" t="str">
        <f>IFERROR(VLOOKUP(Tablo519[[#This Row],[HAMMADDE KODU]],Tablo1[#All],3,0)," ")</f>
        <v xml:space="preserve"> </v>
      </c>
      <c r="P315" s="100" t="str">
        <f>IFERROR(VLOOKUP(Tablo519[[#This Row],[HAMMADDE KODU]],Tablo1[#All],4,0)," ")</f>
        <v xml:space="preserve"> </v>
      </c>
      <c r="Q315" s="100" t="str">
        <f>IFERROR(VLOOKUP(Tablo519[[#This Row],[ÜRÜN KODU]],YMKODLARI!$A$1:$K$379,5,0)," ")</f>
        <v xml:space="preserve"> </v>
      </c>
      <c r="R315" s="100" t="str">
        <f>IFERROR(VLOOKUP(Tablo519[[#This Row],[ÜRÜN KODU]],YMKODLARI!$A$1:$K$379,6,0)," ")</f>
        <v xml:space="preserve"> </v>
      </c>
      <c r="S315" s="100" t="str">
        <f>IFERROR(Tablo519[[#This Row],[YOLLUK HARİÇ BASKI GRAMI]]/Tablo519[[#This Row],[KALIP GÖZ ADEDİ]]," ")</f>
        <v xml:space="preserve"> </v>
      </c>
      <c r="T315" s="100" t="str">
        <f t="shared" si="33"/>
        <v xml:space="preserve"> </v>
      </c>
      <c r="U315" s="100"/>
      <c r="V315" s="100" t="str">
        <f t="shared" si="38"/>
        <v xml:space="preserve"> </v>
      </c>
      <c r="W315" s="101">
        <f t="shared" si="34"/>
        <v>24</v>
      </c>
      <c r="X315" s="102">
        <f t="shared" si="35"/>
        <v>0</v>
      </c>
      <c r="Y315" s="100" t="str">
        <f t="shared" si="36"/>
        <v xml:space="preserve"> </v>
      </c>
      <c r="Z315" s="100" t="str">
        <f t="shared" si="37"/>
        <v xml:space="preserve"> </v>
      </c>
    </row>
    <row r="316" spans="1:26">
      <c r="A316" s="100"/>
      <c r="B316" s="108" t="str">
        <f>IFERROR(VLOOKUP(Tablo519[[#This Row],[ÜRÜN KODU]],YMKODLARI!$A$1:$K$379,2,0)," ")</f>
        <v xml:space="preserve"> </v>
      </c>
      <c r="C316" s="99"/>
      <c r="D316" s="100"/>
      <c r="E316" s="101"/>
      <c r="F316" s="101"/>
      <c r="G316" s="100" t="str">
        <f>IFERROR(VLOOKUP(Tablo519[[#This Row],[ÜRÜN KODU]],YMKODLARI!$A$1:$K$379,3,0)," ")</f>
        <v xml:space="preserve"> </v>
      </c>
      <c r="H316" s="100" t="str">
        <f>IFERROR(VLOOKUP(Tablo519[[#This Row],[ÜRÜN KODU]],YMKODLARI!$A$1:$K$379,4,0)," ")</f>
        <v xml:space="preserve"> </v>
      </c>
      <c r="I316" s="100"/>
      <c r="J316" s="100" t="str">
        <f>IFERROR(VLOOKUP(Tablo519[[#This Row],[ÜRÜN KODU]],YMKODLARI!$A$1:$K$379,9,0)," ")</f>
        <v xml:space="preserve"> </v>
      </c>
      <c r="K316" s="100" t="str">
        <f>IFERROR(VLOOKUP(Tablo519[[#This Row],[BOYA KODU]],Tablo14[#All],4,0)," ")</f>
        <v xml:space="preserve"> </v>
      </c>
      <c r="L316" s="100" t="str">
        <f>IFERROR(VLOOKUP(Tablo519[[#This Row],[BOYA KODU]],Tablo14[#All],6,0)," ")</f>
        <v xml:space="preserve"> </v>
      </c>
      <c r="M316" s="100" t="str">
        <f t="shared" si="32"/>
        <v xml:space="preserve"> </v>
      </c>
      <c r="N316" s="100" t="str">
        <f>IFERROR(VLOOKUP(Tablo519[[#This Row],[ÜRÜN KODU]],YMKODLARI!$A$1:$K$363,8,0)," ")</f>
        <v xml:space="preserve"> </v>
      </c>
      <c r="O316" s="100" t="str">
        <f>IFERROR(VLOOKUP(Tablo519[[#This Row],[HAMMADDE KODU]],Tablo1[#All],3,0)," ")</f>
        <v xml:space="preserve"> </v>
      </c>
      <c r="P316" s="100" t="str">
        <f>IFERROR(VLOOKUP(Tablo519[[#This Row],[HAMMADDE KODU]],Tablo1[#All],4,0)," ")</f>
        <v xml:space="preserve"> </v>
      </c>
      <c r="Q316" s="100" t="str">
        <f>IFERROR(VLOOKUP(Tablo519[[#This Row],[ÜRÜN KODU]],YMKODLARI!$A$1:$K$379,5,0)," ")</f>
        <v xml:space="preserve"> </v>
      </c>
      <c r="R316" s="100" t="str">
        <f>IFERROR(VLOOKUP(Tablo519[[#This Row],[ÜRÜN KODU]],YMKODLARI!$A$1:$K$379,6,0)," ")</f>
        <v xml:space="preserve"> </v>
      </c>
      <c r="S316" s="100" t="str">
        <f>IFERROR(Tablo519[[#This Row],[YOLLUK HARİÇ BASKI GRAMI]]/Tablo519[[#This Row],[KALIP GÖZ ADEDİ]]," ")</f>
        <v xml:space="preserve"> </v>
      </c>
      <c r="T316" s="100" t="str">
        <f t="shared" si="33"/>
        <v xml:space="preserve"> </v>
      </c>
      <c r="U316" s="100"/>
      <c r="V316" s="100" t="str">
        <f t="shared" si="38"/>
        <v xml:space="preserve"> </v>
      </c>
      <c r="W316" s="101">
        <f t="shared" si="34"/>
        <v>24</v>
      </c>
      <c r="X316" s="102">
        <f t="shared" si="35"/>
        <v>0</v>
      </c>
      <c r="Y316" s="100" t="str">
        <f t="shared" si="36"/>
        <v xml:space="preserve"> </v>
      </c>
      <c r="Z316" s="100" t="str">
        <f t="shared" si="37"/>
        <v xml:space="preserve"> </v>
      </c>
    </row>
    <row r="317" spans="1:26">
      <c r="A317" s="100"/>
      <c r="B317" s="108" t="str">
        <f>IFERROR(VLOOKUP(Tablo519[[#This Row],[ÜRÜN KODU]],YMKODLARI!$A$1:$K$379,2,0)," ")</f>
        <v xml:space="preserve"> </v>
      </c>
      <c r="C317" s="99"/>
      <c r="D317" s="100"/>
      <c r="E317" s="101"/>
      <c r="F317" s="101"/>
      <c r="G317" s="100" t="str">
        <f>IFERROR(VLOOKUP(Tablo519[[#This Row],[ÜRÜN KODU]],YMKODLARI!$A$1:$K$379,3,0)," ")</f>
        <v xml:space="preserve"> </v>
      </c>
      <c r="H317" s="100" t="str">
        <f>IFERROR(VLOOKUP(Tablo519[[#This Row],[ÜRÜN KODU]],YMKODLARI!$A$1:$K$379,4,0)," ")</f>
        <v xml:space="preserve"> </v>
      </c>
      <c r="I317" s="100"/>
      <c r="J317" s="100" t="str">
        <f>IFERROR(VLOOKUP(Tablo519[[#This Row],[ÜRÜN KODU]],YMKODLARI!$A$1:$K$379,9,0)," ")</f>
        <v xml:space="preserve"> </v>
      </c>
      <c r="K317" s="100" t="str">
        <f>IFERROR(VLOOKUP(Tablo519[[#This Row],[BOYA KODU]],Tablo14[#All],4,0)," ")</f>
        <v xml:space="preserve"> </v>
      </c>
      <c r="L317" s="100" t="str">
        <f>IFERROR(VLOOKUP(Tablo519[[#This Row],[BOYA KODU]],Tablo14[#All],6,0)," ")</f>
        <v xml:space="preserve"> </v>
      </c>
      <c r="M317" s="100" t="str">
        <f t="shared" si="32"/>
        <v xml:space="preserve"> </v>
      </c>
      <c r="N317" s="100" t="str">
        <f>IFERROR(VLOOKUP(Tablo519[[#This Row],[ÜRÜN KODU]],YMKODLARI!$A$1:$K$363,8,0)," ")</f>
        <v xml:space="preserve"> </v>
      </c>
      <c r="O317" s="100" t="str">
        <f>IFERROR(VLOOKUP(Tablo519[[#This Row],[HAMMADDE KODU]],Tablo1[#All],3,0)," ")</f>
        <v xml:space="preserve"> </v>
      </c>
      <c r="P317" s="100" t="str">
        <f>IFERROR(VLOOKUP(Tablo519[[#This Row],[HAMMADDE KODU]],Tablo1[#All],4,0)," ")</f>
        <v xml:space="preserve"> </v>
      </c>
      <c r="Q317" s="100" t="str">
        <f>IFERROR(VLOOKUP(Tablo519[[#This Row],[ÜRÜN KODU]],YMKODLARI!$A$1:$K$379,5,0)," ")</f>
        <v xml:space="preserve"> </v>
      </c>
      <c r="R317" s="100" t="str">
        <f>IFERROR(VLOOKUP(Tablo519[[#This Row],[ÜRÜN KODU]],YMKODLARI!$A$1:$K$379,6,0)," ")</f>
        <v xml:space="preserve"> </v>
      </c>
      <c r="S317" s="100" t="str">
        <f>IFERROR(Tablo519[[#This Row],[YOLLUK HARİÇ BASKI GRAMI]]/Tablo519[[#This Row],[KALIP GÖZ ADEDİ]]," ")</f>
        <v xml:space="preserve"> </v>
      </c>
      <c r="T317" s="100" t="str">
        <f t="shared" si="33"/>
        <v xml:space="preserve"> </v>
      </c>
      <c r="U317" s="100"/>
      <c r="V317" s="100" t="str">
        <f t="shared" si="38"/>
        <v xml:space="preserve"> </v>
      </c>
      <c r="W317" s="101">
        <f t="shared" si="34"/>
        <v>24</v>
      </c>
      <c r="X317" s="102">
        <f t="shared" si="35"/>
        <v>0</v>
      </c>
      <c r="Y317" s="100" t="str">
        <f t="shared" si="36"/>
        <v xml:space="preserve"> </v>
      </c>
      <c r="Z317" s="100" t="str">
        <f t="shared" si="37"/>
        <v xml:space="preserve"> </v>
      </c>
    </row>
    <row r="318" spans="1:26">
      <c r="A318" s="100"/>
      <c r="B318" s="108" t="str">
        <f>IFERROR(VLOOKUP(Tablo519[[#This Row],[ÜRÜN KODU]],YMKODLARI!$A$1:$K$379,2,0)," ")</f>
        <v xml:space="preserve"> </v>
      </c>
      <c r="C318" s="99"/>
      <c r="D318" s="100"/>
      <c r="E318" s="101"/>
      <c r="F318" s="101"/>
      <c r="G318" s="100" t="str">
        <f>IFERROR(VLOOKUP(Tablo519[[#This Row],[ÜRÜN KODU]],YMKODLARI!$A$1:$K$379,3,0)," ")</f>
        <v xml:space="preserve"> </v>
      </c>
      <c r="H318" s="100" t="str">
        <f>IFERROR(VLOOKUP(Tablo519[[#This Row],[ÜRÜN KODU]],YMKODLARI!$A$1:$K$379,4,0)," ")</f>
        <v xml:space="preserve"> </v>
      </c>
      <c r="I318" s="100"/>
      <c r="J318" s="100" t="str">
        <f>IFERROR(VLOOKUP(Tablo519[[#This Row],[ÜRÜN KODU]],YMKODLARI!$A$1:$K$379,9,0)," ")</f>
        <v xml:space="preserve"> </v>
      </c>
      <c r="K318" s="100" t="str">
        <f>IFERROR(VLOOKUP(Tablo519[[#This Row],[BOYA KODU]],Tablo14[#All],4,0)," ")</f>
        <v xml:space="preserve"> </v>
      </c>
      <c r="L318" s="100" t="str">
        <f>IFERROR(VLOOKUP(Tablo519[[#This Row],[BOYA KODU]],Tablo14[#All],6,0)," ")</f>
        <v xml:space="preserve"> </v>
      </c>
      <c r="M318" s="100" t="str">
        <f t="shared" si="32"/>
        <v xml:space="preserve"> </v>
      </c>
      <c r="N318" s="100" t="str">
        <f>IFERROR(VLOOKUP(Tablo519[[#This Row],[ÜRÜN KODU]],YMKODLARI!$A$1:$K$363,8,0)," ")</f>
        <v xml:space="preserve"> </v>
      </c>
      <c r="O318" s="100" t="str">
        <f>IFERROR(VLOOKUP(Tablo519[[#This Row],[HAMMADDE KODU]],Tablo1[#All],3,0)," ")</f>
        <v xml:space="preserve"> </v>
      </c>
      <c r="P318" s="100" t="str">
        <f>IFERROR(VLOOKUP(Tablo519[[#This Row],[HAMMADDE KODU]],Tablo1[#All],4,0)," ")</f>
        <v xml:space="preserve"> </v>
      </c>
      <c r="Q318" s="100" t="str">
        <f>IFERROR(VLOOKUP(Tablo519[[#This Row],[ÜRÜN KODU]],YMKODLARI!$A$1:$K$379,5,0)," ")</f>
        <v xml:space="preserve"> </v>
      </c>
      <c r="R318" s="100" t="str">
        <f>IFERROR(VLOOKUP(Tablo519[[#This Row],[ÜRÜN KODU]],YMKODLARI!$A$1:$K$379,6,0)," ")</f>
        <v xml:space="preserve"> </v>
      </c>
      <c r="S318" s="100" t="str">
        <f>IFERROR(Tablo519[[#This Row],[YOLLUK HARİÇ BASKI GRAMI]]/Tablo519[[#This Row],[KALIP GÖZ ADEDİ]]," ")</f>
        <v xml:space="preserve"> </v>
      </c>
      <c r="T318" s="100" t="str">
        <f t="shared" si="33"/>
        <v xml:space="preserve"> </v>
      </c>
      <c r="U318" s="100"/>
      <c r="V318" s="100" t="str">
        <f t="shared" si="38"/>
        <v xml:space="preserve"> </v>
      </c>
      <c r="W318" s="101">
        <f t="shared" si="34"/>
        <v>24</v>
      </c>
      <c r="X318" s="102">
        <f t="shared" si="35"/>
        <v>0</v>
      </c>
      <c r="Y318" s="100" t="str">
        <f t="shared" si="36"/>
        <v xml:space="preserve"> </v>
      </c>
      <c r="Z318" s="100" t="str">
        <f t="shared" si="37"/>
        <v xml:space="preserve"> </v>
      </c>
    </row>
    <row r="319" spans="1:26">
      <c r="A319" s="100"/>
      <c r="B319" s="108" t="str">
        <f>IFERROR(VLOOKUP(Tablo519[[#This Row],[ÜRÜN KODU]],YMKODLARI!$A$1:$K$379,2,0)," ")</f>
        <v xml:space="preserve"> </v>
      </c>
      <c r="C319" s="99"/>
      <c r="D319" s="100"/>
      <c r="E319" s="101"/>
      <c r="F319" s="101"/>
      <c r="G319" s="100" t="str">
        <f>IFERROR(VLOOKUP(Tablo519[[#This Row],[ÜRÜN KODU]],YMKODLARI!$A$1:$K$379,3,0)," ")</f>
        <v xml:space="preserve"> </v>
      </c>
      <c r="H319" s="100" t="str">
        <f>IFERROR(VLOOKUP(Tablo519[[#This Row],[ÜRÜN KODU]],YMKODLARI!$A$1:$K$379,4,0)," ")</f>
        <v xml:space="preserve"> </v>
      </c>
      <c r="I319" s="100"/>
      <c r="J319" s="100" t="str">
        <f>IFERROR(VLOOKUP(Tablo519[[#This Row],[ÜRÜN KODU]],YMKODLARI!$A$1:$K$379,9,0)," ")</f>
        <v xml:space="preserve"> </v>
      </c>
      <c r="K319" s="100" t="str">
        <f>IFERROR(VLOOKUP(Tablo519[[#This Row],[BOYA KODU]],Tablo14[#All],4,0)," ")</f>
        <v xml:space="preserve"> </v>
      </c>
      <c r="L319" s="100" t="str">
        <f>IFERROR(VLOOKUP(Tablo519[[#This Row],[BOYA KODU]],Tablo14[#All],6,0)," ")</f>
        <v xml:space="preserve"> </v>
      </c>
      <c r="M319" s="100" t="str">
        <f t="shared" si="32"/>
        <v xml:space="preserve"> </v>
      </c>
      <c r="N319" s="100" t="str">
        <f>IFERROR(VLOOKUP(Tablo519[[#This Row],[ÜRÜN KODU]],YMKODLARI!$A$1:$K$363,8,0)," ")</f>
        <v xml:space="preserve"> </v>
      </c>
      <c r="O319" s="100" t="str">
        <f>IFERROR(VLOOKUP(Tablo519[[#This Row],[HAMMADDE KODU]],Tablo1[#All],3,0)," ")</f>
        <v xml:space="preserve"> </v>
      </c>
      <c r="P319" s="100" t="str">
        <f>IFERROR(VLOOKUP(Tablo519[[#This Row],[HAMMADDE KODU]],Tablo1[#All],4,0)," ")</f>
        <v xml:space="preserve"> </v>
      </c>
      <c r="Q319" s="100" t="str">
        <f>IFERROR(VLOOKUP(Tablo519[[#This Row],[ÜRÜN KODU]],YMKODLARI!$A$1:$K$379,5,0)," ")</f>
        <v xml:space="preserve"> </v>
      </c>
      <c r="R319" s="100" t="str">
        <f>IFERROR(VLOOKUP(Tablo519[[#This Row],[ÜRÜN KODU]],YMKODLARI!$A$1:$K$379,6,0)," ")</f>
        <v xml:space="preserve"> </v>
      </c>
      <c r="S319" s="100" t="str">
        <f>IFERROR(Tablo519[[#This Row],[YOLLUK HARİÇ BASKI GRAMI]]/Tablo519[[#This Row],[KALIP GÖZ ADEDİ]]," ")</f>
        <v xml:space="preserve"> </v>
      </c>
      <c r="T319" s="100" t="str">
        <f t="shared" si="33"/>
        <v xml:space="preserve"> </v>
      </c>
      <c r="U319" s="100"/>
      <c r="V319" s="100" t="str">
        <f t="shared" si="38"/>
        <v xml:space="preserve"> </v>
      </c>
      <c r="W319" s="101">
        <f t="shared" si="34"/>
        <v>24</v>
      </c>
      <c r="X319" s="102">
        <f t="shared" si="35"/>
        <v>0</v>
      </c>
      <c r="Y319" s="100" t="str">
        <f t="shared" si="36"/>
        <v xml:space="preserve"> </v>
      </c>
      <c r="Z319" s="100" t="str">
        <f t="shared" si="37"/>
        <v xml:space="preserve"> </v>
      </c>
    </row>
    <row r="320" spans="1:26">
      <c r="A320" s="100"/>
      <c r="B320" s="108" t="str">
        <f>IFERROR(VLOOKUP(Tablo519[[#This Row],[ÜRÜN KODU]],YMKODLARI!$A$1:$K$379,2,0)," ")</f>
        <v xml:space="preserve"> </v>
      </c>
      <c r="C320" s="99"/>
      <c r="D320" s="100"/>
      <c r="E320" s="101"/>
      <c r="F320" s="101"/>
      <c r="G320" s="100" t="str">
        <f>IFERROR(VLOOKUP(Tablo519[[#This Row],[ÜRÜN KODU]],YMKODLARI!$A$1:$K$379,3,0)," ")</f>
        <v xml:space="preserve"> </v>
      </c>
      <c r="H320" s="100" t="str">
        <f>IFERROR(VLOOKUP(Tablo519[[#This Row],[ÜRÜN KODU]],YMKODLARI!$A$1:$K$379,4,0)," ")</f>
        <v xml:space="preserve"> </v>
      </c>
      <c r="I320" s="100"/>
      <c r="J320" s="100" t="str">
        <f>IFERROR(VLOOKUP(Tablo519[[#This Row],[ÜRÜN KODU]],YMKODLARI!$A$1:$K$379,9,0)," ")</f>
        <v xml:space="preserve"> </v>
      </c>
      <c r="K320" s="100" t="str">
        <f>IFERROR(VLOOKUP(Tablo519[[#This Row],[BOYA KODU]],Tablo14[#All],4,0)," ")</f>
        <v xml:space="preserve"> </v>
      </c>
      <c r="L320" s="100" t="str">
        <f>IFERROR(VLOOKUP(Tablo519[[#This Row],[BOYA KODU]],Tablo14[#All],6,0)," ")</f>
        <v xml:space="preserve"> </v>
      </c>
      <c r="M320" s="100" t="str">
        <f t="shared" si="32"/>
        <v xml:space="preserve"> </v>
      </c>
      <c r="N320" s="100" t="str">
        <f>IFERROR(VLOOKUP(Tablo519[[#This Row],[ÜRÜN KODU]],YMKODLARI!$A$1:$K$363,8,0)," ")</f>
        <v xml:space="preserve"> </v>
      </c>
      <c r="O320" s="100" t="str">
        <f>IFERROR(VLOOKUP(Tablo519[[#This Row],[HAMMADDE KODU]],Tablo1[#All],3,0)," ")</f>
        <v xml:space="preserve"> </v>
      </c>
      <c r="P320" s="100" t="str">
        <f>IFERROR(VLOOKUP(Tablo519[[#This Row],[HAMMADDE KODU]],Tablo1[#All],4,0)," ")</f>
        <v xml:space="preserve"> </v>
      </c>
      <c r="Q320" s="100" t="str">
        <f>IFERROR(VLOOKUP(Tablo519[[#This Row],[ÜRÜN KODU]],YMKODLARI!$A$1:$K$379,5,0)," ")</f>
        <v xml:space="preserve"> </v>
      </c>
      <c r="R320" s="100" t="str">
        <f>IFERROR(VLOOKUP(Tablo519[[#This Row],[ÜRÜN KODU]],YMKODLARI!$A$1:$K$379,6,0)," ")</f>
        <v xml:space="preserve"> </v>
      </c>
      <c r="S320" s="100" t="str">
        <f>IFERROR(Tablo519[[#This Row],[YOLLUK HARİÇ BASKI GRAMI]]/Tablo519[[#This Row],[KALIP GÖZ ADEDİ]]," ")</f>
        <v xml:space="preserve"> </v>
      </c>
      <c r="T320" s="100" t="str">
        <f t="shared" si="33"/>
        <v xml:space="preserve"> </v>
      </c>
      <c r="U320" s="100"/>
      <c r="V320" s="100" t="str">
        <f t="shared" si="38"/>
        <v xml:space="preserve"> </v>
      </c>
      <c r="W320" s="101">
        <f t="shared" si="34"/>
        <v>24</v>
      </c>
      <c r="X320" s="102">
        <f t="shared" si="35"/>
        <v>0</v>
      </c>
      <c r="Y320" s="100" t="str">
        <f t="shared" si="36"/>
        <v xml:space="preserve"> </v>
      </c>
      <c r="Z320" s="100" t="str">
        <f t="shared" si="37"/>
        <v xml:space="preserve"> </v>
      </c>
    </row>
    <row r="321" spans="1:26">
      <c r="A321" s="100"/>
      <c r="B321" s="108" t="str">
        <f>IFERROR(VLOOKUP(Tablo519[[#This Row],[ÜRÜN KODU]],YMKODLARI!$A$1:$K$379,2,0)," ")</f>
        <v xml:space="preserve"> </v>
      </c>
      <c r="C321" s="99"/>
      <c r="D321" s="100"/>
      <c r="E321" s="101"/>
      <c r="F321" s="101"/>
      <c r="G321" s="100" t="str">
        <f>IFERROR(VLOOKUP(Tablo519[[#This Row],[ÜRÜN KODU]],YMKODLARI!$A$1:$K$379,3,0)," ")</f>
        <v xml:space="preserve"> </v>
      </c>
      <c r="H321" s="100" t="str">
        <f>IFERROR(VLOOKUP(Tablo519[[#This Row],[ÜRÜN KODU]],YMKODLARI!$A$1:$K$379,4,0)," ")</f>
        <v xml:space="preserve"> </v>
      </c>
      <c r="I321" s="100"/>
      <c r="J321" s="100" t="str">
        <f>IFERROR(VLOOKUP(Tablo519[[#This Row],[ÜRÜN KODU]],YMKODLARI!$A$1:$K$379,9,0)," ")</f>
        <v xml:space="preserve"> </v>
      </c>
      <c r="K321" s="100" t="str">
        <f>IFERROR(VLOOKUP(Tablo519[[#This Row],[BOYA KODU]],Tablo14[#All],4,0)," ")</f>
        <v xml:space="preserve"> </v>
      </c>
      <c r="L321" s="100" t="str">
        <f>IFERROR(VLOOKUP(Tablo519[[#This Row],[BOYA KODU]],Tablo14[#All],6,0)," ")</f>
        <v xml:space="preserve"> </v>
      </c>
      <c r="M321" s="100" t="str">
        <f t="shared" si="32"/>
        <v xml:space="preserve"> </v>
      </c>
      <c r="N321" s="100" t="str">
        <f>IFERROR(VLOOKUP(Tablo519[[#This Row],[ÜRÜN KODU]],YMKODLARI!$A$1:$K$363,8,0)," ")</f>
        <v xml:space="preserve"> </v>
      </c>
      <c r="O321" s="100" t="str">
        <f>IFERROR(VLOOKUP(Tablo519[[#This Row],[HAMMADDE KODU]],Tablo1[#All],3,0)," ")</f>
        <v xml:space="preserve"> </v>
      </c>
      <c r="P321" s="100" t="str">
        <f>IFERROR(VLOOKUP(Tablo519[[#This Row],[HAMMADDE KODU]],Tablo1[#All],4,0)," ")</f>
        <v xml:space="preserve"> </v>
      </c>
      <c r="Q321" s="100" t="str">
        <f>IFERROR(VLOOKUP(Tablo519[[#This Row],[ÜRÜN KODU]],YMKODLARI!$A$1:$K$379,5,0)," ")</f>
        <v xml:space="preserve"> </v>
      </c>
      <c r="R321" s="100" t="str">
        <f>IFERROR(VLOOKUP(Tablo519[[#This Row],[ÜRÜN KODU]],YMKODLARI!$A$1:$K$379,6,0)," ")</f>
        <v xml:space="preserve"> </v>
      </c>
      <c r="S321" s="100" t="str">
        <f>IFERROR(Tablo519[[#This Row],[YOLLUK HARİÇ BASKI GRAMI]]/Tablo519[[#This Row],[KALIP GÖZ ADEDİ]]," ")</f>
        <v xml:space="preserve"> </v>
      </c>
      <c r="T321" s="100" t="str">
        <f t="shared" si="33"/>
        <v xml:space="preserve"> </v>
      </c>
      <c r="U321" s="100"/>
      <c r="V321" s="100" t="str">
        <f t="shared" si="38"/>
        <v xml:space="preserve"> </v>
      </c>
      <c r="W321" s="101">
        <f t="shared" si="34"/>
        <v>24</v>
      </c>
      <c r="X321" s="102">
        <f t="shared" si="35"/>
        <v>0</v>
      </c>
      <c r="Y321" s="100" t="str">
        <f t="shared" si="36"/>
        <v xml:space="preserve"> </v>
      </c>
      <c r="Z321" s="100" t="str">
        <f t="shared" si="37"/>
        <v xml:space="preserve"> </v>
      </c>
    </row>
    <row r="322" spans="1:26">
      <c r="A322" s="100"/>
      <c r="B322" s="108" t="str">
        <f>IFERROR(VLOOKUP(Tablo519[[#This Row],[ÜRÜN KODU]],YMKODLARI!$A$1:$K$379,2,0)," ")</f>
        <v xml:space="preserve"> </v>
      </c>
      <c r="C322" s="99"/>
      <c r="D322" s="100"/>
      <c r="E322" s="101"/>
      <c r="F322" s="101"/>
      <c r="G322" s="100" t="str">
        <f>IFERROR(VLOOKUP(Tablo519[[#This Row],[ÜRÜN KODU]],YMKODLARI!$A$1:$K$379,3,0)," ")</f>
        <v xml:space="preserve"> </v>
      </c>
      <c r="H322" s="100" t="str">
        <f>IFERROR(VLOOKUP(Tablo519[[#This Row],[ÜRÜN KODU]],YMKODLARI!$A$1:$K$379,4,0)," ")</f>
        <v xml:space="preserve"> </v>
      </c>
      <c r="I322" s="100"/>
      <c r="J322" s="100" t="str">
        <f>IFERROR(VLOOKUP(Tablo519[[#This Row],[ÜRÜN KODU]],YMKODLARI!$A$1:$K$379,9,0)," ")</f>
        <v xml:space="preserve"> </v>
      </c>
      <c r="K322" s="100" t="str">
        <f>IFERROR(VLOOKUP(Tablo519[[#This Row],[BOYA KODU]],Tablo14[#All],4,0)," ")</f>
        <v xml:space="preserve"> </v>
      </c>
      <c r="L322" s="100" t="str">
        <f>IFERROR(VLOOKUP(Tablo519[[#This Row],[BOYA KODU]],Tablo14[#All],6,0)," ")</f>
        <v xml:space="preserve"> </v>
      </c>
      <c r="M322" s="100" t="str">
        <f t="shared" ref="M322:M385" si="39">IFERROR((I322*Q322)*L322," ")</f>
        <v xml:space="preserve"> </v>
      </c>
      <c r="N322" s="100" t="str">
        <f>IFERROR(VLOOKUP(Tablo519[[#This Row],[ÜRÜN KODU]],YMKODLARI!$A$1:$K$363,8,0)," ")</f>
        <v xml:space="preserve"> </v>
      </c>
      <c r="O322" s="100" t="str">
        <f>IFERROR(VLOOKUP(Tablo519[[#This Row],[HAMMADDE KODU]],Tablo1[#All],3,0)," ")</f>
        <v xml:space="preserve"> </v>
      </c>
      <c r="P322" s="100" t="str">
        <f>IFERROR(VLOOKUP(Tablo519[[#This Row],[HAMMADDE KODU]],Tablo1[#All],4,0)," ")</f>
        <v xml:space="preserve"> </v>
      </c>
      <c r="Q322" s="100" t="str">
        <f>IFERROR(VLOOKUP(Tablo519[[#This Row],[ÜRÜN KODU]],YMKODLARI!$A$1:$K$379,5,0)," ")</f>
        <v xml:space="preserve"> </v>
      </c>
      <c r="R322" s="100" t="str">
        <f>IFERROR(VLOOKUP(Tablo519[[#This Row],[ÜRÜN KODU]],YMKODLARI!$A$1:$K$379,6,0)," ")</f>
        <v xml:space="preserve"> </v>
      </c>
      <c r="S322" s="100" t="str">
        <f>IFERROR(Tablo519[[#This Row],[YOLLUK HARİÇ BASKI GRAMI]]/Tablo519[[#This Row],[KALIP GÖZ ADEDİ]]," ")</f>
        <v xml:space="preserve"> </v>
      </c>
      <c r="T322" s="100" t="str">
        <f t="shared" si="33"/>
        <v xml:space="preserve"> </v>
      </c>
      <c r="U322" s="100"/>
      <c r="V322" s="100" t="str">
        <f t="shared" si="38"/>
        <v xml:space="preserve"> </v>
      </c>
      <c r="W322" s="101">
        <f t="shared" si="34"/>
        <v>24</v>
      </c>
      <c r="X322" s="102">
        <f t="shared" si="35"/>
        <v>0</v>
      </c>
      <c r="Y322" s="100" t="str">
        <f t="shared" si="36"/>
        <v xml:space="preserve"> </v>
      </c>
      <c r="Z322" s="100" t="str">
        <f t="shared" si="37"/>
        <v xml:space="preserve"> </v>
      </c>
    </row>
    <row r="323" spans="1:26">
      <c r="A323" s="100"/>
      <c r="B323" s="108" t="str">
        <f>IFERROR(VLOOKUP(Tablo519[[#This Row],[ÜRÜN KODU]],YMKODLARI!$A$1:$K$379,2,0)," ")</f>
        <v xml:space="preserve"> </v>
      </c>
      <c r="C323" s="99"/>
      <c r="D323" s="100"/>
      <c r="E323" s="101"/>
      <c r="F323" s="101"/>
      <c r="G323" s="100" t="str">
        <f>IFERROR(VLOOKUP(Tablo519[[#This Row],[ÜRÜN KODU]],YMKODLARI!$A$1:$K$379,3,0)," ")</f>
        <v xml:space="preserve"> </v>
      </c>
      <c r="H323" s="100" t="str">
        <f>IFERROR(VLOOKUP(Tablo519[[#This Row],[ÜRÜN KODU]],YMKODLARI!$A$1:$K$379,4,0)," ")</f>
        <v xml:space="preserve"> </v>
      </c>
      <c r="I323" s="100"/>
      <c r="J323" s="100" t="str">
        <f>IFERROR(VLOOKUP(Tablo519[[#This Row],[ÜRÜN KODU]],YMKODLARI!$A$1:$K$379,9,0)," ")</f>
        <v xml:space="preserve"> </v>
      </c>
      <c r="K323" s="100" t="str">
        <f>IFERROR(VLOOKUP(Tablo519[[#This Row],[BOYA KODU]],Tablo14[#All],4,0)," ")</f>
        <v xml:space="preserve"> </v>
      </c>
      <c r="L323" s="100" t="str">
        <f>IFERROR(VLOOKUP(Tablo519[[#This Row],[BOYA KODU]],Tablo14[#All],6,0)," ")</f>
        <v xml:space="preserve"> </v>
      </c>
      <c r="M323" s="100" t="str">
        <f t="shared" si="39"/>
        <v xml:space="preserve"> </v>
      </c>
      <c r="N323" s="100" t="str">
        <f>IFERROR(VLOOKUP(Tablo519[[#This Row],[ÜRÜN KODU]],YMKODLARI!$A$1:$K$363,8,0)," ")</f>
        <v xml:space="preserve"> </v>
      </c>
      <c r="O323" s="100" t="str">
        <f>IFERROR(VLOOKUP(Tablo519[[#This Row],[HAMMADDE KODU]],Tablo1[#All],3,0)," ")</f>
        <v xml:space="preserve"> </v>
      </c>
      <c r="P323" s="100" t="str">
        <f>IFERROR(VLOOKUP(Tablo519[[#This Row],[HAMMADDE KODU]],Tablo1[#All],4,0)," ")</f>
        <v xml:space="preserve"> </v>
      </c>
      <c r="Q323" s="100" t="str">
        <f>IFERROR(VLOOKUP(Tablo519[[#This Row],[ÜRÜN KODU]],YMKODLARI!$A$1:$K$379,5,0)," ")</f>
        <v xml:space="preserve"> </v>
      </c>
      <c r="R323" s="100" t="str">
        <f>IFERROR(VLOOKUP(Tablo519[[#This Row],[ÜRÜN KODU]],YMKODLARI!$A$1:$K$379,6,0)," ")</f>
        <v xml:space="preserve"> </v>
      </c>
      <c r="S323" s="100" t="str">
        <f>IFERROR(Tablo519[[#This Row],[YOLLUK HARİÇ BASKI GRAMI]]/Tablo519[[#This Row],[KALIP GÖZ ADEDİ]]," ")</f>
        <v xml:space="preserve"> </v>
      </c>
      <c r="T323" s="100" t="str">
        <f t="shared" ref="T323:T386" si="40">IFERROR(Q323-R323," ")</f>
        <v xml:space="preserve"> </v>
      </c>
      <c r="U323" s="100"/>
      <c r="V323" s="100" t="str">
        <f t="shared" si="38"/>
        <v xml:space="preserve"> </v>
      </c>
      <c r="W323" s="101">
        <f t="shared" ref="W323:W386" si="41">IFERROR(24-(E323-F323)," ")</f>
        <v>24</v>
      </c>
      <c r="X323" s="102">
        <f t="shared" ref="X323:X386" si="42">IFERROR((W323-INT(W323))*24," ")</f>
        <v>0</v>
      </c>
      <c r="Y323" s="100" t="str">
        <f t="shared" ref="Y323:Y386" si="43">IFERROR(H323*I323/3600," ")</f>
        <v xml:space="preserve"> </v>
      </c>
      <c r="Z323" s="100" t="str">
        <f t="shared" ref="Z323:Z386" si="44">IFERROR(I323*G323," " )</f>
        <v xml:space="preserve"> </v>
      </c>
    </row>
    <row r="324" spans="1:26">
      <c r="A324" s="100"/>
      <c r="B324" s="108" t="str">
        <f>IFERROR(VLOOKUP(Tablo519[[#This Row],[ÜRÜN KODU]],YMKODLARI!$A$1:$K$379,2,0)," ")</f>
        <v xml:space="preserve"> </v>
      </c>
      <c r="C324" s="99"/>
      <c r="D324" s="100"/>
      <c r="E324" s="101"/>
      <c r="F324" s="101"/>
      <c r="G324" s="100" t="str">
        <f>IFERROR(VLOOKUP(Tablo519[[#This Row],[ÜRÜN KODU]],YMKODLARI!$A$1:$K$379,3,0)," ")</f>
        <v xml:space="preserve"> </v>
      </c>
      <c r="H324" s="100" t="str">
        <f>IFERROR(VLOOKUP(Tablo519[[#This Row],[ÜRÜN KODU]],YMKODLARI!$A$1:$K$379,4,0)," ")</f>
        <v xml:space="preserve"> </v>
      </c>
      <c r="I324" s="100"/>
      <c r="J324" s="100" t="str">
        <f>IFERROR(VLOOKUP(Tablo519[[#This Row],[ÜRÜN KODU]],YMKODLARI!$A$1:$K$379,9,0)," ")</f>
        <v xml:space="preserve"> </v>
      </c>
      <c r="K324" s="100" t="str">
        <f>IFERROR(VLOOKUP(Tablo519[[#This Row],[BOYA KODU]],Tablo14[#All],4,0)," ")</f>
        <v xml:space="preserve"> </v>
      </c>
      <c r="L324" s="100" t="str">
        <f>IFERROR(VLOOKUP(Tablo519[[#This Row],[BOYA KODU]],Tablo14[#All],6,0)," ")</f>
        <v xml:space="preserve"> </v>
      </c>
      <c r="M324" s="100" t="str">
        <f t="shared" si="39"/>
        <v xml:space="preserve"> </v>
      </c>
      <c r="N324" s="100" t="str">
        <f>IFERROR(VLOOKUP(Tablo519[[#This Row],[ÜRÜN KODU]],YMKODLARI!$A$1:$K$363,8,0)," ")</f>
        <v xml:space="preserve"> </v>
      </c>
      <c r="O324" s="100" t="str">
        <f>IFERROR(VLOOKUP(Tablo519[[#This Row],[HAMMADDE KODU]],Tablo1[#All],3,0)," ")</f>
        <v xml:space="preserve"> </v>
      </c>
      <c r="P324" s="100" t="str">
        <f>IFERROR(VLOOKUP(Tablo519[[#This Row],[HAMMADDE KODU]],Tablo1[#All],4,0)," ")</f>
        <v xml:space="preserve"> </v>
      </c>
      <c r="Q324" s="100" t="str">
        <f>IFERROR(VLOOKUP(Tablo519[[#This Row],[ÜRÜN KODU]],YMKODLARI!$A$1:$K$379,5,0)," ")</f>
        <v xml:space="preserve"> </v>
      </c>
      <c r="R324" s="100" t="str">
        <f>IFERROR(VLOOKUP(Tablo519[[#This Row],[ÜRÜN KODU]],YMKODLARI!$A$1:$K$379,6,0)," ")</f>
        <v xml:space="preserve"> </v>
      </c>
      <c r="S324" s="100" t="str">
        <f>IFERROR(Tablo519[[#This Row],[YOLLUK HARİÇ BASKI GRAMI]]/Tablo519[[#This Row],[KALIP GÖZ ADEDİ]]," ")</f>
        <v xml:space="preserve"> </v>
      </c>
      <c r="T324" s="100" t="str">
        <f t="shared" si="40"/>
        <v xml:space="preserve"> </v>
      </c>
      <c r="U324" s="100"/>
      <c r="V324" s="100" t="str">
        <f t="shared" si="38"/>
        <v xml:space="preserve"> </v>
      </c>
      <c r="W324" s="101">
        <f t="shared" si="41"/>
        <v>24</v>
      </c>
      <c r="X324" s="102">
        <f t="shared" si="42"/>
        <v>0</v>
      </c>
      <c r="Y324" s="100" t="str">
        <f t="shared" si="43"/>
        <v xml:space="preserve"> </v>
      </c>
      <c r="Z324" s="100" t="str">
        <f t="shared" si="44"/>
        <v xml:space="preserve"> </v>
      </c>
    </row>
    <row r="325" spans="1:26">
      <c r="A325" s="100"/>
      <c r="B325" s="108" t="str">
        <f>IFERROR(VLOOKUP(Tablo519[[#This Row],[ÜRÜN KODU]],YMKODLARI!$A$1:$K$379,2,0)," ")</f>
        <v xml:space="preserve"> </v>
      </c>
      <c r="C325" s="99"/>
      <c r="D325" s="100"/>
      <c r="E325" s="101"/>
      <c r="F325" s="101"/>
      <c r="G325" s="100" t="str">
        <f>IFERROR(VLOOKUP(Tablo519[[#This Row],[ÜRÜN KODU]],YMKODLARI!$A$1:$K$379,3,0)," ")</f>
        <v xml:space="preserve"> </v>
      </c>
      <c r="H325" s="100" t="str">
        <f>IFERROR(VLOOKUP(Tablo519[[#This Row],[ÜRÜN KODU]],YMKODLARI!$A$1:$K$379,4,0)," ")</f>
        <v xml:space="preserve"> </v>
      </c>
      <c r="I325" s="100"/>
      <c r="J325" s="100" t="str">
        <f>IFERROR(VLOOKUP(Tablo519[[#This Row],[ÜRÜN KODU]],YMKODLARI!$A$1:$K$379,9,0)," ")</f>
        <v xml:space="preserve"> </v>
      </c>
      <c r="K325" s="100" t="str">
        <f>IFERROR(VLOOKUP(Tablo519[[#This Row],[BOYA KODU]],Tablo14[#All],4,0)," ")</f>
        <v xml:space="preserve"> </v>
      </c>
      <c r="L325" s="100" t="str">
        <f>IFERROR(VLOOKUP(Tablo519[[#This Row],[BOYA KODU]],Tablo14[#All],6,0)," ")</f>
        <v xml:space="preserve"> </v>
      </c>
      <c r="M325" s="100" t="str">
        <f t="shared" si="39"/>
        <v xml:space="preserve"> </v>
      </c>
      <c r="N325" s="100" t="str">
        <f>IFERROR(VLOOKUP(Tablo519[[#This Row],[ÜRÜN KODU]],YMKODLARI!$A$1:$K$363,8,0)," ")</f>
        <v xml:space="preserve"> </v>
      </c>
      <c r="O325" s="100" t="str">
        <f>IFERROR(VLOOKUP(Tablo519[[#This Row],[HAMMADDE KODU]],Tablo1[#All],3,0)," ")</f>
        <v xml:space="preserve"> </v>
      </c>
      <c r="P325" s="100" t="str">
        <f>IFERROR(VLOOKUP(Tablo519[[#This Row],[HAMMADDE KODU]],Tablo1[#All],4,0)," ")</f>
        <v xml:space="preserve"> </v>
      </c>
      <c r="Q325" s="100" t="str">
        <f>IFERROR(VLOOKUP(Tablo519[[#This Row],[ÜRÜN KODU]],YMKODLARI!$A$1:$K$379,5,0)," ")</f>
        <v xml:space="preserve"> </v>
      </c>
      <c r="R325" s="100" t="str">
        <f>IFERROR(VLOOKUP(Tablo519[[#This Row],[ÜRÜN KODU]],YMKODLARI!$A$1:$K$379,6,0)," ")</f>
        <v xml:space="preserve"> </v>
      </c>
      <c r="S325" s="100" t="str">
        <f>IFERROR(Tablo519[[#This Row],[YOLLUK HARİÇ BASKI GRAMI]]/Tablo519[[#This Row],[KALIP GÖZ ADEDİ]]," ")</f>
        <v xml:space="preserve"> </v>
      </c>
      <c r="T325" s="100" t="str">
        <f t="shared" si="40"/>
        <v xml:space="preserve"> </v>
      </c>
      <c r="U325" s="100"/>
      <c r="V325" s="100" t="str">
        <f t="shared" si="38"/>
        <v xml:space="preserve"> </v>
      </c>
      <c r="W325" s="101">
        <f t="shared" si="41"/>
        <v>24</v>
      </c>
      <c r="X325" s="102">
        <f t="shared" si="42"/>
        <v>0</v>
      </c>
      <c r="Y325" s="100" t="str">
        <f t="shared" si="43"/>
        <v xml:space="preserve"> </v>
      </c>
      <c r="Z325" s="100" t="str">
        <f t="shared" si="44"/>
        <v xml:space="preserve"> </v>
      </c>
    </row>
    <row r="326" spans="1:26">
      <c r="A326" s="100"/>
      <c r="B326" s="108" t="str">
        <f>IFERROR(VLOOKUP(Tablo519[[#This Row],[ÜRÜN KODU]],YMKODLARI!$A$1:$K$379,2,0)," ")</f>
        <v xml:space="preserve"> </v>
      </c>
      <c r="C326" s="99"/>
      <c r="D326" s="100"/>
      <c r="E326" s="101"/>
      <c r="F326" s="101"/>
      <c r="G326" s="100" t="str">
        <f>IFERROR(VLOOKUP(Tablo519[[#This Row],[ÜRÜN KODU]],YMKODLARI!$A$1:$K$379,3,0)," ")</f>
        <v xml:space="preserve"> </v>
      </c>
      <c r="H326" s="100" t="str">
        <f>IFERROR(VLOOKUP(Tablo519[[#This Row],[ÜRÜN KODU]],YMKODLARI!$A$1:$K$379,4,0)," ")</f>
        <v xml:space="preserve"> </v>
      </c>
      <c r="I326" s="100"/>
      <c r="J326" s="100" t="str">
        <f>IFERROR(VLOOKUP(Tablo519[[#This Row],[ÜRÜN KODU]],YMKODLARI!$A$1:$K$379,9,0)," ")</f>
        <v xml:space="preserve"> </v>
      </c>
      <c r="K326" s="100" t="str">
        <f>IFERROR(VLOOKUP(Tablo519[[#This Row],[BOYA KODU]],Tablo14[#All],4,0)," ")</f>
        <v xml:space="preserve"> </v>
      </c>
      <c r="L326" s="100" t="str">
        <f>IFERROR(VLOOKUP(Tablo519[[#This Row],[BOYA KODU]],Tablo14[#All],6,0)," ")</f>
        <v xml:space="preserve"> </v>
      </c>
      <c r="M326" s="100" t="str">
        <f t="shared" si="39"/>
        <v xml:space="preserve"> </v>
      </c>
      <c r="N326" s="100" t="str">
        <f>IFERROR(VLOOKUP(Tablo519[[#This Row],[ÜRÜN KODU]],YMKODLARI!$A$1:$K$363,8,0)," ")</f>
        <v xml:space="preserve"> </v>
      </c>
      <c r="O326" s="100" t="str">
        <f>IFERROR(VLOOKUP(Tablo519[[#This Row],[HAMMADDE KODU]],Tablo1[#All],3,0)," ")</f>
        <v xml:space="preserve"> </v>
      </c>
      <c r="P326" s="100" t="str">
        <f>IFERROR(VLOOKUP(Tablo519[[#This Row],[HAMMADDE KODU]],Tablo1[#All],4,0)," ")</f>
        <v xml:space="preserve"> </v>
      </c>
      <c r="Q326" s="100" t="str">
        <f>IFERROR(VLOOKUP(Tablo519[[#This Row],[ÜRÜN KODU]],YMKODLARI!$A$1:$K$379,5,0)," ")</f>
        <v xml:space="preserve"> </v>
      </c>
      <c r="R326" s="100" t="str">
        <f>IFERROR(VLOOKUP(Tablo519[[#This Row],[ÜRÜN KODU]],YMKODLARI!$A$1:$K$379,6,0)," ")</f>
        <v xml:space="preserve"> </v>
      </c>
      <c r="S326" s="100" t="str">
        <f>IFERROR(Tablo519[[#This Row],[YOLLUK HARİÇ BASKI GRAMI]]/Tablo519[[#This Row],[KALIP GÖZ ADEDİ]]," ")</f>
        <v xml:space="preserve"> </v>
      </c>
      <c r="T326" s="100" t="str">
        <f t="shared" si="40"/>
        <v xml:space="preserve"> </v>
      </c>
      <c r="U326" s="100"/>
      <c r="V326" s="100" t="str">
        <f t="shared" si="38"/>
        <v xml:space="preserve"> </v>
      </c>
      <c r="W326" s="101">
        <f t="shared" si="41"/>
        <v>24</v>
      </c>
      <c r="X326" s="102">
        <f t="shared" si="42"/>
        <v>0</v>
      </c>
      <c r="Y326" s="100" t="str">
        <f t="shared" si="43"/>
        <v xml:space="preserve"> </v>
      </c>
      <c r="Z326" s="100" t="str">
        <f t="shared" si="44"/>
        <v xml:space="preserve"> </v>
      </c>
    </row>
    <row r="327" spans="1:26">
      <c r="A327" s="100"/>
      <c r="B327" s="108" t="str">
        <f>IFERROR(VLOOKUP(Tablo519[[#This Row],[ÜRÜN KODU]],YMKODLARI!$A$1:$K$379,2,0)," ")</f>
        <v xml:space="preserve"> </v>
      </c>
      <c r="C327" s="99"/>
      <c r="D327" s="100"/>
      <c r="E327" s="101"/>
      <c r="F327" s="101"/>
      <c r="G327" s="100" t="str">
        <f>IFERROR(VLOOKUP(Tablo519[[#This Row],[ÜRÜN KODU]],YMKODLARI!$A$1:$K$379,3,0)," ")</f>
        <v xml:space="preserve"> </v>
      </c>
      <c r="H327" s="100" t="str">
        <f>IFERROR(VLOOKUP(Tablo519[[#This Row],[ÜRÜN KODU]],YMKODLARI!$A$1:$K$379,4,0)," ")</f>
        <v xml:space="preserve"> </v>
      </c>
      <c r="I327" s="100"/>
      <c r="J327" s="100" t="str">
        <f>IFERROR(VLOOKUP(Tablo519[[#This Row],[ÜRÜN KODU]],YMKODLARI!$A$1:$K$379,9,0)," ")</f>
        <v xml:space="preserve"> </v>
      </c>
      <c r="K327" s="100" t="str">
        <f>IFERROR(VLOOKUP(Tablo519[[#This Row],[BOYA KODU]],Tablo14[#All],4,0)," ")</f>
        <v xml:space="preserve"> </v>
      </c>
      <c r="L327" s="100" t="str">
        <f>IFERROR(VLOOKUP(Tablo519[[#This Row],[BOYA KODU]],Tablo14[#All],6,0)," ")</f>
        <v xml:space="preserve"> </v>
      </c>
      <c r="M327" s="100" t="str">
        <f t="shared" si="39"/>
        <v xml:space="preserve"> </v>
      </c>
      <c r="N327" s="100" t="str">
        <f>IFERROR(VLOOKUP(Tablo519[[#This Row],[ÜRÜN KODU]],YMKODLARI!$A$1:$K$363,8,0)," ")</f>
        <v xml:space="preserve"> </v>
      </c>
      <c r="O327" s="100" t="str">
        <f>IFERROR(VLOOKUP(Tablo519[[#This Row],[HAMMADDE KODU]],Tablo1[#All],3,0)," ")</f>
        <v xml:space="preserve"> </v>
      </c>
      <c r="P327" s="100" t="str">
        <f>IFERROR(VLOOKUP(Tablo519[[#This Row],[HAMMADDE KODU]],Tablo1[#All],4,0)," ")</f>
        <v xml:space="preserve"> </v>
      </c>
      <c r="Q327" s="100" t="str">
        <f>IFERROR(VLOOKUP(Tablo519[[#This Row],[ÜRÜN KODU]],YMKODLARI!$A$1:$K$379,5,0)," ")</f>
        <v xml:space="preserve"> </v>
      </c>
      <c r="R327" s="100" t="str">
        <f>IFERROR(VLOOKUP(Tablo519[[#This Row],[ÜRÜN KODU]],YMKODLARI!$A$1:$K$379,6,0)," ")</f>
        <v xml:space="preserve"> </v>
      </c>
      <c r="S327" s="100" t="str">
        <f>IFERROR(Tablo519[[#This Row],[YOLLUK HARİÇ BASKI GRAMI]]/Tablo519[[#This Row],[KALIP GÖZ ADEDİ]]," ")</f>
        <v xml:space="preserve"> </v>
      </c>
      <c r="T327" s="100" t="str">
        <f t="shared" si="40"/>
        <v xml:space="preserve"> </v>
      </c>
      <c r="U327" s="100"/>
      <c r="V327" s="100" t="str">
        <f t="shared" si="38"/>
        <v xml:space="preserve"> </v>
      </c>
      <c r="W327" s="101">
        <f t="shared" si="41"/>
        <v>24</v>
      </c>
      <c r="X327" s="102">
        <f t="shared" si="42"/>
        <v>0</v>
      </c>
      <c r="Y327" s="100" t="str">
        <f t="shared" si="43"/>
        <v xml:space="preserve"> </v>
      </c>
      <c r="Z327" s="100" t="str">
        <f t="shared" si="44"/>
        <v xml:space="preserve"> </v>
      </c>
    </row>
    <row r="328" spans="1:26">
      <c r="A328" s="100"/>
      <c r="B328" s="108" t="str">
        <f>IFERROR(VLOOKUP(Tablo519[[#This Row],[ÜRÜN KODU]],YMKODLARI!$A$1:$K$379,2,0)," ")</f>
        <v xml:space="preserve"> </v>
      </c>
      <c r="C328" s="99"/>
      <c r="D328" s="100"/>
      <c r="E328" s="101"/>
      <c r="F328" s="101"/>
      <c r="G328" s="100" t="str">
        <f>IFERROR(VLOOKUP(Tablo519[[#This Row],[ÜRÜN KODU]],YMKODLARI!$A$1:$K$379,3,0)," ")</f>
        <v xml:space="preserve"> </v>
      </c>
      <c r="H328" s="100" t="str">
        <f>IFERROR(VLOOKUP(Tablo519[[#This Row],[ÜRÜN KODU]],YMKODLARI!$A$1:$K$379,4,0)," ")</f>
        <v xml:space="preserve"> </v>
      </c>
      <c r="I328" s="100"/>
      <c r="J328" s="100" t="str">
        <f>IFERROR(VLOOKUP(Tablo519[[#This Row],[ÜRÜN KODU]],YMKODLARI!$A$1:$K$379,9,0)," ")</f>
        <v xml:space="preserve"> </v>
      </c>
      <c r="K328" s="100" t="str">
        <f>IFERROR(VLOOKUP(Tablo519[[#This Row],[BOYA KODU]],Tablo14[#All],4,0)," ")</f>
        <v xml:space="preserve"> </v>
      </c>
      <c r="L328" s="100" t="str">
        <f>IFERROR(VLOOKUP(Tablo519[[#This Row],[BOYA KODU]],Tablo14[#All],6,0)," ")</f>
        <v xml:space="preserve"> </v>
      </c>
      <c r="M328" s="100" t="str">
        <f t="shared" si="39"/>
        <v xml:space="preserve"> </v>
      </c>
      <c r="N328" s="100" t="str">
        <f>IFERROR(VLOOKUP(Tablo519[[#This Row],[ÜRÜN KODU]],YMKODLARI!$A$1:$K$363,8,0)," ")</f>
        <v xml:space="preserve"> </v>
      </c>
      <c r="O328" s="100" t="str">
        <f>IFERROR(VLOOKUP(Tablo519[[#This Row],[HAMMADDE KODU]],Tablo1[#All],3,0)," ")</f>
        <v xml:space="preserve"> </v>
      </c>
      <c r="P328" s="100" t="str">
        <f>IFERROR(VLOOKUP(Tablo519[[#This Row],[HAMMADDE KODU]],Tablo1[#All],4,0)," ")</f>
        <v xml:space="preserve"> </v>
      </c>
      <c r="Q328" s="100" t="str">
        <f>IFERROR(VLOOKUP(Tablo519[[#This Row],[ÜRÜN KODU]],YMKODLARI!$A$1:$K$379,5,0)," ")</f>
        <v xml:space="preserve"> </v>
      </c>
      <c r="R328" s="100" t="str">
        <f>IFERROR(VLOOKUP(Tablo519[[#This Row],[ÜRÜN KODU]],YMKODLARI!$A$1:$K$379,6,0)," ")</f>
        <v xml:space="preserve"> </v>
      </c>
      <c r="S328" s="100" t="str">
        <f>IFERROR(Tablo519[[#This Row],[YOLLUK HARİÇ BASKI GRAMI]]/Tablo519[[#This Row],[KALIP GÖZ ADEDİ]]," ")</f>
        <v xml:space="preserve"> </v>
      </c>
      <c r="T328" s="100" t="str">
        <f t="shared" si="40"/>
        <v xml:space="preserve"> </v>
      </c>
      <c r="U328" s="100"/>
      <c r="V328" s="100" t="str">
        <f t="shared" si="38"/>
        <v xml:space="preserve"> </v>
      </c>
      <c r="W328" s="101">
        <f t="shared" si="41"/>
        <v>24</v>
      </c>
      <c r="X328" s="102">
        <f t="shared" si="42"/>
        <v>0</v>
      </c>
      <c r="Y328" s="100" t="str">
        <f t="shared" si="43"/>
        <v xml:space="preserve"> </v>
      </c>
      <c r="Z328" s="100" t="str">
        <f t="shared" si="44"/>
        <v xml:space="preserve"> </v>
      </c>
    </row>
    <row r="329" spans="1:26">
      <c r="A329" s="100"/>
      <c r="B329" s="108" t="str">
        <f>IFERROR(VLOOKUP(Tablo519[[#This Row],[ÜRÜN KODU]],YMKODLARI!$A$1:$K$379,2,0)," ")</f>
        <v xml:space="preserve"> </v>
      </c>
      <c r="C329" s="99"/>
      <c r="D329" s="100"/>
      <c r="E329" s="101"/>
      <c r="F329" s="101"/>
      <c r="G329" s="100" t="str">
        <f>IFERROR(VLOOKUP(Tablo519[[#This Row],[ÜRÜN KODU]],YMKODLARI!$A$1:$K$379,3,0)," ")</f>
        <v xml:space="preserve"> </v>
      </c>
      <c r="H329" s="100" t="str">
        <f>IFERROR(VLOOKUP(Tablo519[[#This Row],[ÜRÜN KODU]],YMKODLARI!$A$1:$K$379,4,0)," ")</f>
        <v xml:space="preserve"> </v>
      </c>
      <c r="I329" s="100"/>
      <c r="J329" s="100" t="str">
        <f>IFERROR(VLOOKUP(Tablo519[[#This Row],[ÜRÜN KODU]],YMKODLARI!$A$1:$K$379,9,0)," ")</f>
        <v xml:space="preserve"> </v>
      </c>
      <c r="K329" s="100" t="str">
        <f>IFERROR(VLOOKUP(Tablo519[[#This Row],[BOYA KODU]],Tablo14[#All],4,0)," ")</f>
        <v xml:space="preserve"> </v>
      </c>
      <c r="L329" s="100" t="str">
        <f>IFERROR(VLOOKUP(Tablo519[[#This Row],[BOYA KODU]],Tablo14[#All],6,0)," ")</f>
        <v xml:space="preserve"> </v>
      </c>
      <c r="M329" s="100" t="str">
        <f t="shared" si="39"/>
        <v xml:space="preserve"> </v>
      </c>
      <c r="N329" s="100" t="str">
        <f>IFERROR(VLOOKUP(Tablo519[[#This Row],[ÜRÜN KODU]],YMKODLARI!$A$1:$K$363,8,0)," ")</f>
        <v xml:space="preserve"> </v>
      </c>
      <c r="O329" s="100" t="str">
        <f>IFERROR(VLOOKUP(Tablo519[[#This Row],[HAMMADDE KODU]],Tablo1[#All],3,0)," ")</f>
        <v xml:space="preserve"> </v>
      </c>
      <c r="P329" s="100" t="str">
        <f>IFERROR(VLOOKUP(Tablo519[[#This Row],[HAMMADDE KODU]],Tablo1[#All],4,0)," ")</f>
        <v xml:space="preserve"> </v>
      </c>
      <c r="Q329" s="100" t="str">
        <f>IFERROR(VLOOKUP(Tablo519[[#This Row],[ÜRÜN KODU]],YMKODLARI!$A$1:$K$379,5,0)," ")</f>
        <v xml:space="preserve"> </v>
      </c>
      <c r="R329" s="100" t="str">
        <f>IFERROR(VLOOKUP(Tablo519[[#This Row],[ÜRÜN KODU]],YMKODLARI!$A$1:$K$379,6,0)," ")</f>
        <v xml:space="preserve"> </v>
      </c>
      <c r="S329" s="100" t="str">
        <f>IFERROR(Tablo519[[#This Row],[YOLLUK HARİÇ BASKI GRAMI]]/Tablo519[[#This Row],[KALIP GÖZ ADEDİ]]," ")</f>
        <v xml:space="preserve"> </v>
      </c>
      <c r="T329" s="100" t="str">
        <f t="shared" si="40"/>
        <v xml:space="preserve"> </v>
      </c>
      <c r="U329" s="100"/>
      <c r="V329" s="100" t="str">
        <f t="shared" si="38"/>
        <v xml:space="preserve"> </v>
      </c>
      <c r="W329" s="101">
        <f t="shared" si="41"/>
        <v>24</v>
      </c>
      <c r="X329" s="102">
        <f t="shared" si="42"/>
        <v>0</v>
      </c>
      <c r="Y329" s="100" t="str">
        <f t="shared" si="43"/>
        <v xml:space="preserve"> </v>
      </c>
      <c r="Z329" s="100" t="str">
        <f t="shared" si="44"/>
        <v xml:space="preserve"> </v>
      </c>
    </row>
    <row r="330" spans="1:26">
      <c r="A330" s="100"/>
      <c r="B330" s="108" t="str">
        <f>IFERROR(VLOOKUP(Tablo519[[#This Row],[ÜRÜN KODU]],YMKODLARI!$A$1:$K$379,2,0)," ")</f>
        <v xml:space="preserve"> </v>
      </c>
      <c r="C330" s="99"/>
      <c r="D330" s="100"/>
      <c r="E330" s="101"/>
      <c r="F330" s="101"/>
      <c r="G330" s="100" t="str">
        <f>IFERROR(VLOOKUP(Tablo519[[#This Row],[ÜRÜN KODU]],YMKODLARI!$A$1:$K$379,3,0)," ")</f>
        <v xml:space="preserve"> </v>
      </c>
      <c r="H330" s="100" t="str">
        <f>IFERROR(VLOOKUP(Tablo519[[#This Row],[ÜRÜN KODU]],YMKODLARI!$A$1:$K$379,4,0)," ")</f>
        <v xml:space="preserve"> </v>
      </c>
      <c r="I330" s="100"/>
      <c r="J330" s="100" t="str">
        <f>IFERROR(VLOOKUP(Tablo519[[#This Row],[ÜRÜN KODU]],YMKODLARI!$A$1:$K$379,9,0)," ")</f>
        <v xml:space="preserve"> </v>
      </c>
      <c r="K330" s="100" t="str">
        <f>IFERROR(VLOOKUP(Tablo519[[#This Row],[BOYA KODU]],Tablo14[#All],4,0)," ")</f>
        <v xml:space="preserve"> </v>
      </c>
      <c r="L330" s="100" t="str">
        <f>IFERROR(VLOOKUP(Tablo519[[#This Row],[BOYA KODU]],Tablo14[#All],6,0)," ")</f>
        <v xml:space="preserve"> </v>
      </c>
      <c r="M330" s="100" t="str">
        <f t="shared" si="39"/>
        <v xml:space="preserve"> </v>
      </c>
      <c r="N330" s="100" t="str">
        <f>IFERROR(VLOOKUP(Tablo519[[#This Row],[ÜRÜN KODU]],YMKODLARI!$A$1:$K$363,8,0)," ")</f>
        <v xml:space="preserve"> </v>
      </c>
      <c r="O330" s="100" t="str">
        <f>IFERROR(VLOOKUP(Tablo519[[#This Row],[HAMMADDE KODU]],Tablo1[#All],3,0)," ")</f>
        <v xml:space="preserve"> </v>
      </c>
      <c r="P330" s="100" t="str">
        <f>IFERROR(VLOOKUP(Tablo519[[#This Row],[HAMMADDE KODU]],Tablo1[#All],4,0)," ")</f>
        <v xml:space="preserve"> </v>
      </c>
      <c r="Q330" s="100" t="str">
        <f>IFERROR(VLOOKUP(Tablo519[[#This Row],[ÜRÜN KODU]],YMKODLARI!$A$1:$K$379,5,0)," ")</f>
        <v xml:space="preserve"> </v>
      </c>
      <c r="R330" s="100" t="str">
        <f>IFERROR(VLOOKUP(Tablo519[[#This Row],[ÜRÜN KODU]],YMKODLARI!$A$1:$K$379,6,0)," ")</f>
        <v xml:space="preserve"> </v>
      </c>
      <c r="S330" s="100" t="str">
        <f>IFERROR(Tablo519[[#This Row],[YOLLUK HARİÇ BASKI GRAMI]]/Tablo519[[#This Row],[KALIP GÖZ ADEDİ]]," ")</f>
        <v xml:space="preserve"> </v>
      </c>
      <c r="T330" s="100" t="str">
        <f t="shared" si="40"/>
        <v xml:space="preserve"> </v>
      </c>
      <c r="U330" s="100"/>
      <c r="V330" s="100" t="str">
        <f t="shared" si="38"/>
        <v xml:space="preserve"> </v>
      </c>
      <c r="W330" s="101">
        <f t="shared" si="41"/>
        <v>24</v>
      </c>
      <c r="X330" s="102">
        <f t="shared" si="42"/>
        <v>0</v>
      </c>
      <c r="Y330" s="100" t="str">
        <f t="shared" si="43"/>
        <v xml:space="preserve"> </v>
      </c>
      <c r="Z330" s="100" t="str">
        <f t="shared" si="44"/>
        <v xml:space="preserve"> </v>
      </c>
    </row>
    <row r="331" spans="1:26">
      <c r="A331" s="100"/>
      <c r="B331" s="108" t="str">
        <f>IFERROR(VLOOKUP(Tablo519[[#This Row],[ÜRÜN KODU]],YMKODLARI!$A$1:$K$379,2,0)," ")</f>
        <v xml:space="preserve"> </v>
      </c>
      <c r="C331" s="99"/>
      <c r="D331" s="100"/>
      <c r="E331" s="101"/>
      <c r="F331" s="101"/>
      <c r="G331" s="100" t="str">
        <f>IFERROR(VLOOKUP(Tablo519[[#This Row],[ÜRÜN KODU]],YMKODLARI!$A$1:$K$379,3,0)," ")</f>
        <v xml:space="preserve"> </v>
      </c>
      <c r="H331" s="100" t="str">
        <f>IFERROR(VLOOKUP(Tablo519[[#This Row],[ÜRÜN KODU]],YMKODLARI!$A$1:$K$379,4,0)," ")</f>
        <v xml:space="preserve"> </v>
      </c>
      <c r="I331" s="100"/>
      <c r="J331" s="100" t="str">
        <f>IFERROR(VLOOKUP(Tablo519[[#This Row],[ÜRÜN KODU]],YMKODLARI!$A$1:$K$379,9,0)," ")</f>
        <v xml:space="preserve"> </v>
      </c>
      <c r="K331" s="100" t="str">
        <f>IFERROR(VLOOKUP(Tablo519[[#This Row],[BOYA KODU]],Tablo14[#All],4,0)," ")</f>
        <v xml:space="preserve"> </v>
      </c>
      <c r="L331" s="100" t="str">
        <f>IFERROR(VLOOKUP(Tablo519[[#This Row],[BOYA KODU]],Tablo14[#All],6,0)," ")</f>
        <v xml:space="preserve"> </v>
      </c>
      <c r="M331" s="100" t="str">
        <f t="shared" si="39"/>
        <v xml:space="preserve"> </v>
      </c>
      <c r="N331" s="100" t="str">
        <f>IFERROR(VLOOKUP(Tablo519[[#This Row],[ÜRÜN KODU]],YMKODLARI!$A$1:$K$363,8,0)," ")</f>
        <v xml:space="preserve"> </v>
      </c>
      <c r="O331" s="100" t="str">
        <f>IFERROR(VLOOKUP(Tablo519[[#This Row],[HAMMADDE KODU]],Tablo1[#All],3,0)," ")</f>
        <v xml:space="preserve"> </v>
      </c>
      <c r="P331" s="100" t="str">
        <f>IFERROR(VLOOKUP(Tablo519[[#This Row],[HAMMADDE KODU]],Tablo1[#All],4,0)," ")</f>
        <v xml:space="preserve"> </v>
      </c>
      <c r="Q331" s="100" t="str">
        <f>IFERROR(VLOOKUP(Tablo519[[#This Row],[ÜRÜN KODU]],YMKODLARI!$A$1:$K$379,5,0)," ")</f>
        <v xml:space="preserve"> </v>
      </c>
      <c r="R331" s="100" t="str">
        <f>IFERROR(VLOOKUP(Tablo519[[#This Row],[ÜRÜN KODU]],YMKODLARI!$A$1:$K$379,6,0)," ")</f>
        <v xml:space="preserve"> </v>
      </c>
      <c r="S331" s="100" t="str">
        <f>IFERROR(Tablo519[[#This Row],[YOLLUK HARİÇ BASKI GRAMI]]/Tablo519[[#This Row],[KALIP GÖZ ADEDİ]]," ")</f>
        <v xml:space="preserve"> </v>
      </c>
      <c r="T331" s="100" t="str">
        <f t="shared" si="40"/>
        <v xml:space="preserve"> </v>
      </c>
      <c r="U331" s="100"/>
      <c r="V331" s="100" t="str">
        <f t="shared" si="38"/>
        <v xml:space="preserve"> </v>
      </c>
      <c r="W331" s="101">
        <f t="shared" si="41"/>
        <v>24</v>
      </c>
      <c r="X331" s="102">
        <f t="shared" si="42"/>
        <v>0</v>
      </c>
      <c r="Y331" s="100" t="str">
        <f t="shared" si="43"/>
        <v xml:space="preserve"> </v>
      </c>
      <c r="Z331" s="100" t="str">
        <f t="shared" si="44"/>
        <v xml:space="preserve"> </v>
      </c>
    </row>
    <row r="332" spans="1:26">
      <c r="A332" s="100"/>
      <c r="B332" s="108" t="str">
        <f>IFERROR(VLOOKUP(Tablo519[[#This Row],[ÜRÜN KODU]],YMKODLARI!$A$1:$K$379,2,0)," ")</f>
        <v xml:space="preserve"> </v>
      </c>
      <c r="C332" s="99"/>
      <c r="D332" s="100"/>
      <c r="E332" s="101"/>
      <c r="F332" s="101"/>
      <c r="G332" s="100" t="str">
        <f>IFERROR(VLOOKUP(Tablo519[[#This Row],[ÜRÜN KODU]],YMKODLARI!$A$1:$K$379,3,0)," ")</f>
        <v xml:space="preserve"> </v>
      </c>
      <c r="H332" s="100" t="str">
        <f>IFERROR(VLOOKUP(Tablo519[[#This Row],[ÜRÜN KODU]],YMKODLARI!$A$1:$K$379,4,0)," ")</f>
        <v xml:space="preserve"> </v>
      </c>
      <c r="I332" s="100"/>
      <c r="J332" s="100" t="str">
        <f>IFERROR(VLOOKUP(Tablo519[[#This Row],[ÜRÜN KODU]],YMKODLARI!$A$1:$K$379,9,0)," ")</f>
        <v xml:space="preserve"> </v>
      </c>
      <c r="K332" s="100" t="str">
        <f>IFERROR(VLOOKUP(Tablo519[[#This Row],[BOYA KODU]],Tablo14[#All],4,0)," ")</f>
        <v xml:space="preserve"> </v>
      </c>
      <c r="L332" s="100" t="str">
        <f>IFERROR(VLOOKUP(Tablo519[[#This Row],[BOYA KODU]],Tablo14[#All],6,0)," ")</f>
        <v xml:space="preserve"> </v>
      </c>
      <c r="M332" s="100" t="str">
        <f t="shared" si="39"/>
        <v xml:space="preserve"> </v>
      </c>
      <c r="N332" s="100" t="str">
        <f>IFERROR(VLOOKUP(Tablo519[[#This Row],[ÜRÜN KODU]],YMKODLARI!$A$1:$K$363,8,0)," ")</f>
        <v xml:space="preserve"> </v>
      </c>
      <c r="O332" s="100" t="str">
        <f>IFERROR(VLOOKUP(Tablo519[[#This Row],[HAMMADDE KODU]],Tablo1[#All],3,0)," ")</f>
        <v xml:space="preserve"> </v>
      </c>
      <c r="P332" s="100" t="str">
        <f>IFERROR(VLOOKUP(Tablo519[[#This Row],[HAMMADDE KODU]],Tablo1[#All],4,0)," ")</f>
        <v xml:space="preserve"> </v>
      </c>
      <c r="Q332" s="100" t="str">
        <f>IFERROR(VLOOKUP(Tablo519[[#This Row],[ÜRÜN KODU]],YMKODLARI!$A$1:$K$379,5,0)," ")</f>
        <v xml:space="preserve"> </v>
      </c>
      <c r="R332" s="100" t="str">
        <f>IFERROR(VLOOKUP(Tablo519[[#This Row],[ÜRÜN KODU]],YMKODLARI!$A$1:$K$379,6,0)," ")</f>
        <v xml:space="preserve"> </v>
      </c>
      <c r="S332" s="100" t="str">
        <f>IFERROR(Tablo519[[#This Row],[YOLLUK HARİÇ BASKI GRAMI]]/Tablo519[[#This Row],[KALIP GÖZ ADEDİ]]," ")</f>
        <v xml:space="preserve"> </v>
      </c>
      <c r="T332" s="100" t="str">
        <f t="shared" si="40"/>
        <v xml:space="preserve"> </v>
      </c>
      <c r="U332" s="100"/>
      <c r="V332" s="100" t="str">
        <f t="shared" si="38"/>
        <v xml:space="preserve"> </v>
      </c>
      <c r="W332" s="101">
        <f t="shared" si="41"/>
        <v>24</v>
      </c>
      <c r="X332" s="102">
        <f t="shared" si="42"/>
        <v>0</v>
      </c>
      <c r="Y332" s="100" t="str">
        <f t="shared" si="43"/>
        <v xml:space="preserve"> </v>
      </c>
      <c r="Z332" s="100" t="str">
        <f t="shared" si="44"/>
        <v xml:space="preserve"> </v>
      </c>
    </row>
    <row r="333" spans="1:26">
      <c r="A333" s="100"/>
      <c r="B333" s="108" t="str">
        <f>IFERROR(VLOOKUP(Tablo519[[#This Row],[ÜRÜN KODU]],YMKODLARI!$A$1:$K$379,2,0)," ")</f>
        <v xml:space="preserve"> </v>
      </c>
      <c r="C333" s="99"/>
      <c r="D333" s="100"/>
      <c r="E333" s="101"/>
      <c r="F333" s="101"/>
      <c r="G333" s="100" t="str">
        <f>IFERROR(VLOOKUP(Tablo519[[#This Row],[ÜRÜN KODU]],YMKODLARI!$A$1:$K$379,3,0)," ")</f>
        <v xml:space="preserve"> </v>
      </c>
      <c r="H333" s="100" t="str">
        <f>IFERROR(VLOOKUP(Tablo519[[#This Row],[ÜRÜN KODU]],YMKODLARI!$A$1:$K$379,4,0)," ")</f>
        <v xml:space="preserve"> </v>
      </c>
      <c r="I333" s="100"/>
      <c r="J333" s="100" t="str">
        <f>IFERROR(VLOOKUP(Tablo519[[#This Row],[ÜRÜN KODU]],YMKODLARI!$A$1:$K$379,9,0)," ")</f>
        <v xml:space="preserve"> </v>
      </c>
      <c r="K333" s="100" t="str">
        <f>IFERROR(VLOOKUP(Tablo519[[#This Row],[BOYA KODU]],Tablo14[#All],4,0)," ")</f>
        <v xml:space="preserve"> </v>
      </c>
      <c r="L333" s="100" t="str">
        <f>IFERROR(VLOOKUP(Tablo519[[#This Row],[BOYA KODU]],Tablo14[#All],6,0)," ")</f>
        <v xml:space="preserve"> </v>
      </c>
      <c r="M333" s="100" t="str">
        <f t="shared" si="39"/>
        <v xml:space="preserve"> </v>
      </c>
      <c r="N333" s="100" t="str">
        <f>IFERROR(VLOOKUP(Tablo519[[#This Row],[ÜRÜN KODU]],YMKODLARI!$A$1:$K$363,8,0)," ")</f>
        <v xml:space="preserve"> </v>
      </c>
      <c r="O333" s="100" t="str">
        <f>IFERROR(VLOOKUP(Tablo519[[#This Row],[HAMMADDE KODU]],Tablo1[#All],3,0)," ")</f>
        <v xml:space="preserve"> </v>
      </c>
      <c r="P333" s="100" t="str">
        <f>IFERROR(VLOOKUP(Tablo519[[#This Row],[HAMMADDE KODU]],Tablo1[#All],4,0)," ")</f>
        <v xml:space="preserve"> </v>
      </c>
      <c r="Q333" s="100" t="str">
        <f>IFERROR(VLOOKUP(Tablo519[[#This Row],[ÜRÜN KODU]],YMKODLARI!$A$1:$K$379,5,0)," ")</f>
        <v xml:space="preserve"> </v>
      </c>
      <c r="R333" s="100" t="str">
        <f>IFERROR(VLOOKUP(Tablo519[[#This Row],[ÜRÜN KODU]],YMKODLARI!$A$1:$K$379,6,0)," ")</f>
        <v xml:space="preserve"> </v>
      </c>
      <c r="S333" s="100" t="str">
        <f>IFERROR(Tablo519[[#This Row],[YOLLUK HARİÇ BASKI GRAMI]]/Tablo519[[#This Row],[KALIP GÖZ ADEDİ]]," ")</f>
        <v xml:space="preserve"> </v>
      </c>
      <c r="T333" s="100" t="str">
        <f t="shared" si="40"/>
        <v xml:space="preserve"> </v>
      </c>
      <c r="U333" s="100"/>
      <c r="V333" s="100" t="str">
        <f t="shared" si="38"/>
        <v xml:space="preserve"> </v>
      </c>
      <c r="W333" s="101">
        <f t="shared" si="41"/>
        <v>24</v>
      </c>
      <c r="X333" s="102">
        <f t="shared" si="42"/>
        <v>0</v>
      </c>
      <c r="Y333" s="100" t="str">
        <f t="shared" si="43"/>
        <v xml:space="preserve"> </v>
      </c>
      <c r="Z333" s="100" t="str">
        <f t="shared" si="44"/>
        <v xml:space="preserve"> </v>
      </c>
    </row>
    <row r="334" spans="1:26">
      <c r="A334" s="100"/>
      <c r="B334" s="108" t="str">
        <f>IFERROR(VLOOKUP(Tablo519[[#This Row],[ÜRÜN KODU]],YMKODLARI!$A$1:$K$379,2,0)," ")</f>
        <v xml:space="preserve"> </v>
      </c>
      <c r="C334" s="99"/>
      <c r="D334" s="100"/>
      <c r="E334" s="101"/>
      <c r="F334" s="101"/>
      <c r="G334" s="100" t="str">
        <f>IFERROR(VLOOKUP(Tablo519[[#This Row],[ÜRÜN KODU]],YMKODLARI!$A$1:$K$379,3,0)," ")</f>
        <v xml:space="preserve"> </v>
      </c>
      <c r="H334" s="100" t="str">
        <f>IFERROR(VLOOKUP(Tablo519[[#This Row],[ÜRÜN KODU]],YMKODLARI!$A$1:$K$379,4,0)," ")</f>
        <v xml:space="preserve"> </v>
      </c>
      <c r="I334" s="100"/>
      <c r="J334" s="100" t="str">
        <f>IFERROR(VLOOKUP(Tablo519[[#This Row],[ÜRÜN KODU]],YMKODLARI!$A$1:$K$379,9,0)," ")</f>
        <v xml:space="preserve"> </v>
      </c>
      <c r="K334" s="100" t="str">
        <f>IFERROR(VLOOKUP(Tablo519[[#This Row],[BOYA KODU]],Tablo14[#All],4,0)," ")</f>
        <v xml:space="preserve"> </v>
      </c>
      <c r="L334" s="100" t="str">
        <f>IFERROR(VLOOKUP(Tablo519[[#This Row],[BOYA KODU]],Tablo14[#All],6,0)," ")</f>
        <v xml:space="preserve"> </v>
      </c>
      <c r="M334" s="100" t="str">
        <f t="shared" si="39"/>
        <v xml:space="preserve"> </v>
      </c>
      <c r="N334" s="100" t="str">
        <f>IFERROR(VLOOKUP(Tablo519[[#This Row],[ÜRÜN KODU]],YMKODLARI!$A$1:$K$363,8,0)," ")</f>
        <v xml:space="preserve"> </v>
      </c>
      <c r="O334" s="100" t="str">
        <f>IFERROR(VLOOKUP(Tablo519[[#This Row],[HAMMADDE KODU]],Tablo1[#All],3,0)," ")</f>
        <v xml:space="preserve"> </v>
      </c>
      <c r="P334" s="100" t="str">
        <f>IFERROR(VLOOKUP(Tablo519[[#This Row],[HAMMADDE KODU]],Tablo1[#All],4,0)," ")</f>
        <v xml:space="preserve"> </v>
      </c>
      <c r="Q334" s="100" t="str">
        <f>IFERROR(VLOOKUP(Tablo519[[#This Row],[ÜRÜN KODU]],YMKODLARI!$A$1:$K$379,5,0)," ")</f>
        <v xml:space="preserve"> </v>
      </c>
      <c r="R334" s="100" t="str">
        <f>IFERROR(VLOOKUP(Tablo519[[#This Row],[ÜRÜN KODU]],YMKODLARI!$A$1:$K$379,6,0)," ")</f>
        <v xml:space="preserve"> </v>
      </c>
      <c r="S334" s="100" t="str">
        <f>IFERROR(Tablo519[[#This Row],[YOLLUK HARİÇ BASKI GRAMI]]/Tablo519[[#This Row],[KALIP GÖZ ADEDİ]]," ")</f>
        <v xml:space="preserve"> </v>
      </c>
      <c r="T334" s="100" t="str">
        <f t="shared" si="40"/>
        <v xml:space="preserve"> </v>
      </c>
      <c r="U334" s="100"/>
      <c r="V334" s="100" t="str">
        <f t="shared" si="38"/>
        <v xml:space="preserve"> </v>
      </c>
      <c r="W334" s="101">
        <f t="shared" si="41"/>
        <v>24</v>
      </c>
      <c r="X334" s="102">
        <f t="shared" si="42"/>
        <v>0</v>
      </c>
      <c r="Y334" s="100" t="str">
        <f t="shared" si="43"/>
        <v xml:space="preserve"> </v>
      </c>
      <c r="Z334" s="100" t="str">
        <f t="shared" si="44"/>
        <v xml:space="preserve"> </v>
      </c>
    </row>
    <row r="335" spans="1:26">
      <c r="A335" s="100"/>
      <c r="B335" s="108" t="str">
        <f>IFERROR(VLOOKUP(Tablo519[[#This Row],[ÜRÜN KODU]],YMKODLARI!$A$1:$K$379,2,0)," ")</f>
        <v xml:space="preserve"> </v>
      </c>
      <c r="C335" s="99"/>
      <c r="D335" s="100"/>
      <c r="E335" s="101"/>
      <c r="F335" s="101"/>
      <c r="G335" s="100" t="str">
        <f>IFERROR(VLOOKUP(Tablo519[[#This Row],[ÜRÜN KODU]],YMKODLARI!$A$1:$K$379,3,0)," ")</f>
        <v xml:space="preserve"> </v>
      </c>
      <c r="H335" s="100" t="str">
        <f>IFERROR(VLOOKUP(Tablo519[[#This Row],[ÜRÜN KODU]],YMKODLARI!$A$1:$K$379,4,0)," ")</f>
        <v xml:space="preserve"> </v>
      </c>
      <c r="I335" s="100"/>
      <c r="J335" s="100" t="str">
        <f>IFERROR(VLOOKUP(Tablo519[[#This Row],[ÜRÜN KODU]],YMKODLARI!$A$1:$K$379,9,0)," ")</f>
        <v xml:space="preserve"> </v>
      </c>
      <c r="K335" s="100" t="str">
        <f>IFERROR(VLOOKUP(Tablo519[[#This Row],[BOYA KODU]],Tablo14[#All],4,0)," ")</f>
        <v xml:space="preserve"> </v>
      </c>
      <c r="L335" s="100" t="str">
        <f>IFERROR(VLOOKUP(Tablo519[[#This Row],[BOYA KODU]],Tablo14[#All],6,0)," ")</f>
        <v xml:space="preserve"> </v>
      </c>
      <c r="M335" s="100" t="str">
        <f t="shared" si="39"/>
        <v xml:space="preserve"> </v>
      </c>
      <c r="N335" s="100" t="str">
        <f>IFERROR(VLOOKUP(Tablo519[[#This Row],[ÜRÜN KODU]],YMKODLARI!$A$1:$K$363,8,0)," ")</f>
        <v xml:space="preserve"> </v>
      </c>
      <c r="O335" s="100" t="str">
        <f>IFERROR(VLOOKUP(Tablo519[[#This Row],[HAMMADDE KODU]],Tablo1[#All],3,0)," ")</f>
        <v xml:space="preserve"> </v>
      </c>
      <c r="P335" s="100" t="str">
        <f>IFERROR(VLOOKUP(Tablo519[[#This Row],[HAMMADDE KODU]],Tablo1[#All],4,0)," ")</f>
        <v xml:space="preserve"> </v>
      </c>
      <c r="Q335" s="100" t="str">
        <f>IFERROR(VLOOKUP(Tablo519[[#This Row],[ÜRÜN KODU]],YMKODLARI!$A$1:$K$379,5,0)," ")</f>
        <v xml:space="preserve"> </v>
      </c>
      <c r="R335" s="100" t="str">
        <f>IFERROR(VLOOKUP(Tablo519[[#This Row],[ÜRÜN KODU]],YMKODLARI!$A$1:$K$379,6,0)," ")</f>
        <v xml:space="preserve"> </v>
      </c>
      <c r="S335" s="100" t="str">
        <f>IFERROR(Tablo519[[#This Row],[YOLLUK HARİÇ BASKI GRAMI]]/Tablo519[[#This Row],[KALIP GÖZ ADEDİ]]," ")</f>
        <v xml:space="preserve"> </v>
      </c>
      <c r="T335" s="100" t="str">
        <f t="shared" si="40"/>
        <v xml:space="preserve"> </v>
      </c>
      <c r="U335" s="100"/>
      <c r="V335" s="100" t="str">
        <f t="shared" si="38"/>
        <v xml:space="preserve"> </v>
      </c>
      <c r="W335" s="101">
        <f t="shared" si="41"/>
        <v>24</v>
      </c>
      <c r="X335" s="102">
        <f t="shared" si="42"/>
        <v>0</v>
      </c>
      <c r="Y335" s="100" t="str">
        <f t="shared" si="43"/>
        <v xml:space="preserve"> </v>
      </c>
      <c r="Z335" s="100" t="str">
        <f t="shared" si="44"/>
        <v xml:space="preserve"> </v>
      </c>
    </row>
    <row r="336" spans="1:26">
      <c r="A336" s="100"/>
      <c r="B336" s="108" t="str">
        <f>IFERROR(VLOOKUP(Tablo519[[#This Row],[ÜRÜN KODU]],YMKODLARI!$A$1:$K$379,2,0)," ")</f>
        <v xml:space="preserve"> </v>
      </c>
      <c r="C336" s="99"/>
      <c r="D336" s="100"/>
      <c r="E336" s="101"/>
      <c r="F336" s="101"/>
      <c r="G336" s="100" t="str">
        <f>IFERROR(VLOOKUP(Tablo519[[#This Row],[ÜRÜN KODU]],YMKODLARI!$A$1:$K$379,3,0)," ")</f>
        <v xml:space="preserve"> </v>
      </c>
      <c r="H336" s="100" t="str">
        <f>IFERROR(VLOOKUP(Tablo519[[#This Row],[ÜRÜN KODU]],YMKODLARI!$A$1:$K$379,4,0)," ")</f>
        <v xml:space="preserve"> </v>
      </c>
      <c r="I336" s="100"/>
      <c r="J336" s="100" t="str">
        <f>IFERROR(VLOOKUP(Tablo519[[#This Row],[ÜRÜN KODU]],YMKODLARI!$A$1:$K$379,9,0)," ")</f>
        <v xml:space="preserve"> </v>
      </c>
      <c r="K336" s="100" t="str">
        <f>IFERROR(VLOOKUP(Tablo519[[#This Row],[BOYA KODU]],Tablo14[#All],4,0)," ")</f>
        <v xml:space="preserve"> </v>
      </c>
      <c r="L336" s="100" t="str">
        <f>IFERROR(VLOOKUP(Tablo519[[#This Row],[BOYA KODU]],Tablo14[#All],6,0)," ")</f>
        <v xml:space="preserve"> </v>
      </c>
      <c r="M336" s="100" t="str">
        <f t="shared" si="39"/>
        <v xml:space="preserve"> </v>
      </c>
      <c r="N336" s="100" t="str">
        <f>IFERROR(VLOOKUP(Tablo519[[#This Row],[ÜRÜN KODU]],YMKODLARI!$A$1:$K$363,8,0)," ")</f>
        <v xml:space="preserve"> </v>
      </c>
      <c r="O336" s="100" t="str">
        <f>IFERROR(VLOOKUP(Tablo519[[#This Row],[HAMMADDE KODU]],Tablo1[#All],3,0)," ")</f>
        <v xml:space="preserve"> </v>
      </c>
      <c r="P336" s="100" t="str">
        <f>IFERROR(VLOOKUP(Tablo519[[#This Row],[HAMMADDE KODU]],Tablo1[#All],4,0)," ")</f>
        <v xml:space="preserve"> </v>
      </c>
      <c r="Q336" s="100" t="str">
        <f>IFERROR(VLOOKUP(Tablo519[[#This Row],[ÜRÜN KODU]],YMKODLARI!$A$1:$K$379,5,0)," ")</f>
        <v xml:space="preserve"> </v>
      </c>
      <c r="R336" s="100" t="str">
        <f>IFERROR(VLOOKUP(Tablo519[[#This Row],[ÜRÜN KODU]],YMKODLARI!$A$1:$K$379,6,0)," ")</f>
        <v xml:space="preserve"> </v>
      </c>
      <c r="S336" s="100" t="str">
        <f>IFERROR(Tablo519[[#This Row],[YOLLUK HARİÇ BASKI GRAMI]]/Tablo519[[#This Row],[KALIP GÖZ ADEDİ]]," ")</f>
        <v xml:space="preserve"> </v>
      </c>
      <c r="T336" s="100" t="str">
        <f t="shared" si="40"/>
        <v xml:space="preserve"> </v>
      </c>
      <c r="U336" s="100"/>
      <c r="V336" s="100" t="str">
        <f t="shared" si="38"/>
        <v xml:space="preserve"> </v>
      </c>
      <c r="W336" s="101">
        <f t="shared" si="41"/>
        <v>24</v>
      </c>
      <c r="X336" s="102">
        <f t="shared" si="42"/>
        <v>0</v>
      </c>
      <c r="Y336" s="100" t="str">
        <f t="shared" si="43"/>
        <v xml:space="preserve"> </v>
      </c>
      <c r="Z336" s="100" t="str">
        <f t="shared" si="44"/>
        <v xml:space="preserve"> </v>
      </c>
    </row>
    <row r="337" spans="1:26">
      <c r="A337" s="100"/>
      <c r="B337" s="108" t="str">
        <f>IFERROR(VLOOKUP(Tablo519[[#This Row],[ÜRÜN KODU]],YMKODLARI!$A$1:$K$379,2,0)," ")</f>
        <v xml:space="preserve"> </v>
      </c>
      <c r="C337" s="99"/>
      <c r="D337" s="100"/>
      <c r="E337" s="101"/>
      <c r="F337" s="101"/>
      <c r="G337" s="100" t="str">
        <f>IFERROR(VLOOKUP(Tablo519[[#This Row],[ÜRÜN KODU]],YMKODLARI!$A$1:$K$379,3,0)," ")</f>
        <v xml:space="preserve"> </v>
      </c>
      <c r="H337" s="100" t="str">
        <f>IFERROR(VLOOKUP(Tablo519[[#This Row],[ÜRÜN KODU]],YMKODLARI!$A$1:$K$379,4,0)," ")</f>
        <v xml:space="preserve"> </v>
      </c>
      <c r="I337" s="100"/>
      <c r="J337" s="100" t="str">
        <f>IFERROR(VLOOKUP(Tablo519[[#This Row],[ÜRÜN KODU]],YMKODLARI!$A$1:$K$379,9,0)," ")</f>
        <v xml:space="preserve"> </v>
      </c>
      <c r="K337" s="100" t="str">
        <f>IFERROR(VLOOKUP(Tablo519[[#This Row],[BOYA KODU]],Tablo14[#All],4,0)," ")</f>
        <v xml:space="preserve"> </v>
      </c>
      <c r="L337" s="100" t="str">
        <f>IFERROR(VLOOKUP(Tablo519[[#This Row],[BOYA KODU]],Tablo14[#All],6,0)," ")</f>
        <v xml:space="preserve"> </v>
      </c>
      <c r="M337" s="100" t="str">
        <f t="shared" si="39"/>
        <v xml:space="preserve"> </v>
      </c>
      <c r="N337" s="100" t="str">
        <f>IFERROR(VLOOKUP(Tablo519[[#This Row],[ÜRÜN KODU]],YMKODLARI!$A$1:$K$363,8,0)," ")</f>
        <v xml:space="preserve"> </v>
      </c>
      <c r="O337" s="100" t="str">
        <f>IFERROR(VLOOKUP(Tablo519[[#This Row],[HAMMADDE KODU]],Tablo1[#All],3,0)," ")</f>
        <v xml:space="preserve"> </v>
      </c>
      <c r="P337" s="100" t="str">
        <f>IFERROR(VLOOKUP(Tablo519[[#This Row],[HAMMADDE KODU]],Tablo1[#All],4,0)," ")</f>
        <v xml:space="preserve"> </v>
      </c>
      <c r="Q337" s="100" t="str">
        <f>IFERROR(VLOOKUP(Tablo519[[#This Row],[ÜRÜN KODU]],YMKODLARI!$A$1:$K$379,5,0)," ")</f>
        <v xml:space="preserve"> </v>
      </c>
      <c r="R337" s="100" t="str">
        <f>IFERROR(VLOOKUP(Tablo519[[#This Row],[ÜRÜN KODU]],YMKODLARI!$A$1:$K$379,6,0)," ")</f>
        <v xml:space="preserve"> </v>
      </c>
      <c r="S337" s="100" t="str">
        <f>IFERROR(Tablo519[[#This Row],[YOLLUK HARİÇ BASKI GRAMI]]/Tablo519[[#This Row],[KALIP GÖZ ADEDİ]]," ")</f>
        <v xml:space="preserve"> </v>
      </c>
      <c r="T337" s="100" t="str">
        <f t="shared" si="40"/>
        <v xml:space="preserve"> </v>
      </c>
      <c r="U337" s="100"/>
      <c r="V337" s="100" t="str">
        <f t="shared" si="38"/>
        <v xml:space="preserve"> </v>
      </c>
      <c r="W337" s="101">
        <f t="shared" si="41"/>
        <v>24</v>
      </c>
      <c r="X337" s="102">
        <f t="shared" si="42"/>
        <v>0</v>
      </c>
      <c r="Y337" s="100" t="str">
        <f t="shared" si="43"/>
        <v xml:space="preserve"> </v>
      </c>
      <c r="Z337" s="100" t="str">
        <f t="shared" si="44"/>
        <v xml:space="preserve"> </v>
      </c>
    </row>
    <row r="338" spans="1:26">
      <c r="A338" s="100"/>
      <c r="B338" s="108" t="str">
        <f>IFERROR(VLOOKUP(Tablo519[[#This Row],[ÜRÜN KODU]],YMKODLARI!$A$1:$K$379,2,0)," ")</f>
        <v xml:space="preserve"> </v>
      </c>
      <c r="C338" s="99"/>
      <c r="D338" s="100"/>
      <c r="E338" s="101"/>
      <c r="F338" s="101"/>
      <c r="G338" s="100" t="str">
        <f>IFERROR(VLOOKUP(Tablo519[[#This Row],[ÜRÜN KODU]],YMKODLARI!$A$1:$K$379,3,0)," ")</f>
        <v xml:space="preserve"> </v>
      </c>
      <c r="H338" s="100" t="str">
        <f>IFERROR(VLOOKUP(Tablo519[[#This Row],[ÜRÜN KODU]],YMKODLARI!$A$1:$K$379,4,0)," ")</f>
        <v xml:space="preserve"> </v>
      </c>
      <c r="I338" s="100"/>
      <c r="J338" s="100" t="str">
        <f>IFERROR(VLOOKUP(Tablo519[[#This Row],[ÜRÜN KODU]],YMKODLARI!$A$1:$K$379,9,0)," ")</f>
        <v xml:space="preserve"> </v>
      </c>
      <c r="K338" s="100" t="str">
        <f>IFERROR(VLOOKUP(Tablo519[[#This Row],[BOYA KODU]],Tablo14[#All],4,0)," ")</f>
        <v xml:space="preserve"> </v>
      </c>
      <c r="L338" s="100" t="str">
        <f>IFERROR(VLOOKUP(Tablo519[[#This Row],[BOYA KODU]],Tablo14[#All],6,0)," ")</f>
        <v xml:space="preserve"> </v>
      </c>
      <c r="M338" s="100" t="str">
        <f t="shared" si="39"/>
        <v xml:space="preserve"> </v>
      </c>
      <c r="N338" s="100" t="str">
        <f>IFERROR(VLOOKUP(Tablo519[[#This Row],[ÜRÜN KODU]],YMKODLARI!$A$1:$K$363,8,0)," ")</f>
        <v xml:space="preserve"> </v>
      </c>
      <c r="O338" s="100" t="str">
        <f>IFERROR(VLOOKUP(Tablo519[[#This Row],[HAMMADDE KODU]],Tablo1[#All],3,0)," ")</f>
        <v xml:space="preserve"> </v>
      </c>
      <c r="P338" s="100" t="str">
        <f>IFERROR(VLOOKUP(Tablo519[[#This Row],[HAMMADDE KODU]],Tablo1[#All],4,0)," ")</f>
        <v xml:space="preserve"> </v>
      </c>
      <c r="Q338" s="100" t="str">
        <f>IFERROR(VLOOKUP(Tablo519[[#This Row],[ÜRÜN KODU]],YMKODLARI!$A$1:$K$379,5,0)," ")</f>
        <v xml:space="preserve"> </v>
      </c>
      <c r="R338" s="100" t="str">
        <f>IFERROR(VLOOKUP(Tablo519[[#This Row],[ÜRÜN KODU]],YMKODLARI!$A$1:$K$379,6,0)," ")</f>
        <v xml:space="preserve"> </v>
      </c>
      <c r="S338" s="100" t="str">
        <f>IFERROR(Tablo519[[#This Row],[YOLLUK HARİÇ BASKI GRAMI]]/Tablo519[[#This Row],[KALIP GÖZ ADEDİ]]," ")</f>
        <v xml:space="preserve"> </v>
      </c>
      <c r="T338" s="100" t="str">
        <f t="shared" si="40"/>
        <v xml:space="preserve"> </v>
      </c>
      <c r="U338" s="100"/>
      <c r="V338" s="100" t="str">
        <f t="shared" si="38"/>
        <v xml:space="preserve"> </v>
      </c>
      <c r="W338" s="101">
        <f t="shared" si="41"/>
        <v>24</v>
      </c>
      <c r="X338" s="102">
        <f t="shared" si="42"/>
        <v>0</v>
      </c>
      <c r="Y338" s="100" t="str">
        <f t="shared" si="43"/>
        <v xml:space="preserve"> </v>
      </c>
      <c r="Z338" s="100" t="str">
        <f t="shared" si="44"/>
        <v xml:space="preserve"> </v>
      </c>
    </row>
    <row r="339" spans="1:26">
      <c r="A339" s="100"/>
      <c r="B339" s="108" t="str">
        <f>IFERROR(VLOOKUP(Tablo519[[#This Row],[ÜRÜN KODU]],YMKODLARI!$A$1:$K$379,2,0)," ")</f>
        <v xml:space="preserve"> </v>
      </c>
      <c r="C339" s="99"/>
      <c r="D339" s="100"/>
      <c r="E339" s="101"/>
      <c r="F339" s="101"/>
      <c r="G339" s="100" t="str">
        <f>IFERROR(VLOOKUP(Tablo519[[#This Row],[ÜRÜN KODU]],YMKODLARI!$A$1:$K$379,3,0)," ")</f>
        <v xml:space="preserve"> </v>
      </c>
      <c r="H339" s="100" t="str">
        <f>IFERROR(VLOOKUP(Tablo519[[#This Row],[ÜRÜN KODU]],YMKODLARI!$A$1:$K$379,4,0)," ")</f>
        <v xml:space="preserve"> </v>
      </c>
      <c r="I339" s="100"/>
      <c r="J339" s="100" t="str">
        <f>IFERROR(VLOOKUP(Tablo519[[#This Row],[ÜRÜN KODU]],YMKODLARI!$A$1:$K$379,9,0)," ")</f>
        <v xml:space="preserve"> </v>
      </c>
      <c r="K339" s="100" t="str">
        <f>IFERROR(VLOOKUP(Tablo519[[#This Row],[BOYA KODU]],Tablo14[#All],4,0)," ")</f>
        <v xml:space="preserve"> </v>
      </c>
      <c r="L339" s="100" t="str">
        <f>IFERROR(VLOOKUP(Tablo519[[#This Row],[BOYA KODU]],Tablo14[#All],6,0)," ")</f>
        <v xml:space="preserve"> </v>
      </c>
      <c r="M339" s="100" t="str">
        <f t="shared" si="39"/>
        <v xml:space="preserve"> </v>
      </c>
      <c r="N339" s="100" t="str">
        <f>IFERROR(VLOOKUP(Tablo519[[#This Row],[ÜRÜN KODU]],YMKODLARI!$A$1:$K$363,8,0)," ")</f>
        <v xml:space="preserve"> </v>
      </c>
      <c r="O339" s="100" t="str">
        <f>IFERROR(VLOOKUP(Tablo519[[#This Row],[HAMMADDE KODU]],Tablo1[#All],3,0)," ")</f>
        <v xml:space="preserve"> </v>
      </c>
      <c r="P339" s="100" t="str">
        <f>IFERROR(VLOOKUP(Tablo519[[#This Row],[HAMMADDE KODU]],Tablo1[#All],4,0)," ")</f>
        <v xml:space="preserve"> </v>
      </c>
      <c r="Q339" s="100" t="str">
        <f>IFERROR(VLOOKUP(Tablo519[[#This Row],[ÜRÜN KODU]],YMKODLARI!$A$1:$K$379,5,0)," ")</f>
        <v xml:space="preserve"> </v>
      </c>
      <c r="R339" s="100" t="str">
        <f>IFERROR(VLOOKUP(Tablo519[[#This Row],[ÜRÜN KODU]],YMKODLARI!$A$1:$K$379,6,0)," ")</f>
        <v xml:space="preserve"> </v>
      </c>
      <c r="S339" s="100" t="str">
        <f>IFERROR(Tablo519[[#This Row],[YOLLUK HARİÇ BASKI GRAMI]]/Tablo519[[#This Row],[KALIP GÖZ ADEDİ]]," ")</f>
        <v xml:space="preserve"> </v>
      </c>
      <c r="T339" s="100" t="str">
        <f t="shared" si="40"/>
        <v xml:space="preserve"> </v>
      </c>
      <c r="U339" s="100"/>
      <c r="V339" s="100" t="str">
        <f t="shared" si="38"/>
        <v xml:space="preserve"> </v>
      </c>
      <c r="W339" s="101">
        <f t="shared" si="41"/>
        <v>24</v>
      </c>
      <c r="X339" s="102">
        <f t="shared" si="42"/>
        <v>0</v>
      </c>
      <c r="Y339" s="100" t="str">
        <f t="shared" si="43"/>
        <v xml:space="preserve"> </v>
      </c>
      <c r="Z339" s="100" t="str">
        <f t="shared" si="44"/>
        <v xml:space="preserve"> </v>
      </c>
    </row>
    <row r="340" spans="1:26">
      <c r="A340" s="100"/>
      <c r="B340" s="108" t="str">
        <f>IFERROR(VLOOKUP(Tablo519[[#This Row],[ÜRÜN KODU]],YMKODLARI!$A$1:$K$379,2,0)," ")</f>
        <v xml:space="preserve"> </v>
      </c>
      <c r="C340" s="99"/>
      <c r="D340" s="100"/>
      <c r="E340" s="101"/>
      <c r="F340" s="101"/>
      <c r="G340" s="100" t="str">
        <f>IFERROR(VLOOKUP(Tablo519[[#This Row],[ÜRÜN KODU]],YMKODLARI!$A$1:$K$379,3,0)," ")</f>
        <v xml:space="preserve"> </v>
      </c>
      <c r="H340" s="100" t="str">
        <f>IFERROR(VLOOKUP(Tablo519[[#This Row],[ÜRÜN KODU]],YMKODLARI!$A$1:$K$379,4,0)," ")</f>
        <v xml:space="preserve"> </v>
      </c>
      <c r="I340" s="100"/>
      <c r="J340" s="100" t="str">
        <f>IFERROR(VLOOKUP(Tablo519[[#This Row],[ÜRÜN KODU]],YMKODLARI!$A$1:$K$379,9,0)," ")</f>
        <v xml:space="preserve"> </v>
      </c>
      <c r="K340" s="100" t="str">
        <f>IFERROR(VLOOKUP(Tablo519[[#This Row],[BOYA KODU]],Tablo14[#All],4,0)," ")</f>
        <v xml:space="preserve"> </v>
      </c>
      <c r="L340" s="100" t="str">
        <f>IFERROR(VLOOKUP(Tablo519[[#This Row],[BOYA KODU]],Tablo14[#All],6,0)," ")</f>
        <v xml:space="preserve"> </v>
      </c>
      <c r="M340" s="100" t="str">
        <f t="shared" si="39"/>
        <v xml:space="preserve"> </v>
      </c>
      <c r="N340" s="100" t="str">
        <f>IFERROR(VLOOKUP(Tablo519[[#This Row],[ÜRÜN KODU]],YMKODLARI!$A$1:$K$363,8,0)," ")</f>
        <v xml:space="preserve"> </v>
      </c>
      <c r="O340" s="100" t="str">
        <f>IFERROR(VLOOKUP(Tablo519[[#This Row],[HAMMADDE KODU]],Tablo1[#All],3,0)," ")</f>
        <v xml:space="preserve"> </v>
      </c>
      <c r="P340" s="100" t="str">
        <f>IFERROR(VLOOKUP(Tablo519[[#This Row],[HAMMADDE KODU]],Tablo1[#All],4,0)," ")</f>
        <v xml:space="preserve"> </v>
      </c>
      <c r="Q340" s="100" t="str">
        <f>IFERROR(VLOOKUP(Tablo519[[#This Row],[ÜRÜN KODU]],YMKODLARI!$A$1:$K$379,5,0)," ")</f>
        <v xml:space="preserve"> </v>
      </c>
      <c r="R340" s="100" t="str">
        <f>IFERROR(VLOOKUP(Tablo519[[#This Row],[ÜRÜN KODU]],YMKODLARI!$A$1:$K$379,6,0)," ")</f>
        <v xml:space="preserve"> </v>
      </c>
      <c r="S340" s="100" t="str">
        <f>IFERROR(Tablo519[[#This Row],[YOLLUK HARİÇ BASKI GRAMI]]/Tablo519[[#This Row],[KALIP GÖZ ADEDİ]]," ")</f>
        <v xml:space="preserve"> </v>
      </c>
      <c r="T340" s="100" t="str">
        <f t="shared" si="40"/>
        <v xml:space="preserve"> </v>
      </c>
      <c r="U340" s="100"/>
      <c r="V340" s="100" t="str">
        <f t="shared" si="38"/>
        <v xml:space="preserve"> </v>
      </c>
      <c r="W340" s="101">
        <f t="shared" si="41"/>
        <v>24</v>
      </c>
      <c r="X340" s="102">
        <f t="shared" si="42"/>
        <v>0</v>
      </c>
      <c r="Y340" s="100" t="str">
        <f t="shared" si="43"/>
        <v xml:space="preserve"> </v>
      </c>
      <c r="Z340" s="100" t="str">
        <f t="shared" si="44"/>
        <v xml:space="preserve"> </v>
      </c>
    </row>
    <row r="341" spans="1:26">
      <c r="A341" s="100"/>
      <c r="B341" s="108" t="str">
        <f>IFERROR(VLOOKUP(Tablo519[[#This Row],[ÜRÜN KODU]],YMKODLARI!$A$1:$K$379,2,0)," ")</f>
        <v xml:space="preserve"> </v>
      </c>
      <c r="C341" s="99"/>
      <c r="D341" s="100"/>
      <c r="E341" s="101"/>
      <c r="F341" s="101"/>
      <c r="G341" s="100" t="str">
        <f>IFERROR(VLOOKUP(Tablo519[[#This Row],[ÜRÜN KODU]],YMKODLARI!$A$1:$K$379,3,0)," ")</f>
        <v xml:space="preserve"> </v>
      </c>
      <c r="H341" s="100" t="str">
        <f>IFERROR(VLOOKUP(Tablo519[[#This Row],[ÜRÜN KODU]],YMKODLARI!$A$1:$K$379,4,0)," ")</f>
        <v xml:space="preserve"> </v>
      </c>
      <c r="I341" s="100"/>
      <c r="J341" s="100" t="str">
        <f>IFERROR(VLOOKUP(Tablo519[[#This Row],[ÜRÜN KODU]],YMKODLARI!$A$1:$K$379,9,0)," ")</f>
        <v xml:space="preserve"> </v>
      </c>
      <c r="K341" s="100" t="str">
        <f>IFERROR(VLOOKUP(Tablo519[[#This Row],[BOYA KODU]],Tablo14[#All],4,0)," ")</f>
        <v xml:space="preserve"> </v>
      </c>
      <c r="L341" s="100" t="str">
        <f>IFERROR(VLOOKUP(Tablo519[[#This Row],[BOYA KODU]],Tablo14[#All],6,0)," ")</f>
        <v xml:space="preserve"> </v>
      </c>
      <c r="M341" s="100" t="str">
        <f t="shared" si="39"/>
        <v xml:space="preserve"> </v>
      </c>
      <c r="N341" s="100" t="str">
        <f>IFERROR(VLOOKUP(Tablo519[[#This Row],[ÜRÜN KODU]],YMKODLARI!$A$1:$K$363,8,0)," ")</f>
        <v xml:space="preserve"> </v>
      </c>
      <c r="O341" s="100" t="str">
        <f>IFERROR(VLOOKUP(Tablo519[[#This Row],[HAMMADDE KODU]],Tablo1[#All],3,0)," ")</f>
        <v xml:space="preserve"> </v>
      </c>
      <c r="P341" s="100" t="str">
        <f>IFERROR(VLOOKUP(Tablo519[[#This Row],[HAMMADDE KODU]],Tablo1[#All],4,0)," ")</f>
        <v xml:space="preserve"> </v>
      </c>
      <c r="Q341" s="100" t="str">
        <f>IFERROR(VLOOKUP(Tablo519[[#This Row],[ÜRÜN KODU]],YMKODLARI!$A$1:$K$379,5,0)," ")</f>
        <v xml:space="preserve"> </v>
      </c>
      <c r="R341" s="100" t="str">
        <f>IFERROR(VLOOKUP(Tablo519[[#This Row],[ÜRÜN KODU]],YMKODLARI!$A$1:$K$379,6,0)," ")</f>
        <v xml:space="preserve"> </v>
      </c>
      <c r="S341" s="100" t="str">
        <f>IFERROR(Tablo519[[#This Row],[YOLLUK HARİÇ BASKI GRAMI]]/Tablo519[[#This Row],[KALIP GÖZ ADEDİ]]," ")</f>
        <v xml:space="preserve"> </v>
      </c>
      <c r="T341" s="100" t="str">
        <f t="shared" si="40"/>
        <v xml:space="preserve"> </v>
      </c>
      <c r="U341" s="100"/>
      <c r="V341" s="100" t="str">
        <f t="shared" si="38"/>
        <v xml:space="preserve"> </v>
      </c>
      <c r="W341" s="101">
        <f t="shared" si="41"/>
        <v>24</v>
      </c>
      <c r="X341" s="102">
        <f t="shared" si="42"/>
        <v>0</v>
      </c>
      <c r="Y341" s="100" t="str">
        <f t="shared" si="43"/>
        <v xml:space="preserve"> </v>
      </c>
      <c r="Z341" s="100" t="str">
        <f t="shared" si="44"/>
        <v xml:space="preserve"> </v>
      </c>
    </row>
    <row r="342" spans="1:26">
      <c r="A342" s="100"/>
      <c r="B342" s="108" t="str">
        <f>IFERROR(VLOOKUP(Tablo519[[#This Row],[ÜRÜN KODU]],YMKODLARI!$A$1:$K$379,2,0)," ")</f>
        <v xml:space="preserve"> </v>
      </c>
      <c r="C342" s="99"/>
      <c r="D342" s="100"/>
      <c r="E342" s="101"/>
      <c r="F342" s="101"/>
      <c r="G342" s="100" t="str">
        <f>IFERROR(VLOOKUP(Tablo519[[#This Row],[ÜRÜN KODU]],YMKODLARI!$A$1:$K$379,3,0)," ")</f>
        <v xml:space="preserve"> </v>
      </c>
      <c r="H342" s="100" t="str">
        <f>IFERROR(VLOOKUP(Tablo519[[#This Row],[ÜRÜN KODU]],YMKODLARI!$A$1:$K$379,4,0)," ")</f>
        <v xml:space="preserve"> </v>
      </c>
      <c r="I342" s="100"/>
      <c r="J342" s="100" t="str">
        <f>IFERROR(VLOOKUP(Tablo519[[#This Row],[ÜRÜN KODU]],YMKODLARI!$A$1:$K$379,9,0)," ")</f>
        <v xml:space="preserve"> </v>
      </c>
      <c r="K342" s="100" t="str">
        <f>IFERROR(VLOOKUP(Tablo519[[#This Row],[BOYA KODU]],Tablo14[#All],4,0)," ")</f>
        <v xml:space="preserve"> </v>
      </c>
      <c r="L342" s="100" t="str">
        <f>IFERROR(VLOOKUP(Tablo519[[#This Row],[BOYA KODU]],Tablo14[#All],6,0)," ")</f>
        <v xml:space="preserve"> </v>
      </c>
      <c r="M342" s="100" t="str">
        <f t="shared" si="39"/>
        <v xml:space="preserve"> </v>
      </c>
      <c r="N342" s="100" t="str">
        <f>IFERROR(VLOOKUP(Tablo519[[#This Row],[ÜRÜN KODU]],YMKODLARI!$A$1:$K$363,8,0)," ")</f>
        <v xml:space="preserve"> </v>
      </c>
      <c r="O342" s="100" t="str">
        <f>IFERROR(VLOOKUP(Tablo519[[#This Row],[HAMMADDE KODU]],Tablo1[#All],3,0)," ")</f>
        <v xml:space="preserve"> </v>
      </c>
      <c r="P342" s="100" t="str">
        <f>IFERROR(VLOOKUP(Tablo519[[#This Row],[HAMMADDE KODU]],Tablo1[#All],4,0)," ")</f>
        <v xml:space="preserve"> </v>
      </c>
      <c r="Q342" s="100" t="str">
        <f>IFERROR(VLOOKUP(Tablo519[[#This Row],[ÜRÜN KODU]],YMKODLARI!$A$1:$K$379,5,0)," ")</f>
        <v xml:space="preserve"> </v>
      </c>
      <c r="R342" s="100" t="str">
        <f>IFERROR(VLOOKUP(Tablo519[[#This Row],[ÜRÜN KODU]],YMKODLARI!$A$1:$K$379,6,0)," ")</f>
        <v xml:space="preserve"> </v>
      </c>
      <c r="S342" s="100" t="str">
        <f>IFERROR(Tablo519[[#This Row],[YOLLUK HARİÇ BASKI GRAMI]]/Tablo519[[#This Row],[KALIP GÖZ ADEDİ]]," ")</f>
        <v xml:space="preserve"> </v>
      </c>
      <c r="T342" s="100" t="str">
        <f t="shared" si="40"/>
        <v xml:space="preserve"> </v>
      </c>
      <c r="U342" s="100"/>
      <c r="V342" s="100" t="str">
        <f t="shared" si="38"/>
        <v xml:space="preserve"> </v>
      </c>
      <c r="W342" s="101">
        <f t="shared" si="41"/>
        <v>24</v>
      </c>
      <c r="X342" s="102">
        <f t="shared" si="42"/>
        <v>0</v>
      </c>
      <c r="Y342" s="100" t="str">
        <f t="shared" si="43"/>
        <v xml:space="preserve"> </v>
      </c>
      <c r="Z342" s="100" t="str">
        <f t="shared" si="44"/>
        <v xml:space="preserve"> </v>
      </c>
    </row>
    <row r="343" spans="1:26">
      <c r="A343" s="100"/>
      <c r="B343" s="108" t="str">
        <f>IFERROR(VLOOKUP(Tablo519[[#This Row],[ÜRÜN KODU]],YMKODLARI!$A$1:$K$379,2,0)," ")</f>
        <v xml:space="preserve"> </v>
      </c>
      <c r="C343" s="99"/>
      <c r="D343" s="100"/>
      <c r="E343" s="101"/>
      <c r="F343" s="101"/>
      <c r="G343" s="100" t="str">
        <f>IFERROR(VLOOKUP(Tablo519[[#This Row],[ÜRÜN KODU]],YMKODLARI!$A$1:$K$379,3,0)," ")</f>
        <v xml:space="preserve"> </v>
      </c>
      <c r="H343" s="100" t="str">
        <f>IFERROR(VLOOKUP(Tablo519[[#This Row],[ÜRÜN KODU]],YMKODLARI!$A$1:$K$379,4,0)," ")</f>
        <v xml:space="preserve"> </v>
      </c>
      <c r="I343" s="100"/>
      <c r="J343" s="100" t="str">
        <f>IFERROR(VLOOKUP(Tablo519[[#This Row],[ÜRÜN KODU]],YMKODLARI!$A$1:$K$379,9,0)," ")</f>
        <v xml:space="preserve"> </v>
      </c>
      <c r="K343" s="100" t="str">
        <f>IFERROR(VLOOKUP(Tablo519[[#This Row],[BOYA KODU]],Tablo14[#All],4,0)," ")</f>
        <v xml:space="preserve"> </v>
      </c>
      <c r="L343" s="100" t="str">
        <f>IFERROR(VLOOKUP(Tablo519[[#This Row],[BOYA KODU]],Tablo14[#All],6,0)," ")</f>
        <v xml:space="preserve"> </v>
      </c>
      <c r="M343" s="100" t="str">
        <f t="shared" si="39"/>
        <v xml:space="preserve"> </v>
      </c>
      <c r="N343" s="100" t="str">
        <f>IFERROR(VLOOKUP(Tablo519[[#This Row],[ÜRÜN KODU]],YMKODLARI!$A$1:$K$363,8,0)," ")</f>
        <v xml:space="preserve"> </v>
      </c>
      <c r="O343" s="100" t="str">
        <f>IFERROR(VLOOKUP(Tablo519[[#This Row],[HAMMADDE KODU]],Tablo1[#All],3,0)," ")</f>
        <v xml:space="preserve"> </v>
      </c>
      <c r="P343" s="100" t="str">
        <f>IFERROR(VLOOKUP(Tablo519[[#This Row],[HAMMADDE KODU]],Tablo1[#All],4,0)," ")</f>
        <v xml:space="preserve"> </v>
      </c>
      <c r="Q343" s="100" t="str">
        <f>IFERROR(VLOOKUP(Tablo519[[#This Row],[ÜRÜN KODU]],YMKODLARI!$A$1:$K$379,5,0)," ")</f>
        <v xml:space="preserve"> </v>
      </c>
      <c r="R343" s="100" t="str">
        <f>IFERROR(VLOOKUP(Tablo519[[#This Row],[ÜRÜN KODU]],YMKODLARI!$A$1:$K$379,6,0)," ")</f>
        <v xml:space="preserve"> </v>
      </c>
      <c r="S343" s="100" t="str">
        <f>IFERROR(Tablo519[[#This Row],[YOLLUK HARİÇ BASKI GRAMI]]/Tablo519[[#This Row],[KALIP GÖZ ADEDİ]]," ")</f>
        <v xml:space="preserve"> </v>
      </c>
      <c r="T343" s="100" t="str">
        <f t="shared" si="40"/>
        <v xml:space="preserve"> </v>
      </c>
      <c r="U343" s="100"/>
      <c r="V343" s="100" t="str">
        <f t="shared" si="38"/>
        <v xml:space="preserve"> </v>
      </c>
      <c r="W343" s="101">
        <f t="shared" si="41"/>
        <v>24</v>
      </c>
      <c r="X343" s="102">
        <f t="shared" si="42"/>
        <v>0</v>
      </c>
      <c r="Y343" s="100" t="str">
        <f t="shared" si="43"/>
        <v xml:space="preserve"> </v>
      </c>
      <c r="Z343" s="100" t="str">
        <f t="shared" si="44"/>
        <v xml:space="preserve"> </v>
      </c>
    </row>
    <row r="344" spans="1:26">
      <c r="A344" s="100"/>
      <c r="B344" s="108" t="str">
        <f>IFERROR(VLOOKUP(Tablo519[[#This Row],[ÜRÜN KODU]],YMKODLARI!$A$1:$K$379,2,0)," ")</f>
        <v xml:space="preserve"> </v>
      </c>
      <c r="C344" s="99"/>
      <c r="D344" s="100"/>
      <c r="E344" s="101"/>
      <c r="F344" s="101"/>
      <c r="G344" s="100" t="str">
        <f>IFERROR(VLOOKUP(Tablo519[[#This Row],[ÜRÜN KODU]],YMKODLARI!$A$1:$K$379,3,0)," ")</f>
        <v xml:space="preserve"> </v>
      </c>
      <c r="H344" s="100" t="str">
        <f>IFERROR(VLOOKUP(Tablo519[[#This Row],[ÜRÜN KODU]],YMKODLARI!$A$1:$K$379,4,0)," ")</f>
        <v xml:space="preserve"> </v>
      </c>
      <c r="I344" s="100"/>
      <c r="J344" s="100" t="str">
        <f>IFERROR(VLOOKUP(Tablo519[[#This Row],[ÜRÜN KODU]],YMKODLARI!$A$1:$K$379,9,0)," ")</f>
        <v xml:space="preserve"> </v>
      </c>
      <c r="K344" s="100" t="str">
        <f>IFERROR(VLOOKUP(Tablo519[[#This Row],[BOYA KODU]],Tablo14[#All],4,0)," ")</f>
        <v xml:space="preserve"> </v>
      </c>
      <c r="L344" s="100" t="str">
        <f>IFERROR(VLOOKUP(Tablo519[[#This Row],[BOYA KODU]],Tablo14[#All],6,0)," ")</f>
        <v xml:space="preserve"> </v>
      </c>
      <c r="M344" s="100" t="str">
        <f t="shared" si="39"/>
        <v xml:space="preserve"> </v>
      </c>
      <c r="N344" s="100" t="str">
        <f>IFERROR(VLOOKUP(Tablo519[[#This Row],[ÜRÜN KODU]],YMKODLARI!$A$1:$K$363,8,0)," ")</f>
        <v xml:space="preserve"> </v>
      </c>
      <c r="O344" s="100" t="str">
        <f>IFERROR(VLOOKUP(Tablo519[[#This Row],[HAMMADDE KODU]],Tablo1[#All],3,0)," ")</f>
        <v xml:space="preserve"> </v>
      </c>
      <c r="P344" s="100" t="str">
        <f>IFERROR(VLOOKUP(Tablo519[[#This Row],[HAMMADDE KODU]],Tablo1[#All],4,0)," ")</f>
        <v xml:space="preserve"> </v>
      </c>
      <c r="Q344" s="100" t="str">
        <f>IFERROR(VLOOKUP(Tablo519[[#This Row],[ÜRÜN KODU]],YMKODLARI!$A$1:$K$379,5,0)," ")</f>
        <v xml:space="preserve"> </v>
      </c>
      <c r="R344" s="100" t="str">
        <f>IFERROR(VLOOKUP(Tablo519[[#This Row],[ÜRÜN KODU]],YMKODLARI!$A$1:$K$379,6,0)," ")</f>
        <v xml:space="preserve"> </v>
      </c>
      <c r="S344" s="100" t="str">
        <f>IFERROR(Tablo519[[#This Row],[YOLLUK HARİÇ BASKI GRAMI]]/Tablo519[[#This Row],[KALIP GÖZ ADEDİ]]," ")</f>
        <v xml:space="preserve"> </v>
      </c>
      <c r="T344" s="100" t="str">
        <f t="shared" si="40"/>
        <v xml:space="preserve"> </v>
      </c>
      <c r="U344" s="100"/>
      <c r="V344" s="100" t="str">
        <f t="shared" si="38"/>
        <v xml:space="preserve"> </v>
      </c>
      <c r="W344" s="101">
        <f t="shared" si="41"/>
        <v>24</v>
      </c>
      <c r="X344" s="102">
        <f t="shared" si="42"/>
        <v>0</v>
      </c>
      <c r="Y344" s="100" t="str">
        <f t="shared" si="43"/>
        <v xml:space="preserve"> </v>
      </c>
      <c r="Z344" s="100" t="str">
        <f t="shared" si="44"/>
        <v xml:space="preserve"> </v>
      </c>
    </row>
    <row r="345" spans="1:26">
      <c r="A345" s="100"/>
      <c r="B345" s="108" t="str">
        <f>IFERROR(VLOOKUP(Tablo519[[#This Row],[ÜRÜN KODU]],YMKODLARI!$A$1:$K$379,2,0)," ")</f>
        <v xml:space="preserve"> </v>
      </c>
      <c r="C345" s="99"/>
      <c r="D345" s="100"/>
      <c r="E345" s="101"/>
      <c r="F345" s="101"/>
      <c r="G345" s="100" t="str">
        <f>IFERROR(VLOOKUP(Tablo519[[#This Row],[ÜRÜN KODU]],YMKODLARI!$A$1:$K$379,3,0)," ")</f>
        <v xml:space="preserve"> </v>
      </c>
      <c r="H345" s="100" t="str">
        <f>IFERROR(VLOOKUP(Tablo519[[#This Row],[ÜRÜN KODU]],YMKODLARI!$A$1:$K$379,4,0)," ")</f>
        <v xml:space="preserve"> </v>
      </c>
      <c r="I345" s="100"/>
      <c r="J345" s="100" t="str">
        <f>IFERROR(VLOOKUP(Tablo519[[#This Row],[ÜRÜN KODU]],YMKODLARI!$A$1:$K$379,9,0)," ")</f>
        <v xml:space="preserve"> </v>
      </c>
      <c r="K345" s="100" t="str">
        <f>IFERROR(VLOOKUP(Tablo519[[#This Row],[BOYA KODU]],Tablo14[#All],4,0)," ")</f>
        <v xml:space="preserve"> </v>
      </c>
      <c r="L345" s="100" t="str">
        <f>IFERROR(VLOOKUP(Tablo519[[#This Row],[BOYA KODU]],Tablo14[#All],6,0)," ")</f>
        <v xml:space="preserve"> </v>
      </c>
      <c r="M345" s="100" t="str">
        <f t="shared" si="39"/>
        <v xml:space="preserve"> </v>
      </c>
      <c r="N345" s="100" t="str">
        <f>IFERROR(VLOOKUP(Tablo519[[#This Row],[ÜRÜN KODU]],YMKODLARI!$A$1:$K$363,8,0)," ")</f>
        <v xml:space="preserve"> </v>
      </c>
      <c r="O345" s="100" t="str">
        <f>IFERROR(VLOOKUP(Tablo519[[#This Row],[HAMMADDE KODU]],Tablo1[#All],3,0)," ")</f>
        <v xml:space="preserve"> </v>
      </c>
      <c r="P345" s="100" t="str">
        <f>IFERROR(VLOOKUP(Tablo519[[#This Row],[HAMMADDE KODU]],Tablo1[#All],4,0)," ")</f>
        <v xml:space="preserve"> </v>
      </c>
      <c r="Q345" s="100" t="str">
        <f>IFERROR(VLOOKUP(Tablo519[[#This Row],[ÜRÜN KODU]],YMKODLARI!$A$1:$K$379,5,0)," ")</f>
        <v xml:space="preserve"> </v>
      </c>
      <c r="R345" s="100" t="str">
        <f>IFERROR(VLOOKUP(Tablo519[[#This Row],[ÜRÜN KODU]],YMKODLARI!$A$1:$K$379,6,0)," ")</f>
        <v xml:space="preserve"> </v>
      </c>
      <c r="S345" s="100" t="str">
        <f>IFERROR(Tablo519[[#This Row],[YOLLUK HARİÇ BASKI GRAMI]]/Tablo519[[#This Row],[KALIP GÖZ ADEDİ]]," ")</f>
        <v xml:space="preserve"> </v>
      </c>
      <c r="T345" s="100" t="str">
        <f t="shared" si="40"/>
        <v xml:space="preserve"> </v>
      </c>
      <c r="U345" s="100"/>
      <c r="V345" s="100" t="str">
        <f t="shared" si="38"/>
        <v xml:space="preserve"> </v>
      </c>
      <c r="W345" s="101">
        <f t="shared" si="41"/>
        <v>24</v>
      </c>
      <c r="X345" s="102">
        <f t="shared" si="42"/>
        <v>0</v>
      </c>
      <c r="Y345" s="100" t="str">
        <f t="shared" si="43"/>
        <v xml:space="preserve"> </v>
      </c>
      <c r="Z345" s="100" t="str">
        <f t="shared" si="44"/>
        <v xml:space="preserve"> </v>
      </c>
    </row>
    <row r="346" spans="1:26">
      <c r="A346" s="100"/>
      <c r="B346" s="108" t="str">
        <f>IFERROR(VLOOKUP(Tablo519[[#This Row],[ÜRÜN KODU]],YMKODLARI!$A$1:$K$379,2,0)," ")</f>
        <v xml:space="preserve"> </v>
      </c>
      <c r="C346" s="99"/>
      <c r="D346" s="100"/>
      <c r="E346" s="101"/>
      <c r="F346" s="101"/>
      <c r="G346" s="100" t="str">
        <f>IFERROR(VLOOKUP(Tablo519[[#This Row],[ÜRÜN KODU]],YMKODLARI!$A$1:$K$379,3,0)," ")</f>
        <v xml:space="preserve"> </v>
      </c>
      <c r="H346" s="100" t="str">
        <f>IFERROR(VLOOKUP(Tablo519[[#This Row],[ÜRÜN KODU]],YMKODLARI!$A$1:$K$379,4,0)," ")</f>
        <v xml:space="preserve"> </v>
      </c>
      <c r="I346" s="100"/>
      <c r="J346" s="100" t="str">
        <f>IFERROR(VLOOKUP(Tablo519[[#This Row],[ÜRÜN KODU]],YMKODLARI!$A$1:$K$379,9,0)," ")</f>
        <v xml:space="preserve"> </v>
      </c>
      <c r="K346" s="100" t="str">
        <f>IFERROR(VLOOKUP(Tablo519[[#This Row],[BOYA KODU]],Tablo14[#All],4,0)," ")</f>
        <v xml:space="preserve"> </v>
      </c>
      <c r="L346" s="100" t="str">
        <f>IFERROR(VLOOKUP(Tablo519[[#This Row],[BOYA KODU]],Tablo14[#All],6,0)," ")</f>
        <v xml:space="preserve"> </v>
      </c>
      <c r="M346" s="100" t="str">
        <f t="shared" si="39"/>
        <v xml:space="preserve"> </v>
      </c>
      <c r="N346" s="100" t="str">
        <f>IFERROR(VLOOKUP(Tablo519[[#This Row],[ÜRÜN KODU]],YMKODLARI!$A$1:$K$363,8,0)," ")</f>
        <v xml:space="preserve"> </v>
      </c>
      <c r="O346" s="100" t="str">
        <f>IFERROR(VLOOKUP(Tablo519[[#This Row],[HAMMADDE KODU]],Tablo1[#All],3,0)," ")</f>
        <v xml:space="preserve"> </v>
      </c>
      <c r="P346" s="100" t="str">
        <f>IFERROR(VLOOKUP(Tablo519[[#This Row],[HAMMADDE KODU]],Tablo1[#All],4,0)," ")</f>
        <v xml:space="preserve"> </v>
      </c>
      <c r="Q346" s="100" t="str">
        <f>IFERROR(VLOOKUP(Tablo519[[#This Row],[ÜRÜN KODU]],YMKODLARI!$A$1:$K$379,5,0)," ")</f>
        <v xml:space="preserve"> </v>
      </c>
      <c r="R346" s="100" t="str">
        <f>IFERROR(VLOOKUP(Tablo519[[#This Row],[ÜRÜN KODU]],YMKODLARI!$A$1:$K$379,6,0)," ")</f>
        <v xml:space="preserve"> </v>
      </c>
      <c r="S346" s="100" t="str">
        <f>IFERROR(Tablo519[[#This Row],[YOLLUK HARİÇ BASKI GRAMI]]/Tablo519[[#This Row],[KALIP GÖZ ADEDİ]]," ")</f>
        <v xml:space="preserve"> </v>
      </c>
      <c r="T346" s="100" t="str">
        <f t="shared" si="40"/>
        <v xml:space="preserve"> </v>
      </c>
      <c r="U346" s="100"/>
      <c r="V346" s="100" t="str">
        <f t="shared" si="38"/>
        <v xml:space="preserve"> </v>
      </c>
      <c r="W346" s="101">
        <f t="shared" si="41"/>
        <v>24</v>
      </c>
      <c r="X346" s="102">
        <f t="shared" si="42"/>
        <v>0</v>
      </c>
      <c r="Y346" s="100" t="str">
        <f t="shared" si="43"/>
        <v xml:space="preserve"> </v>
      </c>
      <c r="Z346" s="100" t="str">
        <f t="shared" si="44"/>
        <v xml:space="preserve"> </v>
      </c>
    </row>
    <row r="347" spans="1:26">
      <c r="A347" s="100"/>
      <c r="B347" s="108" t="str">
        <f>IFERROR(VLOOKUP(Tablo519[[#This Row],[ÜRÜN KODU]],YMKODLARI!$A$1:$K$379,2,0)," ")</f>
        <v xml:space="preserve"> </v>
      </c>
      <c r="C347" s="99"/>
      <c r="D347" s="100"/>
      <c r="E347" s="101"/>
      <c r="F347" s="101"/>
      <c r="G347" s="100" t="str">
        <f>IFERROR(VLOOKUP(Tablo519[[#This Row],[ÜRÜN KODU]],YMKODLARI!$A$1:$K$379,3,0)," ")</f>
        <v xml:space="preserve"> </v>
      </c>
      <c r="H347" s="100" t="str">
        <f>IFERROR(VLOOKUP(Tablo519[[#This Row],[ÜRÜN KODU]],YMKODLARI!$A$1:$K$379,4,0)," ")</f>
        <v xml:space="preserve"> </v>
      </c>
      <c r="I347" s="100"/>
      <c r="J347" s="100" t="str">
        <f>IFERROR(VLOOKUP(Tablo519[[#This Row],[ÜRÜN KODU]],YMKODLARI!$A$1:$K$379,9,0)," ")</f>
        <v xml:space="preserve"> </v>
      </c>
      <c r="K347" s="100" t="str">
        <f>IFERROR(VLOOKUP(Tablo519[[#This Row],[BOYA KODU]],Tablo14[#All],4,0)," ")</f>
        <v xml:space="preserve"> </v>
      </c>
      <c r="L347" s="100" t="str">
        <f>IFERROR(VLOOKUP(Tablo519[[#This Row],[BOYA KODU]],Tablo14[#All],6,0)," ")</f>
        <v xml:space="preserve"> </v>
      </c>
      <c r="M347" s="100" t="str">
        <f t="shared" si="39"/>
        <v xml:space="preserve"> </v>
      </c>
      <c r="N347" s="100" t="str">
        <f>IFERROR(VLOOKUP(Tablo519[[#This Row],[ÜRÜN KODU]],YMKODLARI!$A$1:$K$363,8,0)," ")</f>
        <v xml:space="preserve"> </v>
      </c>
      <c r="O347" s="100" t="str">
        <f>IFERROR(VLOOKUP(Tablo519[[#This Row],[HAMMADDE KODU]],Tablo1[#All],3,0)," ")</f>
        <v xml:space="preserve"> </v>
      </c>
      <c r="P347" s="100" t="str">
        <f>IFERROR(VLOOKUP(Tablo519[[#This Row],[HAMMADDE KODU]],Tablo1[#All],4,0)," ")</f>
        <v xml:space="preserve"> </v>
      </c>
      <c r="Q347" s="100" t="str">
        <f>IFERROR(VLOOKUP(Tablo519[[#This Row],[ÜRÜN KODU]],YMKODLARI!$A$1:$K$379,5,0)," ")</f>
        <v xml:space="preserve"> </v>
      </c>
      <c r="R347" s="100" t="str">
        <f>IFERROR(VLOOKUP(Tablo519[[#This Row],[ÜRÜN KODU]],YMKODLARI!$A$1:$K$379,6,0)," ")</f>
        <v xml:space="preserve"> </v>
      </c>
      <c r="S347" s="100" t="str">
        <f>IFERROR(Tablo519[[#This Row],[YOLLUK HARİÇ BASKI GRAMI]]/Tablo519[[#This Row],[KALIP GÖZ ADEDİ]]," ")</f>
        <v xml:space="preserve"> </v>
      </c>
      <c r="T347" s="100" t="str">
        <f t="shared" si="40"/>
        <v xml:space="preserve"> </v>
      </c>
      <c r="U347" s="100"/>
      <c r="V347" s="100" t="str">
        <f t="shared" si="38"/>
        <v xml:space="preserve"> </v>
      </c>
      <c r="W347" s="101">
        <f t="shared" si="41"/>
        <v>24</v>
      </c>
      <c r="X347" s="102">
        <f t="shared" si="42"/>
        <v>0</v>
      </c>
      <c r="Y347" s="100" t="str">
        <f t="shared" si="43"/>
        <v xml:space="preserve"> </v>
      </c>
      <c r="Z347" s="100" t="str">
        <f t="shared" si="44"/>
        <v xml:space="preserve"> </v>
      </c>
    </row>
    <row r="348" spans="1:26">
      <c r="A348" s="100"/>
      <c r="B348" s="108" t="str">
        <f>IFERROR(VLOOKUP(Tablo519[[#This Row],[ÜRÜN KODU]],YMKODLARI!$A$1:$K$379,2,0)," ")</f>
        <v xml:space="preserve"> </v>
      </c>
      <c r="C348" s="99"/>
      <c r="D348" s="100"/>
      <c r="E348" s="101"/>
      <c r="F348" s="101"/>
      <c r="G348" s="100" t="str">
        <f>IFERROR(VLOOKUP(Tablo519[[#This Row],[ÜRÜN KODU]],YMKODLARI!$A$1:$K$379,3,0)," ")</f>
        <v xml:space="preserve"> </v>
      </c>
      <c r="H348" s="100" t="str">
        <f>IFERROR(VLOOKUP(Tablo519[[#This Row],[ÜRÜN KODU]],YMKODLARI!$A$1:$K$379,4,0)," ")</f>
        <v xml:space="preserve"> </v>
      </c>
      <c r="I348" s="100"/>
      <c r="J348" s="100" t="str">
        <f>IFERROR(VLOOKUP(Tablo519[[#This Row],[ÜRÜN KODU]],YMKODLARI!$A$1:$K$379,9,0)," ")</f>
        <v xml:space="preserve"> </v>
      </c>
      <c r="K348" s="100" t="str">
        <f>IFERROR(VLOOKUP(Tablo519[[#This Row],[BOYA KODU]],Tablo14[#All],4,0)," ")</f>
        <v xml:space="preserve"> </v>
      </c>
      <c r="L348" s="100" t="str">
        <f>IFERROR(VLOOKUP(Tablo519[[#This Row],[BOYA KODU]],Tablo14[#All],6,0)," ")</f>
        <v xml:space="preserve"> </v>
      </c>
      <c r="M348" s="100" t="str">
        <f t="shared" si="39"/>
        <v xml:space="preserve"> </v>
      </c>
      <c r="N348" s="100" t="str">
        <f>IFERROR(VLOOKUP(Tablo519[[#This Row],[ÜRÜN KODU]],YMKODLARI!$A$1:$K$363,8,0)," ")</f>
        <v xml:space="preserve"> </v>
      </c>
      <c r="O348" s="100" t="str">
        <f>IFERROR(VLOOKUP(Tablo519[[#This Row],[HAMMADDE KODU]],Tablo1[#All],3,0)," ")</f>
        <v xml:space="preserve"> </v>
      </c>
      <c r="P348" s="100" t="str">
        <f>IFERROR(VLOOKUP(Tablo519[[#This Row],[HAMMADDE KODU]],Tablo1[#All],4,0)," ")</f>
        <v xml:space="preserve"> </v>
      </c>
      <c r="Q348" s="100" t="str">
        <f>IFERROR(VLOOKUP(Tablo519[[#This Row],[ÜRÜN KODU]],YMKODLARI!$A$1:$K$379,5,0)," ")</f>
        <v xml:space="preserve"> </v>
      </c>
      <c r="R348" s="100" t="str">
        <f>IFERROR(VLOOKUP(Tablo519[[#This Row],[ÜRÜN KODU]],YMKODLARI!$A$1:$K$379,6,0)," ")</f>
        <v xml:space="preserve"> </v>
      </c>
      <c r="S348" s="100" t="str">
        <f>IFERROR(Tablo519[[#This Row],[YOLLUK HARİÇ BASKI GRAMI]]/Tablo519[[#This Row],[KALIP GÖZ ADEDİ]]," ")</f>
        <v xml:space="preserve"> </v>
      </c>
      <c r="T348" s="100" t="str">
        <f t="shared" si="40"/>
        <v xml:space="preserve"> </v>
      </c>
      <c r="U348" s="100"/>
      <c r="V348" s="100" t="str">
        <f t="shared" si="38"/>
        <v xml:space="preserve"> </v>
      </c>
      <c r="W348" s="101">
        <f t="shared" si="41"/>
        <v>24</v>
      </c>
      <c r="X348" s="102">
        <f t="shared" si="42"/>
        <v>0</v>
      </c>
      <c r="Y348" s="100" t="str">
        <f t="shared" si="43"/>
        <v xml:space="preserve"> </v>
      </c>
      <c r="Z348" s="100" t="str">
        <f t="shared" si="44"/>
        <v xml:space="preserve"> </v>
      </c>
    </row>
    <row r="349" spans="1:26">
      <c r="A349" s="100"/>
      <c r="B349" s="108" t="str">
        <f>IFERROR(VLOOKUP(Tablo519[[#This Row],[ÜRÜN KODU]],YMKODLARI!$A$1:$K$379,2,0)," ")</f>
        <v xml:space="preserve"> </v>
      </c>
      <c r="C349" s="99"/>
      <c r="D349" s="100"/>
      <c r="E349" s="101"/>
      <c r="F349" s="101"/>
      <c r="G349" s="100" t="str">
        <f>IFERROR(VLOOKUP(Tablo519[[#This Row],[ÜRÜN KODU]],YMKODLARI!$A$1:$K$379,3,0)," ")</f>
        <v xml:space="preserve"> </v>
      </c>
      <c r="H349" s="100" t="str">
        <f>IFERROR(VLOOKUP(Tablo519[[#This Row],[ÜRÜN KODU]],YMKODLARI!$A$1:$K$379,4,0)," ")</f>
        <v xml:space="preserve"> </v>
      </c>
      <c r="I349" s="100"/>
      <c r="J349" s="100" t="str">
        <f>IFERROR(VLOOKUP(Tablo519[[#This Row],[ÜRÜN KODU]],YMKODLARI!$A$1:$K$379,9,0)," ")</f>
        <v xml:space="preserve"> </v>
      </c>
      <c r="K349" s="100" t="str">
        <f>IFERROR(VLOOKUP(Tablo519[[#This Row],[BOYA KODU]],Tablo14[#All],4,0)," ")</f>
        <v xml:space="preserve"> </v>
      </c>
      <c r="L349" s="100" t="str">
        <f>IFERROR(VLOOKUP(Tablo519[[#This Row],[BOYA KODU]],Tablo14[#All],6,0)," ")</f>
        <v xml:space="preserve"> </v>
      </c>
      <c r="M349" s="100" t="str">
        <f t="shared" si="39"/>
        <v xml:space="preserve"> </v>
      </c>
      <c r="N349" s="100" t="str">
        <f>IFERROR(VLOOKUP(Tablo519[[#This Row],[ÜRÜN KODU]],YMKODLARI!$A$1:$K$363,8,0)," ")</f>
        <v xml:space="preserve"> </v>
      </c>
      <c r="O349" s="100" t="str">
        <f>IFERROR(VLOOKUP(Tablo519[[#This Row],[HAMMADDE KODU]],Tablo1[#All],3,0)," ")</f>
        <v xml:space="preserve"> </v>
      </c>
      <c r="P349" s="100" t="str">
        <f>IFERROR(VLOOKUP(Tablo519[[#This Row],[HAMMADDE KODU]],Tablo1[#All],4,0)," ")</f>
        <v xml:space="preserve"> </v>
      </c>
      <c r="Q349" s="100" t="str">
        <f>IFERROR(VLOOKUP(Tablo519[[#This Row],[ÜRÜN KODU]],YMKODLARI!$A$1:$K$379,5,0)," ")</f>
        <v xml:space="preserve"> </v>
      </c>
      <c r="R349" s="100" t="str">
        <f>IFERROR(VLOOKUP(Tablo519[[#This Row],[ÜRÜN KODU]],YMKODLARI!$A$1:$K$379,6,0)," ")</f>
        <v xml:space="preserve"> </v>
      </c>
      <c r="S349" s="100" t="str">
        <f>IFERROR(Tablo519[[#This Row],[YOLLUK HARİÇ BASKI GRAMI]]/Tablo519[[#This Row],[KALIP GÖZ ADEDİ]]," ")</f>
        <v xml:space="preserve"> </v>
      </c>
      <c r="T349" s="100" t="str">
        <f t="shared" si="40"/>
        <v xml:space="preserve"> </v>
      </c>
      <c r="U349" s="100"/>
      <c r="V349" s="100" t="str">
        <f t="shared" si="38"/>
        <v xml:space="preserve"> </v>
      </c>
      <c r="W349" s="101">
        <f t="shared" si="41"/>
        <v>24</v>
      </c>
      <c r="X349" s="102">
        <f t="shared" si="42"/>
        <v>0</v>
      </c>
      <c r="Y349" s="100" t="str">
        <f t="shared" si="43"/>
        <v xml:space="preserve"> </v>
      </c>
      <c r="Z349" s="100" t="str">
        <f t="shared" si="44"/>
        <v xml:space="preserve"> </v>
      </c>
    </row>
    <row r="350" spans="1:26">
      <c r="A350" s="100"/>
      <c r="B350" s="108" t="str">
        <f>IFERROR(VLOOKUP(Tablo519[[#This Row],[ÜRÜN KODU]],YMKODLARI!$A$1:$K$379,2,0)," ")</f>
        <v xml:space="preserve"> </v>
      </c>
      <c r="C350" s="99"/>
      <c r="D350" s="100"/>
      <c r="E350" s="101"/>
      <c r="F350" s="101"/>
      <c r="G350" s="100" t="str">
        <f>IFERROR(VLOOKUP(Tablo519[[#This Row],[ÜRÜN KODU]],YMKODLARI!$A$1:$K$379,3,0)," ")</f>
        <v xml:space="preserve"> </v>
      </c>
      <c r="H350" s="100" t="str">
        <f>IFERROR(VLOOKUP(Tablo519[[#This Row],[ÜRÜN KODU]],YMKODLARI!$A$1:$K$379,4,0)," ")</f>
        <v xml:space="preserve"> </v>
      </c>
      <c r="I350" s="100"/>
      <c r="J350" s="100" t="str">
        <f>IFERROR(VLOOKUP(Tablo519[[#This Row],[ÜRÜN KODU]],YMKODLARI!$A$1:$K$379,9,0)," ")</f>
        <v xml:space="preserve"> </v>
      </c>
      <c r="K350" s="100" t="str">
        <f>IFERROR(VLOOKUP(Tablo519[[#This Row],[BOYA KODU]],Tablo14[#All],4,0)," ")</f>
        <v xml:space="preserve"> </v>
      </c>
      <c r="L350" s="100" t="str">
        <f>IFERROR(VLOOKUP(Tablo519[[#This Row],[BOYA KODU]],Tablo14[#All],6,0)," ")</f>
        <v xml:space="preserve"> </v>
      </c>
      <c r="M350" s="100" t="str">
        <f t="shared" si="39"/>
        <v xml:space="preserve"> </v>
      </c>
      <c r="N350" s="100" t="str">
        <f>IFERROR(VLOOKUP(Tablo519[[#This Row],[ÜRÜN KODU]],YMKODLARI!$A$1:$K$363,8,0)," ")</f>
        <v xml:space="preserve"> </v>
      </c>
      <c r="O350" s="100" t="str">
        <f>IFERROR(VLOOKUP(Tablo519[[#This Row],[HAMMADDE KODU]],Tablo1[#All],3,0)," ")</f>
        <v xml:space="preserve"> </v>
      </c>
      <c r="P350" s="100" t="str">
        <f>IFERROR(VLOOKUP(Tablo519[[#This Row],[HAMMADDE KODU]],Tablo1[#All],4,0)," ")</f>
        <v xml:space="preserve"> </v>
      </c>
      <c r="Q350" s="100" t="str">
        <f>IFERROR(VLOOKUP(Tablo519[[#This Row],[ÜRÜN KODU]],YMKODLARI!$A$1:$K$379,5,0)," ")</f>
        <v xml:space="preserve"> </v>
      </c>
      <c r="R350" s="100" t="str">
        <f>IFERROR(VLOOKUP(Tablo519[[#This Row],[ÜRÜN KODU]],YMKODLARI!$A$1:$K$379,6,0)," ")</f>
        <v xml:space="preserve"> </v>
      </c>
      <c r="S350" s="100" t="str">
        <f>IFERROR(Tablo519[[#This Row],[YOLLUK HARİÇ BASKI GRAMI]]/Tablo519[[#This Row],[KALIP GÖZ ADEDİ]]," ")</f>
        <v xml:space="preserve"> </v>
      </c>
      <c r="T350" s="100" t="str">
        <f t="shared" si="40"/>
        <v xml:space="preserve"> </v>
      </c>
      <c r="U350" s="100"/>
      <c r="V350" s="100" t="str">
        <f t="shared" si="38"/>
        <v xml:space="preserve"> </v>
      </c>
      <c r="W350" s="101">
        <f t="shared" si="41"/>
        <v>24</v>
      </c>
      <c r="X350" s="102">
        <f t="shared" si="42"/>
        <v>0</v>
      </c>
      <c r="Y350" s="100" t="str">
        <f t="shared" si="43"/>
        <v xml:space="preserve"> </v>
      </c>
      <c r="Z350" s="100" t="str">
        <f t="shared" si="44"/>
        <v xml:space="preserve"> </v>
      </c>
    </row>
    <row r="351" spans="1:26">
      <c r="A351" s="100"/>
      <c r="B351" s="108" t="str">
        <f>IFERROR(VLOOKUP(Tablo519[[#This Row],[ÜRÜN KODU]],YMKODLARI!$A$1:$K$379,2,0)," ")</f>
        <v xml:space="preserve"> </v>
      </c>
      <c r="C351" s="99"/>
      <c r="D351" s="100"/>
      <c r="E351" s="101"/>
      <c r="F351" s="101"/>
      <c r="G351" s="100" t="str">
        <f>IFERROR(VLOOKUP(Tablo519[[#This Row],[ÜRÜN KODU]],YMKODLARI!$A$1:$K$379,3,0)," ")</f>
        <v xml:space="preserve"> </v>
      </c>
      <c r="H351" s="100" t="str">
        <f>IFERROR(VLOOKUP(Tablo519[[#This Row],[ÜRÜN KODU]],YMKODLARI!$A$1:$K$379,4,0)," ")</f>
        <v xml:space="preserve"> </v>
      </c>
      <c r="I351" s="100"/>
      <c r="J351" s="100" t="str">
        <f>IFERROR(VLOOKUP(Tablo519[[#This Row],[ÜRÜN KODU]],YMKODLARI!$A$1:$K$379,9,0)," ")</f>
        <v xml:space="preserve"> </v>
      </c>
      <c r="K351" s="100" t="str">
        <f>IFERROR(VLOOKUP(Tablo519[[#This Row],[BOYA KODU]],Tablo14[#All],4,0)," ")</f>
        <v xml:space="preserve"> </v>
      </c>
      <c r="L351" s="100" t="str">
        <f>IFERROR(VLOOKUP(Tablo519[[#This Row],[BOYA KODU]],Tablo14[#All],6,0)," ")</f>
        <v xml:space="preserve"> </v>
      </c>
      <c r="M351" s="100" t="str">
        <f t="shared" si="39"/>
        <v xml:space="preserve"> </v>
      </c>
      <c r="N351" s="100" t="str">
        <f>IFERROR(VLOOKUP(Tablo519[[#This Row],[ÜRÜN KODU]],YMKODLARI!$A$1:$K$363,8,0)," ")</f>
        <v xml:space="preserve"> </v>
      </c>
      <c r="O351" s="100" t="str">
        <f>IFERROR(VLOOKUP(Tablo519[[#This Row],[HAMMADDE KODU]],Tablo1[#All],3,0)," ")</f>
        <v xml:space="preserve"> </v>
      </c>
      <c r="P351" s="100" t="str">
        <f>IFERROR(VLOOKUP(Tablo519[[#This Row],[HAMMADDE KODU]],Tablo1[#All],4,0)," ")</f>
        <v xml:space="preserve"> </v>
      </c>
      <c r="Q351" s="100" t="str">
        <f>IFERROR(VLOOKUP(Tablo519[[#This Row],[ÜRÜN KODU]],YMKODLARI!$A$1:$K$379,5,0)," ")</f>
        <v xml:space="preserve"> </v>
      </c>
      <c r="R351" s="100" t="str">
        <f>IFERROR(VLOOKUP(Tablo519[[#This Row],[ÜRÜN KODU]],YMKODLARI!$A$1:$K$379,6,0)," ")</f>
        <v xml:space="preserve"> </v>
      </c>
      <c r="S351" s="100" t="str">
        <f>IFERROR(Tablo519[[#This Row],[YOLLUK HARİÇ BASKI GRAMI]]/Tablo519[[#This Row],[KALIP GÖZ ADEDİ]]," ")</f>
        <v xml:space="preserve"> </v>
      </c>
      <c r="T351" s="100" t="str">
        <f t="shared" si="40"/>
        <v xml:space="preserve"> </v>
      </c>
      <c r="U351" s="100"/>
      <c r="V351" s="100" t="str">
        <f t="shared" si="38"/>
        <v xml:space="preserve"> </v>
      </c>
      <c r="W351" s="101">
        <f t="shared" si="41"/>
        <v>24</v>
      </c>
      <c r="X351" s="102">
        <f t="shared" si="42"/>
        <v>0</v>
      </c>
      <c r="Y351" s="100" t="str">
        <f t="shared" si="43"/>
        <v xml:space="preserve"> </v>
      </c>
      <c r="Z351" s="100" t="str">
        <f t="shared" si="44"/>
        <v xml:space="preserve"> </v>
      </c>
    </row>
    <row r="352" spans="1:26">
      <c r="A352" s="100"/>
      <c r="B352" s="108" t="str">
        <f>IFERROR(VLOOKUP(Tablo519[[#This Row],[ÜRÜN KODU]],YMKODLARI!$A$1:$K$379,2,0)," ")</f>
        <v xml:space="preserve"> </v>
      </c>
      <c r="C352" s="99"/>
      <c r="D352" s="100"/>
      <c r="E352" s="101"/>
      <c r="F352" s="101"/>
      <c r="G352" s="100" t="str">
        <f>IFERROR(VLOOKUP(Tablo519[[#This Row],[ÜRÜN KODU]],YMKODLARI!$A$1:$K$379,3,0)," ")</f>
        <v xml:space="preserve"> </v>
      </c>
      <c r="H352" s="100" t="str">
        <f>IFERROR(VLOOKUP(Tablo519[[#This Row],[ÜRÜN KODU]],YMKODLARI!$A$1:$K$379,4,0)," ")</f>
        <v xml:space="preserve"> </v>
      </c>
      <c r="I352" s="100"/>
      <c r="J352" s="100" t="str">
        <f>IFERROR(VLOOKUP(Tablo519[[#This Row],[ÜRÜN KODU]],YMKODLARI!$A$1:$K$379,9,0)," ")</f>
        <v xml:space="preserve"> </v>
      </c>
      <c r="K352" s="100" t="str">
        <f>IFERROR(VLOOKUP(Tablo519[[#This Row],[BOYA KODU]],Tablo14[#All],4,0)," ")</f>
        <v xml:space="preserve"> </v>
      </c>
      <c r="L352" s="100" t="str">
        <f>IFERROR(VLOOKUP(Tablo519[[#This Row],[BOYA KODU]],Tablo14[#All],6,0)," ")</f>
        <v xml:space="preserve"> </v>
      </c>
      <c r="M352" s="100" t="str">
        <f t="shared" si="39"/>
        <v xml:space="preserve"> </v>
      </c>
      <c r="N352" s="100" t="str">
        <f>IFERROR(VLOOKUP(Tablo519[[#This Row],[ÜRÜN KODU]],YMKODLARI!$A$1:$K$363,8,0)," ")</f>
        <v xml:space="preserve"> </v>
      </c>
      <c r="O352" s="100" t="str">
        <f>IFERROR(VLOOKUP(Tablo519[[#This Row],[HAMMADDE KODU]],Tablo1[#All],3,0)," ")</f>
        <v xml:space="preserve"> </v>
      </c>
      <c r="P352" s="100" t="str">
        <f>IFERROR(VLOOKUP(Tablo519[[#This Row],[HAMMADDE KODU]],Tablo1[#All],4,0)," ")</f>
        <v xml:space="preserve"> </v>
      </c>
      <c r="Q352" s="100" t="str">
        <f>IFERROR(VLOOKUP(Tablo519[[#This Row],[ÜRÜN KODU]],YMKODLARI!$A$1:$K$379,5,0)," ")</f>
        <v xml:space="preserve"> </v>
      </c>
      <c r="R352" s="100" t="str">
        <f>IFERROR(VLOOKUP(Tablo519[[#This Row],[ÜRÜN KODU]],YMKODLARI!$A$1:$K$379,6,0)," ")</f>
        <v xml:space="preserve"> </v>
      </c>
      <c r="S352" s="100" t="str">
        <f>IFERROR(Tablo519[[#This Row],[YOLLUK HARİÇ BASKI GRAMI]]/Tablo519[[#This Row],[KALIP GÖZ ADEDİ]]," ")</f>
        <v xml:space="preserve"> </v>
      </c>
      <c r="T352" s="100" t="str">
        <f t="shared" si="40"/>
        <v xml:space="preserve"> </v>
      </c>
      <c r="U352" s="100"/>
      <c r="V352" s="100" t="str">
        <f t="shared" si="38"/>
        <v xml:space="preserve"> </v>
      </c>
      <c r="W352" s="101">
        <f t="shared" si="41"/>
        <v>24</v>
      </c>
      <c r="X352" s="102">
        <f t="shared" si="42"/>
        <v>0</v>
      </c>
      <c r="Y352" s="100" t="str">
        <f t="shared" si="43"/>
        <v xml:space="preserve"> </v>
      </c>
      <c r="Z352" s="100" t="str">
        <f t="shared" si="44"/>
        <v xml:space="preserve"> </v>
      </c>
    </row>
    <row r="353" spans="1:26">
      <c r="A353" s="100"/>
      <c r="B353" s="108" t="str">
        <f>IFERROR(VLOOKUP(Tablo519[[#This Row],[ÜRÜN KODU]],YMKODLARI!$A$1:$K$379,2,0)," ")</f>
        <v xml:space="preserve"> </v>
      </c>
      <c r="C353" s="99"/>
      <c r="D353" s="100"/>
      <c r="E353" s="101"/>
      <c r="F353" s="101"/>
      <c r="G353" s="100" t="str">
        <f>IFERROR(VLOOKUP(Tablo519[[#This Row],[ÜRÜN KODU]],YMKODLARI!$A$1:$K$379,3,0)," ")</f>
        <v xml:space="preserve"> </v>
      </c>
      <c r="H353" s="100" t="str">
        <f>IFERROR(VLOOKUP(Tablo519[[#This Row],[ÜRÜN KODU]],YMKODLARI!$A$1:$K$379,4,0)," ")</f>
        <v xml:space="preserve"> </v>
      </c>
      <c r="I353" s="100"/>
      <c r="J353" s="100" t="str">
        <f>IFERROR(VLOOKUP(Tablo519[[#This Row],[ÜRÜN KODU]],YMKODLARI!$A$1:$K$379,9,0)," ")</f>
        <v xml:space="preserve"> </v>
      </c>
      <c r="K353" s="100" t="str">
        <f>IFERROR(VLOOKUP(Tablo519[[#This Row],[BOYA KODU]],Tablo14[#All],4,0)," ")</f>
        <v xml:space="preserve"> </v>
      </c>
      <c r="L353" s="100" t="str">
        <f>IFERROR(VLOOKUP(Tablo519[[#This Row],[BOYA KODU]],Tablo14[#All],6,0)," ")</f>
        <v xml:space="preserve"> </v>
      </c>
      <c r="M353" s="100" t="str">
        <f t="shared" si="39"/>
        <v xml:space="preserve"> </v>
      </c>
      <c r="N353" s="100" t="str">
        <f>IFERROR(VLOOKUP(Tablo519[[#This Row],[ÜRÜN KODU]],YMKODLARI!$A$1:$K$363,8,0)," ")</f>
        <v xml:space="preserve"> </v>
      </c>
      <c r="O353" s="100" t="str">
        <f>IFERROR(VLOOKUP(Tablo519[[#This Row],[HAMMADDE KODU]],Tablo1[#All],3,0)," ")</f>
        <v xml:space="preserve"> </v>
      </c>
      <c r="P353" s="100" t="str">
        <f>IFERROR(VLOOKUP(Tablo519[[#This Row],[HAMMADDE KODU]],Tablo1[#All],4,0)," ")</f>
        <v xml:space="preserve"> </v>
      </c>
      <c r="Q353" s="100" t="str">
        <f>IFERROR(VLOOKUP(Tablo519[[#This Row],[ÜRÜN KODU]],YMKODLARI!$A$1:$K$379,5,0)," ")</f>
        <v xml:space="preserve"> </v>
      </c>
      <c r="R353" s="100" t="str">
        <f>IFERROR(VLOOKUP(Tablo519[[#This Row],[ÜRÜN KODU]],YMKODLARI!$A$1:$K$379,6,0)," ")</f>
        <v xml:space="preserve"> </v>
      </c>
      <c r="S353" s="100" t="str">
        <f>IFERROR(Tablo519[[#This Row],[YOLLUK HARİÇ BASKI GRAMI]]/Tablo519[[#This Row],[KALIP GÖZ ADEDİ]]," ")</f>
        <v xml:space="preserve"> </v>
      </c>
      <c r="T353" s="100" t="str">
        <f t="shared" si="40"/>
        <v xml:space="preserve"> </v>
      </c>
      <c r="U353" s="100"/>
      <c r="V353" s="100" t="str">
        <f t="shared" si="38"/>
        <v xml:space="preserve"> </v>
      </c>
      <c r="W353" s="101">
        <f t="shared" si="41"/>
        <v>24</v>
      </c>
      <c r="X353" s="102">
        <f t="shared" si="42"/>
        <v>0</v>
      </c>
      <c r="Y353" s="100" t="str">
        <f t="shared" si="43"/>
        <v xml:space="preserve"> </v>
      </c>
      <c r="Z353" s="100" t="str">
        <f t="shared" si="44"/>
        <v xml:space="preserve"> </v>
      </c>
    </row>
    <row r="354" spans="1:26">
      <c r="A354" s="100"/>
      <c r="B354" s="108" t="str">
        <f>IFERROR(VLOOKUP(Tablo519[[#This Row],[ÜRÜN KODU]],YMKODLARI!$A$1:$K$379,2,0)," ")</f>
        <v xml:space="preserve"> </v>
      </c>
      <c r="C354" s="99"/>
      <c r="D354" s="100"/>
      <c r="E354" s="101"/>
      <c r="F354" s="101"/>
      <c r="G354" s="100" t="str">
        <f>IFERROR(VLOOKUP(Tablo519[[#This Row],[ÜRÜN KODU]],YMKODLARI!$A$1:$K$379,3,0)," ")</f>
        <v xml:space="preserve"> </v>
      </c>
      <c r="H354" s="100" t="str">
        <f>IFERROR(VLOOKUP(Tablo519[[#This Row],[ÜRÜN KODU]],YMKODLARI!$A$1:$K$379,4,0)," ")</f>
        <v xml:space="preserve"> </v>
      </c>
      <c r="I354" s="100"/>
      <c r="J354" s="100" t="str">
        <f>IFERROR(VLOOKUP(Tablo519[[#This Row],[ÜRÜN KODU]],YMKODLARI!$A$1:$K$379,9,0)," ")</f>
        <v xml:space="preserve"> </v>
      </c>
      <c r="K354" s="100" t="str">
        <f>IFERROR(VLOOKUP(Tablo519[[#This Row],[BOYA KODU]],Tablo14[#All],4,0)," ")</f>
        <v xml:space="preserve"> </v>
      </c>
      <c r="L354" s="100" t="str">
        <f>IFERROR(VLOOKUP(Tablo519[[#This Row],[BOYA KODU]],Tablo14[#All],6,0)," ")</f>
        <v xml:space="preserve"> </v>
      </c>
      <c r="M354" s="100" t="str">
        <f t="shared" si="39"/>
        <v xml:space="preserve"> </v>
      </c>
      <c r="N354" s="100" t="str">
        <f>IFERROR(VLOOKUP(Tablo519[[#This Row],[ÜRÜN KODU]],YMKODLARI!$A$1:$K$363,8,0)," ")</f>
        <v xml:space="preserve"> </v>
      </c>
      <c r="O354" s="100" t="str">
        <f>IFERROR(VLOOKUP(Tablo519[[#This Row],[HAMMADDE KODU]],Tablo1[#All],3,0)," ")</f>
        <v xml:space="preserve"> </v>
      </c>
      <c r="P354" s="100" t="str">
        <f>IFERROR(VLOOKUP(Tablo519[[#This Row],[HAMMADDE KODU]],Tablo1[#All],4,0)," ")</f>
        <v xml:space="preserve"> </v>
      </c>
      <c r="Q354" s="100" t="str">
        <f>IFERROR(VLOOKUP(Tablo519[[#This Row],[ÜRÜN KODU]],YMKODLARI!$A$1:$K$379,5,0)," ")</f>
        <v xml:space="preserve"> </v>
      </c>
      <c r="R354" s="100" t="str">
        <f>IFERROR(VLOOKUP(Tablo519[[#This Row],[ÜRÜN KODU]],YMKODLARI!$A$1:$K$379,6,0)," ")</f>
        <v xml:space="preserve"> </v>
      </c>
      <c r="S354" s="100" t="str">
        <f>IFERROR(Tablo519[[#This Row],[YOLLUK HARİÇ BASKI GRAMI]]/Tablo519[[#This Row],[KALIP GÖZ ADEDİ]]," ")</f>
        <v xml:space="preserve"> </v>
      </c>
      <c r="T354" s="100" t="str">
        <f t="shared" si="40"/>
        <v xml:space="preserve"> </v>
      </c>
      <c r="U354" s="100"/>
      <c r="V354" s="100" t="str">
        <f t="shared" si="38"/>
        <v xml:space="preserve"> </v>
      </c>
      <c r="W354" s="101">
        <f t="shared" si="41"/>
        <v>24</v>
      </c>
      <c r="X354" s="102">
        <f t="shared" si="42"/>
        <v>0</v>
      </c>
      <c r="Y354" s="100" t="str">
        <f t="shared" si="43"/>
        <v xml:space="preserve"> </v>
      </c>
      <c r="Z354" s="100" t="str">
        <f t="shared" si="44"/>
        <v xml:space="preserve"> </v>
      </c>
    </row>
    <row r="355" spans="1:26">
      <c r="A355" s="100"/>
      <c r="B355" s="108" t="str">
        <f>IFERROR(VLOOKUP(Tablo519[[#This Row],[ÜRÜN KODU]],YMKODLARI!$A$1:$K$379,2,0)," ")</f>
        <v xml:space="preserve"> </v>
      </c>
      <c r="C355" s="99"/>
      <c r="D355" s="100"/>
      <c r="E355" s="101"/>
      <c r="F355" s="101"/>
      <c r="G355" s="100" t="str">
        <f>IFERROR(VLOOKUP(Tablo519[[#This Row],[ÜRÜN KODU]],YMKODLARI!$A$1:$K$379,3,0)," ")</f>
        <v xml:space="preserve"> </v>
      </c>
      <c r="H355" s="100" t="str">
        <f>IFERROR(VLOOKUP(Tablo519[[#This Row],[ÜRÜN KODU]],YMKODLARI!$A$1:$K$379,4,0)," ")</f>
        <v xml:space="preserve"> </v>
      </c>
      <c r="I355" s="100"/>
      <c r="J355" s="100" t="str">
        <f>IFERROR(VLOOKUP(Tablo519[[#This Row],[ÜRÜN KODU]],YMKODLARI!$A$1:$K$379,9,0)," ")</f>
        <v xml:space="preserve"> </v>
      </c>
      <c r="K355" s="100" t="str">
        <f>IFERROR(VLOOKUP(Tablo519[[#This Row],[BOYA KODU]],Tablo14[#All],4,0)," ")</f>
        <v xml:space="preserve"> </v>
      </c>
      <c r="L355" s="100" t="str">
        <f>IFERROR(VLOOKUP(Tablo519[[#This Row],[BOYA KODU]],Tablo14[#All],6,0)," ")</f>
        <v xml:space="preserve"> </v>
      </c>
      <c r="M355" s="100" t="str">
        <f t="shared" si="39"/>
        <v xml:space="preserve"> </v>
      </c>
      <c r="N355" s="100" t="str">
        <f>IFERROR(VLOOKUP(Tablo519[[#This Row],[ÜRÜN KODU]],YMKODLARI!$A$1:$K$363,8,0)," ")</f>
        <v xml:space="preserve"> </v>
      </c>
      <c r="O355" s="100" t="str">
        <f>IFERROR(VLOOKUP(Tablo519[[#This Row],[HAMMADDE KODU]],Tablo1[#All],3,0)," ")</f>
        <v xml:space="preserve"> </v>
      </c>
      <c r="P355" s="100" t="str">
        <f>IFERROR(VLOOKUP(Tablo519[[#This Row],[HAMMADDE KODU]],Tablo1[#All],4,0)," ")</f>
        <v xml:space="preserve"> </v>
      </c>
      <c r="Q355" s="100" t="str">
        <f>IFERROR(VLOOKUP(Tablo519[[#This Row],[ÜRÜN KODU]],YMKODLARI!$A$1:$K$379,5,0)," ")</f>
        <v xml:space="preserve"> </v>
      </c>
      <c r="R355" s="100" t="str">
        <f>IFERROR(VLOOKUP(Tablo519[[#This Row],[ÜRÜN KODU]],YMKODLARI!$A$1:$K$379,6,0)," ")</f>
        <v xml:space="preserve"> </v>
      </c>
      <c r="S355" s="100" t="str">
        <f>IFERROR(Tablo519[[#This Row],[YOLLUK HARİÇ BASKI GRAMI]]/Tablo519[[#This Row],[KALIP GÖZ ADEDİ]]," ")</f>
        <v xml:space="preserve"> </v>
      </c>
      <c r="T355" s="100" t="str">
        <f t="shared" si="40"/>
        <v xml:space="preserve"> </v>
      </c>
      <c r="U355" s="100"/>
      <c r="V355" s="100" t="str">
        <f t="shared" si="38"/>
        <v xml:space="preserve"> </v>
      </c>
      <c r="W355" s="101">
        <f t="shared" si="41"/>
        <v>24</v>
      </c>
      <c r="X355" s="102">
        <f t="shared" si="42"/>
        <v>0</v>
      </c>
      <c r="Y355" s="100" t="str">
        <f t="shared" si="43"/>
        <v xml:space="preserve"> </v>
      </c>
      <c r="Z355" s="100" t="str">
        <f t="shared" si="44"/>
        <v xml:space="preserve"> </v>
      </c>
    </row>
    <row r="356" spans="1:26">
      <c r="A356" s="100"/>
      <c r="B356" s="108" t="str">
        <f>IFERROR(VLOOKUP(Tablo519[[#This Row],[ÜRÜN KODU]],YMKODLARI!$A$1:$K$379,2,0)," ")</f>
        <v xml:space="preserve"> </v>
      </c>
      <c r="C356" s="99"/>
      <c r="D356" s="100"/>
      <c r="E356" s="101"/>
      <c r="F356" s="101"/>
      <c r="G356" s="100" t="str">
        <f>IFERROR(VLOOKUP(Tablo519[[#This Row],[ÜRÜN KODU]],YMKODLARI!$A$1:$K$379,3,0)," ")</f>
        <v xml:space="preserve"> </v>
      </c>
      <c r="H356" s="100" t="str">
        <f>IFERROR(VLOOKUP(Tablo519[[#This Row],[ÜRÜN KODU]],YMKODLARI!$A$1:$K$379,4,0)," ")</f>
        <v xml:space="preserve"> </v>
      </c>
      <c r="I356" s="100"/>
      <c r="J356" s="100" t="str">
        <f>IFERROR(VLOOKUP(Tablo519[[#This Row],[ÜRÜN KODU]],YMKODLARI!$A$1:$K$379,9,0)," ")</f>
        <v xml:space="preserve"> </v>
      </c>
      <c r="K356" s="100" t="str">
        <f>IFERROR(VLOOKUP(Tablo519[[#This Row],[BOYA KODU]],Tablo14[#All],4,0)," ")</f>
        <v xml:space="preserve"> </v>
      </c>
      <c r="L356" s="100" t="str">
        <f>IFERROR(VLOOKUP(Tablo519[[#This Row],[BOYA KODU]],Tablo14[#All],6,0)," ")</f>
        <v xml:space="preserve"> </v>
      </c>
      <c r="M356" s="100" t="str">
        <f t="shared" si="39"/>
        <v xml:space="preserve"> </v>
      </c>
      <c r="N356" s="100" t="str">
        <f>IFERROR(VLOOKUP(Tablo519[[#This Row],[ÜRÜN KODU]],YMKODLARI!$A$1:$K$363,8,0)," ")</f>
        <v xml:space="preserve"> </v>
      </c>
      <c r="O356" s="100" t="str">
        <f>IFERROR(VLOOKUP(Tablo519[[#This Row],[HAMMADDE KODU]],Tablo1[#All],3,0)," ")</f>
        <v xml:space="preserve"> </v>
      </c>
      <c r="P356" s="100" t="str">
        <f>IFERROR(VLOOKUP(Tablo519[[#This Row],[HAMMADDE KODU]],Tablo1[#All],4,0)," ")</f>
        <v xml:space="preserve"> </v>
      </c>
      <c r="Q356" s="100" t="str">
        <f>IFERROR(VLOOKUP(Tablo519[[#This Row],[ÜRÜN KODU]],YMKODLARI!$A$1:$K$379,5,0)," ")</f>
        <v xml:space="preserve"> </v>
      </c>
      <c r="R356" s="100" t="str">
        <f>IFERROR(VLOOKUP(Tablo519[[#This Row],[ÜRÜN KODU]],YMKODLARI!$A$1:$K$379,6,0)," ")</f>
        <v xml:space="preserve"> </v>
      </c>
      <c r="S356" s="100" t="str">
        <f>IFERROR(Tablo519[[#This Row],[YOLLUK HARİÇ BASKI GRAMI]]/Tablo519[[#This Row],[KALIP GÖZ ADEDİ]]," ")</f>
        <v xml:space="preserve"> </v>
      </c>
      <c r="T356" s="100" t="str">
        <f t="shared" si="40"/>
        <v xml:space="preserve"> </v>
      </c>
      <c r="U356" s="100"/>
      <c r="V356" s="100" t="str">
        <f t="shared" si="38"/>
        <v xml:space="preserve"> </v>
      </c>
      <c r="W356" s="101">
        <f t="shared" si="41"/>
        <v>24</v>
      </c>
      <c r="X356" s="102">
        <f t="shared" si="42"/>
        <v>0</v>
      </c>
      <c r="Y356" s="100" t="str">
        <f t="shared" si="43"/>
        <v xml:space="preserve"> </v>
      </c>
      <c r="Z356" s="100" t="str">
        <f t="shared" si="44"/>
        <v xml:space="preserve"> </v>
      </c>
    </row>
    <row r="357" spans="1:26">
      <c r="A357" s="100"/>
      <c r="B357" s="108" t="str">
        <f>IFERROR(VLOOKUP(Tablo519[[#This Row],[ÜRÜN KODU]],YMKODLARI!$A$1:$K$379,2,0)," ")</f>
        <v xml:space="preserve"> </v>
      </c>
      <c r="C357" s="99"/>
      <c r="D357" s="100"/>
      <c r="E357" s="101"/>
      <c r="F357" s="101"/>
      <c r="G357" s="100" t="str">
        <f>IFERROR(VLOOKUP(Tablo519[[#This Row],[ÜRÜN KODU]],YMKODLARI!$A$1:$K$379,3,0)," ")</f>
        <v xml:space="preserve"> </v>
      </c>
      <c r="H357" s="100" t="str">
        <f>IFERROR(VLOOKUP(Tablo519[[#This Row],[ÜRÜN KODU]],YMKODLARI!$A$1:$K$379,4,0)," ")</f>
        <v xml:space="preserve"> </v>
      </c>
      <c r="I357" s="100"/>
      <c r="J357" s="100" t="str">
        <f>IFERROR(VLOOKUP(Tablo519[[#This Row],[ÜRÜN KODU]],YMKODLARI!$A$1:$K$379,9,0)," ")</f>
        <v xml:space="preserve"> </v>
      </c>
      <c r="K357" s="100" t="str">
        <f>IFERROR(VLOOKUP(Tablo519[[#This Row],[BOYA KODU]],Tablo14[#All],4,0)," ")</f>
        <v xml:space="preserve"> </v>
      </c>
      <c r="L357" s="100" t="str">
        <f>IFERROR(VLOOKUP(Tablo519[[#This Row],[BOYA KODU]],Tablo14[#All],6,0)," ")</f>
        <v xml:space="preserve"> </v>
      </c>
      <c r="M357" s="100" t="str">
        <f t="shared" si="39"/>
        <v xml:space="preserve"> </v>
      </c>
      <c r="N357" s="100" t="str">
        <f>IFERROR(VLOOKUP(Tablo519[[#This Row],[ÜRÜN KODU]],YMKODLARI!$A$1:$K$363,8,0)," ")</f>
        <v xml:space="preserve"> </v>
      </c>
      <c r="O357" s="100" t="str">
        <f>IFERROR(VLOOKUP(Tablo519[[#This Row],[HAMMADDE KODU]],Tablo1[#All],3,0)," ")</f>
        <v xml:space="preserve"> </v>
      </c>
      <c r="P357" s="100" t="str">
        <f>IFERROR(VLOOKUP(Tablo519[[#This Row],[HAMMADDE KODU]],Tablo1[#All],4,0)," ")</f>
        <v xml:space="preserve"> </v>
      </c>
      <c r="Q357" s="100" t="str">
        <f>IFERROR(VLOOKUP(Tablo519[[#This Row],[ÜRÜN KODU]],YMKODLARI!$A$1:$K$379,5,0)," ")</f>
        <v xml:space="preserve"> </v>
      </c>
      <c r="R357" s="100" t="str">
        <f>IFERROR(VLOOKUP(Tablo519[[#This Row],[ÜRÜN KODU]],YMKODLARI!$A$1:$K$379,6,0)," ")</f>
        <v xml:space="preserve"> </v>
      </c>
      <c r="S357" s="100" t="str">
        <f>IFERROR(Tablo519[[#This Row],[YOLLUK HARİÇ BASKI GRAMI]]/Tablo519[[#This Row],[KALIP GÖZ ADEDİ]]," ")</f>
        <v xml:space="preserve"> </v>
      </c>
      <c r="T357" s="100" t="str">
        <f t="shared" si="40"/>
        <v xml:space="preserve"> </v>
      </c>
      <c r="U357" s="100"/>
      <c r="V357" s="100" t="str">
        <f t="shared" si="38"/>
        <v xml:space="preserve"> </v>
      </c>
      <c r="W357" s="101">
        <f t="shared" si="41"/>
        <v>24</v>
      </c>
      <c r="X357" s="102">
        <f t="shared" si="42"/>
        <v>0</v>
      </c>
      <c r="Y357" s="100" t="str">
        <f t="shared" si="43"/>
        <v xml:space="preserve"> </v>
      </c>
      <c r="Z357" s="100" t="str">
        <f t="shared" si="44"/>
        <v xml:space="preserve"> </v>
      </c>
    </row>
    <row r="358" spans="1:26">
      <c r="A358" s="100"/>
      <c r="B358" s="108" t="str">
        <f>IFERROR(VLOOKUP(Tablo519[[#This Row],[ÜRÜN KODU]],YMKODLARI!$A$1:$K$379,2,0)," ")</f>
        <v xml:space="preserve"> </v>
      </c>
      <c r="C358" s="99"/>
      <c r="D358" s="100"/>
      <c r="E358" s="101"/>
      <c r="F358" s="101"/>
      <c r="G358" s="100" t="str">
        <f>IFERROR(VLOOKUP(Tablo519[[#This Row],[ÜRÜN KODU]],YMKODLARI!$A$1:$K$379,3,0)," ")</f>
        <v xml:space="preserve"> </v>
      </c>
      <c r="H358" s="100" t="str">
        <f>IFERROR(VLOOKUP(Tablo519[[#This Row],[ÜRÜN KODU]],YMKODLARI!$A$1:$K$379,4,0)," ")</f>
        <v xml:space="preserve"> </v>
      </c>
      <c r="I358" s="100"/>
      <c r="J358" s="100" t="str">
        <f>IFERROR(VLOOKUP(Tablo519[[#This Row],[ÜRÜN KODU]],YMKODLARI!$A$1:$K$379,9,0)," ")</f>
        <v xml:space="preserve"> </v>
      </c>
      <c r="K358" s="100" t="str">
        <f>IFERROR(VLOOKUP(Tablo519[[#This Row],[BOYA KODU]],Tablo14[#All],4,0)," ")</f>
        <v xml:space="preserve"> </v>
      </c>
      <c r="L358" s="100" t="str">
        <f>IFERROR(VLOOKUP(Tablo519[[#This Row],[BOYA KODU]],Tablo14[#All],6,0)," ")</f>
        <v xml:space="preserve"> </v>
      </c>
      <c r="M358" s="100" t="str">
        <f t="shared" si="39"/>
        <v xml:space="preserve"> </v>
      </c>
      <c r="N358" s="100" t="str">
        <f>IFERROR(VLOOKUP(Tablo519[[#This Row],[ÜRÜN KODU]],YMKODLARI!$A$1:$K$363,8,0)," ")</f>
        <v xml:space="preserve"> </v>
      </c>
      <c r="O358" s="100" t="str">
        <f>IFERROR(VLOOKUP(Tablo519[[#This Row],[HAMMADDE KODU]],Tablo1[#All],3,0)," ")</f>
        <v xml:space="preserve"> </v>
      </c>
      <c r="P358" s="100" t="str">
        <f>IFERROR(VLOOKUP(Tablo519[[#This Row],[HAMMADDE KODU]],Tablo1[#All],4,0)," ")</f>
        <v xml:space="preserve"> </v>
      </c>
      <c r="Q358" s="100" t="str">
        <f>IFERROR(VLOOKUP(Tablo519[[#This Row],[ÜRÜN KODU]],YMKODLARI!$A$1:$K$379,5,0)," ")</f>
        <v xml:space="preserve"> </v>
      </c>
      <c r="R358" s="100" t="str">
        <f>IFERROR(VLOOKUP(Tablo519[[#This Row],[ÜRÜN KODU]],YMKODLARI!$A$1:$K$379,6,0)," ")</f>
        <v xml:space="preserve"> </v>
      </c>
      <c r="S358" s="100" t="str">
        <f>IFERROR(Tablo519[[#This Row],[YOLLUK HARİÇ BASKI GRAMI]]/Tablo519[[#This Row],[KALIP GÖZ ADEDİ]]," ")</f>
        <v xml:space="preserve"> </v>
      </c>
      <c r="T358" s="100" t="str">
        <f t="shared" si="40"/>
        <v xml:space="preserve"> </v>
      </c>
      <c r="U358" s="100"/>
      <c r="V358" s="100" t="str">
        <f t="shared" si="38"/>
        <v xml:space="preserve"> </v>
      </c>
      <c r="W358" s="101">
        <f t="shared" si="41"/>
        <v>24</v>
      </c>
      <c r="X358" s="102">
        <f t="shared" si="42"/>
        <v>0</v>
      </c>
      <c r="Y358" s="100" t="str">
        <f t="shared" si="43"/>
        <v xml:space="preserve"> </v>
      </c>
      <c r="Z358" s="100" t="str">
        <f t="shared" si="44"/>
        <v xml:space="preserve"> </v>
      </c>
    </row>
    <row r="359" spans="1:26">
      <c r="A359" s="100"/>
      <c r="B359" s="108" t="str">
        <f>IFERROR(VLOOKUP(Tablo519[[#This Row],[ÜRÜN KODU]],YMKODLARI!$A$1:$K$379,2,0)," ")</f>
        <v xml:space="preserve"> </v>
      </c>
      <c r="C359" s="99"/>
      <c r="D359" s="100"/>
      <c r="E359" s="101"/>
      <c r="F359" s="101"/>
      <c r="G359" s="100" t="str">
        <f>IFERROR(VLOOKUP(Tablo519[[#This Row],[ÜRÜN KODU]],YMKODLARI!$A$1:$K$379,3,0)," ")</f>
        <v xml:space="preserve"> </v>
      </c>
      <c r="H359" s="100" t="str">
        <f>IFERROR(VLOOKUP(Tablo519[[#This Row],[ÜRÜN KODU]],YMKODLARI!$A$1:$K$379,4,0)," ")</f>
        <v xml:space="preserve"> </v>
      </c>
      <c r="I359" s="100"/>
      <c r="J359" s="100" t="str">
        <f>IFERROR(VLOOKUP(Tablo519[[#This Row],[ÜRÜN KODU]],YMKODLARI!$A$1:$K$379,9,0)," ")</f>
        <v xml:space="preserve"> </v>
      </c>
      <c r="K359" s="100" t="str">
        <f>IFERROR(VLOOKUP(Tablo519[[#This Row],[BOYA KODU]],Tablo14[#All],4,0)," ")</f>
        <v xml:space="preserve"> </v>
      </c>
      <c r="L359" s="100" t="str">
        <f>IFERROR(VLOOKUP(Tablo519[[#This Row],[BOYA KODU]],Tablo14[#All],6,0)," ")</f>
        <v xml:space="preserve"> </v>
      </c>
      <c r="M359" s="100" t="str">
        <f t="shared" si="39"/>
        <v xml:space="preserve"> </v>
      </c>
      <c r="N359" s="100" t="str">
        <f>IFERROR(VLOOKUP(Tablo519[[#This Row],[ÜRÜN KODU]],YMKODLARI!$A$1:$K$363,8,0)," ")</f>
        <v xml:space="preserve"> </v>
      </c>
      <c r="O359" s="100" t="str">
        <f>IFERROR(VLOOKUP(Tablo519[[#This Row],[HAMMADDE KODU]],Tablo1[#All],3,0)," ")</f>
        <v xml:space="preserve"> </v>
      </c>
      <c r="P359" s="100" t="str">
        <f>IFERROR(VLOOKUP(Tablo519[[#This Row],[HAMMADDE KODU]],Tablo1[#All],4,0)," ")</f>
        <v xml:space="preserve"> </v>
      </c>
      <c r="Q359" s="100" t="str">
        <f>IFERROR(VLOOKUP(Tablo519[[#This Row],[ÜRÜN KODU]],YMKODLARI!$A$1:$K$379,5,0)," ")</f>
        <v xml:space="preserve"> </v>
      </c>
      <c r="R359" s="100" t="str">
        <f>IFERROR(VLOOKUP(Tablo519[[#This Row],[ÜRÜN KODU]],YMKODLARI!$A$1:$K$379,6,0)," ")</f>
        <v xml:space="preserve"> </v>
      </c>
      <c r="S359" s="100" t="str">
        <f>IFERROR(Tablo519[[#This Row],[YOLLUK HARİÇ BASKI GRAMI]]/Tablo519[[#This Row],[KALIP GÖZ ADEDİ]]," ")</f>
        <v xml:space="preserve"> </v>
      </c>
      <c r="T359" s="100" t="str">
        <f t="shared" si="40"/>
        <v xml:space="preserve"> </v>
      </c>
      <c r="U359" s="100"/>
      <c r="V359" s="100" t="str">
        <f t="shared" si="38"/>
        <v xml:space="preserve"> </v>
      </c>
      <c r="W359" s="101">
        <f t="shared" si="41"/>
        <v>24</v>
      </c>
      <c r="X359" s="102">
        <f t="shared" si="42"/>
        <v>0</v>
      </c>
      <c r="Y359" s="100" t="str">
        <f t="shared" si="43"/>
        <v xml:space="preserve"> </v>
      </c>
      <c r="Z359" s="100" t="str">
        <f t="shared" si="44"/>
        <v xml:space="preserve"> </v>
      </c>
    </row>
    <row r="360" spans="1:26">
      <c r="A360" s="100"/>
      <c r="B360" s="108" t="str">
        <f>IFERROR(VLOOKUP(Tablo519[[#This Row],[ÜRÜN KODU]],YMKODLARI!$A$1:$K$379,2,0)," ")</f>
        <v xml:space="preserve"> </v>
      </c>
      <c r="C360" s="99"/>
      <c r="D360" s="100"/>
      <c r="E360" s="101"/>
      <c r="F360" s="101"/>
      <c r="G360" s="100" t="str">
        <f>IFERROR(VLOOKUP(Tablo519[[#This Row],[ÜRÜN KODU]],YMKODLARI!$A$1:$K$379,3,0)," ")</f>
        <v xml:space="preserve"> </v>
      </c>
      <c r="H360" s="100" t="str">
        <f>IFERROR(VLOOKUP(Tablo519[[#This Row],[ÜRÜN KODU]],YMKODLARI!$A$1:$K$379,4,0)," ")</f>
        <v xml:space="preserve"> </v>
      </c>
      <c r="I360" s="100"/>
      <c r="J360" s="100" t="str">
        <f>IFERROR(VLOOKUP(Tablo519[[#This Row],[ÜRÜN KODU]],YMKODLARI!$A$1:$K$379,9,0)," ")</f>
        <v xml:space="preserve"> </v>
      </c>
      <c r="K360" s="100" t="str">
        <f>IFERROR(VLOOKUP(Tablo519[[#This Row],[BOYA KODU]],Tablo14[#All],4,0)," ")</f>
        <v xml:space="preserve"> </v>
      </c>
      <c r="L360" s="100" t="str">
        <f>IFERROR(VLOOKUP(Tablo519[[#This Row],[BOYA KODU]],Tablo14[#All],6,0)," ")</f>
        <v xml:space="preserve"> </v>
      </c>
      <c r="M360" s="100" t="str">
        <f t="shared" si="39"/>
        <v xml:space="preserve"> </v>
      </c>
      <c r="N360" s="100" t="str">
        <f>IFERROR(VLOOKUP(Tablo519[[#This Row],[ÜRÜN KODU]],YMKODLARI!$A$1:$K$363,8,0)," ")</f>
        <v xml:space="preserve"> </v>
      </c>
      <c r="O360" s="100" t="str">
        <f>IFERROR(VLOOKUP(Tablo519[[#This Row],[HAMMADDE KODU]],Tablo1[#All],3,0)," ")</f>
        <v xml:space="preserve"> </v>
      </c>
      <c r="P360" s="100" t="str">
        <f>IFERROR(VLOOKUP(Tablo519[[#This Row],[HAMMADDE KODU]],Tablo1[#All],4,0)," ")</f>
        <v xml:space="preserve"> </v>
      </c>
      <c r="Q360" s="100" t="str">
        <f>IFERROR(VLOOKUP(Tablo519[[#This Row],[ÜRÜN KODU]],YMKODLARI!$A$1:$K$379,5,0)," ")</f>
        <v xml:space="preserve"> </v>
      </c>
      <c r="R360" s="100" t="str">
        <f>IFERROR(VLOOKUP(Tablo519[[#This Row],[ÜRÜN KODU]],YMKODLARI!$A$1:$K$379,6,0)," ")</f>
        <v xml:space="preserve"> </v>
      </c>
      <c r="S360" s="100" t="str">
        <f>IFERROR(Tablo519[[#This Row],[YOLLUK HARİÇ BASKI GRAMI]]/Tablo519[[#This Row],[KALIP GÖZ ADEDİ]]," ")</f>
        <v xml:space="preserve"> </v>
      </c>
      <c r="T360" s="100" t="str">
        <f t="shared" si="40"/>
        <v xml:space="preserve"> </v>
      </c>
      <c r="U360" s="100"/>
      <c r="V360" s="100" t="str">
        <f t="shared" si="38"/>
        <v xml:space="preserve"> </v>
      </c>
      <c r="W360" s="101">
        <f t="shared" si="41"/>
        <v>24</v>
      </c>
      <c r="X360" s="102">
        <f t="shared" si="42"/>
        <v>0</v>
      </c>
      <c r="Y360" s="100" t="str">
        <f t="shared" si="43"/>
        <v xml:space="preserve"> </v>
      </c>
      <c r="Z360" s="100" t="str">
        <f t="shared" si="44"/>
        <v xml:space="preserve"> </v>
      </c>
    </row>
    <row r="361" spans="1:26">
      <c r="A361" s="100"/>
      <c r="B361" s="108" t="str">
        <f>IFERROR(VLOOKUP(Tablo519[[#This Row],[ÜRÜN KODU]],YMKODLARI!$A$1:$K$379,2,0)," ")</f>
        <v xml:space="preserve"> </v>
      </c>
      <c r="C361" s="99"/>
      <c r="D361" s="100"/>
      <c r="E361" s="101"/>
      <c r="F361" s="101"/>
      <c r="G361" s="100" t="str">
        <f>IFERROR(VLOOKUP(Tablo519[[#This Row],[ÜRÜN KODU]],YMKODLARI!$A$1:$K$379,3,0)," ")</f>
        <v xml:space="preserve"> </v>
      </c>
      <c r="H361" s="100" t="str">
        <f>IFERROR(VLOOKUP(Tablo519[[#This Row],[ÜRÜN KODU]],YMKODLARI!$A$1:$K$379,4,0)," ")</f>
        <v xml:space="preserve"> </v>
      </c>
      <c r="I361" s="100"/>
      <c r="J361" s="100" t="str">
        <f>IFERROR(VLOOKUP(Tablo519[[#This Row],[ÜRÜN KODU]],YMKODLARI!$A$1:$K$379,9,0)," ")</f>
        <v xml:space="preserve"> </v>
      </c>
      <c r="K361" s="100" t="str">
        <f>IFERROR(VLOOKUP(Tablo519[[#This Row],[BOYA KODU]],Tablo14[#All],4,0)," ")</f>
        <v xml:space="preserve"> </v>
      </c>
      <c r="L361" s="100" t="str">
        <f>IFERROR(VLOOKUP(Tablo519[[#This Row],[BOYA KODU]],Tablo14[#All],6,0)," ")</f>
        <v xml:space="preserve"> </v>
      </c>
      <c r="M361" s="100" t="str">
        <f t="shared" si="39"/>
        <v xml:space="preserve"> </v>
      </c>
      <c r="N361" s="100" t="str">
        <f>IFERROR(VLOOKUP(Tablo519[[#This Row],[ÜRÜN KODU]],YMKODLARI!$A$1:$K$363,8,0)," ")</f>
        <v xml:space="preserve"> </v>
      </c>
      <c r="O361" s="100" t="str">
        <f>IFERROR(VLOOKUP(Tablo519[[#This Row],[HAMMADDE KODU]],Tablo1[#All],3,0)," ")</f>
        <v xml:space="preserve"> </v>
      </c>
      <c r="P361" s="100" t="str">
        <f>IFERROR(VLOOKUP(Tablo519[[#This Row],[HAMMADDE KODU]],Tablo1[#All],4,0)," ")</f>
        <v xml:space="preserve"> </v>
      </c>
      <c r="Q361" s="100" t="str">
        <f>IFERROR(VLOOKUP(Tablo519[[#This Row],[ÜRÜN KODU]],YMKODLARI!$A$1:$K$379,5,0)," ")</f>
        <v xml:space="preserve"> </v>
      </c>
      <c r="R361" s="100" t="str">
        <f>IFERROR(VLOOKUP(Tablo519[[#This Row],[ÜRÜN KODU]],YMKODLARI!$A$1:$K$379,6,0)," ")</f>
        <v xml:space="preserve"> </v>
      </c>
      <c r="S361" s="100" t="str">
        <f>IFERROR(Tablo519[[#This Row],[YOLLUK HARİÇ BASKI GRAMI]]/Tablo519[[#This Row],[KALIP GÖZ ADEDİ]]," ")</f>
        <v xml:space="preserve"> </v>
      </c>
      <c r="T361" s="100" t="str">
        <f t="shared" si="40"/>
        <v xml:space="preserve"> </v>
      </c>
      <c r="U361" s="100"/>
      <c r="V361" s="100" t="str">
        <f t="shared" ref="V361:V424" si="45">IFERROR(U361+(R361*I361) /1000," ")</f>
        <v xml:space="preserve"> </v>
      </c>
      <c r="W361" s="101">
        <f t="shared" si="41"/>
        <v>24</v>
      </c>
      <c r="X361" s="102">
        <f t="shared" si="42"/>
        <v>0</v>
      </c>
      <c r="Y361" s="100" t="str">
        <f t="shared" si="43"/>
        <v xml:space="preserve"> </v>
      </c>
      <c r="Z361" s="100" t="str">
        <f t="shared" si="44"/>
        <v xml:space="preserve"> </v>
      </c>
    </row>
    <row r="362" spans="1:26">
      <c r="A362" s="100"/>
      <c r="B362" s="108" t="str">
        <f>IFERROR(VLOOKUP(Tablo519[[#This Row],[ÜRÜN KODU]],YMKODLARI!$A$1:$K$379,2,0)," ")</f>
        <v xml:space="preserve"> </v>
      </c>
      <c r="C362" s="99"/>
      <c r="D362" s="100"/>
      <c r="E362" s="101"/>
      <c r="F362" s="101"/>
      <c r="G362" s="100" t="str">
        <f>IFERROR(VLOOKUP(Tablo519[[#This Row],[ÜRÜN KODU]],YMKODLARI!$A$1:$K$379,3,0)," ")</f>
        <v xml:space="preserve"> </v>
      </c>
      <c r="H362" s="100" t="str">
        <f>IFERROR(VLOOKUP(Tablo519[[#This Row],[ÜRÜN KODU]],YMKODLARI!$A$1:$K$379,4,0)," ")</f>
        <v xml:space="preserve"> </v>
      </c>
      <c r="I362" s="100"/>
      <c r="J362" s="100" t="str">
        <f>IFERROR(VLOOKUP(Tablo519[[#This Row],[ÜRÜN KODU]],YMKODLARI!$A$1:$K$379,9,0)," ")</f>
        <v xml:space="preserve"> </v>
      </c>
      <c r="K362" s="100" t="str">
        <f>IFERROR(VLOOKUP(Tablo519[[#This Row],[BOYA KODU]],Tablo14[#All],4,0)," ")</f>
        <v xml:space="preserve"> </v>
      </c>
      <c r="L362" s="100" t="str">
        <f>IFERROR(VLOOKUP(Tablo519[[#This Row],[BOYA KODU]],Tablo14[#All],6,0)," ")</f>
        <v xml:space="preserve"> </v>
      </c>
      <c r="M362" s="100" t="str">
        <f t="shared" si="39"/>
        <v xml:space="preserve"> </v>
      </c>
      <c r="N362" s="100" t="str">
        <f>IFERROR(VLOOKUP(Tablo519[[#This Row],[ÜRÜN KODU]],YMKODLARI!$A$1:$K$363,8,0)," ")</f>
        <v xml:space="preserve"> </v>
      </c>
      <c r="O362" s="100" t="str">
        <f>IFERROR(VLOOKUP(Tablo519[[#This Row],[HAMMADDE KODU]],Tablo1[#All],3,0)," ")</f>
        <v xml:space="preserve"> </v>
      </c>
      <c r="P362" s="100" t="str">
        <f>IFERROR(VLOOKUP(Tablo519[[#This Row],[HAMMADDE KODU]],Tablo1[#All],4,0)," ")</f>
        <v xml:space="preserve"> </v>
      </c>
      <c r="Q362" s="100" t="str">
        <f>IFERROR(VLOOKUP(Tablo519[[#This Row],[ÜRÜN KODU]],YMKODLARI!$A$1:$K$379,5,0)," ")</f>
        <v xml:space="preserve"> </v>
      </c>
      <c r="R362" s="100" t="str">
        <f>IFERROR(VLOOKUP(Tablo519[[#This Row],[ÜRÜN KODU]],YMKODLARI!$A$1:$K$379,6,0)," ")</f>
        <v xml:space="preserve"> </v>
      </c>
      <c r="S362" s="100" t="str">
        <f>IFERROR(Tablo519[[#This Row],[YOLLUK HARİÇ BASKI GRAMI]]/Tablo519[[#This Row],[KALIP GÖZ ADEDİ]]," ")</f>
        <v xml:space="preserve"> </v>
      </c>
      <c r="T362" s="100" t="str">
        <f t="shared" si="40"/>
        <v xml:space="preserve"> </v>
      </c>
      <c r="U362" s="100"/>
      <c r="V362" s="100" t="str">
        <f t="shared" si="45"/>
        <v xml:space="preserve"> </v>
      </c>
      <c r="W362" s="101">
        <f t="shared" si="41"/>
        <v>24</v>
      </c>
      <c r="X362" s="102">
        <f t="shared" si="42"/>
        <v>0</v>
      </c>
      <c r="Y362" s="100" t="str">
        <f t="shared" si="43"/>
        <v xml:space="preserve"> </v>
      </c>
      <c r="Z362" s="100" t="str">
        <f t="shared" si="44"/>
        <v xml:space="preserve"> </v>
      </c>
    </row>
    <row r="363" spans="1:26">
      <c r="A363" s="100"/>
      <c r="B363" s="108" t="str">
        <f>IFERROR(VLOOKUP(Tablo519[[#This Row],[ÜRÜN KODU]],YMKODLARI!$A$1:$K$379,2,0)," ")</f>
        <v xml:space="preserve"> </v>
      </c>
      <c r="C363" s="99"/>
      <c r="D363" s="100"/>
      <c r="E363" s="101"/>
      <c r="F363" s="101"/>
      <c r="G363" s="100" t="str">
        <f>IFERROR(VLOOKUP(Tablo519[[#This Row],[ÜRÜN KODU]],YMKODLARI!$A$1:$K$379,3,0)," ")</f>
        <v xml:space="preserve"> </v>
      </c>
      <c r="H363" s="100" t="str">
        <f>IFERROR(VLOOKUP(Tablo519[[#This Row],[ÜRÜN KODU]],YMKODLARI!$A$1:$K$379,4,0)," ")</f>
        <v xml:space="preserve"> </v>
      </c>
      <c r="I363" s="100"/>
      <c r="J363" s="100" t="str">
        <f>IFERROR(VLOOKUP(Tablo519[[#This Row],[ÜRÜN KODU]],YMKODLARI!$A$1:$K$379,9,0)," ")</f>
        <v xml:space="preserve"> </v>
      </c>
      <c r="K363" s="100" t="str">
        <f>IFERROR(VLOOKUP(Tablo519[[#This Row],[BOYA KODU]],Tablo14[#All],4,0)," ")</f>
        <v xml:space="preserve"> </v>
      </c>
      <c r="L363" s="100" t="str">
        <f>IFERROR(VLOOKUP(Tablo519[[#This Row],[BOYA KODU]],Tablo14[#All],6,0)," ")</f>
        <v xml:space="preserve"> </v>
      </c>
      <c r="M363" s="100" t="str">
        <f t="shared" si="39"/>
        <v xml:space="preserve"> </v>
      </c>
      <c r="N363" s="100" t="str">
        <f>IFERROR(VLOOKUP(Tablo519[[#This Row],[ÜRÜN KODU]],YMKODLARI!$A$1:$K$363,8,0)," ")</f>
        <v xml:space="preserve"> </v>
      </c>
      <c r="O363" s="100" t="str">
        <f>IFERROR(VLOOKUP(Tablo519[[#This Row],[HAMMADDE KODU]],Tablo1[#All],3,0)," ")</f>
        <v xml:space="preserve"> </v>
      </c>
      <c r="P363" s="100" t="str">
        <f>IFERROR(VLOOKUP(Tablo519[[#This Row],[HAMMADDE KODU]],Tablo1[#All],4,0)," ")</f>
        <v xml:space="preserve"> </v>
      </c>
      <c r="Q363" s="100" t="str">
        <f>IFERROR(VLOOKUP(Tablo519[[#This Row],[ÜRÜN KODU]],YMKODLARI!$A$1:$K$379,5,0)," ")</f>
        <v xml:space="preserve"> </v>
      </c>
      <c r="R363" s="100" t="str">
        <f>IFERROR(VLOOKUP(Tablo519[[#This Row],[ÜRÜN KODU]],YMKODLARI!$A$1:$K$379,6,0)," ")</f>
        <v xml:space="preserve"> </v>
      </c>
      <c r="S363" s="100" t="str">
        <f>IFERROR(Tablo519[[#This Row],[YOLLUK HARİÇ BASKI GRAMI]]/Tablo519[[#This Row],[KALIP GÖZ ADEDİ]]," ")</f>
        <v xml:space="preserve"> </v>
      </c>
      <c r="T363" s="100" t="str">
        <f t="shared" si="40"/>
        <v xml:space="preserve"> </v>
      </c>
      <c r="U363" s="100"/>
      <c r="V363" s="100" t="str">
        <f t="shared" si="45"/>
        <v xml:space="preserve"> </v>
      </c>
      <c r="W363" s="101">
        <f t="shared" si="41"/>
        <v>24</v>
      </c>
      <c r="X363" s="102">
        <f t="shared" si="42"/>
        <v>0</v>
      </c>
      <c r="Y363" s="100" t="str">
        <f t="shared" si="43"/>
        <v xml:space="preserve"> </v>
      </c>
      <c r="Z363" s="100" t="str">
        <f t="shared" si="44"/>
        <v xml:space="preserve"> </v>
      </c>
    </row>
    <row r="364" spans="1:26">
      <c r="A364" s="100"/>
      <c r="B364" s="108" t="str">
        <f>IFERROR(VLOOKUP(Tablo519[[#This Row],[ÜRÜN KODU]],YMKODLARI!$A$1:$K$379,2,0)," ")</f>
        <v xml:space="preserve"> </v>
      </c>
      <c r="C364" s="99"/>
      <c r="D364" s="100"/>
      <c r="E364" s="101"/>
      <c r="F364" s="101"/>
      <c r="G364" s="100" t="str">
        <f>IFERROR(VLOOKUP(Tablo519[[#This Row],[ÜRÜN KODU]],YMKODLARI!$A$1:$K$379,3,0)," ")</f>
        <v xml:space="preserve"> </v>
      </c>
      <c r="H364" s="100" t="str">
        <f>IFERROR(VLOOKUP(Tablo519[[#This Row],[ÜRÜN KODU]],YMKODLARI!$A$1:$K$379,4,0)," ")</f>
        <v xml:space="preserve"> </v>
      </c>
      <c r="I364" s="100"/>
      <c r="J364" s="100" t="str">
        <f>IFERROR(VLOOKUP(Tablo519[[#This Row],[ÜRÜN KODU]],YMKODLARI!$A$1:$K$379,9,0)," ")</f>
        <v xml:space="preserve"> </v>
      </c>
      <c r="K364" s="100" t="str">
        <f>IFERROR(VLOOKUP(Tablo519[[#This Row],[BOYA KODU]],Tablo14[#All],4,0)," ")</f>
        <v xml:space="preserve"> </v>
      </c>
      <c r="L364" s="100" t="str">
        <f>IFERROR(VLOOKUP(Tablo519[[#This Row],[BOYA KODU]],Tablo14[#All],6,0)," ")</f>
        <v xml:space="preserve"> </v>
      </c>
      <c r="M364" s="100" t="str">
        <f t="shared" si="39"/>
        <v xml:space="preserve"> </v>
      </c>
      <c r="N364" s="100" t="str">
        <f>IFERROR(VLOOKUP(Tablo519[[#This Row],[ÜRÜN KODU]],YMKODLARI!$A$1:$K$363,8,0)," ")</f>
        <v xml:space="preserve"> </v>
      </c>
      <c r="O364" s="100" t="str">
        <f>IFERROR(VLOOKUP(Tablo519[[#This Row],[HAMMADDE KODU]],Tablo1[#All],3,0)," ")</f>
        <v xml:space="preserve"> </v>
      </c>
      <c r="P364" s="100" t="str">
        <f>IFERROR(VLOOKUP(Tablo519[[#This Row],[HAMMADDE KODU]],Tablo1[#All],4,0)," ")</f>
        <v xml:space="preserve"> </v>
      </c>
      <c r="Q364" s="100" t="str">
        <f>IFERROR(VLOOKUP(Tablo519[[#This Row],[ÜRÜN KODU]],YMKODLARI!$A$1:$K$379,5,0)," ")</f>
        <v xml:space="preserve"> </v>
      </c>
      <c r="R364" s="100" t="str">
        <f>IFERROR(VLOOKUP(Tablo519[[#This Row],[ÜRÜN KODU]],YMKODLARI!$A$1:$K$379,6,0)," ")</f>
        <v xml:space="preserve"> </v>
      </c>
      <c r="S364" s="100" t="str">
        <f>IFERROR(Tablo519[[#This Row],[YOLLUK HARİÇ BASKI GRAMI]]/Tablo519[[#This Row],[KALIP GÖZ ADEDİ]]," ")</f>
        <v xml:space="preserve"> </v>
      </c>
      <c r="T364" s="100" t="str">
        <f t="shared" si="40"/>
        <v xml:space="preserve"> </v>
      </c>
      <c r="U364" s="100"/>
      <c r="V364" s="100" t="str">
        <f t="shared" si="45"/>
        <v xml:space="preserve"> </v>
      </c>
      <c r="W364" s="101">
        <f t="shared" si="41"/>
        <v>24</v>
      </c>
      <c r="X364" s="102">
        <f t="shared" si="42"/>
        <v>0</v>
      </c>
      <c r="Y364" s="100" t="str">
        <f t="shared" si="43"/>
        <v xml:space="preserve"> </v>
      </c>
      <c r="Z364" s="100" t="str">
        <f t="shared" si="44"/>
        <v xml:space="preserve"> </v>
      </c>
    </row>
    <row r="365" spans="1:26">
      <c r="A365" s="100"/>
      <c r="B365" s="108" t="str">
        <f>IFERROR(VLOOKUP(Tablo519[[#This Row],[ÜRÜN KODU]],YMKODLARI!$A$1:$K$379,2,0)," ")</f>
        <v xml:space="preserve"> </v>
      </c>
      <c r="C365" s="99"/>
      <c r="D365" s="100"/>
      <c r="E365" s="101"/>
      <c r="F365" s="101"/>
      <c r="G365" s="100" t="str">
        <f>IFERROR(VLOOKUP(Tablo519[[#This Row],[ÜRÜN KODU]],YMKODLARI!$A$1:$K$379,3,0)," ")</f>
        <v xml:space="preserve"> </v>
      </c>
      <c r="H365" s="100" t="str">
        <f>IFERROR(VLOOKUP(Tablo519[[#This Row],[ÜRÜN KODU]],YMKODLARI!$A$1:$K$379,4,0)," ")</f>
        <v xml:space="preserve"> </v>
      </c>
      <c r="I365" s="100"/>
      <c r="J365" s="100" t="str">
        <f>IFERROR(VLOOKUP(Tablo519[[#This Row],[ÜRÜN KODU]],YMKODLARI!$A$1:$K$379,9,0)," ")</f>
        <v xml:space="preserve"> </v>
      </c>
      <c r="K365" s="100" t="str">
        <f>IFERROR(VLOOKUP(Tablo519[[#This Row],[BOYA KODU]],Tablo14[#All],4,0)," ")</f>
        <v xml:space="preserve"> </v>
      </c>
      <c r="L365" s="100" t="str">
        <f>IFERROR(VLOOKUP(Tablo519[[#This Row],[BOYA KODU]],Tablo14[#All],6,0)," ")</f>
        <v xml:space="preserve"> </v>
      </c>
      <c r="M365" s="100" t="str">
        <f t="shared" si="39"/>
        <v xml:space="preserve"> </v>
      </c>
      <c r="N365" s="100" t="str">
        <f>IFERROR(VLOOKUP(Tablo519[[#This Row],[ÜRÜN KODU]],YMKODLARI!$A$1:$K$363,8,0)," ")</f>
        <v xml:space="preserve"> </v>
      </c>
      <c r="O365" s="100" t="str">
        <f>IFERROR(VLOOKUP(Tablo519[[#This Row],[HAMMADDE KODU]],Tablo1[#All],3,0)," ")</f>
        <v xml:space="preserve"> </v>
      </c>
      <c r="P365" s="100" t="str">
        <f>IFERROR(VLOOKUP(Tablo519[[#This Row],[HAMMADDE KODU]],Tablo1[#All],4,0)," ")</f>
        <v xml:space="preserve"> </v>
      </c>
      <c r="Q365" s="100" t="str">
        <f>IFERROR(VLOOKUP(Tablo519[[#This Row],[ÜRÜN KODU]],YMKODLARI!$A$1:$K$379,5,0)," ")</f>
        <v xml:space="preserve"> </v>
      </c>
      <c r="R365" s="100" t="str">
        <f>IFERROR(VLOOKUP(Tablo519[[#This Row],[ÜRÜN KODU]],YMKODLARI!$A$1:$K$379,6,0)," ")</f>
        <v xml:space="preserve"> </v>
      </c>
      <c r="S365" s="100" t="str">
        <f>IFERROR(Tablo519[[#This Row],[YOLLUK HARİÇ BASKI GRAMI]]/Tablo519[[#This Row],[KALIP GÖZ ADEDİ]]," ")</f>
        <v xml:space="preserve"> </v>
      </c>
      <c r="T365" s="100" t="str">
        <f t="shared" si="40"/>
        <v xml:space="preserve"> </v>
      </c>
      <c r="U365" s="100"/>
      <c r="V365" s="100" t="str">
        <f t="shared" si="45"/>
        <v xml:space="preserve"> </v>
      </c>
      <c r="W365" s="101">
        <f t="shared" si="41"/>
        <v>24</v>
      </c>
      <c r="X365" s="102">
        <f t="shared" si="42"/>
        <v>0</v>
      </c>
      <c r="Y365" s="100" t="str">
        <f t="shared" si="43"/>
        <v xml:space="preserve"> </v>
      </c>
      <c r="Z365" s="100" t="str">
        <f t="shared" si="44"/>
        <v xml:space="preserve"> </v>
      </c>
    </row>
    <row r="366" spans="1:26">
      <c r="A366" s="100"/>
      <c r="B366" s="108" t="str">
        <f>IFERROR(VLOOKUP(Tablo519[[#This Row],[ÜRÜN KODU]],YMKODLARI!$A$1:$K$379,2,0)," ")</f>
        <v xml:space="preserve"> </v>
      </c>
      <c r="C366" s="99"/>
      <c r="D366" s="100"/>
      <c r="E366" s="101"/>
      <c r="F366" s="101"/>
      <c r="G366" s="100" t="str">
        <f>IFERROR(VLOOKUP(Tablo519[[#This Row],[ÜRÜN KODU]],YMKODLARI!$A$1:$K$379,3,0)," ")</f>
        <v xml:space="preserve"> </v>
      </c>
      <c r="H366" s="100" t="str">
        <f>IFERROR(VLOOKUP(Tablo519[[#This Row],[ÜRÜN KODU]],YMKODLARI!$A$1:$K$379,4,0)," ")</f>
        <v xml:space="preserve"> </v>
      </c>
      <c r="I366" s="100"/>
      <c r="J366" s="100" t="str">
        <f>IFERROR(VLOOKUP(Tablo519[[#This Row],[ÜRÜN KODU]],YMKODLARI!$A$1:$K$379,9,0)," ")</f>
        <v xml:space="preserve"> </v>
      </c>
      <c r="K366" s="100" t="str">
        <f>IFERROR(VLOOKUP(Tablo519[[#This Row],[BOYA KODU]],Tablo14[#All],4,0)," ")</f>
        <v xml:space="preserve"> </v>
      </c>
      <c r="L366" s="100" t="str">
        <f>IFERROR(VLOOKUP(Tablo519[[#This Row],[BOYA KODU]],Tablo14[#All],6,0)," ")</f>
        <v xml:space="preserve"> </v>
      </c>
      <c r="M366" s="100" t="str">
        <f t="shared" si="39"/>
        <v xml:space="preserve"> </v>
      </c>
      <c r="N366" s="100" t="str">
        <f>IFERROR(VLOOKUP(Tablo519[[#This Row],[ÜRÜN KODU]],YMKODLARI!$A$1:$K$363,8,0)," ")</f>
        <v xml:space="preserve"> </v>
      </c>
      <c r="O366" s="100" t="str">
        <f>IFERROR(VLOOKUP(Tablo519[[#This Row],[HAMMADDE KODU]],Tablo1[#All],3,0)," ")</f>
        <v xml:space="preserve"> </v>
      </c>
      <c r="P366" s="100" t="str">
        <f>IFERROR(VLOOKUP(Tablo519[[#This Row],[HAMMADDE KODU]],Tablo1[#All],4,0)," ")</f>
        <v xml:space="preserve"> </v>
      </c>
      <c r="Q366" s="100" t="str">
        <f>IFERROR(VLOOKUP(Tablo519[[#This Row],[ÜRÜN KODU]],YMKODLARI!$A$1:$K$379,5,0)," ")</f>
        <v xml:space="preserve"> </v>
      </c>
      <c r="R366" s="100" t="str">
        <f>IFERROR(VLOOKUP(Tablo519[[#This Row],[ÜRÜN KODU]],YMKODLARI!$A$1:$K$379,6,0)," ")</f>
        <v xml:space="preserve"> </v>
      </c>
      <c r="S366" s="100" t="str">
        <f>IFERROR(Tablo519[[#This Row],[YOLLUK HARİÇ BASKI GRAMI]]/Tablo519[[#This Row],[KALIP GÖZ ADEDİ]]," ")</f>
        <v xml:space="preserve"> </v>
      </c>
      <c r="T366" s="100" t="str">
        <f t="shared" si="40"/>
        <v xml:space="preserve"> </v>
      </c>
      <c r="U366" s="100"/>
      <c r="V366" s="100" t="str">
        <f t="shared" si="45"/>
        <v xml:space="preserve"> </v>
      </c>
      <c r="W366" s="101">
        <f t="shared" si="41"/>
        <v>24</v>
      </c>
      <c r="X366" s="102">
        <f t="shared" si="42"/>
        <v>0</v>
      </c>
      <c r="Y366" s="100" t="str">
        <f t="shared" si="43"/>
        <v xml:space="preserve"> </v>
      </c>
      <c r="Z366" s="100" t="str">
        <f t="shared" si="44"/>
        <v xml:space="preserve"> </v>
      </c>
    </row>
    <row r="367" spans="1:26">
      <c r="A367" s="100"/>
      <c r="B367" s="108" t="str">
        <f>IFERROR(VLOOKUP(Tablo519[[#This Row],[ÜRÜN KODU]],YMKODLARI!$A$1:$K$379,2,0)," ")</f>
        <v xml:space="preserve"> </v>
      </c>
      <c r="C367" s="99"/>
      <c r="D367" s="100"/>
      <c r="E367" s="101"/>
      <c r="F367" s="101"/>
      <c r="G367" s="100" t="str">
        <f>IFERROR(VLOOKUP(Tablo519[[#This Row],[ÜRÜN KODU]],YMKODLARI!$A$1:$K$379,3,0)," ")</f>
        <v xml:space="preserve"> </v>
      </c>
      <c r="H367" s="100" t="str">
        <f>IFERROR(VLOOKUP(Tablo519[[#This Row],[ÜRÜN KODU]],YMKODLARI!$A$1:$K$379,4,0)," ")</f>
        <v xml:space="preserve"> </v>
      </c>
      <c r="I367" s="100"/>
      <c r="J367" s="100" t="str">
        <f>IFERROR(VLOOKUP(Tablo519[[#This Row],[ÜRÜN KODU]],YMKODLARI!$A$1:$K$379,9,0)," ")</f>
        <v xml:space="preserve"> </v>
      </c>
      <c r="K367" s="100" t="str">
        <f>IFERROR(VLOOKUP(Tablo519[[#This Row],[BOYA KODU]],Tablo14[#All],4,0)," ")</f>
        <v xml:space="preserve"> </v>
      </c>
      <c r="L367" s="100" t="str">
        <f>IFERROR(VLOOKUP(Tablo519[[#This Row],[BOYA KODU]],Tablo14[#All],6,0)," ")</f>
        <v xml:space="preserve"> </v>
      </c>
      <c r="M367" s="100" t="str">
        <f t="shared" si="39"/>
        <v xml:space="preserve"> </v>
      </c>
      <c r="N367" s="100" t="str">
        <f>IFERROR(VLOOKUP(Tablo519[[#This Row],[ÜRÜN KODU]],YMKODLARI!$A$1:$K$363,8,0)," ")</f>
        <v xml:space="preserve"> </v>
      </c>
      <c r="O367" s="100" t="str">
        <f>IFERROR(VLOOKUP(Tablo519[[#This Row],[HAMMADDE KODU]],Tablo1[#All],3,0)," ")</f>
        <v xml:space="preserve"> </v>
      </c>
      <c r="P367" s="100" t="str">
        <f>IFERROR(VLOOKUP(Tablo519[[#This Row],[HAMMADDE KODU]],Tablo1[#All],4,0)," ")</f>
        <v xml:space="preserve"> </v>
      </c>
      <c r="Q367" s="100" t="str">
        <f>IFERROR(VLOOKUP(Tablo519[[#This Row],[ÜRÜN KODU]],YMKODLARI!$A$1:$K$379,5,0)," ")</f>
        <v xml:space="preserve"> </v>
      </c>
      <c r="R367" s="100" t="str">
        <f>IFERROR(VLOOKUP(Tablo519[[#This Row],[ÜRÜN KODU]],YMKODLARI!$A$1:$K$379,6,0)," ")</f>
        <v xml:space="preserve"> </v>
      </c>
      <c r="S367" s="100" t="str">
        <f>IFERROR(Tablo519[[#This Row],[YOLLUK HARİÇ BASKI GRAMI]]/Tablo519[[#This Row],[KALIP GÖZ ADEDİ]]," ")</f>
        <v xml:space="preserve"> </v>
      </c>
      <c r="T367" s="100" t="str">
        <f t="shared" si="40"/>
        <v xml:space="preserve"> </v>
      </c>
      <c r="U367" s="100"/>
      <c r="V367" s="100" t="str">
        <f t="shared" si="45"/>
        <v xml:space="preserve"> </v>
      </c>
      <c r="W367" s="101">
        <f t="shared" si="41"/>
        <v>24</v>
      </c>
      <c r="X367" s="102">
        <f t="shared" si="42"/>
        <v>0</v>
      </c>
      <c r="Y367" s="100" t="str">
        <f t="shared" si="43"/>
        <v xml:space="preserve"> </v>
      </c>
      <c r="Z367" s="100" t="str">
        <f t="shared" si="44"/>
        <v xml:space="preserve"> </v>
      </c>
    </row>
    <row r="368" spans="1:26">
      <c r="A368" s="100"/>
      <c r="B368" s="108" t="str">
        <f>IFERROR(VLOOKUP(Tablo519[[#This Row],[ÜRÜN KODU]],YMKODLARI!$A$1:$K$379,2,0)," ")</f>
        <v xml:space="preserve"> </v>
      </c>
      <c r="C368" s="99"/>
      <c r="D368" s="100"/>
      <c r="E368" s="101"/>
      <c r="F368" s="101"/>
      <c r="G368" s="100" t="str">
        <f>IFERROR(VLOOKUP(Tablo519[[#This Row],[ÜRÜN KODU]],YMKODLARI!$A$1:$K$379,3,0)," ")</f>
        <v xml:space="preserve"> </v>
      </c>
      <c r="H368" s="100" t="str">
        <f>IFERROR(VLOOKUP(Tablo519[[#This Row],[ÜRÜN KODU]],YMKODLARI!$A$1:$K$379,4,0)," ")</f>
        <v xml:space="preserve"> </v>
      </c>
      <c r="I368" s="100"/>
      <c r="J368" s="100" t="str">
        <f>IFERROR(VLOOKUP(Tablo519[[#This Row],[ÜRÜN KODU]],YMKODLARI!$A$1:$K$379,9,0)," ")</f>
        <v xml:space="preserve"> </v>
      </c>
      <c r="K368" s="100" t="str">
        <f>IFERROR(VLOOKUP(Tablo519[[#This Row],[BOYA KODU]],Tablo14[#All],4,0)," ")</f>
        <v xml:space="preserve"> </v>
      </c>
      <c r="L368" s="100" t="str">
        <f>IFERROR(VLOOKUP(Tablo519[[#This Row],[BOYA KODU]],Tablo14[#All],6,0)," ")</f>
        <v xml:space="preserve"> </v>
      </c>
      <c r="M368" s="100" t="str">
        <f t="shared" si="39"/>
        <v xml:space="preserve"> </v>
      </c>
      <c r="N368" s="100" t="str">
        <f>IFERROR(VLOOKUP(Tablo519[[#This Row],[ÜRÜN KODU]],YMKODLARI!$A$1:$K$363,8,0)," ")</f>
        <v xml:space="preserve"> </v>
      </c>
      <c r="O368" s="100" t="str">
        <f>IFERROR(VLOOKUP(Tablo519[[#This Row],[HAMMADDE KODU]],Tablo1[#All],3,0)," ")</f>
        <v xml:space="preserve"> </v>
      </c>
      <c r="P368" s="100" t="str">
        <f>IFERROR(VLOOKUP(Tablo519[[#This Row],[HAMMADDE KODU]],Tablo1[#All],4,0)," ")</f>
        <v xml:space="preserve"> </v>
      </c>
      <c r="Q368" s="100" t="str">
        <f>IFERROR(VLOOKUP(Tablo519[[#This Row],[ÜRÜN KODU]],YMKODLARI!$A$1:$K$379,5,0)," ")</f>
        <v xml:space="preserve"> </v>
      </c>
      <c r="R368" s="100" t="str">
        <f>IFERROR(VLOOKUP(Tablo519[[#This Row],[ÜRÜN KODU]],YMKODLARI!$A$1:$K$379,6,0)," ")</f>
        <v xml:space="preserve"> </v>
      </c>
      <c r="S368" s="100" t="str">
        <f>IFERROR(Tablo519[[#This Row],[YOLLUK HARİÇ BASKI GRAMI]]/Tablo519[[#This Row],[KALIP GÖZ ADEDİ]]," ")</f>
        <v xml:space="preserve"> </v>
      </c>
      <c r="T368" s="100" t="str">
        <f t="shared" si="40"/>
        <v xml:space="preserve"> </v>
      </c>
      <c r="U368" s="100"/>
      <c r="V368" s="100" t="str">
        <f t="shared" si="45"/>
        <v xml:space="preserve"> </v>
      </c>
      <c r="W368" s="101">
        <f t="shared" si="41"/>
        <v>24</v>
      </c>
      <c r="X368" s="102">
        <f t="shared" si="42"/>
        <v>0</v>
      </c>
      <c r="Y368" s="100" t="str">
        <f t="shared" si="43"/>
        <v xml:space="preserve"> </v>
      </c>
      <c r="Z368" s="100" t="str">
        <f t="shared" si="44"/>
        <v xml:space="preserve"> </v>
      </c>
    </row>
    <row r="369" spans="1:26">
      <c r="A369" s="100"/>
      <c r="B369" s="108" t="str">
        <f>IFERROR(VLOOKUP(Tablo519[[#This Row],[ÜRÜN KODU]],YMKODLARI!$A$1:$K$379,2,0)," ")</f>
        <v xml:space="preserve"> </v>
      </c>
      <c r="C369" s="99"/>
      <c r="D369" s="100"/>
      <c r="E369" s="101"/>
      <c r="F369" s="101"/>
      <c r="G369" s="100" t="str">
        <f>IFERROR(VLOOKUP(Tablo519[[#This Row],[ÜRÜN KODU]],YMKODLARI!$A$1:$K$379,3,0)," ")</f>
        <v xml:space="preserve"> </v>
      </c>
      <c r="H369" s="100" t="str">
        <f>IFERROR(VLOOKUP(Tablo519[[#This Row],[ÜRÜN KODU]],YMKODLARI!$A$1:$K$379,4,0)," ")</f>
        <v xml:space="preserve"> </v>
      </c>
      <c r="I369" s="100"/>
      <c r="J369" s="100" t="str">
        <f>IFERROR(VLOOKUP(Tablo519[[#This Row],[ÜRÜN KODU]],YMKODLARI!$A$1:$K$379,9,0)," ")</f>
        <v xml:space="preserve"> </v>
      </c>
      <c r="K369" s="100" t="str">
        <f>IFERROR(VLOOKUP(Tablo519[[#This Row],[BOYA KODU]],Tablo14[#All],4,0)," ")</f>
        <v xml:space="preserve"> </v>
      </c>
      <c r="L369" s="100" t="str">
        <f>IFERROR(VLOOKUP(Tablo519[[#This Row],[BOYA KODU]],Tablo14[#All],6,0)," ")</f>
        <v xml:space="preserve"> </v>
      </c>
      <c r="M369" s="100" t="str">
        <f t="shared" si="39"/>
        <v xml:space="preserve"> </v>
      </c>
      <c r="N369" s="100" t="str">
        <f>IFERROR(VLOOKUP(Tablo519[[#This Row],[ÜRÜN KODU]],YMKODLARI!$A$1:$K$363,8,0)," ")</f>
        <v xml:space="preserve"> </v>
      </c>
      <c r="O369" s="100" t="str">
        <f>IFERROR(VLOOKUP(Tablo519[[#This Row],[HAMMADDE KODU]],Tablo1[#All],3,0)," ")</f>
        <v xml:space="preserve"> </v>
      </c>
      <c r="P369" s="100" t="str">
        <f>IFERROR(VLOOKUP(Tablo519[[#This Row],[HAMMADDE KODU]],Tablo1[#All],4,0)," ")</f>
        <v xml:space="preserve"> </v>
      </c>
      <c r="Q369" s="100" t="str">
        <f>IFERROR(VLOOKUP(Tablo519[[#This Row],[ÜRÜN KODU]],YMKODLARI!$A$1:$K$379,5,0)," ")</f>
        <v xml:space="preserve"> </v>
      </c>
      <c r="R369" s="100" t="str">
        <f>IFERROR(VLOOKUP(Tablo519[[#This Row],[ÜRÜN KODU]],YMKODLARI!$A$1:$K$379,6,0)," ")</f>
        <v xml:space="preserve"> </v>
      </c>
      <c r="S369" s="100" t="str">
        <f>IFERROR(Tablo519[[#This Row],[YOLLUK HARİÇ BASKI GRAMI]]/Tablo519[[#This Row],[KALIP GÖZ ADEDİ]]," ")</f>
        <v xml:space="preserve"> </v>
      </c>
      <c r="T369" s="100" t="str">
        <f t="shared" si="40"/>
        <v xml:space="preserve"> </v>
      </c>
      <c r="U369" s="100"/>
      <c r="V369" s="100" t="str">
        <f t="shared" si="45"/>
        <v xml:space="preserve"> </v>
      </c>
      <c r="W369" s="101">
        <f t="shared" si="41"/>
        <v>24</v>
      </c>
      <c r="X369" s="102">
        <f t="shared" si="42"/>
        <v>0</v>
      </c>
      <c r="Y369" s="100" t="str">
        <f t="shared" si="43"/>
        <v xml:space="preserve"> </v>
      </c>
      <c r="Z369" s="100" t="str">
        <f t="shared" si="44"/>
        <v xml:space="preserve"> </v>
      </c>
    </row>
    <row r="370" spans="1:26">
      <c r="A370" s="100"/>
      <c r="B370" s="108" t="str">
        <f>IFERROR(VLOOKUP(Tablo519[[#This Row],[ÜRÜN KODU]],YMKODLARI!$A$1:$K$379,2,0)," ")</f>
        <v xml:space="preserve"> </v>
      </c>
      <c r="C370" s="99"/>
      <c r="D370" s="100"/>
      <c r="E370" s="101"/>
      <c r="F370" s="101"/>
      <c r="G370" s="100" t="str">
        <f>IFERROR(VLOOKUP(Tablo519[[#This Row],[ÜRÜN KODU]],YMKODLARI!$A$1:$K$379,3,0)," ")</f>
        <v xml:space="preserve"> </v>
      </c>
      <c r="H370" s="100" t="str">
        <f>IFERROR(VLOOKUP(Tablo519[[#This Row],[ÜRÜN KODU]],YMKODLARI!$A$1:$K$379,4,0)," ")</f>
        <v xml:space="preserve"> </v>
      </c>
      <c r="I370" s="100"/>
      <c r="J370" s="100" t="str">
        <f>IFERROR(VLOOKUP(Tablo519[[#This Row],[ÜRÜN KODU]],YMKODLARI!$A$1:$K$379,9,0)," ")</f>
        <v xml:space="preserve"> </v>
      </c>
      <c r="K370" s="100" t="str">
        <f>IFERROR(VLOOKUP(Tablo519[[#This Row],[BOYA KODU]],Tablo14[#All],4,0)," ")</f>
        <v xml:space="preserve"> </v>
      </c>
      <c r="L370" s="100" t="str">
        <f>IFERROR(VLOOKUP(Tablo519[[#This Row],[BOYA KODU]],Tablo14[#All],6,0)," ")</f>
        <v xml:space="preserve"> </v>
      </c>
      <c r="M370" s="100" t="str">
        <f t="shared" si="39"/>
        <v xml:space="preserve"> </v>
      </c>
      <c r="N370" s="100" t="str">
        <f>IFERROR(VLOOKUP(Tablo519[[#This Row],[ÜRÜN KODU]],YMKODLARI!$A$1:$K$363,8,0)," ")</f>
        <v xml:space="preserve"> </v>
      </c>
      <c r="O370" s="100" t="str">
        <f>IFERROR(VLOOKUP(Tablo519[[#This Row],[HAMMADDE KODU]],Tablo1[#All],3,0)," ")</f>
        <v xml:space="preserve"> </v>
      </c>
      <c r="P370" s="100" t="str">
        <f>IFERROR(VLOOKUP(Tablo519[[#This Row],[HAMMADDE KODU]],Tablo1[#All],4,0)," ")</f>
        <v xml:space="preserve"> </v>
      </c>
      <c r="Q370" s="100" t="str">
        <f>IFERROR(VLOOKUP(Tablo519[[#This Row],[ÜRÜN KODU]],YMKODLARI!$A$1:$K$379,5,0)," ")</f>
        <v xml:space="preserve"> </v>
      </c>
      <c r="R370" s="100" t="str">
        <f>IFERROR(VLOOKUP(Tablo519[[#This Row],[ÜRÜN KODU]],YMKODLARI!$A$1:$K$379,6,0)," ")</f>
        <v xml:space="preserve"> </v>
      </c>
      <c r="S370" s="100" t="str">
        <f>IFERROR(Tablo519[[#This Row],[YOLLUK HARİÇ BASKI GRAMI]]/Tablo519[[#This Row],[KALIP GÖZ ADEDİ]]," ")</f>
        <v xml:space="preserve"> </v>
      </c>
      <c r="T370" s="100" t="str">
        <f t="shared" si="40"/>
        <v xml:space="preserve"> </v>
      </c>
      <c r="U370" s="100"/>
      <c r="V370" s="100" t="str">
        <f t="shared" si="45"/>
        <v xml:space="preserve"> </v>
      </c>
      <c r="W370" s="101">
        <f t="shared" si="41"/>
        <v>24</v>
      </c>
      <c r="X370" s="102">
        <f t="shared" si="42"/>
        <v>0</v>
      </c>
      <c r="Y370" s="100" t="str">
        <f t="shared" si="43"/>
        <v xml:space="preserve"> </v>
      </c>
      <c r="Z370" s="100" t="str">
        <f t="shared" si="44"/>
        <v xml:space="preserve"> </v>
      </c>
    </row>
    <row r="371" spans="1:26">
      <c r="A371" s="100"/>
      <c r="B371" s="108" t="str">
        <f>IFERROR(VLOOKUP(Tablo519[[#This Row],[ÜRÜN KODU]],YMKODLARI!$A$1:$K$379,2,0)," ")</f>
        <v xml:space="preserve"> </v>
      </c>
      <c r="C371" s="99"/>
      <c r="D371" s="100"/>
      <c r="E371" s="101"/>
      <c r="F371" s="101"/>
      <c r="G371" s="100" t="str">
        <f>IFERROR(VLOOKUP(Tablo519[[#This Row],[ÜRÜN KODU]],YMKODLARI!$A$1:$K$379,3,0)," ")</f>
        <v xml:space="preserve"> </v>
      </c>
      <c r="H371" s="100" t="str">
        <f>IFERROR(VLOOKUP(Tablo519[[#This Row],[ÜRÜN KODU]],YMKODLARI!$A$1:$K$379,4,0)," ")</f>
        <v xml:space="preserve"> </v>
      </c>
      <c r="I371" s="100"/>
      <c r="J371" s="100" t="str">
        <f>IFERROR(VLOOKUP(Tablo519[[#This Row],[ÜRÜN KODU]],YMKODLARI!$A$1:$K$379,9,0)," ")</f>
        <v xml:space="preserve"> </v>
      </c>
      <c r="K371" s="100" t="str">
        <f>IFERROR(VLOOKUP(Tablo519[[#This Row],[BOYA KODU]],Tablo14[#All],4,0)," ")</f>
        <v xml:space="preserve"> </v>
      </c>
      <c r="L371" s="100" t="str">
        <f>IFERROR(VLOOKUP(Tablo519[[#This Row],[BOYA KODU]],Tablo14[#All],6,0)," ")</f>
        <v xml:space="preserve"> </v>
      </c>
      <c r="M371" s="100" t="str">
        <f t="shared" si="39"/>
        <v xml:space="preserve"> </v>
      </c>
      <c r="N371" s="100" t="str">
        <f>IFERROR(VLOOKUP(Tablo519[[#This Row],[ÜRÜN KODU]],YMKODLARI!$A$1:$K$363,8,0)," ")</f>
        <v xml:space="preserve"> </v>
      </c>
      <c r="O371" s="100" t="str">
        <f>IFERROR(VLOOKUP(Tablo519[[#This Row],[HAMMADDE KODU]],Tablo1[#All],3,0)," ")</f>
        <v xml:space="preserve"> </v>
      </c>
      <c r="P371" s="100" t="str">
        <f>IFERROR(VLOOKUP(Tablo519[[#This Row],[HAMMADDE KODU]],Tablo1[#All],4,0)," ")</f>
        <v xml:space="preserve"> </v>
      </c>
      <c r="Q371" s="100" t="str">
        <f>IFERROR(VLOOKUP(Tablo519[[#This Row],[ÜRÜN KODU]],YMKODLARI!$A$1:$K$379,5,0)," ")</f>
        <v xml:space="preserve"> </v>
      </c>
      <c r="R371" s="100" t="str">
        <f>IFERROR(VLOOKUP(Tablo519[[#This Row],[ÜRÜN KODU]],YMKODLARI!$A$1:$K$379,6,0)," ")</f>
        <v xml:space="preserve"> </v>
      </c>
      <c r="S371" s="100" t="str">
        <f>IFERROR(Tablo519[[#This Row],[YOLLUK HARİÇ BASKI GRAMI]]/Tablo519[[#This Row],[KALIP GÖZ ADEDİ]]," ")</f>
        <v xml:space="preserve"> </v>
      </c>
      <c r="T371" s="100" t="str">
        <f t="shared" si="40"/>
        <v xml:space="preserve"> </v>
      </c>
      <c r="U371" s="100"/>
      <c r="V371" s="100" t="str">
        <f t="shared" si="45"/>
        <v xml:space="preserve"> </v>
      </c>
      <c r="W371" s="101">
        <f t="shared" si="41"/>
        <v>24</v>
      </c>
      <c r="X371" s="102">
        <f t="shared" si="42"/>
        <v>0</v>
      </c>
      <c r="Y371" s="100" t="str">
        <f t="shared" si="43"/>
        <v xml:space="preserve"> </v>
      </c>
      <c r="Z371" s="100" t="str">
        <f t="shared" si="44"/>
        <v xml:space="preserve"> </v>
      </c>
    </row>
    <row r="372" spans="1:26">
      <c r="A372" s="100"/>
      <c r="B372" s="108" t="str">
        <f>IFERROR(VLOOKUP(Tablo519[[#This Row],[ÜRÜN KODU]],YMKODLARI!$A$1:$K$379,2,0)," ")</f>
        <v xml:space="preserve"> </v>
      </c>
      <c r="C372" s="99"/>
      <c r="D372" s="100"/>
      <c r="E372" s="101"/>
      <c r="F372" s="101"/>
      <c r="G372" s="100" t="str">
        <f>IFERROR(VLOOKUP(Tablo519[[#This Row],[ÜRÜN KODU]],YMKODLARI!$A$1:$K$379,3,0)," ")</f>
        <v xml:space="preserve"> </v>
      </c>
      <c r="H372" s="100" t="str">
        <f>IFERROR(VLOOKUP(Tablo519[[#This Row],[ÜRÜN KODU]],YMKODLARI!$A$1:$K$379,4,0)," ")</f>
        <v xml:space="preserve"> </v>
      </c>
      <c r="I372" s="100"/>
      <c r="J372" s="100" t="str">
        <f>IFERROR(VLOOKUP(Tablo519[[#This Row],[ÜRÜN KODU]],YMKODLARI!$A$1:$K$379,9,0)," ")</f>
        <v xml:space="preserve"> </v>
      </c>
      <c r="K372" s="100" t="str">
        <f>IFERROR(VLOOKUP(Tablo519[[#This Row],[BOYA KODU]],Tablo14[#All],4,0)," ")</f>
        <v xml:space="preserve"> </v>
      </c>
      <c r="L372" s="100" t="str">
        <f>IFERROR(VLOOKUP(Tablo519[[#This Row],[BOYA KODU]],Tablo14[#All],6,0)," ")</f>
        <v xml:space="preserve"> </v>
      </c>
      <c r="M372" s="100" t="str">
        <f t="shared" si="39"/>
        <v xml:space="preserve"> </v>
      </c>
      <c r="N372" s="100" t="str">
        <f>IFERROR(VLOOKUP(Tablo519[[#This Row],[ÜRÜN KODU]],YMKODLARI!$A$1:$K$363,8,0)," ")</f>
        <v xml:space="preserve"> </v>
      </c>
      <c r="O372" s="100" t="str">
        <f>IFERROR(VLOOKUP(Tablo519[[#This Row],[HAMMADDE KODU]],Tablo1[#All],3,0)," ")</f>
        <v xml:space="preserve"> </v>
      </c>
      <c r="P372" s="100" t="str">
        <f>IFERROR(VLOOKUP(Tablo519[[#This Row],[HAMMADDE KODU]],Tablo1[#All],4,0)," ")</f>
        <v xml:space="preserve"> </v>
      </c>
      <c r="Q372" s="100" t="str">
        <f>IFERROR(VLOOKUP(Tablo519[[#This Row],[ÜRÜN KODU]],YMKODLARI!$A$1:$K$379,5,0)," ")</f>
        <v xml:space="preserve"> </v>
      </c>
      <c r="R372" s="100" t="str">
        <f>IFERROR(VLOOKUP(Tablo519[[#This Row],[ÜRÜN KODU]],YMKODLARI!$A$1:$K$379,6,0)," ")</f>
        <v xml:space="preserve"> </v>
      </c>
      <c r="S372" s="100" t="str">
        <f>IFERROR(Tablo519[[#This Row],[YOLLUK HARİÇ BASKI GRAMI]]/Tablo519[[#This Row],[KALIP GÖZ ADEDİ]]," ")</f>
        <v xml:space="preserve"> </v>
      </c>
      <c r="T372" s="100" t="str">
        <f t="shared" si="40"/>
        <v xml:space="preserve"> </v>
      </c>
      <c r="U372" s="100"/>
      <c r="V372" s="100" t="str">
        <f t="shared" si="45"/>
        <v xml:space="preserve"> </v>
      </c>
      <c r="W372" s="101">
        <f t="shared" si="41"/>
        <v>24</v>
      </c>
      <c r="X372" s="102">
        <f t="shared" si="42"/>
        <v>0</v>
      </c>
      <c r="Y372" s="100" t="str">
        <f t="shared" si="43"/>
        <v xml:space="preserve"> </v>
      </c>
      <c r="Z372" s="100" t="str">
        <f t="shared" si="44"/>
        <v xml:space="preserve"> </v>
      </c>
    </row>
    <row r="373" spans="1:26">
      <c r="A373" s="100"/>
      <c r="B373" s="108" t="str">
        <f>IFERROR(VLOOKUP(Tablo519[[#This Row],[ÜRÜN KODU]],YMKODLARI!$A$1:$K$379,2,0)," ")</f>
        <v xml:space="preserve"> </v>
      </c>
      <c r="C373" s="99"/>
      <c r="D373" s="100"/>
      <c r="E373" s="101"/>
      <c r="F373" s="101"/>
      <c r="G373" s="100" t="str">
        <f>IFERROR(VLOOKUP(Tablo519[[#This Row],[ÜRÜN KODU]],YMKODLARI!$A$1:$K$379,3,0)," ")</f>
        <v xml:space="preserve"> </v>
      </c>
      <c r="H373" s="100" t="str">
        <f>IFERROR(VLOOKUP(Tablo519[[#This Row],[ÜRÜN KODU]],YMKODLARI!$A$1:$K$379,4,0)," ")</f>
        <v xml:space="preserve"> </v>
      </c>
      <c r="I373" s="100"/>
      <c r="J373" s="100" t="str">
        <f>IFERROR(VLOOKUP(Tablo519[[#This Row],[ÜRÜN KODU]],YMKODLARI!$A$1:$K$379,9,0)," ")</f>
        <v xml:space="preserve"> </v>
      </c>
      <c r="K373" s="100" t="str">
        <f>IFERROR(VLOOKUP(Tablo519[[#This Row],[BOYA KODU]],Tablo14[#All],4,0)," ")</f>
        <v xml:space="preserve"> </v>
      </c>
      <c r="L373" s="100" t="str">
        <f>IFERROR(VLOOKUP(Tablo519[[#This Row],[BOYA KODU]],Tablo14[#All],6,0)," ")</f>
        <v xml:space="preserve"> </v>
      </c>
      <c r="M373" s="100" t="str">
        <f t="shared" si="39"/>
        <v xml:space="preserve"> </v>
      </c>
      <c r="N373" s="100" t="str">
        <f>IFERROR(VLOOKUP(Tablo519[[#This Row],[ÜRÜN KODU]],YMKODLARI!$A$1:$K$363,8,0)," ")</f>
        <v xml:space="preserve"> </v>
      </c>
      <c r="O373" s="100" t="str">
        <f>IFERROR(VLOOKUP(Tablo519[[#This Row],[HAMMADDE KODU]],Tablo1[#All],3,0)," ")</f>
        <v xml:space="preserve"> </v>
      </c>
      <c r="P373" s="100" t="str">
        <f>IFERROR(VLOOKUP(Tablo519[[#This Row],[HAMMADDE KODU]],Tablo1[#All],4,0)," ")</f>
        <v xml:space="preserve"> </v>
      </c>
      <c r="Q373" s="100" t="str">
        <f>IFERROR(VLOOKUP(Tablo519[[#This Row],[ÜRÜN KODU]],YMKODLARI!$A$1:$K$379,5,0)," ")</f>
        <v xml:space="preserve"> </v>
      </c>
      <c r="R373" s="100" t="str">
        <f>IFERROR(VLOOKUP(Tablo519[[#This Row],[ÜRÜN KODU]],YMKODLARI!$A$1:$K$379,6,0)," ")</f>
        <v xml:space="preserve"> </v>
      </c>
      <c r="S373" s="100" t="str">
        <f>IFERROR(Tablo519[[#This Row],[YOLLUK HARİÇ BASKI GRAMI]]/Tablo519[[#This Row],[KALIP GÖZ ADEDİ]]," ")</f>
        <v xml:space="preserve"> </v>
      </c>
      <c r="T373" s="100" t="str">
        <f t="shared" si="40"/>
        <v xml:space="preserve"> </v>
      </c>
      <c r="U373" s="100"/>
      <c r="V373" s="100" t="str">
        <f t="shared" si="45"/>
        <v xml:space="preserve"> </v>
      </c>
      <c r="W373" s="101">
        <f t="shared" si="41"/>
        <v>24</v>
      </c>
      <c r="X373" s="102">
        <f t="shared" si="42"/>
        <v>0</v>
      </c>
      <c r="Y373" s="100" t="str">
        <f t="shared" si="43"/>
        <v xml:space="preserve"> </v>
      </c>
      <c r="Z373" s="100" t="str">
        <f t="shared" si="44"/>
        <v xml:space="preserve"> </v>
      </c>
    </row>
    <row r="374" spans="1:26">
      <c r="A374" s="100"/>
      <c r="B374" s="108" t="str">
        <f>IFERROR(VLOOKUP(Tablo519[[#This Row],[ÜRÜN KODU]],YMKODLARI!$A$1:$K$379,2,0)," ")</f>
        <v xml:space="preserve"> </v>
      </c>
      <c r="C374" s="99"/>
      <c r="D374" s="100"/>
      <c r="E374" s="101"/>
      <c r="F374" s="101"/>
      <c r="G374" s="100" t="str">
        <f>IFERROR(VLOOKUP(Tablo519[[#This Row],[ÜRÜN KODU]],YMKODLARI!$A$1:$K$379,3,0)," ")</f>
        <v xml:space="preserve"> </v>
      </c>
      <c r="H374" s="100" t="str">
        <f>IFERROR(VLOOKUP(Tablo519[[#This Row],[ÜRÜN KODU]],YMKODLARI!$A$1:$K$379,4,0)," ")</f>
        <v xml:space="preserve"> </v>
      </c>
      <c r="I374" s="100"/>
      <c r="J374" s="100" t="str">
        <f>IFERROR(VLOOKUP(Tablo519[[#This Row],[ÜRÜN KODU]],YMKODLARI!$A$1:$K$379,9,0)," ")</f>
        <v xml:space="preserve"> </v>
      </c>
      <c r="K374" s="100" t="str">
        <f>IFERROR(VLOOKUP(Tablo519[[#This Row],[BOYA KODU]],Tablo14[#All],4,0)," ")</f>
        <v xml:space="preserve"> </v>
      </c>
      <c r="L374" s="100" t="str">
        <f>IFERROR(VLOOKUP(Tablo519[[#This Row],[BOYA KODU]],Tablo14[#All],6,0)," ")</f>
        <v xml:space="preserve"> </v>
      </c>
      <c r="M374" s="100" t="str">
        <f t="shared" si="39"/>
        <v xml:space="preserve"> </v>
      </c>
      <c r="N374" s="100" t="str">
        <f>IFERROR(VLOOKUP(Tablo519[[#This Row],[ÜRÜN KODU]],YMKODLARI!$A$1:$K$363,8,0)," ")</f>
        <v xml:space="preserve"> </v>
      </c>
      <c r="O374" s="100" t="str">
        <f>IFERROR(VLOOKUP(Tablo519[[#This Row],[HAMMADDE KODU]],Tablo1[#All],3,0)," ")</f>
        <v xml:space="preserve"> </v>
      </c>
      <c r="P374" s="100" t="str">
        <f>IFERROR(VLOOKUP(Tablo519[[#This Row],[HAMMADDE KODU]],Tablo1[#All],4,0)," ")</f>
        <v xml:space="preserve"> </v>
      </c>
      <c r="Q374" s="100" t="str">
        <f>IFERROR(VLOOKUP(Tablo519[[#This Row],[ÜRÜN KODU]],YMKODLARI!$A$1:$K$379,5,0)," ")</f>
        <v xml:space="preserve"> </v>
      </c>
      <c r="R374" s="100" t="str">
        <f>IFERROR(VLOOKUP(Tablo519[[#This Row],[ÜRÜN KODU]],YMKODLARI!$A$1:$K$379,6,0)," ")</f>
        <v xml:space="preserve"> </v>
      </c>
      <c r="S374" s="100" t="str">
        <f>IFERROR(Tablo519[[#This Row],[YOLLUK HARİÇ BASKI GRAMI]]/Tablo519[[#This Row],[KALIP GÖZ ADEDİ]]," ")</f>
        <v xml:space="preserve"> </v>
      </c>
      <c r="T374" s="100" t="str">
        <f t="shared" si="40"/>
        <v xml:space="preserve"> </v>
      </c>
      <c r="U374" s="100"/>
      <c r="V374" s="100" t="str">
        <f t="shared" si="45"/>
        <v xml:space="preserve"> </v>
      </c>
      <c r="W374" s="101">
        <f t="shared" si="41"/>
        <v>24</v>
      </c>
      <c r="X374" s="102">
        <f t="shared" si="42"/>
        <v>0</v>
      </c>
      <c r="Y374" s="100" t="str">
        <f t="shared" si="43"/>
        <v xml:space="preserve"> </v>
      </c>
      <c r="Z374" s="100" t="str">
        <f t="shared" si="44"/>
        <v xml:space="preserve"> </v>
      </c>
    </row>
    <row r="375" spans="1:26">
      <c r="A375" s="100"/>
      <c r="B375" s="108" t="str">
        <f>IFERROR(VLOOKUP(Tablo519[[#This Row],[ÜRÜN KODU]],YMKODLARI!$A$1:$K$379,2,0)," ")</f>
        <v xml:space="preserve"> </v>
      </c>
      <c r="C375" s="99"/>
      <c r="D375" s="100"/>
      <c r="E375" s="101"/>
      <c r="F375" s="101"/>
      <c r="G375" s="100" t="str">
        <f>IFERROR(VLOOKUP(Tablo519[[#This Row],[ÜRÜN KODU]],YMKODLARI!$A$1:$K$379,3,0)," ")</f>
        <v xml:space="preserve"> </v>
      </c>
      <c r="H375" s="100" t="str">
        <f>IFERROR(VLOOKUP(Tablo519[[#This Row],[ÜRÜN KODU]],YMKODLARI!$A$1:$K$379,4,0)," ")</f>
        <v xml:space="preserve"> </v>
      </c>
      <c r="I375" s="100"/>
      <c r="J375" s="100" t="str">
        <f>IFERROR(VLOOKUP(Tablo519[[#This Row],[ÜRÜN KODU]],YMKODLARI!$A$1:$K$379,9,0)," ")</f>
        <v xml:space="preserve"> </v>
      </c>
      <c r="K375" s="100" t="str">
        <f>IFERROR(VLOOKUP(Tablo519[[#This Row],[BOYA KODU]],Tablo14[#All],4,0)," ")</f>
        <v xml:space="preserve"> </v>
      </c>
      <c r="L375" s="100" t="str">
        <f>IFERROR(VLOOKUP(Tablo519[[#This Row],[BOYA KODU]],Tablo14[#All],6,0)," ")</f>
        <v xml:space="preserve"> </v>
      </c>
      <c r="M375" s="100" t="str">
        <f t="shared" si="39"/>
        <v xml:space="preserve"> </v>
      </c>
      <c r="N375" s="100" t="str">
        <f>IFERROR(VLOOKUP(Tablo519[[#This Row],[ÜRÜN KODU]],YMKODLARI!$A$1:$K$363,8,0)," ")</f>
        <v xml:space="preserve"> </v>
      </c>
      <c r="O375" s="100" t="str">
        <f>IFERROR(VLOOKUP(Tablo519[[#This Row],[HAMMADDE KODU]],Tablo1[#All],3,0)," ")</f>
        <v xml:space="preserve"> </v>
      </c>
      <c r="P375" s="100" t="str">
        <f>IFERROR(VLOOKUP(Tablo519[[#This Row],[HAMMADDE KODU]],Tablo1[#All],4,0)," ")</f>
        <v xml:space="preserve"> </v>
      </c>
      <c r="Q375" s="100" t="str">
        <f>IFERROR(VLOOKUP(Tablo519[[#This Row],[ÜRÜN KODU]],YMKODLARI!$A$1:$K$379,5,0)," ")</f>
        <v xml:space="preserve"> </v>
      </c>
      <c r="R375" s="100" t="str">
        <f>IFERROR(VLOOKUP(Tablo519[[#This Row],[ÜRÜN KODU]],YMKODLARI!$A$1:$K$379,6,0)," ")</f>
        <v xml:space="preserve"> </v>
      </c>
      <c r="S375" s="100" t="str">
        <f>IFERROR(Tablo519[[#This Row],[YOLLUK HARİÇ BASKI GRAMI]]/Tablo519[[#This Row],[KALIP GÖZ ADEDİ]]," ")</f>
        <v xml:space="preserve"> </v>
      </c>
      <c r="T375" s="100" t="str">
        <f t="shared" si="40"/>
        <v xml:space="preserve"> </v>
      </c>
      <c r="U375" s="100"/>
      <c r="V375" s="100" t="str">
        <f t="shared" si="45"/>
        <v xml:space="preserve"> </v>
      </c>
      <c r="W375" s="101">
        <f t="shared" si="41"/>
        <v>24</v>
      </c>
      <c r="X375" s="102">
        <f t="shared" si="42"/>
        <v>0</v>
      </c>
      <c r="Y375" s="100" t="str">
        <f t="shared" si="43"/>
        <v xml:space="preserve"> </v>
      </c>
      <c r="Z375" s="100" t="str">
        <f t="shared" si="44"/>
        <v xml:space="preserve"> </v>
      </c>
    </row>
    <row r="376" spans="1:26">
      <c r="A376" s="100"/>
      <c r="B376" s="108" t="str">
        <f>IFERROR(VLOOKUP(Tablo519[[#This Row],[ÜRÜN KODU]],YMKODLARI!$A$1:$K$379,2,0)," ")</f>
        <v xml:space="preserve"> </v>
      </c>
      <c r="C376" s="99"/>
      <c r="D376" s="100"/>
      <c r="E376" s="101"/>
      <c r="F376" s="101"/>
      <c r="G376" s="100" t="str">
        <f>IFERROR(VLOOKUP(Tablo519[[#This Row],[ÜRÜN KODU]],YMKODLARI!$A$1:$K$379,3,0)," ")</f>
        <v xml:space="preserve"> </v>
      </c>
      <c r="H376" s="100" t="str">
        <f>IFERROR(VLOOKUP(Tablo519[[#This Row],[ÜRÜN KODU]],YMKODLARI!$A$1:$K$379,4,0)," ")</f>
        <v xml:space="preserve"> </v>
      </c>
      <c r="I376" s="100"/>
      <c r="J376" s="100" t="str">
        <f>IFERROR(VLOOKUP(Tablo519[[#This Row],[ÜRÜN KODU]],YMKODLARI!$A$1:$K$379,9,0)," ")</f>
        <v xml:space="preserve"> </v>
      </c>
      <c r="K376" s="100" t="str">
        <f>IFERROR(VLOOKUP(Tablo519[[#This Row],[BOYA KODU]],Tablo14[#All],4,0)," ")</f>
        <v xml:space="preserve"> </v>
      </c>
      <c r="L376" s="100" t="str">
        <f>IFERROR(VLOOKUP(Tablo519[[#This Row],[BOYA KODU]],Tablo14[#All],6,0)," ")</f>
        <v xml:space="preserve"> </v>
      </c>
      <c r="M376" s="100" t="str">
        <f t="shared" si="39"/>
        <v xml:space="preserve"> </v>
      </c>
      <c r="N376" s="100" t="str">
        <f>IFERROR(VLOOKUP(Tablo519[[#This Row],[ÜRÜN KODU]],YMKODLARI!$A$1:$K$363,8,0)," ")</f>
        <v xml:space="preserve"> </v>
      </c>
      <c r="O376" s="100" t="str">
        <f>IFERROR(VLOOKUP(Tablo519[[#This Row],[HAMMADDE KODU]],Tablo1[#All],3,0)," ")</f>
        <v xml:space="preserve"> </v>
      </c>
      <c r="P376" s="100" t="str">
        <f>IFERROR(VLOOKUP(Tablo519[[#This Row],[HAMMADDE KODU]],Tablo1[#All],4,0)," ")</f>
        <v xml:space="preserve"> </v>
      </c>
      <c r="Q376" s="100" t="str">
        <f>IFERROR(VLOOKUP(Tablo519[[#This Row],[ÜRÜN KODU]],YMKODLARI!$A$1:$K$379,5,0)," ")</f>
        <v xml:space="preserve"> </v>
      </c>
      <c r="R376" s="100" t="str">
        <f>IFERROR(VLOOKUP(Tablo519[[#This Row],[ÜRÜN KODU]],YMKODLARI!$A$1:$K$379,6,0)," ")</f>
        <v xml:space="preserve"> </v>
      </c>
      <c r="S376" s="100" t="str">
        <f>IFERROR(Tablo519[[#This Row],[YOLLUK HARİÇ BASKI GRAMI]]/Tablo519[[#This Row],[KALIP GÖZ ADEDİ]]," ")</f>
        <v xml:space="preserve"> </v>
      </c>
      <c r="T376" s="100" t="str">
        <f t="shared" si="40"/>
        <v xml:space="preserve"> </v>
      </c>
      <c r="U376" s="100"/>
      <c r="V376" s="100" t="str">
        <f t="shared" si="45"/>
        <v xml:space="preserve"> </v>
      </c>
      <c r="W376" s="101">
        <f t="shared" si="41"/>
        <v>24</v>
      </c>
      <c r="X376" s="102">
        <f t="shared" si="42"/>
        <v>0</v>
      </c>
      <c r="Y376" s="100" t="str">
        <f t="shared" si="43"/>
        <v xml:space="preserve"> </v>
      </c>
      <c r="Z376" s="100" t="str">
        <f t="shared" si="44"/>
        <v xml:space="preserve"> </v>
      </c>
    </row>
    <row r="377" spans="1:26">
      <c r="A377" s="100"/>
      <c r="B377" s="108" t="str">
        <f>IFERROR(VLOOKUP(Tablo519[[#This Row],[ÜRÜN KODU]],YMKODLARI!$A$1:$K$379,2,0)," ")</f>
        <v xml:space="preserve"> </v>
      </c>
      <c r="C377" s="99"/>
      <c r="D377" s="100"/>
      <c r="E377" s="101"/>
      <c r="F377" s="101"/>
      <c r="G377" s="100" t="str">
        <f>IFERROR(VLOOKUP(Tablo519[[#This Row],[ÜRÜN KODU]],YMKODLARI!$A$1:$K$379,3,0)," ")</f>
        <v xml:space="preserve"> </v>
      </c>
      <c r="H377" s="100" t="str">
        <f>IFERROR(VLOOKUP(Tablo519[[#This Row],[ÜRÜN KODU]],YMKODLARI!$A$1:$K$379,4,0)," ")</f>
        <v xml:space="preserve"> </v>
      </c>
      <c r="I377" s="100"/>
      <c r="J377" s="100" t="str">
        <f>IFERROR(VLOOKUP(Tablo519[[#This Row],[ÜRÜN KODU]],YMKODLARI!$A$1:$K$379,9,0)," ")</f>
        <v xml:space="preserve"> </v>
      </c>
      <c r="K377" s="100" t="str">
        <f>IFERROR(VLOOKUP(Tablo519[[#This Row],[BOYA KODU]],Tablo14[#All],4,0)," ")</f>
        <v xml:space="preserve"> </v>
      </c>
      <c r="L377" s="100" t="str">
        <f>IFERROR(VLOOKUP(Tablo519[[#This Row],[BOYA KODU]],Tablo14[#All],6,0)," ")</f>
        <v xml:space="preserve"> </v>
      </c>
      <c r="M377" s="100" t="str">
        <f t="shared" si="39"/>
        <v xml:space="preserve"> </v>
      </c>
      <c r="N377" s="100" t="str">
        <f>IFERROR(VLOOKUP(Tablo519[[#This Row],[ÜRÜN KODU]],YMKODLARI!$A$1:$K$363,8,0)," ")</f>
        <v xml:space="preserve"> </v>
      </c>
      <c r="O377" s="100" t="str">
        <f>IFERROR(VLOOKUP(Tablo519[[#This Row],[HAMMADDE KODU]],Tablo1[#All],3,0)," ")</f>
        <v xml:space="preserve"> </v>
      </c>
      <c r="P377" s="100" t="str">
        <f>IFERROR(VLOOKUP(Tablo519[[#This Row],[HAMMADDE KODU]],Tablo1[#All],4,0)," ")</f>
        <v xml:space="preserve"> </v>
      </c>
      <c r="Q377" s="100" t="str">
        <f>IFERROR(VLOOKUP(Tablo519[[#This Row],[ÜRÜN KODU]],YMKODLARI!$A$1:$K$379,5,0)," ")</f>
        <v xml:space="preserve"> </v>
      </c>
      <c r="R377" s="100" t="str">
        <f>IFERROR(VLOOKUP(Tablo519[[#This Row],[ÜRÜN KODU]],YMKODLARI!$A$1:$K$379,6,0)," ")</f>
        <v xml:space="preserve"> </v>
      </c>
      <c r="S377" s="100" t="str">
        <f>IFERROR(Tablo519[[#This Row],[YOLLUK HARİÇ BASKI GRAMI]]/Tablo519[[#This Row],[KALIP GÖZ ADEDİ]]," ")</f>
        <v xml:space="preserve"> </v>
      </c>
      <c r="T377" s="100" t="str">
        <f t="shared" si="40"/>
        <v xml:space="preserve"> </v>
      </c>
      <c r="U377" s="100"/>
      <c r="V377" s="100" t="str">
        <f t="shared" si="45"/>
        <v xml:space="preserve"> </v>
      </c>
      <c r="W377" s="101">
        <f t="shared" si="41"/>
        <v>24</v>
      </c>
      <c r="X377" s="102">
        <f t="shared" si="42"/>
        <v>0</v>
      </c>
      <c r="Y377" s="100" t="str">
        <f t="shared" si="43"/>
        <v xml:space="preserve"> </v>
      </c>
      <c r="Z377" s="100" t="str">
        <f t="shared" si="44"/>
        <v xml:space="preserve"> </v>
      </c>
    </row>
    <row r="378" spans="1:26">
      <c r="A378" s="100"/>
      <c r="B378" s="108" t="str">
        <f>IFERROR(VLOOKUP(Tablo519[[#This Row],[ÜRÜN KODU]],YMKODLARI!$A$1:$K$379,2,0)," ")</f>
        <v xml:space="preserve"> </v>
      </c>
      <c r="C378" s="99"/>
      <c r="D378" s="100"/>
      <c r="E378" s="101"/>
      <c r="F378" s="101"/>
      <c r="G378" s="100" t="str">
        <f>IFERROR(VLOOKUP(Tablo519[[#This Row],[ÜRÜN KODU]],YMKODLARI!$A$1:$K$379,3,0)," ")</f>
        <v xml:space="preserve"> </v>
      </c>
      <c r="H378" s="100" t="str">
        <f>IFERROR(VLOOKUP(Tablo519[[#This Row],[ÜRÜN KODU]],YMKODLARI!$A$1:$K$379,4,0)," ")</f>
        <v xml:space="preserve"> </v>
      </c>
      <c r="I378" s="100"/>
      <c r="J378" s="100" t="str">
        <f>IFERROR(VLOOKUP(Tablo519[[#This Row],[ÜRÜN KODU]],YMKODLARI!$A$1:$K$379,9,0)," ")</f>
        <v xml:space="preserve"> </v>
      </c>
      <c r="K378" s="100" t="str">
        <f>IFERROR(VLOOKUP(Tablo519[[#This Row],[BOYA KODU]],Tablo14[#All],4,0)," ")</f>
        <v xml:space="preserve"> </v>
      </c>
      <c r="L378" s="100" t="str">
        <f>IFERROR(VLOOKUP(Tablo519[[#This Row],[BOYA KODU]],Tablo14[#All],6,0)," ")</f>
        <v xml:space="preserve"> </v>
      </c>
      <c r="M378" s="100" t="str">
        <f t="shared" si="39"/>
        <v xml:space="preserve"> </v>
      </c>
      <c r="N378" s="100" t="str">
        <f>IFERROR(VLOOKUP(Tablo519[[#This Row],[ÜRÜN KODU]],YMKODLARI!$A$1:$K$363,8,0)," ")</f>
        <v xml:space="preserve"> </v>
      </c>
      <c r="O378" s="100" t="str">
        <f>IFERROR(VLOOKUP(Tablo519[[#This Row],[HAMMADDE KODU]],Tablo1[#All],3,0)," ")</f>
        <v xml:space="preserve"> </v>
      </c>
      <c r="P378" s="100" t="str">
        <f>IFERROR(VLOOKUP(Tablo519[[#This Row],[HAMMADDE KODU]],Tablo1[#All],4,0)," ")</f>
        <v xml:space="preserve"> </v>
      </c>
      <c r="Q378" s="100" t="str">
        <f>IFERROR(VLOOKUP(Tablo519[[#This Row],[ÜRÜN KODU]],YMKODLARI!$A$1:$K$379,5,0)," ")</f>
        <v xml:space="preserve"> </v>
      </c>
      <c r="R378" s="100" t="str">
        <f>IFERROR(VLOOKUP(Tablo519[[#This Row],[ÜRÜN KODU]],YMKODLARI!$A$1:$K$379,6,0)," ")</f>
        <v xml:space="preserve"> </v>
      </c>
      <c r="S378" s="100" t="str">
        <f>IFERROR(Tablo519[[#This Row],[YOLLUK HARİÇ BASKI GRAMI]]/Tablo519[[#This Row],[KALIP GÖZ ADEDİ]]," ")</f>
        <v xml:space="preserve"> </v>
      </c>
      <c r="T378" s="100" t="str">
        <f t="shared" si="40"/>
        <v xml:space="preserve"> </v>
      </c>
      <c r="U378" s="100"/>
      <c r="V378" s="100" t="str">
        <f t="shared" si="45"/>
        <v xml:space="preserve"> </v>
      </c>
      <c r="W378" s="101">
        <f t="shared" si="41"/>
        <v>24</v>
      </c>
      <c r="X378" s="102">
        <f t="shared" si="42"/>
        <v>0</v>
      </c>
      <c r="Y378" s="100" t="str">
        <f t="shared" si="43"/>
        <v xml:space="preserve"> </v>
      </c>
      <c r="Z378" s="100" t="str">
        <f t="shared" si="44"/>
        <v xml:space="preserve"> </v>
      </c>
    </row>
    <row r="379" spans="1:26">
      <c r="A379" s="100"/>
      <c r="B379" s="108" t="str">
        <f>IFERROR(VLOOKUP(Tablo519[[#This Row],[ÜRÜN KODU]],YMKODLARI!$A$1:$K$379,2,0)," ")</f>
        <v xml:space="preserve"> </v>
      </c>
      <c r="C379" s="99"/>
      <c r="D379" s="100"/>
      <c r="E379" s="101"/>
      <c r="F379" s="101"/>
      <c r="G379" s="100" t="str">
        <f>IFERROR(VLOOKUP(Tablo519[[#This Row],[ÜRÜN KODU]],YMKODLARI!$A$1:$K$379,3,0)," ")</f>
        <v xml:space="preserve"> </v>
      </c>
      <c r="H379" s="100" t="str">
        <f>IFERROR(VLOOKUP(Tablo519[[#This Row],[ÜRÜN KODU]],YMKODLARI!$A$1:$K$379,4,0)," ")</f>
        <v xml:space="preserve"> </v>
      </c>
      <c r="I379" s="100"/>
      <c r="J379" s="100" t="str">
        <f>IFERROR(VLOOKUP(Tablo519[[#This Row],[ÜRÜN KODU]],YMKODLARI!$A$1:$K$379,9,0)," ")</f>
        <v xml:space="preserve"> </v>
      </c>
      <c r="K379" s="100" t="str">
        <f>IFERROR(VLOOKUP(Tablo519[[#This Row],[BOYA KODU]],Tablo14[#All],4,0)," ")</f>
        <v xml:space="preserve"> </v>
      </c>
      <c r="L379" s="100" t="str">
        <f>IFERROR(VLOOKUP(Tablo519[[#This Row],[BOYA KODU]],Tablo14[#All],6,0)," ")</f>
        <v xml:space="preserve"> </v>
      </c>
      <c r="M379" s="100" t="str">
        <f t="shared" si="39"/>
        <v xml:space="preserve"> </v>
      </c>
      <c r="N379" s="100" t="str">
        <f>IFERROR(VLOOKUP(Tablo519[[#This Row],[ÜRÜN KODU]],YMKODLARI!$A$1:$K$363,8,0)," ")</f>
        <v xml:space="preserve"> </v>
      </c>
      <c r="O379" s="100" t="str">
        <f>IFERROR(VLOOKUP(Tablo519[[#This Row],[HAMMADDE KODU]],Tablo1[#All],3,0)," ")</f>
        <v xml:space="preserve"> </v>
      </c>
      <c r="P379" s="100" t="str">
        <f>IFERROR(VLOOKUP(Tablo519[[#This Row],[HAMMADDE KODU]],Tablo1[#All],4,0)," ")</f>
        <v xml:space="preserve"> </v>
      </c>
      <c r="Q379" s="100" t="str">
        <f>IFERROR(VLOOKUP(Tablo519[[#This Row],[ÜRÜN KODU]],YMKODLARI!$A$1:$K$379,5,0)," ")</f>
        <v xml:space="preserve"> </v>
      </c>
      <c r="R379" s="100" t="str">
        <f>IFERROR(VLOOKUP(Tablo519[[#This Row],[ÜRÜN KODU]],YMKODLARI!$A$1:$K$379,6,0)," ")</f>
        <v xml:space="preserve"> </v>
      </c>
      <c r="S379" s="100" t="str">
        <f>IFERROR(Tablo519[[#This Row],[YOLLUK HARİÇ BASKI GRAMI]]/Tablo519[[#This Row],[KALIP GÖZ ADEDİ]]," ")</f>
        <v xml:space="preserve"> </v>
      </c>
      <c r="T379" s="100" t="str">
        <f t="shared" si="40"/>
        <v xml:space="preserve"> </v>
      </c>
      <c r="U379" s="100"/>
      <c r="V379" s="100" t="str">
        <f t="shared" si="45"/>
        <v xml:space="preserve"> </v>
      </c>
      <c r="W379" s="101">
        <f t="shared" si="41"/>
        <v>24</v>
      </c>
      <c r="X379" s="102">
        <f t="shared" si="42"/>
        <v>0</v>
      </c>
      <c r="Y379" s="100" t="str">
        <f t="shared" si="43"/>
        <v xml:space="preserve"> </v>
      </c>
      <c r="Z379" s="100" t="str">
        <f t="shared" si="44"/>
        <v xml:space="preserve"> </v>
      </c>
    </row>
    <row r="380" spans="1:26">
      <c r="A380" s="100"/>
      <c r="B380" s="108" t="str">
        <f>IFERROR(VLOOKUP(Tablo519[[#This Row],[ÜRÜN KODU]],YMKODLARI!$A$1:$K$379,2,0)," ")</f>
        <v xml:space="preserve"> </v>
      </c>
      <c r="C380" s="99"/>
      <c r="D380" s="100"/>
      <c r="E380" s="101"/>
      <c r="F380" s="101"/>
      <c r="G380" s="100" t="str">
        <f>IFERROR(VLOOKUP(Tablo519[[#This Row],[ÜRÜN KODU]],YMKODLARI!$A$1:$K$379,3,0)," ")</f>
        <v xml:space="preserve"> </v>
      </c>
      <c r="H380" s="100" t="str">
        <f>IFERROR(VLOOKUP(Tablo519[[#This Row],[ÜRÜN KODU]],YMKODLARI!$A$1:$K$379,4,0)," ")</f>
        <v xml:space="preserve"> </v>
      </c>
      <c r="I380" s="100"/>
      <c r="J380" s="100" t="str">
        <f>IFERROR(VLOOKUP(Tablo519[[#This Row],[ÜRÜN KODU]],YMKODLARI!$A$1:$K$379,9,0)," ")</f>
        <v xml:space="preserve"> </v>
      </c>
      <c r="K380" s="100" t="str">
        <f>IFERROR(VLOOKUP(Tablo519[[#This Row],[BOYA KODU]],Tablo14[#All],4,0)," ")</f>
        <v xml:space="preserve"> </v>
      </c>
      <c r="L380" s="100" t="str">
        <f>IFERROR(VLOOKUP(Tablo519[[#This Row],[BOYA KODU]],Tablo14[#All],6,0)," ")</f>
        <v xml:space="preserve"> </v>
      </c>
      <c r="M380" s="100" t="str">
        <f t="shared" si="39"/>
        <v xml:space="preserve"> </v>
      </c>
      <c r="N380" s="100" t="str">
        <f>IFERROR(VLOOKUP(Tablo519[[#This Row],[ÜRÜN KODU]],YMKODLARI!$A$1:$K$363,8,0)," ")</f>
        <v xml:space="preserve"> </v>
      </c>
      <c r="O380" s="100" t="str">
        <f>IFERROR(VLOOKUP(Tablo519[[#This Row],[HAMMADDE KODU]],Tablo1[#All],3,0)," ")</f>
        <v xml:space="preserve"> </v>
      </c>
      <c r="P380" s="100" t="str">
        <f>IFERROR(VLOOKUP(Tablo519[[#This Row],[HAMMADDE KODU]],Tablo1[#All],4,0)," ")</f>
        <v xml:space="preserve"> </v>
      </c>
      <c r="Q380" s="100" t="str">
        <f>IFERROR(VLOOKUP(Tablo519[[#This Row],[ÜRÜN KODU]],YMKODLARI!$A$1:$K$379,5,0)," ")</f>
        <v xml:space="preserve"> </v>
      </c>
      <c r="R380" s="100" t="str">
        <f>IFERROR(VLOOKUP(Tablo519[[#This Row],[ÜRÜN KODU]],YMKODLARI!$A$1:$K$379,6,0)," ")</f>
        <v xml:space="preserve"> </v>
      </c>
      <c r="S380" s="100" t="str">
        <f>IFERROR(Tablo519[[#This Row],[YOLLUK HARİÇ BASKI GRAMI]]/Tablo519[[#This Row],[KALIP GÖZ ADEDİ]]," ")</f>
        <v xml:space="preserve"> </v>
      </c>
      <c r="T380" s="100" t="str">
        <f t="shared" si="40"/>
        <v xml:space="preserve"> </v>
      </c>
      <c r="U380" s="100"/>
      <c r="V380" s="100" t="str">
        <f t="shared" si="45"/>
        <v xml:space="preserve"> </v>
      </c>
      <c r="W380" s="101">
        <f t="shared" si="41"/>
        <v>24</v>
      </c>
      <c r="X380" s="102">
        <f t="shared" si="42"/>
        <v>0</v>
      </c>
      <c r="Y380" s="100" t="str">
        <f t="shared" si="43"/>
        <v xml:space="preserve"> </v>
      </c>
      <c r="Z380" s="100" t="str">
        <f t="shared" si="44"/>
        <v xml:space="preserve"> </v>
      </c>
    </row>
    <row r="381" spans="1:26">
      <c r="A381" s="100"/>
      <c r="B381" s="108" t="str">
        <f>IFERROR(VLOOKUP(Tablo519[[#This Row],[ÜRÜN KODU]],YMKODLARI!$A$1:$K$379,2,0)," ")</f>
        <v xml:space="preserve"> </v>
      </c>
      <c r="C381" s="99"/>
      <c r="D381" s="100"/>
      <c r="E381" s="101"/>
      <c r="F381" s="101"/>
      <c r="G381" s="100" t="str">
        <f>IFERROR(VLOOKUP(Tablo519[[#This Row],[ÜRÜN KODU]],YMKODLARI!$A$1:$K$379,3,0)," ")</f>
        <v xml:space="preserve"> </v>
      </c>
      <c r="H381" s="100" t="str">
        <f>IFERROR(VLOOKUP(Tablo519[[#This Row],[ÜRÜN KODU]],YMKODLARI!$A$1:$K$379,4,0)," ")</f>
        <v xml:space="preserve"> </v>
      </c>
      <c r="I381" s="100"/>
      <c r="J381" s="100" t="str">
        <f>IFERROR(VLOOKUP(Tablo519[[#This Row],[ÜRÜN KODU]],YMKODLARI!$A$1:$K$379,9,0)," ")</f>
        <v xml:space="preserve"> </v>
      </c>
      <c r="K381" s="100" t="str">
        <f>IFERROR(VLOOKUP(Tablo519[[#This Row],[BOYA KODU]],Tablo14[#All],4,0)," ")</f>
        <v xml:space="preserve"> </v>
      </c>
      <c r="L381" s="100" t="str">
        <f>IFERROR(VLOOKUP(Tablo519[[#This Row],[BOYA KODU]],Tablo14[#All],6,0)," ")</f>
        <v xml:space="preserve"> </v>
      </c>
      <c r="M381" s="100" t="str">
        <f t="shared" si="39"/>
        <v xml:space="preserve"> </v>
      </c>
      <c r="N381" s="100" t="str">
        <f>IFERROR(VLOOKUP(Tablo519[[#This Row],[ÜRÜN KODU]],YMKODLARI!$A$1:$K$363,8,0)," ")</f>
        <v xml:space="preserve"> </v>
      </c>
      <c r="O381" s="100" t="str">
        <f>IFERROR(VLOOKUP(Tablo519[[#This Row],[HAMMADDE KODU]],Tablo1[#All],3,0)," ")</f>
        <v xml:space="preserve"> </v>
      </c>
      <c r="P381" s="100" t="str">
        <f>IFERROR(VLOOKUP(Tablo519[[#This Row],[HAMMADDE KODU]],Tablo1[#All],4,0)," ")</f>
        <v xml:space="preserve"> </v>
      </c>
      <c r="Q381" s="100" t="str">
        <f>IFERROR(VLOOKUP(Tablo519[[#This Row],[ÜRÜN KODU]],YMKODLARI!$A$1:$K$379,5,0)," ")</f>
        <v xml:space="preserve"> </v>
      </c>
      <c r="R381" s="100" t="str">
        <f>IFERROR(VLOOKUP(Tablo519[[#This Row],[ÜRÜN KODU]],YMKODLARI!$A$1:$K$379,6,0)," ")</f>
        <v xml:space="preserve"> </v>
      </c>
      <c r="S381" s="100" t="str">
        <f>IFERROR(Tablo519[[#This Row],[YOLLUK HARİÇ BASKI GRAMI]]/Tablo519[[#This Row],[KALIP GÖZ ADEDİ]]," ")</f>
        <v xml:space="preserve"> </v>
      </c>
      <c r="T381" s="100" t="str">
        <f t="shared" si="40"/>
        <v xml:space="preserve"> </v>
      </c>
      <c r="U381" s="100"/>
      <c r="V381" s="100" t="str">
        <f t="shared" si="45"/>
        <v xml:space="preserve"> </v>
      </c>
      <c r="W381" s="101">
        <f t="shared" si="41"/>
        <v>24</v>
      </c>
      <c r="X381" s="102">
        <f t="shared" si="42"/>
        <v>0</v>
      </c>
      <c r="Y381" s="100" t="str">
        <f t="shared" si="43"/>
        <v xml:space="preserve"> </v>
      </c>
      <c r="Z381" s="100" t="str">
        <f t="shared" si="44"/>
        <v xml:space="preserve"> </v>
      </c>
    </row>
    <row r="382" spans="1:26">
      <c r="A382" s="100"/>
      <c r="B382" s="108" t="str">
        <f>IFERROR(VLOOKUP(Tablo519[[#This Row],[ÜRÜN KODU]],YMKODLARI!$A$1:$K$379,2,0)," ")</f>
        <v xml:space="preserve"> </v>
      </c>
      <c r="C382" s="99"/>
      <c r="D382" s="100"/>
      <c r="E382" s="101"/>
      <c r="F382" s="101"/>
      <c r="G382" s="100" t="str">
        <f>IFERROR(VLOOKUP(Tablo519[[#This Row],[ÜRÜN KODU]],YMKODLARI!$A$1:$K$379,3,0)," ")</f>
        <v xml:space="preserve"> </v>
      </c>
      <c r="H382" s="100" t="str">
        <f>IFERROR(VLOOKUP(Tablo519[[#This Row],[ÜRÜN KODU]],YMKODLARI!$A$1:$K$379,4,0)," ")</f>
        <v xml:space="preserve"> </v>
      </c>
      <c r="I382" s="100"/>
      <c r="J382" s="100" t="str">
        <f>IFERROR(VLOOKUP(Tablo519[[#This Row],[ÜRÜN KODU]],YMKODLARI!$A$1:$K$379,9,0)," ")</f>
        <v xml:space="preserve"> </v>
      </c>
      <c r="K382" s="100" t="str">
        <f>IFERROR(VLOOKUP(Tablo519[[#This Row],[BOYA KODU]],Tablo14[#All],4,0)," ")</f>
        <v xml:space="preserve"> </v>
      </c>
      <c r="L382" s="100" t="str">
        <f>IFERROR(VLOOKUP(Tablo519[[#This Row],[BOYA KODU]],Tablo14[#All],6,0)," ")</f>
        <v xml:space="preserve"> </v>
      </c>
      <c r="M382" s="100" t="str">
        <f t="shared" si="39"/>
        <v xml:space="preserve"> </v>
      </c>
      <c r="N382" s="100" t="str">
        <f>IFERROR(VLOOKUP(Tablo519[[#This Row],[ÜRÜN KODU]],YMKODLARI!$A$1:$K$363,8,0)," ")</f>
        <v xml:space="preserve"> </v>
      </c>
      <c r="O382" s="100" t="str">
        <f>IFERROR(VLOOKUP(Tablo519[[#This Row],[HAMMADDE KODU]],Tablo1[#All],3,0)," ")</f>
        <v xml:space="preserve"> </v>
      </c>
      <c r="P382" s="100" t="str">
        <f>IFERROR(VLOOKUP(Tablo519[[#This Row],[HAMMADDE KODU]],Tablo1[#All],4,0)," ")</f>
        <v xml:space="preserve"> </v>
      </c>
      <c r="Q382" s="100" t="str">
        <f>IFERROR(VLOOKUP(Tablo519[[#This Row],[ÜRÜN KODU]],YMKODLARI!$A$1:$K$379,5,0)," ")</f>
        <v xml:space="preserve"> </v>
      </c>
      <c r="R382" s="100" t="str">
        <f>IFERROR(VLOOKUP(Tablo519[[#This Row],[ÜRÜN KODU]],YMKODLARI!$A$1:$K$379,6,0)," ")</f>
        <v xml:space="preserve"> </v>
      </c>
      <c r="S382" s="100" t="str">
        <f>IFERROR(Tablo519[[#This Row],[YOLLUK HARİÇ BASKI GRAMI]]/Tablo519[[#This Row],[KALIP GÖZ ADEDİ]]," ")</f>
        <v xml:space="preserve"> </v>
      </c>
      <c r="T382" s="100" t="str">
        <f t="shared" si="40"/>
        <v xml:space="preserve"> </v>
      </c>
      <c r="U382" s="100"/>
      <c r="V382" s="100" t="str">
        <f t="shared" si="45"/>
        <v xml:space="preserve"> </v>
      </c>
      <c r="W382" s="101">
        <f t="shared" si="41"/>
        <v>24</v>
      </c>
      <c r="X382" s="102">
        <f t="shared" si="42"/>
        <v>0</v>
      </c>
      <c r="Y382" s="100" t="str">
        <f t="shared" si="43"/>
        <v xml:space="preserve"> </v>
      </c>
      <c r="Z382" s="100" t="str">
        <f t="shared" si="44"/>
        <v xml:space="preserve"> </v>
      </c>
    </row>
    <row r="383" spans="1:26">
      <c r="A383" s="100"/>
      <c r="B383" s="108" t="str">
        <f>IFERROR(VLOOKUP(Tablo519[[#This Row],[ÜRÜN KODU]],YMKODLARI!$A$1:$K$379,2,0)," ")</f>
        <v xml:space="preserve"> </v>
      </c>
      <c r="C383" s="99"/>
      <c r="D383" s="100"/>
      <c r="E383" s="101"/>
      <c r="F383" s="101"/>
      <c r="G383" s="100" t="str">
        <f>IFERROR(VLOOKUP(Tablo519[[#This Row],[ÜRÜN KODU]],YMKODLARI!$A$1:$K$379,3,0)," ")</f>
        <v xml:space="preserve"> </v>
      </c>
      <c r="H383" s="100" t="str">
        <f>IFERROR(VLOOKUP(Tablo519[[#This Row],[ÜRÜN KODU]],YMKODLARI!$A$1:$K$379,4,0)," ")</f>
        <v xml:space="preserve"> </v>
      </c>
      <c r="I383" s="100"/>
      <c r="J383" s="100" t="str">
        <f>IFERROR(VLOOKUP(Tablo519[[#This Row],[ÜRÜN KODU]],YMKODLARI!$A$1:$K$379,9,0)," ")</f>
        <v xml:space="preserve"> </v>
      </c>
      <c r="K383" s="100" t="str">
        <f>IFERROR(VLOOKUP(Tablo519[[#This Row],[BOYA KODU]],Tablo14[#All],4,0)," ")</f>
        <v xml:space="preserve"> </v>
      </c>
      <c r="L383" s="100" t="str">
        <f>IFERROR(VLOOKUP(Tablo519[[#This Row],[BOYA KODU]],Tablo14[#All],6,0)," ")</f>
        <v xml:space="preserve"> </v>
      </c>
      <c r="M383" s="100" t="str">
        <f t="shared" si="39"/>
        <v xml:space="preserve"> </v>
      </c>
      <c r="N383" s="100" t="str">
        <f>IFERROR(VLOOKUP(Tablo519[[#This Row],[ÜRÜN KODU]],YMKODLARI!$A$1:$K$363,8,0)," ")</f>
        <v xml:space="preserve"> </v>
      </c>
      <c r="O383" s="100" t="str">
        <f>IFERROR(VLOOKUP(Tablo519[[#This Row],[HAMMADDE KODU]],Tablo1[#All],3,0)," ")</f>
        <v xml:space="preserve"> </v>
      </c>
      <c r="P383" s="100" t="str">
        <f>IFERROR(VLOOKUP(Tablo519[[#This Row],[HAMMADDE KODU]],Tablo1[#All],4,0)," ")</f>
        <v xml:space="preserve"> </v>
      </c>
      <c r="Q383" s="100" t="str">
        <f>IFERROR(VLOOKUP(Tablo519[[#This Row],[ÜRÜN KODU]],YMKODLARI!$A$1:$K$379,5,0)," ")</f>
        <v xml:space="preserve"> </v>
      </c>
      <c r="R383" s="100" t="str">
        <f>IFERROR(VLOOKUP(Tablo519[[#This Row],[ÜRÜN KODU]],YMKODLARI!$A$1:$K$379,6,0)," ")</f>
        <v xml:space="preserve"> </v>
      </c>
      <c r="S383" s="100" t="str">
        <f>IFERROR(Tablo519[[#This Row],[YOLLUK HARİÇ BASKI GRAMI]]/Tablo519[[#This Row],[KALIP GÖZ ADEDİ]]," ")</f>
        <v xml:space="preserve"> </v>
      </c>
      <c r="T383" s="100" t="str">
        <f t="shared" si="40"/>
        <v xml:space="preserve"> </v>
      </c>
      <c r="U383" s="100"/>
      <c r="V383" s="100" t="str">
        <f t="shared" si="45"/>
        <v xml:space="preserve"> </v>
      </c>
      <c r="W383" s="101">
        <f t="shared" si="41"/>
        <v>24</v>
      </c>
      <c r="X383" s="102">
        <f t="shared" si="42"/>
        <v>0</v>
      </c>
      <c r="Y383" s="100" t="str">
        <f t="shared" si="43"/>
        <v xml:space="preserve"> </v>
      </c>
      <c r="Z383" s="100" t="str">
        <f t="shared" si="44"/>
        <v xml:space="preserve"> </v>
      </c>
    </row>
    <row r="384" spans="1:26">
      <c r="A384" s="100"/>
      <c r="B384" s="108" t="str">
        <f>IFERROR(VLOOKUP(Tablo519[[#This Row],[ÜRÜN KODU]],YMKODLARI!$A$1:$K$379,2,0)," ")</f>
        <v xml:space="preserve"> </v>
      </c>
      <c r="C384" s="99"/>
      <c r="D384" s="100"/>
      <c r="E384" s="101"/>
      <c r="F384" s="101"/>
      <c r="G384" s="100" t="str">
        <f>IFERROR(VLOOKUP(Tablo519[[#This Row],[ÜRÜN KODU]],YMKODLARI!$A$1:$K$379,3,0)," ")</f>
        <v xml:space="preserve"> </v>
      </c>
      <c r="H384" s="100" t="str">
        <f>IFERROR(VLOOKUP(Tablo519[[#This Row],[ÜRÜN KODU]],YMKODLARI!$A$1:$K$379,4,0)," ")</f>
        <v xml:space="preserve"> </v>
      </c>
      <c r="I384" s="100"/>
      <c r="J384" s="100" t="str">
        <f>IFERROR(VLOOKUP(Tablo519[[#This Row],[ÜRÜN KODU]],YMKODLARI!$A$1:$K$379,9,0)," ")</f>
        <v xml:space="preserve"> </v>
      </c>
      <c r="K384" s="100" t="str">
        <f>IFERROR(VLOOKUP(Tablo519[[#This Row],[BOYA KODU]],Tablo14[#All],4,0)," ")</f>
        <v xml:space="preserve"> </v>
      </c>
      <c r="L384" s="100" t="str">
        <f>IFERROR(VLOOKUP(Tablo519[[#This Row],[BOYA KODU]],Tablo14[#All],6,0)," ")</f>
        <v xml:space="preserve"> </v>
      </c>
      <c r="M384" s="100" t="str">
        <f t="shared" si="39"/>
        <v xml:space="preserve"> </v>
      </c>
      <c r="N384" s="100" t="str">
        <f>IFERROR(VLOOKUP(Tablo519[[#This Row],[ÜRÜN KODU]],YMKODLARI!$A$1:$K$363,8,0)," ")</f>
        <v xml:space="preserve"> </v>
      </c>
      <c r="O384" s="100" t="str">
        <f>IFERROR(VLOOKUP(Tablo519[[#This Row],[HAMMADDE KODU]],Tablo1[#All],3,0)," ")</f>
        <v xml:space="preserve"> </v>
      </c>
      <c r="P384" s="100" t="str">
        <f>IFERROR(VLOOKUP(Tablo519[[#This Row],[HAMMADDE KODU]],Tablo1[#All],4,0)," ")</f>
        <v xml:space="preserve"> </v>
      </c>
      <c r="Q384" s="100" t="str">
        <f>IFERROR(VLOOKUP(Tablo519[[#This Row],[ÜRÜN KODU]],YMKODLARI!$A$1:$K$379,5,0)," ")</f>
        <v xml:space="preserve"> </v>
      </c>
      <c r="R384" s="100" t="str">
        <f>IFERROR(VLOOKUP(Tablo519[[#This Row],[ÜRÜN KODU]],YMKODLARI!$A$1:$K$379,6,0)," ")</f>
        <v xml:space="preserve"> </v>
      </c>
      <c r="S384" s="100" t="str">
        <f>IFERROR(Tablo519[[#This Row],[YOLLUK HARİÇ BASKI GRAMI]]/Tablo519[[#This Row],[KALIP GÖZ ADEDİ]]," ")</f>
        <v xml:space="preserve"> </v>
      </c>
      <c r="T384" s="100" t="str">
        <f t="shared" si="40"/>
        <v xml:space="preserve"> </v>
      </c>
      <c r="U384" s="100"/>
      <c r="V384" s="100" t="str">
        <f t="shared" si="45"/>
        <v xml:space="preserve"> </v>
      </c>
      <c r="W384" s="101">
        <f t="shared" si="41"/>
        <v>24</v>
      </c>
      <c r="X384" s="102">
        <f t="shared" si="42"/>
        <v>0</v>
      </c>
      <c r="Y384" s="100" t="str">
        <f t="shared" si="43"/>
        <v xml:space="preserve"> </v>
      </c>
      <c r="Z384" s="100" t="str">
        <f t="shared" si="44"/>
        <v xml:space="preserve"> </v>
      </c>
    </row>
    <row r="385" spans="1:26">
      <c r="A385" s="100"/>
      <c r="B385" s="108" t="str">
        <f>IFERROR(VLOOKUP(Tablo519[[#This Row],[ÜRÜN KODU]],YMKODLARI!$A$1:$K$379,2,0)," ")</f>
        <v xml:space="preserve"> </v>
      </c>
      <c r="C385" s="99"/>
      <c r="D385" s="100"/>
      <c r="E385" s="101"/>
      <c r="F385" s="101"/>
      <c r="G385" s="100" t="str">
        <f>IFERROR(VLOOKUP(Tablo519[[#This Row],[ÜRÜN KODU]],YMKODLARI!$A$1:$K$379,3,0)," ")</f>
        <v xml:space="preserve"> </v>
      </c>
      <c r="H385" s="100" t="str">
        <f>IFERROR(VLOOKUP(Tablo519[[#This Row],[ÜRÜN KODU]],YMKODLARI!$A$1:$K$379,4,0)," ")</f>
        <v xml:space="preserve"> </v>
      </c>
      <c r="I385" s="100"/>
      <c r="J385" s="100" t="str">
        <f>IFERROR(VLOOKUP(Tablo519[[#This Row],[ÜRÜN KODU]],YMKODLARI!$A$1:$K$379,9,0)," ")</f>
        <v xml:space="preserve"> </v>
      </c>
      <c r="K385" s="100" t="str">
        <f>IFERROR(VLOOKUP(Tablo519[[#This Row],[BOYA KODU]],Tablo14[#All],4,0)," ")</f>
        <v xml:space="preserve"> </v>
      </c>
      <c r="L385" s="100" t="str">
        <f>IFERROR(VLOOKUP(Tablo519[[#This Row],[BOYA KODU]],Tablo14[#All],6,0)," ")</f>
        <v xml:space="preserve"> </v>
      </c>
      <c r="M385" s="100" t="str">
        <f t="shared" si="39"/>
        <v xml:space="preserve"> </v>
      </c>
      <c r="N385" s="100" t="str">
        <f>IFERROR(VLOOKUP(Tablo519[[#This Row],[ÜRÜN KODU]],YMKODLARI!$A$1:$K$363,8,0)," ")</f>
        <v xml:space="preserve"> </v>
      </c>
      <c r="O385" s="100" t="str">
        <f>IFERROR(VLOOKUP(Tablo519[[#This Row],[HAMMADDE KODU]],Tablo1[#All],3,0)," ")</f>
        <v xml:space="preserve"> </v>
      </c>
      <c r="P385" s="100" t="str">
        <f>IFERROR(VLOOKUP(Tablo519[[#This Row],[HAMMADDE KODU]],Tablo1[#All],4,0)," ")</f>
        <v xml:space="preserve"> </v>
      </c>
      <c r="Q385" s="100" t="str">
        <f>IFERROR(VLOOKUP(Tablo519[[#This Row],[ÜRÜN KODU]],YMKODLARI!$A$1:$K$379,5,0)," ")</f>
        <v xml:space="preserve"> </v>
      </c>
      <c r="R385" s="100" t="str">
        <f>IFERROR(VLOOKUP(Tablo519[[#This Row],[ÜRÜN KODU]],YMKODLARI!$A$1:$K$379,6,0)," ")</f>
        <v xml:space="preserve"> </v>
      </c>
      <c r="S385" s="100" t="str">
        <f>IFERROR(Tablo519[[#This Row],[YOLLUK HARİÇ BASKI GRAMI]]/Tablo519[[#This Row],[KALIP GÖZ ADEDİ]]," ")</f>
        <v xml:space="preserve"> </v>
      </c>
      <c r="T385" s="100" t="str">
        <f t="shared" si="40"/>
        <v xml:space="preserve"> </v>
      </c>
      <c r="U385" s="100"/>
      <c r="V385" s="100" t="str">
        <f t="shared" si="45"/>
        <v xml:space="preserve"> </v>
      </c>
      <c r="W385" s="101">
        <f t="shared" si="41"/>
        <v>24</v>
      </c>
      <c r="X385" s="102">
        <f t="shared" si="42"/>
        <v>0</v>
      </c>
      <c r="Y385" s="100" t="str">
        <f t="shared" si="43"/>
        <v xml:space="preserve"> </v>
      </c>
      <c r="Z385" s="100" t="str">
        <f t="shared" si="44"/>
        <v xml:space="preserve"> </v>
      </c>
    </row>
    <row r="386" spans="1:26">
      <c r="A386" s="100"/>
      <c r="B386" s="108" t="str">
        <f>IFERROR(VLOOKUP(Tablo519[[#This Row],[ÜRÜN KODU]],YMKODLARI!$A$1:$K$379,2,0)," ")</f>
        <v xml:space="preserve"> </v>
      </c>
      <c r="C386" s="99"/>
      <c r="D386" s="100"/>
      <c r="E386" s="101"/>
      <c r="F386" s="101"/>
      <c r="G386" s="100" t="str">
        <f>IFERROR(VLOOKUP(Tablo519[[#This Row],[ÜRÜN KODU]],YMKODLARI!$A$1:$K$379,3,0)," ")</f>
        <v xml:space="preserve"> </v>
      </c>
      <c r="H386" s="100" t="str">
        <f>IFERROR(VLOOKUP(Tablo519[[#This Row],[ÜRÜN KODU]],YMKODLARI!$A$1:$K$379,4,0)," ")</f>
        <v xml:space="preserve"> </v>
      </c>
      <c r="I386" s="100"/>
      <c r="J386" s="100" t="str">
        <f>IFERROR(VLOOKUP(Tablo519[[#This Row],[ÜRÜN KODU]],YMKODLARI!$A$1:$K$379,9,0)," ")</f>
        <v xml:space="preserve"> </v>
      </c>
      <c r="K386" s="100" t="str">
        <f>IFERROR(VLOOKUP(Tablo519[[#This Row],[BOYA KODU]],Tablo14[#All],4,0)," ")</f>
        <v xml:space="preserve"> </v>
      </c>
      <c r="L386" s="100" t="str">
        <f>IFERROR(VLOOKUP(Tablo519[[#This Row],[BOYA KODU]],Tablo14[#All],6,0)," ")</f>
        <v xml:space="preserve"> </v>
      </c>
      <c r="M386" s="100" t="str">
        <f t="shared" ref="M386:M449" si="46">IFERROR((I386*Q386)*L386," ")</f>
        <v xml:space="preserve"> </v>
      </c>
      <c r="N386" s="100" t="str">
        <f>IFERROR(VLOOKUP(Tablo519[[#This Row],[ÜRÜN KODU]],YMKODLARI!$A$1:$K$363,8,0)," ")</f>
        <v xml:space="preserve"> </v>
      </c>
      <c r="O386" s="100" t="str">
        <f>IFERROR(VLOOKUP(Tablo519[[#This Row],[HAMMADDE KODU]],Tablo1[#All],3,0)," ")</f>
        <v xml:space="preserve"> </v>
      </c>
      <c r="P386" s="100" t="str">
        <f>IFERROR(VLOOKUP(Tablo519[[#This Row],[HAMMADDE KODU]],Tablo1[#All],4,0)," ")</f>
        <v xml:space="preserve"> </v>
      </c>
      <c r="Q386" s="100" t="str">
        <f>IFERROR(VLOOKUP(Tablo519[[#This Row],[ÜRÜN KODU]],YMKODLARI!$A$1:$K$379,5,0)," ")</f>
        <v xml:space="preserve"> </v>
      </c>
      <c r="R386" s="100" t="str">
        <f>IFERROR(VLOOKUP(Tablo519[[#This Row],[ÜRÜN KODU]],YMKODLARI!$A$1:$K$379,6,0)," ")</f>
        <v xml:space="preserve"> </v>
      </c>
      <c r="S386" s="100" t="str">
        <f>IFERROR(Tablo519[[#This Row],[YOLLUK HARİÇ BASKI GRAMI]]/Tablo519[[#This Row],[KALIP GÖZ ADEDİ]]," ")</f>
        <v xml:space="preserve"> </v>
      </c>
      <c r="T386" s="100" t="str">
        <f t="shared" si="40"/>
        <v xml:space="preserve"> </v>
      </c>
      <c r="U386" s="100"/>
      <c r="V386" s="100" t="str">
        <f t="shared" si="45"/>
        <v xml:space="preserve"> </v>
      </c>
      <c r="W386" s="101">
        <f t="shared" si="41"/>
        <v>24</v>
      </c>
      <c r="X386" s="102">
        <f t="shared" si="42"/>
        <v>0</v>
      </c>
      <c r="Y386" s="100" t="str">
        <f t="shared" si="43"/>
        <v xml:space="preserve"> </v>
      </c>
      <c r="Z386" s="100" t="str">
        <f t="shared" si="44"/>
        <v xml:space="preserve"> </v>
      </c>
    </row>
    <row r="387" spans="1:26">
      <c r="A387" s="100"/>
      <c r="B387" s="108" t="str">
        <f>IFERROR(VLOOKUP(Tablo519[[#This Row],[ÜRÜN KODU]],YMKODLARI!$A$1:$K$379,2,0)," ")</f>
        <v xml:space="preserve"> </v>
      </c>
      <c r="C387" s="99"/>
      <c r="D387" s="100"/>
      <c r="E387" s="101"/>
      <c r="F387" s="101"/>
      <c r="G387" s="100" t="str">
        <f>IFERROR(VLOOKUP(Tablo519[[#This Row],[ÜRÜN KODU]],YMKODLARI!$A$1:$K$379,3,0)," ")</f>
        <v xml:space="preserve"> </v>
      </c>
      <c r="H387" s="100" t="str">
        <f>IFERROR(VLOOKUP(Tablo519[[#This Row],[ÜRÜN KODU]],YMKODLARI!$A$1:$K$379,4,0)," ")</f>
        <v xml:space="preserve"> </v>
      </c>
      <c r="I387" s="100"/>
      <c r="J387" s="100" t="str">
        <f>IFERROR(VLOOKUP(Tablo519[[#This Row],[ÜRÜN KODU]],YMKODLARI!$A$1:$K$379,9,0)," ")</f>
        <v xml:space="preserve"> </v>
      </c>
      <c r="K387" s="100" t="str">
        <f>IFERROR(VLOOKUP(Tablo519[[#This Row],[BOYA KODU]],Tablo14[#All],4,0)," ")</f>
        <v xml:space="preserve"> </v>
      </c>
      <c r="L387" s="100" t="str">
        <f>IFERROR(VLOOKUP(Tablo519[[#This Row],[BOYA KODU]],Tablo14[#All],6,0)," ")</f>
        <v xml:space="preserve"> </v>
      </c>
      <c r="M387" s="100" t="str">
        <f t="shared" si="46"/>
        <v xml:space="preserve"> </v>
      </c>
      <c r="N387" s="100" t="str">
        <f>IFERROR(VLOOKUP(Tablo519[[#This Row],[ÜRÜN KODU]],YMKODLARI!$A$1:$K$363,8,0)," ")</f>
        <v xml:space="preserve"> </v>
      </c>
      <c r="O387" s="100" t="str">
        <f>IFERROR(VLOOKUP(Tablo519[[#This Row],[HAMMADDE KODU]],Tablo1[#All],3,0)," ")</f>
        <v xml:space="preserve"> </v>
      </c>
      <c r="P387" s="100" t="str">
        <f>IFERROR(VLOOKUP(Tablo519[[#This Row],[HAMMADDE KODU]],Tablo1[#All],4,0)," ")</f>
        <v xml:space="preserve"> </v>
      </c>
      <c r="Q387" s="100" t="str">
        <f>IFERROR(VLOOKUP(Tablo519[[#This Row],[ÜRÜN KODU]],YMKODLARI!$A$1:$K$379,5,0)," ")</f>
        <v xml:space="preserve"> </v>
      </c>
      <c r="R387" s="100" t="str">
        <f>IFERROR(VLOOKUP(Tablo519[[#This Row],[ÜRÜN KODU]],YMKODLARI!$A$1:$K$379,6,0)," ")</f>
        <v xml:space="preserve"> </v>
      </c>
      <c r="S387" s="100" t="str">
        <f>IFERROR(Tablo519[[#This Row],[YOLLUK HARİÇ BASKI GRAMI]]/Tablo519[[#This Row],[KALIP GÖZ ADEDİ]]," ")</f>
        <v xml:space="preserve"> </v>
      </c>
      <c r="T387" s="100" t="str">
        <f t="shared" ref="T387:T450" si="47">IFERROR(Q387-R387," ")</f>
        <v xml:space="preserve"> </v>
      </c>
      <c r="U387" s="100"/>
      <c r="V387" s="100" t="str">
        <f t="shared" si="45"/>
        <v xml:space="preserve"> </v>
      </c>
      <c r="W387" s="101">
        <f t="shared" ref="W387:W450" si="48">IFERROR(24-(E387-F387)," ")</f>
        <v>24</v>
      </c>
      <c r="X387" s="102">
        <f t="shared" ref="X387:X450" si="49">IFERROR((W387-INT(W387))*24," ")</f>
        <v>0</v>
      </c>
      <c r="Y387" s="100" t="str">
        <f t="shared" ref="Y387:Y450" si="50">IFERROR(H387*I387/3600," ")</f>
        <v xml:space="preserve"> </v>
      </c>
      <c r="Z387" s="100" t="str">
        <f t="shared" ref="Z387:Z450" si="51">IFERROR(I387*G387," " )</f>
        <v xml:space="preserve"> </v>
      </c>
    </row>
    <row r="388" spans="1:26">
      <c r="A388" s="100"/>
      <c r="B388" s="108" t="str">
        <f>IFERROR(VLOOKUP(Tablo519[[#This Row],[ÜRÜN KODU]],YMKODLARI!$A$1:$K$379,2,0)," ")</f>
        <v xml:space="preserve"> </v>
      </c>
      <c r="C388" s="99"/>
      <c r="D388" s="100"/>
      <c r="E388" s="101"/>
      <c r="F388" s="101"/>
      <c r="G388" s="100" t="str">
        <f>IFERROR(VLOOKUP(Tablo519[[#This Row],[ÜRÜN KODU]],YMKODLARI!$A$1:$K$379,3,0)," ")</f>
        <v xml:space="preserve"> </v>
      </c>
      <c r="H388" s="100" t="str">
        <f>IFERROR(VLOOKUP(Tablo519[[#This Row],[ÜRÜN KODU]],YMKODLARI!$A$1:$K$379,4,0)," ")</f>
        <v xml:space="preserve"> </v>
      </c>
      <c r="I388" s="100"/>
      <c r="J388" s="100" t="str">
        <f>IFERROR(VLOOKUP(Tablo519[[#This Row],[ÜRÜN KODU]],YMKODLARI!$A$1:$K$379,9,0)," ")</f>
        <v xml:space="preserve"> </v>
      </c>
      <c r="K388" s="100" t="str">
        <f>IFERROR(VLOOKUP(Tablo519[[#This Row],[BOYA KODU]],Tablo14[#All],4,0)," ")</f>
        <v xml:space="preserve"> </v>
      </c>
      <c r="L388" s="100" t="str">
        <f>IFERROR(VLOOKUP(Tablo519[[#This Row],[BOYA KODU]],Tablo14[#All],6,0)," ")</f>
        <v xml:space="preserve"> </v>
      </c>
      <c r="M388" s="100" t="str">
        <f t="shared" si="46"/>
        <v xml:space="preserve"> </v>
      </c>
      <c r="N388" s="100" t="str">
        <f>IFERROR(VLOOKUP(Tablo519[[#This Row],[ÜRÜN KODU]],YMKODLARI!$A$1:$K$363,8,0)," ")</f>
        <v xml:space="preserve"> </v>
      </c>
      <c r="O388" s="100" t="str">
        <f>IFERROR(VLOOKUP(Tablo519[[#This Row],[HAMMADDE KODU]],Tablo1[#All],3,0)," ")</f>
        <v xml:space="preserve"> </v>
      </c>
      <c r="P388" s="100" t="str">
        <f>IFERROR(VLOOKUP(Tablo519[[#This Row],[HAMMADDE KODU]],Tablo1[#All],4,0)," ")</f>
        <v xml:space="preserve"> </v>
      </c>
      <c r="Q388" s="100" t="str">
        <f>IFERROR(VLOOKUP(Tablo519[[#This Row],[ÜRÜN KODU]],YMKODLARI!$A$1:$K$379,5,0)," ")</f>
        <v xml:space="preserve"> </v>
      </c>
      <c r="R388" s="100" t="str">
        <f>IFERROR(VLOOKUP(Tablo519[[#This Row],[ÜRÜN KODU]],YMKODLARI!$A$1:$K$379,6,0)," ")</f>
        <v xml:space="preserve"> </v>
      </c>
      <c r="S388" s="100" t="str">
        <f>IFERROR(Tablo519[[#This Row],[YOLLUK HARİÇ BASKI GRAMI]]/Tablo519[[#This Row],[KALIP GÖZ ADEDİ]]," ")</f>
        <v xml:space="preserve"> </v>
      </c>
      <c r="T388" s="100" t="str">
        <f t="shared" si="47"/>
        <v xml:space="preserve"> </v>
      </c>
      <c r="U388" s="100"/>
      <c r="V388" s="100" t="str">
        <f t="shared" si="45"/>
        <v xml:space="preserve"> </v>
      </c>
      <c r="W388" s="101">
        <f t="shared" si="48"/>
        <v>24</v>
      </c>
      <c r="X388" s="102">
        <f t="shared" si="49"/>
        <v>0</v>
      </c>
      <c r="Y388" s="100" t="str">
        <f t="shared" si="50"/>
        <v xml:space="preserve"> </v>
      </c>
      <c r="Z388" s="100" t="str">
        <f t="shared" si="51"/>
        <v xml:space="preserve"> </v>
      </c>
    </row>
    <row r="389" spans="1:26">
      <c r="A389" s="100"/>
      <c r="B389" s="108" t="str">
        <f>IFERROR(VLOOKUP(Tablo519[[#This Row],[ÜRÜN KODU]],YMKODLARI!$A$1:$K$379,2,0)," ")</f>
        <v xml:space="preserve"> </v>
      </c>
      <c r="C389" s="99"/>
      <c r="D389" s="100"/>
      <c r="E389" s="101"/>
      <c r="F389" s="101"/>
      <c r="G389" s="100" t="str">
        <f>IFERROR(VLOOKUP(Tablo519[[#This Row],[ÜRÜN KODU]],YMKODLARI!$A$1:$K$379,3,0)," ")</f>
        <v xml:space="preserve"> </v>
      </c>
      <c r="H389" s="100" t="str">
        <f>IFERROR(VLOOKUP(Tablo519[[#This Row],[ÜRÜN KODU]],YMKODLARI!$A$1:$K$379,4,0)," ")</f>
        <v xml:space="preserve"> </v>
      </c>
      <c r="I389" s="100"/>
      <c r="J389" s="100" t="str">
        <f>IFERROR(VLOOKUP(Tablo519[[#This Row],[ÜRÜN KODU]],YMKODLARI!$A$1:$K$379,9,0)," ")</f>
        <v xml:space="preserve"> </v>
      </c>
      <c r="K389" s="100" t="str">
        <f>IFERROR(VLOOKUP(Tablo519[[#This Row],[BOYA KODU]],Tablo14[#All],4,0)," ")</f>
        <v xml:space="preserve"> </v>
      </c>
      <c r="L389" s="100" t="str">
        <f>IFERROR(VLOOKUP(Tablo519[[#This Row],[BOYA KODU]],Tablo14[#All],6,0)," ")</f>
        <v xml:space="preserve"> </v>
      </c>
      <c r="M389" s="100" t="str">
        <f t="shared" si="46"/>
        <v xml:space="preserve"> </v>
      </c>
      <c r="N389" s="100" t="str">
        <f>IFERROR(VLOOKUP(Tablo519[[#This Row],[ÜRÜN KODU]],YMKODLARI!$A$1:$K$363,8,0)," ")</f>
        <v xml:space="preserve"> </v>
      </c>
      <c r="O389" s="100" t="str">
        <f>IFERROR(VLOOKUP(Tablo519[[#This Row],[HAMMADDE KODU]],Tablo1[#All],3,0)," ")</f>
        <v xml:space="preserve"> </v>
      </c>
      <c r="P389" s="100" t="str">
        <f>IFERROR(VLOOKUP(Tablo519[[#This Row],[HAMMADDE KODU]],Tablo1[#All],4,0)," ")</f>
        <v xml:space="preserve"> </v>
      </c>
      <c r="Q389" s="100" t="str">
        <f>IFERROR(VLOOKUP(Tablo519[[#This Row],[ÜRÜN KODU]],YMKODLARI!$A$1:$K$379,5,0)," ")</f>
        <v xml:space="preserve"> </v>
      </c>
      <c r="R389" s="100" t="str">
        <f>IFERROR(VLOOKUP(Tablo519[[#This Row],[ÜRÜN KODU]],YMKODLARI!$A$1:$K$379,6,0)," ")</f>
        <v xml:space="preserve"> </v>
      </c>
      <c r="S389" s="100" t="str">
        <f>IFERROR(Tablo519[[#This Row],[YOLLUK HARİÇ BASKI GRAMI]]/Tablo519[[#This Row],[KALIP GÖZ ADEDİ]]," ")</f>
        <v xml:space="preserve"> </v>
      </c>
      <c r="T389" s="100" t="str">
        <f t="shared" si="47"/>
        <v xml:space="preserve"> </v>
      </c>
      <c r="U389" s="100"/>
      <c r="V389" s="100" t="str">
        <f t="shared" si="45"/>
        <v xml:space="preserve"> </v>
      </c>
      <c r="W389" s="101">
        <f t="shared" si="48"/>
        <v>24</v>
      </c>
      <c r="X389" s="102">
        <f t="shared" si="49"/>
        <v>0</v>
      </c>
      <c r="Y389" s="100" t="str">
        <f t="shared" si="50"/>
        <v xml:space="preserve"> </v>
      </c>
      <c r="Z389" s="100" t="str">
        <f t="shared" si="51"/>
        <v xml:space="preserve"> </v>
      </c>
    </row>
    <row r="390" spans="1:26">
      <c r="A390" s="100"/>
      <c r="B390" s="108" t="str">
        <f>IFERROR(VLOOKUP(Tablo519[[#This Row],[ÜRÜN KODU]],YMKODLARI!$A$1:$K$379,2,0)," ")</f>
        <v xml:space="preserve"> </v>
      </c>
      <c r="C390" s="99"/>
      <c r="D390" s="100"/>
      <c r="E390" s="101"/>
      <c r="F390" s="101"/>
      <c r="G390" s="100" t="str">
        <f>IFERROR(VLOOKUP(Tablo519[[#This Row],[ÜRÜN KODU]],YMKODLARI!$A$1:$K$379,3,0)," ")</f>
        <v xml:space="preserve"> </v>
      </c>
      <c r="H390" s="100" t="str">
        <f>IFERROR(VLOOKUP(Tablo519[[#This Row],[ÜRÜN KODU]],YMKODLARI!$A$1:$K$379,4,0)," ")</f>
        <v xml:space="preserve"> </v>
      </c>
      <c r="I390" s="100"/>
      <c r="J390" s="100" t="str">
        <f>IFERROR(VLOOKUP(Tablo519[[#This Row],[ÜRÜN KODU]],YMKODLARI!$A$1:$K$379,9,0)," ")</f>
        <v xml:space="preserve"> </v>
      </c>
      <c r="K390" s="100" t="str">
        <f>IFERROR(VLOOKUP(Tablo519[[#This Row],[BOYA KODU]],Tablo14[#All],4,0)," ")</f>
        <v xml:space="preserve"> </v>
      </c>
      <c r="L390" s="100" t="str">
        <f>IFERROR(VLOOKUP(Tablo519[[#This Row],[BOYA KODU]],Tablo14[#All],6,0)," ")</f>
        <v xml:space="preserve"> </v>
      </c>
      <c r="M390" s="100" t="str">
        <f t="shared" si="46"/>
        <v xml:space="preserve"> </v>
      </c>
      <c r="N390" s="100" t="str">
        <f>IFERROR(VLOOKUP(Tablo519[[#This Row],[ÜRÜN KODU]],YMKODLARI!$A$1:$K$363,8,0)," ")</f>
        <v xml:space="preserve"> </v>
      </c>
      <c r="O390" s="100" t="str">
        <f>IFERROR(VLOOKUP(Tablo519[[#This Row],[HAMMADDE KODU]],Tablo1[#All],3,0)," ")</f>
        <v xml:space="preserve"> </v>
      </c>
      <c r="P390" s="100" t="str">
        <f>IFERROR(VLOOKUP(Tablo519[[#This Row],[HAMMADDE KODU]],Tablo1[#All],4,0)," ")</f>
        <v xml:space="preserve"> </v>
      </c>
      <c r="Q390" s="100" t="str">
        <f>IFERROR(VLOOKUP(Tablo519[[#This Row],[ÜRÜN KODU]],YMKODLARI!$A$1:$K$379,5,0)," ")</f>
        <v xml:space="preserve"> </v>
      </c>
      <c r="R390" s="100" t="str">
        <f>IFERROR(VLOOKUP(Tablo519[[#This Row],[ÜRÜN KODU]],YMKODLARI!$A$1:$K$379,6,0)," ")</f>
        <v xml:space="preserve"> </v>
      </c>
      <c r="S390" s="100" t="str">
        <f>IFERROR(Tablo519[[#This Row],[YOLLUK HARİÇ BASKI GRAMI]]/Tablo519[[#This Row],[KALIP GÖZ ADEDİ]]," ")</f>
        <v xml:space="preserve"> </v>
      </c>
      <c r="T390" s="100" t="str">
        <f t="shared" si="47"/>
        <v xml:space="preserve"> </v>
      </c>
      <c r="U390" s="100"/>
      <c r="V390" s="100" t="str">
        <f t="shared" si="45"/>
        <v xml:space="preserve"> </v>
      </c>
      <c r="W390" s="101">
        <f t="shared" si="48"/>
        <v>24</v>
      </c>
      <c r="X390" s="102">
        <f t="shared" si="49"/>
        <v>0</v>
      </c>
      <c r="Y390" s="100" t="str">
        <f t="shared" si="50"/>
        <v xml:space="preserve"> </v>
      </c>
      <c r="Z390" s="100" t="str">
        <f t="shared" si="51"/>
        <v xml:space="preserve"> </v>
      </c>
    </row>
    <row r="391" spans="1:26">
      <c r="A391" s="100"/>
      <c r="B391" s="108" t="str">
        <f>IFERROR(VLOOKUP(Tablo519[[#This Row],[ÜRÜN KODU]],YMKODLARI!$A$1:$K$379,2,0)," ")</f>
        <v xml:space="preserve"> </v>
      </c>
      <c r="C391" s="99"/>
      <c r="D391" s="100"/>
      <c r="E391" s="101"/>
      <c r="F391" s="101"/>
      <c r="G391" s="100" t="str">
        <f>IFERROR(VLOOKUP(Tablo519[[#This Row],[ÜRÜN KODU]],YMKODLARI!$A$1:$K$379,3,0)," ")</f>
        <v xml:space="preserve"> </v>
      </c>
      <c r="H391" s="100" t="str">
        <f>IFERROR(VLOOKUP(Tablo519[[#This Row],[ÜRÜN KODU]],YMKODLARI!$A$1:$K$379,4,0)," ")</f>
        <v xml:space="preserve"> </v>
      </c>
      <c r="I391" s="100"/>
      <c r="J391" s="100" t="str">
        <f>IFERROR(VLOOKUP(Tablo519[[#This Row],[ÜRÜN KODU]],YMKODLARI!$A$1:$K$379,9,0)," ")</f>
        <v xml:space="preserve"> </v>
      </c>
      <c r="K391" s="100" t="str">
        <f>IFERROR(VLOOKUP(Tablo519[[#This Row],[BOYA KODU]],Tablo14[#All],4,0)," ")</f>
        <v xml:space="preserve"> </v>
      </c>
      <c r="L391" s="100" t="str">
        <f>IFERROR(VLOOKUP(Tablo519[[#This Row],[BOYA KODU]],Tablo14[#All],6,0)," ")</f>
        <v xml:space="preserve"> </v>
      </c>
      <c r="M391" s="100" t="str">
        <f t="shared" si="46"/>
        <v xml:space="preserve"> </v>
      </c>
      <c r="N391" s="100" t="str">
        <f>IFERROR(VLOOKUP(Tablo519[[#This Row],[ÜRÜN KODU]],YMKODLARI!$A$1:$K$363,8,0)," ")</f>
        <v xml:space="preserve"> </v>
      </c>
      <c r="O391" s="100" t="str">
        <f>IFERROR(VLOOKUP(Tablo519[[#This Row],[HAMMADDE KODU]],Tablo1[#All],3,0)," ")</f>
        <v xml:space="preserve"> </v>
      </c>
      <c r="P391" s="100" t="str">
        <f>IFERROR(VLOOKUP(Tablo519[[#This Row],[HAMMADDE KODU]],Tablo1[#All],4,0)," ")</f>
        <v xml:space="preserve"> </v>
      </c>
      <c r="Q391" s="100" t="str">
        <f>IFERROR(VLOOKUP(Tablo519[[#This Row],[ÜRÜN KODU]],YMKODLARI!$A$1:$K$379,5,0)," ")</f>
        <v xml:space="preserve"> </v>
      </c>
      <c r="R391" s="100" t="str">
        <f>IFERROR(VLOOKUP(Tablo519[[#This Row],[ÜRÜN KODU]],YMKODLARI!$A$1:$K$379,6,0)," ")</f>
        <v xml:space="preserve"> </v>
      </c>
      <c r="S391" s="100" t="str">
        <f>IFERROR(Tablo519[[#This Row],[YOLLUK HARİÇ BASKI GRAMI]]/Tablo519[[#This Row],[KALIP GÖZ ADEDİ]]," ")</f>
        <v xml:space="preserve"> </v>
      </c>
      <c r="T391" s="100" t="str">
        <f t="shared" si="47"/>
        <v xml:space="preserve"> </v>
      </c>
      <c r="U391" s="100"/>
      <c r="V391" s="100" t="str">
        <f t="shared" si="45"/>
        <v xml:space="preserve"> </v>
      </c>
      <c r="W391" s="101">
        <f t="shared" si="48"/>
        <v>24</v>
      </c>
      <c r="X391" s="102">
        <f t="shared" si="49"/>
        <v>0</v>
      </c>
      <c r="Y391" s="100" t="str">
        <f t="shared" si="50"/>
        <v xml:space="preserve"> </v>
      </c>
      <c r="Z391" s="100" t="str">
        <f t="shared" si="51"/>
        <v xml:space="preserve"> </v>
      </c>
    </row>
    <row r="392" spans="1:26">
      <c r="A392" s="100"/>
      <c r="B392" s="108" t="str">
        <f>IFERROR(VLOOKUP(Tablo519[[#This Row],[ÜRÜN KODU]],YMKODLARI!$A$1:$K$379,2,0)," ")</f>
        <v xml:space="preserve"> </v>
      </c>
      <c r="C392" s="99"/>
      <c r="D392" s="100"/>
      <c r="E392" s="101"/>
      <c r="F392" s="101"/>
      <c r="G392" s="100" t="str">
        <f>IFERROR(VLOOKUP(Tablo519[[#This Row],[ÜRÜN KODU]],YMKODLARI!$A$1:$K$379,3,0)," ")</f>
        <v xml:space="preserve"> </v>
      </c>
      <c r="H392" s="100" t="str">
        <f>IFERROR(VLOOKUP(Tablo519[[#This Row],[ÜRÜN KODU]],YMKODLARI!$A$1:$K$379,4,0)," ")</f>
        <v xml:space="preserve"> </v>
      </c>
      <c r="I392" s="100"/>
      <c r="J392" s="100" t="str">
        <f>IFERROR(VLOOKUP(Tablo519[[#This Row],[ÜRÜN KODU]],YMKODLARI!$A$1:$K$379,9,0)," ")</f>
        <v xml:space="preserve"> </v>
      </c>
      <c r="K392" s="100" t="str">
        <f>IFERROR(VLOOKUP(Tablo519[[#This Row],[BOYA KODU]],Tablo14[#All],4,0)," ")</f>
        <v xml:space="preserve"> </v>
      </c>
      <c r="L392" s="100" t="str">
        <f>IFERROR(VLOOKUP(Tablo519[[#This Row],[BOYA KODU]],Tablo14[#All],6,0)," ")</f>
        <v xml:space="preserve"> </v>
      </c>
      <c r="M392" s="100" t="str">
        <f t="shared" si="46"/>
        <v xml:space="preserve"> </v>
      </c>
      <c r="N392" s="100" t="str">
        <f>IFERROR(VLOOKUP(Tablo519[[#This Row],[ÜRÜN KODU]],YMKODLARI!$A$1:$K$363,8,0)," ")</f>
        <v xml:space="preserve"> </v>
      </c>
      <c r="O392" s="100" t="str">
        <f>IFERROR(VLOOKUP(Tablo519[[#This Row],[HAMMADDE KODU]],Tablo1[#All],3,0)," ")</f>
        <v xml:space="preserve"> </v>
      </c>
      <c r="P392" s="100" t="str">
        <f>IFERROR(VLOOKUP(Tablo519[[#This Row],[HAMMADDE KODU]],Tablo1[#All],4,0)," ")</f>
        <v xml:space="preserve"> </v>
      </c>
      <c r="Q392" s="100" t="str">
        <f>IFERROR(VLOOKUP(Tablo519[[#This Row],[ÜRÜN KODU]],YMKODLARI!$A$1:$K$379,5,0)," ")</f>
        <v xml:space="preserve"> </v>
      </c>
      <c r="R392" s="100" t="str">
        <f>IFERROR(VLOOKUP(Tablo519[[#This Row],[ÜRÜN KODU]],YMKODLARI!$A$1:$K$379,6,0)," ")</f>
        <v xml:space="preserve"> </v>
      </c>
      <c r="S392" s="100" t="str">
        <f>IFERROR(Tablo519[[#This Row],[YOLLUK HARİÇ BASKI GRAMI]]/Tablo519[[#This Row],[KALIP GÖZ ADEDİ]]," ")</f>
        <v xml:space="preserve"> </v>
      </c>
      <c r="T392" s="100" t="str">
        <f t="shared" si="47"/>
        <v xml:space="preserve"> </v>
      </c>
      <c r="U392" s="100"/>
      <c r="V392" s="100" t="str">
        <f t="shared" si="45"/>
        <v xml:space="preserve"> </v>
      </c>
      <c r="W392" s="101">
        <f t="shared" si="48"/>
        <v>24</v>
      </c>
      <c r="X392" s="102">
        <f t="shared" si="49"/>
        <v>0</v>
      </c>
      <c r="Y392" s="100" t="str">
        <f t="shared" si="50"/>
        <v xml:space="preserve"> </v>
      </c>
      <c r="Z392" s="100" t="str">
        <f t="shared" si="51"/>
        <v xml:space="preserve"> </v>
      </c>
    </row>
    <row r="393" spans="1:26">
      <c r="A393" s="100"/>
      <c r="B393" s="108" t="str">
        <f>IFERROR(VLOOKUP(Tablo519[[#This Row],[ÜRÜN KODU]],YMKODLARI!$A$1:$K$379,2,0)," ")</f>
        <v xml:space="preserve"> </v>
      </c>
      <c r="C393" s="99"/>
      <c r="D393" s="100"/>
      <c r="E393" s="101"/>
      <c r="F393" s="101"/>
      <c r="G393" s="100" t="str">
        <f>IFERROR(VLOOKUP(Tablo519[[#This Row],[ÜRÜN KODU]],YMKODLARI!$A$1:$K$379,3,0)," ")</f>
        <v xml:space="preserve"> </v>
      </c>
      <c r="H393" s="100" t="str">
        <f>IFERROR(VLOOKUP(Tablo519[[#This Row],[ÜRÜN KODU]],YMKODLARI!$A$1:$K$379,4,0)," ")</f>
        <v xml:space="preserve"> </v>
      </c>
      <c r="I393" s="100"/>
      <c r="J393" s="100" t="str">
        <f>IFERROR(VLOOKUP(Tablo519[[#This Row],[ÜRÜN KODU]],YMKODLARI!$A$1:$K$379,9,0)," ")</f>
        <v xml:space="preserve"> </v>
      </c>
      <c r="K393" s="100" t="str">
        <f>IFERROR(VLOOKUP(Tablo519[[#This Row],[BOYA KODU]],Tablo14[#All],4,0)," ")</f>
        <v xml:space="preserve"> </v>
      </c>
      <c r="L393" s="100" t="str">
        <f>IFERROR(VLOOKUP(Tablo519[[#This Row],[BOYA KODU]],Tablo14[#All],6,0)," ")</f>
        <v xml:space="preserve"> </v>
      </c>
      <c r="M393" s="100" t="str">
        <f t="shared" si="46"/>
        <v xml:space="preserve"> </v>
      </c>
      <c r="N393" s="100" t="str">
        <f>IFERROR(VLOOKUP(Tablo519[[#This Row],[ÜRÜN KODU]],YMKODLARI!$A$1:$K$363,8,0)," ")</f>
        <v xml:space="preserve"> </v>
      </c>
      <c r="O393" s="100" t="str">
        <f>IFERROR(VLOOKUP(Tablo519[[#This Row],[HAMMADDE KODU]],Tablo1[#All],3,0)," ")</f>
        <v xml:space="preserve"> </v>
      </c>
      <c r="P393" s="100" t="str">
        <f>IFERROR(VLOOKUP(Tablo519[[#This Row],[HAMMADDE KODU]],Tablo1[#All],4,0)," ")</f>
        <v xml:space="preserve"> </v>
      </c>
      <c r="Q393" s="100" t="str">
        <f>IFERROR(VLOOKUP(Tablo519[[#This Row],[ÜRÜN KODU]],YMKODLARI!$A$1:$K$379,5,0)," ")</f>
        <v xml:space="preserve"> </v>
      </c>
      <c r="R393" s="100" t="str">
        <f>IFERROR(VLOOKUP(Tablo519[[#This Row],[ÜRÜN KODU]],YMKODLARI!$A$1:$K$379,6,0)," ")</f>
        <v xml:space="preserve"> </v>
      </c>
      <c r="S393" s="100" t="str">
        <f>IFERROR(Tablo519[[#This Row],[YOLLUK HARİÇ BASKI GRAMI]]/Tablo519[[#This Row],[KALIP GÖZ ADEDİ]]," ")</f>
        <v xml:space="preserve"> </v>
      </c>
      <c r="T393" s="100" t="str">
        <f t="shared" si="47"/>
        <v xml:space="preserve"> </v>
      </c>
      <c r="U393" s="100"/>
      <c r="V393" s="100" t="str">
        <f t="shared" si="45"/>
        <v xml:space="preserve"> </v>
      </c>
      <c r="W393" s="101">
        <f t="shared" si="48"/>
        <v>24</v>
      </c>
      <c r="X393" s="102">
        <f t="shared" si="49"/>
        <v>0</v>
      </c>
      <c r="Y393" s="100" t="str">
        <f t="shared" si="50"/>
        <v xml:space="preserve"> </v>
      </c>
      <c r="Z393" s="100" t="str">
        <f t="shared" si="51"/>
        <v xml:space="preserve"> </v>
      </c>
    </row>
    <row r="394" spans="1:26">
      <c r="A394" s="100"/>
      <c r="B394" s="108" t="str">
        <f>IFERROR(VLOOKUP(Tablo519[[#This Row],[ÜRÜN KODU]],YMKODLARI!$A$1:$K$379,2,0)," ")</f>
        <v xml:space="preserve"> </v>
      </c>
      <c r="C394" s="99"/>
      <c r="D394" s="100"/>
      <c r="E394" s="101"/>
      <c r="F394" s="101"/>
      <c r="G394" s="100" t="str">
        <f>IFERROR(VLOOKUP(Tablo519[[#This Row],[ÜRÜN KODU]],YMKODLARI!$A$1:$K$379,3,0)," ")</f>
        <v xml:space="preserve"> </v>
      </c>
      <c r="H394" s="100" t="str">
        <f>IFERROR(VLOOKUP(Tablo519[[#This Row],[ÜRÜN KODU]],YMKODLARI!$A$1:$K$379,4,0)," ")</f>
        <v xml:space="preserve"> </v>
      </c>
      <c r="I394" s="100"/>
      <c r="J394" s="100" t="str">
        <f>IFERROR(VLOOKUP(Tablo519[[#This Row],[ÜRÜN KODU]],YMKODLARI!$A$1:$K$379,9,0)," ")</f>
        <v xml:space="preserve"> </v>
      </c>
      <c r="K394" s="100" t="str">
        <f>IFERROR(VLOOKUP(Tablo519[[#This Row],[BOYA KODU]],Tablo14[#All],4,0)," ")</f>
        <v xml:space="preserve"> </v>
      </c>
      <c r="L394" s="100" t="str">
        <f>IFERROR(VLOOKUP(Tablo519[[#This Row],[BOYA KODU]],Tablo14[#All],6,0)," ")</f>
        <v xml:space="preserve"> </v>
      </c>
      <c r="M394" s="100" t="str">
        <f t="shared" si="46"/>
        <v xml:space="preserve"> </v>
      </c>
      <c r="N394" s="100" t="str">
        <f>IFERROR(VLOOKUP(Tablo519[[#This Row],[ÜRÜN KODU]],YMKODLARI!$A$1:$K$363,8,0)," ")</f>
        <v xml:space="preserve"> </v>
      </c>
      <c r="O394" s="100" t="str">
        <f>IFERROR(VLOOKUP(Tablo519[[#This Row],[HAMMADDE KODU]],Tablo1[#All],3,0)," ")</f>
        <v xml:space="preserve"> </v>
      </c>
      <c r="P394" s="100" t="str">
        <f>IFERROR(VLOOKUP(Tablo519[[#This Row],[HAMMADDE KODU]],Tablo1[#All],4,0)," ")</f>
        <v xml:space="preserve"> </v>
      </c>
      <c r="Q394" s="100" t="str">
        <f>IFERROR(VLOOKUP(Tablo519[[#This Row],[ÜRÜN KODU]],YMKODLARI!$A$1:$K$379,5,0)," ")</f>
        <v xml:space="preserve"> </v>
      </c>
      <c r="R394" s="100" t="str">
        <f>IFERROR(VLOOKUP(Tablo519[[#This Row],[ÜRÜN KODU]],YMKODLARI!$A$1:$K$379,6,0)," ")</f>
        <v xml:space="preserve"> </v>
      </c>
      <c r="S394" s="100" t="str">
        <f>IFERROR(Tablo519[[#This Row],[YOLLUK HARİÇ BASKI GRAMI]]/Tablo519[[#This Row],[KALIP GÖZ ADEDİ]]," ")</f>
        <v xml:space="preserve"> </v>
      </c>
      <c r="T394" s="100" t="str">
        <f t="shared" si="47"/>
        <v xml:space="preserve"> </v>
      </c>
      <c r="U394" s="100"/>
      <c r="V394" s="100" t="str">
        <f t="shared" si="45"/>
        <v xml:space="preserve"> </v>
      </c>
      <c r="W394" s="101">
        <f t="shared" si="48"/>
        <v>24</v>
      </c>
      <c r="X394" s="102">
        <f t="shared" si="49"/>
        <v>0</v>
      </c>
      <c r="Y394" s="100" t="str">
        <f t="shared" si="50"/>
        <v xml:space="preserve"> </v>
      </c>
      <c r="Z394" s="100" t="str">
        <f t="shared" si="51"/>
        <v xml:space="preserve"> </v>
      </c>
    </row>
    <row r="395" spans="1:26">
      <c r="A395" s="100"/>
      <c r="B395" s="108" t="str">
        <f>IFERROR(VLOOKUP(Tablo519[[#This Row],[ÜRÜN KODU]],YMKODLARI!$A$1:$K$379,2,0)," ")</f>
        <v xml:space="preserve"> </v>
      </c>
      <c r="C395" s="99"/>
      <c r="D395" s="100"/>
      <c r="E395" s="101"/>
      <c r="F395" s="101"/>
      <c r="G395" s="100" t="str">
        <f>IFERROR(VLOOKUP(Tablo519[[#This Row],[ÜRÜN KODU]],YMKODLARI!$A$1:$K$379,3,0)," ")</f>
        <v xml:space="preserve"> </v>
      </c>
      <c r="H395" s="100" t="str">
        <f>IFERROR(VLOOKUP(Tablo519[[#This Row],[ÜRÜN KODU]],YMKODLARI!$A$1:$K$379,4,0)," ")</f>
        <v xml:space="preserve"> </v>
      </c>
      <c r="I395" s="100"/>
      <c r="J395" s="100" t="str">
        <f>IFERROR(VLOOKUP(Tablo519[[#This Row],[ÜRÜN KODU]],YMKODLARI!$A$1:$K$379,9,0)," ")</f>
        <v xml:space="preserve"> </v>
      </c>
      <c r="K395" s="100" t="str">
        <f>IFERROR(VLOOKUP(Tablo519[[#This Row],[BOYA KODU]],Tablo14[#All],4,0)," ")</f>
        <v xml:space="preserve"> </v>
      </c>
      <c r="L395" s="100" t="str">
        <f>IFERROR(VLOOKUP(Tablo519[[#This Row],[BOYA KODU]],Tablo14[#All],6,0)," ")</f>
        <v xml:space="preserve"> </v>
      </c>
      <c r="M395" s="100" t="str">
        <f t="shared" si="46"/>
        <v xml:space="preserve"> </v>
      </c>
      <c r="N395" s="100" t="str">
        <f>IFERROR(VLOOKUP(Tablo519[[#This Row],[ÜRÜN KODU]],YMKODLARI!$A$1:$K$363,8,0)," ")</f>
        <v xml:space="preserve"> </v>
      </c>
      <c r="O395" s="100" t="str">
        <f>IFERROR(VLOOKUP(Tablo519[[#This Row],[HAMMADDE KODU]],Tablo1[#All],3,0)," ")</f>
        <v xml:space="preserve"> </v>
      </c>
      <c r="P395" s="100" t="str">
        <f>IFERROR(VLOOKUP(Tablo519[[#This Row],[HAMMADDE KODU]],Tablo1[#All],4,0)," ")</f>
        <v xml:space="preserve"> </v>
      </c>
      <c r="Q395" s="100" t="str">
        <f>IFERROR(VLOOKUP(Tablo519[[#This Row],[ÜRÜN KODU]],YMKODLARI!$A$1:$K$379,5,0)," ")</f>
        <v xml:space="preserve"> </v>
      </c>
      <c r="R395" s="100" t="str">
        <f>IFERROR(VLOOKUP(Tablo519[[#This Row],[ÜRÜN KODU]],YMKODLARI!$A$1:$K$379,6,0)," ")</f>
        <v xml:space="preserve"> </v>
      </c>
      <c r="S395" s="100" t="str">
        <f>IFERROR(Tablo519[[#This Row],[YOLLUK HARİÇ BASKI GRAMI]]/Tablo519[[#This Row],[KALIP GÖZ ADEDİ]]," ")</f>
        <v xml:space="preserve"> </v>
      </c>
      <c r="T395" s="100" t="str">
        <f t="shared" si="47"/>
        <v xml:space="preserve"> </v>
      </c>
      <c r="U395" s="100"/>
      <c r="V395" s="100" t="str">
        <f t="shared" si="45"/>
        <v xml:space="preserve"> </v>
      </c>
      <c r="W395" s="101">
        <f t="shared" si="48"/>
        <v>24</v>
      </c>
      <c r="X395" s="102">
        <f t="shared" si="49"/>
        <v>0</v>
      </c>
      <c r="Y395" s="100" t="str">
        <f t="shared" si="50"/>
        <v xml:space="preserve"> </v>
      </c>
      <c r="Z395" s="100" t="str">
        <f t="shared" si="51"/>
        <v xml:space="preserve"> </v>
      </c>
    </row>
    <row r="396" spans="1:26">
      <c r="A396" s="100"/>
      <c r="B396" s="108" t="str">
        <f>IFERROR(VLOOKUP(Tablo519[[#This Row],[ÜRÜN KODU]],YMKODLARI!$A$1:$K$379,2,0)," ")</f>
        <v xml:space="preserve"> </v>
      </c>
      <c r="C396" s="99"/>
      <c r="D396" s="100"/>
      <c r="E396" s="101"/>
      <c r="F396" s="101"/>
      <c r="G396" s="100" t="str">
        <f>IFERROR(VLOOKUP(Tablo519[[#This Row],[ÜRÜN KODU]],YMKODLARI!$A$1:$K$379,3,0)," ")</f>
        <v xml:space="preserve"> </v>
      </c>
      <c r="H396" s="100" t="str">
        <f>IFERROR(VLOOKUP(Tablo519[[#This Row],[ÜRÜN KODU]],YMKODLARI!$A$1:$K$379,4,0)," ")</f>
        <v xml:space="preserve"> </v>
      </c>
      <c r="I396" s="100"/>
      <c r="J396" s="100" t="str">
        <f>IFERROR(VLOOKUP(Tablo519[[#This Row],[ÜRÜN KODU]],YMKODLARI!$A$1:$K$379,9,0)," ")</f>
        <v xml:space="preserve"> </v>
      </c>
      <c r="K396" s="100" t="str">
        <f>IFERROR(VLOOKUP(Tablo519[[#This Row],[BOYA KODU]],Tablo14[#All],4,0)," ")</f>
        <v xml:space="preserve"> </v>
      </c>
      <c r="L396" s="100" t="str">
        <f>IFERROR(VLOOKUP(Tablo519[[#This Row],[BOYA KODU]],Tablo14[#All],6,0)," ")</f>
        <v xml:space="preserve"> </v>
      </c>
      <c r="M396" s="100" t="str">
        <f t="shared" si="46"/>
        <v xml:space="preserve"> </v>
      </c>
      <c r="N396" s="100" t="str">
        <f>IFERROR(VLOOKUP(Tablo519[[#This Row],[ÜRÜN KODU]],YMKODLARI!$A$1:$K$363,8,0)," ")</f>
        <v xml:space="preserve"> </v>
      </c>
      <c r="O396" s="100" t="str">
        <f>IFERROR(VLOOKUP(Tablo519[[#This Row],[HAMMADDE KODU]],Tablo1[#All],3,0)," ")</f>
        <v xml:space="preserve"> </v>
      </c>
      <c r="P396" s="100" t="str">
        <f>IFERROR(VLOOKUP(Tablo519[[#This Row],[HAMMADDE KODU]],Tablo1[#All],4,0)," ")</f>
        <v xml:space="preserve"> </v>
      </c>
      <c r="Q396" s="100" t="str">
        <f>IFERROR(VLOOKUP(Tablo519[[#This Row],[ÜRÜN KODU]],YMKODLARI!$A$1:$K$379,5,0)," ")</f>
        <v xml:space="preserve"> </v>
      </c>
      <c r="R396" s="100" t="str">
        <f>IFERROR(VLOOKUP(Tablo519[[#This Row],[ÜRÜN KODU]],YMKODLARI!$A$1:$K$379,6,0)," ")</f>
        <v xml:space="preserve"> </v>
      </c>
      <c r="S396" s="100" t="str">
        <f>IFERROR(Tablo519[[#This Row],[YOLLUK HARİÇ BASKI GRAMI]]/Tablo519[[#This Row],[KALIP GÖZ ADEDİ]]," ")</f>
        <v xml:space="preserve"> </v>
      </c>
      <c r="T396" s="100" t="str">
        <f t="shared" si="47"/>
        <v xml:space="preserve"> </v>
      </c>
      <c r="U396" s="100"/>
      <c r="V396" s="100" t="str">
        <f t="shared" si="45"/>
        <v xml:space="preserve"> </v>
      </c>
      <c r="W396" s="101">
        <f t="shared" si="48"/>
        <v>24</v>
      </c>
      <c r="X396" s="102">
        <f t="shared" si="49"/>
        <v>0</v>
      </c>
      <c r="Y396" s="100" t="str">
        <f t="shared" si="50"/>
        <v xml:space="preserve"> </v>
      </c>
      <c r="Z396" s="100" t="str">
        <f t="shared" si="51"/>
        <v xml:space="preserve"> </v>
      </c>
    </row>
    <row r="397" spans="1:26">
      <c r="A397" s="100"/>
      <c r="B397" s="108" t="str">
        <f>IFERROR(VLOOKUP(Tablo519[[#This Row],[ÜRÜN KODU]],YMKODLARI!$A$1:$K$379,2,0)," ")</f>
        <v xml:space="preserve"> </v>
      </c>
      <c r="C397" s="99"/>
      <c r="D397" s="100"/>
      <c r="E397" s="101"/>
      <c r="F397" s="101"/>
      <c r="G397" s="100" t="str">
        <f>IFERROR(VLOOKUP(Tablo519[[#This Row],[ÜRÜN KODU]],YMKODLARI!$A$1:$K$379,3,0)," ")</f>
        <v xml:space="preserve"> </v>
      </c>
      <c r="H397" s="100" t="str">
        <f>IFERROR(VLOOKUP(Tablo519[[#This Row],[ÜRÜN KODU]],YMKODLARI!$A$1:$K$379,4,0)," ")</f>
        <v xml:space="preserve"> </v>
      </c>
      <c r="I397" s="100"/>
      <c r="J397" s="100" t="str">
        <f>IFERROR(VLOOKUP(Tablo519[[#This Row],[ÜRÜN KODU]],YMKODLARI!$A$1:$K$379,9,0)," ")</f>
        <v xml:space="preserve"> </v>
      </c>
      <c r="K397" s="100" t="str">
        <f>IFERROR(VLOOKUP(Tablo519[[#This Row],[BOYA KODU]],Tablo14[#All],4,0)," ")</f>
        <v xml:space="preserve"> </v>
      </c>
      <c r="L397" s="100" t="str">
        <f>IFERROR(VLOOKUP(Tablo519[[#This Row],[BOYA KODU]],Tablo14[#All],6,0)," ")</f>
        <v xml:space="preserve"> </v>
      </c>
      <c r="M397" s="100" t="str">
        <f t="shared" si="46"/>
        <v xml:space="preserve"> </v>
      </c>
      <c r="N397" s="100" t="str">
        <f>IFERROR(VLOOKUP(Tablo519[[#This Row],[ÜRÜN KODU]],YMKODLARI!$A$1:$K$363,8,0)," ")</f>
        <v xml:space="preserve"> </v>
      </c>
      <c r="O397" s="100" t="str">
        <f>IFERROR(VLOOKUP(Tablo519[[#This Row],[HAMMADDE KODU]],Tablo1[#All],3,0)," ")</f>
        <v xml:space="preserve"> </v>
      </c>
      <c r="P397" s="100" t="str">
        <f>IFERROR(VLOOKUP(Tablo519[[#This Row],[HAMMADDE KODU]],Tablo1[#All],4,0)," ")</f>
        <v xml:space="preserve"> </v>
      </c>
      <c r="Q397" s="100" t="str">
        <f>IFERROR(VLOOKUP(Tablo519[[#This Row],[ÜRÜN KODU]],YMKODLARI!$A$1:$K$379,5,0)," ")</f>
        <v xml:space="preserve"> </v>
      </c>
      <c r="R397" s="100" t="str">
        <f>IFERROR(VLOOKUP(Tablo519[[#This Row],[ÜRÜN KODU]],YMKODLARI!$A$1:$K$379,6,0)," ")</f>
        <v xml:space="preserve"> </v>
      </c>
      <c r="S397" s="100" t="str">
        <f>IFERROR(Tablo519[[#This Row],[YOLLUK HARİÇ BASKI GRAMI]]/Tablo519[[#This Row],[KALIP GÖZ ADEDİ]]," ")</f>
        <v xml:space="preserve"> </v>
      </c>
      <c r="T397" s="100" t="str">
        <f t="shared" si="47"/>
        <v xml:space="preserve"> </v>
      </c>
      <c r="U397" s="100"/>
      <c r="V397" s="100" t="str">
        <f t="shared" si="45"/>
        <v xml:space="preserve"> </v>
      </c>
      <c r="W397" s="101">
        <f t="shared" si="48"/>
        <v>24</v>
      </c>
      <c r="X397" s="102">
        <f t="shared" si="49"/>
        <v>0</v>
      </c>
      <c r="Y397" s="100" t="str">
        <f t="shared" si="50"/>
        <v xml:space="preserve"> </v>
      </c>
      <c r="Z397" s="100" t="str">
        <f t="shared" si="51"/>
        <v xml:space="preserve"> </v>
      </c>
    </row>
    <row r="398" spans="1:26">
      <c r="A398" s="100"/>
      <c r="B398" s="108" t="str">
        <f>IFERROR(VLOOKUP(Tablo519[[#This Row],[ÜRÜN KODU]],YMKODLARI!$A$1:$K$379,2,0)," ")</f>
        <v xml:space="preserve"> </v>
      </c>
      <c r="C398" s="99"/>
      <c r="D398" s="100"/>
      <c r="E398" s="101"/>
      <c r="F398" s="101"/>
      <c r="G398" s="100" t="str">
        <f>IFERROR(VLOOKUP(Tablo519[[#This Row],[ÜRÜN KODU]],YMKODLARI!$A$1:$K$379,3,0)," ")</f>
        <v xml:space="preserve"> </v>
      </c>
      <c r="H398" s="100" t="str">
        <f>IFERROR(VLOOKUP(Tablo519[[#This Row],[ÜRÜN KODU]],YMKODLARI!$A$1:$K$379,4,0)," ")</f>
        <v xml:space="preserve"> </v>
      </c>
      <c r="I398" s="100"/>
      <c r="J398" s="100" t="str">
        <f>IFERROR(VLOOKUP(Tablo519[[#This Row],[ÜRÜN KODU]],YMKODLARI!$A$1:$K$379,9,0)," ")</f>
        <v xml:space="preserve"> </v>
      </c>
      <c r="K398" s="100" t="str">
        <f>IFERROR(VLOOKUP(Tablo519[[#This Row],[BOYA KODU]],Tablo14[#All],4,0)," ")</f>
        <v xml:space="preserve"> </v>
      </c>
      <c r="L398" s="100" t="str">
        <f>IFERROR(VLOOKUP(Tablo519[[#This Row],[BOYA KODU]],Tablo14[#All],6,0)," ")</f>
        <v xml:space="preserve"> </v>
      </c>
      <c r="M398" s="100" t="str">
        <f t="shared" si="46"/>
        <v xml:space="preserve"> </v>
      </c>
      <c r="N398" s="100" t="str">
        <f>IFERROR(VLOOKUP(Tablo519[[#This Row],[ÜRÜN KODU]],YMKODLARI!$A$1:$K$363,8,0)," ")</f>
        <v xml:space="preserve"> </v>
      </c>
      <c r="O398" s="100" t="str">
        <f>IFERROR(VLOOKUP(Tablo519[[#This Row],[HAMMADDE KODU]],Tablo1[#All],3,0)," ")</f>
        <v xml:space="preserve"> </v>
      </c>
      <c r="P398" s="100" t="str">
        <f>IFERROR(VLOOKUP(Tablo519[[#This Row],[HAMMADDE KODU]],Tablo1[#All],4,0)," ")</f>
        <v xml:space="preserve"> </v>
      </c>
      <c r="Q398" s="100" t="str">
        <f>IFERROR(VLOOKUP(Tablo519[[#This Row],[ÜRÜN KODU]],YMKODLARI!$A$1:$K$379,5,0)," ")</f>
        <v xml:space="preserve"> </v>
      </c>
      <c r="R398" s="100" t="str">
        <f>IFERROR(VLOOKUP(Tablo519[[#This Row],[ÜRÜN KODU]],YMKODLARI!$A$1:$K$379,6,0)," ")</f>
        <v xml:space="preserve"> </v>
      </c>
      <c r="S398" s="100" t="str">
        <f>IFERROR(Tablo519[[#This Row],[YOLLUK HARİÇ BASKI GRAMI]]/Tablo519[[#This Row],[KALIP GÖZ ADEDİ]]," ")</f>
        <v xml:space="preserve"> </v>
      </c>
      <c r="T398" s="100" t="str">
        <f t="shared" si="47"/>
        <v xml:space="preserve"> </v>
      </c>
      <c r="U398" s="100"/>
      <c r="V398" s="100" t="str">
        <f t="shared" si="45"/>
        <v xml:space="preserve"> </v>
      </c>
      <c r="W398" s="101">
        <f t="shared" si="48"/>
        <v>24</v>
      </c>
      <c r="X398" s="102">
        <f t="shared" si="49"/>
        <v>0</v>
      </c>
      <c r="Y398" s="100" t="str">
        <f t="shared" si="50"/>
        <v xml:space="preserve"> </v>
      </c>
      <c r="Z398" s="100" t="str">
        <f t="shared" si="51"/>
        <v xml:space="preserve"> </v>
      </c>
    </row>
    <row r="399" spans="1:26">
      <c r="A399" s="100"/>
      <c r="B399" s="108" t="str">
        <f>IFERROR(VLOOKUP(Tablo519[[#This Row],[ÜRÜN KODU]],YMKODLARI!$A$1:$K$379,2,0)," ")</f>
        <v xml:space="preserve"> </v>
      </c>
      <c r="C399" s="99"/>
      <c r="D399" s="100"/>
      <c r="E399" s="101"/>
      <c r="F399" s="101"/>
      <c r="G399" s="100" t="str">
        <f>IFERROR(VLOOKUP(Tablo519[[#This Row],[ÜRÜN KODU]],YMKODLARI!$A$1:$K$379,3,0)," ")</f>
        <v xml:space="preserve"> </v>
      </c>
      <c r="H399" s="100" t="str">
        <f>IFERROR(VLOOKUP(Tablo519[[#This Row],[ÜRÜN KODU]],YMKODLARI!$A$1:$K$379,4,0)," ")</f>
        <v xml:space="preserve"> </v>
      </c>
      <c r="I399" s="100"/>
      <c r="J399" s="100" t="str">
        <f>IFERROR(VLOOKUP(Tablo519[[#This Row],[ÜRÜN KODU]],YMKODLARI!$A$1:$K$379,9,0)," ")</f>
        <v xml:space="preserve"> </v>
      </c>
      <c r="K399" s="100" t="str">
        <f>IFERROR(VLOOKUP(Tablo519[[#This Row],[BOYA KODU]],Tablo14[#All],4,0)," ")</f>
        <v xml:space="preserve"> </v>
      </c>
      <c r="L399" s="100" t="str">
        <f>IFERROR(VLOOKUP(Tablo519[[#This Row],[BOYA KODU]],Tablo14[#All],6,0)," ")</f>
        <v xml:space="preserve"> </v>
      </c>
      <c r="M399" s="100" t="str">
        <f t="shared" si="46"/>
        <v xml:space="preserve"> </v>
      </c>
      <c r="N399" s="100" t="str">
        <f>IFERROR(VLOOKUP(Tablo519[[#This Row],[ÜRÜN KODU]],YMKODLARI!$A$1:$K$363,8,0)," ")</f>
        <v xml:space="preserve"> </v>
      </c>
      <c r="O399" s="100" t="str">
        <f>IFERROR(VLOOKUP(Tablo519[[#This Row],[HAMMADDE KODU]],Tablo1[#All],3,0)," ")</f>
        <v xml:space="preserve"> </v>
      </c>
      <c r="P399" s="100" t="str">
        <f>IFERROR(VLOOKUP(Tablo519[[#This Row],[HAMMADDE KODU]],Tablo1[#All],4,0)," ")</f>
        <v xml:space="preserve"> </v>
      </c>
      <c r="Q399" s="100" t="str">
        <f>IFERROR(VLOOKUP(Tablo519[[#This Row],[ÜRÜN KODU]],YMKODLARI!$A$1:$K$379,5,0)," ")</f>
        <v xml:space="preserve"> </v>
      </c>
      <c r="R399" s="100" t="str">
        <f>IFERROR(VLOOKUP(Tablo519[[#This Row],[ÜRÜN KODU]],YMKODLARI!$A$1:$K$379,6,0)," ")</f>
        <v xml:space="preserve"> </v>
      </c>
      <c r="S399" s="100" t="str">
        <f>IFERROR(Tablo519[[#This Row],[YOLLUK HARİÇ BASKI GRAMI]]/Tablo519[[#This Row],[KALIP GÖZ ADEDİ]]," ")</f>
        <v xml:space="preserve"> </v>
      </c>
      <c r="T399" s="100" t="str">
        <f t="shared" si="47"/>
        <v xml:space="preserve"> </v>
      </c>
      <c r="U399" s="100"/>
      <c r="V399" s="100" t="str">
        <f t="shared" si="45"/>
        <v xml:space="preserve"> </v>
      </c>
      <c r="W399" s="101">
        <f t="shared" si="48"/>
        <v>24</v>
      </c>
      <c r="X399" s="102">
        <f t="shared" si="49"/>
        <v>0</v>
      </c>
      <c r="Y399" s="100" t="str">
        <f t="shared" si="50"/>
        <v xml:space="preserve"> </v>
      </c>
      <c r="Z399" s="100" t="str">
        <f t="shared" si="51"/>
        <v xml:space="preserve"> </v>
      </c>
    </row>
    <row r="400" spans="1:26">
      <c r="A400" s="100"/>
      <c r="B400" s="108" t="str">
        <f>IFERROR(VLOOKUP(Tablo519[[#This Row],[ÜRÜN KODU]],YMKODLARI!$A$1:$K$379,2,0)," ")</f>
        <v xml:space="preserve"> </v>
      </c>
      <c r="C400" s="99"/>
      <c r="D400" s="100"/>
      <c r="E400" s="101"/>
      <c r="F400" s="101"/>
      <c r="G400" s="100" t="str">
        <f>IFERROR(VLOOKUP(Tablo519[[#This Row],[ÜRÜN KODU]],YMKODLARI!$A$1:$K$379,3,0)," ")</f>
        <v xml:space="preserve"> </v>
      </c>
      <c r="H400" s="100" t="str">
        <f>IFERROR(VLOOKUP(Tablo519[[#This Row],[ÜRÜN KODU]],YMKODLARI!$A$1:$K$379,4,0)," ")</f>
        <v xml:space="preserve"> </v>
      </c>
      <c r="I400" s="100"/>
      <c r="J400" s="100" t="str">
        <f>IFERROR(VLOOKUP(Tablo519[[#This Row],[ÜRÜN KODU]],YMKODLARI!$A$1:$K$379,9,0)," ")</f>
        <v xml:space="preserve"> </v>
      </c>
      <c r="K400" s="100" t="str">
        <f>IFERROR(VLOOKUP(Tablo519[[#This Row],[BOYA KODU]],Tablo14[#All],4,0)," ")</f>
        <v xml:space="preserve"> </v>
      </c>
      <c r="L400" s="100" t="str">
        <f>IFERROR(VLOOKUP(Tablo519[[#This Row],[BOYA KODU]],Tablo14[#All],6,0)," ")</f>
        <v xml:space="preserve"> </v>
      </c>
      <c r="M400" s="100" t="str">
        <f t="shared" si="46"/>
        <v xml:space="preserve"> </v>
      </c>
      <c r="N400" s="100" t="str">
        <f>IFERROR(VLOOKUP(Tablo519[[#This Row],[ÜRÜN KODU]],YMKODLARI!$A$1:$K$363,8,0)," ")</f>
        <v xml:space="preserve"> </v>
      </c>
      <c r="O400" s="100" t="str">
        <f>IFERROR(VLOOKUP(Tablo519[[#This Row],[HAMMADDE KODU]],Tablo1[#All],3,0)," ")</f>
        <v xml:space="preserve"> </v>
      </c>
      <c r="P400" s="100" t="str">
        <f>IFERROR(VLOOKUP(Tablo519[[#This Row],[HAMMADDE KODU]],Tablo1[#All],4,0)," ")</f>
        <v xml:space="preserve"> </v>
      </c>
      <c r="Q400" s="100" t="str">
        <f>IFERROR(VLOOKUP(Tablo519[[#This Row],[ÜRÜN KODU]],YMKODLARI!$A$1:$K$379,5,0)," ")</f>
        <v xml:space="preserve"> </v>
      </c>
      <c r="R400" s="100" t="str">
        <f>IFERROR(VLOOKUP(Tablo519[[#This Row],[ÜRÜN KODU]],YMKODLARI!$A$1:$K$379,6,0)," ")</f>
        <v xml:space="preserve"> </v>
      </c>
      <c r="S400" s="100" t="str">
        <f>IFERROR(Tablo519[[#This Row],[YOLLUK HARİÇ BASKI GRAMI]]/Tablo519[[#This Row],[KALIP GÖZ ADEDİ]]," ")</f>
        <v xml:space="preserve"> </v>
      </c>
      <c r="T400" s="100" t="str">
        <f t="shared" si="47"/>
        <v xml:space="preserve"> </v>
      </c>
      <c r="U400" s="100"/>
      <c r="V400" s="100" t="str">
        <f t="shared" si="45"/>
        <v xml:space="preserve"> </v>
      </c>
      <c r="W400" s="101">
        <f t="shared" si="48"/>
        <v>24</v>
      </c>
      <c r="X400" s="102">
        <f t="shared" si="49"/>
        <v>0</v>
      </c>
      <c r="Y400" s="100" t="str">
        <f t="shared" si="50"/>
        <v xml:space="preserve"> </v>
      </c>
      <c r="Z400" s="100" t="str">
        <f t="shared" si="51"/>
        <v xml:space="preserve"> </v>
      </c>
    </row>
    <row r="401" spans="1:26">
      <c r="A401" s="100"/>
      <c r="B401" s="108" t="str">
        <f>IFERROR(VLOOKUP(Tablo519[[#This Row],[ÜRÜN KODU]],YMKODLARI!$A$1:$K$379,2,0)," ")</f>
        <v xml:space="preserve"> </v>
      </c>
      <c r="C401" s="99"/>
      <c r="D401" s="100"/>
      <c r="E401" s="101"/>
      <c r="F401" s="101"/>
      <c r="G401" s="100" t="str">
        <f>IFERROR(VLOOKUP(Tablo519[[#This Row],[ÜRÜN KODU]],YMKODLARI!$A$1:$K$379,3,0)," ")</f>
        <v xml:space="preserve"> </v>
      </c>
      <c r="H401" s="100" t="str">
        <f>IFERROR(VLOOKUP(Tablo519[[#This Row],[ÜRÜN KODU]],YMKODLARI!$A$1:$K$379,4,0)," ")</f>
        <v xml:space="preserve"> </v>
      </c>
      <c r="I401" s="100"/>
      <c r="J401" s="100" t="str">
        <f>IFERROR(VLOOKUP(Tablo519[[#This Row],[ÜRÜN KODU]],YMKODLARI!$A$1:$K$379,9,0)," ")</f>
        <v xml:space="preserve"> </v>
      </c>
      <c r="K401" s="100" t="str">
        <f>IFERROR(VLOOKUP(Tablo519[[#This Row],[BOYA KODU]],Tablo14[#All],4,0)," ")</f>
        <v xml:space="preserve"> </v>
      </c>
      <c r="L401" s="100" t="str">
        <f>IFERROR(VLOOKUP(Tablo519[[#This Row],[BOYA KODU]],Tablo14[#All],6,0)," ")</f>
        <v xml:space="preserve"> </v>
      </c>
      <c r="M401" s="100" t="str">
        <f t="shared" si="46"/>
        <v xml:space="preserve"> </v>
      </c>
      <c r="N401" s="100" t="str">
        <f>IFERROR(VLOOKUP(Tablo519[[#This Row],[ÜRÜN KODU]],YMKODLARI!$A$1:$K$363,8,0)," ")</f>
        <v xml:space="preserve"> </v>
      </c>
      <c r="O401" s="100" t="str">
        <f>IFERROR(VLOOKUP(Tablo519[[#This Row],[HAMMADDE KODU]],Tablo1[#All],3,0)," ")</f>
        <v xml:space="preserve"> </v>
      </c>
      <c r="P401" s="100" t="str">
        <f>IFERROR(VLOOKUP(Tablo519[[#This Row],[HAMMADDE KODU]],Tablo1[#All],4,0)," ")</f>
        <v xml:space="preserve"> </v>
      </c>
      <c r="Q401" s="100" t="str">
        <f>IFERROR(VLOOKUP(Tablo519[[#This Row],[ÜRÜN KODU]],YMKODLARI!$A$1:$K$379,5,0)," ")</f>
        <v xml:space="preserve"> </v>
      </c>
      <c r="R401" s="100" t="str">
        <f>IFERROR(VLOOKUP(Tablo519[[#This Row],[ÜRÜN KODU]],YMKODLARI!$A$1:$K$379,6,0)," ")</f>
        <v xml:space="preserve"> </v>
      </c>
      <c r="S401" s="100" t="str">
        <f>IFERROR(Tablo519[[#This Row],[YOLLUK HARİÇ BASKI GRAMI]]/Tablo519[[#This Row],[KALIP GÖZ ADEDİ]]," ")</f>
        <v xml:space="preserve"> </v>
      </c>
      <c r="T401" s="100" t="str">
        <f t="shared" si="47"/>
        <v xml:space="preserve"> </v>
      </c>
      <c r="U401" s="100"/>
      <c r="V401" s="100" t="str">
        <f t="shared" si="45"/>
        <v xml:space="preserve"> </v>
      </c>
      <c r="W401" s="101">
        <f t="shared" si="48"/>
        <v>24</v>
      </c>
      <c r="X401" s="102">
        <f t="shared" si="49"/>
        <v>0</v>
      </c>
      <c r="Y401" s="100" t="str">
        <f t="shared" si="50"/>
        <v xml:space="preserve"> </v>
      </c>
      <c r="Z401" s="100" t="str">
        <f t="shared" si="51"/>
        <v xml:space="preserve"> </v>
      </c>
    </row>
    <row r="402" spans="1:26">
      <c r="A402" s="100"/>
      <c r="B402" s="108" t="str">
        <f>IFERROR(VLOOKUP(Tablo519[[#This Row],[ÜRÜN KODU]],YMKODLARI!$A$1:$K$379,2,0)," ")</f>
        <v xml:space="preserve"> </v>
      </c>
      <c r="C402" s="99"/>
      <c r="D402" s="100"/>
      <c r="E402" s="101"/>
      <c r="F402" s="101"/>
      <c r="G402" s="100" t="str">
        <f>IFERROR(VLOOKUP(Tablo519[[#This Row],[ÜRÜN KODU]],YMKODLARI!$A$1:$K$379,3,0)," ")</f>
        <v xml:space="preserve"> </v>
      </c>
      <c r="H402" s="100" t="str">
        <f>IFERROR(VLOOKUP(Tablo519[[#This Row],[ÜRÜN KODU]],YMKODLARI!$A$1:$K$379,4,0)," ")</f>
        <v xml:space="preserve"> </v>
      </c>
      <c r="I402" s="100"/>
      <c r="J402" s="100" t="str">
        <f>IFERROR(VLOOKUP(Tablo519[[#This Row],[ÜRÜN KODU]],YMKODLARI!$A$1:$K$379,9,0)," ")</f>
        <v xml:space="preserve"> </v>
      </c>
      <c r="K402" s="100" t="str">
        <f>IFERROR(VLOOKUP(Tablo519[[#This Row],[BOYA KODU]],Tablo14[#All],4,0)," ")</f>
        <v xml:space="preserve"> </v>
      </c>
      <c r="L402" s="100" t="str">
        <f>IFERROR(VLOOKUP(Tablo519[[#This Row],[BOYA KODU]],Tablo14[#All],6,0)," ")</f>
        <v xml:space="preserve"> </v>
      </c>
      <c r="M402" s="100" t="str">
        <f t="shared" si="46"/>
        <v xml:space="preserve"> </v>
      </c>
      <c r="N402" s="100" t="str">
        <f>IFERROR(VLOOKUP(Tablo519[[#This Row],[ÜRÜN KODU]],YMKODLARI!$A$1:$K$363,8,0)," ")</f>
        <v xml:space="preserve"> </v>
      </c>
      <c r="O402" s="100" t="str">
        <f>IFERROR(VLOOKUP(Tablo519[[#This Row],[HAMMADDE KODU]],Tablo1[#All],3,0)," ")</f>
        <v xml:space="preserve"> </v>
      </c>
      <c r="P402" s="100" t="str">
        <f>IFERROR(VLOOKUP(Tablo519[[#This Row],[HAMMADDE KODU]],Tablo1[#All],4,0)," ")</f>
        <v xml:space="preserve"> </v>
      </c>
      <c r="Q402" s="100" t="str">
        <f>IFERROR(VLOOKUP(Tablo519[[#This Row],[ÜRÜN KODU]],YMKODLARI!$A$1:$K$379,5,0)," ")</f>
        <v xml:space="preserve"> </v>
      </c>
      <c r="R402" s="100" t="str">
        <f>IFERROR(VLOOKUP(Tablo519[[#This Row],[ÜRÜN KODU]],YMKODLARI!$A$1:$K$379,6,0)," ")</f>
        <v xml:space="preserve"> </v>
      </c>
      <c r="S402" s="100" t="str">
        <f>IFERROR(Tablo519[[#This Row],[YOLLUK HARİÇ BASKI GRAMI]]/Tablo519[[#This Row],[KALIP GÖZ ADEDİ]]," ")</f>
        <v xml:space="preserve"> </v>
      </c>
      <c r="T402" s="100" t="str">
        <f t="shared" si="47"/>
        <v xml:space="preserve"> </v>
      </c>
      <c r="U402" s="100"/>
      <c r="V402" s="100" t="str">
        <f t="shared" si="45"/>
        <v xml:space="preserve"> </v>
      </c>
      <c r="W402" s="101">
        <f t="shared" si="48"/>
        <v>24</v>
      </c>
      <c r="X402" s="102">
        <f t="shared" si="49"/>
        <v>0</v>
      </c>
      <c r="Y402" s="100" t="str">
        <f t="shared" si="50"/>
        <v xml:space="preserve"> </v>
      </c>
      <c r="Z402" s="100" t="str">
        <f t="shared" si="51"/>
        <v xml:space="preserve"> </v>
      </c>
    </row>
    <row r="403" spans="1:26">
      <c r="A403" s="100"/>
      <c r="B403" s="108" t="str">
        <f>IFERROR(VLOOKUP(Tablo519[[#This Row],[ÜRÜN KODU]],YMKODLARI!$A$1:$K$379,2,0)," ")</f>
        <v xml:space="preserve"> </v>
      </c>
      <c r="C403" s="99"/>
      <c r="D403" s="100"/>
      <c r="E403" s="101"/>
      <c r="F403" s="101"/>
      <c r="G403" s="100" t="str">
        <f>IFERROR(VLOOKUP(Tablo519[[#This Row],[ÜRÜN KODU]],YMKODLARI!$A$1:$K$379,3,0)," ")</f>
        <v xml:space="preserve"> </v>
      </c>
      <c r="H403" s="100" t="str">
        <f>IFERROR(VLOOKUP(Tablo519[[#This Row],[ÜRÜN KODU]],YMKODLARI!$A$1:$K$379,4,0)," ")</f>
        <v xml:space="preserve"> </v>
      </c>
      <c r="I403" s="100"/>
      <c r="J403" s="100" t="str">
        <f>IFERROR(VLOOKUP(Tablo519[[#This Row],[ÜRÜN KODU]],YMKODLARI!$A$1:$K$379,9,0)," ")</f>
        <v xml:space="preserve"> </v>
      </c>
      <c r="K403" s="100" t="str">
        <f>IFERROR(VLOOKUP(Tablo519[[#This Row],[BOYA KODU]],Tablo14[#All],4,0)," ")</f>
        <v xml:space="preserve"> </v>
      </c>
      <c r="L403" s="100" t="str">
        <f>IFERROR(VLOOKUP(Tablo519[[#This Row],[BOYA KODU]],Tablo14[#All],6,0)," ")</f>
        <v xml:space="preserve"> </v>
      </c>
      <c r="M403" s="100" t="str">
        <f t="shared" si="46"/>
        <v xml:space="preserve"> </v>
      </c>
      <c r="N403" s="100" t="str">
        <f>IFERROR(VLOOKUP(Tablo519[[#This Row],[ÜRÜN KODU]],YMKODLARI!$A$1:$K$363,8,0)," ")</f>
        <v xml:space="preserve"> </v>
      </c>
      <c r="O403" s="100" t="str">
        <f>IFERROR(VLOOKUP(Tablo519[[#This Row],[HAMMADDE KODU]],Tablo1[#All],3,0)," ")</f>
        <v xml:space="preserve"> </v>
      </c>
      <c r="P403" s="100" t="str">
        <f>IFERROR(VLOOKUP(Tablo519[[#This Row],[HAMMADDE KODU]],Tablo1[#All],4,0)," ")</f>
        <v xml:space="preserve"> </v>
      </c>
      <c r="Q403" s="100" t="str">
        <f>IFERROR(VLOOKUP(Tablo519[[#This Row],[ÜRÜN KODU]],YMKODLARI!$A$1:$K$379,5,0)," ")</f>
        <v xml:space="preserve"> </v>
      </c>
      <c r="R403" s="100" t="str">
        <f>IFERROR(VLOOKUP(Tablo519[[#This Row],[ÜRÜN KODU]],YMKODLARI!$A$1:$K$379,6,0)," ")</f>
        <v xml:space="preserve"> </v>
      </c>
      <c r="S403" s="100" t="str">
        <f>IFERROR(Tablo519[[#This Row],[YOLLUK HARİÇ BASKI GRAMI]]/Tablo519[[#This Row],[KALIP GÖZ ADEDİ]]," ")</f>
        <v xml:space="preserve"> </v>
      </c>
      <c r="T403" s="100" t="str">
        <f t="shared" si="47"/>
        <v xml:space="preserve"> </v>
      </c>
      <c r="U403" s="100"/>
      <c r="V403" s="100" t="str">
        <f t="shared" si="45"/>
        <v xml:space="preserve"> </v>
      </c>
      <c r="W403" s="101">
        <f t="shared" si="48"/>
        <v>24</v>
      </c>
      <c r="X403" s="102">
        <f t="shared" si="49"/>
        <v>0</v>
      </c>
      <c r="Y403" s="100" t="str">
        <f t="shared" si="50"/>
        <v xml:space="preserve"> </v>
      </c>
      <c r="Z403" s="100" t="str">
        <f t="shared" si="51"/>
        <v xml:space="preserve"> </v>
      </c>
    </row>
    <row r="404" spans="1:26">
      <c r="A404" s="100"/>
      <c r="B404" s="108" t="str">
        <f>IFERROR(VLOOKUP(Tablo519[[#This Row],[ÜRÜN KODU]],YMKODLARI!$A$1:$K$379,2,0)," ")</f>
        <v xml:space="preserve"> </v>
      </c>
      <c r="C404" s="99"/>
      <c r="D404" s="100"/>
      <c r="E404" s="101"/>
      <c r="F404" s="101"/>
      <c r="G404" s="100" t="str">
        <f>IFERROR(VLOOKUP(Tablo519[[#This Row],[ÜRÜN KODU]],YMKODLARI!$A$1:$K$379,3,0)," ")</f>
        <v xml:space="preserve"> </v>
      </c>
      <c r="H404" s="100" t="str">
        <f>IFERROR(VLOOKUP(Tablo519[[#This Row],[ÜRÜN KODU]],YMKODLARI!$A$1:$K$379,4,0)," ")</f>
        <v xml:space="preserve"> </v>
      </c>
      <c r="I404" s="100"/>
      <c r="J404" s="100" t="str">
        <f>IFERROR(VLOOKUP(Tablo519[[#This Row],[ÜRÜN KODU]],YMKODLARI!$A$1:$K$379,9,0)," ")</f>
        <v xml:space="preserve"> </v>
      </c>
      <c r="K404" s="100" t="str">
        <f>IFERROR(VLOOKUP(Tablo519[[#This Row],[BOYA KODU]],Tablo14[#All],4,0)," ")</f>
        <v xml:space="preserve"> </v>
      </c>
      <c r="L404" s="100" t="str">
        <f>IFERROR(VLOOKUP(Tablo519[[#This Row],[BOYA KODU]],Tablo14[#All],6,0)," ")</f>
        <v xml:space="preserve"> </v>
      </c>
      <c r="M404" s="100" t="str">
        <f t="shared" si="46"/>
        <v xml:space="preserve"> </v>
      </c>
      <c r="N404" s="100" t="str">
        <f>IFERROR(VLOOKUP(Tablo519[[#This Row],[ÜRÜN KODU]],YMKODLARI!$A$1:$K$363,8,0)," ")</f>
        <v xml:space="preserve"> </v>
      </c>
      <c r="O404" s="100" t="str">
        <f>IFERROR(VLOOKUP(Tablo519[[#This Row],[HAMMADDE KODU]],Tablo1[#All],3,0)," ")</f>
        <v xml:space="preserve"> </v>
      </c>
      <c r="P404" s="100" t="str">
        <f>IFERROR(VLOOKUP(Tablo519[[#This Row],[HAMMADDE KODU]],Tablo1[#All],4,0)," ")</f>
        <v xml:space="preserve"> </v>
      </c>
      <c r="Q404" s="100" t="str">
        <f>IFERROR(VLOOKUP(Tablo519[[#This Row],[ÜRÜN KODU]],YMKODLARI!$A$1:$K$379,5,0)," ")</f>
        <v xml:space="preserve"> </v>
      </c>
      <c r="R404" s="100" t="str">
        <f>IFERROR(VLOOKUP(Tablo519[[#This Row],[ÜRÜN KODU]],YMKODLARI!$A$1:$K$379,6,0)," ")</f>
        <v xml:space="preserve"> </v>
      </c>
      <c r="S404" s="100" t="str">
        <f>IFERROR(Tablo519[[#This Row],[YOLLUK HARİÇ BASKI GRAMI]]/Tablo519[[#This Row],[KALIP GÖZ ADEDİ]]," ")</f>
        <v xml:space="preserve"> </v>
      </c>
      <c r="T404" s="100" t="str">
        <f t="shared" si="47"/>
        <v xml:space="preserve"> </v>
      </c>
      <c r="U404" s="100"/>
      <c r="V404" s="100" t="str">
        <f t="shared" si="45"/>
        <v xml:space="preserve"> </v>
      </c>
      <c r="W404" s="101">
        <f t="shared" si="48"/>
        <v>24</v>
      </c>
      <c r="X404" s="102">
        <f t="shared" si="49"/>
        <v>0</v>
      </c>
      <c r="Y404" s="100" t="str">
        <f t="shared" si="50"/>
        <v xml:space="preserve"> </v>
      </c>
      <c r="Z404" s="100" t="str">
        <f t="shared" si="51"/>
        <v xml:space="preserve"> </v>
      </c>
    </row>
    <row r="405" spans="1:26">
      <c r="A405" s="100"/>
      <c r="B405" s="108" t="str">
        <f>IFERROR(VLOOKUP(Tablo519[[#This Row],[ÜRÜN KODU]],YMKODLARI!$A$1:$K$379,2,0)," ")</f>
        <v xml:space="preserve"> </v>
      </c>
      <c r="C405" s="99"/>
      <c r="D405" s="100"/>
      <c r="E405" s="101"/>
      <c r="F405" s="101"/>
      <c r="G405" s="100" t="str">
        <f>IFERROR(VLOOKUP(Tablo519[[#This Row],[ÜRÜN KODU]],YMKODLARI!$A$1:$K$379,3,0)," ")</f>
        <v xml:space="preserve"> </v>
      </c>
      <c r="H405" s="100" t="str">
        <f>IFERROR(VLOOKUP(Tablo519[[#This Row],[ÜRÜN KODU]],YMKODLARI!$A$1:$K$379,4,0)," ")</f>
        <v xml:space="preserve"> </v>
      </c>
      <c r="I405" s="100"/>
      <c r="J405" s="100" t="str">
        <f>IFERROR(VLOOKUP(Tablo519[[#This Row],[ÜRÜN KODU]],YMKODLARI!$A$1:$K$379,9,0)," ")</f>
        <v xml:space="preserve"> </v>
      </c>
      <c r="K405" s="100" t="str">
        <f>IFERROR(VLOOKUP(Tablo519[[#This Row],[BOYA KODU]],Tablo14[#All],4,0)," ")</f>
        <v xml:space="preserve"> </v>
      </c>
      <c r="L405" s="100" t="str">
        <f>IFERROR(VLOOKUP(Tablo519[[#This Row],[BOYA KODU]],Tablo14[#All],6,0)," ")</f>
        <v xml:space="preserve"> </v>
      </c>
      <c r="M405" s="100" t="str">
        <f t="shared" si="46"/>
        <v xml:space="preserve"> </v>
      </c>
      <c r="N405" s="100" t="str">
        <f>IFERROR(VLOOKUP(Tablo519[[#This Row],[ÜRÜN KODU]],YMKODLARI!$A$1:$K$363,8,0)," ")</f>
        <v xml:space="preserve"> </v>
      </c>
      <c r="O405" s="100" t="str">
        <f>IFERROR(VLOOKUP(Tablo519[[#This Row],[HAMMADDE KODU]],Tablo1[#All],3,0)," ")</f>
        <v xml:space="preserve"> </v>
      </c>
      <c r="P405" s="100" t="str">
        <f>IFERROR(VLOOKUP(Tablo519[[#This Row],[HAMMADDE KODU]],Tablo1[#All],4,0)," ")</f>
        <v xml:space="preserve"> </v>
      </c>
      <c r="Q405" s="100" t="str">
        <f>IFERROR(VLOOKUP(Tablo519[[#This Row],[ÜRÜN KODU]],YMKODLARI!$A$1:$K$379,5,0)," ")</f>
        <v xml:space="preserve"> </v>
      </c>
      <c r="R405" s="100" t="str">
        <f>IFERROR(VLOOKUP(Tablo519[[#This Row],[ÜRÜN KODU]],YMKODLARI!$A$1:$K$379,6,0)," ")</f>
        <v xml:space="preserve"> </v>
      </c>
      <c r="S405" s="100" t="str">
        <f>IFERROR(Tablo519[[#This Row],[YOLLUK HARİÇ BASKI GRAMI]]/Tablo519[[#This Row],[KALIP GÖZ ADEDİ]]," ")</f>
        <v xml:space="preserve"> </v>
      </c>
      <c r="T405" s="100" t="str">
        <f t="shared" si="47"/>
        <v xml:space="preserve"> </v>
      </c>
      <c r="U405" s="100"/>
      <c r="V405" s="100" t="str">
        <f t="shared" si="45"/>
        <v xml:space="preserve"> </v>
      </c>
      <c r="W405" s="101">
        <f t="shared" si="48"/>
        <v>24</v>
      </c>
      <c r="X405" s="102">
        <f t="shared" si="49"/>
        <v>0</v>
      </c>
      <c r="Y405" s="100" t="str">
        <f t="shared" si="50"/>
        <v xml:space="preserve"> </v>
      </c>
      <c r="Z405" s="100" t="str">
        <f t="shared" si="51"/>
        <v xml:space="preserve"> </v>
      </c>
    </row>
    <row r="406" spans="1:26">
      <c r="A406" s="100"/>
      <c r="B406" s="108" t="str">
        <f>IFERROR(VLOOKUP(Tablo519[[#This Row],[ÜRÜN KODU]],YMKODLARI!$A$1:$K$379,2,0)," ")</f>
        <v xml:space="preserve"> </v>
      </c>
      <c r="C406" s="99"/>
      <c r="D406" s="100"/>
      <c r="E406" s="101"/>
      <c r="F406" s="101"/>
      <c r="G406" s="100" t="str">
        <f>IFERROR(VLOOKUP(Tablo519[[#This Row],[ÜRÜN KODU]],YMKODLARI!$A$1:$K$379,3,0)," ")</f>
        <v xml:space="preserve"> </v>
      </c>
      <c r="H406" s="100" t="str">
        <f>IFERROR(VLOOKUP(Tablo519[[#This Row],[ÜRÜN KODU]],YMKODLARI!$A$1:$K$379,4,0)," ")</f>
        <v xml:space="preserve"> </v>
      </c>
      <c r="I406" s="100"/>
      <c r="J406" s="100" t="str">
        <f>IFERROR(VLOOKUP(Tablo519[[#This Row],[ÜRÜN KODU]],YMKODLARI!$A$1:$K$379,9,0)," ")</f>
        <v xml:space="preserve"> </v>
      </c>
      <c r="K406" s="100" t="str">
        <f>IFERROR(VLOOKUP(Tablo519[[#This Row],[BOYA KODU]],Tablo14[#All],4,0)," ")</f>
        <v xml:space="preserve"> </v>
      </c>
      <c r="L406" s="100" t="str">
        <f>IFERROR(VLOOKUP(Tablo519[[#This Row],[BOYA KODU]],Tablo14[#All],6,0)," ")</f>
        <v xml:space="preserve"> </v>
      </c>
      <c r="M406" s="100" t="str">
        <f t="shared" si="46"/>
        <v xml:space="preserve"> </v>
      </c>
      <c r="N406" s="100" t="str">
        <f>IFERROR(VLOOKUP(Tablo519[[#This Row],[ÜRÜN KODU]],YMKODLARI!$A$1:$K$363,8,0)," ")</f>
        <v xml:space="preserve"> </v>
      </c>
      <c r="O406" s="100" t="str">
        <f>IFERROR(VLOOKUP(Tablo519[[#This Row],[HAMMADDE KODU]],Tablo1[#All],3,0)," ")</f>
        <v xml:space="preserve"> </v>
      </c>
      <c r="P406" s="100" t="str">
        <f>IFERROR(VLOOKUP(Tablo519[[#This Row],[HAMMADDE KODU]],Tablo1[#All],4,0)," ")</f>
        <v xml:space="preserve"> </v>
      </c>
      <c r="Q406" s="100" t="str">
        <f>IFERROR(VLOOKUP(Tablo519[[#This Row],[ÜRÜN KODU]],YMKODLARI!$A$1:$K$379,5,0)," ")</f>
        <v xml:space="preserve"> </v>
      </c>
      <c r="R406" s="100" t="str">
        <f>IFERROR(VLOOKUP(Tablo519[[#This Row],[ÜRÜN KODU]],YMKODLARI!$A$1:$K$379,6,0)," ")</f>
        <v xml:space="preserve"> </v>
      </c>
      <c r="S406" s="100" t="str">
        <f>IFERROR(Tablo519[[#This Row],[YOLLUK HARİÇ BASKI GRAMI]]/Tablo519[[#This Row],[KALIP GÖZ ADEDİ]]," ")</f>
        <v xml:space="preserve"> </v>
      </c>
      <c r="T406" s="100" t="str">
        <f t="shared" si="47"/>
        <v xml:space="preserve"> </v>
      </c>
      <c r="U406" s="100"/>
      <c r="V406" s="100" t="str">
        <f t="shared" si="45"/>
        <v xml:space="preserve"> </v>
      </c>
      <c r="W406" s="101">
        <f t="shared" si="48"/>
        <v>24</v>
      </c>
      <c r="X406" s="102">
        <f t="shared" si="49"/>
        <v>0</v>
      </c>
      <c r="Y406" s="100" t="str">
        <f t="shared" si="50"/>
        <v xml:space="preserve"> </v>
      </c>
      <c r="Z406" s="100" t="str">
        <f t="shared" si="51"/>
        <v xml:space="preserve"> </v>
      </c>
    </row>
    <row r="407" spans="1:26">
      <c r="A407" s="100"/>
      <c r="B407" s="108" t="str">
        <f>IFERROR(VLOOKUP(Tablo519[[#This Row],[ÜRÜN KODU]],YMKODLARI!$A$1:$K$379,2,0)," ")</f>
        <v xml:space="preserve"> </v>
      </c>
      <c r="C407" s="99"/>
      <c r="D407" s="100"/>
      <c r="E407" s="101"/>
      <c r="F407" s="101"/>
      <c r="G407" s="100" t="str">
        <f>IFERROR(VLOOKUP(Tablo519[[#This Row],[ÜRÜN KODU]],YMKODLARI!$A$1:$K$379,3,0)," ")</f>
        <v xml:space="preserve"> </v>
      </c>
      <c r="H407" s="100" t="str">
        <f>IFERROR(VLOOKUP(Tablo519[[#This Row],[ÜRÜN KODU]],YMKODLARI!$A$1:$K$379,4,0)," ")</f>
        <v xml:space="preserve"> </v>
      </c>
      <c r="I407" s="100"/>
      <c r="J407" s="100" t="str">
        <f>IFERROR(VLOOKUP(Tablo519[[#This Row],[ÜRÜN KODU]],YMKODLARI!$A$1:$K$379,9,0)," ")</f>
        <v xml:space="preserve"> </v>
      </c>
      <c r="K407" s="100" t="str">
        <f>IFERROR(VLOOKUP(Tablo519[[#This Row],[BOYA KODU]],Tablo14[#All],4,0)," ")</f>
        <v xml:space="preserve"> </v>
      </c>
      <c r="L407" s="100" t="str">
        <f>IFERROR(VLOOKUP(Tablo519[[#This Row],[BOYA KODU]],Tablo14[#All],6,0)," ")</f>
        <v xml:space="preserve"> </v>
      </c>
      <c r="M407" s="100" t="str">
        <f t="shared" si="46"/>
        <v xml:space="preserve"> </v>
      </c>
      <c r="N407" s="100" t="str">
        <f>IFERROR(VLOOKUP(Tablo519[[#This Row],[ÜRÜN KODU]],YMKODLARI!$A$1:$K$363,8,0)," ")</f>
        <v xml:space="preserve"> </v>
      </c>
      <c r="O407" s="100" t="str">
        <f>IFERROR(VLOOKUP(Tablo519[[#This Row],[HAMMADDE KODU]],Tablo1[#All],3,0)," ")</f>
        <v xml:space="preserve"> </v>
      </c>
      <c r="P407" s="100" t="str">
        <f>IFERROR(VLOOKUP(Tablo519[[#This Row],[HAMMADDE KODU]],Tablo1[#All],4,0)," ")</f>
        <v xml:space="preserve"> </v>
      </c>
      <c r="Q407" s="100" t="str">
        <f>IFERROR(VLOOKUP(Tablo519[[#This Row],[ÜRÜN KODU]],YMKODLARI!$A$1:$K$379,5,0)," ")</f>
        <v xml:space="preserve"> </v>
      </c>
      <c r="R407" s="100" t="str">
        <f>IFERROR(VLOOKUP(Tablo519[[#This Row],[ÜRÜN KODU]],YMKODLARI!$A$1:$K$379,6,0)," ")</f>
        <v xml:space="preserve"> </v>
      </c>
      <c r="S407" s="100" t="str">
        <f>IFERROR(Tablo519[[#This Row],[YOLLUK HARİÇ BASKI GRAMI]]/Tablo519[[#This Row],[KALIP GÖZ ADEDİ]]," ")</f>
        <v xml:space="preserve"> </v>
      </c>
      <c r="T407" s="100" t="str">
        <f t="shared" si="47"/>
        <v xml:space="preserve"> </v>
      </c>
      <c r="U407" s="100"/>
      <c r="V407" s="100" t="str">
        <f t="shared" si="45"/>
        <v xml:space="preserve"> </v>
      </c>
      <c r="W407" s="101">
        <f t="shared" si="48"/>
        <v>24</v>
      </c>
      <c r="X407" s="102">
        <f t="shared" si="49"/>
        <v>0</v>
      </c>
      <c r="Y407" s="100" t="str">
        <f t="shared" si="50"/>
        <v xml:space="preserve"> </v>
      </c>
      <c r="Z407" s="100" t="str">
        <f t="shared" si="51"/>
        <v xml:space="preserve"> </v>
      </c>
    </row>
    <row r="408" spans="1:26">
      <c r="A408" s="100"/>
      <c r="B408" s="108" t="str">
        <f>IFERROR(VLOOKUP(Tablo519[[#This Row],[ÜRÜN KODU]],YMKODLARI!$A$1:$K$379,2,0)," ")</f>
        <v xml:space="preserve"> </v>
      </c>
      <c r="C408" s="99"/>
      <c r="D408" s="100"/>
      <c r="E408" s="101"/>
      <c r="F408" s="101"/>
      <c r="G408" s="100" t="str">
        <f>IFERROR(VLOOKUP(Tablo519[[#This Row],[ÜRÜN KODU]],YMKODLARI!$A$1:$K$379,3,0)," ")</f>
        <v xml:space="preserve"> </v>
      </c>
      <c r="H408" s="100" t="str">
        <f>IFERROR(VLOOKUP(Tablo519[[#This Row],[ÜRÜN KODU]],YMKODLARI!$A$1:$K$379,4,0)," ")</f>
        <v xml:space="preserve"> </v>
      </c>
      <c r="I408" s="100"/>
      <c r="J408" s="100" t="str">
        <f>IFERROR(VLOOKUP(Tablo519[[#This Row],[ÜRÜN KODU]],YMKODLARI!$A$1:$K$379,9,0)," ")</f>
        <v xml:space="preserve"> </v>
      </c>
      <c r="K408" s="100" t="str">
        <f>IFERROR(VLOOKUP(Tablo519[[#This Row],[BOYA KODU]],Tablo14[#All],4,0)," ")</f>
        <v xml:space="preserve"> </v>
      </c>
      <c r="L408" s="100" t="str">
        <f>IFERROR(VLOOKUP(Tablo519[[#This Row],[BOYA KODU]],Tablo14[#All],6,0)," ")</f>
        <v xml:space="preserve"> </v>
      </c>
      <c r="M408" s="100" t="str">
        <f t="shared" si="46"/>
        <v xml:space="preserve"> </v>
      </c>
      <c r="N408" s="100" t="str">
        <f>IFERROR(VLOOKUP(Tablo519[[#This Row],[ÜRÜN KODU]],YMKODLARI!$A$1:$K$363,8,0)," ")</f>
        <v xml:space="preserve"> </v>
      </c>
      <c r="O408" s="100" t="str">
        <f>IFERROR(VLOOKUP(Tablo519[[#This Row],[HAMMADDE KODU]],Tablo1[#All],3,0)," ")</f>
        <v xml:space="preserve"> </v>
      </c>
      <c r="P408" s="100" t="str">
        <f>IFERROR(VLOOKUP(Tablo519[[#This Row],[HAMMADDE KODU]],Tablo1[#All],4,0)," ")</f>
        <v xml:space="preserve"> </v>
      </c>
      <c r="Q408" s="100" t="str">
        <f>IFERROR(VLOOKUP(Tablo519[[#This Row],[ÜRÜN KODU]],YMKODLARI!$A$1:$K$379,5,0)," ")</f>
        <v xml:space="preserve"> </v>
      </c>
      <c r="R408" s="100" t="str">
        <f>IFERROR(VLOOKUP(Tablo519[[#This Row],[ÜRÜN KODU]],YMKODLARI!$A$1:$K$379,6,0)," ")</f>
        <v xml:space="preserve"> </v>
      </c>
      <c r="S408" s="100" t="str">
        <f>IFERROR(Tablo519[[#This Row],[YOLLUK HARİÇ BASKI GRAMI]]/Tablo519[[#This Row],[KALIP GÖZ ADEDİ]]," ")</f>
        <v xml:space="preserve"> </v>
      </c>
      <c r="T408" s="100" t="str">
        <f t="shared" si="47"/>
        <v xml:space="preserve"> </v>
      </c>
      <c r="U408" s="100"/>
      <c r="V408" s="100" t="str">
        <f t="shared" si="45"/>
        <v xml:space="preserve"> </v>
      </c>
      <c r="W408" s="101">
        <f t="shared" si="48"/>
        <v>24</v>
      </c>
      <c r="X408" s="102">
        <f t="shared" si="49"/>
        <v>0</v>
      </c>
      <c r="Y408" s="100" t="str">
        <f t="shared" si="50"/>
        <v xml:space="preserve"> </v>
      </c>
      <c r="Z408" s="100" t="str">
        <f t="shared" si="51"/>
        <v xml:space="preserve"> </v>
      </c>
    </row>
    <row r="409" spans="1:26">
      <c r="A409" s="100"/>
      <c r="B409" s="108" t="str">
        <f>IFERROR(VLOOKUP(Tablo519[[#This Row],[ÜRÜN KODU]],YMKODLARI!$A$1:$K$379,2,0)," ")</f>
        <v xml:space="preserve"> </v>
      </c>
      <c r="C409" s="99"/>
      <c r="D409" s="100"/>
      <c r="E409" s="101"/>
      <c r="F409" s="101"/>
      <c r="G409" s="100" t="str">
        <f>IFERROR(VLOOKUP(Tablo519[[#This Row],[ÜRÜN KODU]],YMKODLARI!$A$1:$K$379,3,0)," ")</f>
        <v xml:space="preserve"> </v>
      </c>
      <c r="H409" s="100" t="str">
        <f>IFERROR(VLOOKUP(Tablo519[[#This Row],[ÜRÜN KODU]],YMKODLARI!$A$1:$K$379,4,0)," ")</f>
        <v xml:space="preserve"> </v>
      </c>
      <c r="I409" s="100"/>
      <c r="J409" s="100" t="str">
        <f>IFERROR(VLOOKUP(Tablo519[[#This Row],[ÜRÜN KODU]],YMKODLARI!$A$1:$K$379,9,0)," ")</f>
        <v xml:space="preserve"> </v>
      </c>
      <c r="K409" s="100" t="str">
        <f>IFERROR(VLOOKUP(Tablo519[[#This Row],[BOYA KODU]],Tablo14[#All],4,0)," ")</f>
        <v xml:space="preserve"> </v>
      </c>
      <c r="L409" s="100" t="str">
        <f>IFERROR(VLOOKUP(Tablo519[[#This Row],[BOYA KODU]],Tablo14[#All],6,0)," ")</f>
        <v xml:space="preserve"> </v>
      </c>
      <c r="M409" s="100" t="str">
        <f t="shared" si="46"/>
        <v xml:space="preserve"> </v>
      </c>
      <c r="N409" s="100" t="str">
        <f>IFERROR(VLOOKUP(Tablo519[[#This Row],[ÜRÜN KODU]],YMKODLARI!$A$1:$K$363,8,0)," ")</f>
        <v xml:space="preserve"> </v>
      </c>
      <c r="O409" s="100" t="str">
        <f>IFERROR(VLOOKUP(Tablo519[[#This Row],[HAMMADDE KODU]],Tablo1[#All],3,0)," ")</f>
        <v xml:space="preserve"> </v>
      </c>
      <c r="P409" s="100" t="str">
        <f>IFERROR(VLOOKUP(Tablo519[[#This Row],[HAMMADDE KODU]],Tablo1[#All],4,0)," ")</f>
        <v xml:space="preserve"> </v>
      </c>
      <c r="Q409" s="100" t="str">
        <f>IFERROR(VLOOKUP(Tablo519[[#This Row],[ÜRÜN KODU]],YMKODLARI!$A$1:$K$379,5,0)," ")</f>
        <v xml:space="preserve"> </v>
      </c>
      <c r="R409" s="100" t="str">
        <f>IFERROR(VLOOKUP(Tablo519[[#This Row],[ÜRÜN KODU]],YMKODLARI!$A$1:$K$379,6,0)," ")</f>
        <v xml:space="preserve"> </v>
      </c>
      <c r="S409" s="100" t="str">
        <f>IFERROR(Tablo519[[#This Row],[YOLLUK HARİÇ BASKI GRAMI]]/Tablo519[[#This Row],[KALIP GÖZ ADEDİ]]," ")</f>
        <v xml:space="preserve"> </v>
      </c>
      <c r="T409" s="100" t="str">
        <f t="shared" si="47"/>
        <v xml:space="preserve"> </v>
      </c>
      <c r="U409" s="100"/>
      <c r="V409" s="100" t="str">
        <f t="shared" si="45"/>
        <v xml:space="preserve"> </v>
      </c>
      <c r="W409" s="101">
        <f t="shared" si="48"/>
        <v>24</v>
      </c>
      <c r="X409" s="102">
        <f t="shared" si="49"/>
        <v>0</v>
      </c>
      <c r="Y409" s="100" t="str">
        <f t="shared" si="50"/>
        <v xml:space="preserve"> </v>
      </c>
      <c r="Z409" s="100" t="str">
        <f t="shared" si="51"/>
        <v xml:space="preserve"> </v>
      </c>
    </row>
    <row r="410" spans="1:26">
      <c r="A410" s="100"/>
      <c r="B410" s="108" t="str">
        <f>IFERROR(VLOOKUP(Tablo519[[#This Row],[ÜRÜN KODU]],YMKODLARI!$A$1:$K$379,2,0)," ")</f>
        <v xml:space="preserve"> </v>
      </c>
      <c r="C410" s="99"/>
      <c r="D410" s="100"/>
      <c r="E410" s="101"/>
      <c r="F410" s="101"/>
      <c r="G410" s="100" t="str">
        <f>IFERROR(VLOOKUP(Tablo519[[#This Row],[ÜRÜN KODU]],YMKODLARI!$A$1:$K$379,3,0)," ")</f>
        <v xml:space="preserve"> </v>
      </c>
      <c r="H410" s="100" t="str">
        <f>IFERROR(VLOOKUP(Tablo519[[#This Row],[ÜRÜN KODU]],YMKODLARI!$A$1:$K$379,4,0)," ")</f>
        <v xml:space="preserve"> </v>
      </c>
      <c r="I410" s="100"/>
      <c r="J410" s="100" t="str">
        <f>IFERROR(VLOOKUP(Tablo519[[#This Row],[ÜRÜN KODU]],YMKODLARI!$A$1:$K$379,9,0)," ")</f>
        <v xml:space="preserve"> </v>
      </c>
      <c r="K410" s="100" t="str">
        <f>IFERROR(VLOOKUP(Tablo519[[#This Row],[BOYA KODU]],Tablo14[#All],4,0)," ")</f>
        <v xml:space="preserve"> </v>
      </c>
      <c r="L410" s="100" t="str">
        <f>IFERROR(VLOOKUP(Tablo519[[#This Row],[BOYA KODU]],Tablo14[#All],6,0)," ")</f>
        <v xml:space="preserve"> </v>
      </c>
      <c r="M410" s="100" t="str">
        <f t="shared" si="46"/>
        <v xml:space="preserve"> </v>
      </c>
      <c r="N410" s="100" t="str">
        <f>IFERROR(VLOOKUP(Tablo519[[#This Row],[ÜRÜN KODU]],YMKODLARI!$A$1:$K$363,8,0)," ")</f>
        <v xml:space="preserve"> </v>
      </c>
      <c r="O410" s="100" t="str">
        <f>IFERROR(VLOOKUP(Tablo519[[#This Row],[HAMMADDE KODU]],Tablo1[#All],3,0)," ")</f>
        <v xml:space="preserve"> </v>
      </c>
      <c r="P410" s="100" t="str">
        <f>IFERROR(VLOOKUP(Tablo519[[#This Row],[HAMMADDE KODU]],Tablo1[#All],4,0)," ")</f>
        <v xml:space="preserve"> </v>
      </c>
      <c r="Q410" s="100" t="str">
        <f>IFERROR(VLOOKUP(Tablo519[[#This Row],[ÜRÜN KODU]],YMKODLARI!$A$1:$K$379,5,0)," ")</f>
        <v xml:space="preserve"> </v>
      </c>
      <c r="R410" s="100" t="str">
        <f>IFERROR(VLOOKUP(Tablo519[[#This Row],[ÜRÜN KODU]],YMKODLARI!$A$1:$K$379,6,0)," ")</f>
        <v xml:space="preserve"> </v>
      </c>
      <c r="S410" s="100" t="str">
        <f>IFERROR(Tablo519[[#This Row],[YOLLUK HARİÇ BASKI GRAMI]]/Tablo519[[#This Row],[KALIP GÖZ ADEDİ]]," ")</f>
        <v xml:space="preserve"> </v>
      </c>
      <c r="T410" s="100" t="str">
        <f t="shared" si="47"/>
        <v xml:space="preserve"> </v>
      </c>
      <c r="U410" s="100"/>
      <c r="V410" s="100" t="str">
        <f t="shared" si="45"/>
        <v xml:space="preserve"> </v>
      </c>
      <c r="W410" s="101">
        <f t="shared" si="48"/>
        <v>24</v>
      </c>
      <c r="X410" s="102">
        <f t="shared" si="49"/>
        <v>0</v>
      </c>
      <c r="Y410" s="100" t="str">
        <f t="shared" si="50"/>
        <v xml:space="preserve"> </v>
      </c>
      <c r="Z410" s="100" t="str">
        <f t="shared" si="51"/>
        <v xml:space="preserve"> </v>
      </c>
    </row>
    <row r="411" spans="1:26">
      <c r="A411" s="100"/>
      <c r="B411" s="108" t="str">
        <f>IFERROR(VLOOKUP(Tablo519[[#This Row],[ÜRÜN KODU]],YMKODLARI!$A$1:$K$379,2,0)," ")</f>
        <v xml:space="preserve"> </v>
      </c>
      <c r="C411" s="99"/>
      <c r="D411" s="100"/>
      <c r="E411" s="101"/>
      <c r="F411" s="101"/>
      <c r="G411" s="100" t="str">
        <f>IFERROR(VLOOKUP(Tablo519[[#This Row],[ÜRÜN KODU]],YMKODLARI!$A$1:$K$379,3,0)," ")</f>
        <v xml:space="preserve"> </v>
      </c>
      <c r="H411" s="100" t="str">
        <f>IFERROR(VLOOKUP(Tablo519[[#This Row],[ÜRÜN KODU]],YMKODLARI!$A$1:$K$379,4,0)," ")</f>
        <v xml:space="preserve"> </v>
      </c>
      <c r="I411" s="100"/>
      <c r="J411" s="100" t="str">
        <f>IFERROR(VLOOKUP(Tablo519[[#This Row],[ÜRÜN KODU]],YMKODLARI!$A$1:$K$379,9,0)," ")</f>
        <v xml:space="preserve"> </v>
      </c>
      <c r="K411" s="100" t="str">
        <f>IFERROR(VLOOKUP(Tablo519[[#This Row],[BOYA KODU]],Tablo14[#All],4,0)," ")</f>
        <v xml:space="preserve"> </v>
      </c>
      <c r="L411" s="100" t="str">
        <f>IFERROR(VLOOKUP(Tablo519[[#This Row],[BOYA KODU]],Tablo14[#All],6,0)," ")</f>
        <v xml:space="preserve"> </v>
      </c>
      <c r="M411" s="100" t="str">
        <f t="shared" si="46"/>
        <v xml:space="preserve"> </v>
      </c>
      <c r="N411" s="100" t="str">
        <f>IFERROR(VLOOKUP(Tablo519[[#This Row],[ÜRÜN KODU]],YMKODLARI!$A$1:$K$363,8,0)," ")</f>
        <v xml:space="preserve"> </v>
      </c>
      <c r="O411" s="100" t="str">
        <f>IFERROR(VLOOKUP(Tablo519[[#This Row],[HAMMADDE KODU]],Tablo1[#All],3,0)," ")</f>
        <v xml:space="preserve"> </v>
      </c>
      <c r="P411" s="100" t="str">
        <f>IFERROR(VLOOKUP(Tablo519[[#This Row],[HAMMADDE KODU]],Tablo1[#All],4,0)," ")</f>
        <v xml:space="preserve"> </v>
      </c>
      <c r="Q411" s="100" t="str">
        <f>IFERROR(VLOOKUP(Tablo519[[#This Row],[ÜRÜN KODU]],YMKODLARI!$A$1:$K$379,5,0)," ")</f>
        <v xml:space="preserve"> </v>
      </c>
      <c r="R411" s="100" t="str">
        <f>IFERROR(VLOOKUP(Tablo519[[#This Row],[ÜRÜN KODU]],YMKODLARI!$A$1:$K$379,6,0)," ")</f>
        <v xml:space="preserve"> </v>
      </c>
      <c r="S411" s="100" t="str">
        <f>IFERROR(Tablo519[[#This Row],[YOLLUK HARİÇ BASKI GRAMI]]/Tablo519[[#This Row],[KALIP GÖZ ADEDİ]]," ")</f>
        <v xml:space="preserve"> </v>
      </c>
      <c r="T411" s="100" t="str">
        <f t="shared" si="47"/>
        <v xml:space="preserve"> </v>
      </c>
      <c r="U411" s="100"/>
      <c r="V411" s="100" t="str">
        <f t="shared" si="45"/>
        <v xml:space="preserve"> </v>
      </c>
      <c r="W411" s="101">
        <f t="shared" si="48"/>
        <v>24</v>
      </c>
      <c r="X411" s="102">
        <f t="shared" si="49"/>
        <v>0</v>
      </c>
      <c r="Y411" s="100" t="str">
        <f t="shared" si="50"/>
        <v xml:space="preserve"> </v>
      </c>
      <c r="Z411" s="100" t="str">
        <f t="shared" si="51"/>
        <v xml:space="preserve"> </v>
      </c>
    </row>
    <row r="412" spans="1:26">
      <c r="A412" s="100"/>
      <c r="B412" s="108" t="str">
        <f>IFERROR(VLOOKUP(Tablo519[[#This Row],[ÜRÜN KODU]],YMKODLARI!$A$1:$K$379,2,0)," ")</f>
        <v xml:space="preserve"> </v>
      </c>
      <c r="C412" s="99"/>
      <c r="D412" s="100"/>
      <c r="E412" s="101"/>
      <c r="F412" s="101"/>
      <c r="G412" s="100" t="str">
        <f>IFERROR(VLOOKUP(Tablo519[[#This Row],[ÜRÜN KODU]],YMKODLARI!$A$1:$K$379,3,0)," ")</f>
        <v xml:space="preserve"> </v>
      </c>
      <c r="H412" s="100" t="str">
        <f>IFERROR(VLOOKUP(Tablo519[[#This Row],[ÜRÜN KODU]],YMKODLARI!$A$1:$K$379,4,0)," ")</f>
        <v xml:space="preserve"> </v>
      </c>
      <c r="I412" s="100"/>
      <c r="J412" s="100" t="str">
        <f>IFERROR(VLOOKUP(Tablo519[[#This Row],[ÜRÜN KODU]],YMKODLARI!$A$1:$K$379,9,0)," ")</f>
        <v xml:space="preserve"> </v>
      </c>
      <c r="K412" s="100" t="str">
        <f>IFERROR(VLOOKUP(Tablo519[[#This Row],[BOYA KODU]],Tablo14[#All],4,0)," ")</f>
        <v xml:space="preserve"> </v>
      </c>
      <c r="L412" s="100" t="str">
        <f>IFERROR(VLOOKUP(Tablo519[[#This Row],[BOYA KODU]],Tablo14[#All],6,0)," ")</f>
        <v xml:space="preserve"> </v>
      </c>
      <c r="M412" s="100" t="str">
        <f t="shared" si="46"/>
        <v xml:space="preserve"> </v>
      </c>
      <c r="N412" s="100" t="str">
        <f>IFERROR(VLOOKUP(Tablo519[[#This Row],[ÜRÜN KODU]],YMKODLARI!$A$1:$K$363,8,0)," ")</f>
        <v xml:space="preserve"> </v>
      </c>
      <c r="O412" s="100" t="str">
        <f>IFERROR(VLOOKUP(Tablo519[[#This Row],[HAMMADDE KODU]],Tablo1[#All],3,0)," ")</f>
        <v xml:space="preserve"> </v>
      </c>
      <c r="P412" s="100" t="str">
        <f>IFERROR(VLOOKUP(Tablo519[[#This Row],[HAMMADDE KODU]],Tablo1[#All],4,0)," ")</f>
        <v xml:space="preserve"> </v>
      </c>
      <c r="Q412" s="100" t="str">
        <f>IFERROR(VLOOKUP(Tablo519[[#This Row],[ÜRÜN KODU]],YMKODLARI!$A$1:$K$379,5,0)," ")</f>
        <v xml:space="preserve"> </v>
      </c>
      <c r="R412" s="100" t="str">
        <f>IFERROR(VLOOKUP(Tablo519[[#This Row],[ÜRÜN KODU]],YMKODLARI!$A$1:$K$379,6,0)," ")</f>
        <v xml:space="preserve"> </v>
      </c>
      <c r="S412" s="100" t="str">
        <f>IFERROR(Tablo519[[#This Row],[YOLLUK HARİÇ BASKI GRAMI]]/Tablo519[[#This Row],[KALIP GÖZ ADEDİ]]," ")</f>
        <v xml:space="preserve"> </v>
      </c>
      <c r="T412" s="100" t="str">
        <f t="shared" si="47"/>
        <v xml:space="preserve"> </v>
      </c>
      <c r="U412" s="100"/>
      <c r="V412" s="100" t="str">
        <f t="shared" si="45"/>
        <v xml:space="preserve"> </v>
      </c>
      <c r="W412" s="101">
        <f t="shared" si="48"/>
        <v>24</v>
      </c>
      <c r="X412" s="102">
        <f t="shared" si="49"/>
        <v>0</v>
      </c>
      <c r="Y412" s="100" t="str">
        <f t="shared" si="50"/>
        <v xml:space="preserve"> </v>
      </c>
      <c r="Z412" s="100" t="str">
        <f t="shared" si="51"/>
        <v xml:space="preserve"> </v>
      </c>
    </row>
    <row r="413" spans="1:26">
      <c r="A413" s="100"/>
      <c r="B413" s="108" t="str">
        <f>IFERROR(VLOOKUP(Tablo519[[#This Row],[ÜRÜN KODU]],YMKODLARI!$A$1:$K$379,2,0)," ")</f>
        <v xml:space="preserve"> </v>
      </c>
      <c r="C413" s="99"/>
      <c r="D413" s="100"/>
      <c r="E413" s="101"/>
      <c r="F413" s="101"/>
      <c r="G413" s="100" t="str">
        <f>IFERROR(VLOOKUP(Tablo519[[#This Row],[ÜRÜN KODU]],YMKODLARI!$A$1:$K$379,3,0)," ")</f>
        <v xml:space="preserve"> </v>
      </c>
      <c r="H413" s="100" t="str">
        <f>IFERROR(VLOOKUP(Tablo519[[#This Row],[ÜRÜN KODU]],YMKODLARI!$A$1:$K$379,4,0)," ")</f>
        <v xml:space="preserve"> </v>
      </c>
      <c r="I413" s="100"/>
      <c r="J413" s="100" t="str">
        <f>IFERROR(VLOOKUP(Tablo519[[#This Row],[ÜRÜN KODU]],YMKODLARI!$A$1:$K$379,9,0)," ")</f>
        <v xml:space="preserve"> </v>
      </c>
      <c r="K413" s="100" t="str">
        <f>IFERROR(VLOOKUP(Tablo519[[#This Row],[BOYA KODU]],Tablo14[#All],4,0)," ")</f>
        <v xml:space="preserve"> </v>
      </c>
      <c r="L413" s="100" t="str">
        <f>IFERROR(VLOOKUP(Tablo519[[#This Row],[BOYA KODU]],Tablo14[#All],6,0)," ")</f>
        <v xml:space="preserve"> </v>
      </c>
      <c r="M413" s="100" t="str">
        <f t="shared" si="46"/>
        <v xml:space="preserve"> </v>
      </c>
      <c r="N413" s="100" t="str">
        <f>IFERROR(VLOOKUP(Tablo519[[#This Row],[ÜRÜN KODU]],YMKODLARI!$A$1:$K$363,8,0)," ")</f>
        <v xml:space="preserve"> </v>
      </c>
      <c r="O413" s="100" t="str">
        <f>IFERROR(VLOOKUP(Tablo519[[#This Row],[HAMMADDE KODU]],Tablo1[#All],3,0)," ")</f>
        <v xml:space="preserve"> </v>
      </c>
      <c r="P413" s="100" t="str">
        <f>IFERROR(VLOOKUP(Tablo519[[#This Row],[HAMMADDE KODU]],Tablo1[#All],4,0)," ")</f>
        <v xml:space="preserve"> </v>
      </c>
      <c r="Q413" s="100" t="str">
        <f>IFERROR(VLOOKUP(Tablo519[[#This Row],[ÜRÜN KODU]],YMKODLARI!$A$1:$K$379,5,0)," ")</f>
        <v xml:space="preserve"> </v>
      </c>
      <c r="R413" s="100" t="str">
        <f>IFERROR(VLOOKUP(Tablo519[[#This Row],[ÜRÜN KODU]],YMKODLARI!$A$1:$K$379,6,0)," ")</f>
        <v xml:space="preserve"> </v>
      </c>
      <c r="S413" s="100" t="str">
        <f>IFERROR(Tablo519[[#This Row],[YOLLUK HARİÇ BASKI GRAMI]]/Tablo519[[#This Row],[KALIP GÖZ ADEDİ]]," ")</f>
        <v xml:space="preserve"> </v>
      </c>
      <c r="T413" s="100" t="str">
        <f t="shared" si="47"/>
        <v xml:space="preserve"> </v>
      </c>
      <c r="U413" s="100"/>
      <c r="V413" s="100" t="str">
        <f t="shared" si="45"/>
        <v xml:space="preserve"> </v>
      </c>
      <c r="W413" s="101">
        <f t="shared" si="48"/>
        <v>24</v>
      </c>
      <c r="X413" s="102">
        <f t="shared" si="49"/>
        <v>0</v>
      </c>
      <c r="Y413" s="100" t="str">
        <f t="shared" si="50"/>
        <v xml:space="preserve"> </v>
      </c>
      <c r="Z413" s="100" t="str">
        <f t="shared" si="51"/>
        <v xml:space="preserve"> </v>
      </c>
    </row>
    <row r="414" spans="1:26">
      <c r="A414" s="100"/>
      <c r="B414" s="108" t="str">
        <f>IFERROR(VLOOKUP(Tablo519[[#This Row],[ÜRÜN KODU]],YMKODLARI!$A$1:$K$379,2,0)," ")</f>
        <v xml:space="preserve"> </v>
      </c>
      <c r="C414" s="99"/>
      <c r="D414" s="100"/>
      <c r="E414" s="101"/>
      <c r="F414" s="101"/>
      <c r="G414" s="100" t="str">
        <f>IFERROR(VLOOKUP(Tablo519[[#This Row],[ÜRÜN KODU]],YMKODLARI!$A$1:$K$379,3,0)," ")</f>
        <v xml:space="preserve"> </v>
      </c>
      <c r="H414" s="100" t="str">
        <f>IFERROR(VLOOKUP(Tablo519[[#This Row],[ÜRÜN KODU]],YMKODLARI!$A$1:$K$379,4,0)," ")</f>
        <v xml:space="preserve"> </v>
      </c>
      <c r="I414" s="100"/>
      <c r="J414" s="100" t="str">
        <f>IFERROR(VLOOKUP(Tablo519[[#This Row],[ÜRÜN KODU]],YMKODLARI!$A$1:$K$379,9,0)," ")</f>
        <v xml:space="preserve"> </v>
      </c>
      <c r="K414" s="100" t="str">
        <f>IFERROR(VLOOKUP(Tablo519[[#This Row],[BOYA KODU]],Tablo14[#All],4,0)," ")</f>
        <v xml:space="preserve"> </v>
      </c>
      <c r="L414" s="100" t="str">
        <f>IFERROR(VLOOKUP(Tablo519[[#This Row],[BOYA KODU]],Tablo14[#All],6,0)," ")</f>
        <v xml:space="preserve"> </v>
      </c>
      <c r="M414" s="100" t="str">
        <f t="shared" si="46"/>
        <v xml:space="preserve"> </v>
      </c>
      <c r="N414" s="100" t="str">
        <f>IFERROR(VLOOKUP(Tablo519[[#This Row],[ÜRÜN KODU]],YMKODLARI!$A$1:$K$363,8,0)," ")</f>
        <v xml:space="preserve"> </v>
      </c>
      <c r="O414" s="100" t="str">
        <f>IFERROR(VLOOKUP(Tablo519[[#This Row],[HAMMADDE KODU]],Tablo1[#All],3,0)," ")</f>
        <v xml:space="preserve"> </v>
      </c>
      <c r="P414" s="100" t="str">
        <f>IFERROR(VLOOKUP(Tablo519[[#This Row],[HAMMADDE KODU]],Tablo1[#All],4,0)," ")</f>
        <v xml:space="preserve"> </v>
      </c>
      <c r="Q414" s="100" t="str">
        <f>IFERROR(VLOOKUP(Tablo519[[#This Row],[ÜRÜN KODU]],YMKODLARI!$A$1:$K$379,5,0)," ")</f>
        <v xml:space="preserve"> </v>
      </c>
      <c r="R414" s="100" t="str">
        <f>IFERROR(VLOOKUP(Tablo519[[#This Row],[ÜRÜN KODU]],YMKODLARI!$A$1:$K$379,6,0)," ")</f>
        <v xml:space="preserve"> </v>
      </c>
      <c r="S414" s="100" t="str">
        <f>IFERROR(Tablo519[[#This Row],[YOLLUK HARİÇ BASKI GRAMI]]/Tablo519[[#This Row],[KALIP GÖZ ADEDİ]]," ")</f>
        <v xml:space="preserve"> </v>
      </c>
      <c r="T414" s="100" t="str">
        <f t="shared" si="47"/>
        <v xml:space="preserve"> </v>
      </c>
      <c r="U414" s="100"/>
      <c r="V414" s="100" t="str">
        <f t="shared" si="45"/>
        <v xml:space="preserve"> </v>
      </c>
      <c r="W414" s="101">
        <f t="shared" si="48"/>
        <v>24</v>
      </c>
      <c r="X414" s="102">
        <f t="shared" si="49"/>
        <v>0</v>
      </c>
      <c r="Y414" s="100" t="str">
        <f t="shared" si="50"/>
        <v xml:space="preserve"> </v>
      </c>
      <c r="Z414" s="100" t="str">
        <f t="shared" si="51"/>
        <v xml:space="preserve"> </v>
      </c>
    </row>
    <row r="415" spans="1:26">
      <c r="A415" s="100"/>
      <c r="B415" s="108" t="str">
        <f>IFERROR(VLOOKUP(Tablo519[[#This Row],[ÜRÜN KODU]],YMKODLARI!$A$1:$K$379,2,0)," ")</f>
        <v xml:space="preserve"> </v>
      </c>
      <c r="C415" s="99"/>
      <c r="D415" s="100"/>
      <c r="E415" s="101"/>
      <c r="F415" s="101"/>
      <c r="G415" s="100" t="str">
        <f>IFERROR(VLOOKUP(Tablo519[[#This Row],[ÜRÜN KODU]],YMKODLARI!$A$1:$K$379,3,0)," ")</f>
        <v xml:space="preserve"> </v>
      </c>
      <c r="H415" s="100" t="str">
        <f>IFERROR(VLOOKUP(Tablo519[[#This Row],[ÜRÜN KODU]],YMKODLARI!$A$1:$K$379,4,0)," ")</f>
        <v xml:space="preserve"> </v>
      </c>
      <c r="I415" s="100"/>
      <c r="J415" s="100" t="str">
        <f>IFERROR(VLOOKUP(Tablo519[[#This Row],[ÜRÜN KODU]],YMKODLARI!$A$1:$K$379,9,0)," ")</f>
        <v xml:space="preserve"> </v>
      </c>
      <c r="K415" s="100" t="str">
        <f>IFERROR(VLOOKUP(Tablo519[[#This Row],[BOYA KODU]],Tablo14[#All],4,0)," ")</f>
        <v xml:space="preserve"> </v>
      </c>
      <c r="L415" s="100" t="str">
        <f>IFERROR(VLOOKUP(Tablo519[[#This Row],[BOYA KODU]],Tablo14[#All],6,0)," ")</f>
        <v xml:space="preserve"> </v>
      </c>
      <c r="M415" s="100" t="str">
        <f t="shared" si="46"/>
        <v xml:space="preserve"> </v>
      </c>
      <c r="N415" s="100" t="str">
        <f>IFERROR(VLOOKUP(Tablo519[[#This Row],[ÜRÜN KODU]],YMKODLARI!$A$1:$K$363,8,0)," ")</f>
        <v xml:space="preserve"> </v>
      </c>
      <c r="O415" s="100" t="str">
        <f>IFERROR(VLOOKUP(Tablo519[[#This Row],[HAMMADDE KODU]],Tablo1[#All],3,0)," ")</f>
        <v xml:space="preserve"> </v>
      </c>
      <c r="P415" s="100" t="str">
        <f>IFERROR(VLOOKUP(Tablo519[[#This Row],[HAMMADDE KODU]],Tablo1[#All],4,0)," ")</f>
        <v xml:space="preserve"> </v>
      </c>
      <c r="Q415" s="100" t="str">
        <f>IFERROR(VLOOKUP(Tablo519[[#This Row],[ÜRÜN KODU]],YMKODLARI!$A$1:$K$379,5,0)," ")</f>
        <v xml:space="preserve"> </v>
      </c>
      <c r="R415" s="100" t="str">
        <f>IFERROR(VLOOKUP(Tablo519[[#This Row],[ÜRÜN KODU]],YMKODLARI!$A$1:$K$379,6,0)," ")</f>
        <v xml:space="preserve"> </v>
      </c>
      <c r="S415" s="100" t="str">
        <f>IFERROR(Tablo519[[#This Row],[YOLLUK HARİÇ BASKI GRAMI]]/Tablo519[[#This Row],[KALIP GÖZ ADEDİ]]," ")</f>
        <v xml:space="preserve"> </v>
      </c>
      <c r="T415" s="100" t="str">
        <f t="shared" si="47"/>
        <v xml:space="preserve"> </v>
      </c>
      <c r="U415" s="100"/>
      <c r="V415" s="100" t="str">
        <f t="shared" si="45"/>
        <v xml:space="preserve"> </v>
      </c>
      <c r="W415" s="101">
        <f t="shared" si="48"/>
        <v>24</v>
      </c>
      <c r="X415" s="102">
        <f t="shared" si="49"/>
        <v>0</v>
      </c>
      <c r="Y415" s="100" t="str">
        <f t="shared" si="50"/>
        <v xml:space="preserve"> </v>
      </c>
      <c r="Z415" s="100" t="str">
        <f t="shared" si="51"/>
        <v xml:space="preserve"> </v>
      </c>
    </row>
    <row r="416" spans="1:26">
      <c r="A416" s="100"/>
      <c r="B416" s="108" t="str">
        <f>IFERROR(VLOOKUP(Tablo519[[#This Row],[ÜRÜN KODU]],YMKODLARI!$A$1:$K$379,2,0)," ")</f>
        <v xml:space="preserve"> </v>
      </c>
      <c r="C416" s="99"/>
      <c r="D416" s="100"/>
      <c r="E416" s="101"/>
      <c r="F416" s="101"/>
      <c r="G416" s="100" t="str">
        <f>IFERROR(VLOOKUP(Tablo519[[#This Row],[ÜRÜN KODU]],YMKODLARI!$A$1:$K$379,3,0)," ")</f>
        <v xml:space="preserve"> </v>
      </c>
      <c r="H416" s="100" t="str">
        <f>IFERROR(VLOOKUP(Tablo519[[#This Row],[ÜRÜN KODU]],YMKODLARI!$A$1:$K$379,4,0)," ")</f>
        <v xml:space="preserve"> </v>
      </c>
      <c r="I416" s="100"/>
      <c r="J416" s="100" t="str">
        <f>IFERROR(VLOOKUP(Tablo519[[#This Row],[ÜRÜN KODU]],YMKODLARI!$A$1:$K$379,9,0)," ")</f>
        <v xml:space="preserve"> </v>
      </c>
      <c r="K416" s="100" t="str">
        <f>IFERROR(VLOOKUP(Tablo519[[#This Row],[BOYA KODU]],Tablo14[#All],4,0)," ")</f>
        <v xml:space="preserve"> </v>
      </c>
      <c r="L416" s="100" t="str">
        <f>IFERROR(VLOOKUP(Tablo519[[#This Row],[BOYA KODU]],Tablo14[#All],6,0)," ")</f>
        <v xml:space="preserve"> </v>
      </c>
      <c r="M416" s="100" t="str">
        <f t="shared" si="46"/>
        <v xml:space="preserve"> </v>
      </c>
      <c r="N416" s="100" t="str">
        <f>IFERROR(VLOOKUP(Tablo519[[#This Row],[ÜRÜN KODU]],YMKODLARI!$A$1:$K$363,8,0)," ")</f>
        <v xml:space="preserve"> </v>
      </c>
      <c r="O416" s="100" t="str">
        <f>IFERROR(VLOOKUP(Tablo519[[#This Row],[HAMMADDE KODU]],Tablo1[#All],3,0)," ")</f>
        <v xml:space="preserve"> </v>
      </c>
      <c r="P416" s="100" t="str">
        <f>IFERROR(VLOOKUP(Tablo519[[#This Row],[HAMMADDE KODU]],Tablo1[#All],4,0)," ")</f>
        <v xml:space="preserve"> </v>
      </c>
      <c r="Q416" s="100" t="str">
        <f>IFERROR(VLOOKUP(Tablo519[[#This Row],[ÜRÜN KODU]],YMKODLARI!$A$1:$K$379,5,0)," ")</f>
        <v xml:space="preserve"> </v>
      </c>
      <c r="R416" s="100" t="str">
        <f>IFERROR(VLOOKUP(Tablo519[[#This Row],[ÜRÜN KODU]],YMKODLARI!$A$1:$K$379,6,0)," ")</f>
        <v xml:space="preserve"> </v>
      </c>
      <c r="S416" s="100" t="str">
        <f>IFERROR(Tablo519[[#This Row],[YOLLUK HARİÇ BASKI GRAMI]]/Tablo519[[#This Row],[KALIP GÖZ ADEDİ]]," ")</f>
        <v xml:space="preserve"> </v>
      </c>
      <c r="T416" s="100" t="str">
        <f t="shared" si="47"/>
        <v xml:space="preserve"> </v>
      </c>
      <c r="U416" s="100"/>
      <c r="V416" s="100" t="str">
        <f t="shared" si="45"/>
        <v xml:space="preserve"> </v>
      </c>
      <c r="W416" s="101">
        <f t="shared" si="48"/>
        <v>24</v>
      </c>
      <c r="X416" s="102">
        <f t="shared" si="49"/>
        <v>0</v>
      </c>
      <c r="Y416" s="100" t="str">
        <f t="shared" si="50"/>
        <v xml:space="preserve"> </v>
      </c>
      <c r="Z416" s="100" t="str">
        <f t="shared" si="51"/>
        <v xml:space="preserve"> </v>
      </c>
    </row>
    <row r="417" spans="1:26">
      <c r="A417" s="100"/>
      <c r="B417" s="108" t="str">
        <f>IFERROR(VLOOKUP(Tablo519[[#This Row],[ÜRÜN KODU]],YMKODLARI!$A$1:$K$379,2,0)," ")</f>
        <v xml:space="preserve"> </v>
      </c>
      <c r="C417" s="99"/>
      <c r="D417" s="100"/>
      <c r="E417" s="101"/>
      <c r="F417" s="101"/>
      <c r="G417" s="100" t="str">
        <f>IFERROR(VLOOKUP(Tablo519[[#This Row],[ÜRÜN KODU]],YMKODLARI!$A$1:$K$379,3,0)," ")</f>
        <v xml:space="preserve"> </v>
      </c>
      <c r="H417" s="100" t="str">
        <f>IFERROR(VLOOKUP(Tablo519[[#This Row],[ÜRÜN KODU]],YMKODLARI!$A$1:$K$379,4,0)," ")</f>
        <v xml:space="preserve"> </v>
      </c>
      <c r="I417" s="100"/>
      <c r="J417" s="100" t="str">
        <f>IFERROR(VLOOKUP(Tablo519[[#This Row],[ÜRÜN KODU]],YMKODLARI!$A$1:$K$379,9,0)," ")</f>
        <v xml:space="preserve"> </v>
      </c>
      <c r="K417" s="100" t="str">
        <f>IFERROR(VLOOKUP(Tablo519[[#This Row],[BOYA KODU]],Tablo14[#All],4,0)," ")</f>
        <v xml:space="preserve"> </v>
      </c>
      <c r="L417" s="100" t="str">
        <f>IFERROR(VLOOKUP(Tablo519[[#This Row],[BOYA KODU]],Tablo14[#All],6,0)," ")</f>
        <v xml:space="preserve"> </v>
      </c>
      <c r="M417" s="100" t="str">
        <f t="shared" si="46"/>
        <v xml:space="preserve"> </v>
      </c>
      <c r="N417" s="100" t="str">
        <f>IFERROR(VLOOKUP(Tablo519[[#This Row],[ÜRÜN KODU]],YMKODLARI!$A$1:$K$363,8,0)," ")</f>
        <v xml:space="preserve"> </v>
      </c>
      <c r="O417" s="100" t="str">
        <f>IFERROR(VLOOKUP(Tablo519[[#This Row],[HAMMADDE KODU]],Tablo1[#All],3,0)," ")</f>
        <v xml:space="preserve"> </v>
      </c>
      <c r="P417" s="100" t="str">
        <f>IFERROR(VLOOKUP(Tablo519[[#This Row],[HAMMADDE KODU]],Tablo1[#All],4,0)," ")</f>
        <v xml:space="preserve"> </v>
      </c>
      <c r="Q417" s="100" t="str">
        <f>IFERROR(VLOOKUP(Tablo519[[#This Row],[ÜRÜN KODU]],YMKODLARI!$A$1:$K$379,5,0)," ")</f>
        <v xml:space="preserve"> </v>
      </c>
      <c r="R417" s="100" t="str">
        <f>IFERROR(VLOOKUP(Tablo519[[#This Row],[ÜRÜN KODU]],YMKODLARI!$A$1:$K$379,6,0)," ")</f>
        <v xml:space="preserve"> </v>
      </c>
      <c r="S417" s="100" t="str">
        <f>IFERROR(Tablo519[[#This Row],[YOLLUK HARİÇ BASKI GRAMI]]/Tablo519[[#This Row],[KALIP GÖZ ADEDİ]]," ")</f>
        <v xml:space="preserve"> </v>
      </c>
      <c r="T417" s="100" t="str">
        <f t="shared" si="47"/>
        <v xml:space="preserve"> </v>
      </c>
      <c r="U417" s="100"/>
      <c r="V417" s="100" t="str">
        <f t="shared" si="45"/>
        <v xml:space="preserve"> </v>
      </c>
      <c r="W417" s="101">
        <f t="shared" si="48"/>
        <v>24</v>
      </c>
      <c r="X417" s="102">
        <f t="shared" si="49"/>
        <v>0</v>
      </c>
      <c r="Y417" s="100" t="str">
        <f t="shared" si="50"/>
        <v xml:space="preserve"> </v>
      </c>
      <c r="Z417" s="100" t="str">
        <f t="shared" si="51"/>
        <v xml:space="preserve"> </v>
      </c>
    </row>
    <row r="418" spans="1:26">
      <c r="A418" s="100"/>
      <c r="B418" s="108" t="str">
        <f>IFERROR(VLOOKUP(Tablo519[[#This Row],[ÜRÜN KODU]],YMKODLARI!$A$1:$K$379,2,0)," ")</f>
        <v xml:space="preserve"> </v>
      </c>
      <c r="C418" s="99"/>
      <c r="D418" s="100"/>
      <c r="E418" s="101"/>
      <c r="F418" s="101"/>
      <c r="G418" s="100" t="str">
        <f>IFERROR(VLOOKUP(Tablo519[[#This Row],[ÜRÜN KODU]],YMKODLARI!$A$1:$K$379,3,0)," ")</f>
        <v xml:space="preserve"> </v>
      </c>
      <c r="H418" s="100" t="str">
        <f>IFERROR(VLOOKUP(Tablo519[[#This Row],[ÜRÜN KODU]],YMKODLARI!$A$1:$K$379,4,0)," ")</f>
        <v xml:space="preserve"> </v>
      </c>
      <c r="I418" s="100"/>
      <c r="J418" s="100" t="str">
        <f>IFERROR(VLOOKUP(Tablo519[[#This Row],[ÜRÜN KODU]],YMKODLARI!$A$1:$K$379,9,0)," ")</f>
        <v xml:space="preserve"> </v>
      </c>
      <c r="K418" s="100" t="str">
        <f>IFERROR(VLOOKUP(Tablo519[[#This Row],[BOYA KODU]],Tablo14[#All],4,0)," ")</f>
        <v xml:space="preserve"> </v>
      </c>
      <c r="L418" s="100" t="str">
        <f>IFERROR(VLOOKUP(Tablo519[[#This Row],[BOYA KODU]],Tablo14[#All],6,0)," ")</f>
        <v xml:space="preserve"> </v>
      </c>
      <c r="M418" s="100" t="str">
        <f t="shared" si="46"/>
        <v xml:space="preserve"> </v>
      </c>
      <c r="N418" s="100" t="str">
        <f>IFERROR(VLOOKUP(Tablo519[[#This Row],[ÜRÜN KODU]],YMKODLARI!$A$1:$K$363,8,0)," ")</f>
        <v xml:space="preserve"> </v>
      </c>
      <c r="O418" s="100" t="str">
        <f>IFERROR(VLOOKUP(Tablo519[[#This Row],[HAMMADDE KODU]],Tablo1[#All],3,0)," ")</f>
        <v xml:space="preserve"> </v>
      </c>
      <c r="P418" s="100" t="str">
        <f>IFERROR(VLOOKUP(Tablo519[[#This Row],[HAMMADDE KODU]],Tablo1[#All],4,0)," ")</f>
        <v xml:space="preserve"> </v>
      </c>
      <c r="Q418" s="100" t="str">
        <f>IFERROR(VLOOKUP(Tablo519[[#This Row],[ÜRÜN KODU]],YMKODLARI!$A$1:$K$379,5,0)," ")</f>
        <v xml:space="preserve"> </v>
      </c>
      <c r="R418" s="100" t="str">
        <f>IFERROR(VLOOKUP(Tablo519[[#This Row],[ÜRÜN KODU]],YMKODLARI!$A$1:$K$379,6,0)," ")</f>
        <v xml:space="preserve"> </v>
      </c>
      <c r="S418" s="100" t="str">
        <f>IFERROR(Tablo519[[#This Row],[YOLLUK HARİÇ BASKI GRAMI]]/Tablo519[[#This Row],[KALIP GÖZ ADEDİ]]," ")</f>
        <v xml:space="preserve"> </v>
      </c>
      <c r="T418" s="100" t="str">
        <f t="shared" si="47"/>
        <v xml:space="preserve"> </v>
      </c>
      <c r="U418" s="100"/>
      <c r="V418" s="100" t="str">
        <f t="shared" si="45"/>
        <v xml:space="preserve"> </v>
      </c>
      <c r="W418" s="101">
        <f t="shared" si="48"/>
        <v>24</v>
      </c>
      <c r="X418" s="102">
        <f t="shared" si="49"/>
        <v>0</v>
      </c>
      <c r="Y418" s="100" t="str">
        <f t="shared" si="50"/>
        <v xml:space="preserve"> </v>
      </c>
      <c r="Z418" s="100" t="str">
        <f t="shared" si="51"/>
        <v xml:space="preserve"> </v>
      </c>
    </row>
    <row r="419" spans="1:26">
      <c r="A419" s="100"/>
      <c r="B419" s="108" t="str">
        <f>IFERROR(VLOOKUP(Tablo519[[#This Row],[ÜRÜN KODU]],YMKODLARI!$A$1:$K$379,2,0)," ")</f>
        <v xml:space="preserve"> </v>
      </c>
      <c r="C419" s="99"/>
      <c r="D419" s="100"/>
      <c r="E419" s="101"/>
      <c r="F419" s="101"/>
      <c r="G419" s="100" t="str">
        <f>IFERROR(VLOOKUP(Tablo519[[#This Row],[ÜRÜN KODU]],YMKODLARI!$A$1:$K$379,3,0)," ")</f>
        <v xml:space="preserve"> </v>
      </c>
      <c r="H419" s="100" t="str">
        <f>IFERROR(VLOOKUP(Tablo519[[#This Row],[ÜRÜN KODU]],YMKODLARI!$A$1:$K$379,4,0)," ")</f>
        <v xml:space="preserve"> </v>
      </c>
      <c r="I419" s="100"/>
      <c r="J419" s="100" t="str">
        <f>IFERROR(VLOOKUP(Tablo519[[#This Row],[ÜRÜN KODU]],YMKODLARI!$A$1:$K$379,9,0)," ")</f>
        <v xml:space="preserve"> </v>
      </c>
      <c r="K419" s="100" t="str">
        <f>IFERROR(VLOOKUP(Tablo519[[#This Row],[BOYA KODU]],Tablo14[#All],4,0)," ")</f>
        <v xml:space="preserve"> </v>
      </c>
      <c r="L419" s="100" t="str">
        <f>IFERROR(VLOOKUP(Tablo519[[#This Row],[BOYA KODU]],Tablo14[#All],6,0)," ")</f>
        <v xml:space="preserve"> </v>
      </c>
      <c r="M419" s="100" t="str">
        <f t="shared" si="46"/>
        <v xml:space="preserve"> </v>
      </c>
      <c r="N419" s="100" t="str">
        <f>IFERROR(VLOOKUP(Tablo519[[#This Row],[ÜRÜN KODU]],YMKODLARI!$A$1:$K$363,8,0)," ")</f>
        <v xml:space="preserve"> </v>
      </c>
      <c r="O419" s="100" t="str">
        <f>IFERROR(VLOOKUP(Tablo519[[#This Row],[HAMMADDE KODU]],Tablo1[#All],3,0)," ")</f>
        <v xml:space="preserve"> </v>
      </c>
      <c r="P419" s="100" t="str">
        <f>IFERROR(VLOOKUP(Tablo519[[#This Row],[HAMMADDE KODU]],Tablo1[#All],4,0)," ")</f>
        <v xml:space="preserve"> </v>
      </c>
      <c r="Q419" s="100" t="str">
        <f>IFERROR(VLOOKUP(Tablo519[[#This Row],[ÜRÜN KODU]],YMKODLARI!$A$1:$K$379,5,0)," ")</f>
        <v xml:space="preserve"> </v>
      </c>
      <c r="R419" s="100" t="str">
        <f>IFERROR(VLOOKUP(Tablo519[[#This Row],[ÜRÜN KODU]],YMKODLARI!$A$1:$K$379,6,0)," ")</f>
        <v xml:space="preserve"> </v>
      </c>
      <c r="S419" s="100" t="str">
        <f>IFERROR(Tablo519[[#This Row],[YOLLUK HARİÇ BASKI GRAMI]]/Tablo519[[#This Row],[KALIP GÖZ ADEDİ]]," ")</f>
        <v xml:space="preserve"> </v>
      </c>
      <c r="T419" s="100" t="str">
        <f t="shared" si="47"/>
        <v xml:space="preserve"> </v>
      </c>
      <c r="U419" s="100"/>
      <c r="V419" s="100" t="str">
        <f t="shared" si="45"/>
        <v xml:space="preserve"> </v>
      </c>
      <c r="W419" s="101">
        <f t="shared" si="48"/>
        <v>24</v>
      </c>
      <c r="X419" s="102">
        <f t="shared" si="49"/>
        <v>0</v>
      </c>
      <c r="Y419" s="100" t="str">
        <f t="shared" si="50"/>
        <v xml:space="preserve"> </v>
      </c>
      <c r="Z419" s="100" t="str">
        <f t="shared" si="51"/>
        <v xml:space="preserve"> </v>
      </c>
    </row>
    <row r="420" spans="1:26">
      <c r="A420" s="100"/>
      <c r="B420" s="108" t="str">
        <f>IFERROR(VLOOKUP(Tablo519[[#This Row],[ÜRÜN KODU]],YMKODLARI!$A$1:$K$379,2,0)," ")</f>
        <v xml:space="preserve"> </v>
      </c>
      <c r="C420" s="99"/>
      <c r="D420" s="100"/>
      <c r="E420" s="101"/>
      <c r="F420" s="101"/>
      <c r="G420" s="100" t="str">
        <f>IFERROR(VLOOKUP(Tablo519[[#This Row],[ÜRÜN KODU]],YMKODLARI!$A$1:$K$379,3,0)," ")</f>
        <v xml:space="preserve"> </v>
      </c>
      <c r="H420" s="100" t="str">
        <f>IFERROR(VLOOKUP(Tablo519[[#This Row],[ÜRÜN KODU]],YMKODLARI!$A$1:$K$379,4,0)," ")</f>
        <v xml:space="preserve"> </v>
      </c>
      <c r="I420" s="100"/>
      <c r="J420" s="100" t="str">
        <f>IFERROR(VLOOKUP(Tablo519[[#This Row],[ÜRÜN KODU]],YMKODLARI!$A$1:$K$379,9,0)," ")</f>
        <v xml:space="preserve"> </v>
      </c>
      <c r="K420" s="100" t="str">
        <f>IFERROR(VLOOKUP(Tablo519[[#This Row],[BOYA KODU]],Tablo14[#All],4,0)," ")</f>
        <v xml:space="preserve"> </v>
      </c>
      <c r="L420" s="100" t="str">
        <f>IFERROR(VLOOKUP(Tablo519[[#This Row],[BOYA KODU]],Tablo14[#All],6,0)," ")</f>
        <v xml:space="preserve"> </v>
      </c>
      <c r="M420" s="100" t="str">
        <f t="shared" si="46"/>
        <v xml:space="preserve"> </v>
      </c>
      <c r="N420" s="100" t="str">
        <f>IFERROR(VLOOKUP(Tablo519[[#This Row],[ÜRÜN KODU]],YMKODLARI!$A$1:$K$363,8,0)," ")</f>
        <v xml:space="preserve"> </v>
      </c>
      <c r="O420" s="100" t="str">
        <f>IFERROR(VLOOKUP(Tablo519[[#This Row],[HAMMADDE KODU]],Tablo1[#All],3,0)," ")</f>
        <v xml:space="preserve"> </v>
      </c>
      <c r="P420" s="100" t="str">
        <f>IFERROR(VLOOKUP(Tablo519[[#This Row],[HAMMADDE KODU]],Tablo1[#All],4,0)," ")</f>
        <v xml:space="preserve"> </v>
      </c>
      <c r="Q420" s="100" t="str">
        <f>IFERROR(VLOOKUP(Tablo519[[#This Row],[ÜRÜN KODU]],YMKODLARI!$A$1:$K$379,5,0)," ")</f>
        <v xml:space="preserve"> </v>
      </c>
      <c r="R420" s="100" t="str">
        <f>IFERROR(VLOOKUP(Tablo519[[#This Row],[ÜRÜN KODU]],YMKODLARI!$A$1:$K$379,6,0)," ")</f>
        <v xml:space="preserve"> </v>
      </c>
      <c r="S420" s="100" t="str">
        <f>IFERROR(Tablo519[[#This Row],[YOLLUK HARİÇ BASKI GRAMI]]/Tablo519[[#This Row],[KALIP GÖZ ADEDİ]]," ")</f>
        <v xml:space="preserve"> </v>
      </c>
      <c r="T420" s="100" t="str">
        <f t="shared" si="47"/>
        <v xml:space="preserve"> </v>
      </c>
      <c r="U420" s="100"/>
      <c r="V420" s="100" t="str">
        <f t="shared" si="45"/>
        <v xml:space="preserve"> </v>
      </c>
      <c r="W420" s="101">
        <f t="shared" si="48"/>
        <v>24</v>
      </c>
      <c r="X420" s="102">
        <f t="shared" si="49"/>
        <v>0</v>
      </c>
      <c r="Y420" s="100" t="str">
        <f t="shared" si="50"/>
        <v xml:space="preserve"> </v>
      </c>
      <c r="Z420" s="100" t="str">
        <f t="shared" si="51"/>
        <v xml:space="preserve"> </v>
      </c>
    </row>
    <row r="421" spans="1:26">
      <c r="A421" s="100"/>
      <c r="B421" s="108" t="str">
        <f>IFERROR(VLOOKUP(Tablo519[[#This Row],[ÜRÜN KODU]],YMKODLARI!$A$1:$K$379,2,0)," ")</f>
        <v xml:space="preserve"> </v>
      </c>
      <c r="C421" s="99"/>
      <c r="D421" s="100"/>
      <c r="E421" s="101"/>
      <c r="F421" s="101"/>
      <c r="G421" s="100" t="str">
        <f>IFERROR(VLOOKUP(Tablo519[[#This Row],[ÜRÜN KODU]],YMKODLARI!$A$1:$K$379,3,0)," ")</f>
        <v xml:space="preserve"> </v>
      </c>
      <c r="H421" s="100" t="str">
        <f>IFERROR(VLOOKUP(Tablo519[[#This Row],[ÜRÜN KODU]],YMKODLARI!$A$1:$K$379,4,0)," ")</f>
        <v xml:space="preserve"> </v>
      </c>
      <c r="I421" s="100"/>
      <c r="J421" s="100" t="str">
        <f>IFERROR(VLOOKUP(Tablo519[[#This Row],[ÜRÜN KODU]],YMKODLARI!$A$1:$K$379,9,0)," ")</f>
        <v xml:space="preserve"> </v>
      </c>
      <c r="K421" s="100" t="str">
        <f>IFERROR(VLOOKUP(Tablo519[[#This Row],[BOYA KODU]],Tablo14[#All],4,0)," ")</f>
        <v xml:space="preserve"> </v>
      </c>
      <c r="L421" s="100" t="str">
        <f>IFERROR(VLOOKUP(Tablo519[[#This Row],[BOYA KODU]],Tablo14[#All],6,0)," ")</f>
        <v xml:space="preserve"> </v>
      </c>
      <c r="M421" s="100" t="str">
        <f t="shared" si="46"/>
        <v xml:space="preserve"> </v>
      </c>
      <c r="N421" s="100" t="str">
        <f>IFERROR(VLOOKUP(Tablo519[[#This Row],[ÜRÜN KODU]],YMKODLARI!$A$1:$K$363,8,0)," ")</f>
        <v xml:space="preserve"> </v>
      </c>
      <c r="O421" s="100" t="str">
        <f>IFERROR(VLOOKUP(Tablo519[[#This Row],[HAMMADDE KODU]],Tablo1[#All],3,0)," ")</f>
        <v xml:space="preserve"> </v>
      </c>
      <c r="P421" s="100" t="str">
        <f>IFERROR(VLOOKUP(Tablo519[[#This Row],[HAMMADDE KODU]],Tablo1[#All],4,0)," ")</f>
        <v xml:space="preserve"> </v>
      </c>
      <c r="Q421" s="100" t="str">
        <f>IFERROR(VLOOKUP(Tablo519[[#This Row],[ÜRÜN KODU]],YMKODLARI!$A$1:$K$379,5,0)," ")</f>
        <v xml:space="preserve"> </v>
      </c>
      <c r="R421" s="100" t="str">
        <f>IFERROR(VLOOKUP(Tablo519[[#This Row],[ÜRÜN KODU]],YMKODLARI!$A$1:$K$379,6,0)," ")</f>
        <v xml:space="preserve"> </v>
      </c>
      <c r="S421" s="100" t="str">
        <f>IFERROR(Tablo519[[#This Row],[YOLLUK HARİÇ BASKI GRAMI]]/Tablo519[[#This Row],[KALIP GÖZ ADEDİ]]," ")</f>
        <v xml:space="preserve"> </v>
      </c>
      <c r="T421" s="100" t="str">
        <f t="shared" si="47"/>
        <v xml:space="preserve"> </v>
      </c>
      <c r="U421" s="100"/>
      <c r="V421" s="100" t="str">
        <f t="shared" si="45"/>
        <v xml:space="preserve"> </v>
      </c>
      <c r="W421" s="101">
        <f t="shared" si="48"/>
        <v>24</v>
      </c>
      <c r="X421" s="102">
        <f t="shared" si="49"/>
        <v>0</v>
      </c>
      <c r="Y421" s="100" t="str">
        <f t="shared" si="50"/>
        <v xml:space="preserve"> </v>
      </c>
      <c r="Z421" s="100" t="str">
        <f t="shared" si="51"/>
        <v xml:space="preserve"> </v>
      </c>
    </row>
    <row r="422" spans="1:26">
      <c r="A422" s="100"/>
      <c r="B422" s="108" t="str">
        <f>IFERROR(VLOOKUP(Tablo519[[#This Row],[ÜRÜN KODU]],YMKODLARI!$A$1:$K$379,2,0)," ")</f>
        <v xml:space="preserve"> </v>
      </c>
      <c r="C422" s="99"/>
      <c r="D422" s="100"/>
      <c r="E422" s="101"/>
      <c r="F422" s="101"/>
      <c r="G422" s="100" t="str">
        <f>IFERROR(VLOOKUP(Tablo519[[#This Row],[ÜRÜN KODU]],YMKODLARI!$A$1:$K$379,3,0)," ")</f>
        <v xml:space="preserve"> </v>
      </c>
      <c r="H422" s="100" t="str">
        <f>IFERROR(VLOOKUP(Tablo519[[#This Row],[ÜRÜN KODU]],YMKODLARI!$A$1:$K$379,4,0)," ")</f>
        <v xml:space="preserve"> </v>
      </c>
      <c r="I422" s="100"/>
      <c r="J422" s="100" t="str">
        <f>IFERROR(VLOOKUP(Tablo519[[#This Row],[ÜRÜN KODU]],YMKODLARI!$A$1:$K$379,9,0)," ")</f>
        <v xml:space="preserve"> </v>
      </c>
      <c r="K422" s="100" t="str">
        <f>IFERROR(VLOOKUP(Tablo519[[#This Row],[BOYA KODU]],Tablo14[#All],4,0)," ")</f>
        <v xml:space="preserve"> </v>
      </c>
      <c r="L422" s="100" t="str">
        <f>IFERROR(VLOOKUP(Tablo519[[#This Row],[BOYA KODU]],Tablo14[#All],6,0)," ")</f>
        <v xml:space="preserve"> </v>
      </c>
      <c r="M422" s="100" t="str">
        <f t="shared" si="46"/>
        <v xml:space="preserve"> </v>
      </c>
      <c r="N422" s="100" t="str">
        <f>IFERROR(VLOOKUP(Tablo519[[#This Row],[ÜRÜN KODU]],YMKODLARI!$A$1:$K$363,8,0)," ")</f>
        <v xml:space="preserve"> </v>
      </c>
      <c r="O422" s="100" t="str">
        <f>IFERROR(VLOOKUP(Tablo519[[#This Row],[HAMMADDE KODU]],Tablo1[#All],3,0)," ")</f>
        <v xml:space="preserve"> </v>
      </c>
      <c r="P422" s="100" t="str">
        <f>IFERROR(VLOOKUP(Tablo519[[#This Row],[HAMMADDE KODU]],Tablo1[#All],4,0)," ")</f>
        <v xml:space="preserve"> </v>
      </c>
      <c r="Q422" s="100" t="str">
        <f>IFERROR(VLOOKUP(Tablo519[[#This Row],[ÜRÜN KODU]],YMKODLARI!$A$1:$K$379,5,0)," ")</f>
        <v xml:space="preserve"> </v>
      </c>
      <c r="R422" s="100" t="str">
        <f>IFERROR(VLOOKUP(Tablo519[[#This Row],[ÜRÜN KODU]],YMKODLARI!$A$1:$K$379,6,0)," ")</f>
        <v xml:space="preserve"> </v>
      </c>
      <c r="S422" s="100" t="str">
        <f>IFERROR(Tablo519[[#This Row],[YOLLUK HARİÇ BASKI GRAMI]]/Tablo519[[#This Row],[KALIP GÖZ ADEDİ]]," ")</f>
        <v xml:space="preserve"> </v>
      </c>
      <c r="T422" s="100" t="str">
        <f t="shared" si="47"/>
        <v xml:space="preserve"> </v>
      </c>
      <c r="U422" s="100"/>
      <c r="V422" s="100" t="str">
        <f t="shared" si="45"/>
        <v xml:space="preserve"> </v>
      </c>
      <c r="W422" s="101">
        <f t="shared" si="48"/>
        <v>24</v>
      </c>
      <c r="X422" s="102">
        <f t="shared" si="49"/>
        <v>0</v>
      </c>
      <c r="Y422" s="100" t="str">
        <f t="shared" si="50"/>
        <v xml:space="preserve"> </v>
      </c>
      <c r="Z422" s="100" t="str">
        <f t="shared" si="51"/>
        <v xml:space="preserve"> </v>
      </c>
    </row>
    <row r="423" spans="1:26">
      <c r="A423" s="100"/>
      <c r="B423" s="108" t="str">
        <f>IFERROR(VLOOKUP(Tablo519[[#This Row],[ÜRÜN KODU]],YMKODLARI!$A$1:$K$379,2,0)," ")</f>
        <v xml:space="preserve"> </v>
      </c>
      <c r="C423" s="99"/>
      <c r="D423" s="100"/>
      <c r="E423" s="101"/>
      <c r="F423" s="101"/>
      <c r="G423" s="100" t="str">
        <f>IFERROR(VLOOKUP(Tablo519[[#This Row],[ÜRÜN KODU]],YMKODLARI!$A$1:$K$379,3,0)," ")</f>
        <v xml:space="preserve"> </v>
      </c>
      <c r="H423" s="100" t="str">
        <f>IFERROR(VLOOKUP(Tablo519[[#This Row],[ÜRÜN KODU]],YMKODLARI!$A$1:$K$379,4,0)," ")</f>
        <v xml:space="preserve"> </v>
      </c>
      <c r="I423" s="100"/>
      <c r="J423" s="100" t="str">
        <f>IFERROR(VLOOKUP(Tablo519[[#This Row],[ÜRÜN KODU]],YMKODLARI!$A$1:$K$379,9,0)," ")</f>
        <v xml:space="preserve"> </v>
      </c>
      <c r="K423" s="100" t="str">
        <f>IFERROR(VLOOKUP(Tablo519[[#This Row],[BOYA KODU]],Tablo14[#All],4,0)," ")</f>
        <v xml:space="preserve"> </v>
      </c>
      <c r="L423" s="100" t="str">
        <f>IFERROR(VLOOKUP(Tablo519[[#This Row],[BOYA KODU]],Tablo14[#All],6,0)," ")</f>
        <v xml:space="preserve"> </v>
      </c>
      <c r="M423" s="100" t="str">
        <f t="shared" si="46"/>
        <v xml:space="preserve"> </v>
      </c>
      <c r="N423" s="100" t="str">
        <f>IFERROR(VLOOKUP(Tablo519[[#This Row],[ÜRÜN KODU]],YMKODLARI!$A$1:$K$363,8,0)," ")</f>
        <v xml:space="preserve"> </v>
      </c>
      <c r="O423" s="100" t="str">
        <f>IFERROR(VLOOKUP(Tablo519[[#This Row],[HAMMADDE KODU]],Tablo1[#All],3,0)," ")</f>
        <v xml:space="preserve"> </v>
      </c>
      <c r="P423" s="100" t="str">
        <f>IFERROR(VLOOKUP(Tablo519[[#This Row],[HAMMADDE KODU]],Tablo1[#All],4,0)," ")</f>
        <v xml:space="preserve"> </v>
      </c>
      <c r="Q423" s="100" t="str">
        <f>IFERROR(VLOOKUP(Tablo519[[#This Row],[ÜRÜN KODU]],YMKODLARI!$A$1:$K$379,5,0)," ")</f>
        <v xml:space="preserve"> </v>
      </c>
      <c r="R423" s="100" t="str">
        <f>IFERROR(VLOOKUP(Tablo519[[#This Row],[ÜRÜN KODU]],YMKODLARI!$A$1:$K$379,6,0)," ")</f>
        <v xml:space="preserve"> </v>
      </c>
      <c r="S423" s="100" t="str">
        <f>IFERROR(Tablo519[[#This Row],[YOLLUK HARİÇ BASKI GRAMI]]/Tablo519[[#This Row],[KALIP GÖZ ADEDİ]]," ")</f>
        <v xml:space="preserve"> </v>
      </c>
      <c r="T423" s="100" t="str">
        <f t="shared" si="47"/>
        <v xml:space="preserve"> </v>
      </c>
      <c r="U423" s="100"/>
      <c r="V423" s="100" t="str">
        <f t="shared" si="45"/>
        <v xml:space="preserve"> </v>
      </c>
      <c r="W423" s="101">
        <f t="shared" si="48"/>
        <v>24</v>
      </c>
      <c r="X423" s="102">
        <f t="shared" si="49"/>
        <v>0</v>
      </c>
      <c r="Y423" s="100" t="str">
        <f t="shared" si="50"/>
        <v xml:space="preserve"> </v>
      </c>
      <c r="Z423" s="100" t="str">
        <f t="shared" si="51"/>
        <v xml:space="preserve"> </v>
      </c>
    </row>
    <row r="424" spans="1:26">
      <c r="A424" s="100"/>
      <c r="B424" s="108" t="str">
        <f>IFERROR(VLOOKUP(Tablo519[[#This Row],[ÜRÜN KODU]],YMKODLARI!$A$1:$K$379,2,0)," ")</f>
        <v xml:space="preserve"> </v>
      </c>
      <c r="C424" s="99"/>
      <c r="D424" s="100"/>
      <c r="E424" s="101"/>
      <c r="F424" s="101"/>
      <c r="G424" s="100" t="str">
        <f>IFERROR(VLOOKUP(Tablo519[[#This Row],[ÜRÜN KODU]],YMKODLARI!$A$1:$K$379,3,0)," ")</f>
        <v xml:space="preserve"> </v>
      </c>
      <c r="H424" s="100" t="str">
        <f>IFERROR(VLOOKUP(Tablo519[[#This Row],[ÜRÜN KODU]],YMKODLARI!$A$1:$K$379,4,0)," ")</f>
        <v xml:space="preserve"> </v>
      </c>
      <c r="I424" s="100"/>
      <c r="J424" s="100" t="str">
        <f>IFERROR(VLOOKUP(Tablo519[[#This Row],[ÜRÜN KODU]],YMKODLARI!$A$1:$K$379,9,0)," ")</f>
        <v xml:space="preserve"> </v>
      </c>
      <c r="K424" s="100" t="str">
        <f>IFERROR(VLOOKUP(Tablo519[[#This Row],[BOYA KODU]],Tablo14[#All],4,0)," ")</f>
        <v xml:space="preserve"> </v>
      </c>
      <c r="L424" s="100" t="str">
        <f>IFERROR(VLOOKUP(Tablo519[[#This Row],[BOYA KODU]],Tablo14[#All],6,0)," ")</f>
        <v xml:space="preserve"> </v>
      </c>
      <c r="M424" s="100" t="str">
        <f t="shared" si="46"/>
        <v xml:space="preserve"> </v>
      </c>
      <c r="N424" s="100" t="str">
        <f>IFERROR(VLOOKUP(Tablo519[[#This Row],[ÜRÜN KODU]],YMKODLARI!$A$1:$K$363,8,0)," ")</f>
        <v xml:space="preserve"> </v>
      </c>
      <c r="O424" s="100" t="str">
        <f>IFERROR(VLOOKUP(Tablo519[[#This Row],[HAMMADDE KODU]],Tablo1[#All],3,0)," ")</f>
        <v xml:space="preserve"> </v>
      </c>
      <c r="P424" s="100" t="str">
        <f>IFERROR(VLOOKUP(Tablo519[[#This Row],[HAMMADDE KODU]],Tablo1[#All],4,0)," ")</f>
        <v xml:space="preserve"> </v>
      </c>
      <c r="Q424" s="100" t="str">
        <f>IFERROR(VLOOKUP(Tablo519[[#This Row],[ÜRÜN KODU]],YMKODLARI!$A$1:$K$379,5,0)," ")</f>
        <v xml:space="preserve"> </v>
      </c>
      <c r="R424" s="100" t="str">
        <f>IFERROR(VLOOKUP(Tablo519[[#This Row],[ÜRÜN KODU]],YMKODLARI!$A$1:$K$379,6,0)," ")</f>
        <v xml:space="preserve"> </v>
      </c>
      <c r="S424" s="100" t="str">
        <f>IFERROR(Tablo519[[#This Row],[YOLLUK HARİÇ BASKI GRAMI]]/Tablo519[[#This Row],[KALIP GÖZ ADEDİ]]," ")</f>
        <v xml:space="preserve"> </v>
      </c>
      <c r="T424" s="100" t="str">
        <f t="shared" si="47"/>
        <v xml:space="preserve"> </v>
      </c>
      <c r="U424" s="100"/>
      <c r="V424" s="100" t="str">
        <f t="shared" si="45"/>
        <v xml:space="preserve"> </v>
      </c>
      <c r="W424" s="101">
        <f t="shared" si="48"/>
        <v>24</v>
      </c>
      <c r="X424" s="102">
        <f t="shared" si="49"/>
        <v>0</v>
      </c>
      <c r="Y424" s="100" t="str">
        <f t="shared" si="50"/>
        <v xml:space="preserve"> </v>
      </c>
      <c r="Z424" s="100" t="str">
        <f t="shared" si="51"/>
        <v xml:space="preserve"> </v>
      </c>
    </row>
    <row r="425" spans="1:26">
      <c r="A425" s="100"/>
      <c r="B425" s="108" t="str">
        <f>IFERROR(VLOOKUP(Tablo519[[#This Row],[ÜRÜN KODU]],YMKODLARI!$A$1:$K$379,2,0)," ")</f>
        <v xml:space="preserve"> </v>
      </c>
      <c r="C425" s="99"/>
      <c r="D425" s="100"/>
      <c r="E425" s="101"/>
      <c r="F425" s="101"/>
      <c r="G425" s="100" t="str">
        <f>IFERROR(VLOOKUP(Tablo519[[#This Row],[ÜRÜN KODU]],YMKODLARI!$A$1:$K$379,3,0)," ")</f>
        <v xml:space="preserve"> </v>
      </c>
      <c r="H425" s="100" t="str">
        <f>IFERROR(VLOOKUP(Tablo519[[#This Row],[ÜRÜN KODU]],YMKODLARI!$A$1:$K$379,4,0)," ")</f>
        <v xml:space="preserve"> </v>
      </c>
      <c r="I425" s="100"/>
      <c r="J425" s="100" t="str">
        <f>IFERROR(VLOOKUP(Tablo519[[#This Row],[ÜRÜN KODU]],YMKODLARI!$A$1:$K$379,9,0)," ")</f>
        <v xml:space="preserve"> </v>
      </c>
      <c r="K425" s="100" t="str">
        <f>IFERROR(VLOOKUP(Tablo519[[#This Row],[BOYA KODU]],Tablo14[#All],4,0)," ")</f>
        <v xml:space="preserve"> </v>
      </c>
      <c r="L425" s="100" t="str">
        <f>IFERROR(VLOOKUP(Tablo519[[#This Row],[BOYA KODU]],Tablo14[#All],6,0)," ")</f>
        <v xml:space="preserve"> </v>
      </c>
      <c r="M425" s="100" t="str">
        <f t="shared" si="46"/>
        <v xml:space="preserve"> </v>
      </c>
      <c r="N425" s="100" t="str">
        <f>IFERROR(VLOOKUP(Tablo519[[#This Row],[ÜRÜN KODU]],YMKODLARI!$A$1:$K$363,8,0)," ")</f>
        <v xml:space="preserve"> </v>
      </c>
      <c r="O425" s="100" t="str">
        <f>IFERROR(VLOOKUP(Tablo519[[#This Row],[HAMMADDE KODU]],Tablo1[#All],3,0)," ")</f>
        <v xml:space="preserve"> </v>
      </c>
      <c r="P425" s="100" t="str">
        <f>IFERROR(VLOOKUP(Tablo519[[#This Row],[HAMMADDE KODU]],Tablo1[#All],4,0)," ")</f>
        <v xml:space="preserve"> </v>
      </c>
      <c r="Q425" s="100" t="str">
        <f>IFERROR(VLOOKUP(Tablo519[[#This Row],[ÜRÜN KODU]],YMKODLARI!$A$1:$K$379,5,0)," ")</f>
        <v xml:space="preserve"> </v>
      </c>
      <c r="R425" s="100" t="str">
        <f>IFERROR(VLOOKUP(Tablo519[[#This Row],[ÜRÜN KODU]],YMKODLARI!$A$1:$K$379,6,0)," ")</f>
        <v xml:space="preserve"> </v>
      </c>
      <c r="S425" s="100" t="str">
        <f>IFERROR(Tablo519[[#This Row],[YOLLUK HARİÇ BASKI GRAMI]]/Tablo519[[#This Row],[KALIP GÖZ ADEDİ]]," ")</f>
        <v xml:space="preserve"> </v>
      </c>
      <c r="T425" s="100" t="str">
        <f t="shared" si="47"/>
        <v xml:space="preserve"> </v>
      </c>
      <c r="U425" s="100"/>
      <c r="V425" s="100" t="str">
        <f t="shared" ref="V425:V488" si="52">IFERROR(U425+(R425*I425) /1000," ")</f>
        <v xml:space="preserve"> </v>
      </c>
      <c r="W425" s="101">
        <f t="shared" si="48"/>
        <v>24</v>
      </c>
      <c r="X425" s="102">
        <f t="shared" si="49"/>
        <v>0</v>
      </c>
      <c r="Y425" s="100" t="str">
        <f t="shared" si="50"/>
        <v xml:space="preserve"> </v>
      </c>
      <c r="Z425" s="100" t="str">
        <f t="shared" si="51"/>
        <v xml:space="preserve"> </v>
      </c>
    </row>
    <row r="426" spans="1:26">
      <c r="A426" s="100"/>
      <c r="B426" s="108" t="str">
        <f>IFERROR(VLOOKUP(Tablo519[[#This Row],[ÜRÜN KODU]],YMKODLARI!$A$1:$K$379,2,0)," ")</f>
        <v xml:space="preserve"> </v>
      </c>
      <c r="C426" s="99"/>
      <c r="D426" s="100"/>
      <c r="E426" s="101"/>
      <c r="F426" s="101"/>
      <c r="G426" s="100" t="str">
        <f>IFERROR(VLOOKUP(Tablo519[[#This Row],[ÜRÜN KODU]],YMKODLARI!$A$1:$K$379,3,0)," ")</f>
        <v xml:space="preserve"> </v>
      </c>
      <c r="H426" s="100" t="str">
        <f>IFERROR(VLOOKUP(Tablo519[[#This Row],[ÜRÜN KODU]],YMKODLARI!$A$1:$K$379,4,0)," ")</f>
        <v xml:space="preserve"> </v>
      </c>
      <c r="I426" s="100"/>
      <c r="J426" s="100" t="str">
        <f>IFERROR(VLOOKUP(Tablo519[[#This Row],[ÜRÜN KODU]],YMKODLARI!$A$1:$K$379,9,0)," ")</f>
        <v xml:space="preserve"> </v>
      </c>
      <c r="K426" s="100" t="str">
        <f>IFERROR(VLOOKUP(Tablo519[[#This Row],[BOYA KODU]],Tablo14[#All],4,0)," ")</f>
        <v xml:space="preserve"> </v>
      </c>
      <c r="L426" s="100" t="str">
        <f>IFERROR(VLOOKUP(Tablo519[[#This Row],[BOYA KODU]],Tablo14[#All],6,0)," ")</f>
        <v xml:space="preserve"> </v>
      </c>
      <c r="M426" s="100" t="str">
        <f t="shared" si="46"/>
        <v xml:space="preserve"> </v>
      </c>
      <c r="N426" s="100" t="str">
        <f>IFERROR(VLOOKUP(Tablo519[[#This Row],[ÜRÜN KODU]],YMKODLARI!$A$1:$K$363,8,0)," ")</f>
        <v xml:space="preserve"> </v>
      </c>
      <c r="O426" s="100" t="str">
        <f>IFERROR(VLOOKUP(Tablo519[[#This Row],[HAMMADDE KODU]],Tablo1[#All],3,0)," ")</f>
        <v xml:space="preserve"> </v>
      </c>
      <c r="P426" s="100" t="str">
        <f>IFERROR(VLOOKUP(Tablo519[[#This Row],[HAMMADDE KODU]],Tablo1[#All],4,0)," ")</f>
        <v xml:space="preserve"> </v>
      </c>
      <c r="Q426" s="100" t="str">
        <f>IFERROR(VLOOKUP(Tablo519[[#This Row],[ÜRÜN KODU]],YMKODLARI!$A$1:$K$379,5,0)," ")</f>
        <v xml:space="preserve"> </v>
      </c>
      <c r="R426" s="100" t="str">
        <f>IFERROR(VLOOKUP(Tablo519[[#This Row],[ÜRÜN KODU]],YMKODLARI!$A$1:$K$379,6,0)," ")</f>
        <v xml:space="preserve"> </v>
      </c>
      <c r="S426" s="100" t="str">
        <f>IFERROR(Tablo519[[#This Row],[YOLLUK HARİÇ BASKI GRAMI]]/Tablo519[[#This Row],[KALIP GÖZ ADEDİ]]," ")</f>
        <v xml:space="preserve"> </v>
      </c>
      <c r="T426" s="100" t="str">
        <f t="shared" si="47"/>
        <v xml:space="preserve"> </v>
      </c>
      <c r="U426" s="100"/>
      <c r="V426" s="100" t="str">
        <f t="shared" si="52"/>
        <v xml:space="preserve"> </v>
      </c>
      <c r="W426" s="101">
        <f t="shared" si="48"/>
        <v>24</v>
      </c>
      <c r="X426" s="102">
        <f t="shared" si="49"/>
        <v>0</v>
      </c>
      <c r="Y426" s="100" t="str">
        <f t="shared" si="50"/>
        <v xml:space="preserve"> </v>
      </c>
      <c r="Z426" s="100" t="str">
        <f t="shared" si="51"/>
        <v xml:space="preserve"> </v>
      </c>
    </row>
    <row r="427" spans="1:26">
      <c r="A427" s="100"/>
      <c r="B427" s="108" t="str">
        <f>IFERROR(VLOOKUP(Tablo519[[#This Row],[ÜRÜN KODU]],YMKODLARI!$A$1:$K$379,2,0)," ")</f>
        <v xml:space="preserve"> </v>
      </c>
      <c r="C427" s="99"/>
      <c r="D427" s="100"/>
      <c r="E427" s="101"/>
      <c r="F427" s="101"/>
      <c r="G427" s="100" t="str">
        <f>IFERROR(VLOOKUP(Tablo519[[#This Row],[ÜRÜN KODU]],YMKODLARI!$A$1:$K$379,3,0)," ")</f>
        <v xml:space="preserve"> </v>
      </c>
      <c r="H427" s="100" t="str">
        <f>IFERROR(VLOOKUP(Tablo519[[#This Row],[ÜRÜN KODU]],YMKODLARI!$A$1:$K$379,4,0)," ")</f>
        <v xml:space="preserve"> </v>
      </c>
      <c r="I427" s="100"/>
      <c r="J427" s="100" t="str">
        <f>IFERROR(VLOOKUP(Tablo519[[#This Row],[ÜRÜN KODU]],YMKODLARI!$A$1:$K$379,9,0)," ")</f>
        <v xml:space="preserve"> </v>
      </c>
      <c r="K427" s="100" t="str">
        <f>IFERROR(VLOOKUP(Tablo519[[#This Row],[BOYA KODU]],Tablo14[#All],4,0)," ")</f>
        <v xml:space="preserve"> </v>
      </c>
      <c r="L427" s="100" t="str">
        <f>IFERROR(VLOOKUP(Tablo519[[#This Row],[BOYA KODU]],Tablo14[#All],6,0)," ")</f>
        <v xml:space="preserve"> </v>
      </c>
      <c r="M427" s="100" t="str">
        <f t="shared" si="46"/>
        <v xml:space="preserve"> </v>
      </c>
      <c r="N427" s="100" t="str">
        <f>IFERROR(VLOOKUP(Tablo519[[#This Row],[ÜRÜN KODU]],YMKODLARI!$A$1:$K$363,8,0)," ")</f>
        <v xml:space="preserve"> </v>
      </c>
      <c r="O427" s="100" t="str">
        <f>IFERROR(VLOOKUP(Tablo519[[#This Row],[HAMMADDE KODU]],Tablo1[#All],3,0)," ")</f>
        <v xml:space="preserve"> </v>
      </c>
      <c r="P427" s="100" t="str">
        <f>IFERROR(VLOOKUP(Tablo519[[#This Row],[HAMMADDE KODU]],Tablo1[#All],4,0)," ")</f>
        <v xml:space="preserve"> </v>
      </c>
      <c r="Q427" s="100" t="str">
        <f>IFERROR(VLOOKUP(Tablo519[[#This Row],[ÜRÜN KODU]],YMKODLARI!$A$1:$K$379,5,0)," ")</f>
        <v xml:space="preserve"> </v>
      </c>
      <c r="R427" s="100" t="str">
        <f>IFERROR(VLOOKUP(Tablo519[[#This Row],[ÜRÜN KODU]],YMKODLARI!$A$1:$K$379,6,0)," ")</f>
        <v xml:space="preserve"> </v>
      </c>
      <c r="S427" s="100" t="str">
        <f>IFERROR(Tablo519[[#This Row],[YOLLUK HARİÇ BASKI GRAMI]]/Tablo519[[#This Row],[KALIP GÖZ ADEDİ]]," ")</f>
        <v xml:space="preserve"> </v>
      </c>
      <c r="T427" s="100" t="str">
        <f t="shared" si="47"/>
        <v xml:space="preserve"> </v>
      </c>
      <c r="U427" s="100"/>
      <c r="V427" s="100" t="str">
        <f t="shared" si="52"/>
        <v xml:space="preserve"> </v>
      </c>
      <c r="W427" s="101">
        <f t="shared" si="48"/>
        <v>24</v>
      </c>
      <c r="X427" s="102">
        <f t="shared" si="49"/>
        <v>0</v>
      </c>
      <c r="Y427" s="100" t="str">
        <f t="shared" si="50"/>
        <v xml:space="preserve"> </v>
      </c>
      <c r="Z427" s="100" t="str">
        <f t="shared" si="51"/>
        <v xml:space="preserve"> </v>
      </c>
    </row>
    <row r="428" spans="1:26">
      <c r="A428" s="100"/>
      <c r="B428" s="108" t="str">
        <f>IFERROR(VLOOKUP(Tablo519[[#This Row],[ÜRÜN KODU]],YMKODLARI!$A$1:$K$379,2,0)," ")</f>
        <v xml:space="preserve"> </v>
      </c>
      <c r="C428" s="99"/>
      <c r="D428" s="100"/>
      <c r="E428" s="101"/>
      <c r="F428" s="101"/>
      <c r="G428" s="100" t="str">
        <f>IFERROR(VLOOKUP(Tablo519[[#This Row],[ÜRÜN KODU]],YMKODLARI!$A$1:$K$379,3,0)," ")</f>
        <v xml:space="preserve"> </v>
      </c>
      <c r="H428" s="100" t="str">
        <f>IFERROR(VLOOKUP(Tablo519[[#This Row],[ÜRÜN KODU]],YMKODLARI!$A$1:$K$379,4,0)," ")</f>
        <v xml:space="preserve"> </v>
      </c>
      <c r="I428" s="100"/>
      <c r="J428" s="100" t="str">
        <f>IFERROR(VLOOKUP(Tablo519[[#This Row],[ÜRÜN KODU]],YMKODLARI!$A$1:$K$379,9,0)," ")</f>
        <v xml:space="preserve"> </v>
      </c>
      <c r="K428" s="100" t="str">
        <f>IFERROR(VLOOKUP(Tablo519[[#This Row],[BOYA KODU]],Tablo14[#All],4,0)," ")</f>
        <v xml:space="preserve"> </v>
      </c>
      <c r="L428" s="100" t="str">
        <f>IFERROR(VLOOKUP(Tablo519[[#This Row],[BOYA KODU]],Tablo14[#All],6,0)," ")</f>
        <v xml:space="preserve"> </v>
      </c>
      <c r="M428" s="100" t="str">
        <f t="shared" si="46"/>
        <v xml:space="preserve"> </v>
      </c>
      <c r="N428" s="100" t="str">
        <f>IFERROR(VLOOKUP(Tablo519[[#This Row],[ÜRÜN KODU]],YMKODLARI!$A$1:$K$363,8,0)," ")</f>
        <v xml:space="preserve"> </v>
      </c>
      <c r="O428" s="100" t="str">
        <f>IFERROR(VLOOKUP(Tablo519[[#This Row],[HAMMADDE KODU]],Tablo1[#All],3,0)," ")</f>
        <v xml:space="preserve"> </v>
      </c>
      <c r="P428" s="100" t="str">
        <f>IFERROR(VLOOKUP(Tablo519[[#This Row],[HAMMADDE KODU]],Tablo1[#All],4,0)," ")</f>
        <v xml:space="preserve"> </v>
      </c>
      <c r="Q428" s="100" t="str">
        <f>IFERROR(VLOOKUP(Tablo519[[#This Row],[ÜRÜN KODU]],YMKODLARI!$A$1:$K$379,5,0)," ")</f>
        <v xml:space="preserve"> </v>
      </c>
      <c r="R428" s="100" t="str">
        <f>IFERROR(VLOOKUP(Tablo519[[#This Row],[ÜRÜN KODU]],YMKODLARI!$A$1:$K$379,6,0)," ")</f>
        <v xml:space="preserve"> </v>
      </c>
      <c r="S428" s="100" t="str">
        <f>IFERROR(Tablo519[[#This Row],[YOLLUK HARİÇ BASKI GRAMI]]/Tablo519[[#This Row],[KALIP GÖZ ADEDİ]]," ")</f>
        <v xml:space="preserve"> </v>
      </c>
      <c r="T428" s="100" t="str">
        <f t="shared" si="47"/>
        <v xml:space="preserve"> </v>
      </c>
      <c r="U428" s="100"/>
      <c r="V428" s="100" t="str">
        <f t="shared" si="52"/>
        <v xml:space="preserve"> </v>
      </c>
      <c r="W428" s="101">
        <f t="shared" si="48"/>
        <v>24</v>
      </c>
      <c r="X428" s="102">
        <f t="shared" si="49"/>
        <v>0</v>
      </c>
      <c r="Y428" s="100" t="str">
        <f t="shared" si="50"/>
        <v xml:space="preserve"> </v>
      </c>
      <c r="Z428" s="100" t="str">
        <f t="shared" si="51"/>
        <v xml:space="preserve"> </v>
      </c>
    </row>
    <row r="429" spans="1:26">
      <c r="A429" s="100"/>
      <c r="B429" s="108" t="str">
        <f>IFERROR(VLOOKUP(Tablo519[[#This Row],[ÜRÜN KODU]],YMKODLARI!$A$1:$K$379,2,0)," ")</f>
        <v xml:space="preserve"> </v>
      </c>
      <c r="C429" s="99"/>
      <c r="D429" s="100"/>
      <c r="E429" s="101"/>
      <c r="F429" s="101"/>
      <c r="G429" s="100" t="str">
        <f>IFERROR(VLOOKUP(Tablo519[[#This Row],[ÜRÜN KODU]],YMKODLARI!$A$1:$K$379,3,0)," ")</f>
        <v xml:space="preserve"> </v>
      </c>
      <c r="H429" s="100" t="str">
        <f>IFERROR(VLOOKUP(Tablo519[[#This Row],[ÜRÜN KODU]],YMKODLARI!$A$1:$K$379,4,0)," ")</f>
        <v xml:space="preserve"> </v>
      </c>
      <c r="I429" s="100"/>
      <c r="J429" s="100" t="str">
        <f>IFERROR(VLOOKUP(Tablo519[[#This Row],[ÜRÜN KODU]],YMKODLARI!$A$1:$K$379,9,0)," ")</f>
        <v xml:space="preserve"> </v>
      </c>
      <c r="K429" s="100" t="str">
        <f>IFERROR(VLOOKUP(Tablo519[[#This Row],[BOYA KODU]],Tablo14[#All],4,0)," ")</f>
        <v xml:space="preserve"> </v>
      </c>
      <c r="L429" s="100" t="str">
        <f>IFERROR(VLOOKUP(Tablo519[[#This Row],[BOYA KODU]],Tablo14[#All],6,0)," ")</f>
        <v xml:space="preserve"> </v>
      </c>
      <c r="M429" s="100" t="str">
        <f t="shared" si="46"/>
        <v xml:space="preserve"> </v>
      </c>
      <c r="N429" s="100" t="str">
        <f>IFERROR(VLOOKUP(Tablo519[[#This Row],[ÜRÜN KODU]],YMKODLARI!$A$1:$K$363,8,0)," ")</f>
        <v xml:space="preserve"> </v>
      </c>
      <c r="O429" s="100" t="str">
        <f>IFERROR(VLOOKUP(Tablo519[[#This Row],[HAMMADDE KODU]],Tablo1[#All],3,0)," ")</f>
        <v xml:space="preserve"> </v>
      </c>
      <c r="P429" s="100" t="str">
        <f>IFERROR(VLOOKUP(Tablo519[[#This Row],[HAMMADDE KODU]],Tablo1[#All],4,0)," ")</f>
        <v xml:space="preserve"> </v>
      </c>
      <c r="Q429" s="100" t="str">
        <f>IFERROR(VLOOKUP(Tablo519[[#This Row],[ÜRÜN KODU]],YMKODLARI!$A$1:$K$379,5,0)," ")</f>
        <v xml:space="preserve"> </v>
      </c>
      <c r="R429" s="100" t="str">
        <f>IFERROR(VLOOKUP(Tablo519[[#This Row],[ÜRÜN KODU]],YMKODLARI!$A$1:$K$379,6,0)," ")</f>
        <v xml:space="preserve"> </v>
      </c>
      <c r="S429" s="100" t="str">
        <f>IFERROR(Tablo519[[#This Row],[YOLLUK HARİÇ BASKI GRAMI]]/Tablo519[[#This Row],[KALIP GÖZ ADEDİ]]," ")</f>
        <v xml:space="preserve"> </v>
      </c>
      <c r="T429" s="100" t="str">
        <f t="shared" si="47"/>
        <v xml:space="preserve"> </v>
      </c>
      <c r="U429" s="100"/>
      <c r="V429" s="100" t="str">
        <f t="shared" si="52"/>
        <v xml:space="preserve"> </v>
      </c>
      <c r="W429" s="101">
        <f t="shared" si="48"/>
        <v>24</v>
      </c>
      <c r="X429" s="102">
        <f t="shared" si="49"/>
        <v>0</v>
      </c>
      <c r="Y429" s="100" t="str">
        <f t="shared" si="50"/>
        <v xml:space="preserve"> </v>
      </c>
      <c r="Z429" s="100" t="str">
        <f t="shared" si="51"/>
        <v xml:space="preserve"> </v>
      </c>
    </row>
    <row r="430" spans="1:26">
      <c r="A430" s="100"/>
      <c r="B430" s="108" t="str">
        <f>IFERROR(VLOOKUP(Tablo519[[#This Row],[ÜRÜN KODU]],YMKODLARI!$A$1:$K$379,2,0)," ")</f>
        <v xml:space="preserve"> </v>
      </c>
      <c r="C430" s="99"/>
      <c r="D430" s="100"/>
      <c r="E430" s="101"/>
      <c r="F430" s="101"/>
      <c r="G430" s="100" t="str">
        <f>IFERROR(VLOOKUP(Tablo519[[#This Row],[ÜRÜN KODU]],YMKODLARI!$A$1:$K$379,3,0)," ")</f>
        <v xml:space="preserve"> </v>
      </c>
      <c r="H430" s="100" t="str">
        <f>IFERROR(VLOOKUP(Tablo519[[#This Row],[ÜRÜN KODU]],YMKODLARI!$A$1:$K$379,4,0)," ")</f>
        <v xml:space="preserve"> </v>
      </c>
      <c r="I430" s="100"/>
      <c r="J430" s="100" t="str">
        <f>IFERROR(VLOOKUP(Tablo519[[#This Row],[ÜRÜN KODU]],YMKODLARI!$A$1:$K$379,9,0)," ")</f>
        <v xml:space="preserve"> </v>
      </c>
      <c r="K430" s="100" t="str">
        <f>IFERROR(VLOOKUP(Tablo519[[#This Row],[BOYA KODU]],Tablo14[#All],4,0)," ")</f>
        <v xml:space="preserve"> </v>
      </c>
      <c r="L430" s="100" t="str">
        <f>IFERROR(VLOOKUP(Tablo519[[#This Row],[BOYA KODU]],Tablo14[#All],6,0)," ")</f>
        <v xml:space="preserve"> </v>
      </c>
      <c r="M430" s="100" t="str">
        <f t="shared" si="46"/>
        <v xml:space="preserve"> </v>
      </c>
      <c r="N430" s="100" t="str">
        <f>IFERROR(VLOOKUP(Tablo519[[#This Row],[ÜRÜN KODU]],YMKODLARI!$A$1:$K$363,8,0)," ")</f>
        <v xml:space="preserve"> </v>
      </c>
      <c r="O430" s="100" t="str">
        <f>IFERROR(VLOOKUP(Tablo519[[#This Row],[HAMMADDE KODU]],Tablo1[#All],3,0)," ")</f>
        <v xml:space="preserve"> </v>
      </c>
      <c r="P430" s="100" t="str">
        <f>IFERROR(VLOOKUP(Tablo519[[#This Row],[HAMMADDE KODU]],Tablo1[#All],4,0)," ")</f>
        <v xml:space="preserve"> </v>
      </c>
      <c r="Q430" s="100" t="str">
        <f>IFERROR(VLOOKUP(Tablo519[[#This Row],[ÜRÜN KODU]],YMKODLARI!$A$1:$K$379,5,0)," ")</f>
        <v xml:space="preserve"> </v>
      </c>
      <c r="R430" s="100" t="str">
        <f>IFERROR(VLOOKUP(Tablo519[[#This Row],[ÜRÜN KODU]],YMKODLARI!$A$1:$K$379,6,0)," ")</f>
        <v xml:space="preserve"> </v>
      </c>
      <c r="S430" s="100" t="str">
        <f>IFERROR(Tablo519[[#This Row],[YOLLUK HARİÇ BASKI GRAMI]]/Tablo519[[#This Row],[KALIP GÖZ ADEDİ]]," ")</f>
        <v xml:space="preserve"> </v>
      </c>
      <c r="T430" s="100" t="str">
        <f t="shared" si="47"/>
        <v xml:space="preserve"> </v>
      </c>
      <c r="U430" s="100"/>
      <c r="V430" s="100" t="str">
        <f t="shared" si="52"/>
        <v xml:space="preserve"> </v>
      </c>
      <c r="W430" s="101">
        <f t="shared" si="48"/>
        <v>24</v>
      </c>
      <c r="X430" s="102">
        <f t="shared" si="49"/>
        <v>0</v>
      </c>
      <c r="Y430" s="100" t="str">
        <f t="shared" si="50"/>
        <v xml:space="preserve"> </v>
      </c>
      <c r="Z430" s="100" t="str">
        <f t="shared" si="51"/>
        <v xml:space="preserve"> </v>
      </c>
    </row>
    <row r="431" spans="1:26">
      <c r="A431" s="100"/>
      <c r="B431" s="108" t="str">
        <f>IFERROR(VLOOKUP(Tablo519[[#This Row],[ÜRÜN KODU]],YMKODLARI!$A$1:$K$379,2,0)," ")</f>
        <v xml:space="preserve"> </v>
      </c>
      <c r="C431" s="99"/>
      <c r="D431" s="100"/>
      <c r="E431" s="101"/>
      <c r="F431" s="101"/>
      <c r="G431" s="100" t="str">
        <f>IFERROR(VLOOKUP(Tablo519[[#This Row],[ÜRÜN KODU]],YMKODLARI!$A$1:$K$379,3,0)," ")</f>
        <v xml:space="preserve"> </v>
      </c>
      <c r="H431" s="100" t="str">
        <f>IFERROR(VLOOKUP(Tablo519[[#This Row],[ÜRÜN KODU]],YMKODLARI!$A$1:$K$379,4,0)," ")</f>
        <v xml:space="preserve"> </v>
      </c>
      <c r="I431" s="100"/>
      <c r="J431" s="100" t="str">
        <f>IFERROR(VLOOKUP(Tablo519[[#This Row],[ÜRÜN KODU]],YMKODLARI!$A$1:$K$379,9,0)," ")</f>
        <v xml:space="preserve"> </v>
      </c>
      <c r="K431" s="100" t="str">
        <f>IFERROR(VLOOKUP(Tablo519[[#This Row],[BOYA KODU]],Tablo14[#All],4,0)," ")</f>
        <v xml:space="preserve"> </v>
      </c>
      <c r="L431" s="100" t="str">
        <f>IFERROR(VLOOKUP(Tablo519[[#This Row],[BOYA KODU]],Tablo14[#All],6,0)," ")</f>
        <v xml:space="preserve"> </v>
      </c>
      <c r="M431" s="100" t="str">
        <f t="shared" si="46"/>
        <v xml:space="preserve"> </v>
      </c>
      <c r="N431" s="100" t="str">
        <f>IFERROR(VLOOKUP(Tablo519[[#This Row],[ÜRÜN KODU]],YMKODLARI!$A$1:$K$363,8,0)," ")</f>
        <v xml:space="preserve"> </v>
      </c>
      <c r="O431" s="100" t="str">
        <f>IFERROR(VLOOKUP(Tablo519[[#This Row],[HAMMADDE KODU]],Tablo1[#All],3,0)," ")</f>
        <v xml:space="preserve"> </v>
      </c>
      <c r="P431" s="100" t="str">
        <f>IFERROR(VLOOKUP(Tablo519[[#This Row],[HAMMADDE KODU]],Tablo1[#All],4,0)," ")</f>
        <v xml:space="preserve"> </v>
      </c>
      <c r="Q431" s="100" t="str">
        <f>IFERROR(VLOOKUP(Tablo519[[#This Row],[ÜRÜN KODU]],YMKODLARI!$A$1:$K$379,5,0)," ")</f>
        <v xml:space="preserve"> </v>
      </c>
      <c r="R431" s="100" t="str">
        <f>IFERROR(VLOOKUP(Tablo519[[#This Row],[ÜRÜN KODU]],YMKODLARI!$A$1:$K$379,6,0)," ")</f>
        <v xml:space="preserve"> </v>
      </c>
      <c r="S431" s="100" t="str">
        <f>IFERROR(Tablo519[[#This Row],[YOLLUK HARİÇ BASKI GRAMI]]/Tablo519[[#This Row],[KALIP GÖZ ADEDİ]]," ")</f>
        <v xml:space="preserve"> </v>
      </c>
      <c r="T431" s="100" t="str">
        <f t="shared" si="47"/>
        <v xml:space="preserve"> </v>
      </c>
      <c r="U431" s="100"/>
      <c r="V431" s="100" t="str">
        <f t="shared" si="52"/>
        <v xml:space="preserve"> </v>
      </c>
      <c r="W431" s="101">
        <f t="shared" si="48"/>
        <v>24</v>
      </c>
      <c r="X431" s="102">
        <f t="shared" si="49"/>
        <v>0</v>
      </c>
      <c r="Y431" s="100" t="str">
        <f t="shared" si="50"/>
        <v xml:space="preserve"> </v>
      </c>
      <c r="Z431" s="100" t="str">
        <f t="shared" si="51"/>
        <v xml:space="preserve"> </v>
      </c>
    </row>
    <row r="432" spans="1:26">
      <c r="A432" s="100"/>
      <c r="B432" s="108" t="str">
        <f>IFERROR(VLOOKUP(Tablo519[[#This Row],[ÜRÜN KODU]],YMKODLARI!$A$1:$K$379,2,0)," ")</f>
        <v xml:space="preserve"> </v>
      </c>
      <c r="C432" s="99"/>
      <c r="D432" s="100"/>
      <c r="E432" s="101"/>
      <c r="F432" s="101"/>
      <c r="G432" s="100" t="str">
        <f>IFERROR(VLOOKUP(Tablo519[[#This Row],[ÜRÜN KODU]],YMKODLARI!$A$1:$K$379,3,0)," ")</f>
        <v xml:space="preserve"> </v>
      </c>
      <c r="H432" s="100" t="str">
        <f>IFERROR(VLOOKUP(Tablo519[[#This Row],[ÜRÜN KODU]],YMKODLARI!$A$1:$K$379,4,0)," ")</f>
        <v xml:space="preserve"> </v>
      </c>
      <c r="I432" s="100"/>
      <c r="J432" s="100" t="str">
        <f>IFERROR(VLOOKUP(Tablo519[[#This Row],[ÜRÜN KODU]],YMKODLARI!$A$1:$K$379,9,0)," ")</f>
        <v xml:space="preserve"> </v>
      </c>
      <c r="K432" s="100" t="str">
        <f>IFERROR(VLOOKUP(Tablo519[[#This Row],[BOYA KODU]],Tablo14[#All],4,0)," ")</f>
        <v xml:space="preserve"> </v>
      </c>
      <c r="L432" s="100" t="str">
        <f>IFERROR(VLOOKUP(Tablo519[[#This Row],[BOYA KODU]],Tablo14[#All],6,0)," ")</f>
        <v xml:space="preserve"> </v>
      </c>
      <c r="M432" s="100" t="str">
        <f t="shared" si="46"/>
        <v xml:space="preserve"> </v>
      </c>
      <c r="N432" s="100" t="str">
        <f>IFERROR(VLOOKUP(Tablo519[[#This Row],[ÜRÜN KODU]],YMKODLARI!$A$1:$K$363,8,0)," ")</f>
        <v xml:space="preserve"> </v>
      </c>
      <c r="O432" s="100" t="str">
        <f>IFERROR(VLOOKUP(Tablo519[[#This Row],[HAMMADDE KODU]],Tablo1[#All],3,0)," ")</f>
        <v xml:space="preserve"> </v>
      </c>
      <c r="P432" s="100" t="str">
        <f>IFERROR(VLOOKUP(Tablo519[[#This Row],[HAMMADDE KODU]],Tablo1[#All],4,0)," ")</f>
        <v xml:space="preserve"> </v>
      </c>
      <c r="Q432" s="100" t="str">
        <f>IFERROR(VLOOKUP(Tablo519[[#This Row],[ÜRÜN KODU]],YMKODLARI!$A$1:$K$379,5,0)," ")</f>
        <v xml:space="preserve"> </v>
      </c>
      <c r="R432" s="100" t="str">
        <f>IFERROR(VLOOKUP(Tablo519[[#This Row],[ÜRÜN KODU]],YMKODLARI!$A$1:$K$379,6,0)," ")</f>
        <v xml:space="preserve"> </v>
      </c>
      <c r="S432" s="100" t="str">
        <f>IFERROR(Tablo519[[#This Row],[YOLLUK HARİÇ BASKI GRAMI]]/Tablo519[[#This Row],[KALIP GÖZ ADEDİ]]," ")</f>
        <v xml:space="preserve"> </v>
      </c>
      <c r="T432" s="100" t="str">
        <f t="shared" si="47"/>
        <v xml:space="preserve"> </v>
      </c>
      <c r="U432" s="100"/>
      <c r="V432" s="100" t="str">
        <f t="shared" si="52"/>
        <v xml:space="preserve"> </v>
      </c>
      <c r="W432" s="101">
        <f t="shared" si="48"/>
        <v>24</v>
      </c>
      <c r="X432" s="102">
        <f t="shared" si="49"/>
        <v>0</v>
      </c>
      <c r="Y432" s="100" t="str">
        <f t="shared" si="50"/>
        <v xml:space="preserve"> </v>
      </c>
      <c r="Z432" s="100" t="str">
        <f t="shared" si="51"/>
        <v xml:space="preserve"> </v>
      </c>
    </row>
    <row r="433" spans="1:26">
      <c r="A433" s="100"/>
      <c r="B433" s="108" t="str">
        <f>IFERROR(VLOOKUP(Tablo519[[#This Row],[ÜRÜN KODU]],YMKODLARI!$A$1:$K$379,2,0)," ")</f>
        <v xml:space="preserve"> </v>
      </c>
      <c r="C433" s="99"/>
      <c r="D433" s="100"/>
      <c r="E433" s="101"/>
      <c r="F433" s="101"/>
      <c r="G433" s="100" t="str">
        <f>IFERROR(VLOOKUP(Tablo519[[#This Row],[ÜRÜN KODU]],YMKODLARI!$A$1:$K$379,3,0)," ")</f>
        <v xml:space="preserve"> </v>
      </c>
      <c r="H433" s="100" t="str">
        <f>IFERROR(VLOOKUP(Tablo519[[#This Row],[ÜRÜN KODU]],YMKODLARI!$A$1:$K$379,4,0)," ")</f>
        <v xml:space="preserve"> </v>
      </c>
      <c r="I433" s="100"/>
      <c r="J433" s="100" t="str">
        <f>IFERROR(VLOOKUP(Tablo519[[#This Row],[ÜRÜN KODU]],YMKODLARI!$A$1:$K$379,9,0)," ")</f>
        <v xml:space="preserve"> </v>
      </c>
      <c r="K433" s="100" t="str">
        <f>IFERROR(VLOOKUP(Tablo519[[#This Row],[BOYA KODU]],Tablo14[#All],4,0)," ")</f>
        <v xml:space="preserve"> </v>
      </c>
      <c r="L433" s="100" t="str">
        <f>IFERROR(VLOOKUP(Tablo519[[#This Row],[BOYA KODU]],Tablo14[#All],6,0)," ")</f>
        <v xml:space="preserve"> </v>
      </c>
      <c r="M433" s="100" t="str">
        <f t="shared" si="46"/>
        <v xml:space="preserve"> </v>
      </c>
      <c r="N433" s="100" t="str">
        <f>IFERROR(VLOOKUP(Tablo519[[#This Row],[ÜRÜN KODU]],YMKODLARI!$A$1:$K$363,8,0)," ")</f>
        <v xml:space="preserve"> </v>
      </c>
      <c r="O433" s="100" t="str">
        <f>IFERROR(VLOOKUP(Tablo519[[#This Row],[HAMMADDE KODU]],Tablo1[#All],3,0)," ")</f>
        <v xml:space="preserve"> </v>
      </c>
      <c r="P433" s="100" t="str">
        <f>IFERROR(VLOOKUP(Tablo519[[#This Row],[HAMMADDE KODU]],Tablo1[#All],4,0)," ")</f>
        <v xml:space="preserve"> </v>
      </c>
      <c r="Q433" s="100" t="str">
        <f>IFERROR(VLOOKUP(Tablo519[[#This Row],[ÜRÜN KODU]],YMKODLARI!$A$1:$K$379,5,0)," ")</f>
        <v xml:space="preserve"> </v>
      </c>
      <c r="R433" s="100" t="str">
        <f>IFERROR(VLOOKUP(Tablo519[[#This Row],[ÜRÜN KODU]],YMKODLARI!$A$1:$K$379,6,0)," ")</f>
        <v xml:space="preserve"> </v>
      </c>
      <c r="S433" s="100" t="str">
        <f>IFERROR(Tablo519[[#This Row],[YOLLUK HARİÇ BASKI GRAMI]]/Tablo519[[#This Row],[KALIP GÖZ ADEDİ]]," ")</f>
        <v xml:space="preserve"> </v>
      </c>
      <c r="T433" s="100" t="str">
        <f t="shared" si="47"/>
        <v xml:space="preserve"> </v>
      </c>
      <c r="U433" s="100"/>
      <c r="V433" s="100" t="str">
        <f t="shared" si="52"/>
        <v xml:space="preserve"> </v>
      </c>
      <c r="W433" s="101">
        <f t="shared" si="48"/>
        <v>24</v>
      </c>
      <c r="X433" s="102">
        <f t="shared" si="49"/>
        <v>0</v>
      </c>
      <c r="Y433" s="100" t="str">
        <f t="shared" si="50"/>
        <v xml:space="preserve"> </v>
      </c>
      <c r="Z433" s="100" t="str">
        <f t="shared" si="51"/>
        <v xml:space="preserve"> </v>
      </c>
    </row>
    <row r="434" spans="1:26">
      <c r="A434" s="100"/>
      <c r="B434" s="108" t="str">
        <f>IFERROR(VLOOKUP(Tablo519[[#This Row],[ÜRÜN KODU]],YMKODLARI!$A$1:$K$379,2,0)," ")</f>
        <v xml:space="preserve"> </v>
      </c>
      <c r="C434" s="99"/>
      <c r="D434" s="100"/>
      <c r="E434" s="101"/>
      <c r="F434" s="101"/>
      <c r="G434" s="100" t="str">
        <f>IFERROR(VLOOKUP(Tablo519[[#This Row],[ÜRÜN KODU]],YMKODLARI!$A$1:$K$379,3,0)," ")</f>
        <v xml:space="preserve"> </v>
      </c>
      <c r="H434" s="100" t="str">
        <f>IFERROR(VLOOKUP(Tablo519[[#This Row],[ÜRÜN KODU]],YMKODLARI!$A$1:$K$379,4,0)," ")</f>
        <v xml:space="preserve"> </v>
      </c>
      <c r="I434" s="100"/>
      <c r="J434" s="100" t="str">
        <f>IFERROR(VLOOKUP(Tablo519[[#This Row],[ÜRÜN KODU]],YMKODLARI!$A$1:$K$379,9,0)," ")</f>
        <v xml:space="preserve"> </v>
      </c>
      <c r="K434" s="100" t="str">
        <f>IFERROR(VLOOKUP(Tablo519[[#This Row],[BOYA KODU]],Tablo14[#All],4,0)," ")</f>
        <v xml:space="preserve"> </v>
      </c>
      <c r="L434" s="100" t="str">
        <f>IFERROR(VLOOKUP(Tablo519[[#This Row],[BOYA KODU]],Tablo14[#All],6,0)," ")</f>
        <v xml:space="preserve"> </v>
      </c>
      <c r="M434" s="100" t="str">
        <f t="shared" si="46"/>
        <v xml:space="preserve"> </v>
      </c>
      <c r="N434" s="100" t="str">
        <f>IFERROR(VLOOKUP(Tablo519[[#This Row],[ÜRÜN KODU]],YMKODLARI!$A$1:$K$363,8,0)," ")</f>
        <v xml:space="preserve"> </v>
      </c>
      <c r="O434" s="100" t="str">
        <f>IFERROR(VLOOKUP(Tablo519[[#This Row],[HAMMADDE KODU]],Tablo1[#All],3,0)," ")</f>
        <v xml:space="preserve"> </v>
      </c>
      <c r="P434" s="100" t="str">
        <f>IFERROR(VLOOKUP(Tablo519[[#This Row],[HAMMADDE KODU]],Tablo1[#All],4,0)," ")</f>
        <v xml:space="preserve"> </v>
      </c>
      <c r="Q434" s="100" t="str">
        <f>IFERROR(VLOOKUP(Tablo519[[#This Row],[ÜRÜN KODU]],YMKODLARI!$A$1:$K$379,5,0)," ")</f>
        <v xml:space="preserve"> </v>
      </c>
      <c r="R434" s="100" t="str">
        <f>IFERROR(VLOOKUP(Tablo519[[#This Row],[ÜRÜN KODU]],YMKODLARI!$A$1:$K$379,6,0)," ")</f>
        <v xml:space="preserve"> </v>
      </c>
      <c r="S434" s="100" t="str">
        <f>IFERROR(Tablo519[[#This Row],[YOLLUK HARİÇ BASKI GRAMI]]/Tablo519[[#This Row],[KALIP GÖZ ADEDİ]]," ")</f>
        <v xml:space="preserve"> </v>
      </c>
      <c r="T434" s="100" t="str">
        <f t="shared" si="47"/>
        <v xml:space="preserve"> </v>
      </c>
      <c r="U434" s="100"/>
      <c r="V434" s="100" t="str">
        <f t="shared" si="52"/>
        <v xml:space="preserve"> </v>
      </c>
      <c r="W434" s="101">
        <f t="shared" si="48"/>
        <v>24</v>
      </c>
      <c r="X434" s="102">
        <f t="shared" si="49"/>
        <v>0</v>
      </c>
      <c r="Y434" s="100" t="str">
        <f t="shared" si="50"/>
        <v xml:space="preserve"> </v>
      </c>
      <c r="Z434" s="100" t="str">
        <f t="shared" si="51"/>
        <v xml:space="preserve"> </v>
      </c>
    </row>
    <row r="435" spans="1:26">
      <c r="A435" s="100"/>
      <c r="B435" s="108" t="str">
        <f>IFERROR(VLOOKUP(Tablo519[[#This Row],[ÜRÜN KODU]],YMKODLARI!$A$1:$K$379,2,0)," ")</f>
        <v xml:space="preserve"> </v>
      </c>
      <c r="C435" s="99"/>
      <c r="D435" s="100"/>
      <c r="E435" s="101"/>
      <c r="F435" s="101"/>
      <c r="G435" s="100" t="str">
        <f>IFERROR(VLOOKUP(Tablo519[[#This Row],[ÜRÜN KODU]],YMKODLARI!$A$1:$K$379,3,0)," ")</f>
        <v xml:space="preserve"> </v>
      </c>
      <c r="H435" s="100" t="str">
        <f>IFERROR(VLOOKUP(Tablo519[[#This Row],[ÜRÜN KODU]],YMKODLARI!$A$1:$K$379,4,0)," ")</f>
        <v xml:space="preserve"> </v>
      </c>
      <c r="I435" s="100"/>
      <c r="J435" s="100" t="str">
        <f>IFERROR(VLOOKUP(Tablo519[[#This Row],[ÜRÜN KODU]],YMKODLARI!$A$1:$K$379,9,0)," ")</f>
        <v xml:space="preserve"> </v>
      </c>
      <c r="K435" s="100" t="str">
        <f>IFERROR(VLOOKUP(Tablo519[[#This Row],[BOYA KODU]],Tablo14[#All],4,0)," ")</f>
        <v xml:space="preserve"> </v>
      </c>
      <c r="L435" s="100" t="str">
        <f>IFERROR(VLOOKUP(Tablo519[[#This Row],[BOYA KODU]],Tablo14[#All],6,0)," ")</f>
        <v xml:space="preserve"> </v>
      </c>
      <c r="M435" s="100" t="str">
        <f t="shared" si="46"/>
        <v xml:space="preserve"> </v>
      </c>
      <c r="N435" s="100" t="str">
        <f>IFERROR(VLOOKUP(Tablo519[[#This Row],[ÜRÜN KODU]],YMKODLARI!$A$1:$K$363,8,0)," ")</f>
        <v xml:space="preserve"> </v>
      </c>
      <c r="O435" s="100" t="str">
        <f>IFERROR(VLOOKUP(Tablo519[[#This Row],[HAMMADDE KODU]],Tablo1[#All],3,0)," ")</f>
        <v xml:space="preserve"> </v>
      </c>
      <c r="P435" s="100" t="str">
        <f>IFERROR(VLOOKUP(Tablo519[[#This Row],[HAMMADDE KODU]],Tablo1[#All],4,0)," ")</f>
        <v xml:space="preserve"> </v>
      </c>
      <c r="Q435" s="100" t="str">
        <f>IFERROR(VLOOKUP(Tablo519[[#This Row],[ÜRÜN KODU]],YMKODLARI!$A$1:$K$379,5,0)," ")</f>
        <v xml:space="preserve"> </v>
      </c>
      <c r="R435" s="100" t="str">
        <f>IFERROR(VLOOKUP(Tablo519[[#This Row],[ÜRÜN KODU]],YMKODLARI!$A$1:$K$379,6,0)," ")</f>
        <v xml:space="preserve"> </v>
      </c>
      <c r="S435" s="100" t="str">
        <f>IFERROR(Tablo519[[#This Row],[YOLLUK HARİÇ BASKI GRAMI]]/Tablo519[[#This Row],[KALIP GÖZ ADEDİ]]," ")</f>
        <v xml:space="preserve"> </v>
      </c>
      <c r="T435" s="100" t="str">
        <f t="shared" si="47"/>
        <v xml:space="preserve"> </v>
      </c>
      <c r="U435" s="100"/>
      <c r="V435" s="100" t="str">
        <f t="shared" si="52"/>
        <v xml:space="preserve"> </v>
      </c>
      <c r="W435" s="101">
        <f t="shared" si="48"/>
        <v>24</v>
      </c>
      <c r="X435" s="102">
        <f t="shared" si="49"/>
        <v>0</v>
      </c>
      <c r="Y435" s="100" t="str">
        <f t="shared" si="50"/>
        <v xml:space="preserve"> </v>
      </c>
      <c r="Z435" s="100" t="str">
        <f t="shared" si="51"/>
        <v xml:space="preserve"> </v>
      </c>
    </row>
    <row r="436" spans="1:26">
      <c r="A436" s="100"/>
      <c r="B436" s="108" t="str">
        <f>IFERROR(VLOOKUP(Tablo519[[#This Row],[ÜRÜN KODU]],YMKODLARI!$A$1:$K$379,2,0)," ")</f>
        <v xml:space="preserve"> </v>
      </c>
      <c r="C436" s="99"/>
      <c r="D436" s="100"/>
      <c r="E436" s="101"/>
      <c r="F436" s="101"/>
      <c r="G436" s="100" t="str">
        <f>IFERROR(VLOOKUP(Tablo519[[#This Row],[ÜRÜN KODU]],YMKODLARI!$A$1:$K$379,3,0)," ")</f>
        <v xml:space="preserve"> </v>
      </c>
      <c r="H436" s="100" t="str">
        <f>IFERROR(VLOOKUP(Tablo519[[#This Row],[ÜRÜN KODU]],YMKODLARI!$A$1:$K$379,4,0)," ")</f>
        <v xml:space="preserve"> </v>
      </c>
      <c r="I436" s="100"/>
      <c r="J436" s="100" t="str">
        <f>IFERROR(VLOOKUP(Tablo519[[#This Row],[ÜRÜN KODU]],YMKODLARI!$A$1:$K$379,9,0)," ")</f>
        <v xml:space="preserve"> </v>
      </c>
      <c r="K436" s="100" t="str">
        <f>IFERROR(VLOOKUP(Tablo519[[#This Row],[BOYA KODU]],Tablo14[#All],4,0)," ")</f>
        <v xml:space="preserve"> </v>
      </c>
      <c r="L436" s="100" t="str">
        <f>IFERROR(VLOOKUP(Tablo519[[#This Row],[BOYA KODU]],Tablo14[#All],6,0)," ")</f>
        <v xml:space="preserve"> </v>
      </c>
      <c r="M436" s="100" t="str">
        <f t="shared" si="46"/>
        <v xml:space="preserve"> </v>
      </c>
      <c r="N436" s="100" t="str">
        <f>IFERROR(VLOOKUP(Tablo519[[#This Row],[ÜRÜN KODU]],YMKODLARI!$A$1:$K$363,8,0)," ")</f>
        <v xml:space="preserve"> </v>
      </c>
      <c r="O436" s="100" t="str">
        <f>IFERROR(VLOOKUP(Tablo519[[#This Row],[HAMMADDE KODU]],Tablo1[#All],3,0)," ")</f>
        <v xml:space="preserve"> </v>
      </c>
      <c r="P436" s="100" t="str">
        <f>IFERROR(VLOOKUP(Tablo519[[#This Row],[HAMMADDE KODU]],Tablo1[#All],4,0)," ")</f>
        <v xml:space="preserve"> </v>
      </c>
      <c r="Q436" s="100" t="str">
        <f>IFERROR(VLOOKUP(Tablo519[[#This Row],[ÜRÜN KODU]],YMKODLARI!$A$1:$K$379,5,0)," ")</f>
        <v xml:space="preserve"> </v>
      </c>
      <c r="R436" s="100" t="str">
        <f>IFERROR(VLOOKUP(Tablo519[[#This Row],[ÜRÜN KODU]],YMKODLARI!$A$1:$K$379,6,0)," ")</f>
        <v xml:space="preserve"> </v>
      </c>
      <c r="S436" s="100" t="str">
        <f>IFERROR(Tablo519[[#This Row],[YOLLUK HARİÇ BASKI GRAMI]]/Tablo519[[#This Row],[KALIP GÖZ ADEDİ]]," ")</f>
        <v xml:space="preserve"> </v>
      </c>
      <c r="T436" s="100" t="str">
        <f t="shared" si="47"/>
        <v xml:space="preserve"> </v>
      </c>
      <c r="U436" s="100"/>
      <c r="V436" s="100" t="str">
        <f t="shared" si="52"/>
        <v xml:space="preserve"> </v>
      </c>
      <c r="W436" s="101">
        <f t="shared" si="48"/>
        <v>24</v>
      </c>
      <c r="X436" s="102">
        <f t="shared" si="49"/>
        <v>0</v>
      </c>
      <c r="Y436" s="100" t="str">
        <f t="shared" si="50"/>
        <v xml:space="preserve"> </v>
      </c>
      <c r="Z436" s="100" t="str">
        <f t="shared" si="51"/>
        <v xml:space="preserve"> </v>
      </c>
    </row>
    <row r="437" spans="1:26">
      <c r="A437" s="100"/>
      <c r="B437" s="108" t="str">
        <f>IFERROR(VLOOKUP(Tablo519[[#This Row],[ÜRÜN KODU]],YMKODLARI!$A$1:$K$379,2,0)," ")</f>
        <v xml:space="preserve"> </v>
      </c>
      <c r="C437" s="99"/>
      <c r="D437" s="100"/>
      <c r="E437" s="101"/>
      <c r="F437" s="101"/>
      <c r="G437" s="100" t="str">
        <f>IFERROR(VLOOKUP(Tablo519[[#This Row],[ÜRÜN KODU]],YMKODLARI!$A$1:$K$379,3,0)," ")</f>
        <v xml:space="preserve"> </v>
      </c>
      <c r="H437" s="100" t="str">
        <f>IFERROR(VLOOKUP(Tablo519[[#This Row],[ÜRÜN KODU]],YMKODLARI!$A$1:$K$379,4,0)," ")</f>
        <v xml:space="preserve"> </v>
      </c>
      <c r="I437" s="100"/>
      <c r="J437" s="100" t="str">
        <f>IFERROR(VLOOKUP(Tablo519[[#This Row],[ÜRÜN KODU]],YMKODLARI!$A$1:$K$379,9,0)," ")</f>
        <v xml:space="preserve"> </v>
      </c>
      <c r="K437" s="100" t="str">
        <f>IFERROR(VLOOKUP(Tablo519[[#This Row],[BOYA KODU]],Tablo14[#All],4,0)," ")</f>
        <v xml:space="preserve"> </v>
      </c>
      <c r="L437" s="100" t="str">
        <f>IFERROR(VLOOKUP(Tablo519[[#This Row],[BOYA KODU]],Tablo14[#All],6,0)," ")</f>
        <v xml:space="preserve"> </v>
      </c>
      <c r="M437" s="100" t="str">
        <f t="shared" si="46"/>
        <v xml:space="preserve"> </v>
      </c>
      <c r="N437" s="100" t="str">
        <f>IFERROR(VLOOKUP(Tablo519[[#This Row],[ÜRÜN KODU]],YMKODLARI!$A$1:$K$363,8,0)," ")</f>
        <v xml:space="preserve"> </v>
      </c>
      <c r="O437" s="100" t="str">
        <f>IFERROR(VLOOKUP(Tablo519[[#This Row],[HAMMADDE KODU]],Tablo1[#All],3,0)," ")</f>
        <v xml:space="preserve"> </v>
      </c>
      <c r="P437" s="100" t="str">
        <f>IFERROR(VLOOKUP(Tablo519[[#This Row],[HAMMADDE KODU]],Tablo1[#All],4,0)," ")</f>
        <v xml:space="preserve"> </v>
      </c>
      <c r="Q437" s="100" t="str">
        <f>IFERROR(VLOOKUP(Tablo519[[#This Row],[ÜRÜN KODU]],YMKODLARI!$A$1:$K$379,5,0)," ")</f>
        <v xml:space="preserve"> </v>
      </c>
      <c r="R437" s="100" t="str">
        <f>IFERROR(VLOOKUP(Tablo519[[#This Row],[ÜRÜN KODU]],YMKODLARI!$A$1:$K$379,6,0)," ")</f>
        <v xml:space="preserve"> </v>
      </c>
      <c r="S437" s="100" t="str">
        <f>IFERROR(Tablo519[[#This Row],[YOLLUK HARİÇ BASKI GRAMI]]/Tablo519[[#This Row],[KALIP GÖZ ADEDİ]]," ")</f>
        <v xml:space="preserve"> </v>
      </c>
      <c r="T437" s="100" t="str">
        <f t="shared" si="47"/>
        <v xml:space="preserve"> </v>
      </c>
      <c r="U437" s="100"/>
      <c r="V437" s="100" t="str">
        <f t="shared" si="52"/>
        <v xml:space="preserve"> </v>
      </c>
      <c r="W437" s="101">
        <f t="shared" si="48"/>
        <v>24</v>
      </c>
      <c r="X437" s="102">
        <f t="shared" si="49"/>
        <v>0</v>
      </c>
      <c r="Y437" s="100" t="str">
        <f t="shared" si="50"/>
        <v xml:space="preserve"> </v>
      </c>
      <c r="Z437" s="100" t="str">
        <f t="shared" si="51"/>
        <v xml:space="preserve"> </v>
      </c>
    </row>
    <row r="438" spans="1:26">
      <c r="A438" s="100"/>
      <c r="B438" s="108" t="str">
        <f>IFERROR(VLOOKUP(Tablo519[[#This Row],[ÜRÜN KODU]],YMKODLARI!$A$1:$K$379,2,0)," ")</f>
        <v xml:space="preserve"> </v>
      </c>
      <c r="C438" s="99"/>
      <c r="D438" s="100"/>
      <c r="E438" s="101"/>
      <c r="F438" s="101"/>
      <c r="G438" s="100" t="str">
        <f>IFERROR(VLOOKUP(Tablo519[[#This Row],[ÜRÜN KODU]],YMKODLARI!$A$1:$K$379,3,0)," ")</f>
        <v xml:space="preserve"> </v>
      </c>
      <c r="H438" s="100" t="str">
        <f>IFERROR(VLOOKUP(Tablo519[[#This Row],[ÜRÜN KODU]],YMKODLARI!$A$1:$K$379,4,0)," ")</f>
        <v xml:space="preserve"> </v>
      </c>
      <c r="I438" s="100"/>
      <c r="J438" s="100" t="str">
        <f>IFERROR(VLOOKUP(Tablo519[[#This Row],[ÜRÜN KODU]],YMKODLARI!$A$1:$K$379,9,0)," ")</f>
        <v xml:space="preserve"> </v>
      </c>
      <c r="K438" s="100" t="str">
        <f>IFERROR(VLOOKUP(Tablo519[[#This Row],[BOYA KODU]],Tablo14[#All],4,0)," ")</f>
        <v xml:space="preserve"> </v>
      </c>
      <c r="L438" s="100" t="str">
        <f>IFERROR(VLOOKUP(Tablo519[[#This Row],[BOYA KODU]],Tablo14[#All],6,0)," ")</f>
        <v xml:space="preserve"> </v>
      </c>
      <c r="M438" s="100" t="str">
        <f t="shared" si="46"/>
        <v xml:space="preserve"> </v>
      </c>
      <c r="N438" s="100" t="str">
        <f>IFERROR(VLOOKUP(Tablo519[[#This Row],[ÜRÜN KODU]],YMKODLARI!$A$1:$K$363,8,0)," ")</f>
        <v xml:space="preserve"> </v>
      </c>
      <c r="O438" s="100" t="str">
        <f>IFERROR(VLOOKUP(Tablo519[[#This Row],[HAMMADDE KODU]],Tablo1[#All],3,0)," ")</f>
        <v xml:space="preserve"> </v>
      </c>
      <c r="P438" s="100" t="str">
        <f>IFERROR(VLOOKUP(Tablo519[[#This Row],[HAMMADDE KODU]],Tablo1[#All],4,0)," ")</f>
        <v xml:space="preserve"> </v>
      </c>
      <c r="Q438" s="100" t="str">
        <f>IFERROR(VLOOKUP(Tablo519[[#This Row],[ÜRÜN KODU]],YMKODLARI!$A$1:$K$379,5,0)," ")</f>
        <v xml:space="preserve"> </v>
      </c>
      <c r="R438" s="100" t="str">
        <f>IFERROR(VLOOKUP(Tablo519[[#This Row],[ÜRÜN KODU]],YMKODLARI!$A$1:$K$379,6,0)," ")</f>
        <v xml:space="preserve"> </v>
      </c>
      <c r="S438" s="100" t="str">
        <f>IFERROR(Tablo519[[#This Row],[YOLLUK HARİÇ BASKI GRAMI]]/Tablo519[[#This Row],[KALIP GÖZ ADEDİ]]," ")</f>
        <v xml:space="preserve"> </v>
      </c>
      <c r="T438" s="100" t="str">
        <f t="shared" si="47"/>
        <v xml:space="preserve"> </v>
      </c>
      <c r="U438" s="100"/>
      <c r="V438" s="100" t="str">
        <f t="shared" si="52"/>
        <v xml:space="preserve"> </v>
      </c>
      <c r="W438" s="101">
        <f t="shared" si="48"/>
        <v>24</v>
      </c>
      <c r="X438" s="102">
        <f t="shared" si="49"/>
        <v>0</v>
      </c>
      <c r="Y438" s="100" t="str">
        <f t="shared" si="50"/>
        <v xml:space="preserve"> </v>
      </c>
      <c r="Z438" s="100" t="str">
        <f t="shared" si="51"/>
        <v xml:space="preserve"> </v>
      </c>
    </row>
    <row r="439" spans="1:26">
      <c r="A439" s="100"/>
      <c r="B439" s="108" t="str">
        <f>IFERROR(VLOOKUP(Tablo519[[#This Row],[ÜRÜN KODU]],YMKODLARI!$A$1:$K$379,2,0)," ")</f>
        <v xml:space="preserve"> </v>
      </c>
      <c r="C439" s="99"/>
      <c r="D439" s="100"/>
      <c r="E439" s="101"/>
      <c r="F439" s="101"/>
      <c r="G439" s="100" t="str">
        <f>IFERROR(VLOOKUP(Tablo519[[#This Row],[ÜRÜN KODU]],YMKODLARI!$A$1:$K$379,3,0)," ")</f>
        <v xml:space="preserve"> </v>
      </c>
      <c r="H439" s="100" t="str">
        <f>IFERROR(VLOOKUP(Tablo519[[#This Row],[ÜRÜN KODU]],YMKODLARI!$A$1:$K$379,4,0)," ")</f>
        <v xml:space="preserve"> </v>
      </c>
      <c r="I439" s="100"/>
      <c r="J439" s="100" t="str">
        <f>IFERROR(VLOOKUP(Tablo519[[#This Row],[ÜRÜN KODU]],YMKODLARI!$A$1:$K$379,9,0)," ")</f>
        <v xml:space="preserve"> </v>
      </c>
      <c r="K439" s="100" t="str">
        <f>IFERROR(VLOOKUP(Tablo519[[#This Row],[BOYA KODU]],Tablo14[#All],4,0)," ")</f>
        <v xml:space="preserve"> </v>
      </c>
      <c r="L439" s="100" t="str">
        <f>IFERROR(VLOOKUP(Tablo519[[#This Row],[BOYA KODU]],Tablo14[#All],6,0)," ")</f>
        <v xml:space="preserve"> </v>
      </c>
      <c r="M439" s="100" t="str">
        <f t="shared" si="46"/>
        <v xml:space="preserve"> </v>
      </c>
      <c r="N439" s="100" t="str">
        <f>IFERROR(VLOOKUP(Tablo519[[#This Row],[ÜRÜN KODU]],YMKODLARI!$A$1:$K$363,8,0)," ")</f>
        <v xml:space="preserve"> </v>
      </c>
      <c r="O439" s="100" t="str">
        <f>IFERROR(VLOOKUP(Tablo519[[#This Row],[HAMMADDE KODU]],Tablo1[#All],3,0)," ")</f>
        <v xml:space="preserve"> </v>
      </c>
      <c r="P439" s="100" t="str">
        <f>IFERROR(VLOOKUP(Tablo519[[#This Row],[HAMMADDE KODU]],Tablo1[#All],4,0)," ")</f>
        <v xml:space="preserve"> </v>
      </c>
      <c r="Q439" s="100" t="str">
        <f>IFERROR(VLOOKUP(Tablo519[[#This Row],[ÜRÜN KODU]],YMKODLARI!$A$1:$K$379,5,0)," ")</f>
        <v xml:space="preserve"> </v>
      </c>
      <c r="R439" s="100" t="str">
        <f>IFERROR(VLOOKUP(Tablo519[[#This Row],[ÜRÜN KODU]],YMKODLARI!$A$1:$K$379,6,0)," ")</f>
        <v xml:space="preserve"> </v>
      </c>
      <c r="S439" s="100" t="str">
        <f>IFERROR(Tablo519[[#This Row],[YOLLUK HARİÇ BASKI GRAMI]]/Tablo519[[#This Row],[KALIP GÖZ ADEDİ]]," ")</f>
        <v xml:space="preserve"> </v>
      </c>
      <c r="T439" s="100" t="str">
        <f t="shared" si="47"/>
        <v xml:space="preserve"> </v>
      </c>
      <c r="U439" s="100"/>
      <c r="V439" s="100" t="str">
        <f t="shared" si="52"/>
        <v xml:space="preserve"> </v>
      </c>
      <c r="W439" s="101">
        <f t="shared" si="48"/>
        <v>24</v>
      </c>
      <c r="X439" s="102">
        <f t="shared" si="49"/>
        <v>0</v>
      </c>
      <c r="Y439" s="100" t="str">
        <f t="shared" si="50"/>
        <v xml:space="preserve"> </v>
      </c>
      <c r="Z439" s="100" t="str">
        <f t="shared" si="51"/>
        <v xml:space="preserve"> </v>
      </c>
    </row>
    <row r="440" spans="1:26">
      <c r="A440" s="100"/>
      <c r="B440" s="108" t="str">
        <f>IFERROR(VLOOKUP(Tablo519[[#This Row],[ÜRÜN KODU]],YMKODLARI!$A$1:$K$379,2,0)," ")</f>
        <v xml:space="preserve"> </v>
      </c>
      <c r="C440" s="99"/>
      <c r="D440" s="100"/>
      <c r="E440" s="101"/>
      <c r="F440" s="101"/>
      <c r="G440" s="100" t="str">
        <f>IFERROR(VLOOKUP(Tablo519[[#This Row],[ÜRÜN KODU]],YMKODLARI!$A$1:$K$379,3,0)," ")</f>
        <v xml:space="preserve"> </v>
      </c>
      <c r="H440" s="100" t="str">
        <f>IFERROR(VLOOKUP(Tablo519[[#This Row],[ÜRÜN KODU]],YMKODLARI!$A$1:$K$379,4,0)," ")</f>
        <v xml:space="preserve"> </v>
      </c>
      <c r="I440" s="100"/>
      <c r="J440" s="100" t="str">
        <f>IFERROR(VLOOKUP(Tablo519[[#This Row],[ÜRÜN KODU]],YMKODLARI!$A$1:$K$379,9,0)," ")</f>
        <v xml:space="preserve"> </v>
      </c>
      <c r="K440" s="100" t="str">
        <f>IFERROR(VLOOKUP(Tablo519[[#This Row],[BOYA KODU]],Tablo14[#All],4,0)," ")</f>
        <v xml:space="preserve"> </v>
      </c>
      <c r="L440" s="100" t="str">
        <f>IFERROR(VLOOKUP(Tablo519[[#This Row],[BOYA KODU]],Tablo14[#All],6,0)," ")</f>
        <v xml:space="preserve"> </v>
      </c>
      <c r="M440" s="100" t="str">
        <f t="shared" si="46"/>
        <v xml:space="preserve"> </v>
      </c>
      <c r="N440" s="100" t="str">
        <f>IFERROR(VLOOKUP(Tablo519[[#This Row],[ÜRÜN KODU]],YMKODLARI!$A$1:$K$363,8,0)," ")</f>
        <v xml:space="preserve"> </v>
      </c>
      <c r="O440" s="100" t="str">
        <f>IFERROR(VLOOKUP(Tablo519[[#This Row],[HAMMADDE KODU]],Tablo1[#All],3,0)," ")</f>
        <v xml:space="preserve"> </v>
      </c>
      <c r="P440" s="100" t="str">
        <f>IFERROR(VLOOKUP(Tablo519[[#This Row],[HAMMADDE KODU]],Tablo1[#All],4,0)," ")</f>
        <v xml:space="preserve"> </v>
      </c>
      <c r="Q440" s="100" t="str">
        <f>IFERROR(VLOOKUP(Tablo519[[#This Row],[ÜRÜN KODU]],YMKODLARI!$A$1:$K$379,5,0)," ")</f>
        <v xml:space="preserve"> </v>
      </c>
      <c r="R440" s="100" t="str">
        <f>IFERROR(VLOOKUP(Tablo519[[#This Row],[ÜRÜN KODU]],YMKODLARI!$A$1:$K$379,6,0)," ")</f>
        <v xml:space="preserve"> </v>
      </c>
      <c r="S440" s="100" t="str">
        <f>IFERROR(Tablo519[[#This Row],[YOLLUK HARİÇ BASKI GRAMI]]/Tablo519[[#This Row],[KALIP GÖZ ADEDİ]]," ")</f>
        <v xml:space="preserve"> </v>
      </c>
      <c r="T440" s="100" t="str">
        <f t="shared" si="47"/>
        <v xml:space="preserve"> </v>
      </c>
      <c r="U440" s="100"/>
      <c r="V440" s="100" t="str">
        <f t="shared" si="52"/>
        <v xml:space="preserve"> </v>
      </c>
      <c r="W440" s="101">
        <f t="shared" si="48"/>
        <v>24</v>
      </c>
      <c r="X440" s="102">
        <f t="shared" si="49"/>
        <v>0</v>
      </c>
      <c r="Y440" s="100" t="str">
        <f t="shared" si="50"/>
        <v xml:space="preserve"> </v>
      </c>
      <c r="Z440" s="100" t="str">
        <f t="shared" si="51"/>
        <v xml:space="preserve"> </v>
      </c>
    </row>
    <row r="441" spans="1:26">
      <c r="A441" s="100"/>
      <c r="B441" s="108" t="str">
        <f>IFERROR(VLOOKUP(Tablo519[[#This Row],[ÜRÜN KODU]],YMKODLARI!$A$1:$K$379,2,0)," ")</f>
        <v xml:space="preserve"> </v>
      </c>
      <c r="C441" s="99"/>
      <c r="D441" s="100"/>
      <c r="E441" s="101"/>
      <c r="F441" s="101"/>
      <c r="G441" s="100" t="str">
        <f>IFERROR(VLOOKUP(Tablo519[[#This Row],[ÜRÜN KODU]],YMKODLARI!$A$1:$K$379,3,0)," ")</f>
        <v xml:space="preserve"> </v>
      </c>
      <c r="H441" s="100" t="str">
        <f>IFERROR(VLOOKUP(Tablo519[[#This Row],[ÜRÜN KODU]],YMKODLARI!$A$1:$K$379,4,0)," ")</f>
        <v xml:space="preserve"> </v>
      </c>
      <c r="I441" s="100"/>
      <c r="J441" s="100" t="str">
        <f>IFERROR(VLOOKUP(Tablo519[[#This Row],[ÜRÜN KODU]],YMKODLARI!$A$1:$K$379,9,0)," ")</f>
        <v xml:space="preserve"> </v>
      </c>
      <c r="K441" s="100" t="str">
        <f>IFERROR(VLOOKUP(Tablo519[[#This Row],[BOYA KODU]],Tablo14[#All],4,0)," ")</f>
        <v xml:space="preserve"> </v>
      </c>
      <c r="L441" s="100" t="str">
        <f>IFERROR(VLOOKUP(Tablo519[[#This Row],[BOYA KODU]],Tablo14[#All],6,0)," ")</f>
        <v xml:space="preserve"> </v>
      </c>
      <c r="M441" s="100" t="str">
        <f t="shared" si="46"/>
        <v xml:space="preserve"> </v>
      </c>
      <c r="N441" s="100" t="str">
        <f>IFERROR(VLOOKUP(Tablo519[[#This Row],[ÜRÜN KODU]],YMKODLARI!$A$1:$K$363,8,0)," ")</f>
        <v xml:space="preserve"> </v>
      </c>
      <c r="O441" s="100" t="str">
        <f>IFERROR(VLOOKUP(Tablo519[[#This Row],[HAMMADDE KODU]],Tablo1[#All],3,0)," ")</f>
        <v xml:space="preserve"> </v>
      </c>
      <c r="P441" s="100" t="str">
        <f>IFERROR(VLOOKUP(Tablo519[[#This Row],[HAMMADDE KODU]],Tablo1[#All],4,0)," ")</f>
        <v xml:space="preserve"> </v>
      </c>
      <c r="Q441" s="100" t="str">
        <f>IFERROR(VLOOKUP(Tablo519[[#This Row],[ÜRÜN KODU]],YMKODLARI!$A$1:$K$379,5,0)," ")</f>
        <v xml:space="preserve"> </v>
      </c>
      <c r="R441" s="100" t="str">
        <f>IFERROR(VLOOKUP(Tablo519[[#This Row],[ÜRÜN KODU]],YMKODLARI!$A$1:$K$379,6,0)," ")</f>
        <v xml:space="preserve"> </v>
      </c>
      <c r="S441" s="100" t="str">
        <f>IFERROR(Tablo519[[#This Row],[YOLLUK HARİÇ BASKI GRAMI]]/Tablo519[[#This Row],[KALIP GÖZ ADEDİ]]," ")</f>
        <v xml:space="preserve"> </v>
      </c>
      <c r="T441" s="100" t="str">
        <f t="shared" si="47"/>
        <v xml:space="preserve"> </v>
      </c>
      <c r="U441" s="100"/>
      <c r="V441" s="100" t="str">
        <f t="shared" si="52"/>
        <v xml:space="preserve"> </v>
      </c>
      <c r="W441" s="101">
        <f t="shared" si="48"/>
        <v>24</v>
      </c>
      <c r="X441" s="102">
        <f t="shared" si="49"/>
        <v>0</v>
      </c>
      <c r="Y441" s="100" t="str">
        <f t="shared" si="50"/>
        <v xml:space="preserve"> </v>
      </c>
      <c r="Z441" s="100" t="str">
        <f t="shared" si="51"/>
        <v xml:space="preserve"> </v>
      </c>
    </row>
    <row r="442" spans="1:26">
      <c r="A442" s="100"/>
      <c r="B442" s="108" t="str">
        <f>IFERROR(VLOOKUP(Tablo519[[#This Row],[ÜRÜN KODU]],YMKODLARI!$A$1:$K$379,2,0)," ")</f>
        <v xml:space="preserve"> </v>
      </c>
      <c r="C442" s="99"/>
      <c r="D442" s="100"/>
      <c r="E442" s="101"/>
      <c r="F442" s="101"/>
      <c r="G442" s="100" t="str">
        <f>IFERROR(VLOOKUP(Tablo519[[#This Row],[ÜRÜN KODU]],YMKODLARI!$A$1:$K$379,3,0)," ")</f>
        <v xml:space="preserve"> </v>
      </c>
      <c r="H442" s="100" t="str">
        <f>IFERROR(VLOOKUP(Tablo519[[#This Row],[ÜRÜN KODU]],YMKODLARI!$A$1:$K$379,4,0)," ")</f>
        <v xml:space="preserve"> </v>
      </c>
      <c r="I442" s="100"/>
      <c r="J442" s="100" t="str">
        <f>IFERROR(VLOOKUP(Tablo519[[#This Row],[ÜRÜN KODU]],YMKODLARI!$A$1:$K$379,9,0)," ")</f>
        <v xml:space="preserve"> </v>
      </c>
      <c r="K442" s="100" t="str">
        <f>IFERROR(VLOOKUP(Tablo519[[#This Row],[BOYA KODU]],Tablo14[#All],4,0)," ")</f>
        <v xml:space="preserve"> </v>
      </c>
      <c r="L442" s="100" t="str">
        <f>IFERROR(VLOOKUP(Tablo519[[#This Row],[BOYA KODU]],Tablo14[#All],6,0)," ")</f>
        <v xml:space="preserve"> </v>
      </c>
      <c r="M442" s="100" t="str">
        <f t="shared" si="46"/>
        <v xml:space="preserve"> </v>
      </c>
      <c r="N442" s="100" t="str">
        <f>IFERROR(VLOOKUP(Tablo519[[#This Row],[ÜRÜN KODU]],YMKODLARI!$A$1:$K$363,8,0)," ")</f>
        <v xml:space="preserve"> </v>
      </c>
      <c r="O442" s="100" t="str">
        <f>IFERROR(VLOOKUP(Tablo519[[#This Row],[HAMMADDE KODU]],Tablo1[#All],3,0)," ")</f>
        <v xml:space="preserve"> </v>
      </c>
      <c r="P442" s="100" t="str">
        <f>IFERROR(VLOOKUP(Tablo519[[#This Row],[HAMMADDE KODU]],Tablo1[#All],4,0)," ")</f>
        <v xml:space="preserve"> </v>
      </c>
      <c r="Q442" s="100" t="str">
        <f>IFERROR(VLOOKUP(Tablo519[[#This Row],[ÜRÜN KODU]],YMKODLARI!$A$1:$K$379,5,0)," ")</f>
        <v xml:space="preserve"> </v>
      </c>
      <c r="R442" s="100" t="str">
        <f>IFERROR(VLOOKUP(Tablo519[[#This Row],[ÜRÜN KODU]],YMKODLARI!$A$1:$K$379,6,0)," ")</f>
        <v xml:space="preserve"> </v>
      </c>
      <c r="S442" s="100" t="str">
        <f>IFERROR(Tablo519[[#This Row],[YOLLUK HARİÇ BASKI GRAMI]]/Tablo519[[#This Row],[KALIP GÖZ ADEDİ]]," ")</f>
        <v xml:space="preserve"> </v>
      </c>
      <c r="T442" s="100" t="str">
        <f t="shared" si="47"/>
        <v xml:space="preserve"> </v>
      </c>
      <c r="U442" s="100"/>
      <c r="V442" s="100" t="str">
        <f t="shared" si="52"/>
        <v xml:space="preserve"> </v>
      </c>
      <c r="W442" s="101">
        <f t="shared" si="48"/>
        <v>24</v>
      </c>
      <c r="X442" s="102">
        <f t="shared" si="49"/>
        <v>0</v>
      </c>
      <c r="Y442" s="100" t="str">
        <f t="shared" si="50"/>
        <v xml:space="preserve"> </v>
      </c>
      <c r="Z442" s="100" t="str">
        <f t="shared" si="51"/>
        <v xml:space="preserve"> </v>
      </c>
    </row>
    <row r="443" spans="1:26">
      <c r="A443" s="100"/>
      <c r="B443" s="108" t="str">
        <f>IFERROR(VLOOKUP(Tablo519[[#This Row],[ÜRÜN KODU]],YMKODLARI!$A$1:$K$379,2,0)," ")</f>
        <v xml:space="preserve"> </v>
      </c>
      <c r="C443" s="99"/>
      <c r="D443" s="100"/>
      <c r="E443" s="101"/>
      <c r="F443" s="101"/>
      <c r="G443" s="100" t="str">
        <f>IFERROR(VLOOKUP(Tablo519[[#This Row],[ÜRÜN KODU]],YMKODLARI!$A$1:$K$379,3,0)," ")</f>
        <v xml:space="preserve"> </v>
      </c>
      <c r="H443" s="100" t="str">
        <f>IFERROR(VLOOKUP(Tablo519[[#This Row],[ÜRÜN KODU]],YMKODLARI!$A$1:$K$379,4,0)," ")</f>
        <v xml:space="preserve"> </v>
      </c>
      <c r="I443" s="100"/>
      <c r="J443" s="100" t="str">
        <f>IFERROR(VLOOKUP(Tablo519[[#This Row],[ÜRÜN KODU]],YMKODLARI!$A$1:$K$379,9,0)," ")</f>
        <v xml:space="preserve"> </v>
      </c>
      <c r="K443" s="100" t="str">
        <f>IFERROR(VLOOKUP(Tablo519[[#This Row],[BOYA KODU]],Tablo14[#All],4,0)," ")</f>
        <v xml:space="preserve"> </v>
      </c>
      <c r="L443" s="100" t="str">
        <f>IFERROR(VLOOKUP(Tablo519[[#This Row],[BOYA KODU]],Tablo14[#All],6,0)," ")</f>
        <v xml:space="preserve"> </v>
      </c>
      <c r="M443" s="100" t="str">
        <f t="shared" si="46"/>
        <v xml:space="preserve"> </v>
      </c>
      <c r="N443" s="100" t="str">
        <f>IFERROR(VLOOKUP(Tablo519[[#This Row],[ÜRÜN KODU]],YMKODLARI!$A$1:$K$363,8,0)," ")</f>
        <v xml:space="preserve"> </v>
      </c>
      <c r="O443" s="100" t="str">
        <f>IFERROR(VLOOKUP(Tablo519[[#This Row],[HAMMADDE KODU]],Tablo1[#All],3,0)," ")</f>
        <v xml:space="preserve"> </v>
      </c>
      <c r="P443" s="100" t="str">
        <f>IFERROR(VLOOKUP(Tablo519[[#This Row],[HAMMADDE KODU]],Tablo1[#All],4,0)," ")</f>
        <v xml:space="preserve"> </v>
      </c>
      <c r="Q443" s="100" t="str">
        <f>IFERROR(VLOOKUP(Tablo519[[#This Row],[ÜRÜN KODU]],YMKODLARI!$A$1:$K$379,5,0)," ")</f>
        <v xml:space="preserve"> </v>
      </c>
      <c r="R443" s="100" t="str">
        <f>IFERROR(VLOOKUP(Tablo519[[#This Row],[ÜRÜN KODU]],YMKODLARI!$A$1:$K$379,6,0)," ")</f>
        <v xml:space="preserve"> </v>
      </c>
      <c r="S443" s="100" t="str">
        <f>IFERROR(Tablo519[[#This Row],[YOLLUK HARİÇ BASKI GRAMI]]/Tablo519[[#This Row],[KALIP GÖZ ADEDİ]]," ")</f>
        <v xml:space="preserve"> </v>
      </c>
      <c r="T443" s="100" t="str">
        <f t="shared" si="47"/>
        <v xml:space="preserve"> </v>
      </c>
      <c r="U443" s="100"/>
      <c r="V443" s="100" t="str">
        <f t="shared" si="52"/>
        <v xml:space="preserve"> </v>
      </c>
      <c r="W443" s="101">
        <f t="shared" si="48"/>
        <v>24</v>
      </c>
      <c r="X443" s="102">
        <f t="shared" si="49"/>
        <v>0</v>
      </c>
      <c r="Y443" s="100" t="str">
        <f t="shared" si="50"/>
        <v xml:space="preserve"> </v>
      </c>
      <c r="Z443" s="100" t="str">
        <f t="shared" si="51"/>
        <v xml:space="preserve"> </v>
      </c>
    </row>
    <row r="444" spans="1:26">
      <c r="A444" s="100"/>
      <c r="B444" s="108" t="str">
        <f>IFERROR(VLOOKUP(Tablo519[[#This Row],[ÜRÜN KODU]],YMKODLARI!$A$1:$K$379,2,0)," ")</f>
        <v xml:space="preserve"> </v>
      </c>
      <c r="C444" s="99"/>
      <c r="D444" s="100"/>
      <c r="E444" s="101"/>
      <c r="F444" s="101"/>
      <c r="G444" s="100" t="str">
        <f>IFERROR(VLOOKUP(Tablo519[[#This Row],[ÜRÜN KODU]],YMKODLARI!$A$1:$K$379,3,0)," ")</f>
        <v xml:space="preserve"> </v>
      </c>
      <c r="H444" s="100" t="str">
        <f>IFERROR(VLOOKUP(Tablo519[[#This Row],[ÜRÜN KODU]],YMKODLARI!$A$1:$K$379,4,0)," ")</f>
        <v xml:space="preserve"> </v>
      </c>
      <c r="I444" s="100"/>
      <c r="J444" s="100" t="str">
        <f>IFERROR(VLOOKUP(Tablo519[[#This Row],[ÜRÜN KODU]],YMKODLARI!$A$1:$K$379,9,0)," ")</f>
        <v xml:space="preserve"> </v>
      </c>
      <c r="K444" s="100" t="str">
        <f>IFERROR(VLOOKUP(Tablo519[[#This Row],[BOYA KODU]],Tablo14[#All],4,0)," ")</f>
        <v xml:space="preserve"> </v>
      </c>
      <c r="L444" s="100" t="str">
        <f>IFERROR(VLOOKUP(Tablo519[[#This Row],[BOYA KODU]],Tablo14[#All],6,0)," ")</f>
        <v xml:space="preserve"> </v>
      </c>
      <c r="M444" s="100" t="str">
        <f t="shared" si="46"/>
        <v xml:space="preserve"> </v>
      </c>
      <c r="N444" s="100" t="str">
        <f>IFERROR(VLOOKUP(Tablo519[[#This Row],[ÜRÜN KODU]],YMKODLARI!$A$1:$K$363,8,0)," ")</f>
        <v xml:space="preserve"> </v>
      </c>
      <c r="O444" s="100" t="str">
        <f>IFERROR(VLOOKUP(Tablo519[[#This Row],[HAMMADDE KODU]],Tablo1[#All],3,0)," ")</f>
        <v xml:space="preserve"> </v>
      </c>
      <c r="P444" s="100" t="str">
        <f>IFERROR(VLOOKUP(Tablo519[[#This Row],[HAMMADDE KODU]],Tablo1[#All],4,0)," ")</f>
        <v xml:space="preserve"> </v>
      </c>
      <c r="Q444" s="100" t="str">
        <f>IFERROR(VLOOKUP(Tablo519[[#This Row],[ÜRÜN KODU]],YMKODLARI!$A$1:$K$379,5,0)," ")</f>
        <v xml:space="preserve"> </v>
      </c>
      <c r="R444" s="100" t="str">
        <f>IFERROR(VLOOKUP(Tablo519[[#This Row],[ÜRÜN KODU]],YMKODLARI!$A$1:$K$379,6,0)," ")</f>
        <v xml:space="preserve"> </v>
      </c>
      <c r="S444" s="100" t="str">
        <f>IFERROR(Tablo519[[#This Row],[YOLLUK HARİÇ BASKI GRAMI]]/Tablo519[[#This Row],[KALIP GÖZ ADEDİ]]," ")</f>
        <v xml:space="preserve"> </v>
      </c>
      <c r="T444" s="100" t="str">
        <f t="shared" si="47"/>
        <v xml:space="preserve"> </v>
      </c>
      <c r="U444" s="100"/>
      <c r="V444" s="100" t="str">
        <f t="shared" si="52"/>
        <v xml:space="preserve"> </v>
      </c>
      <c r="W444" s="101">
        <f t="shared" si="48"/>
        <v>24</v>
      </c>
      <c r="X444" s="102">
        <f t="shared" si="49"/>
        <v>0</v>
      </c>
      <c r="Y444" s="100" t="str">
        <f t="shared" si="50"/>
        <v xml:space="preserve"> </v>
      </c>
      <c r="Z444" s="100" t="str">
        <f t="shared" si="51"/>
        <v xml:space="preserve"> </v>
      </c>
    </row>
    <row r="445" spans="1:26">
      <c r="A445" s="100"/>
      <c r="B445" s="108" t="str">
        <f>IFERROR(VLOOKUP(Tablo519[[#This Row],[ÜRÜN KODU]],YMKODLARI!$A$1:$K$379,2,0)," ")</f>
        <v xml:space="preserve"> </v>
      </c>
      <c r="C445" s="99"/>
      <c r="D445" s="100"/>
      <c r="E445" s="101"/>
      <c r="F445" s="101"/>
      <c r="G445" s="100" t="str">
        <f>IFERROR(VLOOKUP(Tablo519[[#This Row],[ÜRÜN KODU]],YMKODLARI!$A$1:$K$379,3,0)," ")</f>
        <v xml:space="preserve"> </v>
      </c>
      <c r="H445" s="100" t="str">
        <f>IFERROR(VLOOKUP(Tablo519[[#This Row],[ÜRÜN KODU]],YMKODLARI!$A$1:$K$379,4,0)," ")</f>
        <v xml:space="preserve"> </v>
      </c>
      <c r="I445" s="100"/>
      <c r="J445" s="100" t="str">
        <f>IFERROR(VLOOKUP(Tablo519[[#This Row],[ÜRÜN KODU]],YMKODLARI!$A$1:$K$379,9,0)," ")</f>
        <v xml:space="preserve"> </v>
      </c>
      <c r="K445" s="100" t="str">
        <f>IFERROR(VLOOKUP(Tablo519[[#This Row],[BOYA KODU]],Tablo14[#All],4,0)," ")</f>
        <v xml:space="preserve"> </v>
      </c>
      <c r="L445" s="100" t="str">
        <f>IFERROR(VLOOKUP(Tablo519[[#This Row],[BOYA KODU]],Tablo14[#All],6,0)," ")</f>
        <v xml:space="preserve"> </v>
      </c>
      <c r="M445" s="100" t="str">
        <f t="shared" si="46"/>
        <v xml:space="preserve"> </v>
      </c>
      <c r="N445" s="100" t="str">
        <f>IFERROR(VLOOKUP(Tablo519[[#This Row],[ÜRÜN KODU]],YMKODLARI!$A$1:$K$363,8,0)," ")</f>
        <v xml:space="preserve"> </v>
      </c>
      <c r="O445" s="100" t="str">
        <f>IFERROR(VLOOKUP(Tablo519[[#This Row],[HAMMADDE KODU]],Tablo1[#All],3,0)," ")</f>
        <v xml:space="preserve"> </v>
      </c>
      <c r="P445" s="100" t="str">
        <f>IFERROR(VLOOKUP(Tablo519[[#This Row],[HAMMADDE KODU]],Tablo1[#All],4,0)," ")</f>
        <v xml:space="preserve"> </v>
      </c>
      <c r="Q445" s="100" t="str">
        <f>IFERROR(VLOOKUP(Tablo519[[#This Row],[ÜRÜN KODU]],YMKODLARI!$A$1:$K$379,5,0)," ")</f>
        <v xml:space="preserve"> </v>
      </c>
      <c r="R445" s="100" t="str">
        <f>IFERROR(VLOOKUP(Tablo519[[#This Row],[ÜRÜN KODU]],YMKODLARI!$A$1:$K$379,6,0)," ")</f>
        <v xml:space="preserve"> </v>
      </c>
      <c r="S445" s="100" t="str">
        <f>IFERROR(Tablo519[[#This Row],[YOLLUK HARİÇ BASKI GRAMI]]/Tablo519[[#This Row],[KALIP GÖZ ADEDİ]]," ")</f>
        <v xml:space="preserve"> </v>
      </c>
      <c r="T445" s="100" t="str">
        <f t="shared" si="47"/>
        <v xml:space="preserve"> </v>
      </c>
      <c r="U445" s="100"/>
      <c r="V445" s="100" t="str">
        <f t="shared" si="52"/>
        <v xml:space="preserve"> </v>
      </c>
      <c r="W445" s="101">
        <f t="shared" si="48"/>
        <v>24</v>
      </c>
      <c r="X445" s="102">
        <f t="shared" si="49"/>
        <v>0</v>
      </c>
      <c r="Y445" s="100" t="str">
        <f t="shared" si="50"/>
        <v xml:space="preserve"> </v>
      </c>
      <c r="Z445" s="100" t="str">
        <f t="shared" si="51"/>
        <v xml:space="preserve"> </v>
      </c>
    </row>
    <row r="446" spans="1:26">
      <c r="A446" s="100"/>
      <c r="B446" s="108" t="str">
        <f>IFERROR(VLOOKUP(Tablo519[[#This Row],[ÜRÜN KODU]],YMKODLARI!$A$1:$K$379,2,0)," ")</f>
        <v xml:space="preserve"> </v>
      </c>
      <c r="C446" s="99"/>
      <c r="D446" s="100"/>
      <c r="E446" s="101"/>
      <c r="F446" s="101"/>
      <c r="G446" s="100" t="str">
        <f>IFERROR(VLOOKUP(Tablo519[[#This Row],[ÜRÜN KODU]],YMKODLARI!$A$1:$K$379,3,0)," ")</f>
        <v xml:space="preserve"> </v>
      </c>
      <c r="H446" s="100" t="str">
        <f>IFERROR(VLOOKUP(Tablo519[[#This Row],[ÜRÜN KODU]],YMKODLARI!$A$1:$K$379,4,0)," ")</f>
        <v xml:space="preserve"> </v>
      </c>
      <c r="I446" s="100"/>
      <c r="J446" s="100" t="str">
        <f>IFERROR(VLOOKUP(Tablo519[[#This Row],[ÜRÜN KODU]],YMKODLARI!$A$1:$K$379,9,0)," ")</f>
        <v xml:space="preserve"> </v>
      </c>
      <c r="K446" s="100" t="str">
        <f>IFERROR(VLOOKUP(Tablo519[[#This Row],[BOYA KODU]],Tablo14[#All],4,0)," ")</f>
        <v xml:space="preserve"> </v>
      </c>
      <c r="L446" s="100" t="str">
        <f>IFERROR(VLOOKUP(Tablo519[[#This Row],[BOYA KODU]],Tablo14[#All],6,0)," ")</f>
        <v xml:space="preserve"> </v>
      </c>
      <c r="M446" s="100" t="str">
        <f t="shared" si="46"/>
        <v xml:space="preserve"> </v>
      </c>
      <c r="N446" s="100" t="str">
        <f>IFERROR(VLOOKUP(Tablo519[[#This Row],[ÜRÜN KODU]],YMKODLARI!$A$1:$K$363,8,0)," ")</f>
        <v xml:space="preserve"> </v>
      </c>
      <c r="O446" s="100" t="str">
        <f>IFERROR(VLOOKUP(Tablo519[[#This Row],[HAMMADDE KODU]],Tablo1[#All],3,0)," ")</f>
        <v xml:space="preserve"> </v>
      </c>
      <c r="P446" s="100" t="str">
        <f>IFERROR(VLOOKUP(Tablo519[[#This Row],[HAMMADDE KODU]],Tablo1[#All],4,0)," ")</f>
        <v xml:space="preserve"> </v>
      </c>
      <c r="Q446" s="100" t="str">
        <f>IFERROR(VLOOKUP(Tablo519[[#This Row],[ÜRÜN KODU]],YMKODLARI!$A$1:$K$379,5,0)," ")</f>
        <v xml:space="preserve"> </v>
      </c>
      <c r="R446" s="100" t="str">
        <f>IFERROR(VLOOKUP(Tablo519[[#This Row],[ÜRÜN KODU]],YMKODLARI!$A$1:$K$379,6,0)," ")</f>
        <v xml:space="preserve"> </v>
      </c>
      <c r="S446" s="100" t="str">
        <f>IFERROR(Tablo519[[#This Row],[YOLLUK HARİÇ BASKI GRAMI]]/Tablo519[[#This Row],[KALIP GÖZ ADEDİ]]," ")</f>
        <v xml:space="preserve"> </v>
      </c>
      <c r="T446" s="100" t="str">
        <f t="shared" si="47"/>
        <v xml:space="preserve"> </v>
      </c>
      <c r="U446" s="100"/>
      <c r="V446" s="100" t="str">
        <f t="shared" si="52"/>
        <v xml:space="preserve"> </v>
      </c>
      <c r="W446" s="101">
        <f t="shared" si="48"/>
        <v>24</v>
      </c>
      <c r="X446" s="102">
        <f t="shared" si="49"/>
        <v>0</v>
      </c>
      <c r="Y446" s="100" t="str">
        <f t="shared" si="50"/>
        <v xml:space="preserve"> </v>
      </c>
      <c r="Z446" s="100" t="str">
        <f t="shared" si="51"/>
        <v xml:space="preserve"> </v>
      </c>
    </row>
    <row r="447" spans="1:26">
      <c r="A447" s="100"/>
      <c r="B447" s="108" t="str">
        <f>IFERROR(VLOOKUP(Tablo519[[#This Row],[ÜRÜN KODU]],YMKODLARI!$A$1:$K$379,2,0)," ")</f>
        <v xml:space="preserve"> </v>
      </c>
      <c r="C447" s="99"/>
      <c r="D447" s="100"/>
      <c r="E447" s="101"/>
      <c r="F447" s="101"/>
      <c r="G447" s="100" t="str">
        <f>IFERROR(VLOOKUP(Tablo519[[#This Row],[ÜRÜN KODU]],YMKODLARI!$A$1:$K$379,3,0)," ")</f>
        <v xml:space="preserve"> </v>
      </c>
      <c r="H447" s="100" t="str">
        <f>IFERROR(VLOOKUP(Tablo519[[#This Row],[ÜRÜN KODU]],YMKODLARI!$A$1:$K$379,4,0)," ")</f>
        <v xml:space="preserve"> </v>
      </c>
      <c r="I447" s="100"/>
      <c r="J447" s="100" t="str">
        <f>IFERROR(VLOOKUP(Tablo519[[#This Row],[ÜRÜN KODU]],YMKODLARI!$A$1:$K$379,9,0)," ")</f>
        <v xml:space="preserve"> </v>
      </c>
      <c r="K447" s="100" t="str">
        <f>IFERROR(VLOOKUP(Tablo519[[#This Row],[BOYA KODU]],Tablo14[#All],4,0)," ")</f>
        <v xml:space="preserve"> </v>
      </c>
      <c r="L447" s="100" t="str">
        <f>IFERROR(VLOOKUP(Tablo519[[#This Row],[BOYA KODU]],Tablo14[#All],6,0)," ")</f>
        <v xml:space="preserve"> </v>
      </c>
      <c r="M447" s="100" t="str">
        <f t="shared" si="46"/>
        <v xml:space="preserve"> </v>
      </c>
      <c r="N447" s="100" t="str">
        <f>IFERROR(VLOOKUP(Tablo519[[#This Row],[ÜRÜN KODU]],YMKODLARI!$A$1:$K$363,8,0)," ")</f>
        <v xml:space="preserve"> </v>
      </c>
      <c r="O447" s="100" t="str">
        <f>IFERROR(VLOOKUP(Tablo519[[#This Row],[HAMMADDE KODU]],Tablo1[#All],3,0)," ")</f>
        <v xml:space="preserve"> </v>
      </c>
      <c r="P447" s="100" t="str">
        <f>IFERROR(VLOOKUP(Tablo519[[#This Row],[HAMMADDE KODU]],Tablo1[#All],4,0)," ")</f>
        <v xml:space="preserve"> </v>
      </c>
      <c r="Q447" s="100" t="str">
        <f>IFERROR(VLOOKUP(Tablo519[[#This Row],[ÜRÜN KODU]],YMKODLARI!$A$1:$K$379,5,0)," ")</f>
        <v xml:space="preserve"> </v>
      </c>
      <c r="R447" s="100" t="str">
        <f>IFERROR(VLOOKUP(Tablo519[[#This Row],[ÜRÜN KODU]],YMKODLARI!$A$1:$K$379,6,0)," ")</f>
        <v xml:space="preserve"> </v>
      </c>
      <c r="S447" s="100" t="str">
        <f>IFERROR(Tablo519[[#This Row],[YOLLUK HARİÇ BASKI GRAMI]]/Tablo519[[#This Row],[KALIP GÖZ ADEDİ]]," ")</f>
        <v xml:space="preserve"> </v>
      </c>
      <c r="T447" s="100" t="str">
        <f t="shared" si="47"/>
        <v xml:space="preserve"> </v>
      </c>
      <c r="U447" s="100"/>
      <c r="V447" s="100" t="str">
        <f t="shared" si="52"/>
        <v xml:space="preserve"> </v>
      </c>
      <c r="W447" s="101">
        <f t="shared" si="48"/>
        <v>24</v>
      </c>
      <c r="X447" s="102">
        <f t="shared" si="49"/>
        <v>0</v>
      </c>
      <c r="Y447" s="100" t="str">
        <f t="shared" si="50"/>
        <v xml:space="preserve"> </v>
      </c>
      <c r="Z447" s="100" t="str">
        <f t="shared" si="51"/>
        <v xml:space="preserve"> </v>
      </c>
    </row>
    <row r="448" spans="1:26">
      <c r="A448" s="100"/>
      <c r="B448" s="108" t="str">
        <f>IFERROR(VLOOKUP(Tablo519[[#This Row],[ÜRÜN KODU]],YMKODLARI!$A$1:$K$379,2,0)," ")</f>
        <v xml:space="preserve"> </v>
      </c>
      <c r="C448" s="99"/>
      <c r="D448" s="100"/>
      <c r="E448" s="101"/>
      <c r="F448" s="101"/>
      <c r="G448" s="100" t="str">
        <f>IFERROR(VLOOKUP(Tablo519[[#This Row],[ÜRÜN KODU]],YMKODLARI!$A$1:$K$379,3,0)," ")</f>
        <v xml:space="preserve"> </v>
      </c>
      <c r="H448" s="100" t="str">
        <f>IFERROR(VLOOKUP(Tablo519[[#This Row],[ÜRÜN KODU]],YMKODLARI!$A$1:$K$379,4,0)," ")</f>
        <v xml:space="preserve"> </v>
      </c>
      <c r="I448" s="100"/>
      <c r="J448" s="100" t="str">
        <f>IFERROR(VLOOKUP(Tablo519[[#This Row],[ÜRÜN KODU]],YMKODLARI!$A$1:$K$379,9,0)," ")</f>
        <v xml:space="preserve"> </v>
      </c>
      <c r="K448" s="100" t="str">
        <f>IFERROR(VLOOKUP(Tablo519[[#This Row],[BOYA KODU]],Tablo14[#All],4,0)," ")</f>
        <v xml:space="preserve"> </v>
      </c>
      <c r="L448" s="100" t="str">
        <f>IFERROR(VLOOKUP(Tablo519[[#This Row],[BOYA KODU]],Tablo14[#All],6,0)," ")</f>
        <v xml:space="preserve"> </v>
      </c>
      <c r="M448" s="100" t="str">
        <f t="shared" si="46"/>
        <v xml:space="preserve"> </v>
      </c>
      <c r="N448" s="100" t="str">
        <f>IFERROR(VLOOKUP(Tablo519[[#This Row],[ÜRÜN KODU]],YMKODLARI!$A$1:$K$363,8,0)," ")</f>
        <v xml:space="preserve"> </v>
      </c>
      <c r="O448" s="100" t="str">
        <f>IFERROR(VLOOKUP(Tablo519[[#This Row],[HAMMADDE KODU]],Tablo1[#All],3,0)," ")</f>
        <v xml:space="preserve"> </v>
      </c>
      <c r="P448" s="100" t="str">
        <f>IFERROR(VLOOKUP(Tablo519[[#This Row],[HAMMADDE KODU]],Tablo1[#All],4,0)," ")</f>
        <v xml:space="preserve"> </v>
      </c>
      <c r="Q448" s="100" t="str">
        <f>IFERROR(VLOOKUP(Tablo519[[#This Row],[ÜRÜN KODU]],YMKODLARI!$A$1:$K$379,5,0)," ")</f>
        <v xml:space="preserve"> </v>
      </c>
      <c r="R448" s="100" t="str">
        <f>IFERROR(VLOOKUP(Tablo519[[#This Row],[ÜRÜN KODU]],YMKODLARI!$A$1:$K$379,6,0)," ")</f>
        <v xml:space="preserve"> </v>
      </c>
      <c r="S448" s="100" t="str">
        <f>IFERROR(Tablo519[[#This Row],[YOLLUK HARİÇ BASKI GRAMI]]/Tablo519[[#This Row],[KALIP GÖZ ADEDİ]]," ")</f>
        <v xml:space="preserve"> </v>
      </c>
      <c r="T448" s="100" t="str">
        <f t="shared" si="47"/>
        <v xml:space="preserve"> </v>
      </c>
      <c r="U448" s="100"/>
      <c r="V448" s="100" t="str">
        <f t="shared" si="52"/>
        <v xml:space="preserve"> </v>
      </c>
      <c r="W448" s="101">
        <f t="shared" si="48"/>
        <v>24</v>
      </c>
      <c r="X448" s="102">
        <f t="shared" si="49"/>
        <v>0</v>
      </c>
      <c r="Y448" s="100" t="str">
        <f t="shared" si="50"/>
        <v xml:space="preserve"> </v>
      </c>
      <c r="Z448" s="100" t="str">
        <f t="shared" si="51"/>
        <v xml:space="preserve"> </v>
      </c>
    </row>
    <row r="449" spans="1:26">
      <c r="A449" s="100"/>
      <c r="B449" s="108" t="str">
        <f>IFERROR(VLOOKUP(Tablo519[[#This Row],[ÜRÜN KODU]],YMKODLARI!$A$1:$K$379,2,0)," ")</f>
        <v xml:space="preserve"> </v>
      </c>
      <c r="C449" s="99"/>
      <c r="D449" s="100"/>
      <c r="E449" s="101"/>
      <c r="F449" s="101"/>
      <c r="G449" s="100" t="str">
        <f>IFERROR(VLOOKUP(Tablo519[[#This Row],[ÜRÜN KODU]],YMKODLARI!$A$1:$K$379,3,0)," ")</f>
        <v xml:space="preserve"> </v>
      </c>
      <c r="H449" s="100" t="str">
        <f>IFERROR(VLOOKUP(Tablo519[[#This Row],[ÜRÜN KODU]],YMKODLARI!$A$1:$K$379,4,0)," ")</f>
        <v xml:space="preserve"> </v>
      </c>
      <c r="I449" s="100"/>
      <c r="J449" s="100" t="str">
        <f>IFERROR(VLOOKUP(Tablo519[[#This Row],[ÜRÜN KODU]],YMKODLARI!$A$1:$K$379,9,0)," ")</f>
        <v xml:space="preserve"> </v>
      </c>
      <c r="K449" s="100" t="str">
        <f>IFERROR(VLOOKUP(Tablo519[[#This Row],[BOYA KODU]],Tablo14[#All],4,0)," ")</f>
        <v xml:space="preserve"> </v>
      </c>
      <c r="L449" s="100" t="str">
        <f>IFERROR(VLOOKUP(Tablo519[[#This Row],[BOYA KODU]],Tablo14[#All],6,0)," ")</f>
        <v xml:space="preserve"> </v>
      </c>
      <c r="M449" s="100" t="str">
        <f t="shared" si="46"/>
        <v xml:space="preserve"> </v>
      </c>
      <c r="N449" s="100" t="str">
        <f>IFERROR(VLOOKUP(Tablo519[[#This Row],[ÜRÜN KODU]],YMKODLARI!$A$1:$K$363,8,0)," ")</f>
        <v xml:space="preserve"> </v>
      </c>
      <c r="O449" s="100" t="str">
        <f>IFERROR(VLOOKUP(Tablo519[[#This Row],[HAMMADDE KODU]],Tablo1[#All],3,0)," ")</f>
        <v xml:space="preserve"> </v>
      </c>
      <c r="P449" s="100" t="str">
        <f>IFERROR(VLOOKUP(Tablo519[[#This Row],[HAMMADDE KODU]],Tablo1[#All],4,0)," ")</f>
        <v xml:space="preserve"> </v>
      </c>
      <c r="Q449" s="100" t="str">
        <f>IFERROR(VLOOKUP(Tablo519[[#This Row],[ÜRÜN KODU]],YMKODLARI!$A$1:$K$379,5,0)," ")</f>
        <v xml:space="preserve"> </v>
      </c>
      <c r="R449" s="100" t="str">
        <f>IFERROR(VLOOKUP(Tablo519[[#This Row],[ÜRÜN KODU]],YMKODLARI!$A$1:$K$379,6,0)," ")</f>
        <v xml:space="preserve"> </v>
      </c>
      <c r="S449" s="100" t="str">
        <f>IFERROR(Tablo519[[#This Row],[YOLLUK HARİÇ BASKI GRAMI]]/Tablo519[[#This Row],[KALIP GÖZ ADEDİ]]," ")</f>
        <v xml:space="preserve"> </v>
      </c>
      <c r="T449" s="100" t="str">
        <f t="shared" si="47"/>
        <v xml:space="preserve"> </v>
      </c>
      <c r="U449" s="100"/>
      <c r="V449" s="100" t="str">
        <f t="shared" si="52"/>
        <v xml:space="preserve"> </v>
      </c>
      <c r="W449" s="101">
        <f t="shared" si="48"/>
        <v>24</v>
      </c>
      <c r="X449" s="102">
        <f t="shared" si="49"/>
        <v>0</v>
      </c>
      <c r="Y449" s="100" t="str">
        <f t="shared" si="50"/>
        <v xml:space="preserve"> </v>
      </c>
      <c r="Z449" s="100" t="str">
        <f t="shared" si="51"/>
        <v xml:space="preserve"> </v>
      </c>
    </row>
    <row r="450" spans="1:26">
      <c r="A450" s="100"/>
      <c r="B450" s="108" t="str">
        <f>IFERROR(VLOOKUP(Tablo519[[#This Row],[ÜRÜN KODU]],YMKODLARI!$A$1:$K$379,2,0)," ")</f>
        <v xml:space="preserve"> </v>
      </c>
      <c r="C450" s="99"/>
      <c r="D450" s="100"/>
      <c r="E450" s="101"/>
      <c r="F450" s="101"/>
      <c r="G450" s="100" t="str">
        <f>IFERROR(VLOOKUP(Tablo519[[#This Row],[ÜRÜN KODU]],YMKODLARI!$A$1:$K$379,3,0)," ")</f>
        <v xml:space="preserve"> </v>
      </c>
      <c r="H450" s="100" t="str">
        <f>IFERROR(VLOOKUP(Tablo519[[#This Row],[ÜRÜN KODU]],YMKODLARI!$A$1:$K$379,4,0)," ")</f>
        <v xml:space="preserve"> </v>
      </c>
      <c r="I450" s="100"/>
      <c r="J450" s="100" t="str">
        <f>IFERROR(VLOOKUP(Tablo519[[#This Row],[ÜRÜN KODU]],YMKODLARI!$A$1:$K$379,9,0)," ")</f>
        <v xml:space="preserve"> </v>
      </c>
      <c r="K450" s="100" t="str">
        <f>IFERROR(VLOOKUP(Tablo519[[#This Row],[BOYA KODU]],Tablo14[#All],4,0)," ")</f>
        <v xml:space="preserve"> </v>
      </c>
      <c r="L450" s="100" t="str">
        <f>IFERROR(VLOOKUP(Tablo519[[#This Row],[BOYA KODU]],Tablo14[#All],6,0)," ")</f>
        <v xml:space="preserve"> </v>
      </c>
      <c r="M450" s="100" t="str">
        <f t="shared" ref="M450:M513" si="53">IFERROR((I450*Q450)*L450," ")</f>
        <v xml:space="preserve"> </v>
      </c>
      <c r="N450" s="100" t="str">
        <f>IFERROR(VLOOKUP(Tablo519[[#This Row],[ÜRÜN KODU]],YMKODLARI!$A$1:$K$363,8,0)," ")</f>
        <v xml:space="preserve"> </v>
      </c>
      <c r="O450" s="100" t="str">
        <f>IFERROR(VLOOKUP(Tablo519[[#This Row],[HAMMADDE KODU]],Tablo1[#All],3,0)," ")</f>
        <v xml:space="preserve"> </v>
      </c>
      <c r="P450" s="100" t="str">
        <f>IFERROR(VLOOKUP(Tablo519[[#This Row],[HAMMADDE KODU]],Tablo1[#All],4,0)," ")</f>
        <v xml:space="preserve"> </v>
      </c>
      <c r="Q450" s="100" t="str">
        <f>IFERROR(VLOOKUP(Tablo519[[#This Row],[ÜRÜN KODU]],YMKODLARI!$A$1:$K$379,5,0)," ")</f>
        <v xml:space="preserve"> </v>
      </c>
      <c r="R450" s="100" t="str">
        <f>IFERROR(VLOOKUP(Tablo519[[#This Row],[ÜRÜN KODU]],YMKODLARI!$A$1:$K$379,6,0)," ")</f>
        <v xml:space="preserve"> </v>
      </c>
      <c r="S450" s="100" t="str">
        <f>IFERROR(Tablo519[[#This Row],[YOLLUK HARİÇ BASKI GRAMI]]/Tablo519[[#This Row],[KALIP GÖZ ADEDİ]]," ")</f>
        <v xml:space="preserve"> </v>
      </c>
      <c r="T450" s="100" t="str">
        <f t="shared" si="47"/>
        <v xml:space="preserve"> </v>
      </c>
      <c r="U450" s="100"/>
      <c r="V450" s="100" t="str">
        <f t="shared" si="52"/>
        <v xml:space="preserve"> </v>
      </c>
      <c r="W450" s="101">
        <f t="shared" si="48"/>
        <v>24</v>
      </c>
      <c r="X450" s="102">
        <f t="shared" si="49"/>
        <v>0</v>
      </c>
      <c r="Y450" s="100" t="str">
        <f t="shared" si="50"/>
        <v xml:space="preserve"> </v>
      </c>
      <c r="Z450" s="100" t="str">
        <f t="shared" si="51"/>
        <v xml:space="preserve"> </v>
      </c>
    </row>
    <row r="451" spans="1:26">
      <c r="A451" s="100"/>
      <c r="B451" s="108" t="str">
        <f>IFERROR(VLOOKUP(Tablo519[[#This Row],[ÜRÜN KODU]],YMKODLARI!$A$1:$K$379,2,0)," ")</f>
        <v xml:space="preserve"> </v>
      </c>
      <c r="C451" s="99"/>
      <c r="D451" s="100"/>
      <c r="E451" s="101"/>
      <c r="F451" s="101"/>
      <c r="G451" s="100" t="str">
        <f>IFERROR(VLOOKUP(Tablo519[[#This Row],[ÜRÜN KODU]],YMKODLARI!$A$1:$K$379,3,0)," ")</f>
        <v xml:space="preserve"> </v>
      </c>
      <c r="H451" s="100" t="str">
        <f>IFERROR(VLOOKUP(Tablo519[[#This Row],[ÜRÜN KODU]],YMKODLARI!$A$1:$K$379,4,0)," ")</f>
        <v xml:space="preserve"> </v>
      </c>
      <c r="I451" s="100"/>
      <c r="J451" s="100" t="str">
        <f>IFERROR(VLOOKUP(Tablo519[[#This Row],[ÜRÜN KODU]],YMKODLARI!$A$1:$K$379,9,0)," ")</f>
        <v xml:space="preserve"> </v>
      </c>
      <c r="K451" s="100" t="str">
        <f>IFERROR(VLOOKUP(Tablo519[[#This Row],[BOYA KODU]],Tablo14[#All],4,0)," ")</f>
        <v xml:space="preserve"> </v>
      </c>
      <c r="L451" s="100" t="str">
        <f>IFERROR(VLOOKUP(Tablo519[[#This Row],[BOYA KODU]],Tablo14[#All],6,0)," ")</f>
        <v xml:space="preserve"> </v>
      </c>
      <c r="M451" s="100" t="str">
        <f t="shared" si="53"/>
        <v xml:space="preserve"> </v>
      </c>
      <c r="N451" s="100" t="str">
        <f>IFERROR(VLOOKUP(Tablo519[[#This Row],[ÜRÜN KODU]],YMKODLARI!$A$1:$K$363,8,0)," ")</f>
        <v xml:space="preserve"> </v>
      </c>
      <c r="O451" s="100" t="str">
        <f>IFERROR(VLOOKUP(Tablo519[[#This Row],[HAMMADDE KODU]],Tablo1[#All],3,0)," ")</f>
        <v xml:space="preserve"> </v>
      </c>
      <c r="P451" s="100" t="str">
        <f>IFERROR(VLOOKUP(Tablo519[[#This Row],[HAMMADDE KODU]],Tablo1[#All],4,0)," ")</f>
        <v xml:space="preserve"> </v>
      </c>
      <c r="Q451" s="100" t="str">
        <f>IFERROR(VLOOKUP(Tablo519[[#This Row],[ÜRÜN KODU]],YMKODLARI!$A$1:$K$379,5,0)," ")</f>
        <v xml:space="preserve"> </v>
      </c>
      <c r="R451" s="100" t="str">
        <f>IFERROR(VLOOKUP(Tablo519[[#This Row],[ÜRÜN KODU]],YMKODLARI!$A$1:$K$379,6,0)," ")</f>
        <v xml:space="preserve"> </v>
      </c>
      <c r="S451" s="100" t="str">
        <f>IFERROR(Tablo519[[#This Row],[YOLLUK HARİÇ BASKI GRAMI]]/Tablo519[[#This Row],[KALIP GÖZ ADEDİ]]," ")</f>
        <v xml:space="preserve"> </v>
      </c>
      <c r="T451" s="100" t="str">
        <f t="shared" ref="T451:T514" si="54">IFERROR(Q451-R451," ")</f>
        <v xml:space="preserve"> </v>
      </c>
      <c r="U451" s="100"/>
      <c r="V451" s="100" t="str">
        <f t="shared" si="52"/>
        <v xml:space="preserve"> </v>
      </c>
      <c r="W451" s="101">
        <f t="shared" ref="W451:W514" si="55">IFERROR(24-(E451-F451)," ")</f>
        <v>24</v>
      </c>
      <c r="X451" s="102">
        <f t="shared" ref="X451:X514" si="56">IFERROR((W451-INT(W451))*24," ")</f>
        <v>0</v>
      </c>
      <c r="Y451" s="100" t="str">
        <f t="shared" ref="Y451:Y514" si="57">IFERROR(H451*I451/3600," ")</f>
        <v xml:space="preserve"> </v>
      </c>
      <c r="Z451" s="100" t="str">
        <f t="shared" ref="Z451:Z514" si="58">IFERROR(I451*G451," " )</f>
        <v xml:space="preserve"> </v>
      </c>
    </row>
    <row r="452" spans="1:26">
      <c r="A452" s="100"/>
      <c r="B452" s="108" t="str">
        <f>IFERROR(VLOOKUP(Tablo519[[#This Row],[ÜRÜN KODU]],YMKODLARI!$A$1:$K$379,2,0)," ")</f>
        <v xml:space="preserve"> </v>
      </c>
      <c r="C452" s="99"/>
      <c r="D452" s="100"/>
      <c r="E452" s="101"/>
      <c r="F452" s="101"/>
      <c r="G452" s="100" t="str">
        <f>IFERROR(VLOOKUP(Tablo519[[#This Row],[ÜRÜN KODU]],YMKODLARI!$A$1:$K$379,3,0)," ")</f>
        <v xml:space="preserve"> </v>
      </c>
      <c r="H452" s="100" t="str">
        <f>IFERROR(VLOOKUP(Tablo519[[#This Row],[ÜRÜN KODU]],YMKODLARI!$A$1:$K$379,4,0)," ")</f>
        <v xml:space="preserve"> </v>
      </c>
      <c r="I452" s="100"/>
      <c r="J452" s="100" t="str">
        <f>IFERROR(VLOOKUP(Tablo519[[#This Row],[ÜRÜN KODU]],YMKODLARI!$A$1:$K$379,9,0)," ")</f>
        <v xml:space="preserve"> </v>
      </c>
      <c r="K452" s="100" t="str">
        <f>IFERROR(VLOOKUP(Tablo519[[#This Row],[BOYA KODU]],Tablo14[#All],4,0)," ")</f>
        <v xml:space="preserve"> </v>
      </c>
      <c r="L452" s="100" t="str">
        <f>IFERROR(VLOOKUP(Tablo519[[#This Row],[BOYA KODU]],Tablo14[#All],6,0)," ")</f>
        <v xml:space="preserve"> </v>
      </c>
      <c r="M452" s="100" t="str">
        <f t="shared" si="53"/>
        <v xml:space="preserve"> </v>
      </c>
      <c r="N452" s="100" t="str">
        <f>IFERROR(VLOOKUP(Tablo519[[#This Row],[ÜRÜN KODU]],YMKODLARI!$A$1:$K$363,8,0)," ")</f>
        <v xml:space="preserve"> </v>
      </c>
      <c r="O452" s="100" t="str">
        <f>IFERROR(VLOOKUP(Tablo519[[#This Row],[HAMMADDE KODU]],Tablo1[#All],3,0)," ")</f>
        <v xml:space="preserve"> </v>
      </c>
      <c r="P452" s="100" t="str">
        <f>IFERROR(VLOOKUP(Tablo519[[#This Row],[HAMMADDE KODU]],Tablo1[#All],4,0)," ")</f>
        <v xml:space="preserve"> </v>
      </c>
      <c r="Q452" s="100" t="str">
        <f>IFERROR(VLOOKUP(Tablo519[[#This Row],[ÜRÜN KODU]],YMKODLARI!$A$1:$K$379,5,0)," ")</f>
        <v xml:space="preserve"> </v>
      </c>
      <c r="R452" s="100" t="str">
        <f>IFERROR(VLOOKUP(Tablo519[[#This Row],[ÜRÜN KODU]],YMKODLARI!$A$1:$K$379,6,0)," ")</f>
        <v xml:space="preserve"> </v>
      </c>
      <c r="S452" s="100" t="str">
        <f>IFERROR(Tablo519[[#This Row],[YOLLUK HARİÇ BASKI GRAMI]]/Tablo519[[#This Row],[KALIP GÖZ ADEDİ]]," ")</f>
        <v xml:space="preserve"> </v>
      </c>
      <c r="T452" s="100" t="str">
        <f t="shared" si="54"/>
        <v xml:space="preserve"> </v>
      </c>
      <c r="U452" s="100"/>
      <c r="V452" s="100" t="str">
        <f t="shared" si="52"/>
        <v xml:space="preserve"> </v>
      </c>
      <c r="W452" s="101">
        <f t="shared" si="55"/>
        <v>24</v>
      </c>
      <c r="X452" s="102">
        <f t="shared" si="56"/>
        <v>0</v>
      </c>
      <c r="Y452" s="100" t="str">
        <f t="shared" si="57"/>
        <v xml:space="preserve"> </v>
      </c>
      <c r="Z452" s="100" t="str">
        <f t="shared" si="58"/>
        <v xml:space="preserve"> </v>
      </c>
    </row>
    <row r="453" spans="1:26">
      <c r="A453" s="100"/>
      <c r="B453" s="108" t="str">
        <f>IFERROR(VLOOKUP(Tablo519[[#This Row],[ÜRÜN KODU]],YMKODLARI!$A$1:$K$379,2,0)," ")</f>
        <v xml:space="preserve"> </v>
      </c>
      <c r="C453" s="99"/>
      <c r="D453" s="100"/>
      <c r="E453" s="101"/>
      <c r="F453" s="101"/>
      <c r="G453" s="100" t="str">
        <f>IFERROR(VLOOKUP(Tablo519[[#This Row],[ÜRÜN KODU]],YMKODLARI!$A$1:$K$379,3,0)," ")</f>
        <v xml:space="preserve"> </v>
      </c>
      <c r="H453" s="100" t="str">
        <f>IFERROR(VLOOKUP(Tablo519[[#This Row],[ÜRÜN KODU]],YMKODLARI!$A$1:$K$379,4,0)," ")</f>
        <v xml:space="preserve"> </v>
      </c>
      <c r="I453" s="100"/>
      <c r="J453" s="100" t="str">
        <f>IFERROR(VLOOKUP(Tablo519[[#This Row],[ÜRÜN KODU]],YMKODLARI!$A$1:$K$379,9,0)," ")</f>
        <v xml:space="preserve"> </v>
      </c>
      <c r="K453" s="100" t="str">
        <f>IFERROR(VLOOKUP(Tablo519[[#This Row],[BOYA KODU]],Tablo14[#All],4,0)," ")</f>
        <v xml:space="preserve"> </v>
      </c>
      <c r="L453" s="100" t="str">
        <f>IFERROR(VLOOKUP(Tablo519[[#This Row],[BOYA KODU]],Tablo14[#All],6,0)," ")</f>
        <v xml:space="preserve"> </v>
      </c>
      <c r="M453" s="100" t="str">
        <f t="shared" si="53"/>
        <v xml:space="preserve"> </v>
      </c>
      <c r="N453" s="100" t="str">
        <f>IFERROR(VLOOKUP(Tablo519[[#This Row],[ÜRÜN KODU]],YMKODLARI!$A$1:$K$363,8,0)," ")</f>
        <v xml:space="preserve"> </v>
      </c>
      <c r="O453" s="100" t="str">
        <f>IFERROR(VLOOKUP(Tablo519[[#This Row],[HAMMADDE KODU]],Tablo1[#All],3,0)," ")</f>
        <v xml:space="preserve"> </v>
      </c>
      <c r="P453" s="100" t="str">
        <f>IFERROR(VLOOKUP(Tablo519[[#This Row],[HAMMADDE KODU]],Tablo1[#All],4,0)," ")</f>
        <v xml:space="preserve"> </v>
      </c>
      <c r="Q453" s="100" t="str">
        <f>IFERROR(VLOOKUP(Tablo519[[#This Row],[ÜRÜN KODU]],YMKODLARI!$A$1:$K$379,5,0)," ")</f>
        <v xml:space="preserve"> </v>
      </c>
      <c r="R453" s="100" t="str">
        <f>IFERROR(VLOOKUP(Tablo519[[#This Row],[ÜRÜN KODU]],YMKODLARI!$A$1:$K$379,6,0)," ")</f>
        <v xml:space="preserve"> </v>
      </c>
      <c r="S453" s="100" t="str">
        <f>IFERROR(Tablo519[[#This Row],[YOLLUK HARİÇ BASKI GRAMI]]/Tablo519[[#This Row],[KALIP GÖZ ADEDİ]]," ")</f>
        <v xml:space="preserve"> </v>
      </c>
      <c r="T453" s="100" t="str">
        <f t="shared" si="54"/>
        <v xml:space="preserve"> </v>
      </c>
      <c r="U453" s="100"/>
      <c r="V453" s="100" t="str">
        <f t="shared" si="52"/>
        <v xml:space="preserve"> </v>
      </c>
      <c r="W453" s="101">
        <f t="shared" si="55"/>
        <v>24</v>
      </c>
      <c r="X453" s="102">
        <f t="shared" si="56"/>
        <v>0</v>
      </c>
      <c r="Y453" s="100" t="str">
        <f t="shared" si="57"/>
        <v xml:space="preserve"> </v>
      </c>
      <c r="Z453" s="100" t="str">
        <f t="shared" si="58"/>
        <v xml:space="preserve"> </v>
      </c>
    </row>
    <row r="454" spans="1:26">
      <c r="A454" s="100"/>
      <c r="B454" s="108" t="str">
        <f>IFERROR(VLOOKUP(Tablo519[[#This Row],[ÜRÜN KODU]],YMKODLARI!$A$1:$K$379,2,0)," ")</f>
        <v xml:space="preserve"> </v>
      </c>
      <c r="C454" s="99"/>
      <c r="D454" s="100"/>
      <c r="E454" s="101"/>
      <c r="F454" s="101"/>
      <c r="G454" s="100" t="str">
        <f>IFERROR(VLOOKUP(Tablo519[[#This Row],[ÜRÜN KODU]],YMKODLARI!$A$1:$K$379,3,0)," ")</f>
        <v xml:space="preserve"> </v>
      </c>
      <c r="H454" s="100" t="str">
        <f>IFERROR(VLOOKUP(Tablo519[[#This Row],[ÜRÜN KODU]],YMKODLARI!$A$1:$K$379,4,0)," ")</f>
        <v xml:space="preserve"> </v>
      </c>
      <c r="I454" s="100"/>
      <c r="J454" s="100" t="str">
        <f>IFERROR(VLOOKUP(Tablo519[[#This Row],[ÜRÜN KODU]],YMKODLARI!$A$1:$K$379,9,0)," ")</f>
        <v xml:space="preserve"> </v>
      </c>
      <c r="K454" s="100" t="str">
        <f>IFERROR(VLOOKUP(Tablo519[[#This Row],[BOYA KODU]],Tablo14[#All],4,0)," ")</f>
        <v xml:space="preserve"> </v>
      </c>
      <c r="L454" s="100" t="str">
        <f>IFERROR(VLOOKUP(Tablo519[[#This Row],[BOYA KODU]],Tablo14[#All],6,0)," ")</f>
        <v xml:space="preserve"> </v>
      </c>
      <c r="M454" s="100" t="str">
        <f t="shared" si="53"/>
        <v xml:space="preserve"> </v>
      </c>
      <c r="N454" s="100" t="str">
        <f>IFERROR(VLOOKUP(Tablo519[[#This Row],[ÜRÜN KODU]],YMKODLARI!$A$1:$K$363,8,0)," ")</f>
        <v xml:space="preserve"> </v>
      </c>
      <c r="O454" s="100" t="str">
        <f>IFERROR(VLOOKUP(Tablo519[[#This Row],[HAMMADDE KODU]],Tablo1[#All],3,0)," ")</f>
        <v xml:space="preserve"> </v>
      </c>
      <c r="P454" s="100" t="str">
        <f>IFERROR(VLOOKUP(Tablo519[[#This Row],[HAMMADDE KODU]],Tablo1[#All],4,0)," ")</f>
        <v xml:space="preserve"> </v>
      </c>
      <c r="Q454" s="100" t="str">
        <f>IFERROR(VLOOKUP(Tablo519[[#This Row],[ÜRÜN KODU]],YMKODLARI!$A$1:$K$379,5,0)," ")</f>
        <v xml:space="preserve"> </v>
      </c>
      <c r="R454" s="100" t="str">
        <f>IFERROR(VLOOKUP(Tablo519[[#This Row],[ÜRÜN KODU]],YMKODLARI!$A$1:$K$379,6,0)," ")</f>
        <v xml:space="preserve"> </v>
      </c>
      <c r="S454" s="100" t="str">
        <f>IFERROR(Tablo519[[#This Row],[YOLLUK HARİÇ BASKI GRAMI]]/Tablo519[[#This Row],[KALIP GÖZ ADEDİ]]," ")</f>
        <v xml:space="preserve"> </v>
      </c>
      <c r="T454" s="100" t="str">
        <f t="shared" si="54"/>
        <v xml:space="preserve"> </v>
      </c>
      <c r="U454" s="100"/>
      <c r="V454" s="100" t="str">
        <f t="shared" si="52"/>
        <v xml:space="preserve"> </v>
      </c>
      <c r="W454" s="101">
        <f t="shared" si="55"/>
        <v>24</v>
      </c>
      <c r="X454" s="102">
        <f t="shared" si="56"/>
        <v>0</v>
      </c>
      <c r="Y454" s="100" t="str">
        <f t="shared" si="57"/>
        <v xml:space="preserve"> </v>
      </c>
      <c r="Z454" s="100" t="str">
        <f t="shared" si="58"/>
        <v xml:space="preserve"> </v>
      </c>
    </row>
    <row r="455" spans="1:26">
      <c r="A455" s="100"/>
      <c r="B455" s="108" t="str">
        <f>IFERROR(VLOOKUP(Tablo519[[#This Row],[ÜRÜN KODU]],YMKODLARI!$A$1:$K$379,2,0)," ")</f>
        <v xml:space="preserve"> </v>
      </c>
      <c r="C455" s="99"/>
      <c r="D455" s="100"/>
      <c r="E455" s="101"/>
      <c r="F455" s="101"/>
      <c r="G455" s="100" t="str">
        <f>IFERROR(VLOOKUP(Tablo519[[#This Row],[ÜRÜN KODU]],YMKODLARI!$A$1:$K$379,3,0)," ")</f>
        <v xml:space="preserve"> </v>
      </c>
      <c r="H455" s="100" t="str">
        <f>IFERROR(VLOOKUP(Tablo519[[#This Row],[ÜRÜN KODU]],YMKODLARI!$A$1:$K$379,4,0)," ")</f>
        <v xml:space="preserve"> </v>
      </c>
      <c r="I455" s="100"/>
      <c r="J455" s="100" t="str">
        <f>IFERROR(VLOOKUP(Tablo519[[#This Row],[ÜRÜN KODU]],YMKODLARI!$A$1:$K$379,9,0)," ")</f>
        <v xml:space="preserve"> </v>
      </c>
      <c r="K455" s="100" t="str">
        <f>IFERROR(VLOOKUP(Tablo519[[#This Row],[BOYA KODU]],Tablo14[#All],4,0)," ")</f>
        <v xml:space="preserve"> </v>
      </c>
      <c r="L455" s="100" t="str">
        <f>IFERROR(VLOOKUP(Tablo519[[#This Row],[BOYA KODU]],Tablo14[#All],6,0)," ")</f>
        <v xml:space="preserve"> </v>
      </c>
      <c r="M455" s="100" t="str">
        <f t="shared" si="53"/>
        <v xml:space="preserve"> </v>
      </c>
      <c r="N455" s="100" t="str">
        <f>IFERROR(VLOOKUP(Tablo519[[#This Row],[ÜRÜN KODU]],YMKODLARI!$A$1:$K$363,8,0)," ")</f>
        <v xml:space="preserve"> </v>
      </c>
      <c r="O455" s="100" t="str">
        <f>IFERROR(VLOOKUP(Tablo519[[#This Row],[HAMMADDE KODU]],Tablo1[#All],3,0)," ")</f>
        <v xml:space="preserve"> </v>
      </c>
      <c r="P455" s="100" t="str">
        <f>IFERROR(VLOOKUP(Tablo519[[#This Row],[HAMMADDE KODU]],Tablo1[#All],4,0)," ")</f>
        <v xml:space="preserve"> </v>
      </c>
      <c r="Q455" s="100" t="str">
        <f>IFERROR(VLOOKUP(Tablo519[[#This Row],[ÜRÜN KODU]],YMKODLARI!$A$1:$K$379,5,0)," ")</f>
        <v xml:space="preserve"> </v>
      </c>
      <c r="R455" s="100" t="str">
        <f>IFERROR(VLOOKUP(Tablo519[[#This Row],[ÜRÜN KODU]],YMKODLARI!$A$1:$K$379,6,0)," ")</f>
        <v xml:space="preserve"> </v>
      </c>
      <c r="S455" s="100" t="str">
        <f>IFERROR(Tablo519[[#This Row],[YOLLUK HARİÇ BASKI GRAMI]]/Tablo519[[#This Row],[KALIP GÖZ ADEDİ]]," ")</f>
        <v xml:space="preserve"> </v>
      </c>
      <c r="T455" s="100" t="str">
        <f t="shared" si="54"/>
        <v xml:space="preserve"> </v>
      </c>
      <c r="U455" s="100"/>
      <c r="V455" s="100" t="str">
        <f t="shared" si="52"/>
        <v xml:space="preserve"> </v>
      </c>
      <c r="W455" s="101">
        <f t="shared" si="55"/>
        <v>24</v>
      </c>
      <c r="X455" s="102">
        <f t="shared" si="56"/>
        <v>0</v>
      </c>
      <c r="Y455" s="100" t="str">
        <f t="shared" si="57"/>
        <v xml:space="preserve"> </v>
      </c>
      <c r="Z455" s="100" t="str">
        <f t="shared" si="58"/>
        <v xml:space="preserve"> </v>
      </c>
    </row>
    <row r="456" spans="1:26">
      <c r="A456" s="100"/>
      <c r="B456" s="108" t="str">
        <f>IFERROR(VLOOKUP(Tablo519[[#This Row],[ÜRÜN KODU]],YMKODLARI!$A$1:$K$379,2,0)," ")</f>
        <v xml:space="preserve"> </v>
      </c>
      <c r="C456" s="99"/>
      <c r="D456" s="100"/>
      <c r="E456" s="101"/>
      <c r="F456" s="101"/>
      <c r="G456" s="100" t="str">
        <f>IFERROR(VLOOKUP(Tablo519[[#This Row],[ÜRÜN KODU]],YMKODLARI!$A$1:$K$379,3,0)," ")</f>
        <v xml:space="preserve"> </v>
      </c>
      <c r="H456" s="100" t="str">
        <f>IFERROR(VLOOKUP(Tablo519[[#This Row],[ÜRÜN KODU]],YMKODLARI!$A$1:$K$379,4,0)," ")</f>
        <v xml:space="preserve"> </v>
      </c>
      <c r="I456" s="100"/>
      <c r="J456" s="100" t="str">
        <f>IFERROR(VLOOKUP(Tablo519[[#This Row],[ÜRÜN KODU]],YMKODLARI!$A$1:$K$379,9,0)," ")</f>
        <v xml:space="preserve"> </v>
      </c>
      <c r="K456" s="100" t="str">
        <f>IFERROR(VLOOKUP(Tablo519[[#This Row],[BOYA KODU]],Tablo14[#All],4,0)," ")</f>
        <v xml:space="preserve"> </v>
      </c>
      <c r="L456" s="100" t="str">
        <f>IFERROR(VLOOKUP(Tablo519[[#This Row],[BOYA KODU]],Tablo14[#All],6,0)," ")</f>
        <v xml:space="preserve"> </v>
      </c>
      <c r="M456" s="100" t="str">
        <f t="shared" si="53"/>
        <v xml:space="preserve"> </v>
      </c>
      <c r="N456" s="100" t="str">
        <f>IFERROR(VLOOKUP(Tablo519[[#This Row],[ÜRÜN KODU]],YMKODLARI!$A$1:$K$363,8,0)," ")</f>
        <v xml:space="preserve"> </v>
      </c>
      <c r="O456" s="100" t="str">
        <f>IFERROR(VLOOKUP(Tablo519[[#This Row],[HAMMADDE KODU]],Tablo1[#All],3,0)," ")</f>
        <v xml:space="preserve"> </v>
      </c>
      <c r="P456" s="100" t="str">
        <f>IFERROR(VLOOKUP(Tablo519[[#This Row],[HAMMADDE KODU]],Tablo1[#All],4,0)," ")</f>
        <v xml:space="preserve"> </v>
      </c>
      <c r="Q456" s="100" t="str">
        <f>IFERROR(VLOOKUP(Tablo519[[#This Row],[ÜRÜN KODU]],YMKODLARI!$A$1:$K$379,5,0)," ")</f>
        <v xml:space="preserve"> </v>
      </c>
      <c r="R456" s="100" t="str">
        <f>IFERROR(VLOOKUP(Tablo519[[#This Row],[ÜRÜN KODU]],YMKODLARI!$A$1:$K$379,6,0)," ")</f>
        <v xml:space="preserve"> </v>
      </c>
      <c r="S456" s="100" t="str">
        <f>IFERROR(Tablo519[[#This Row],[YOLLUK HARİÇ BASKI GRAMI]]/Tablo519[[#This Row],[KALIP GÖZ ADEDİ]]," ")</f>
        <v xml:space="preserve"> </v>
      </c>
      <c r="T456" s="100" t="str">
        <f t="shared" si="54"/>
        <v xml:space="preserve"> </v>
      </c>
      <c r="U456" s="100"/>
      <c r="V456" s="100" t="str">
        <f t="shared" si="52"/>
        <v xml:space="preserve"> </v>
      </c>
      <c r="W456" s="101">
        <f t="shared" si="55"/>
        <v>24</v>
      </c>
      <c r="X456" s="102">
        <f t="shared" si="56"/>
        <v>0</v>
      </c>
      <c r="Y456" s="100" t="str">
        <f t="shared" si="57"/>
        <v xml:space="preserve"> </v>
      </c>
      <c r="Z456" s="100" t="str">
        <f t="shared" si="58"/>
        <v xml:space="preserve"> </v>
      </c>
    </row>
    <row r="457" spans="1:26">
      <c r="A457" s="100"/>
      <c r="B457" s="108" t="str">
        <f>IFERROR(VLOOKUP(Tablo519[[#This Row],[ÜRÜN KODU]],YMKODLARI!$A$1:$K$379,2,0)," ")</f>
        <v xml:space="preserve"> </v>
      </c>
      <c r="C457" s="99"/>
      <c r="D457" s="100"/>
      <c r="E457" s="101"/>
      <c r="F457" s="101"/>
      <c r="G457" s="100" t="str">
        <f>IFERROR(VLOOKUP(Tablo519[[#This Row],[ÜRÜN KODU]],YMKODLARI!$A$1:$K$379,3,0)," ")</f>
        <v xml:space="preserve"> </v>
      </c>
      <c r="H457" s="100" t="str">
        <f>IFERROR(VLOOKUP(Tablo519[[#This Row],[ÜRÜN KODU]],YMKODLARI!$A$1:$K$379,4,0)," ")</f>
        <v xml:space="preserve"> </v>
      </c>
      <c r="I457" s="100"/>
      <c r="J457" s="100" t="str">
        <f>IFERROR(VLOOKUP(Tablo519[[#This Row],[ÜRÜN KODU]],YMKODLARI!$A$1:$K$379,9,0)," ")</f>
        <v xml:space="preserve"> </v>
      </c>
      <c r="K457" s="100" t="str">
        <f>IFERROR(VLOOKUP(Tablo519[[#This Row],[BOYA KODU]],Tablo14[#All],4,0)," ")</f>
        <v xml:space="preserve"> </v>
      </c>
      <c r="L457" s="100" t="str">
        <f>IFERROR(VLOOKUP(Tablo519[[#This Row],[BOYA KODU]],Tablo14[#All],6,0)," ")</f>
        <v xml:space="preserve"> </v>
      </c>
      <c r="M457" s="100" t="str">
        <f t="shared" si="53"/>
        <v xml:space="preserve"> </v>
      </c>
      <c r="N457" s="100" t="str">
        <f>IFERROR(VLOOKUP(Tablo519[[#This Row],[ÜRÜN KODU]],YMKODLARI!$A$1:$K$363,8,0)," ")</f>
        <v xml:space="preserve"> </v>
      </c>
      <c r="O457" s="100" t="str">
        <f>IFERROR(VLOOKUP(Tablo519[[#This Row],[HAMMADDE KODU]],Tablo1[#All],3,0)," ")</f>
        <v xml:space="preserve"> </v>
      </c>
      <c r="P457" s="100" t="str">
        <f>IFERROR(VLOOKUP(Tablo519[[#This Row],[HAMMADDE KODU]],Tablo1[#All],4,0)," ")</f>
        <v xml:space="preserve"> </v>
      </c>
      <c r="Q457" s="100" t="str">
        <f>IFERROR(VLOOKUP(Tablo519[[#This Row],[ÜRÜN KODU]],YMKODLARI!$A$1:$K$379,5,0)," ")</f>
        <v xml:space="preserve"> </v>
      </c>
      <c r="R457" s="100" t="str">
        <f>IFERROR(VLOOKUP(Tablo519[[#This Row],[ÜRÜN KODU]],YMKODLARI!$A$1:$K$379,6,0)," ")</f>
        <v xml:space="preserve"> </v>
      </c>
      <c r="S457" s="100" t="str">
        <f>IFERROR(Tablo519[[#This Row],[YOLLUK HARİÇ BASKI GRAMI]]/Tablo519[[#This Row],[KALIP GÖZ ADEDİ]]," ")</f>
        <v xml:space="preserve"> </v>
      </c>
      <c r="T457" s="100" t="str">
        <f t="shared" si="54"/>
        <v xml:space="preserve"> </v>
      </c>
      <c r="U457" s="100"/>
      <c r="V457" s="100" t="str">
        <f t="shared" si="52"/>
        <v xml:space="preserve"> </v>
      </c>
      <c r="W457" s="101">
        <f t="shared" si="55"/>
        <v>24</v>
      </c>
      <c r="X457" s="102">
        <f t="shared" si="56"/>
        <v>0</v>
      </c>
      <c r="Y457" s="100" t="str">
        <f t="shared" si="57"/>
        <v xml:space="preserve"> </v>
      </c>
      <c r="Z457" s="100" t="str">
        <f t="shared" si="58"/>
        <v xml:space="preserve"> </v>
      </c>
    </row>
    <row r="458" spans="1:26">
      <c r="A458" s="100"/>
      <c r="B458" s="108" t="str">
        <f>IFERROR(VLOOKUP(Tablo519[[#This Row],[ÜRÜN KODU]],YMKODLARI!$A$1:$K$379,2,0)," ")</f>
        <v xml:space="preserve"> </v>
      </c>
      <c r="C458" s="99"/>
      <c r="D458" s="100"/>
      <c r="E458" s="101"/>
      <c r="F458" s="101"/>
      <c r="G458" s="100" t="str">
        <f>IFERROR(VLOOKUP(Tablo519[[#This Row],[ÜRÜN KODU]],YMKODLARI!$A$1:$K$379,3,0)," ")</f>
        <v xml:space="preserve"> </v>
      </c>
      <c r="H458" s="100" t="str">
        <f>IFERROR(VLOOKUP(Tablo519[[#This Row],[ÜRÜN KODU]],YMKODLARI!$A$1:$K$379,4,0)," ")</f>
        <v xml:space="preserve"> </v>
      </c>
      <c r="I458" s="100"/>
      <c r="J458" s="100" t="str">
        <f>IFERROR(VLOOKUP(Tablo519[[#This Row],[ÜRÜN KODU]],YMKODLARI!$A$1:$K$379,9,0)," ")</f>
        <v xml:space="preserve"> </v>
      </c>
      <c r="K458" s="100" t="str">
        <f>IFERROR(VLOOKUP(Tablo519[[#This Row],[BOYA KODU]],Tablo14[#All],4,0)," ")</f>
        <v xml:space="preserve"> </v>
      </c>
      <c r="L458" s="100" t="str">
        <f>IFERROR(VLOOKUP(Tablo519[[#This Row],[BOYA KODU]],Tablo14[#All],6,0)," ")</f>
        <v xml:space="preserve"> </v>
      </c>
      <c r="M458" s="100" t="str">
        <f t="shared" si="53"/>
        <v xml:space="preserve"> </v>
      </c>
      <c r="N458" s="100" t="str">
        <f>IFERROR(VLOOKUP(Tablo519[[#This Row],[ÜRÜN KODU]],YMKODLARI!$A$1:$K$363,8,0)," ")</f>
        <v xml:space="preserve"> </v>
      </c>
      <c r="O458" s="100" t="str">
        <f>IFERROR(VLOOKUP(Tablo519[[#This Row],[HAMMADDE KODU]],Tablo1[#All],3,0)," ")</f>
        <v xml:space="preserve"> </v>
      </c>
      <c r="P458" s="100" t="str">
        <f>IFERROR(VLOOKUP(Tablo519[[#This Row],[HAMMADDE KODU]],Tablo1[#All],4,0)," ")</f>
        <v xml:space="preserve"> </v>
      </c>
      <c r="Q458" s="100" t="str">
        <f>IFERROR(VLOOKUP(Tablo519[[#This Row],[ÜRÜN KODU]],YMKODLARI!$A$1:$K$379,5,0)," ")</f>
        <v xml:space="preserve"> </v>
      </c>
      <c r="R458" s="100" t="str">
        <f>IFERROR(VLOOKUP(Tablo519[[#This Row],[ÜRÜN KODU]],YMKODLARI!$A$1:$K$379,6,0)," ")</f>
        <v xml:space="preserve"> </v>
      </c>
      <c r="S458" s="100" t="str">
        <f>IFERROR(Tablo519[[#This Row],[YOLLUK HARİÇ BASKI GRAMI]]/Tablo519[[#This Row],[KALIP GÖZ ADEDİ]]," ")</f>
        <v xml:space="preserve"> </v>
      </c>
      <c r="T458" s="100" t="str">
        <f t="shared" si="54"/>
        <v xml:space="preserve"> </v>
      </c>
      <c r="U458" s="100"/>
      <c r="V458" s="100" t="str">
        <f t="shared" si="52"/>
        <v xml:space="preserve"> </v>
      </c>
      <c r="W458" s="101">
        <f t="shared" si="55"/>
        <v>24</v>
      </c>
      <c r="X458" s="102">
        <f t="shared" si="56"/>
        <v>0</v>
      </c>
      <c r="Y458" s="100" t="str">
        <f t="shared" si="57"/>
        <v xml:space="preserve"> </v>
      </c>
      <c r="Z458" s="100" t="str">
        <f t="shared" si="58"/>
        <v xml:space="preserve"> </v>
      </c>
    </row>
    <row r="459" spans="1:26">
      <c r="A459" s="100"/>
      <c r="B459" s="108" t="str">
        <f>IFERROR(VLOOKUP(Tablo519[[#This Row],[ÜRÜN KODU]],YMKODLARI!$A$1:$K$379,2,0)," ")</f>
        <v xml:space="preserve"> </v>
      </c>
      <c r="C459" s="99"/>
      <c r="D459" s="100"/>
      <c r="E459" s="101"/>
      <c r="F459" s="101"/>
      <c r="G459" s="100" t="str">
        <f>IFERROR(VLOOKUP(Tablo519[[#This Row],[ÜRÜN KODU]],YMKODLARI!$A$1:$K$379,3,0)," ")</f>
        <v xml:space="preserve"> </v>
      </c>
      <c r="H459" s="100" t="str">
        <f>IFERROR(VLOOKUP(Tablo519[[#This Row],[ÜRÜN KODU]],YMKODLARI!$A$1:$K$379,4,0)," ")</f>
        <v xml:space="preserve"> </v>
      </c>
      <c r="I459" s="100"/>
      <c r="J459" s="100" t="str">
        <f>IFERROR(VLOOKUP(Tablo519[[#This Row],[ÜRÜN KODU]],YMKODLARI!$A$1:$K$379,9,0)," ")</f>
        <v xml:space="preserve"> </v>
      </c>
      <c r="K459" s="100" t="str">
        <f>IFERROR(VLOOKUP(Tablo519[[#This Row],[BOYA KODU]],Tablo14[#All],4,0)," ")</f>
        <v xml:space="preserve"> </v>
      </c>
      <c r="L459" s="100" t="str">
        <f>IFERROR(VLOOKUP(Tablo519[[#This Row],[BOYA KODU]],Tablo14[#All],6,0)," ")</f>
        <v xml:space="preserve"> </v>
      </c>
      <c r="M459" s="100" t="str">
        <f t="shared" si="53"/>
        <v xml:space="preserve"> </v>
      </c>
      <c r="N459" s="100" t="str">
        <f>IFERROR(VLOOKUP(Tablo519[[#This Row],[ÜRÜN KODU]],YMKODLARI!$A$1:$K$363,8,0)," ")</f>
        <v xml:space="preserve"> </v>
      </c>
      <c r="O459" s="100" t="str">
        <f>IFERROR(VLOOKUP(Tablo519[[#This Row],[HAMMADDE KODU]],Tablo1[#All],3,0)," ")</f>
        <v xml:space="preserve"> </v>
      </c>
      <c r="P459" s="100" t="str">
        <f>IFERROR(VLOOKUP(Tablo519[[#This Row],[HAMMADDE KODU]],Tablo1[#All],4,0)," ")</f>
        <v xml:space="preserve"> </v>
      </c>
      <c r="Q459" s="100" t="str">
        <f>IFERROR(VLOOKUP(Tablo519[[#This Row],[ÜRÜN KODU]],YMKODLARI!$A$1:$K$379,5,0)," ")</f>
        <v xml:space="preserve"> </v>
      </c>
      <c r="R459" s="100" t="str">
        <f>IFERROR(VLOOKUP(Tablo519[[#This Row],[ÜRÜN KODU]],YMKODLARI!$A$1:$K$379,6,0)," ")</f>
        <v xml:space="preserve"> </v>
      </c>
      <c r="S459" s="100" t="str">
        <f>IFERROR(Tablo519[[#This Row],[YOLLUK HARİÇ BASKI GRAMI]]/Tablo519[[#This Row],[KALIP GÖZ ADEDİ]]," ")</f>
        <v xml:space="preserve"> </v>
      </c>
      <c r="T459" s="100" t="str">
        <f t="shared" si="54"/>
        <v xml:space="preserve"> </v>
      </c>
      <c r="U459" s="100"/>
      <c r="V459" s="100" t="str">
        <f t="shared" si="52"/>
        <v xml:space="preserve"> </v>
      </c>
      <c r="W459" s="101">
        <f t="shared" si="55"/>
        <v>24</v>
      </c>
      <c r="X459" s="102">
        <f t="shared" si="56"/>
        <v>0</v>
      </c>
      <c r="Y459" s="100" t="str">
        <f t="shared" si="57"/>
        <v xml:space="preserve"> </v>
      </c>
      <c r="Z459" s="100" t="str">
        <f t="shared" si="58"/>
        <v xml:space="preserve"> </v>
      </c>
    </row>
    <row r="460" spans="1:26">
      <c r="A460" s="100"/>
      <c r="B460" s="108" t="str">
        <f>IFERROR(VLOOKUP(Tablo519[[#This Row],[ÜRÜN KODU]],YMKODLARI!$A$1:$K$379,2,0)," ")</f>
        <v xml:space="preserve"> </v>
      </c>
      <c r="C460" s="99"/>
      <c r="D460" s="100"/>
      <c r="E460" s="101"/>
      <c r="F460" s="101"/>
      <c r="G460" s="100" t="str">
        <f>IFERROR(VLOOKUP(Tablo519[[#This Row],[ÜRÜN KODU]],YMKODLARI!$A$1:$K$379,3,0)," ")</f>
        <v xml:space="preserve"> </v>
      </c>
      <c r="H460" s="100" t="str">
        <f>IFERROR(VLOOKUP(Tablo519[[#This Row],[ÜRÜN KODU]],YMKODLARI!$A$1:$K$379,4,0)," ")</f>
        <v xml:space="preserve"> </v>
      </c>
      <c r="I460" s="100"/>
      <c r="J460" s="100" t="str">
        <f>IFERROR(VLOOKUP(Tablo519[[#This Row],[ÜRÜN KODU]],YMKODLARI!$A$1:$K$379,9,0)," ")</f>
        <v xml:space="preserve"> </v>
      </c>
      <c r="K460" s="100" t="str">
        <f>IFERROR(VLOOKUP(Tablo519[[#This Row],[BOYA KODU]],Tablo14[#All],4,0)," ")</f>
        <v xml:space="preserve"> </v>
      </c>
      <c r="L460" s="100" t="str">
        <f>IFERROR(VLOOKUP(Tablo519[[#This Row],[BOYA KODU]],Tablo14[#All],6,0)," ")</f>
        <v xml:space="preserve"> </v>
      </c>
      <c r="M460" s="100" t="str">
        <f t="shared" si="53"/>
        <v xml:space="preserve"> </v>
      </c>
      <c r="N460" s="100" t="str">
        <f>IFERROR(VLOOKUP(Tablo519[[#This Row],[ÜRÜN KODU]],YMKODLARI!$A$1:$K$363,8,0)," ")</f>
        <v xml:space="preserve"> </v>
      </c>
      <c r="O460" s="100" t="str">
        <f>IFERROR(VLOOKUP(Tablo519[[#This Row],[HAMMADDE KODU]],Tablo1[#All],3,0)," ")</f>
        <v xml:space="preserve"> </v>
      </c>
      <c r="P460" s="100" t="str">
        <f>IFERROR(VLOOKUP(Tablo519[[#This Row],[HAMMADDE KODU]],Tablo1[#All],4,0)," ")</f>
        <v xml:space="preserve"> </v>
      </c>
      <c r="Q460" s="100" t="str">
        <f>IFERROR(VLOOKUP(Tablo519[[#This Row],[ÜRÜN KODU]],YMKODLARI!$A$1:$K$379,5,0)," ")</f>
        <v xml:space="preserve"> </v>
      </c>
      <c r="R460" s="100" t="str">
        <f>IFERROR(VLOOKUP(Tablo519[[#This Row],[ÜRÜN KODU]],YMKODLARI!$A$1:$K$379,6,0)," ")</f>
        <v xml:space="preserve"> </v>
      </c>
      <c r="S460" s="100" t="str">
        <f>IFERROR(Tablo519[[#This Row],[YOLLUK HARİÇ BASKI GRAMI]]/Tablo519[[#This Row],[KALIP GÖZ ADEDİ]]," ")</f>
        <v xml:space="preserve"> </v>
      </c>
      <c r="T460" s="100" t="str">
        <f t="shared" si="54"/>
        <v xml:space="preserve"> </v>
      </c>
      <c r="U460" s="100"/>
      <c r="V460" s="100" t="str">
        <f t="shared" si="52"/>
        <v xml:space="preserve"> </v>
      </c>
      <c r="W460" s="101">
        <f t="shared" si="55"/>
        <v>24</v>
      </c>
      <c r="X460" s="102">
        <f t="shared" si="56"/>
        <v>0</v>
      </c>
      <c r="Y460" s="100" t="str">
        <f t="shared" si="57"/>
        <v xml:space="preserve"> </v>
      </c>
      <c r="Z460" s="100" t="str">
        <f t="shared" si="58"/>
        <v xml:space="preserve"> </v>
      </c>
    </row>
    <row r="461" spans="1:26">
      <c r="A461" s="100"/>
      <c r="B461" s="108" t="str">
        <f>IFERROR(VLOOKUP(Tablo519[[#This Row],[ÜRÜN KODU]],YMKODLARI!$A$1:$K$379,2,0)," ")</f>
        <v xml:space="preserve"> </v>
      </c>
      <c r="C461" s="99"/>
      <c r="D461" s="100"/>
      <c r="E461" s="101"/>
      <c r="F461" s="101"/>
      <c r="G461" s="100" t="str">
        <f>IFERROR(VLOOKUP(Tablo519[[#This Row],[ÜRÜN KODU]],YMKODLARI!$A$1:$K$379,3,0)," ")</f>
        <v xml:space="preserve"> </v>
      </c>
      <c r="H461" s="100" t="str">
        <f>IFERROR(VLOOKUP(Tablo519[[#This Row],[ÜRÜN KODU]],YMKODLARI!$A$1:$K$379,4,0)," ")</f>
        <v xml:space="preserve"> </v>
      </c>
      <c r="I461" s="100"/>
      <c r="J461" s="100" t="str">
        <f>IFERROR(VLOOKUP(Tablo519[[#This Row],[ÜRÜN KODU]],YMKODLARI!$A$1:$K$379,9,0)," ")</f>
        <v xml:space="preserve"> </v>
      </c>
      <c r="K461" s="100" t="str">
        <f>IFERROR(VLOOKUP(Tablo519[[#This Row],[BOYA KODU]],Tablo14[#All],4,0)," ")</f>
        <v xml:space="preserve"> </v>
      </c>
      <c r="L461" s="100" t="str">
        <f>IFERROR(VLOOKUP(Tablo519[[#This Row],[BOYA KODU]],Tablo14[#All],6,0)," ")</f>
        <v xml:space="preserve"> </v>
      </c>
      <c r="M461" s="100" t="str">
        <f t="shared" si="53"/>
        <v xml:space="preserve"> </v>
      </c>
      <c r="N461" s="100" t="str">
        <f>IFERROR(VLOOKUP(Tablo519[[#This Row],[ÜRÜN KODU]],YMKODLARI!$A$1:$K$363,8,0)," ")</f>
        <v xml:space="preserve"> </v>
      </c>
      <c r="O461" s="100" t="str">
        <f>IFERROR(VLOOKUP(Tablo519[[#This Row],[HAMMADDE KODU]],Tablo1[#All],3,0)," ")</f>
        <v xml:space="preserve"> </v>
      </c>
      <c r="P461" s="100" t="str">
        <f>IFERROR(VLOOKUP(Tablo519[[#This Row],[HAMMADDE KODU]],Tablo1[#All],4,0)," ")</f>
        <v xml:space="preserve"> </v>
      </c>
      <c r="Q461" s="100" t="str">
        <f>IFERROR(VLOOKUP(Tablo519[[#This Row],[ÜRÜN KODU]],YMKODLARI!$A$1:$K$379,5,0)," ")</f>
        <v xml:space="preserve"> </v>
      </c>
      <c r="R461" s="100" t="str">
        <f>IFERROR(VLOOKUP(Tablo519[[#This Row],[ÜRÜN KODU]],YMKODLARI!$A$1:$K$379,6,0)," ")</f>
        <v xml:space="preserve"> </v>
      </c>
      <c r="S461" s="100" t="str">
        <f>IFERROR(Tablo519[[#This Row],[YOLLUK HARİÇ BASKI GRAMI]]/Tablo519[[#This Row],[KALIP GÖZ ADEDİ]]," ")</f>
        <v xml:space="preserve"> </v>
      </c>
      <c r="T461" s="100" t="str">
        <f t="shared" si="54"/>
        <v xml:space="preserve"> </v>
      </c>
      <c r="U461" s="100"/>
      <c r="V461" s="100" t="str">
        <f t="shared" si="52"/>
        <v xml:space="preserve"> </v>
      </c>
      <c r="W461" s="101">
        <f t="shared" si="55"/>
        <v>24</v>
      </c>
      <c r="X461" s="102">
        <f t="shared" si="56"/>
        <v>0</v>
      </c>
      <c r="Y461" s="100" t="str">
        <f t="shared" si="57"/>
        <v xml:space="preserve"> </v>
      </c>
      <c r="Z461" s="100" t="str">
        <f t="shared" si="58"/>
        <v xml:space="preserve"> </v>
      </c>
    </row>
    <row r="462" spans="1:26">
      <c r="A462" s="100"/>
      <c r="B462" s="108" t="str">
        <f>IFERROR(VLOOKUP(Tablo519[[#This Row],[ÜRÜN KODU]],YMKODLARI!$A$1:$K$379,2,0)," ")</f>
        <v xml:space="preserve"> </v>
      </c>
      <c r="C462" s="99"/>
      <c r="D462" s="100"/>
      <c r="E462" s="101"/>
      <c r="F462" s="101"/>
      <c r="G462" s="100" t="str">
        <f>IFERROR(VLOOKUP(Tablo519[[#This Row],[ÜRÜN KODU]],YMKODLARI!$A$1:$K$379,3,0)," ")</f>
        <v xml:space="preserve"> </v>
      </c>
      <c r="H462" s="100" t="str">
        <f>IFERROR(VLOOKUP(Tablo519[[#This Row],[ÜRÜN KODU]],YMKODLARI!$A$1:$K$379,4,0)," ")</f>
        <v xml:space="preserve"> </v>
      </c>
      <c r="I462" s="100"/>
      <c r="J462" s="100" t="str">
        <f>IFERROR(VLOOKUP(Tablo519[[#This Row],[ÜRÜN KODU]],YMKODLARI!$A$1:$K$379,9,0)," ")</f>
        <v xml:space="preserve"> </v>
      </c>
      <c r="K462" s="100" t="str">
        <f>IFERROR(VLOOKUP(Tablo519[[#This Row],[BOYA KODU]],Tablo14[#All],4,0)," ")</f>
        <v xml:space="preserve"> </v>
      </c>
      <c r="L462" s="100" t="str">
        <f>IFERROR(VLOOKUP(Tablo519[[#This Row],[BOYA KODU]],Tablo14[#All],6,0)," ")</f>
        <v xml:space="preserve"> </v>
      </c>
      <c r="M462" s="100" t="str">
        <f t="shared" si="53"/>
        <v xml:space="preserve"> </v>
      </c>
      <c r="N462" s="100" t="str">
        <f>IFERROR(VLOOKUP(Tablo519[[#This Row],[ÜRÜN KODU]],YMKODLARI!$A$1:$K$363,8,0)," ")</f>
        <v xml:space="preserve"> </v>
      </c>
      <c r="O462" s="100" t="str">
        <f>IFERROR(VLOOKUP(Tablo519[[#This Row],[HAMMADDE KODU]],Tablo1[#All],3,0)," ")</f>
        <v xml:space="preserve"> </v>
      </c>
      <c r="P462" s="100" t="str">
        <f>IFERROR(VLOOKUP(Tablo519[[#This Row],[HAMMADDE KODU]],Tablo1[#All],4,0)," ")</f>
        <v xml:space="preserve"> </v>
      </c>
      <c r="Q462" s="100" t="str">
        <f>IFERROR(VLOOKUP(Tablo519[[#This Row],[ÜRÜN KODU]],YMKODLARI!$A$1:$K$379,5,0)," ")</f>
        <v xml:space="preserve"> </v>
      </c>
      <c r="R462" s="100" t="str">
        <f>IFERROR(VLOOKUP(Tablo519[[#This Row],[ÜRÜN KODU]],YMKODLARI!$A$1:$K$379,6,0)," ")</f>
        <v xml:space="preserve"> </v>
      </c>
      <c r="S462" s="100" t="str">
        <f>IFERROR(Tablo519[[#This Row],[YOLLUK HARİÇ BASKI GRAMI]]/Tablo519[[#This Row],[KALIP GÖZ ADEDİ]]," ")</f>
        <v xml:space="preserve"> </v>
      </c>
      <c r="T462" s="100" t="str">
        <f t="shared" si="54"/>
        <v xml:space="preserve"> </v>
      </c>
      <c r="U462" s="100"/>
      <c r="V462" s="100" t="str">
        <f t="shared" si="52"/>
        <v xml:space="preserve"> </v>
      </c>
      <c r="W462" s="101">
        <f t="shared" si="55"/>
        <v>24</v>
      </c>
      <c r="X462" s="102">
        <f t="shared" si="56"/>
        <v>0</v>
      </c>
      <c r="Y462" s="100" t="str">
        <f t="shared" si="57"/>
        <v xml:space="preserve"> </v>
      </c>
      <c r="Z462" s="100" t="str">
        <f t="shared" si="58"/>
        <v xml:space="preserve"> </v>
      </c>
    </row>
    <row r="463" spans="1:26">
      <c r="A463" s="100"/>
      <c r="B463" s="108" t="str">
        <f>IFERROR(VLOOKUP(Tablo519[[#This Row],[ÜRÜN KODU]],YMKODLARI!$A$1:$K$379,2,0)," ")</f>
        <v xml:space="preserve"> </v>
      </c>
      <c r="C463" s="99"/>
      <c r="D463" s="100"/>
      <c r="E463" s="101"/>
      <c r="F463" s="101"/>
      <c r="G463" s="100" t="str">
        <f>IFERROR(VLOOKUP(Tablo519[[#This Row],[ÜRÜN KODU]],YMKODLARI!$A$1:$K$379,3,0)," ")</f>
        <v xml:space="preserve"> </v>
      </c>
      <c r="H463" s="100" t="str">
        <f>IFERROR(VLOOKUP(Tablo519[[#This Row],[ÜRÜN KODU]],YMKODLARI!$A$1:$K$379,4,0)," ")</f>
        <v xml:space="preserve"> </v>
      </c>
      <c r="I463" s="100"/>
      <c r="J463" s="100" t="str">
        <f>IFERROR(VLOOKUP(Tablo519[[#This Row],[ÜRÜN KODU]],YMKODLARI!$A$1:$K$379,9,0)," ")</f>
        <v xml:space="preserve"> </v>
      </c>
      <c r="K463" s="100" t="str">
        <f>IFERROR(VLOOKUP(Tablo519[[#This Row],[BOYA KODU]],Tablo14[#All],4,0)," ")</f>
        <v xml:space="preserve"> </v>
      </c>
      <c r="L463" s="100" t="str">
        <f>IFERROR(VLOOKUP(Tablo519[[#This Row],[BOYA KODU]],Tablo14[#All],6,0)," ")</f>
        <v xml:space="preserve"> </v>
      </c>
      <c r="M463" s="100" t="str">
        <f t="shared" si="53"/>
        <v xml:space="preserve"> </v>
      </c>
      <c r="N463" s="100" t="str">
        <f>IFERROR(VLOOKUP(Tablo519[[#This Row],[ÜRÜN KODU]],YMKODLARI!$A$1:$K$363,8,0)," ")</f>
        <v xml:space="preserve"> </v>
      </c>
      <c r="O463" s="100" t="str">
        <f>IFERROR(VLOOKUP(Tablo519[[#This Row],[HAMMADDE KODU]],Tablo1[#All],3,0)," ")</f>
        <v xml:space="preserve"> </v>
      </c>
      <c r="P463" s="100" t="str">
        <f>IFERROR(VLOOKUP(Tablo519[[#This Row],[HAMMADDE KODU]],Tablo1[#All],4,0)," ")</f>
        <v xml:space="preserve"> </v>
      </c>
      <c r="Q463" s="100" t="str">
        <f>IFERROR(VLOOKUP(Tablo519[[#This Row],[ÜRÜN KODU]],YMKODLARI!$A$1:$K$379,5,0)," ")</f>
        <v xml:space="preserve"> </v>
      </c>
      <c r="R463" s="100" t="str">
        <f>IFERROR(VLOOKUP(Tablo519[[#This Row],[ÜRÜN KODU]],YMKODLARI!$A$1:$K$379,6,0)," ")</f>
        <v xml:space="preserve"> </v>
      </c>
      <c r="S463" s="100" t="str">
        <f>IFERROR(Tablo519[[#This Row],[YOLLUK HARİÇ BASKI GRAMI]]/Tablo519[[#This Row],[KALIP GÖZ ADEDİ]]," ")</f>
        <v xml:space="preserve"> </v>
      </c>
      <c r="T463" s="100" t="str">
        <f t="shared" si="54"/>
        <v xml:space="preserve"> </v>
      </c>
      <c r="U463" s="100"/>
      <c r="V463" s="100" t="str">
        <f t="shared" si="52"/>
        <v xml:space="preserve"> </v>
      </c>
      <c r="W463" s="101">
        <f t="shared" si="55"/>
        <v>24</v>
      </c>
      <c r="X463" s="102">
        <f t="shared" si="56"/>
        <v>0</v>
      </c>
      <c r="Y463" s="100" t="str">
        <f t="shared" si="57"/>
        <v xml:space="preserve"> </v>
      </c>
      <c r="Z463" s="100" t="str">
        <f t="shared" si="58"/>
        <v xml:space="preserve"> </v>
      </c>
    </row>
    <row r="464" spans="1:26">
      <c r="A464" s="100"/>
      <c r="B464" s="108" t="str">
        <f>IFERROR(VLOOKUP(Tablo519[[#This Row],[ÜRÜN KODU]],YMKODLARI!$A$1:$K$379,2,0)," ")</f>
        <v xml:space="preserve"> </v>
      </c>
      <c r="C464" s="99"/>
      <c r="D464" s="100"/>
      <c r="E464" s="101"/>
      <c r="F464" s="101"/>
      <c r="G464" s="100" t="str">
        <f>IFERROR(VLOOKUP(Tablo519[[#This Row],[ÜRÜN KODU]],YMKODLARI!$A$1:$K$379,3,0)," ")</f>
        <v xml:space="preserve"> </v>
      </c>
      <c r="H464" s="100" t="str">
        <f>IFERROR(VLOOKUP(Tablo519[[#This Row],[ÜRÜN KODU]],YMKODLARI!$A$1:$K$379,4,0)," ")</f>
        <v xml:space="preserve"> </v>
      </c>
      <c r="I464" s="100"/>
      <c r="J464" s="100" t="str">
        <f>IFERROR(VLOOKUP(Tablo519[[#This Row],[ÜRÜN KODU]],YMKODLARI!$A$1:$K$379,9,0)," ")</f>
        <v xml:space="preserve"> </v>
      </c>
      <c r="K464" s="100" t="str">
        <f>IFERROR(VLOOKUP(Tablo519[[#This Row],[BOYA KODU]],Tablo14[#All],4,0)," ")</f>
        <v xml:space="preserve"> </v>
      </c>
      <c r="L464" s="100" t="str">
        <f>IFERROR(VLOOKUP(Tablo519[[#This Row],[BOYA KODU]],Tablo14[#All],6,0)," ")</f>
        <v xml:space="preserve"> </v>
      </c>
      <c r="M464" s="100" t="str">
        <f t="shared" si="53"/>
        <v xml:space="preserve"> </v>
      </c>
      <c r="N464" s="100" t="str">
        <f>IFERROR(VLOOKUP(Tablo519[[#This Row],[ÜRÜN KODU]],YMKODLARI!$A$1:$K$363,8,0)," ")</f>
        <v xml:space="preserve"> </v>
      </c>
      <c r="O464" s="100" t="str">
        <f>IFERROR(VLOOKUP(Tablo519[[#This Row],[HAMMADDE KODU]],Tablo1[#All],3,0)," ")</f>
        <v xml:space="preserve"> </v>
      </c>
      <c r="P464" s="100" t="str">
        <f>IFERROR(VLOOKUP(Tablo519[[#This Row],[HAMMADDE KODU]],Tablo1[#All],4,0)," ")</f>
        <v xml:space="preserve"> </v>
      </c>
      <c r="Q464" s="100" t="str">
        <f>IFERROR(VLOOKUP(Tablo519[[#This Row],[ÜRÜN KODU]],YMKODLARI!$A$1:$K$379,5,0)," ")</f>
        <v xml:space="preserve"> </v>
      </c>
      <c r="R464" s="100" t="str">
        <f>IFERROR(VLOOKUP(Tablo519[[#This Row],[ÜRÜN KODU]],YMKODLARI!$A$1:$K$379,6,0)," ")</f>
        <v xml:space="preserve"> </v>
      </c>
      <c r="S464" s="100" t="str">
        <f>IFERROR(Tablo519[[#This Row],[YOLLUK HARİÇ BASKI GRAMI]]/Tablo519[[#This Row],[KALIP GÖZ ADEDİ]]," ")</f>
        <v xml:space="preserve"> </v>
      </c>
      <c r="T464" s="100" t="str">
        <f t="shared" si="54"/>
        <v xml:space="preserve"> </v>
      </c>
      <c r="U464" s="100"/>
      <c r="V464" s="100" t="str">
        <f t="shared" si="52"/>
        <v xml:space="preserve"> </v>
      </c>
      <c r="W464" s="101">
        <f t="shared" si="55"/>
        <v>24</v>
      </c>
      <c r="X464" s="102">
        <f t="shared" si="56"/>
        <v>0</v>
      </c>
      <c r="Y464" s="100" t="str">
        <f t="shared" si="57"/>
        <v xml:space="preserve"> </v>
      </c>
      <c r="Z464" s="100" t="str">
        <f t="shared" si="58"/>
        <v xml:space="preserve"> </v>
      </c>
    </row>
    <row r="465" spans="1:26">
      <c r="A465" s="100"/>
      <c r="B465" s="108" t="str">
        <f>IFERROR(VLOOKUP(Tablo519[[#This Row],[ÜRÜN KODU]],YMKODLARI!$A$1:$K$379,2,0)," ")</f>
        <v xml:space="preserve"> </v>
      </c>
      <c r="C465" s="99"/>
      <c r="D465" s="100"/>
      <c r="E465" s="101"/>
      <c r="F465" s="101"/>
      <c r="G465" s="100" t="str">
        <f>IFERROR(VLOOKUP(Tablo519[[#This Row],[ÜRÜN KODU]],YMKODLARI!$A$1:$K$379,3,0)," ")</f>
        <v xml:space="preserve"> </v>
      </c>
      <c r="H465" s="100" t="str">
        <f>IFERROR(VLOOKUP(Tablo519[[#This Row],[ÜRÜN KODU]],YMKODLARI!$A$1:$K$379,4,0)," ")</f>
        <v xml:space="preserve"> </v>
      </c>
      <c r="I465" s="100"/>
      <c r="J465" s="100" t="str">
        <f>IFERROR(VLOOKUP(Tablo519[[#This Row],[ÜRÜN KODU]],YMKODLARI!$A$1:$K$379,9,0)," ")</f>
        <v xml:space="preserve"> </v>
      </c>
      <c r="K465" s="100" t="str">
        <f>IFERROR(VLOOKUP(Tablo519[[#This Row],[BOYA KODU]],Tablo14[#All],4,0)," ")</f>
        <v xml:space="preserve"> </v>
      </c>
      <c r="L465" s="100" t="str">
        <f>IFERROR(VLOOKUP(Tablo519[[#This Row],[BOYA KODU]],Tablo14[#All],6,0)," ")</f>
        <v xml:space="preserve"> </v>
      </c>
      <c r="M465" s="100" t="str">
        <f t="shared" si="53"/>
        <v xml:space="preserve"> </v>
      </c>
      <c r="N465" s="100" t="str">
        <f>IFERROR(VLOOKUP(Tablo519[[#This Row],[ÜRÜN KODU]],YMKODLARI!$A$1:$K$363,8,0)," ")</f>
        <v xml:space="preserve"> </v>
      </c>
      <c r="O465" s="100" t="str">
        <f>IFERROR(VLOOKUP(Tablo519[[#This Row],[HAMMADDE KODU]],Tablo1[#All],3,0)," ")</f>
        <v xml:space="preserve"> </v>
      </c>
      <c r="P465" s="100" t="str">
        <f>IFERROR(VLOOKUP(Tablo519[[#This Row],[HAMMADDE KODU]],Tablo1[#All],4,0)," ")</f>
        <v xml:space="preserve"> </v>
      </c>
      <c r="Q465" s="100" t="str">
        <f>IFERROR(VLOOKUP(Tablo519[[#This Row],[ÜRÜN KODU]],YMKODLARI!$A$1:$K$379,5,0)," ")</f>
        <v xml:space="preserve"> </v>
      </c>
      <c r="R465" s="100" t="str">
        <f>IFERROR(VLOOKUP(Tablo519[[#This Row],[ÜRÜN KODU]],YMKODLARI!$A$1:$K$379,6,0)," ")</f>
        <v xml:space="preserve"> </v>
      </c>
      <c r="S465" s="100" t="str">
        <f>IFERROR(Tablo519[[#This Row],[YOLLUK HARİÇ BASKI GRAMI]]/Tablo519[[#This Row],[KALIP GÖZ ADEDİ]]," ")</f>
        <v xml:space="preserve"> </v>
      </c>
      <c r="T465" s="100" t="str">
        <f t="shared" si="54"/>
        <v xml:space="preserve"> </v>
      </c>
      <c r="U465" s="100"/>
      <c r="V465" s="100" t="str">
        <f t="shared" si="52"/>
        <v xml:space="preserve"> </v>
      </c>
      <c r="W465" s="101">
        <f t="shared" si="55"/>
        <v>24</v>
      </c>
      <c r="X465" s="102">
        <f t="shared" si="56"/>
        <v>0</v>
      </c>
      <c r="Y465" s="100" t="str">
        <f t="shared" si="57"/>
        <v xml:space="preserve"> </v>
      </c>
      <c r="Z465" s="100" t="str">
        <f t="shared" si="58"/>
        <v xml:space="preserve"> </v>
      </c>
    </row>
    <row r="466" spans="1:26">
      <c r="A466" s="100"/>
      <c r="B466" s="108" t="str">
        <f>IFERROR(VLOOKUP(Tablo519[[#This Row],[ÜRÜN KODU]],YMKODLARI!$A$1:$K$379,2,0)," ")</f>
        <v xml:space="preserve"> </v>
      </c>
      <c r="C466" s="99"/>
      <c r="D466" s="100"/>
      <c r="E466" s="101"/>
      <c r="F466" s="101"/>
      <c r="G466" s="100" t="str">
        <f>IFERROR(VLOOKUP(Tablo519[[#This Row],[ÜRÜN KODU]],YMKODLARI!$A$1:$K$379,3,0)," ")</f>
        <v xml:space="preserve"> </v>
      </c>
      <c r="H466" s="100" t="str">
        <f>IFERROR(VLOOKUP(Tablo519[[#This Row],[ÜRÜN KODU]],YMKODLARI!$A$1:$K$379,4,0)," ")</f>
        <v xml:space="preserve"> </v>
      </c>
      <c r="I466" s="100"/>
      <c r="J466" s="100" t="str">
        <f>IFERROR(VLOOKUP(Tablo519[[#This Row],[ÜRÜN KODU]],YMKODLARI!$A$1:$K$379,9,0)," ")</f>
        <v xml:space="preserve"> </v>
      </c>
      <c r="K466" s="100" t="str">
        <f>IFERROR(VLOOKUP(Tablo519[[#This Row],[BOYA KODU]],Tablo14[#All],4,0)," ")</f>
        <v xml:space="preserve"> </v>
      </c>
      <c r="L466" s="100" t="str">
        <f>IFERROR(VLOOKUP(Tablo519[[#This Row],[BOYA KODU]],Tablo14[#All],6,0)," ")</f>
        <v xml:space="preserve"> </v>
      </c>
      <c r="M466" s="100" t="str">
        <f t="shared" si="53"/>
        <v xml:space="preserve"> </v>
      </c>
      <c r="N466" s="100" t="str">
        <f>IFERROR(VLOOKUP(Tablo519[[#This Row],[ÜRÜN KODU]],YMKODLARI!$A$1:$K$363,8,0)," ")</f>
        <v xml:space="preserve"> </v>
      </c>
      <c r="O466" s="100" t="str">
        <f>IFERROR(VLOOKUP(Tablo519[[#This Row],[HAMMADDE KODU]],Tablo1[#All],3,0)," ")</f>
        <v xml:space="preserve"> </v>
      </c>
      <c r="P466" s="100" t="str">
        <f>IFERROR(VLOOKUP(Tablo519[[#This Row],[HAMMADDE KODU]],Tablo1[#All],4,0)," ")</f>
        <v xml:space="preserve"> </v>
      </c>
      <c r="Q466" s="100" t="str">
        <f>IFERROR(VLOOKUP(Tablo519[[#This Row],[ÜRÜN KODU]],YMKODLARI!$A$1:$K$379,5,0)," ")</f>
        <v xml:space="preserve"> </v>
      </c>
      <c r="R466" s="100" t="str">
        <f>IFERROR(VLOOKUP(Tablo519[[#This Row],[ÜRÜN KODU]],YMKODLARI!$A$1:$K$379,6,0)," ")</f>
        <v xml:space="preserve"> </v>
      </c>
      <c r="S466" s="100" t="str">
        <f>IFERROR(Tablo519[[#This Row],[YOLLUK HARİÇ BASKI GRAMI]]/Tablo519[[#This Row],[KALIP GÖZ ADEDİ]]," ")</f>
        <v xml:space="preserve"> </v>
      </c>
      <c r="T466" s="100" t="str">
        <f t="shared" si="54"/>
        <v xml:space="preserve"> </v>
      </c>
      <c r="U466" s="100"/>
      <c r="V466" s="100" t="str">
        <f t="shared" si="52"/>
        <v xml:space="preserve"> </v>
      </c>
      <c r="W466" s="101">
        <f t="shared" si="55"/>
        <v>24</v>
      </c>
      <c r="X466" s="102">
        <f t="shared" si="56"/>
        <v>0</v>
      </c>
      <c r="Y466" s="100" t="str">
        <f t="shared" si="57"/>
        <v xml:space="preserve"> </v>
      </c>
      <c r="Z466" s="100" t="str">
        <f t="shared" si="58"/>
        <v xml:space="preserve"> </v>
      </c>
    </row>
    <row r="467" spans="1:26">
      <c r="A467" s="100"/>
      <c r="B467" s="108" t="str">
        <f>IFERROR(VLOOKUP(Tablo519[[#This Row],[ÜRÜN KODU]],YMKODLARI!$A$1:$K$379,2,0)," ")</f>
        <v xml:space="preserve"> </v>
      </c>
      <c r="C467" s="99"/>
      <c r="D467" s="100"/>
      <c r="E467" s="101"/>
      <c r="F467" s="101"/>
      <c r="G467" s="100" t="str">
        <f>IFERROR(VLOOKUP(Tablo519[[#This Row],[ÜRÜN KODU]],YMKODLARI!$A$1:$K$379,3,0)," ")</f>
        <v xml:space="preserve"> </v>
      </c>
      <c r="H467" s="100" t="str">
        <f>IFERROR(VLOOKUP(Tablo519[[#This Row],[ÜRÜN KODU]],YMKODLARI!$A$1:$K$379,4,0)," ")</f>
        <v xml:space="preserve"> </v>
      </c>
      <c r="I467" s="100"/>
      <c r="J467" s="100" t="str">
        <f>IFERROR(VLOOKUP(Tablo519[[#This Row],[ÜRÜN KODU]],YMKODLARI!$A$1:$K$379,9,0)," ")</f>
        <v xml:space="preserve"> </v>
      </c>
      <c r="K467" s="100" t="str">
        <f>IFERROR(VLOOKUP(Tablo519[[#This Row],[BOYA KODU]],Tablo14[#All],4,0)," ")</f>
        <v xml:space="preserve"> </v>
      </c>
      <c r="L467" s="100" t="str">
        <f>IFERROR(VLOOKUP(Tablo519[[#This Row],[BOYA KODU]],Tablo14[#All],6,0)," ")</f>
        <v xml:space="preserve"> </v>
      </c>
      <c r="M467" s="100" t="str">
        <f t="shared" si="53"/>
        <v xml:space="preserve"> </v>
      </c>
      <c r="N467" s="100" t="str">
        <f>IFERROR(VLOOKUP(Tablo519[[#This Row],[ÜRÜN KODU]],YMKODLARI!$A$1:$K$363,8,0)," ")</f>
        <v xml:space="preserve"> </v>
      </c>
      <c r="O467" s="100" t="str">
        <f>IFERROR(VLOOKUP(Tablo519[[#This Row],[HAMMADDE KODU]],Tablo1[#All],3,0)," ")</f>
        <v xml:space="preserve"> </v>
      </c>
      <c r="P467" s="100" t="str">
        <f>IFERROR(VLOOKUP(Tablo519[[#This Row],[HAMMADDE KODU]],Tablo1[#All],4,0)," ")</f>
        <v xml:space="preserve"> </v>
      </c>
      <c r="Q467" s="100" t="str">
        <f>IFERROR(VLOOKUP(Tablo519[[#This Row],[ÜRÜN KODU]],YMKODLARI!$A$1:$K$379,5,0)," ")</f>
        <v xml:space="preserve"> </v>
      </c>
      <c r="R467" s="100" t="str">
        <f>IFERROR(VLOOKUP(Tablo519[[#This Row],[ÜRÜN KODU]],YMKODLARI!$A$1:$K$379,6,0)," ")</f>
        <v xml:space="preserve"> </v>
      </c>
      <c r="S467" s="100" t="str">
        <f>IFERROR(Tablo519[[#This Row],[YOLLUK HARİÇ BASKI GRAMI]]/Tablo519[[#This Row],[KALIP GÖZ ADEDİ]]," ")</f>
        <v xml:space="preserve"> </v>
      </c>
      <c r="T467" s="100" t="str">
        <f t="shared" si="54"/>
        <v xml:space="preserve"> </v>
      </c>
      <c r="U467" s="100"/>
      <c r="V467" s="100" t="str">
        <f t="shared" si="52"/>
        <v xml:space="preserve"> </v>
      </c>
      <c r="W467" s="101">
        <f t="shared" si="55"/>
        <v>24</v>
      </c>
      <c r="X467" s="102">
        <f t="shared" si="56"/>
        <v>0</v>
      </c>
      <c r="Y467" s="100" t="str">
        <f t="shared" si="57"/>
        <v xml:space="preserve"> </v>
      </c>
      <c r="Z467" s="100" t="str">
        <f t="shared" si="58"/>
        <v xml:space="preserve"> </v>
      </c>
    </row>
    <row r="468" spans="1:26">
      <c r="A468" s="100"/>
      <c r="B468" s="108" t="str">
        <f>IFERROR(VLOOKUP(Tablo519[[#This Row],[ÜRÜN KODU]],YMKODLARI!$A$1:$K$379,2,0)," ")</f>
        <v xml:space="preserve"> </v>
      </c>
      <c r="C468" s="99"/>
      <c r="D468" s="100"/>
      <c r="E468" s="101"/>
      <c r="F468" s="101"/>
      <c r="G468" s="100" t="str">
        <f>IFERROR(VLOOKUP(Tablo519[[#This Row],[ÜRÜN KODU]],YMKODLARI!$A$1:$K$379,3,0)," ")</f>
        <v xml:space="preserve"> </v>
      </c>
      <c r="H468" s="100" t="str">
        <f>IFERROR(VLOOKUP(Tablo519[[#This Row],[ÜRÜN KODU]],YMKODLARI!$A$1:$K$379,4,0)," ")</f>
        <v xml:space="preserve"> </v>
      </c>
      <c r="I468" s="100"/>
      <c r="J468" s="100" t="str">
        <f>IFERROR(VLOOKUP(Tablo519[[#This Row],[ÜRÜN KODU]],YMKODLARI!$A$1:$K$379,9,0)," ")</f>
        <v xml:space="preserve"> </v>
      </c>
      <c r="K468" s="100" t="str">
        <f>IFERROR(VLOOKUP(Tablo519[[#This Row],[BOYA KODU]],Tablo14[#All],4,0)," ")</f>
        <v xml:space="preserve"> </v>
      </c>
      <c r="L468" s="100" t="str">
        <f>IFERROR(VLOOKUP(Tablo519[[#This Row],[BOYA KODU]],Tablo14[#All],6,0)," ")</f>
        <v xml:space="preserve"> </v>
      </c>
      <c r="M468" s="100" t="str">
        <f t="shared" si="53"/>
        <v xml:space="preserve"> </v>
      </c>
      <c r="N468" s="100" t="str">
        <f>IFERROR(VLOOKUP(Tablo519[[#This Row],[ÜRÜN KODU]],YMKODLARI!$A$1:$K$363,8,0)," ")</f>
        <v xml:space="preserve"> </v>
      </c>
      <c r="O468" s="100" t="str">
        <f>IFERROR(VLOOKUP(Tablo519[[#This Row],[HAMMADDE KODU]],Tablo1[#All],3,0)," ")</f>
        <v xml:space="preserve"> </v>
      </c>
      <c r="P468" s="100" t="str">
        <f>IFERROR(VLOOKUP(Tablo519[[#This Row],[HAMMADDE KODU]],Tablo1[#All],4,0)," ")</f>
        <v xml:space="preserve"> </v>
      </c>
      <c r="Q468" s="100" t="str">
        <f>IFERROR(VLOOKUP(Tablo519[[#This Row],[ÜRÜN KODU]],YMKODLARI!$A$1:$K$379,5,0)," ")</f>
        <v xml:space="preserve"> </v>
      </c>
      <c r="R468" s="100" t="str">
        <f>IFERROR(VLOOKUP(Tablo519[[#This Row],[ÜRÜN KODU]],YMKODLARI!$A$1:$K$379,6,0)," ")</f>
        <v xml:space="preserve"> </v>
      </c>
      <c r="S468" s="100" t="str">
        <f>IFERROR(Tablo519[[#This Row],[YOLLUK HARİÇ BASKI GRAMI]]/Tablo519[[#This Row],[KALIP GÖZ ADEDİ]]," ")</f>
        <v xml:space="preserve"> </v>
      </c>
      <c r="T468" s="100" t="str">
        <f t="shared" si="54"/>
        <v xml:space="preserve"> </v>
      </c>
      <c r="U468" s="100"/>
      <c r="V468" s="100" t="str">
        <f t="shared" si="52"/>
        <v xml:space="preserve"> </v>
      </c>
      <c r="W468" s="101">
        <f t="shared" si="55"/>
        <v>24</v>
      </c>
      <c r="X468" s="102">
        <f t="shared" si="56"/>
        <v>0</v>
      </c>
      <c r="Y468" s="100" t="str">
        <f t="shared" si="57"/>
        <v xml:space="preserve"> </v>
      </c>
      <c r="Z468" s="100" t="str">
        <f t="shared" si="58"/>
        <v xml:space="preserve"> </v>
      </c>
    </row>
    <row r="469" spans="1:26">
      <c r="A469" s="100"/>
      <c r="B469" s="108" t="str">
        <f>IFERROR(VLOOKUP(Tablo519[[#This Row],[ÜRÜN KODU]],YMKODLARI!$A$1:$K$379,2,0)," ")</f>
        <v xml:space="preserve"> </v>
      </c>
      <c r="C469" s="99"/>
      <c r="D469" s="100"/>
      <c r="E469" s="101"/>
      <c r="F469" s="101"/>
      <c r="G469" s="100" t="str">
        <f>IFERROR(VLOOKUP(Tablo519[[#This Row],[ÜRÜN KODU]],YMKODLARI!$A$1:$K$379,3,0)," ")</f>
        <v xml:space="preserve"> </v>
      </c>
      <c r="H469" s="100" t="str">
        <f>IFERROR(VLOOKUP(Tablo519[[#This Row],[ÜRÜN KODU]],YMKODLARI!$A$1:$K$379,4,0)," ")</f>
        <v xml:space="preserve"> </v>
      </c>
      <c r="I469" s="100"/>
      <c r="J469" s="100" t="str">
        <f>IFERROR(VLOOKUP(Tablo519[[#This Row],[ÜRÜN KODU]],YMKODLARI!$A$1:$K$379,9,0)," ")</f>
        <v xml:space="preserve"> </v>
      </c>
      <c r="K469" s="100" t="str">
        <f>IFERROR(VLOOKUP(Tablo519[[#This Row],[BOYA KODU]],Tablo14[#All],4,0)," ")</f>
        <v xml:space="preserve"> </v>
      </c>
      <c r="L469" s="100" t="str">
        <f>IFERROR(VLOOKUP(Tablo519[[#This Row],[BOYA KODU]],Tablo14[#All],6,0)," ")</f>
        <v xml:space="preserve"> </v>
      </c>
      <c r="M469" s="100" t="str">
        <f t="shared" si="53"/>
        <v xml:space="preserve"> </v>
      </c>
      <c r="N469" s="100" t="str">
        <f>IFERROR(VLOOKUP(Tablo519[[#This Row],[ÜRÜN KODU]],YMKODLARI!$A$1:$K$363,8,0)," ")</f>
        <v xml:space="preserve"> </v>
      </c>
      <c r="O469" s="100" t="str">
        <f>IFERROR(VLOOKUP(Tablo519[[#This Row],[HAMMADDE KODU]],Tablo1[#All],3,0)," ")</f>
        <v xml:space="preserve"> </v>
      </c>
      <c r="P469" s="100" t="str">
        <f>IFERROR(VLOOKUP(Tablo519[[#This Row],[HAMMADDE KODU]],Tablo1[#All],4,0)," ")</f>
        <v xml:space="preserve"> </v>
      </c>
      <c r="Q469" s="100" t="str">
        <f>IFERROR(VLOOKUP(Tablo519[[#This Row],[ÜRÜN KODU]],YMKODLARI!$A$1:$K$379,5,0)," ")</f>
        <v xml:space="preserve"> </v>
      </c>
      <c r="R469" s="100" t="str">
        <f>IFERROR(VLOOKUP(Tablo519[[#This Row],[ÜRÜN KODU]],YMKODLARI!$A$1:$K$379,6,0)," ")</f>
        <v xml:space="preserve"> </v>
      </c>
      <c r="S469" s="100" t="str">
        <f>IFERROR(Tablo519[[#This Row],[YOLLUK HARİÇ BASKI GRAMI]]/Tablo519[[#This Row],[KALIP GÖZ ADEDİ]]," ")</f>
        <v xml:space="preserve"> </v>
      </c>
      <c r="T469" s="100" t="str">
        <f t="shared" si="54"/>
        <v xml:space="preserve"> </v>
      </c>
      <c r="U469" s="100"/>
      <c r="V469" s="100" t="str">
        <f t="shared" si="52"/>
        <v xml:space="preserve"> </v>
      </c>
      <c r="W469" s="101">
        <f t="shared" si="55"/>
        <v>24</v>
      </c>
      <c r="X469" s="102">
        <f t="shared" si="56"/>
        <v>0</v>
      </c>
      <c r="Y469" s="100" t="str">
        <f t="shared" si="57"/>
        <v xml:space="preserve"> </v>
      </c>
      <c r="Z469" s="100" t="str">
        <f t="shared" si="58"/>
        <v xml:space="preserve"> </v>
      </c>
    </row>
    <row r="470" spans="1:26">
      <c r="A470" s="100"/>
      <c r="B470" s="108" t="str">
        <f>IFERROR(VLOOKUP(Tablo519[[#This Row],[ÜRÜN KODU]],YMKODLARI!$A$1:$K$379,2,0)," ")</f>
        <v xml:space="preserve"> </v>
      </c>
      <c r="C470" s="99"/>
      <c r="D470" s="100"/>
      <c r="E470" s="101"/>
      <c r="F470" s="101"/>
      <c r="G470" s="100" t="str">
        <f>IFERROR(VLOOKUP(Tablo519[[#This Row],[ÜRÜN KODU]],YMKODLARI!$A$1:$K$379,3,0)," ")</f>
        <v xml:space="preserve"> </v>
      </c>
      <c r="H470" s="100" t="str">
        <f>IFERROR(VLOOKUP(Tablo519[[#This Row],[ÜRÜN KODU]],YMKODLARI!$A$1:$K$379,4,0)," ")</f>
        <v xml:space="preserve"> </v>
      </c>
      <c r="I470" s="100"/>
      <c r="J470" s="100" t="str">
        <f>IFERROR(VLOOKUP(Tablo519[[#This Row],[ÜRÜN KODU]],YMKODLARI!$A$1:$K$379,9,0)," ")</f>
        <v xml:space="preserve"> </v>
      </c>
      <c r="K470" s="100" t="str">
        <f>IFERROR(VLOOKUP(Tablo519[[#This Row],[BOYA KODU]],Tablo14[#All],4,0)," ")</f>
        <v xml:space="preserve"> </v>
      </c>
      <c r="L470" s="100" t="str">
        <f>IFERROR(VLOOKUP(Tablo519[[#This Row],[BOYA KODU]],Tablo14[#All],6,0)," ")</f>
        <v xml:space="preserve"> </v>
      </c>
      <c r="M470" s="100" t="str">
        <f t="shared" si="53"/>
        <v xml:space="preserve"> </v>
      </c>
      <c r="N470" s="100" t="str">
        <f>IFERROR(VLOOKUP(Tablo519[[#This Row],[ÜRÜN KODU]],YMKODLARI!$A$1:$K$363,8,0)," ")</f>
        <v xml:space="preserve"> </v>
      </c>
      <c r="O470" s="100" t="str">
        <f>IFERROR(VLOOKUP(Tablo519[[#This Row],[HAMMADDE KODU]],Tablo1[#All],3,0)," ")</f>
        <v xml:space="preserve"> </v>
      </c>
      <c r="P470" s="100" t="str">
        <f>IFERROR(VLOOKUP(Tablo519[[#This Row],[HAMMADDE KODU]],Tablo1[#All],4,0)," ")</f>
        <v xml:space="preserve"> </v>
      </c>
      <c r="Q470" s="100" t="str">
        <f>IFERROR(VLOOKUP(Tablo519[[#This Row],[ÜRÜN KODU]],YMKODLARI!$A$1:$K$379,5,0)," ")</f>
        <v xml:space="preserve"> </v>
      </c>
      <c r="R470" s="100" t="str">
        <f>IFERROR(VLOOKUP(Tablo519[[#This Row],[ÜRÜN KODU]],YMKODLARI!$A$1:$K$379,6,0)," ")</f>
        <v xml:space="preserve"> </v>
      </c>
      <c r="S470" s="100" t="str">
        <f>IFERROR(Tablo519[[#This Row],[YOLLUK HARİÇ BASKI GRAMI]]/Tablo519[[#This Row],[KALIP GÖZ ADEDİ]]," ")</f>
        <v xml:space="preserve"> </v>
      </c>
      <c r="T470" s="100" t="str">
        <f t="shared" si="54"/>
        <v xml:space="preserve"> </v>
      </c>
      <c r="U470" s="100"/>
      <c r="V470" s="100" t="str">
        <f t="shared" si="52"/>
        <v xml:space="preserve"> </v>
      </c>
      <c r="W470" s="101">
        <f t="shared" si="55"/>
        <v>24</v>
      </c>
      <c r="X470" s="102">
        <f t="shared" si="56"/>
        <v>0</v>
      </c>
      <c r="Y470" s="100" t="str">
        <f t="shared" si="57"/>
        <v xml:space="preserve"> </v>
      </c>
      <c r="Z470" s="100" t="str">
        <f t="shared" si="58"/>
        <v xml:space="preserve"> </v>
      </c>
    </row>
    <row r="471" spans="1:26">
      <c r="A471" s="100"/>
      <c r="B471" s="108" t="str">
        <f>IFERROR(VLOOKUP(Tablo519[[#This Row],[ÜRÜN KODU]],YMKODLARI!$A$1:$K$379,2,0)," ")</f>
        <v xml:space="preserve"> </v>
      </c>
      <c r="C471" s="99"/>
      <c r="D471" s="100"/>
      <c r="E471" s="101"/>
      <c r="F471" s="101"/>
      <c r="G471" s="100" t="str">
        <f>IFERROR(VLOOKUP(Tablo519[[#This Row],[ÜRÜN KODU]],YMKODLARI!$A$1:$K$379,3,0)," ")</f>
        <v xml:space="preserve"> </v>
      </c>
      <c r="H471" s="100" t="str">
        <f>IFERROR(VLOOKUP(Tablo519[[#This Row],[ÜRÜN KODU]],YMKODLARI!$A$1:$K$379,4,0)," ")</f>
        <v xml:space="preserve"> </v>
      </c>
      <c r="I471" s="100"/>
      <c r="J471" s="100" t="str">
        <f>IFERROR(VLOOKUP(Tablo519[[#This Row],[ÜRÜN KODU]],YMKODLARI!$A$1:$K$379,9,0)," ")</f>
        <v xml:space="preserve"> </v>
      </c>
      <c r="K471" s="100" t="str">
        <f>IFERROR(VLOOKUP(Tablo519[[#This Row],[BOYA KODU]],Tablo14[#All],4,0)," ")</f>
        <v xml:space="preserve"> </v>
      </c>
      <c r="L471" s="100" t="str">
        <f>IFERROR(VLOOKUP(Tablo519[[#This Row],[BOYA KODU]],Tablo14[#All],6,0)," ")</f>
        <v xml:space="preserve"> </v>
      </c>
      <c r="M471" s="100" t="str">
        <f t="shared" si="53"/>
        <v xml:space="preserve"> </v>
      </c>
      <c r="N471" s="100" t="str">
        <f>IFERROR(VLOOKUP(Tablo519[[#This Row],[ÜRÜN KODU]],YMKODLARI!$A$1:$K$363,8,0)," ")</f>
        <v xml:space="preserve"> </v>
      </c>
      <c r="O471" s="100" t="str">
        <f>IFERROR(VLOOKUP(Tablo519[[#This Row],[HAMMADDE KODU]],Tablo1[#All],3,0)," ")</f>
        <v xml:space="preserve"> </v>
      </c>
      <c r="P471" s="100" t="str">
        <f>IFERROR(VLOOKUP(Tablo519[[#This Row],[HAMMADDE KODU]],Tablo1[#All],4,0)," ")</f>
        <v xml:space="preserve"> </v>
      </c>
      <c r="Q471" s="100" t="str">
        <f>IFERROR(VLOOKUP(Tablo519[[#This Row],[ÜRÜN KODU]],YMKODLARI!$A$1:$K$379,5,0)," ")</f>
        <v xml:space="preserve"> </v>
      </c>
      <c r="R471" s="100" t="str">
        <f>IFERROR(VLOOKUP(Tablo519[[#This Row],[ÜRÜN KODU]],YMKODLARI!$A$1:$K$379,6,0)," ")</f>
        <v xml:space="preserve"> </v>
      </c>
      <c r="S471" s="100" t="str">
        <f>IFERROR(Tablo519[[#This Row],[YOLLUK HARİÇ BASKI GRAMI]]/Tablo519[[#This Row],[KALIP GÖZ ADEDİ]]," ")</f>
        <v xml:space="preserve"> </v>
      </c>
      <c r="T471" s="100" t="str">
        <f t="shared" si="54"/>
        <v xml:space="preserve"> </v>
      </c>
      <c r="U471" s="100"/>
      <c r="V471" s="100" t="str">
        <f t="shared" si="52"/>
        <v xml:space="preserve"> </v>
      </c>
      <c r="W471" s="101">
        <f t="shared" si="55"/>
        <v>24</v>
      </c>
      <c r="X471" s="102">
        <f t="shared" si="56"/>
        <v>0</v>
      </c>
      <c r="Y471" s="100" t="str">
        <f t="shared" si="57"/>
        <v xml:space="preserve"> </v>
      </c>
      <c r="Z471" s="100" t="str">
        <f t="shared" si="58"/>
        <v xml:space="preserve"> </v>
      </c>
    </row>
    <row r="472" spans="1:26">
      <c r="A472" s="100"/>
      <c r="B472" s="108" t="str">
        <f>IFERROR(VLOOKUP(Tablo519[[#This Row],[ÜRÜN KODU]],YMKODLARI!$A$1:$K$379,2,0)," ")</f>
        <v xml:space="preserve"> </v>
      </c>
      <c r="C472" s="99"/>
      <c r="D472" s="100"/>
      <c r="E472" s="101"/>
      <c r="F472" s="101"/>
      <c r="G472" s="100" t="str">
        <f>IFERROR(VLOOKUP(Tablo519[[#This Row],[ÜRÜN KODU]],YMKODLARI!$A$1:$K$379,3,0)," ")</f>
        <v xml:space="preserve"> </v>
      </c>
      <c r="H472" s="100" t="str">
        <f>IFERROR(VLOOKUP(Tablo519[[#This Row],[ÜRÜN KODU]],YMKODLARI!$A$1:$K$379,4,0)," ")</f>
        <v xml:space="preserve"> </v>
      </c>
      <c r="I472" s="100"/>
      <c r="J472" s="100" t="str">
        <f>IFERROR(VLOOKUP(Tablo519[[#This Row],[ÜRÜN KODU]],YMKODLARI!$A$1:$K$379,9,0)," ")</f>
        <v xml:space="preserve"> </v>
      </c>
      <c r="K472" s="100" t="str">
        <f>IFERROR(VLOOKUP(Tablo519[[#This Row],[BOYA KODU]],Tablo14[#All],4,0)," ")</f>
        <v xml:space="preserve"> </v>
      </c>
      <c r="L472" s="100" t="str">
        <f>IFERROR(VLOOKUP(Tablo519[[#This Row],[BOYA KODU]],Tablo14[#All],6,0)," ")</f>
        <v xml:space="preserve"> </v>
      </c>
      <c r="M472" s="100" t="str">
        <f t="shared" si="53"/>
        <v xml:space="preserve"> </v>
      </c>
      <c r="N472" s="100" t="str">
        <f>IFERROR(VLOOKUP(Tablo519[[#This Row],[ÜRÜN KODU]],YMKODLARI!$A$1:$K$363,8,0)," ")</f>
        <v xml:space="preserve"> </v>
      </c>
      <c r="O472" s="100" t="str">
        <f>IFERROR(VLOOKUP(Tablo519[[#This Row],[HAMMADDE KODU]],Tablo1[#All],3,0)," ")</f>
        <v xml:space="preserve"> </v>
      </c>
      <c r="P472" s="100" t="str">
        <f>IFERROR(VLOOKUP(Tablo519[[#This Row],[HAMMADDE KODU]],Tablo1[#All],4,0)," ")</f>
        <v xml:space="preserve"> </v>
      </c>
      <c r="Q472" s="100" t="str">
        <f>IFERROR(VLOOKUP(Tablo519[[#This Row],[ÜRÜN KODU]],YMKODLARI!$A$1:$K$379,5,0)," ")</f>
        <v xml:space="preserve"> </v>
      </c>
      <c r="R472" s="100" t="str">
        <f>IFERROR(VLOOKUP(Tablo519[[#This Row],[ÜRÜN KODU]],YMKODLARI!$A$1:$K$379,6,0)," ")</f>
        <v xml:space="preserve"> </v>
      </c>
      <c r="S472" s="100" t="str">
        <f>IFERROR(Tablo519[[#This Row],[YOLLUK HARİÇ BASKI GRAMI]]/Tablo519[[#This Row],[KALIP GÖZ ADEDİ]]," ")</f>
        <v xml:space="preserve"> </v>
      </c>
      <c r="T472" s="100" t="str">
        <f t="shared" si="54"/>
        <v xml:space="preserve"> </v>
      </c>
      <c r="U472" s="100"/>
      <c r="V472" s="100" t="str">
        <f t="shared" si="52"/>
        <v xml:space="preserve"> </v>
      </c>
      <c r="W472" s="101">
        <f t="shared" si="55"/>
        <v>24</v>
      </c>
      <c r="X472" s="102">
        <f t="shared" si="56"/>
        <v>0</v>
      </c>
      <c r="Y472" s="100" t="str">
        <f t="shared" si="57"/>
        <v xml:space="preserve"> </v>
      </c>
      <c r="Z472" s="100" t="str">
        <f t="shared" si="58"/>
        <v xml:space="preserve"> </v>
      </c>
    </row>
    <row r="473" spans="1:26">
      <c r="A473" s="100"/>
      <c r="B473" s="108" t="str">
        <f>IFERROR(VLOOKUP(Tablo519[[#This Row],[ÜRÜN KODU]],YMKODLARI!$A$1:$K$379,2,0)," ")</f>
        <v xml:space="preserve"> </v>
      </c>
      <c r="C473" s="99"/>
      <c r="D473" s="100"/>
      <c r="E473" s="101"/>
      <c r="F473" s="101"/>
      <c r="G473" s="100" t="str">
        <f>IFERROR(VLOOKUP(Tablo519[[#This Row],[ÜRÜN KODU]],YMKODLARI!$A$1:$K$379,3,0)," ")</f>
        <v xml:space="preserve"> </v>
      </c>
      <c r="H473" s="100" t="str">
        <f>IFERROR(VLOOKUP(Tablo519[[#This Row],[ÜRÜN KODU]],YMKODLARI!$A$1:$K$379,4,0)," ")</f>
        <v xml:space="preserve"> </v>
      </c>
      <c r="I473" s="100"/>
      <c r="J473" s="100" t="str">
        <f>IFERROR(VLOOKUP(Tablo519[[#This Row],[ÜRÜN KODU]],YMKODLARI!$A$1:$K$379,9,0)," ")</f>
        <v xml:space="preserve"> </v>
      </c>
      <c r="K473" s="100" t="str">
        <f>IFERROR(VLOOKUP(Tablo519[[#This Row],[BOYA KODU]],Tablo14[#All],4,0)," ")</f>
        <v xml:space="preserve"> </v>
      </c>
      <c r="L473" s="100" t="str">
        <f>IFERROR(VLOOKUP(Tablo519[[#This Row],[BOYA KODU]],Tablo14[#All],6,0)," ")</f>
        <v xml:space="preserve"> </v>
      </c>
      <c r="M473" s="100" t="str">
        <f t="shared" si="53"/>
        <v xml:space="preserve"> </v>
      </c>
      <c r="N473" s="100" t="str">
        <f>IFERROR(VLOOKUP(Tablo519[[#This Row],[ÜRÜN KODU]],YMKODLARI!$A$1:$K$363,8,0)," ")</f>
        <v xml:space="preserve"> </v>
      </c>
      <c r="O473" s="100" t="str">
        <f>IFERROR(VLOOKUP(Tablo519[[#This Row],[HAMMADDE KODU]],Tablo1[#All],3,0)," ")</f>
        <v xml:space="preserve"> </v>
      </c>
      <c r="P473" s="100" t="str">
        <f>IFERROR(VLOOKUP(Tablo519[[#This Row],[HAMMADDE KODU]],Tablo1[#All],4,0)," ")</f>
        <v xml:space="preserve"> </v>
      </c>
      <c r="Q473" s="100" t="str">
        <f>IFERROR(VLOOKUP(Tablo519[[#This Row],[ÜRÜN KODU]],YMKODLARI!$A$1:$K$379,5,0)," ")</f>
        <v xml:space="preserve"> </v>
      </c>
      <c r="R473" s="100" t="str">
        <f>IFERROR(VLOOKUP(Tablo519[[#This Row],[ÜRÜN KODU]],YMKODLARI!$A$1:$K$379,6,0)," ")</f>
        <v xml:space="preserve"> </v>
      </c>
      <c r="S473" s="100" t="str">
        <f>IFERROR(Tablo519[[#This Row],[YOLLUK HARİÇ BASKI GRAMI]]/Tablo519[[#This Row],[KALIP GÖZ ADEDİ]]," ")</f>
        <v xml:space="preserve"> </v>
      </c>
      <c r="T473" s="100" t="str">
        <f t="shared" si="54"/>
        <v xml:space="preserve"> </v>
      </c>
      <c r="U473" s="100"/>
      <c r="V473" s="100" t="str">
        <f t="shared" si="52"/>
        <v xml:space="preserve"> </v>
      </c>
      <c r="W473" s="101">
        <f t="shared" si="55"/>
        <v>24</v>
      </c>
      <c r="X473" s="102">
        <f t="shared" si="56"/>
        <v>0</v>
      </c>
      <c r="Y473" s="100" t="str">
        <f t="shared" si="57"/>
        <v xml:space="preserve"> </v>
      </c>
      <c r="Z473" s="100" t="str">
        <f t="shared" si="58"/>
        <v xml:space="preserve"> </v>
      </c>
    </row>
    <row r="474" spans="1:26">
      <c r="A474" s="100"/>
      <c r="B474" s="108" t="str">
        <f>IFERROR(VLOOKUP(Tablo519[[#This Row],[ÜRÜN KODU]],YMKODLARI!$A$1:$K$379,2,0)," ")</f>
        <v xml:space="preserve"> </v>
      </c>
      <c r="C474" s="99"/>
      <c r="D474" s="100"/>
      <c r="E474" s="101"/>
      <c r="F474" s="101"/>
      <c r="G474" s="100" t="str">
        <f>IFERROR(VLOOKUP(Tablo519[[#This Row],[ÜRÜN KODU]],YMKODLARI!$A$1:$K$379,3,0)," ")</f>
        <v xml:space="preserve"> </v>
      </c>
      <c r="H474" s="100" t="str">
        <f>IFERROR(VLOOKUP(Tablo519[[#This Row],[ÜRÜN KODU]],YMKODLARI!$A$1:$K$379,4,0)," ")</f>
        <v xml:space="preserve"> </v>
      </c>
      <c r="I474" s="100"/>
      <c r="J474" s="100" t="str">
        <f>IFERROR(VLOOKUP(Tablo519[[#This Row],[ÜRÜN KODU]],YMKODLARI!$A$1:$K$379,9,0)," ")</f>
        <v xml:space="preserve"> </v>
      </c>
      <c r="K474" s="100" t="str">
        <f>IFERROR(VLOOKUP(Tablo519[[#This Row],[BOYA KODU]],Tablo14[#All],4,0)," ")</f>
        <v xml:space="preserve"> </v>
      </c>
      <c r="L474" s="100" t="str">
        <f>IFERROR(VLOOKUP(Tablo519[[#This Row],[BOYA KODU]],Tablo14[#All],6,0)," ")</f>
        <v xml:space="preserve"> </v>
      </c>
      <c r="M474" s="100" t="str">
        <f t="shared" si="53"/>
        <v xml:space="preserve"> </v>
      </c>
      <c r="N474" s="100" t="str">
        <f>IFERROR(VLOOKUP(Tablo519[[#This Row],[ÜRÜN KODU]],YMKODLARI!$A$1:$K$363,8,0)," ")</f>
        <v xml:space="preserve"> </v>
      </c>
      <c r="O474" s="100" t="str">
        <f>IFERROR(VLOOKUP(Tablo519[[#This Row],[HAMMADDE KODU]],Tablo1[#All],3,0)," ")</f>
        <v xml:space="preserve"> </v>
      </c>
      <c r="P474" s="100" t="str">
        <f>IFERROR(VLOOKUP(Tablo519[[#This Row],[HAMMADDE KODU]],Tablo1[#All],4,0)," ")</f>
        <v xml:space="preserve"> </v>
      </c>
      <c r="Q474" s="100" t="str">
        <f>IFERROR(VLOOKUP(Tablo519[[#This Row],[ÜRÜN KODU]],YMKODLARI!$A$1:$K$379,5,0)," ")</f>
        <v xml:space="preserve"> </v>
      </c>
      <c r="R474" s="100" t="str">
        <f>IFERROR(VLOOKUP(Tablo519[[#This Row],[ÜRÜN KODU]],YMKODLARI!$A$1:$K$379,6,0)," ")</f>
        <v xml:space="preserve"> </v>
      </c>
      <c r="S474" s="100" t="str">
        <f>IFERROR(Tablo519[[#This Row],[YOLLUK HARİÇ BASKI GRAMI]]/Tablo519[[#This Row],[KALIP GÖZ ADEDİ]]," ")</f>
        <v xml:space="preserve"> </v>
      </c>
      <c r="T474" s="100" t="str">
        <f t="shared" si="54"/>
        <v xml:space="preserve"> </v>
      </c>
      <c r="U474" s="100"/>
      <c r="V474" s="100" t="str">
        <f t="shared" si="52"/>
        <v xml:space="preserve"> </v>
      </c>
      <c r="W474" s="101">
        <f t="shared" si="55"/>
        <v>24</v>
      </c>
      <c r="X474" s="102">
        <f t="shared" si="56"/>
        <v>0</v>
      </c>
      <c r="Y474" s="100" t="str">
        <f t="shared" si="57"/>
        <v xml:space="preserve"> </v>
      </c>
      <c r="Z474" s="100" t="str">
        <f t="shared" si="58"/>
        <v xml:space="preserve"> </v>
      </c>
    </row>
    <row r="475" spans="1:26">
      <c r="A475" s="100"/>
      <c r="B475" s="108" t="str">
        <f>IFERROR(VLOOKUP(Tablo519[[#This Row],[ÜRÜN KODU]],YMKODLARI!$A$1:$K$379,2,0)," ")</f>
        <v xml:space="preserve"> </v>
      </c>
      <c r="C475" s="99"/>
      <c r="D475" s="100"/>
      <c r="E475" s="101"/>
      <c r="F475" s="101"/>
      <c r="G475" s="100" t="str">
        <f>IFERROR(VLOOKUP(Tablo519[[#This Row],[ÜRÜN KODU]],YMKODLARI!$A$1:$K$379,3,0)," ")</f>
        <v xml:space="preserve"> </v>
      </c>
      <c r="H475" s="100" t="str">
        <f>IFERROR(VLOOKUP(Tablo519[[#This Row],[ÜRÜN KODU]],YMKODLARI!$A$1:$K$379,4,0)," ")</f>
        <v xml:space="preserve"> </v>
      </c>
      <c r="I475" s="100"/>
      <c r="J475" s="100" t="str">
        <f>IFERROR(VLOOKUP(Tablo519[[#This Row],[ÜRÜN KODU]],YMKODLARI!$A$1:$K$379,9,0)," ")</f>
        <v xml:space="preserve"> </v>
      </c>
      <c r="K475" s="100" t="str">
        <f>IFERROR(VLOOKUP(Tablo519[[#This Row],[BOYA KODU]],Tablo14[#All],4,0)," ")</f>
        <v xml:space="preserve"> </v>
      </c>
      <c r="L475" s="100" t="str">
        <f>IFERROR(VLOOKUP(Tablo519[[#This Row],[BOYA KODU]],Tablo14[#All],6,0)," ")</f>
        <v xml:space="preserve"> </v>
      </c>
      <c r="M475" s="100" t="str">
        <f t="shared" si="53"/>
        <v xml:space="preserve"> </v>
      </c>
      <c r="N475" s="100" t="str">
        <f>IFERROR(VLOOKUP(Tablo519[[#This Row],[ÜRÜN KODU]],YMKODLARI!$A$1:$K$363,8,0)," ")</f>
        <v xml:space="preserve"> </v>
      </c>
      <c r="O475" s="100" t="str">
        <f>IFERROR(VLOOKUP(Tablo519[[#This Row],[HAMMADDE KODU]],Tablo1[#All],3,0)," ")</f>
        <v xml:space="preserve"> </v>
      </c>
      <c r="P475" s="100" t="str">
        <f>IFERROR(VLOOKUP(Tablo519[[#This Row],[HAMMADDE KODU]],Tablo1[#All],4,0)," ")</f>
        <v xml:space="preserve"> </v>
      </c>
      <c r="Q475" s="100" t="str">
        <f>IFERROR(VLOOKUP(Tablo519[[#This Row],[ÜRÜN KODU]],YMKODLARI!$A$1:$K$379,5,0)," ")</f>
        <v xml:space="preserve"> </v>
      </c>
      <c r="R475" s="100" t="str">
        <f>IFERROR(VLOOKUP(Tablo519[[#This Row],[ÜRÜN KODU]],YMKODLARI!$A$1:$K$379,6,0)," ")</f>
        <v xml:space="preserve"> </v>
      </c>
      <c r="S475" s="100" t="str">
        <f>IFERROR(Tablo519[[#This Row],[YOLLUK HARİÇ BASKI GRAMI]]/Tablo519[[#This Row],[KALIP GÖZ ADEDİ]]," ")</f>
        <v xml:space="preserve"> </v>
      </c>
      <c r="T475" s="100" t="str">
        <f t="shared" si="54"/>
        <v xml:space="preserve"> </v>
      </c>
      <c r="U475" s="100"/>
      <c r="V475" s="100" t="str">
        <f t="shared" si="52"/>
        <v xml:space="preserve"> </v>
      </c>
      <c r="W475" s="101">
        <f t="shared" si="55"/>
        <v>24</v>
      </c>
      <c r="X475" s="102">
        <f t="shared" si="56"/>
        <v>0</v>
      </c>
      <c r="Y475" s="100" t="str">
        <f t="shared" si="57"/>
        <v xml:space="preserve"> </v>
      </c>
      <c r="Z475" s="100" t="str">
        <f t="shared" si="58"/>
        <v xml:space="preserve"> </v>
      </c>
    </row>
    <row r="476" spans="1:26">
      <c r="A476" s="100"/>
      <c r="B476" s="108" t="str">
        <f>IFERROR(VLOOKUP(Tablo519[[#This Row],[ÜRÜN KODU]],YMKODLARI!$A$1:$K$379,2,0)," ")</f>
        <v xml:space="preserve"> </v>
      </c>
      <c r="C476" s="99"/>
      <c r="D476" s="100"/>
      <c r="E476" s="101"/>
      <c r="F476" s="101"/>
      <c r="G476" s="100" t="str">
        <f>IFERROR(VLOOKUP(Tablo519[[#This Row],[ÜRÜN KODU]],YMKODLARI!$A$1:$K$379,3,0)," ")</f>
        <v xml:space="preserve"> </v>
      </c>
      <c r="H476" s="100" t="str">
        <f>IFERROR(VLOOKUP(Tablo519[[#This Row],[ÜRÜN KODU]],YMKODLARI!$A$1:$K$379,4,0)," ")</f>
        <v xml:space="preserve"> </v>
      </c>
      <c r="I476" s="100"/>
      <c r="J476" s="100" t="str">
        <f>IFERROR(VLOOKUP(Tablo519[[#This Row],[ÜRÜN KODU]],YMKODLARI!$A$1:$K$379,9,0)," ")</f>
        <v xml:space="preserve"> </v>
      </c>
      <c r="K476" s="100" t="str">
        <f>IFERROR(VLOOKUP(Tablo519[[#This Row],[BOYA KODU]],Tablo14[#All],4,0)," ")</f>
        <v xml:space="preserve"> </v>
      </c>
      <c r="L476" s="100" t="str">
        <f>IFERROR(VLOOKUP(Tablo519[[#This Row],[BOYA KODU]],Tablo14[#All],6,0)," ")</f>
        <v xml:space="preserve"> </v>
      </c>
      <c r="M476" s="100" t="str">
        <f t="shared" si="53"/>
        <v xml:space="preserve"> </v>
      </c>
      <c r="N476" s="100" t="str">
        <f>IFERROR(VLOOKUP(Tablo519[[#This Row],[ÜRÜN KODU]],YMKODLARI!$A$1:$K$363,8,0)," ")</f>
        <v xml:space="preserve"> </v>
      </c>
      <c r="O476" s="100" t="str">
        <f>IFERROR(VLOOKUP(Tablo519[[#This Row],[HAMMADDE KODU]],Tablo1[#All],3,0)," ")</f>
        <v xml:space="preserve"> </v>
      </c>
      <c r="P476" s="100" t="str">
        <f>IFERROR(VLOOKUP(Tablo519[[#This Row],[HAMMADDE KODU]],Tablo1[#All],4,0)," ")</f>
        <v xml:space="preserve"> </v>
      </c>
      <c r="Q476" s="100" t="str">
        <f>IFERROR(VLOOKUP(Tablo519[[#This Row],[ÜRÜN KODU]],YMKODLARI!$A$1:$K$379,5,0)," ")</f>
        <v xml:space="preserve"> </v>
      </c>
      <c r="R476" s="100" t="str">
        <f>IFERROR(VLOOKUP(Tablo519[[#This Row],[ÜRÜN KODU]],YMKODLARI!$A$1:$K$379,6,0)," ")</f>
        <v xml:space="preserve"> </v>
      </c>
      <c r="S476" s="100" t="str">
        <f>IFERROR(Tablo519[[#This Row],[YOLLUK HARİÇ BASKI GRAMI]]/Tablo519[[#This Row],[KALIP GÖZ ADEDİ]]," ")</f>
        <v xml:space="preserve"> </v>
      </c>
      <c r="T476" s="100" t="str">
        <f t="shared" si="54"/>
        <v xml:space="preserve"> </v>
      </c>
      <c r="U476" s="100"/>
      <c r="V476" s="100" t="str">
        <f t="shared" si="52"/>
        <v xml:space="preserve"> </v>
      </c>
      <c r="W476" s="101">
        <f t="shared" si="55"/>
        <v>24</v>
      </c>
      <c r="X476" s="102">
        <f t="shared" si="56"/>
        <v>0</v>
      </c>
      <c r="Y476" s="100" t="str">
        <f t="shared" si="57"/>
        <v xml:space="preserve"> </v>
      </c>
      <c r="Z476" s="100" t="str">
        <f t="shared" si="58"/>
        <v xml:space="preserve"> </v>
      </c>
    </row>
    <row r="477" spans="1:26">
      <c r="A477" s="100"/>
      <c r="B477" s="108" t="str">
        <f>IFERROR(VLOOKUP(Tablo519[[#This Row],[ÜRÜN KODU]],YMKODLARI!$A$1:$K$379,2,0)," ")</f>
        <v xml:space="preserve"> </v>
      </c>
      <c r="C477" s="99"/>
      <c r="D477" s="100"/>
      <c r="E477" s="101"/>
      <c r="F477" s="101"/>
      <c r="G477" s="100" t="str">
        <f>IFERROR(VLOOKUP(Tablo519[[#This Row],[ÜRÜN KODU]],YMKODLARI!$A$1:$K$379,3,0)," ")</f>
        <v xml:space="preserve"> </v>
      </c>
      <c r="H477" s="100" t="str">
        <f>IFERROR(VLOOKUP(Tablo519[[#This Row],[ÜRÜN KODU]],YMKODLARI!$A$1:$K$379,4,0)," ")</f>
        <v xml:space="preserve"> </v>
      </c>
      <c r="I477" s="100"/>
      <c r="J477" s="100" t="str">
        <f>IFERROR(VLOOKUP(Tablo519[[#This Row],[ÜRÜN KODU]],YMKODLARI!$A$1:$K$379,9,0)," ")</f>
        <v xml:space="preserve"> </v>
      </c>
      <c r="K477" s="100" t="str">
        <f>IFERROR(VLOOKUP(Tablo519[[#This Row],[BOYA KODU]],Tablo14[#All],4,0)," ")</f>
        <v xml:space="preserve"> </v>
      </c>
      <c r="L477" s="100" t="str">
        <f>IFERROR(VLOOKUP(Tablo519[[#This Row],[BOYA KODU]],Tablo14[#All],6,0)," ")</f>
        <v xml:space="preserve"> </v>
      </c>
      <c r="M477" s="100" t="str">
        <f t="shared" si="53"/>
        <v xml:space="preserve"> </v>
      </c>
      <c r="N477" s="100" t="str">
        <f>IFERROR(VLOOKUP(Tablo519[[#This Row],[ÜRÜN KODU]],YMKODLARI!$A$1:$K$363,8,0)," ")</f>
        <v xml:space="preserve"> </v>
      </c>
      <c r="O477" s="100" t="str">
        <f>IFERROR(VLOOKUP(Tablo519[[#This Row],[HAMMADDE KODU]],Tablo1[#All],3,0)," ")</f>
        <v xml:space="preserve"> </v>
      </c>
      <c r="P477" s="100" t="str">
        <f>IFERROR(VLOOKUP(Tablo519[[#This Row],[HAMMADDE KODU]],Tablo1[#All],4,0)," ")</f>
        <v xml:space="preserve"> </v>
      </c>
      <c r="Q477" s="100" t="str">
        <f>IFERROR(VLOOKUP(Tablo519[[#This Row],[ÜRÜN KODU]],YMKODLARI!$A$1:$K$379,5,0)," ")</f>
        <v xml:space="preserve"> </v>
      </c>
      <c r="R477" s="100" t="str">
        <f>IFERROR(VLOOKUP(Tablo519[[#This Row],[ÜRÜN KODU]],YMKODLARI!$A$1:$K$379,6,0)," ")</f>
        <v xml:space="preserve"> </v>
      </c>
      <c r="S477" s="100" t="str">
        <f>IFERROR(Tablo519[[#This Row],[YOLLUK HARİÇ BASKI GRAMI]]/Tablo519[[#This Row],[KALIP GÖZ ADEDİ]]," ")</f>
        <v xml:space="preserve"> </v>
      </c>
      <c r="T477" s="100" t="str">
        <f t="shared" si="54"/>
        <v xml:space="preserve"> </v>
      </c>
      <c r="U477" s="100"/>
      <c r="V477" s="100" t="str">
        <f t="shared" si="52"/>
        <v xml:space="preserve"> </v>
      </c>
      <c r="W477" s="101">
        <f t="shared" si="55"/>
        <v>24</v>
      </c>
      <c r="X477" s="102">
        <f t="shared" si="56"/>
        <v>0</v>
      </c>
      <c r="Y477" s="100" t="str">
        <f t="shared" si="57"/>
        <v xml:space="preserve"> </v>
      </c>
      <c r="Z477" s="100" t="str">
        <f t="shared" si="58"/>
        <v xml:space="preserve"> </v>
      </c>
    </row>
    <row r="478" spans="1:26">
      <c r="A478" s="100"/>
      <c r="B478" s="108" t="str">
        <f>IFERROR(VLOOKUP(Tablo519[[#This Row],[ÜRÜN KODU]],YMKODLARI!$A$1:$K$379,2,0)," ")</f>
        <v xml:space="preserve"> </v>
      </c>
      <c r="C478" s="99"/>
      <c r="D478" s="100"/>
      <c r="E478" s="101"/>
      <c r="F478" s="101"/>
      <c r="G478" s="100" t="str">
        <f>IFERROR(VLOOKUP(Tablo519[[#This Row],[ÜRÜN KODU]],YMKODLARI!$A$1:$K$379,3,0)," ")</f>
        <v xml:space="preserve"> </v>
      </c>
      <c r="H478" s="100" t="str">
        <f>IFERROR(VLOOKUP(Tablo519[[#This Row],[ÜRÜN KODU]],YMKODLARI!$A$1:$K$379,4,0)," ")</f>
        <v xml:space="preserve"> </v>
      </c>
      <c r="I478" s="100"/>
      <c r="J478" s="100" t="str">
        <f>IFERROR(VLOOKUP(Tablo519[[#This Row],[ÜRÜN KODU]],YMKODLARI!$A$1:$K$379,9,0)," ")</f>
        <v xml:space="preserve"> </v>
      </c>
      <c r="K478" s="100" t="str">
        <f>IFERROR(VLOOKUP(Tablo519[[#This Row],[BOYA KODU]],Tablo14[#All],4,0)," ")</f>
        <v xml:space="preserve"> </v>
      </c>
      <c r="L478" s="100" t="str">
        <f>IFERROR(VLOOKUP(Tablo519[[#This Row],[BOYA KODU]],Tablo14[#All],6,0)," ")</f>
        <v xml:space="preserve"> </v>
      </c>
      <c r="M478" s="100" t="str">
        <f t="shared" si="53"/>
        <v xml:space="preserve"> </v>
      </c>
      <c r="N478" s="100" t="str">
        <f>IFERROR(VLOOKUP(Tablo519[[#This Row],[ÜRÜN KODU]],YMKODLARI!$A$1:$K$363,8,0)," ")</f>
        <v xml:space="preserve"> </v>
      </c>
      <c r="O478" s="100" t="str">
        <f>IFERROR(VLOOKUP(Tablo519[[#This Row],[HAMMADDE KODU]],Tablo1[#All],3,0)," ")</f>
        <v xml:space="preserve"> </v>
      </c>
      <c r="P478" s="100" t="str">
        <f>IFERROR(VLOOKUP(Tablo519[[#This Row],[HAMMADDE KODU]],Tablo1[#All],4,0)," ")</f>
        <v xml:space="preserve"> </v>
      </c>
      <c r="Q478" s="100" t="str">
        <f>IFERROR(VLOOKUP(Tablo519[[#This Row],[ÜRÜN KODU]],YMKODLARI!$A$1:$K$379,5,0)," ")</f>
        <v xml:space="preserve"> </v>
      </c>
      <c r="R478" s="100" t="str">
        <f>IFERROR(VLOOKUP(Tablo519[[#This Row],[ÜRÜN KODU]],YMKODLARI!$A$1:$K$379,6,0)," ")</f>
        <v xml:space="preserve"> </v>
      </c>
      <c r="S478" s="100" t="str">
        <f>IFERROR(Tablo519[[#This Row],[YOLLUK HARİÇ BASKI GRAMI]]/Tablo519[[#This Row],[KALIP GÖZ ADEDİ]]," ")</f>
        <v xml:space="preserve"> </v>
      </c>
      <c r="T478" s="100" t="str">
        <f t="shared" si="54"/>
        <v xml:space="preserve"> </v>
      </c>
      <c r="U478" s="100"/>
      <c r="V478" s="100" t="str">
        <f t="shared" si="52"/>
        <v xml:space="preserve"> </v>
      </c>
      <c r="W478" s="101">
        <f t="shared" si="55"/>
        <v>24</v>
      </c>
      <c r="X478" s="102">
        <f t="shared" si="56"/>
        <v>0</v>
      </c>
      <c r="Y478" s="100" t="str">
        <f t="shared" si="57"/>
        <v xml:space="preserve"> </v>
      </c>
      <c r="Z478" s="100" t="str">
        <f t="shared" si="58"/>
        <v xml:space="preserve"> </v>
      </c>
    </row>
    <row r="479" spans="1:26">
      <c r="A479" s="100"/>
      <c r="B479" s="108" t="str">
        <f>IFERROR(VLOOKUP(Tablo519[[#This Row],[ÜRÜN KODU]],YMKODLARI!$A$1:$K$379,2,0)," ")</f>
        <v xml:space="preserve"> </v>
      </c>
      <c r="C479" s="99"/>
      <c r="D479" s="100"/>
      <c r="E479" s="101"/>
      <c r="F479" s="101"/>
      <c r="G479" s="100" t="str">
        <f>IFERROR(VLOOKUP(Tablo519[[#This Row],[ÜRÜN KODU]],YMKODLARI!$A$1:$K$379,3,0)," ")</f>
        <v xml:space="preserve"> </v>
      </c>
      <c r="H479" s="100" t="str">
        <f>IFERROR(VLOOKUP(Tablo519[[#This Row],[ÜRÜN KODU]],YMKODLARI!$A$1:$K$379,4,0)," ")</f>
        <v xml:space="preserve"> </v>
      </c>
      <c r="I479" s="100"/>
      <c r="J479" s="100" t="str">
        <f>IFERROR(VLOOKUP(Tablo519[[#This Row],[ÜRÜN KODU]],YMKODLARI!$A$1:$K$379,9,0)," ")</f>
        <v xml:space="preserve"> </v>
      </c>
      <c r="K479" s="100" t="str">
        <f>IFERROR(VLOOKUP(Tablo519[[#This Row],[BOYA KODU]],Tablo14[#All],4,0)," ")</f>
        <v xml:space="preserve"> </v>
      </c>
      <c r="L479" s="100" t="str">
        <f>IFERROR(VLOOKUP(Tablo519[[#This Row],[BOYA KODU]],Tablo14[#All],6,0)," ")</f>
        <v xml:space="preserve"> </v>
      </c>
      <c r="M479" s="100" t="str">
        <f t="shared" si="53"/>
        <v xml:space="preserve"> </v>
      </c>
      <c r="N479" s="100" t="str">
        <f>IFERROR(VLOOKUP(Tablo519[[#This Row],[ÜRÜN KODU]],YMKODLARI!$A$1:$K$363,8,0)," ")</f>
        <v xml:space="preserve"> </v>
      </c>
      <c r="O479" s="100" t="str">
        <f>IFERROR(VLOOKUP(Tablo519[[#This Row],[HAMMADDE KODU]],Tablo1[#All],3,0)," ")</f>
        <v xml:space="preserve"> </v>
      </c>
      <c r="P479" s="100" t="str">
        <f>IFERROR(VLOOKUP(Tablo519[[#This Row],[HAMMADDE KODU]],Tablo1[#All],4,0)," ")</f>
        <v xml:space="preserve"> </v>
      </c>
      <c r="Q479" s="100" t="str">
        <f>IFERROR(VLOOKUP(Tablo519[[#This Row],[ÜRÜN KODU]],YMKODLARI!$A$1:$K$379,5,0)," ")</f>
        <v xml:space="preserve"> </v>
      </c>
      <c r="R479" s="100" t="str">
        <f>IFERROR(VLOOKUP(Tablo519[[#This Row],[ÜRÜN KODU]],YMKODLARI!$A$1:$K$379,6,0)," ")</f>
        <v xml:space="preserve"> </v>
      </c>
      <c r="S479" s="100" t="str">
        <f>IFERROR(Tablo519[[#This Row],[YOLLUK HARİÇ BASKI GRAMI]]/Tablo519[[#This Row],[KALIP GÖZ ADEDİ]]," ")</f>
        <v xml:space="preserve"> </v>
      </c>
      <c r="T479" s="100" t="str">
        <f t="shared" si="54"/>
        <v xml:space="preserve"> </v>
      </c>
      <c r="U479" s="100"/>
      <c r="V479" s="100" t="str">
        <f t="shared" si="52"/>
        <v xml:space="preserve"> </v>
      </c>
      <c r="W479" s="101">
        <f t="shared" si="55"/>
        <v>24</v>
      </c>
      <c r="X479" s="102">
        <f t="shared" si="56"/>
        <v>0</v>
      </c>
      <c r="Y479" s="100" t="str">
        <f t="shared" si="57"/>
        <v xml:space="preserve"> </v>
      </c>
      <c r="Z479" s="100" t="str">
        <f t="shared" si="58"/>
        <v xml:space="preserve"> </v>
      </c>
    </row>
    <row r="480" spans="1:26">
      <c r="A480" s="100"/>
      <c r="B480" s="108" t="str">
        <f>IFERROR(VLOOKUP(Tablo519[[#This Row],[ÜRÜN KODU]],YMKODLARI!$A$1:$K$379,2,0)," ")</f>
        <v xml:space="preserve"> </v>
      </c>
      <c r="C480" s="99"/>
      <c r="D480" s="100"/>
      <c r="E480" s="101"/>
      <c r="F480" s="101"/>
      <c r="G480" s="100" t="str">
        <f>IFERROR(VLOOKUP(Tablo519[[#This Row],[ÜRÜN KODU]],YMKODLARI!$A$1:$K$379,3,0)," ")</f>
        <v xml:space="preserve"> </v>
      </c>
      <c r="H480" s="100" t="str">
        <f>IFERROR(VLOOKUP(Tablo519[[#This Row],[ÜRÜN KODU]],YMKODLARI!$A$1:$K$379,4,0)," ")</f>
        <v xml:space="preserve"> </v>
      </c>
      <c r="I480" s="100"/>
      <c r="J480" s="100" t="str">
        <f>IFERROR(VLOOKUP(Tablo519[[#This Row],[ÜRÜN KODU]],YMKODLARI!$A$1:$K$379,9,0)," ")</f>
        <v xml:space="preserve"> </v>
      </c>
      <c r="K480" s="100" t="str">
        <f>IFERROR(VLOOKUP(Tablo519[[#This Row],[BOYA KODU]],Tablo14[#All],4,0)," ")</f>
        <v xml:space="preserve"> </v>
      </c>
      <c r="L480" s="100" t="str">
        <f>IFERROR(VLOOKUP(Tablo519[[#This Row],[BOYA KODU]],Tablo14[#All],6,0)," ")</f>
        <v xml:space="preserve"> </v>
      </c>
      <c r="M480" s="100" t="str">
        <f t="shared" si="53"/>
        <v xml:space="preserve"> </v>
      </c>
      <c r="N480" s="100" t="str">
        <f>IFERROR(VLOOKUP(Tablo519[[#This Row],[ÜRÜN KODU]],YMKODLARI!$A$1:$K$363,8,0)," ")</f>
        <v xml:space="preserve"> </v>
      </c>
      <c r="O480" s="100" t="str">
        <f>IFERROR(VLOOKUP(Tablo519[[#This Row],[HAMMADDE KODU]],Tablo1[#All],3,0)," ")</f>
        <v xml:space="preserve"> </v>
      </c>
      <c r="P480" s="100" t="str">
        <f>IFERROR(VLOOKUP(Tablo519[[#This Row],[HAMMADDE KODU]],Tablo1[#All],4,0)," ")</f>
        <v xml:space="preserve"> </v>
      </c>
      <c r="Q480" s="100" t="str">
        <f>IFERROR(VLOOKUP(Tablo519[[#This Row],[ÜRÜN KODU]],YMKODLARI!$A$1:$K$379,5,0)," ")</f>
        <v xml:space="preserve"> </v>
      </c>
      <c r="R480" s="100" t="str">
        <f>IFERROR(VLOOKUP(Tablo519[[#This Row],[ÜRÜN KODU]],YMKODLARI!$A$1:$K$379,6,0)," ")</f>
        <v xml:space="preserve"> </v>
      </c>
      <c r="S480" s="100" t="str">
        <f>IFERROR(Tablo519[[#This Row],[YOLLUK HARİÇ BASKI GRAMI]]/Tablo519[[#This Row],[KALIP GÖZ ADEDİ]]," ")</f>
        <v xml:space="preserve"> </v>
      </c>
      <c r="T480" s="100" t="str">
        <f t="shared" si="54"/>
        <v xml:space="preserve"> </v>
      </c>
      <c r="U480" s="100"/>
      <c r="V480" s="100" t="str">
        <f t="shared" si="52"/>
        <v xml:space="preserve"> </v>
      </c>
      <c r="W480" s="101">
        <f t="shared" si="55"/>
        <v>24</v>
      </c>
      <c r="X480" s="102">
        <f t="shared" si="56"/>
        <v>0</v>
      </c>
      <c r="Y480" s="100" t="str">
        <f t="shared" si="57"/>
        <v xml:space="preserve"> </v>
      </c>
      <c r="Z480" s="100" t="str">
        <f t="shared" si="58"/>
        <v xml:space="preserve"> </v>
      </c>
    </row>
    <row r="481" spans="1:26">
      <c r="A481" s="100"/>
      <c r="B481" s="108" t="str">
        <f>IFERROR(VLOOKUP(Tablo519[[#This Row],[ÜRÜN KODU]],YMKODLARI!$A$1:$K$379,2,0)," ")</f>
        <v xml:space="preserve"> </v>
      </c>
      <c r="C481" s="99"/>
      <c r="D481" s="100"/>
      <c r="E481" s="101"/>
      <c r="F481" s="101"/>
      <c r="G481" s="100" t="str">
        <f>IFERROR(VLOOKUP(Tablo519[[#This Row],[ÜRÜN KODU]],YMKODLARI!$A$1:$K$379,3,0)," ")</f>
        <v xml:space="preserve"> </v>
      </c>
      <c r="H481" s="100" t="str">
        <f>IFERROR(VLOOKUP(Tablo519[[#This Row],[ÜRÜN KODU]],YMKODLARI!$A$1:$K$379,4,0)," ")</f>
        <v xml:space="preserve"> </v>
      </c>
      <c r="I481" s="100"/>
      <c r="J481" s="100" t="str">
        <f>IFERROR(VLOOKUP(Tablo519[[#This Row],[ÜRÜN KODU]],YMKODLARI!$A$1:$K$379,9,0)," ")</f>
        <v xml:space="preserve"> </v>
      </c>
      <c r="K481" s="100" t="str">
        <f>IFERROR(VLOOKUP(Tablo519[[#This Row],[BOYA KODU]],Tablo14[#All],4,0)," ")</f>
        <v xml:space="preserve"> </v>
      </c>
      <c r="L481" s="100" t="str">
        <f>IFERROR(VLOOKUP(Tablo519[[#This Row],[BOYA KODU]],Tablo14[#All],6,0)," ")</f>
        <v xml:space="preserve"> </v>
      </c>
      <c r="M481" s="100" t="str">
        <f t="shared" si="53"/>
        <v xml:space="preserve"> </v>
      </c>
      <c r="N481" s="100" t="str">
        <f>IFERROR(VLOOKUP(Tablo519[[#This Row],[ÜRÜN KODU]],YMKODLARI!$A$1:$K$363,8,0)," ")</f>
        <v xml:space="preserve"> </v>
      </c>
      <c r="O481" s="100" t="str">
        <f>IFERROR(VLOOKUP(Tablo519[[#This Row],[HAMMADDE KODU]],Tablo1[#All],3,0)," ")</f>
        <v xml:space="preserve"> </v>
      </c>
      <c r="P481" s="100" t="str">
        <f>IFERROR(VLOOKUP(Tablo519[[#This Row],[HAMMADDE KODU]],Tablo1[#All],4,0)," ")</f>
        <v xml:space="preserve"> </v>
      </c>
      <c r="Q481" s="100" t="str">
        <f>IFERROR(VLOOKUP(Tablo519[[#This Row],[ÜRÜN KODU]],YMKODLARI!$A$1:$K$379,5,0)," ")</f>
        <v xml:space="preserve"> </v>
      </c>
      <c r="R481" s="100" t="str">
        <f>IFERROR(VLOOKUP(Tablo519[[#This Row],[ÜRÜN KODU]],YMKODLARI!$A$1:$K$379,6,0)," ")</f>
        <v xml:space="preserve"> </v>
      </c>
      <c r="S481" s="100" t="str">
        <f>IFERROR(Tablo519[[#This Row],[YOLLUK HARİÇ BASKI GRAMI]]/Tablo519[[#This Row],[KALIP GÖZ ADEDİ]]," ")</f>
        <v xml:space="preserve"> </v>
      </c>
      <c r="T481" s="100" t="str">
        <f t="shared" si="54"/>
        <v xml:space="preserve"> </v>
      </c>
      <c r="U481" s="100"/>
      <c r="V481" s="100" t="str">
        <f t="shared" si="52"/>
        <v xml:space="preserve"> </v>
      </c>
      <c r="W481" s="101">
        <f t="shared" si="55"/>
        <v>24</v>
      </c>
      <c r="X481" s="102">
        <f t="shared" si="56"/>
        <v>0</v>
      </c>
      <c r="Y481" s="100" t="str">
        <f t="shared" si="57"/>
        <v xml:space="preserve"> </v>
      </c>
      <c r="Z481" s="100" t="str">
        <f t="shared" si="58"/>
        <v xml:space="preserve"> </v>
      </c>
    </row>
    <row r="482" spans="1:26">
      <c r="A482" s="100"/>
      <c r="B482" s="108" t="str">
        <f>IFERROR(VLOOKUP(Tablo519[[#This Row],[ÜRÜN KODU]],YMKODLARI!$A$1:$K$379,2,0)," ")</f>
        <v xml:space="preserve"> </v>
      </c>
      <c r="C482" s="99"/>
      <c r="D482" s="100"/>
      <c r="E482" s="101"/>
      <c r="F482" s="101"/>
      <c r="G482" s="100" t="str">
        <f>IFERROR(VLOOKUP(Tablo519[[#This Row],[ÜRÜN KODU]],YMKODLARI!$A$1:$K$379,3,0)," ")</f>
        <v xml:space="preserve"> </v>
      </c>
      <c r="H482" s="100" t="str">
        <f>IFERROR(VLOOKUP(Tablo519[[#This Row],[ÜRÜN KODU]],YMKODLARI!$A$1:$K$379,4,0)," ")</f>
        <v xml:space="preserve"> </v>
      </c>
      <c r="I482" s="100"/>
      <c r="J482" s="100" t="str">
        <f>IFERROR(VLOOKUP(Tablo519[[#This Row],[ÜRÜN KODU]],YMKODLARI!$A$1:$K$379,9,0)," ")</f>
        <v xml:space="preserve"> </v>
      </c>
      <c r="K482" s="100" t="str">
        <f>IFERROR(VLOOKUP(Tablo519[[#This Row],[BOYA KODU]],Tablo14[#All],4,0)," ")</f>
        <v xml:space="preserve"> </v>
      </c>
      <c r="L482" s="100" t="str">
        <f>IFERROR(VLOOKUP(Tablo519[[#This Row],[BOYA KODU]],Tablo14[#All],6,0)," ")</f>
        <v xml:space="preserve"> </v>
      </c>
      <c r="M482" s="100" t="str">
        <f t="shared" si="53"/>
        <v xml:space="preserve"> </v>
      </c>
      <c r="N482" s="100" t="str">
        <f>IFERROR(VLOOKUP(Tablo519[[#This Row],[ÜRÜN KODU]],YMKODLARI!$A$1:$K$363,8,0)," ")</f>
        <v xml:space="preserve"> </v>
      </c>
      <c r="O482" s="100" t="str">
        <f>IFERROR(VLOOKUP(Tablo519[[#This Row],[HAMMADDE KODU]],Tablo1[#All],3,0)," ")</f>
        <v xml:space="preserve"> </v>
      </c>
      <c r="P482" s="100" t="str">
        <f>IFERROR(VLOOKUP(Tablo519[[#This Row],[HAMMADDE KODU]],Tablo1[#All],4,0)," ")</f>
        <v xml:space="preserve"> </v>
      </c>
      <c r="Q482" s="100" t="str">
        <f>IFERROR(VLOOKUP(Tablo519[[#This Row],[ÜRÜN KODU]],YMKODLARI!$A$1:$K$379,5,0)," ")</f>
        <v xml:space="preserve"> </v>
      </c>
      <c r="R482" s="100" t="str">
        <f>IFERROR(VLOOKUP(Tablo519[[#This Row],[ÜRÜN KODU]],YMKODLARI!$A$1:$K$379,6,0)," ")</f>
        <v xml:space="preserve"> </v>
      </c>
      <c r="S482" s="100" t="str">
        <f>IFERROR(Tablo519[[#This Row],[YOLLUK HARİÇ BASKI GRAMI]]/Tablo519[[#This Row],[KALIP GÖZ ADEDİ]]," ")</f>
        <v xml:space="preserve"> </v>
      </c>
      <c r="T482" s="100" t="str">
        <f t="shared" si="54"/>
        <v xml:space="preserve"> </v>
      </c>
      <c r="U482" s="100"/>
      <c r="V482" s="100" t="str">
        <f t="shared" si="52"/>
        <v xml:space="preserve"> </v>
      </c>
      <c r="W482" s="101">
        <f t="shared" si="55"/>
        <v>24</v>
      </c>
      <c r="X482" s="102">
        <f t="shared" si="56"/>
        <v>0</v>
      </c>
      <c r="Y482" s="100" t="str">
        <f t="shared" si="57"/>
        <v xml:space="preserve"> </v>
      </c>
      <c r="Z482" s="100" t="str">
        <f t="shared" si="58"/>
        <v xml:space="preserve"> </v>
      </c>
    </row>
    <row r="483" spans="1:26">
      <c r="A483" s="100"/>
      <c r="B483" s="108" t="str">
        <f>IFERROR(VLOOKUP(Tablo519[[#This Row],[ÜRÜN KODU]],YMKODLARI!$A$1:$K$379,2,0)," ")</f>
        <v xml:space="preserve"> </v>
      </c>
      <c r="C483" s="99"/>
      <c r="D483" s="100"/>
      <c r="E483" s="101"/>
      <c r="F483" s="101"/>
      <c r="G483" s="100" t="str">
        <f>IFERROR(VLOOKUP(Tablo519[[#This Row],[ÜRÜN KODU]],YMKODLARI!$A$1:$K$379,3,0)," ")</f>
        <v xml:space="preserve"> </v>
      </c>
      <c r="H483" s="100" t="str">
        <f>IFERROR(VLOOKUP(Tablo519[[#This Row],[ÜRÜN KODU]],YMKODLARI!$A$1:$K$379,4,0)," ")</f>
        <v xml:space="preserve"> </v>
      </c>
      <c r="I483" s="100"/>
      <c r="J483" s="100" t="str">
        <f>IFERROR(VLOOKUP(Tablo519[[#This Row],[ÜRÜN KODU]],YMKODLARI!$A$1:$K$379,9,0)," ")</f>
        <v xml:space="preserve"> </v>
      </c>
      <c r="K483" s="100" t="str">
        <f>IFERROR(VLOOKUP(Tablo519[[#This Row],[BOYA KODU]],Tablo14[#All],4,0)," ")</f>
        <v xml:space="preserve"> </v>
      </c>
      <c r="L483" s="100" t="str">
        <f>IFERROR(VLOOKUP(Tablo519[[#This Row],[BOYA KODU]],Tablo14[#All],6,0)," ")</f>
        <v xml:space="preserve"> </v>
      </c>
      <c r="M483" s="100" t="str">
        <f t="shared" si="53"/>
        <v xml:space="preserve"> </v>
      </c>
      <c r="N483" s="100" t="str">
        <f>IFERROR(VLOOKUP(Tablo519[[#This Row],[ÜRÜN KODU]],YMKODLARI!$A$1:$K$363,8,0)," ")</f>
        <v xml:space="preserve"> </v>
      </c>
      <c r="O483" s="100" t="str">
        <f>IFERROR(VLOOKUP(Tablo519[[#This Row],[HAMMADDE KODU]],Tablo1[#All],3,0)," ")</f>
        <v xml:space="preserve"> </v>
      </c>
      <c r="P483" s="100" t="str">
        <f>IFERROR(VLOOKUP(Tablo519[[#This Row],[HAMMADDE KODU]],Tablo1[#All],4,0)," ")</f>
        <v xml:space="preserve"> </v>
      </c>
      <c r="Q483" s="100" t="str">
        <f>IFERROR(VLOOKUP(Tablo519[[#This Row],[ÜRÜN KODU]],YMKODLARI!$A$1:$K$379,5,0)," ")</f>
        <v xml:space="preserve"> </v>
      </c>
      <c r="R483" s="100" t="str">
        <f>IFERROR(VLOOKUP(Tablo519[[#This Row],[ÜRÜN KODU]],YMKODLARI!$A$1:$K$379,6,0)," ")</f>
        <v xml:space="preserve"> </v>
      </c>
      <c r="S483" s="100" t="str">
        <f>IFERROR(Tablo519[[#This Row],[YOLLUK HARİÇ BASKI GRAMI]]/Tablo519[[#This Row],[KALIP GÖZ ADEDİ]]," ")</f>
        <v xml:space="preserve"> </v>
      </c>
      <c r="T483" s="100" t="str">
        <f t="shared" si="54"/>
        <v xml:space="preserve"> </v>
      </c>
      <c r="U483" s="100"/>
      <c r="V483" s="100" t="str">
        <f t="shared" si="52"/>
        <v xml:space="preserve"> </v>
      </c>
      <c r="W483" s="101">
        <f t="shared" si="55"/>
        <v>24</v>
      </c>
      <c r="X483" s="102">
        <f t="shared" si="56"/>
        <v>0</v>
      </c>
      <c r="Y483" s="100" t="str">
        <f t="shared" si="57"/>
        <v xml:space="preserve"> </v>
      </c>
      <c r="Z483" s="100" t="str">
        <f t="shared" si="58"/>
        <v xml:space="preserve"> </v>
      </c>
    </row>
    <row r="484" spans="1:26">
      <c r="A484" s="100"/>
      <c r="B484" s="108" t="str">
        <f>IFERROR(VLOOKUP(Tablo519[[#This Row],[ÜRÜN KODU]],YMKODLARI!$A$1:$K$379,2,0)," ")</f>
        <v xml:space="preserve"> </v>
      </c>
      <c r="C484" s="99"/>
      <c r="D484" s="100"/>
      <c r="E484" s="101"/>
      <c r="F484" s="101"/>
      <c r="G484" s="100" t="str">
        <f>IFERROR(VLOOKUP(Tablo519[[#This Row],[ÜRÜN KODU]],YMKODLARI!$A$1:$K$379,3,0)," ")</f>
        <v xml:space="preserve"> </v>
      </c>
      <c r="H484" s="100" t="str">
        <f>IFERROR(VLOOKUP(Tablo519[[#This Row],[ÜRÜN KODU]],YMKODLARI!$A$1:$K$379,4,0)," ")</f>
        <v xml:space="preserve"> </v>
      </c>
      <c r="I484" s="100"/>
      <c r="J484" s="100" t="str">
        <f>IFERROR(VLOOKUP(Tablo519[[#This Row],[ÜRÜN KODU]],YMKODLARI!$A$1:$K$379,9,0)," ")</f>
        <v xml:space="preserve"> </v>
      </c>
      <c r="K484" s="100" t="str">
        <f>IFERROR(VLOOKUP(Tablo519[[#This Row],[BOYA KODU]],Tablo14[#All],4,0)," ")</f>
        <v xml:space="preserve"> </v>
      </c>
      <c r="L484" s="100" t="str">
        <f>IFERROR(VLOOKUP(Tablo519[[#This Row],[BOYA KODU]],Tablo14[#All],6,0)," ")</f>
        <v xml:space="preserve"> </v>
      </c>
      <c r="M484" s="100" t="str">
        <f t="shared" si="53"/>
        <v xml:space="preserve"> </v>
      </c>
      <c r="N484" s="100" t="str">
        <f>IFERROR(VLOOKUP(Tablo519[[#This Row],[ÜRÜN KODU]],YMKODLARI!$A$1:$K$363,8,0)," ")</f>
        <v xml:space="preserve"> </v>
      </c>
      <c r="O484" s="100" t="str">
        <f>IFERROR(VLOOKUP(Tablo519[[#This Row],[HAMMADDE KODU]],Tablo1[#All],3,0)," ")</f>
        <v xml:space="preserve"> </v>
      </c>
      <c r="P484" s="100" t="str">
        <f>IFERROR(VLOOKUP(Tablo519[[#This Row],[HAMMADDE KODU]],Tablo1[#All],4,0)," ")</f>
        <v xml:space="preserve"> </v>
      </c>
      <c r="Q484" s="100" t="str">
        <f>IFERROR(VLOOKUP(Tablo519[[#This Row],[ÜRÜN KODU]],YMKODLARI!$A$1:$K$379,5,0)," ")</f>
        <v xml:space="preserve"> </v>
      </c>
      <c r="R484" s="100" t="str">
        <f>IFERROR(VLOOKUP(Tablo519[[#This Row],[ÜRÜN KODU]],YMKODLARI!$A$1:$K$379,6,0)," ")</f>
        <v xml:space="preserve"> </v>
      </c>
      <c r="S484" s="100" t="str">
        <f>IFERROR(Tablo519[[#This Row],[YOLLUK HARİÇ BASKI GRAMI]]/Tablo519[[#This Row],[KALIP GÖZ ADEDİ]]," ")</f>
        <v xml:space="preserve"> </v>
      </c>
      <c r="T484" s="100" t="str">
        <f t="shared" si="54"/>
        <v xml:space="preserve"> </v>
      </c>
      <c r="U484" s="100"/>
      <c r="V484" s="100" t="str">
        <f t="shared" si="52"/>
        <v xml:space="preserve"> </v>
      </c>
      <c r="W484" s="101">
        <f t="shared" si="55"/>
        <v>24</v>
      </c>
      <c r="X484" s="102">
        <f t="shared" si="56"/>
        <v>0</v>
      </c>
      <c r="Y484" s="100" t="str">
        <f t="shared" si="57"/>
        <v xml:space="preserve"> </v>
      </c>
      <c r="Z484" s="100" t="str">
        <f t="shared" si="58"/>
        <v xml:space="preserve"> </v>
      </c>
    </row>
    <row r="485" spans="1:26">
      <c r="A485" s="100"/>
      <c r="B485" s="108" t="str">
        <f>IFERROR(VLOOKUP(Tablo519[[#This Row],[ÜRÜN KODU]],YMKODLARI!$A$1:$K$379,2,0)," ")</f>
        <v xml:space="preserve"> </v>
      </c>
      <c r="C485" s="99"/>
      <c r="D485" s="100"/>
      <c r="E485" s="101"/>
      <c r="F485" s="101"/>
      <c r="G485" s="100" t="str">
        <f>IFERROR(VLOOKUP(Tablo519[[#This Row],[ÜRÜN KODU]],YMKODLARI!$A$1:$K$379,3,0)," ")</f>
        <v xml:space="preserve"> </v>
      </c>
      <c r="H485" s="100" t="str">
        <f>IFERROR(VLOOKUP(Tablo519[[#This Row],[ÜRÜN KODU]],YMKODLARI!$A$1:$K$379,4,0)," ")</f>
        <v xml:space="preserve"> </v>
      </c>
      <c r="I485" s="100"/>
      <c r="J485" s="100" t="str">
        <f>IFERROR(VLOOKUP(Tablo519[[#This Row],[ÜRÜN KODU]],YMKODLARI!$A$1:$K$379,9,0)," ")</f>
        <v xml:space="preserve"> </v>
      </c>
      <c r="K485" s="100" t="str">
        <f>IFERROR(VLOOKUP(Tablo519[[#This Row],[BOYA KODU]],Tablo14[#All],4,0)," ")</f>
        <v xml:space="preserve"> </v>
      </c>
      <c r="L485" s="100" t="str">
        <f>IFERROR(VLOOKUP(Tablo519[[#This Row],[BOYA KODU]],Tablo14[#All],6,0)," ")</f>
        <v xml:space="preserve"> </v>
      </c>
      <c r="M485" s="100" t="str">
        <f t="shared" si="53"/>
        <v xml:space="preserve"> </v>
      </c>
      <c r="N485" s="100" t="str">
        <f>IFERROR(VLOOKUP(Tablo519[[#This Row],[ÜRÜN KODU]],YMKODLARI!$A$1:$K$363,8,0)," ")</f>
        <v xml:space="preserve"> </v>
      </c>
      <c r="O485" s="100" t="str">
        <f>IFERROR(VLOOKUP(Tablo519[[#This Row],[HAMMADDE KODU]],Tablo1[#All],3,0)," ")</f>
        <v xml:space="preserve"> </v>
      </c>
      <c r="P485" s="100" t="str">
        <f>IFERROR(VLOOKUP(Tablo519[[#This Row],[HAMMADDE KODU]],Tablo1[#All],4,0)," ")</f>
        <v xml:space="preserve"> </v>
      </c>
      <c r="Q485" s="100" t="str">
        <f>IFERROR(VLOOKUP(Tablo519[[#This Row],[ÜRÜN KODU]],YMKODLARI!$A$1:$K$379,5,0)," ")</f>
        <v xml:space="preserve"> </v>
      </c>
      <c r="R485" s="100" t="str">
        <f>IFERROR(VLOOKUP(Tablo519[[#This Row],[ÜRÜN KODU]],YMKODLARI!$A$1:$K$379,6,0)," ")</f>
        <v xml:space="preserve"> </v>
      </c>
      <c r="S485" s="100" t="str">
        <f>IFERROR(Tablo519[[#This Row],[YOLLUK HARİÇ BASKI GRAMI]]/Tablo519[[#This Row],[KALIP GÖZ ADEDİ]]," ")</f>
        <v xml:space="preserve"> </v>
      </c>
      <c r="T485" s="100" t="str">
        <f t="shared" si="54"/>
        <v xml:space="preserve"> </v>
      </c>
      <c r="U485" s="100"/>
      <c r="V485" s="100" t="str">
        <f t="shared" si="52"/>
        <v xml:space="preserve"> </v>
      </c>
      <c r="W485" s="101">
        <f t="shared" si="55"/>
        <v>24</v>
      </c>
      <c r="X485" s="102">
        <f t="shared" si="56"/>
        <v>0</v>
      </c>
      <c r="Y485" s="100" t="str">
        <f t="shared" si="57"/>
        <v xml:space="preserve"> </v>
      </c>
      <c r="Z485" s="100" t="str">
        <f t="shared" si="58"/>
        <v xml:space="preserve"> </v>
      </c>
    </row>
    <row r="486" spans="1:26">
      <c r="A486" s="100"/>
      <c r="B486" s="108" t="str">
        <f>IFERROR(VLOOKUP(Tablo519[[#This Row],[ÜRÜN KODU]],YMKODLARI!$A$1:$K$379,2,0)," ")</f>
        <v xml:space="preserve"> </v>
      </c>
      <c r="C486" s="99"/>
      <c r="D486" s="100"/>
      <c r="E486" s="101"/>
      <c r="F486" s="101"/>
      <c r="G486" s="100" t="str">
        <f>IFERROR(VLOOKUP(Tablo519[[#This Row],[ÜRÜN KODU]],YMKODLARI!$A$1:$K$379,3,0)," ")</f>
        <v xml:space="preserve"> </v>
      </c>
      <c r="H486" s="100" t="str">
        <f>IFERROR(VLOOKUP(Tablo519[[#This Row],[ÜRÜN KODU]],YMKODLARI!$A$1:$K$379,4,0)," ")</f>
        <v xml:space="preserve"> </v>
      </c>
      <c r="I486" s="100"/>
      <c r="J486" s="100" t="str">
        <f>IFERROR(VLOOKUP(Tablo519[[#This Row],[ÜRÜN KODU]],YMKODLARI!$A$1:$K$379,9,0)," ")</f>
        <v xml:space="preserve"> </v>
      </c>
      <c r="K486" s="100" t="str">
        <f>IFERROR(VLOOKUP(Tablo519[[#This Row],[BOYA KODU]],Tablo14[#All],4,0)," ")</f>
        <v xml:space="preserve"> </v>
      </c>
      <c r="L486" s="100" t="str">
        <f>IFERROR(VLOOKUP(Tablo519[[#This Row],[BOYA KODU]],Tablo14[#All],6,0)," ")</f>
        <v xml:space="preserve"> </v>
      </c>
      <c r="M486" s="100" t="str">
        <f t="shared" si="53"/>
        <v xml:space="preserve"> </v>
      </c>
      <c r="N486" s="100" t="str">
        <f>IFERROR(VLOOKUP(Tablo519[[#This Row],[ÜRÜN KODU]],YMKODLARI!$A$1:$K$363,8,0)," ")</f>
        <v xml:space="preserve"> </v>
      </c>
      <c r="O486" s="100" t="str">
        <f>IFERROR(VLOOKUP(Tablo519[[#This Row],[HAMMADDE KODU]],Tablo1[#All],3,0)," ")</f>
        <v xml:space="preserve"> </v>
      </c>
      <c r="P486" s="100" t="str">
        <f>IFERROR(VLOOKUP(Tablo519[[#This Row],[HAMMADDE KODU]],Tablo1[#All],4,0)," ")</f>
        <v xml:space="preserve"> </v>
      </c>
      <c r="Q486" s="100" t="str">
        <f>IFERROR(VLOOKUP(Tablo519[[#This Row],[ÜRÜN KODU]],YMKODLARI!$A$1:$K$379,5,0)," ")</f>
        <v xml:space="preserve"> </v>
      </c>
      <c r="R486" s="100" t="str">
        <f>IFERROR(VLOOKUP(Tablo519[[#This Row],[ÜRÜN KODU]],YMKODLARI!$A$1:$K$379,6,0)," ")</f>
        <v xml:space="preserve"> </v>
      </c>
      <c r="S486" s="100" t="str">
        <f>IFERROR(Tablo519[[#This Row],[YOLLUK HARİÇ BASKI GRAMI]]/Tablo519[[#This Row],[KALIP GÖZ ADEDİ]]," ")</f>
        <v xml:space="preserve"> </v>
      </c>
      <c r="T486" s="100" t="str">
        <f t="shared" si="54"/>
        <v xml:space="preserve"> </v>
      </c>
      <c r="U486" s="100"/>
      <c r="V486" s="100" t="str">
        <f t="shared" si="52"/>
        <v xml:space="preserve"> </v>
      </c>
      <c r="W486" s="101">
        <f t="shared" si="55"/>
        <v>24</v>
      </c>
      <c r="X486" s="102">
        <f t="shared" si="56"/>
        <v>0</v>
      </c>
      <c r="Y486" s="100" t="str">
        <f t="shared" si="57"/>
        <v xml:space="preserve"> </v>
      </c>
      <c r="Z486" s="100" t="str">
        <f t="shared" si="58"/>
        <v xml:space="preserve"> </v>
      </c>
    </row>
    <row r="487" spans="1:26">
      <c r="A487" s="100"/>
      <c r="B487" s="108" t="str">
        <f>IFERROR(VLOOKUP(Tablo519[[#This Row],[ÜRÜN KODU]],YMKODLARI!$A$1:$K$379,2,0)," ")</f>
        <v xml:space="preserve"> </v>
      </c>
      <c r="C487" s="99"/>
      <c r="D487" s="100"/>
      <c r="E487" s="101"/>
      <c r="F487" s="101"/>
      <c r="G487" s="100" t="str">
        <f>IFERROR(VLOOKUP(Tablo519[[#This Row],[ÜRÜN KODU]],YMKODLARI!$A$1:$K$379,3,0)," ")</f>
        <v xml:space="preserve"> </v>
      </c>
      <c r="H487" s="100" t="str">
        <f>IFERROR(VLOOKUP(Tablo519[[#This Row],[ÜRÜN KODU]],YMKODLARI!$A$1:$K$379,4,0)," ")</f>
        <v xml:space="preserve"> </v>
      </c>
      <c r="I487" s="100"/>
      <c r="J487" s="100" t="str">
        <f>IFERROR(VLOOKUP(Tablo519[[#This Row],[ÜRÜN KODU]],YMKODLARI!$A$1:$K$379,9,0)," ")</f>
        <v xml:space="preserve"> </v>
      </c>
      <c r="K487" s="100" t="str">
        <f>IFERROR(VLOOKUP(Tablo519[[#This Row],[BOYA KODU]],Tablo14[#All],4,0)," ")</f>
        <v xml:space="preserve"> </v>
      </c>
      <c r="L487" s="100" t="str">
        <f>IFERROR(VLOOKUP(Tablo519[[#This Row],[BOYA KODU]],Tablo14[#All],6,0)," ")</f>
        <v xml:space="preserve"> </v>
      </c>
      <c r="M487" s="100" t="str">
        <f t="shared" si="53"/>
        <v xml:space="preserve"> </v>
      </c>
      <c r="N487" s="100" t="str">
        <f>IFERROR(VLOOKUP(Tablo519[[#This Row],[ÜRÜN KODU]],YMKODLARI!$A$1:$K$363,8,0)," ")</f>
        <v xml:space="preserve"> </v>
      </c>
      <c r="O487" s="100" t="str">
        <f>IFERROR(VLOOKUP(Tablo519[[#This Row],[HAMMADDE KODU]],Tablo1[#All],3,0)," ")</f>
        <v xml:space="preserve"> </v>
      </c>
      <c r="P487" s="100" t="str">
        <f>IFERROR(VLOOKUP(Tablo519[[#This Row],[HAMMADDE KODU]],Tablo1[#All],4,0)," ")</f>
        <v xml:space="preserve"> </v>
      </c>
      <c r="Q487" s="100" t="str">
        <f>IFERROR(VLOOKUP(Tablo519[[#This Row],[ÜRÜN KODU]],YMKODLARI!$A$1:$K$379,5,0)," ")</f>
        <v xml:space="preserve"> </v>
      </c>
      <c r="R487" s="100" t="str">
        <f>IFERROR(VLOOKUP(Tablo519[[#This Row],[ÜRÜN KODU]],YMKODLARI!$A$1:$K$379,6,0)," ")</f>
        <v xml:space="preserve"> </v>
      </c>
      <c r="S487" s="100" t="str">
        <f>IFERROR(Tablo519[[#This Row],[YOLLUK HARİÇ BASKI GRAMI]]/Tablo519[[#This Row],[KALIP GÖZ ADEDİ]]," ")</f>
        <v xml:space="preserve"> </v>
      </c>
      <c r="T487" s="100" t="str">
        <f t="shared" si="54"/>
        <v xml:space="preserve"> </v>
      </c>
      <c r="U487" s="100"/>
      <c r="V487" s="100" t="str">
        <f t="shared" si="52"/>
        <v xml:space="preserve"> </v>
      </c>
      <c r="W487" s="101">
        <f t="shared" si="55"/>
        <v>24</v>
      </c>
      <c r="X487" s="102">
        <f t="shared" si="56"/>
        <v>0</v>
      </c>
      <c r="Y487" s="100" t="str">
        <f t="shared" si="57"/>
        <v xml:space="preserve"> </v>
      </c>
      <c r="Z487" s="100" t="str">
        <f t="shared" si="58"/>
        <v xml:space="preserve"> </v>
      </c>
    </row>
    <row r="488" spans="1:26">
      <c r="A488" s="100"/>
      <c r="B488" s="108" t="str">
        <f>IFERROR(VLOOKUP(Tablo519[[#This Row],[ÜRÜN KODU]],YMKODLARI!$A$1:$K$379,2,0)," ")</f>
        <v xml:space="preserve"> </v>
      </c>
      <c r="C488" s="99"/>
      <c r="D488" s="100"/>
      <c r="E488" s="101"/>
      <c r="F488" s="101"/>
      <c r="G488" s="100" t="str">
        <f>IFERROR(VLOOKUP(Tablo519[[#This Row],[ÜRÜN KODU]],YMKODLARI!$A$1:$K$379,3,0)," ")</f>
        <v xml:space="preserve"> </v>
      </c>
      <c r="H488" s="100" t="str">
        <f>IFERROR(VLOOKUP(Tablo519[[#This Row],[ÜRÜN KODU]],YMKODLARI!$A$1:$K$379,4,0)," ")</f>
        <v xml:space="preserve"> </v>
      </c>
      <c r="I488" s="100"/>
      <c r="J488" s="100" t="str">
        <f>IFERROR(VLOOKUP(Tablo519[[#This Row],[ÜRÜN KODU]],YMKODLARI!$A$1:$K$379,9,0)," ")</f>
        <v xml:space="preserve"> </v>
      </c>
      <c r="K488" s="100" t="str">
        <f>IFERROR(VLOOKUP(Tablo519[[#This Row],[BOYA KODU]],Tablo14[#All],4,0)," ")</f>
        <v xml:space="preserve"> </v>
      </c>
      <c r="L488" s="100" t="str">
        <f>IFERROR(VLOOKUP(Tablo519[[#This Row],[BOYA KODU]],Tablo14[#All],6,0)," ")</f>
        <v xml:space="preserve"> </v>
      </c>
      <c r="M488" s="100" t="str">
        <f t="shared" si="53"/>
        <v xml:space="preserve"> </v>
      </c>
      <c r="N488" s="100" t="str">
        <f>IFERROR(VLOOKUP(Tablo519[[#This Row],[ÜRÜN KODU]],YMKODLARI!$A$1:$K$363,8,0)," ")</f>
        <v xml:space="preserve"> </v>
      </c>
      <c r="O488" s="100" t="str">
        <f>IFERROR(VLOOKUP(Tablo519[[#This Row],[HAMMADDE KODU]],Tablo1[#All],3,0)," ")</f>
        <v xml:space="preserve"> </v>
      </c>
      <c r="P488" s="100" t="str">
        <f>IFERROR(VLOOKUP(Tablo519[[#This Row],[HAMMADDE KODU]],Tablo1[#All],4,0)," ")</f>
        <v xml:space="preserve"> </v>
      </c>
      <c r="Q488" s="100" t="str">
        <f>IFERROR(VLOOKUP(Tablo519[[#This Row],[ÜRÜN KODU]],YMKODLARI!$A$1:$K$379,5,0)," ")</f>
        <v xml:space="preserve"> </v>
      </c>
      <c r="R488" s="100" t="str">
        <f>IFERROR(VLOOKUP(Tablo519[[#This Row],[ÜRÜN KODU]],YMKODLARI!$A$1:$K$379,6,0)," ")</f>
        <v xml:space="preserve"> </v>
      </c>
      <c r="S488" s="100" t="str">
        <f>IFERROR(Tablo519[[#This Row],[YOLLUK HARİÇ BASKI GRAMI]]/Tablo519[[#This Row],[KALIP GÖZ ADEDİ]]," ")</f>
        <v xml:space="preserve"> </v>
      </c>
      <c r="T488" s="100" t="str">
        <f t="shared" si="54"/>
        <v xml:space="preserve"> </v>
      </c>
      <c r="U488" s="100"/>
      <c r="V488" s="100" t="str">
        <f t="shared" si="52"/>
        <v xml:space="preserve"> </v>
      </c>
      <c r="W488" s="101">
        <f t="shared" si="55"/>
        <v>24</v>
      </c>
      <c r="X488" s="102">
        <f t="shared" si="56"/>
        <v>0</v>
      </c>
      <c r="Y488" s="100" t="str">
        <f t="shared" si="57"/>
        <v xml:space="preserve"> </v>
      </c>
      <c r="Z488" s="100" t="str">
        <f t="shared" si="58"/>
        <v xml:space="preserve"> </v>
      </c>
    </row>
    <row r="489" spans="1:26">
      <c r="A489" s="100"/>
      <c r="B489" s="108" t="str">
        <f>IFERROR(VLOOKUP(Tablo519[[#This Row],[ÜRÜN KODU]],YMKODLARI!$A$1:$K$379,2,0)," ")</f>
        <v xml:space="preserve"> </v>
      </c>
      <c r="C489" s="99"/>
      <c r="D489" s="100"/>
      <c r="E489" s="101"/>
      <c r="F489" s="101"/>
      <c r="G489" s="100" t="str">
        <f>IFERROR(VLOOKUP(Tablo519[[#This Row],[ÜRÜN KODU]],YMKODLARI!$A$1:$K$379,3,0)," ")</f>
        <v xml:space="preserve"> </v>
      </c>
      <c r="H489" s="100" t="str">
        <f>IFERROR(VLOOKUP(Tablo519[[#This Row],[ÜRÜN KODU]],YMKODLARI!$A$1:$K$379,4,0)," ")</f>
        <v xml:space="preserve"> </v>
      </c>
      <c r="I489" s="100"/>
      <c r="J489" s="100" t="str">
        <f>IFERROR(VLOOKUP(Tablo519[[#This Row],[ÜRÜN KODU]],YMKODLARI!$A$1:$K$379,9,0)," ")</f>
        <v xml:space="preserve"> </v>
      </c>
      <c r="K489" s="100" t="str">
        <f>IFERROR(VLOOKUP(Tablo519[[#This Row],[BOYA KODU]],Tablo14[#All],4,0)," ")</f>
        <v xml:space="preserve"> </v>
      </c>
      <c r="L489" s="100" t="str">
        <f>IFERROR(VLOOKUP(Tablo519[[#This Row],[BOYA KODU]],Tablo14[#All],6,0)," ")</f>
        <v xml:space="preserve"> </v>
      </c>
      <c r="M489" s="100" t="str">
        <f t="shared" si="53"/>
        <v xml:space="preserve"> </v>
      </c>
      <c r="N489" s="100" t="str">
        <f>IFERROR(VLOOKUP(Tablo519[[#This Row],[ÜRÜN KODU]],YMKODLARI!$A$1:$K$363,8,0)," ")</f>
        <v xml:space="preserve"> </v>
      </c>
      <c r="O489" s="100" t="str">
        <f>IFERROR(VLOOKUP(Tablo519[[#This Row],[HAMMADDE KODU]],Tablo1[#All],3,0)," ")</f>
        <v xml:space="preserve"> </v>
      </c>
      <c r="P489" s="100" t="str">
        <f>IFERROR(VLOOKUP(Tablo519[[#This Row],[HAMMADDE KODU]],Tablo1[#All],4,0)," ")</f>
        <v xml:space="preserve"> </v>
      </c>
      <c r="Q489" s="100" t="str">
        <f>IFERROR(VLOOKUP(Tablo519[[#This Row],[ÜRÜN KODU]],YMKODLARI!$A$1:$K$379,5,0)," ")</f>
        <v xml:space="preserve"> </v>
      </c>
      <c r="R489" s="100" t="str">
        <f>IFERROR(VLOOKUP(Tablo519[[#This Row],[ÜRÜN KODU]],YMKODLARI!$A$1:$K$379,6,0)," ")</f>
        <v xml:space="preserve"> </v>
      </c>
      <c r="S489" s="100" t="str">
        <f>IFERROR(Tablo519[[#This Row],[YOLLUK HARİÇ BASKI GRAMI]]/Tablo519[[#This Row],[KALIP GÖZ ADEDİ]]," ")</f>
        <v xml:space="preserve"> </v>
      </c>
      <c r="T489" s="100" t="str">
        <f t="shared" si="54"/>
        <v xml:space="preserve"> </v>
      </c>
      <c r="U489" s="100"/>
      <c r="V489" s="100" t="str">
        <f t="shared" ref="V489:V552" si="59">IFERROR(U489+(R489*I489) /1000," ")</f>
        <v xml:space="preserve"> </v>
      </c>
      <c r="W489" s="101">
        <f t="shared" si="55"/>
        <v>24</v>
      </c>
      <c r="X489" s="102">
        <f t="shared" si="56"/>
        <v>0</v>
      </c>
      <c r="Y489" s="100" t="str">
        <f t="shared" si="57"/>
        <v xml:space="preserve"> </v>
      </c>
      <c r="Z489" s="100" t="str">
        <f t="shared" si="58"/>
        <v xml:space="preserve"> </v>
      </c>
    </row>
    <row r="490" spans="1:26">
      <c r="A490" s="100"/>
      <c r="B490" s="108" t="str">
        <f>IFERROR(VLOOKUP(Tablo519[[#This Row],[ÜRÜN KODU]],YMKODLARI!$A$1:$K$379,2,0)," ")</f>
        <v xml:space="preserve"> </v>
      </c>
      <c r="C490" s="99"/>
      <c r="D490" s="100"/>
      <c r="E490" s="101"/>
      <c r="F490" s="101"/>
      <c r="G490" s="100" t="str">
        <f>IFERROR(VLOOKUP(Tablo519[[#This Row],[ÜRÜN KODU]],YMKODLARI!$A$1:$K$379,3,0)," ")</f>
        <v xml:space="preserve"> </v>
      </c>
      <c r="H490" s="100" t="str">
        <f>IFERROR(VLOOKUP(Tablo519[[#This Row],[ÜRÜN KODU]],YMKODLARI!$A$1:$K$379,4,0)," ")</f>
        <v xml:space="preserve"> </v>
      </c>
      <c r="I490" s="100"/>
      <c r="J490" s="100" t="str">
        <f>IFERROR(VLOOKUP(Tablo519[[#This Row],[ÜRÜN KODU]],YMKODLARI!$A$1:$K$379,9,0)," ")</f>
        <v xml:space="preserve"> </v>
      </c>
      <c r="K490" s="100" t="str">
        <f>IFERROR(VLOOKUP(Tablo519[[#This Row],[BOYA KODU]],Tablo14[#All],4,0)," ")</f>
        <v xml:space="preserve"> </v>
      </c>
      <c r="L490" s="100" t="str">
        <f>IFERROR(VLOOKUP(Tablo519[[#This Row],[BOYA KODU]],Tablo14[#All],6,0)," ")</f>
        <v xml:space="preserve"> </v>
      </c>
      <c r="M490" s="100" t="str">
        <f t="shared" si="53"/>
        <v xml:space="preserve"> </v>
      </c>
      <c r="N490" s="100" t="str">
        <f>IFERROR(VLOOKUP(Tablo519[[#This Row],[ÜRÜN KODU]],YMKODLARI!$A$1:$K$363,8,0)," ")</f>
        <v xml:space="preserve"> </v>
      </c>
      <c r="O490" s="100" t="str">
        <f>IFERROR(VLOOKUP(Tablo519[[#This Row],[HAMMADDE KODU]],Tablo1[#All],3,0)," ")</f>
        <v xml:space="preserve"> </v>
      </c>
      <c r="P490" s="100" t="str">
        <f>IFERROR(VLOOKUP(Tablo519[[#This Row],[HAMMADDE KODU]],Tablo1[#All],4,0)," ")</f>
        <v xml:space="preserve"> </v>
      </c>
      <c r="Q490" s="100" t="str">
        <f>IFERROR(VLOOKUP(Tablo519[[#This Row],[ÜRÜN KODU]],YMKODLARI!$A$1:$K$379,5,0)," ")</f>
        <v xml:space="preserve"> </v>
      </c>
      <c r="R490" s="100" t="str">
        <f>IFERROR(VLOOKUP(Tablo519[[#This Row],[ÜRÜN KODU]],YMKODLARI!$A$1:$K$379,6,0)," ")</f>
        <v xml:space="preserve"> </v>
      </c>
      <c r="S490" s="100" t="str">
        <f>IFERROR(Tablo519[[#This Row],[YOLLUK HARİÇ BASKI GRAMI]]/Tablo519[[#This Row],[KALIP GÖZ ADEDİ]]," ")</f>
        <v xml:space="preserve"> </v>
      </c>
      <c r="T490" s="100" t="str">
        <f t="shared" si="54"/>
        <v xml:space="preserve"> </v>
      </c>
      <c r="U490" s="100"/>
      <c r="V490" s="100" t="str">
        <f t="shared" si="59"/>
        <v xml:space="preserve"> </v>
      </c>
      <c r="W490" s="101">
        <f t="shared" si="55"/>
        <v>24</v>
      </c>
      <c r="X490" s="102">
        <f t="shared" si="56"/>
        <v>0</v>
      </c>
      <c r="Y490" s="100" t="str">
        <f t="shared" si="57"/>
        <v xml:space="preserve"> </v>
      </c>
      <c r="Z490" s="100" t="str">
        <f t="shared" si="58"/>
        <v xml:space="preserve"> </v>
      </c>
    </row>
    <row r="491" spans="1:26">
      <c r="A491" s="100"/>
      <c r="B491" s="108" t="str">
        <f>IFERROR(VLOOKUP(Tablo519[[#This Row],[ÜRÜN KODU]],YMKODLARI!$A$1:$K$379,2,0)," ")</f>
        <v xml:space="preserve"> </v>
      </c>
      <c r="C491" s="99"/>
      <c r="D491" s="100"/>
      <c r="E491" s="101"/>
      <c r="F491" s="101"/>
      <c r="G491" s="100" t="str">
        <f>IFERROR(VLOOKUP(Tablo519[[#This Row],[ÜRÜN KODU]],YMKODLARI!$A$1:$K$379,3,0)," ")</f>
        <v xml:space="preserve"> </v>
      </c>
      <c r="H491" s="100" t="str">
        <f>IFERROR(VLOOKUP(Tablo519[[#This Row],[ÜRÜN KODU]],YMKODLARI!$A$1:$K$379,4,0)," ")</f>
        <v xml:space="preserve"> </v>
      </c>
      <c r="I491" s="100"/>
      <c r="J491" s="100" t="str">
        <f>IFERROR(VLOOKUP(Tablo519[[#This Row],[ÜRÜN KODU]],YMKODLARI!$A$1:$K$379,9,0)," ")</f>
        <v xml:space="preserve"> </v>
      </c>
      <c r="K491" s="100" t="str">
        <f>IFERROR(VLOOKUP(Tablo519[[#This Row],[BOYA KODU]],Tablo14[#All],4,0)," ")</f>
        <v xml:space="preserve"> </v>
      </c>
      <c r="L491" s="100" t="str">
        <f>IFERROR(VLOOKUP(Tablo519[[#This Row],[BOYA KODU]],Tablo14[#All],6,0)," ")</f>
        <v xml:space="preserve"> </v>
      </c>
      <c r="M491" s="100" t="str">
        <f t="shared" si="53"/>
        <v xml:space="preserve"> </v>
      </c>
      <c r="N491" s="100" t="str">
        <f>IFERROR(VLOOKUP(Tablo519[[#This Row],[ÜRÜN KODU]],YMKODLARI!$A$1:$K$363,8,0)," ")</f>
        <v xml:space="preserve"> </v>
      </c>
      <c r="O491" s="100" t="str">
        <f>IFERROR(VLOOKUP(Tablo519[[#This Row],[HAMMADDE KODU]],Tablo1[#All],3,0)," ")</f>
        <v xml:space="preserve"> </v>
      </c>
      <c r="P491" s="100" t="str">
        <f>IFERROR(VLOOKUP(Tablo519[[#This Row],[HAMMADDE KODU]],Tablo1[#All],4,0)," ")</f>
        <v xml:space="preserve"> </v>
      </c>
      <c r="Q491" s="100" t="str">
        <f>IFERROR(VLOOKUP(Tablo519[[#This Row],[ÜRÜN KODU]],YMKODLARI!$A$1:$K$379,5,0)," ")</f>
        <v xml:space="preserve"> </v>
      </c>
      <c r="R491" s="100" t="str">
        <f>IFERROR(VLOOKUP(Tablo519[[#This Row],[ÜRÜN KODU]],YMKODLARI!$A$1:$K$379,6,0)," ")</f>
        <v xml:space="preserve"> </v>
      </c>
      <c r="S491" s="100" t="str">
        <f>IFERROR(Tablo519[[#This Row],[YOLLUK HARİÇ BASKI GRAMI]]/Tablo519[[#This Row],[KALIP GÖZ ADEDİ]]," ")</f>
        <v xml:space="preserve"> </v>
      </c>
      <c r="T491" s="100" t="str">
        <f t="shared" si="54"/>
        <v xml:space="preserve"> </v>
      </c>
      <c r="U491" s="100"/>
      <c r="V491" s="100" t="str">
        <f t="shared" si="59"/>
        <v xml:space="preserve"> </v>
      </c>
      <c r="W491" s="101">
        <f t="shared" si="55"/>
        <v>24</v>
      </c>
      <c r="X491" s="102">
        <f t="shared" si="56"/>
        <v>0</v>
      </c>
      <c r="Y491" s="100" t="str">
        <f t="shared" si="57"/>
        <v xml:space="preserve"> </v>
      </c>
      <c r="Z491" s="100" t="str">
        <f t="shared" si="58"/>
        <v xml:space="preserve"> </v>
      </c>
    </row>
    <row r="492" spans="1:26">
      <c r="A492" s="100"/>
      <c r="B492" s="108" t="str">
        <f>IFERROR(VLOOKUP(Tablo519[[#This Row],[ÜRÜN KODU]],YMKODLARI!$A$1:$K$379,2,0)," ")</f>
        <v xml:space="preserve"> </v>
      </c>
      <c r="C492" s="99"/>
      <c r="D492" s="100"/>
      <c r="E492" s="101"/>
      <c r="F492" s="101"/>
      <c r="G492" s="100" t="str">
        <f>IFERROR(VLOOKUP(Tablo519[[#This Row],[ÜRÜN KODU]],YMKODLARI!$A$1:$K$379,3,0)," ")</f>
        <v xml:space="preserve"> </v>
      </c>
      <c r="H492" s="100" t="str">
        <f>IFERROR(VLOOKUP(Tablo519[[#This Row],[ÜRÜN KODU]],YMKODLARI!$A$1:$K$379,4,0)," ")</f>
        <v xml:space="preserve"> </v>
      </c>
      <c r="I492" s="100"/>
      <c r="J492" s="100" t="str">
        <f>IFERROR(VLOOKUP(Tablo519[[#This Row],[ÜRÜN KODU]],YMKODLARI!$A$1:$K$379,9,0)," ")</f>
        <v xml:space="preserve"> </v>
      </c>
      <c r="K492" s="100" t="str">
        <f>IFERROR(VLOOKUP(Tablo519[[#This Row],[BOYA KODU]],Tablo14[#All],4,0)," ")</f>
        <v xml:space="preserve"> </v>
      </c>
      <c r="L492" s="100" t="str">
        <f>IFERROR(VLOOKUP(Tablo519[[#This Row],[BOYA KODU]],Tablo14[#All],6,0)," ")</f>
        <v xml:space="preserve"> </v>
      </c>
      <c r="M492" s="100" t="str">
        <f t="shared" si="53"/>
        <v xml:space="preserve"> </v>
      </c>
      <c r="N492" s="100" t="str">
        <f>IFERROR(VLOOKUP(Tablo519[[#This Row],[ÜRÜN KODU]],YMKODLARI!$A$1:$K$363,8,0)," ")</f>
        <v xml:space="preserve"> </v>
      </c>
      <c r="O492" s="100" t="str">
        <f>IFERROR(VLOOKUP(Tablo519[[#This Row],[HAMMADDE KODU]],Tablo1[#All],3,0)," ")</f>
        <v xml:space="preserve"> </v>
      </c>
      <c r="P492" s="100" t="str">
        <f>IFERROR(VLOOKUP(Tablo519[[#This Row],[HAMMADDE KODU]],Tablo1[#All],4,0)," ")</f>
        <v xml:space="preserve"> </v>
      </c>
      <c r="Q492" s="100" t="str">
        <f>IFERROR(VLOOKUP(Tablo519[[#This Row],[ÜRÜN KODU]],YMKODLARI!$A$1:$K$379,5,0)," ")</f>
        <v xml:space="preserve"> </v>
      </c>
      <c r="R492" s="100" t="str">
        <f>IFERROR(VLOOKUP(Tablo519[[#This Row],[ÜRÜN KODU]],YMKODLARI!$A$1:$K$379,6,0)," ")</f>
        <v xml:space="preserve"> </v>
      </c>
      <c r="S492" s="100" t="str">
        <f>IFERROR(Tablo519[[#This Row],[YOLLUK HARİÇ BASKI GRAMI]]/Tablo519[[#This Row],[KALIP GÖZ ADEDİ]]," ")</f>
        <v xml:space="preserve"> </v>
      </c>
      <c r="T492" s="100" t="str">
        <f t="shared" si="54"/>
        <v xml:space="preserve"> </v>
      </c>
      <c r="U492" s="100"/>
      <c r="V492" s="100" t="str">
        <f t="shared" si="59"/>
        <v xml:space="preserve"> </v>
      </c>
      <c r="W492" s="101">
        <f t="shared" si="55"/>
        <v>24</v>
      </c>
      <c r="X492" s="102">
        <f t="shared" si="56"/>
        <v>0</v>
      </c>
      <c r="Y492" s="100" t="str">
        <f t="shared" si="57"/>
        <v xml:space="preserve"> </v>
      </c>
      <c r="Z492" s="100" t="str">
        <f t="shared" si="58"/>
        <v xml:space="preserve"> </v>
      </c>
    </row>
    <row r="493" spans="1:26">
      <c r="A493" s="100"/>
      <c r="B493" s="108" t="str">
        <f>IFERROR(VLOOKUP(Tablo519[[#This Row],[ÜRÜN KODU]],YMKODLARI!$A$1:$K$379,2,0)," ")</f>
        <v xml:space="preserve"> </v>
      </c>
      <c r="C493" s="99"/>
      <c r="D493" s="100"/>
      <c r="E493" s="101"/>
      <c r="F493" s="101"/>
      <c r="G493" s="100" t="str">
        <f>IFERROR(VLOOKUP(Tablo519[[#This Row],[ÜRÜN KODU]],YMKODLARI!$A$1:$K$379,3,0)," ")</f>
        <v xml:space="preserve"> </v>
      </c>
      <c r="H493" s="100" t="str">
        <f>IFERROR(VLOOKUP(Tablo519[[#This Row],[ÜRÜN KODU]],YMKODLARI!$A$1:$K$379,4,0)," ")</f>
        <v xml:space="preserve"> </v>
      </c>
      <c r="I493" s="100"/>
      <c r="J493" s="100" t="str">
        <f>IFERROR(VLOOKUP(Tablo519[[#This Row],[ÜRÜN KODU]],YMKODLARI!$A$1:$K$379,9,0)," ")</f>
        <v xml:space="preserve"> </v>
      </c>
      <c r="K493" s="100" t="str">
        <f>IFERROR(VLOOKUP(Tablo519[[#This Row],[BOYA KODU]],Tablo14[#All],4,0)," ")</f>
        <v xml:space="preserve"> </v>
      </c>
      <c r="L493" s="100" t="str">
        <f>IFERROR(VLOOKUP(Tablo519[[#This Row],[BOYA KODU]],Tablo14[#All],6,0)," ")</f>
        <v xml:space="preserve"> </v>
      </c>
      <c r="M493" s="100" t="str">
        <f t="shared" si="53"/>
        <v xml:space="preserve"> </v>
      </c>
      <c r="N493" s="100" t="str">
        <f>IFERROR(VLOOKUP(Tablo519[[#This Row],[ÜRÜN KODU]],YMKODLARI!$A$1:$K$363,8,0)," ")</f>
        <v xml:space="preserve"> </v>
      </c>
      <c r="O493" s="100" t="str">
        <f>IFERROR(VLOOKUP(Tablo519[[#This Row],[HAMMADDE KODU]],Tablo1[#All],3,0)," ")</f>
        <v xml:space="preserve"> </v>
      </c>
      <c r="P493" s="100" t="str">
        <f>IFERROR(VLOOKUP(Tablo519[[#This Row],[HAMMADDE KODU]],Tablo1[#All],4,0)," ")</f>
        <v xml:space="preserve"> </v>
      </c>
      <c r="Q493" s="100" t="str">
        <f>IFERROR(VLOOKUP(Tablo519[[#This Row],[ÜRÜN KODU]],YMKODLARI!$A$1:$K$379,5,0)," ")</f>
        <v xml:space="preserve"> </v>
      </c>
      <c r="R493" s="100" t="str">
        <f>IFERROR(VLOOKUP(Tablo519[[#This Row],[ÜRÜN KODU]],YMKODLARI!$A$1:$K$379,6,0)," ")</f>
        <v xml:space="preserve"> </v>
      </c>
      <c r="S493" s="100" t="str">
        <f>IFERROR(Tablo519[[#This Row],[YOLLUK HARİÇ BASKI GRAMI]]/Tablo519[[#This Row],[KALIP GÖZ ADEDİ]]," ")</f>
        <v xml:space="preserve"> </v>
      </c>
      <c r="T493" s="100" t="str">
        <f t="shared" si="54"/>
        <v xml:space="preserve"> </v>
      </c>
      <c r="U493" s="100"/>
      <c r="V493" s="100" t="str">
        <f t="shared" si="59"/>
        <v xml:space="preserve"> </v>
      </c>
      <c r="W493" s="101">
        <f t="shared" si="55"/>
        <v>24</v>
      </c>
      <c r="X493" s="102">
        <f t="shared" si="56"/>
        <v>0</v>
      </c>
      <c r="Y493" s="100" t="str">
        <f t="shared" si="57"/>
        <v xml:space="preserve"> </v>
      </c>
      <c r="Z493" s="100" t="str">
        <f t="shared" si="58"/>
        <v xml:space="preserve"> </v>
      </c>
    </row>
    <row r="494" spans="1:26">
      <c r="A494" s="100"/>
      <c r="B494" s="108" t="str">
        <f>IFERROR(VLOOKUP(Tablo519[[#This Row],[ÜRÜN KODU]],YMKODLARI!$A$1:$K$379,2,0)," ")</f>
        <v xml:space="preserve"> </v>
      </c>
      <c r="C494" s="99"/>
      <c r="D494" s="100"/>
      <c r="E494" s="101"/>
      <c r="F494" s="101"/>
      <c r="G494" s="100" t="str">
        <f>IFERROR(VLOOKUP(Tablo519[[#This Row],[ÜRÜN KODU]],YMKODLARI!$A$1:$K$379,3,0)," ")</f>
        <v xml:space="preserve"> </v>
      </c>
      <c r="H494" s="100" t="str">
        <f>IFERROR(VLOOKUP(Tablo519[[#This Row],[ÜRÜN KODU]],YMKODLARI!$A$1:$K$379,4,0)," ")</f>
        <v xml:space="preserve"> </v>
      </c>
      <c r="I494" s="100"/>
      <c r="J494" s="100" t="str">
        <f>IFERROR(VLOOKUP(Tablo519[[#This Row],[ÜRÜN KODU]],YMKODLARI!$A$1:$K$379,9,0)," ")</f>
        <v xml:space="preserve"> </v>
      </c>
      <c r="K494" s="100" t="str">
        <f>IFERROR(VLOOKUP(Tablo519[[#This Row],[BOYA KODU]],Tablo14[#All],4,0)," ")</f>
        <v xml:space="preserve"> </v>
      </c>
      <c r="L494" s="100" t="str">
        <f>IFERROR(VLOOKUP(Tablo519[[#This Row],[BOYA KODU]],Tablo14[#All],6,0)," ")</f>
        <v xml:space="preserve"> </v>
      </c>
      <c r="M494" s="100" t="str">
        <f t="shared" si="53"/>
        <v xml:space="preserve"> </v>
      </c>
      <c r="N494" s="100" t="str">
        <f>IFERROR(VLOOKUP(Tablo519[[#This Row],[ÜRÜN KODU]],YMKODLARI!$A$1:$K$363,8,0)," ")</f>
        <v xml:space="preserve"> </v>
      </c>
      <c r="O494" s="100" t="str">
        <f>IFERROR(VLOOKUP(Tablo519[[#This Row],[HAMMADDE KODU]],Tablo1[#All],3,0)," ")</f>
        <v xml:space="preserve"> </v>
      </c>
      <c r="P494" s="100" t="str">
        <f>IFERROR(VLOOKUP(Tablo519[[#This Row],[HAMMADDE KODU]],Tablo1[#All],4,0)," ")</f>
        <v xml:space="preserve"> </v>
      </c>
      <c r="Q494" s="100" t="str">
        <f>IFERROR(VLOOKUP(Tablo519[[#This Row],[ÜRÜN KODU]],YMKODLARI!$A$1:$K$379,5,0)," ")</f>
        <v xml:space="preserve"> </v>
      </c>
      <c r="R494" s="100" t="str">
        <f>IFERROR(VLOOKUP(Tablo519[[#This Row],[ÜRÜN KODU]],YMKODLARI!$A$1:$K$379,6,0)," ")</f>
        <v xml:space="preserve"> </v>
      </c>
      <c r="S494" s="100" t="str">
        <f>IFERROR(Tablo519[[#This Row],[YOLLUK HARİÇ BASKI GRAMI]]/Tablo519[[#This Row],[KALIP GÖZ ADEDİ]]," ")</f>
        <v xml:space="preserve"> </v>
      </c>
      <c r="T494" s="100" t="str">
        <f t="shared" si="54"/>
        <v xml:space="preserve"> </v>
      </c>
      <c r="U494" s="100"/>
      <c r="V494" s="100" t="str">
        <f t="shared" si="59"/>
        <v xml:space="preserve"> </v>
      </c>
      <c r="W494" s="101">
        <f t="shared" si="55"/>
        <v>24</v>
      </c>
      <c r="X494" s="102">
        <f t="shared" si="56"/>
        <v>0</v>
      </c>
      <c r="Y494" s="100" t="str">
        <f t="shared" si="57"/>
        <v xml:space="preserve"> </v>
      </c>
      <c r="Z494" s="100" t="str">
        <f t="shared" si="58"/>
        <v xml:space="preserve"> </v>
      </c>
    </row>
    <row r="495" spans="1:26">
      <c r="A495" s="100"/>
      <c r="B495" s="108" t="str">
        <f>IFERROR(VLOOKUP(Tablo519[[#This Row],[ÜRÜN KODU]],YMKODLARI!$A$1:$K$379,2,0)," ")</f>
        <v xml:space="preserve"> </v>
      </c>
      <c r="C495" s="99"/>
      <c r="D495" s="100"/>
      <c r="E495" s="101"/>
      <c r="F495" s="101"/>
      <c r="G495" s="100" t="str">
        <f>IFERROR(VLOOKUP(Tablo519[[#This Row],[ÜRÜN KODU]],YMKODLARI!$A$1:$K$379,3,0)," ")</f>
        <v xml:space="preserve"> </v>
      </c>
      <c r="H495" s="100" t="str">
        <f>IFERROR(VLOOKUP(Tablo519[[#This Row],[ÜRÜN KODU]],YMKODLARI!$A$1:$K$379,4,0)," ")</f>
        <v xml:space="preserve"> </v>
      </c>
      <c r="I495" s="100"/>
      <c r="J495" s="100" t="str">
        <f>IFERROR(VLOOKUP(Tablo519[[#This Row],[ÜRÜN KODU]],YMKODLARI!$A$1:$K$379,9,0)," ")</f>
        <v xml:space="preserve"> </v>
      </c>
      <c r="K495" s="100" t="str">
        <f>IFERROR(VLOOKUP(Tablo519[[#This Row],[BOYA KODU]],Tablo14[#All],4,0)," ")</f>
        <v xml:space="preserve"> </v>
      </c>
      <c r="L495" s="100" t="str">
        <f>IFERROR(VLOOKUP(Tablo519[[#This Row],[BOYA KODU]],Tablo14[#All],6,0)," ")</f>
        <v xml:space="preserve"> </v>
      </c>
      <c r="M495" s="100" t="str">
        <f t="shared" si="53"/>
        <v xml:space="preserve"> </v>
      </c>
      <c r="N495" s="100" t="str">
        <f>IFERROR(VLOOKUP(Tablo519[[#This Row],[ÜRÜN KODU]],YMKODLARI!$A$1:$K$363,8,0)," ")</f>
        <v xml:space="preserve"> </v>
      </c>
      <c r="O495" s="100" t="str">
        <f>IFERROR(VLOOKUP(Tablo519[[#This Row],[HAMMADDE KODU]],Tablo1[#All],3,0)," ")</f>
        <v xml:space="preserve"> </v>
      </c>
      <c r="P495" s="100" t="str">
        <f>IFERROR(VLOOKUP(Tablo519[[#This Row],[HAMMADDE KODU]],Tablo1[#All],4,0)," ")</f>
        <v xml:space="preserve"> </v>
      </c>
      <c r="Q495" s="100" t="str">
        <f>IFERROR(VLOOKUP(Tablo519[[#This Row],[ÜRÜN KODU]],YMKODLARI!$A$1:$K$379,5,0)," ")</f>
        <v xml:space="preserve"> </v>
      </c>
      <c r="R495" s="100" t="str">
        <f>IFERROR(VLOOKUP(Tablo519[[#This Row],[ÜRÜN KODU]],YMKODLARI!$A$1:$K$379,6,0)," ")</f>
        <v xml:space="preserve"> </v>
      </c>
      <c r="S495" s="100" t="str">
        <f>IFERROR(Tablo519[[#This Row],[YOLLUK HARİÇ BASKI GRAMI]]/Tablo519[[#This Row],[KALIP GÖZ ADEDİ]]," ")</f>
        <v xml:space="preserve"> </v>
      </c>
      <c r="T495" s="100" t="str">
        <f t="shared" si="54"/>
        <v xml:space="preserve"> </v>
      </c>
      <c r="U495" s="100"/>
      <c r="V495" s="100" t="str">
        <f t="shared" si="59"/>
        <v xml:space="preserve"> </v>
      </c>
      <c r="W495" s="101">
        <f t="shared" si="55"/>
        <v>24</v>
      </c>
      <c r="X495" s="102">
        <f t="shared" si="56"/>
        <v>0</v>
      </c>
      <c r="Y495" s="100" t="str">
        <f t="shared" si="57"/>
        <v xml:space="preserve"> </v>
      </c>
      <c r="Z495" s="100" t="str">
        <f t="shared" si="58"/>
        <v xml:space="preserve"> </v>
      </c>
    </row>
    <row r="496" spans="1:26">
      <c r="A496" s="100"/>
      <c r="B496" s="108" t="str">
        <f>IFERROR(VLOOKUP(Tablo519[[#This Row],[ÜRÜN KODU]],YMKODLARI!$A$1:$K$379,2,0)," ")</f>
        <v xml:space="preserve"> </v>
      </c>
      <c r="C496" s="99"/>
      <c r="D496" s="100"/>
      <c r="E496" s="101"/>
      <c r="F496" s="101"/>
      <c r="G496" s="100" t="str">
        <f>IFERROR(VLOOKUP(Tablo519[[#This Row],[ÜRÜN KODU]],YMKODLARI!$A$1:$K$379,3,0)," ")</f>
        <v xml:space="preserve"> </v>
      </c>
      <c r="H496" s="100" t="str">
        <f>IFERROR(VLOOKUP(Tablo519[[#This Row],[ÜRÜN KODU]],YMKODLARI!$A$1:$K$379,4,0)," ")</f>
        <v xml:space="preserve"> </v>
      </c>
      <c r="I496" s="100"/>
      <c r="J496" s="100" t="str">
        <f>IFERROR(VLOOKUP(Tablo519[[#This Row],[ÜRÜN KODU]],YMKODLARI!$A$1:$K$379,9,0)," ")</f>
        <v xml:space="preserve"> </v>
      </c>
      <c r="K496" s="100" t="str">
        <f>IFERROR(VLOOKUP(Tablo519[[#This Row],[BOYA KODU]],Tablo14[#All],4,0)," ")</f>
        <v xml:space="preserve"> </v>
      </c>
      <c r="L496" s="100" t="str">
        <f>IFERROR(VLOOKUP(Tablo519[[#This Row],[BOYA KODU]],Tablo14[#All],6,0)," ")</f>
        <v xml:space="preserve"> </v>
      </c>
      <c r="M496" s="100" t="str">
        <f t="shared" si="53"/>
        <v xml:space="preserve"> </v>
      </c>
      <c r="N496" s="100" t="str">
        <f>IFERROR(VLOOKUP(Tablo519[[#This Row],[ÜRÜN KODU]],YMKODLARI!$A$1:$K$363,8,0)," ")</f>
        <v xml:space="preserve"> </v>
      </c>
      <c r="O496" s="100" t="str">
        <f>IFERROR(VLOOKUP(Tablo519[[#This Row],[HAMMADDE KODU]],Tablo1[#All],3,0)," ")</f>
        <v xml:space="preserve"> </v>
      </c>
      <c r="P496" s="100" t="str">
        <f>IFERROR(VLOOKUP(Tablo519[[#This Row],[HAMMADDE KODU]],Tablo1[#All],4,0)," ")</f>
        <v xml:space="preserve"> </v>
      </c>
      <c r="Q496" s="100" t="str">
        <f>IFERROR(VLOOKUP(Tablo519[[#This Row],[ÜRÜN KODU]],YMKODLARI!$A$1:$K$379,5,0)," ")</f>
        <v xml:space="preserve"> </v>
      </c>
      <c r="R496" s="100" t="str">
        <f>IFERROR(VLOOKUP(Tablo519[[#This Row],[ÜRÜN KODU]],YMKODLARI!$A$1:$K$379,6,0)," ")</f>
        <v xml:space="preserve"> </v>
      </c>
      <c r="S496" s="100" t="str">
        <f>IFERROR(Tablo519[[#This Row],[YOLLUK HARİÇ BASKI GRAMI]]/Tablo519[[#This Row],[KALIP GÖZ ADEDİ]]," ")</f>
        <v xml:space="preserve"> </v>
      </c>
      <c r="T496" s="100" t="str">
        <f t="shared" si="54"/>
        <v xml:space="preserve"> </v>
      </c>
      <c r="U496" s="100"/>
      <c r="V496" s="100" t="str">
        <f t="shared" si="59"/>
        <v xml:space="preserve"> </v>
      </c>
      <c r="W496" s="101">
        <f t="shared" si="55"/>
        <v>24</v>
      </c>
      <c r="X496" s="102">
        <f t="shared" si="56"/>
        <v>0</v>
      </c>
      <c r="Y496" s="100" t="str">
        <f t="shared" si="57"/>
        <v xml:space="preserve"> </v>
      </c>
      <c r="Z496" s="100" t="str">
        <f t="shared" si="58"/>
        <v xml:space="preserve"> </v>
      </c>
    </row>
    <row r="497" spans="1:26">
      <c r="A497" s="100"/>
      <c r="B497" s="108" t="str">
        <f>IFERROR(VLOOKUP(Tablo519[[#This Row],[ÜRÜN KODU]],YMKODLARI!$A$1:$K$379,2,0)," ")</f>
        <v xml:space="preserve"> </v>
      </c>
      <c r="C497" s="99"/>
      <c r="D497" s="100"/>
      <c r="E497" s="101"/>
      <c r="F497" s="101"/>
      <c r="G497" s="100" t="str">
        <f>IFERROR(VLOOKUP(Tablo519[[#This Row],[ÜRÜN KODU]],YMKODLARI!$A$1:$K$379,3,0)," ")</f>
        <v xml:space="preserve"> </v>
      </c>
      <c r="H497" s="100" t="str">
        <f>IFERROR(VLOOKUP(Tablo519[[#This Row],[ÜRÜN KODU]],YMKODLARI!$A$1:$K$379,4,0)," ")</f>
        <v xml:space="preserve"> </v>
      </c>
      <c r="I497" s="100"/>
      <c r="J497" s="100" t="str">
        <f>IFERROR(VLOOKUP(Tablo519[[#This Row],[ÜRÜN KODU]],YMKODLARI!$A$1:$K$379,9,0)," ")</f>
        <v xml:space="preserve"> </v>
      </c>
      <c r="K497" s="100" t="str">
        <f>IFERROR(VLOOKUP(Tablo519[[#This Row],[BOYA KODU]],Tablo14[#All],4,0)," ")</f>
        <v xml:space="preserve"> </v>
      </c>
      <c r="L497" s="100" t="str">
        <f>IFERROR(VLOOKUP(Tablo519[[#This Row],[BOYA KODU]],Tablo14[#All],6,0)," ")</f>
        <v xml:space="preserve"> </v>
      </c>
      <c r="M497" s="100" t="str">
        <f t="shared" si="53"/>
        <v xml:space="preserve"> </v>
      </c>
      <c r="N497" s="100" t="str">
        <f>IFERROR(VLOOKUP(Tablo519[[#This Row],[ÜRÜN KODU]],YMKODLARI!$A$1:$K$363,8,0)," ")</f>
        <v xml:space="preserve"> </v>
      </c>
      <c r="O497" s="100" t="str">
        <f>IFERROR(VLOOKUP(Tablo519[[#This Row],[HAMMADDE KODU]],Tablo1[#All],3,0)," ")</f>
        <v xml:space="preserve"> </v>
      </c>
      <c r="P497" s="100" t="str">
        <f>IFERROR(VLOOKUP(Tablo519[[#This Row],[HAMMADDE KODU]],Tablo1[#All],4,0)," ")</f>
        <v xml:space="preserve"> </v>
      </c>
      <c r="Q497" s="100" t="str">
        <f>IFERROR(VLOOKUP(Tablo519[[#This Row],[ÜRÜN KODU]],YMKODLARI!$A$1:$K$379,5,0)," ")</f>
        <v xml:space="preserve"> </v>
      </c>
      <c r="R497" s="100" t="str">
        <f>IFERROR(VLOOKUP(Tablo519[[#This Row],[ÜRÜN KODU]],YMKODLARI!$A$1:$K$379,6,0)," ")</f>
        <v xml:space="preserve"> </v>
      </c>
      <c r="S497" s="100" t="str">
        <f>IFERROR(Tablo519[[#This Row],[YOLLUK HARİÇ BASKI GRAMI]]/Tablo519[[#This Row],[KALIP GÖZ ADEDİ]]," ")</f>
        <v xml:space="preserve"> </v>
      </c>
      <c r="T497" s="100" t="str">
        <f t="shared" si="54"/>
        <v xml:space="preserve"> </v>
      </c>
      <c r="U497" s="100"/>
      <c r="V497" s="100" t="str">
        <f t="shared" si="59"/>
        <v xml:space="preserve"> </v>
      </c>
      <c r="W497" s="101">
        <f t="shared" si="55"/>
        <v>24</v>
      </c>
      <c r="X497" s="102">
        <f t="shared" si="56"/>
        <v>0</v>
      </c>
      <c r="Y497" s="100" t="str">
        <f t="shared" si="57"/>
        <v xml:space="preserve"> </v>
      </c>
      <c r="Z497" s="100" t="str">
        <f t="shared" si="58"/>
        <v xml:space="preserve"> </v>
      </c>
    </row>
    <row r="498" spans="1:26">
      <c r="A498" s="100"/>
      <c r="B498" s="108" t="str">
        <f>IFERROR(VLOOKUP(Tablo519[[#This Row],[ÜRÜN KODU]],YMKODLARI!$A$1:$K$379,2,0)," ")</f>
        <v xml:space="preserve"> </v>
      </c>
      <c r="C498" s="99"/>
      <c r="D498" s="100"/>
      <c r="E498" s="101"/>
      <c r="F498" s="101"/>
      <c r="G498" s="100" t="str">
        <f>IFERROR(VLOOKUP(Tablo519[[#This Row],[ÜRÜN KODU]],YMKODLARI!$A$1:$K$379,3,0)," ")</f>
        <v xml:space="preserve"> </v>
      </c>
      <c r="H498" s="100" t="str">
        <f>IFERROR(VLOOKUP(Tablo519[[#This Row],[ÜRÜN KODU]],YMKODLARI!$A$1:$K$379,4,0)," ")</f>
        <v xml:space="preserve"> </v>
      </c>
      <c r="I498" s="100"/>
      <c r="J498" s="100" t="str">
        <f>IFERROR(VLOOKUP(Tablo519[[#This Row],[ÜRÜN KODU]],YMKODLARI!$A$1:$K$379,9,0)," ")</f>
        <v xml:space="preserve"> </v>
      </c>
      <c r="K498" s="100" t="str">
        <f>IFERROR(VLOOKUP(Tablo519[[#This Row],[BOYA KODU]],Tablo14[#All],4,0)," ")</f>
        <v xml:space="preserve"> </v>
      </c>
      <c r="L498" s="100" t="str">
        <f>IFERROR(VLOOKUP(Tablo519[[#This Row],[BOYA KODU]],Tablo14[#All],6,0)," ")</f>
        <v xml:space="preserve"> </v>
      </c>
      <c r="M498" s="100" t="str">
        <f t="shared" si="53"/>
        <v xml:space="preserve"> </v>
      </c>
      <c r="N498" s="100" t="str">
        <f>IFERROR(VLOOKUP(Tablo519[[#This Row],[ÜRÜN KODU]],YMKODLARI!$A$1:$K$363,8,0)," ")</f>
        <v xml:space="preserve"> </v>
      </c>
      <c r="O498" s="100" t="str">
        <f>IFERROR(VLOOKUP(Tablo519[[#This Row],[HAMMADDE KODU]],Tablo1[#All],3,0)," ")</f>
        <v xml:space="preserve"> </v>
      </c>
      <c r="P498" s="100" t="str">
        <f>IFERROR(VLOOKUP(Tablo519[[#This Row],[HAMMADDE KODU]],Tablo1[#All],4,0)," ")</f>
        <v xml:space="preserve"> </v>
      </c>
      <c r="Q498" s="100" t="str">
        <f>IFERROR(VLOOKUP(Tablo519[[#This Row],[ÜRÜN KODU]],YMKODLARI!$A$1:$K$379,5,0)," ")</f>
        <v xml:space="preserve"> </v>
      </c>
      <c r="R498" s="100" t="str">
        <f>IFERROR(VLOOKUP(Tablo519[[#This Row],[ÜRÜN KODU]],YMKODLARI!$A$1:$K$379,6,0)," ")</f>
        <v xml:space="preserve"> </v>
      </c>
      <c r="S498" s="100" t="str">
        <f>IFERROR(Tablo519[[#This Row],[YOLLUK HARİÇ BASKI GRAMI]]/Tablo519[[#This Row],[KALIP GÖZ ADEDİ]]," ")</f>
        <v xml:space="preserve"> </v>
      </c>
      <c r="T498" s="100" t="str">
        <f t="shared" si="54"/>
        <v xml:space="preserve"> </v>
      </c>
      <c r="U498" s="100"/>
      <c r="V498" s="100" t="str">
        <f t="shared" si="59"/>
        <v xml:space="preserve"> </v>
      </c>
      <c r="W498" s="101">
        <f t="shared" si="55"/>
        <v>24</v>
      </c>
      <c r="X498" s="102">
        <f t="shared" si="56"/>
        <v>0</v>
      </c>
      <c r="Y498" s="100" t="str">
        <f t="shared" si="57"/>
        <v xml:space="preserve"> </v>
      </c>
      <c r="Z498" s="100" t="str">
        <f t="shared" si="58"/>
        <v xml:space="preserve"> </v>
      </c>
    </row>
    <row r="499" spans="1:26">
      <c r="A499" s="100"/>
      <c r="B499" s="108" t="str">
        <f>IFERROR(VLOOKUP(Tablo519[[#This Row],[ÜRÜN KODU]],YMKODLARI!$A$1:$K$379,2,0)," ")</f>
        <v xml:space="preserve"> </v>
      </c>
      <c r="C499" s="99"/>
      <c r="D499" s="100"/>
      <c r="E499" s="101"/>
      <c r="F499" s="101"/>
      <c r="G499" s="100" t="str">
        <f>IFERROR(VLOOKUP(Tablo519[[#This Row],[ÜRÜN KODU]],YMKODLARI!$A$1:$K$379,3,0)," ")</f>
        <v xml:space="preserve"> </v>
      </c>
      <c r="H499" s="100" t="str">
        <f>IFERROR(VLOOKUP(Tablo519[[#This Row],[ÜRÜN KODU]],YMKODLARI!$A$1:$K$379,4,0)," ")</f>
        <v xml:space="preserve"> </v>
      </c>
      <c r="I499" s="100"/>
      <c r="J499" s="100" t="str">
        <f>IFERROR(VLOOKUP(Tablo519[[#This Row],[ÜRÜN KODU]],YMKODLARI!$A$1:$K$379,9,0)," ")</f>
        <v xml:space="preserve"> </v>
      </c>
      <c r="K499" s="100" t="str">
        <f>IFERROR(VLOOKUP(Tablo519[[#This Row],[BOYA KODU]],Tablo14[#All],4,0)," ")</f>
        <v xml:space="preserve"> </v>
      </c>
      <c r="L499" s="100" t="str">
        <f>IFERROR(VLOOKUP(Tablo519[[#This Row],[BOYA KODU]],Tablo14[#All],6,0)," ")</f>
        <v xml:space="preserve"> </v>
      </c>
      <c r="M499" s="100" t="str">
        <f t="shared" si="53"/>
        <v xml:space="preserve"> </v>
      </c>
      <c r="N499" s="100" t="str">
        <f>IFERROR(VLOOKUP(Tablo519[[#This Row],[ÜRÜN KODU]],YMKODLARI!$A$1:$K$363,8,0)," ")</f>
        <v xml:space="preserve"> </v>
      </c>
      <c r="O499" s="100" t="str">
        <f>IFERROR(VLOOKUP(Tablo519[[#This Row],[HAMMADDE KODU]],Tablo1[#All],3,0)," ")</f>
        <v xml:space="preserve"> </v>
      </c>
      <c r="P499" s="100" t="str">
        <f>IFERROR(VLOOKUP(Tablo519[[#This Row],[HAMMADDE KODU]],Tablo1[#All],4,0)," ")</f>
        <v xml:space="preserve"> </v>
      </c>
      <c r="Q499" s="100" t="str">
        <f>IFERROR(VLOOKUP(Tablo519[[#This Row],[ÜRÜN KODU]],YMKODLARI!$A$1:$K$379,5,0)," ")</f>
        <v xml:space="preserve"> </v>
      </c>
      <c r="R499" s="100" t="str">
        <f>IFERROR(VLOOKUP(Tablo519[[#This Row],[ÜRÜN KODU]],YMKODLARI!$A$1:$K$379,6,0)," ")</f>
        <v xml:space="preserve"> </v>
      </c>
      <c r="S499" s="100" t="str">
        <f>IFERROR(Tablo519[[#This Row],[YOLLUK HARİÇ BASKI GRAMI]]/Tablo519[[#This Row],[KALIP GÖZ ADEDİ]]," ")</f>
        <v xml:space="preserve"> </v>
      </c>
      <c r="T499" s="100" t="str">
        <f t="shared" si="54"/>
        <v xml:space="preserve"> </v>
      </c>
      <c r="U499" s="100"/>
      <c r="V499" s="100" t="str">
        <f t="shared" si="59"/>
        <v xml:space="preserve"> </v>
      </c>
      <c r="W499" s="101">
        <f t="shared" si="55"/>
        <v>24</v>
      </c>
      <c r="X499" s="102">
        <f t="shared" si="56"/>
        <v>0</v>
      </c>
      <c r="Y499" s="100" t="str">
        <f t="shared" si="57"/>
        <v xml:space="preserve"> </v>
      </c>
      <c r="Z499" s="100" t="str">
        <f t="shared" si="58"/>
        <v xml:space="preserve"> </v>
      </c>
    </row>
    <row r="500" spans="1:26">
      <c r="A500" s="100"/>
      <c r="B500" s="108" t="str">
        <f>IFERROR(VLOOKUP(Tablo519[[#This Row],[ÜRÜN KODU]],YMKODLARI!$A$1:$K$379,2,0)," ")</f>
        <v xml:space="preserve"> </v>
      </c>
      <c r="C500" s="99"/>
      <c r="D500" s="100"/>
      <c r="E500" s="101"/>
      <c r="F500" s="101"/>
      <c r="G500" s="100" t="str">
        <f>IFERROR(VLOOKUP(Tablo519[[#This Row],[ÜRÜN KODU]],YMKODLARI!$A$1:$K$379,3,0)," ")</f>
        <v xml:space="preserve"> </v>
      </c>
      <c r="H500" s="100" t="str">
        <f>IFERROR(VLOOKUP(Tablo519[[#This Row],[ÜRÜN KODU]],YMKODLARI!$A$1:$K$379,4,0)," ")</f>
        <v xml:space="preserve"> </v>
      </c>
      <c r="I500" s="100"/>
      <c r="J500" s="100" t="str">
        <f>IFERROR(VLOOKUP(Tablo519[[#This Row],[ÜRÜN KODU]],YMKODLARI!$A$1:$K$379,9,0)," ")</f>
        <v xml:space="preserve"> </v>
      </c>
      <c r="K500" s="100" t="str">
        <f>IFERROR(VLOOKUP(Tablo519[[#This Row],[BOYA KODU]],Tablo14[#All],4,0)," ")</f>
        <v xml:space="preserve"> </v>
      </c>
      <c r="L500" s="100" t="str">
        <f>IFERROR(VLOOKUP(Tablo519[[#This Row],[BOYA KODU]],Tablo14[#All],6,0)," ")</f>
        <v xml:space="preserve"> </v>
      </c>
      <c r="M500" s="100" t="str">
        <f t="shared" si="53"/>
        <v xml:space="preserve"> </v>
      </c>
      <c r="N500" s="100" t="str">
        <f>IFERROR(VLOOKUP(Tablo519[[#This Row],[ÜRÜN KODU]],YMKODLARI!$A$1:$K$363,8,0)," ")</f>
        <v xml:space="preserve"> </v>
      </c>
      <c r="O500" s="100" t="str">
        <f>IFERROR(VLOOKUP(Tablo519[[#This Row],[HAMMADDE KODU]],Tablo1[#All],3,0)," ")</f>
        <v xml:space="preserve"> </v>
      </c>
      <c r="P500" s="100" t="str">
        <f>IFERROR(VLOOKUP(Tablo519[[#This Row],[HAMMADDE KODU]],Tablo1[#All],4,0)," ")</f>
        <v xml:space="preserve"> </v>
      </c>
      <c r="Q500" s="100" t="str">
        <f>IFERROR(VLOOKUP(Tablo519[[#This Row],[ÜRÜN KODU]],YMKODLARI!$A$1:$K$379,5,0)," ")</f>
        <v xml:space="preserve"> </v>
      </c>
      <c r="R500" s="100" t="str">
        <f>IFERROR(VLOOKUP(Tablo519[[#This Row],[ÜRÜN KODU]],YMKODLARI!$A$1:$K$379,6,0)," ")</f>
        <v xml:space="preserve"> </v>
      </c>
      <c r="S500" s="100" t="str">
        <f>IFERROR(Tablo519[[#This Row],[YOLLUK HARİÇ BASKI GRAMI]]/Tablo519[[#This Row],[KALIP GÖZ ADEDİ]]," ")</f>
        <v xml:space="preserve"> </v>
      </c>
      <c r="T500" s="100" t="str">
        <f t="shared" si="54"/>
        <v xml:space="preserve"> </v>
      </c>
      <c r="U500" s="100"/>
      <c r="V500" s="100" t="str">
        <f t="shared" si="59"/>
        <v xml:space="preserve"> </v>
      </c>
      <c r="W500" s="101">
        <f t="shared" si="55"/>
        <v>24</v>
      </c>
      <c r="X500" s="102">
        <f t="shared" si="56"/>
        <v>0</v>
      </c>
      <c r="Y500" s="100" t="str">
        <f t="shared" si="57"/>
        <v xml:space="preserve"> </v>
      </c>
      <c r="Z500" s="100" t="str">
        <f t="shared" si="58"/>
        <v xml:space="preserve"> </v>
      </c>
    </row>
    <row r="501" spans="1:26">
      <c r="A501" s="100"/>
      <c r="B501" s="108" t="str">
        <f>IFERROR(VLOOKUP(Tablo519[[#This Row],[ÜRÜN KODU]],YMKODLARI!$A$1:$K$379,2,0)," ")</f>
        <v xml:space="preserve"> </v>
      </c>
      <c r="C501" s="99"/>
      <c r="D501" s="100"/>
      <c r="E501" s="101"/>
      <c r="F501" s="101"/>
      <c r="G501" s="100" t="str">
        <f>IFERROR(VLOOKUP(Tablo519[[#This Row],[ÜRÜN KODU]],YMKODLARI!$A$1:$K$379,3,0)," ")</f>
        <v xml:space="preserve"> </v>
      </c>
      <c r="H501" s="100" t="str">
        <f>IFERROR(VLOOKUP(Tablo519[[#This Row],[ÜRÜN KODU]],YMKODLARI!$A$1:$K$379,4,0)," ")</f>
        <v xml:space="preserve"> </v>
      </c>
      <c r="I501" s="100"/>
      <c r="J501" s="100" t="str">
        <f>IFERROR(VLOOKUP(Tablo519[[#This Row],[ÜRÜN KODU]],YMKODLARI!$A$1:$K$379,9,0)," ")</f>
        <v xml:space="preserve"> </v>
      </c>
      <c r="K501" s="100" t="str">
        <f>IFERROR(VLOOKUP(Tablo519[[#This Row],[BOYA KODU]],Tablo14[#All],4,0)," ")</f>
        <v xml:space="preserve"> </v>
      </c>
      <c r="L501" s="100" t="str">
        <f>IFERROR(VLOOKUP(Tablo519[[#This Row],[BOYA KODU]],Tablo14[#All],6,0)," ")</f>
        <v xml:space="preserve"> </v>
      </c>
      <c r="M501" s="100" t="str">
        <f t="shared" si="53"/>
        <v xml:space="preserve"> </v>
      </c>
      <c r="N501" s="100" t="str">
        <f>IFERROR(VLOOKUP(Tablo519[[#This Row],[ÜRÜN KODU]],YMKODLARI!$A$1:$K$363,8,0)," ")</f>
        <v xml:space="preserve"> </v>
      </c>
      <c r="O501" s="100" t="str">
        <f>IFERROR(VLOOKUP(Tablo519[[#This Row],[HAMMADDE KODU]],Tablo1[#All],3,0)," ")</f>
        <v xml:space="preserve"> </v>
      </c>
      <c r="P501" s="100" t="str">
        <f>IFERROR(VLOOKUP(Tablo519[[#This Row],[HAMMADDE KODU]],Tablo1[#All],4,0)," ")</f>
        <v xml:space="preserve"> </v>
      </c>
      <c r="Q501" s="100" t="str">
        <f>IFERROR(VLOOKUP(Tablo519[[#This Row],[ÜRÜN KODU]],YMKODLARI!$A$1:$K$379,5,0)," ")</f>
        <v xml:space="preserve"> </v>
      </c>
      <c r="R501" s="100" t="str">
        <f>IFERROR(VLOOKUP(Tablo519[[#This Row],[ÜRÜN KODU]],YMKODLARI!$A$1:$K$379,6,0)," ")</f>
        <v xml:space="preserve"> </v>
      </c>
      <c r="S501" s="100" t="str">
        <f>IFERROR(Tablo519[[#This Row],[YOLLUK HARİÇ BASKI GRAMI]]/Tablo519[[#This Row],[KALIP GÖZ ADEDİ]]," ")</f>
        <v xml:space="preserve"> </v>
      </c>
      <c r="T501" s="100" t="str">
        <f t="shared" si="54"/>
        <v xml:space="preserve"> </v>
      </c>
      <c r="U501" s="100"/>
      <c r="V501" s="100" t="str">
        <f t="shared" si="59"/>
        <v xml:space="preserve"> </v>
      </c>
      <c r="W501" s="101">
        <f t="shared" si="55"/>
        <v>24</v>
      </c>
      <c r="X501" s="102">
        <f t="shared" si="56"/>
        <v>0</v>
      </c>
      <c r="Y501" s="100" t="str">
        <f t="shared" si="57"/>
        <v xml:space="preserve"> </v>
      </c>
      <c r="Z501" s="100" t="str">
        <f t="shared" si="58"/>
        <v xml:space="preserve"> </v>
      </c>
    </row>
    <row r="502" spans="1:26">
      <c r="A502" s="100"/>
      <c r="B502" s="108" t="str">
        <f>IFERROR(VLOOKUP(Tablo519[[#This Row],[ÜRÜN KODU]],YMKODLARI!$A$1:$K$379,2,0)," ")</f>
        <v xml:space="preserve"> </v>
      </c>
      <c r="C502" s="99"/>
      <c r="D502" s="100"/>
      <c r="E502" s="101"/>
      <c r="F502" s="101"/>
      <c r="G502" s="100" t="str">
        <f>IFERROR(VLOOKUP(Tablo519[[#This Row],[ÜRÜN KODU]],YMKODLARI!$A$1:$K$379,3,0)," ")</f>
        <v xml:space="preserve"> </v>
      </c>
      <c r="H502" s="100" t="str">
        <f>IFERROR(VLOOKUP(Tablo519[[#This Row],[ÜRÜN KODU]],YMKODLARI!$A$1:$K$379,4,0)," ")</f>
        <v xml:space="preserve"> </v>
      </c>
      <c r="I502" s="100"/>
      <c r="J502" s="100" t="str">
        <f>IFERROR(VLOOKUP(Tablo519[[#This Row],[ÜRÜN KODU]],YMKODLARI!$A$1:$K$379,9,0)," ")</f>
        <v xml:space="preserve"> </v>
      </c>
      <c r="K502" s="100" t="str">
        <f>IFERROR(VLOOKUP(Tablo519[[#This Row],[BOYA KODU]],Tablo14[#All],4,0)," ")</f>
        <v xml:space="preserve"> </v>
      </c>
      <c r="L502" s="100" t="str">
        <f>IFERROR(VLOOKUP(Tablo519[[#This Row],[BOYA KODU]],Tablo14[#All],6,0)," ")</f>
        <v xml:space="preserve"> </v>
      </c>
      <c r="M502" s="100" t="str">
        <f t="shared" si="53"/>
        <v xml:space="preserve"> </v>
      </c>
      <c r="N502" s="100" t="str">
        <f>IFERROR(VLOOKUP(Tablo519[[#This Row],[ÜRÜN KODU]],YMKODLARI!$A$1:$K$363,8,0)," ")</f>
        <v xml:space="preserve"> </v>
      </c>
      <c r="O502" s="100" t="str">
        <f>IFERROR(VLOOKUP(Tablo519[[#This Row],[HAMMADDE KODU]],Tablo1[#All],3,0)," ")</f>
        <v xml:space="preserve"> </v>
      </c>
      <c r="P502" s="100" t="str">
        <f>IFERROR(VLOOKUP(Tablo519[[#This Row],[HAMMADDE KODU]],Tablo1[#All],4,0)," ")</f>
        <v xml:space="preserve"> </v>
      </c>
      <c r="Q502" s="100" t="str">
        <f>IFERROR(VLOOKUP(Tablo519[[#This Row],[ÜRÜN KODU]],YMKODLARI!$A$1:$K$379,5,0)," ")</f>
        <v xml:space="preserve"> </v>
      </c>
      <c r="R502" s="100" t="str">
        <f>IFERROR(VLOOKUP(Tablo519[[#This Row],[ÜRÜN KODU]],YMKODLARI!$A$1:$K$379,6,0)," ")</f>
        <v xml:space="preserve"> </v>
      </c>
      <c r="S502" s="100" t="str">
        <f>IFERROR(Tablo519[[#This Row],[YOLLUK HARİÇ BASKI GRAMI]]/Tablo519[[#This Row],[KALIP GÖZ ADEDİ]]," ")</f>
        <v xml:space="preserve"> </v>
      </c>
      <c r="T502" s="100" t="str">
        <f t="shared" si="54"/>
        <v xml:space="preserve"> </v>
      </c>
      <c r="U502" s="100"/>
      <c r="V502" s="100" t="str">
        <f t="shared" si="59"/>
        <v xml:space="preserve"> </v>
      </c>
      <c r="W502" s="101">
        <f t="shared" si="55"/>
        <v>24</v>
      </c>
      <c r="X502" s="102">
        <f t="shared" si="56"/>
        <v>0</v>
      </c>
      <c r="Y502" s="100" t="str">
        <f t="shared" si="57"/>
        <v xml:space="preserve"> </v>
      </c>
      <c r="Z502" s="100" t="str">
        <f t="shared" si="58"/>
        <v xml:space="preserve"> </v>
      </c>
    </row>
    <row r="503" spans="1:26">
      <c r="A503" s="100"/>
      <c r="B503" s="108" t="str">
        <f>IFERROR(VLOOKUP(Tablo519[[#This Row],[ÜRÜN KODU]],YMKODLARI!$A$1:$K$379,2,0)," ")</f>
        <v xml:space="preserve"> </v>
      </c>
      <c r="C503" s="99"/>
      <c r="D503" s="100"/>
      <c r="E503" s="101"/>
      <c r="F503" s="101"/>
      <c r="G503" s="100" t="str">
        <f>IFERROR(VLOOKUP(Tablo519[[#This Row],[ÜRÜN KODU]],YMKODLARI!$A$1:$K$379,3,0)," ")</f>
        <v xml:space="preserve"> </v>
      </c>
      <c r="H503" s="100" t="str">
        <f>IFERROR(VLOOKUP(Tablo519[[#This Row],[ÜRÜN KODU]],YMKODLARI!$A$1:$K$379,4,0)," ")</f>
        <v xml:space="preserve"> </v>
      </c>
      <c r="I503" s="100"/>
      <c r="J503" s="100" t="str">
        <f>IFERROR(VLOOKUP(Tablo519[[#This Row],[ÜRÜN KODU]],YMKODLARI!$A$1:$K$379,9,0)," ")</f>
        <v xml:space="preserve"> </v>
      </c>
      <c r="K503" s="100" t="str">
        <f>IFERROR(VLOOKUP(Tablo519[[#This Row],[BOYA KODU]],Tablo14[#All],4,0)," ")</f>
        <v xml:space="preserve"> </v>
      </c>
      <c r="L503" s="100" t="str">
        <f>IFERROR(VLOOKUP(Tablo519[[#This Row],[BOYA KODU]],Tablo14[#All],6,0)," ")</f>
        <v xml:space="preserve"> </v>
      </c>
      <c r="M503" s="100" t="str">
        <f t="shared" si="53"/>
        <v xml:space="preserve"> </v>
      </c>
      <c r="N503" s="100" t="str">
        <f>IFERROR(VLOOKUP(Tablo519[[#This Row],[ÜRÜN KODU]],YMKODLARI!$A$1:$K$363,8,0)," ")</f>
        <v xml:space="preserve"> </v>
      </c>
      <c r="O503" s="100" t="str">
        <f>IFERROR(VLOOKUP(Tablo519[[#This Row],[HAMMADDE KODU]],Tablo1[#All],3,0)," ")</f>
        <v xml:space="preserve"> </v>
      </c>
      <c r="P503" s="100" t="str">
        <f>IFERROR(VLOOKUP(Tablo519[[#This Row],[HAMMADDE KODU]],Tablo1[#All],4,0)," ")</f>
        <v xml:space="preserve"> </v>
      </c>
      <c r="Q503" s="100" t="str">
        <f>IFERROR(VLOOKUP(Tablo519[[#This Row],[ÜRÜN KODU]],YMKODLARI!$A$1:$K$379,5,0)," ")</f>
        <v xml:space="preserve"> </v>
      </c>
      <c r="R503" s="100" t="str">
        <f>IFERROR(VLOOKUP(Tablo519[[#This Row],[ÜRÜN KODU]],YMKODLARI!$A$1:$K$379,6,0)," ")</f>
        <v xml:space="preserve"> </v>
      </c>
      <c r="S503" s="100" t="str">
        <f>IFERROR(Tablo519[[#This Row],[YOLLUK HARİÇ BASKI GRAMI]]/Tablo519[[#This Row],[KALIP GÖZ ADEDİ]]," ")</f>
        <v xml:space="preserve"> </v>
      </c>
      <c r="T503" s="100" t="str">
        <f t="shared" si="54"/>
        <v xml:space="preserve"> </v>
      </c>
      <c r="U503" s="100"/>
      <c r="V503" s="100" t="str">
        <f t="shared" si="59"/>
        <v xml:space="preserve"> </v>
      </c>
      <c r="W503" s="101">
        <f t="shared" si="55"/>
        <v>24</v>
      </c>
      <c r="X503" s="102">
        <f t="shared" si="56"/>
        <v>0</v>
      </c>
      <c r="Y503" s="100" t="str">
        <f t="shared" si="57"/>
        <v xml:space="preserve"> </v>
      </c>
      <c r="Z503" s="100" t="str">
        <f t="shared" si="58"/>
        <v xml:space="preserve"> </v>
      </c>
    </row>
    <row r="504" spans="1:26">
      <c r="A504" s="100"/>
      <c r="B504" s="108" t="str">
        <f>IFERROR(VLOOKUP(Tablo519[[#This Row],[ÜRÜN KODU]],YMKODLARI!$A$1:$K$379,2,0)," ")</f>
        <v xml:space="preserve"> </v>
      </c>
      <c r="C504" s="99"/>
      <c r="D504" s="100"/>
      <c r="E504" s="101"/>
      <c r="F504" s="101"/>
      <c r="G504" s="100" t="str">
        <f>IFERROR(VLOOKUP(Tablo519[[#This Row],[ÜRÜN KODU]],YMKODLARI!$A$1:$K$379,3,0)," ")</f>
        <v xml:space="preserve"> </v>
      </c>
      <c r="H504" s="100" t="str">
        <f>IFERROR(VLOOKUP(Tablo519[[#This Row],[ÜRÜN KODU]],YMKODLARI!$A$1:$K$379,4,0)," ")</f>
        <v xml:space="preserve"> </v>
      </c>
      <c r="I504" s="100"/>
      <c r="J504" s="100" t="str">
        <f>IFERROR(VLOOKUP(Tablo519[[#This Row],[ÜRÜN KODU]],YMKODLARI!$A$1:$K$379,9,0)," ")</f>
        <v xml:space="preserve"> </v>
      </c>
      <c r="K504" s="100" t="str">
        <f>IFERROR(VLOOKUP(Tablo519[[#This Row],[BOYA KODU]],Tablo14[#All],4,0)," ")</f>
        <v xml:space="preserve"> </v>
      </c>
      <c r="L504" s="100" t="str">
        <f>IFERROR(VLOOKUP(Tablo519[[#This Row],[BOYA KODU]],Tablo14[#All],6,0)," ")</f>
        <v xml:space="preserve"> </v>
      </c>
      <c r="M504" s="100" t="str">
        <f t="shared" si="53"/>
        <v xml:space="preserve"> </v>
      </c>
      <c r="N504" s="100" t="str">
        <f>IFERROR(VLOOKUP(Tablo519[[#This Row],[ÜRÜN KODU]],YMKODLARI!$A$1:$K$363,8,0)," ")</f>
        <v xml:space="preserve"> </v>
      </c>
      <c r="O504" s="100" t="str">
        <f>IFERROR(VLOOKUP(Tablo519[[#This Row],[HAMMADDE KODU]],Tablo1[#All],3,0)," ")</f>
        <v xml:space="preserve"> </v>
      </c>
      <c r="P504" s="100" t="str">
        <f>IFERROR(VLOOKUP(Tablo519[[#This Row],[HAMMADDE KODU]],Tablo1[#All],4,0)," ")</f>
        <v xml:space="preserve"> </v>
      </c>
      <c r="Q504" s="100" t="str">
        <f>IFERROR(VLOOKUP(Tablo519[[#This Row],[ÜRÜN KODU]],YMKODLARI!$A$1:$K$379,5,0)," ")</f>
        <v xml:space="preserve"> </v>
      </c>
      <c r="R504" s="100" t="str">
        <f>IFERROR(VLOOKUP(Tablo519[[#This Row],[ÜRÜN KODU]],YMKODLARI!$A$1:$K$379,6,0)," ")</f>
        <v xml:space="preserve"> </v>
      </c>
      <c r="S504" s="100" t="str">
        <f>IFERROR(Tablo519[[#This Row],[YOLLUK HARİÇ BASKI GRAMI]]/Tablo519[[#This Row],[KALIP GÖZ ADEDİ]]," ")</f>
        <v xml:space="preserve"> </v>
      </c>
      <c r="T504" s="100" t="str">
        <f t="shared" si="54"/>
        <v xml:space="preserve"> </v>
      </c>
      <c r="U504" s="100"/>
      <c r="V504" s="100" t="str">
        <f t="shared" si="59"/>
        <v xml:space="preserve"> </v>
      </c>
      <c r="W504" s="101">
        <f t="shared" si="55"/>
        <v>24</v>
      </c>
      <c r="X504" s="102">
        <f t="shared" si="56"/>
        <v>0</v>
      </c>
      <c r="Y504" s="100" t="str">
        <f t="shared" si="57"/>
        <v xml:space="preserve"> </v>
      </c>
      <c r="Z504" s="100" t="str">
        <f t="shared" si="58"/>
        <v xml:space="preserve"> </v>
      </c>
    </row>
    <row r="505" spans="1:26">
      <c r="A505" s="100"/>
      <c r="B505" s="108" t="str">
        <f>IFERROR(VLOOKUP(Tablo519[[#This Row],[ÜRÜN KODU]],YMKODLARI!$A$1:$K$379,2,0)," ")</f>
        <v xml:space="preserve"> </v>
      </c>
      <c r="C505" s="99"/>
      <c r="D505" s="100"/>
      <c r="E505" s="101"/>
      <c r="F505" s="101"/>
      <c r="G505" s="100" t="str">
        <f>IFERROR(VLOOKUP(Tablo519[[#This Row],[ÜRÜN KODU]],YMKODLARI!$A$1:$K$379,3,0)," ")</f>
        <v xml:space="preserve"> </v>
      </c>
      <c r="H505" s="100" t="str">
        <f>IFERROR(VLOOKUP(Tablo519[[#This Row],[ÜRÜN KODU]],YMKODLARI!$A$1:$K$379,4,0)," ")</f>
        <v xml:space="preserve"> </v>
      </c>
      <c r="I505" s="100"/>
      <c r="J505" s="100" t="str">
        <f>IFERROR(VLOOKUP(Tablo519[[#This Row],[ÜRÜN KODU]],YMKODLARI!$A$1:$K$379,9,0)," ")</f>
        <v xml:space="preserve"> </v>
      </c>
      <c r="K505" s="100" t="str">
        <f>IFERROR(VLOOKUP(Tablo519[[#This Row],[BOYA KODU]],Tablo14[#All],4,0)," ")</f>
        <v xml:space="preserve"> </v>
      </c>
      <c r="L505" s="100" t="str">
        <f>IFERROR(VLOOKUP(Tablo519[[#This Row],[BOYA KODU]],Tablo14[#All],6,0)," ")</f>
        <v xml:space="preserve"> </v>
      </c>
      <c r="M505" s="100" t="str">
        <f t="shared" si="53"/>
        <v xml:space="preserve"> </v>
      </c>
      <c r="N505" s="100" t="str">
        <f>IFERROR(VLOOKUP(Tablo519[[#This Row],[ÜRÜN KODU]],YMKODLARI!$A$1:$K$363,8,0)," ")</f>
        <v xml:space="preserve"> </v>
      </c>
      <c r="O505" s="100" t="str">
        <f>IFERROR(VLOOKUP(Tablo519[[#This Row],[HAMMADDE KODU]],Tablo1[#All],3,0)," ")</f>
        <v xml:space="preserve"> </v>
      </c>
      <c r="P505" s="100" t="str">
        <f>IFERROR(VLOOKUP(Tablo519[[#This Row],[HAMMADDE KODU]],Tablo1[#All],4,0)," ")</f>
        <v xml:space="preserve"> </v>
      </c>
      <c r="Q505" s="100" t="str">
        <f>IFERROR(VLOOKUP(Tablo519[[#This Row],[ÜRÜN KODU]],YMKODLARI!$A$1:$K$379,5,0)," ")</f>
        <v xml:space="preserve"> </v>
      </c>
      <c r="R505" s="100" t="str">
        <f>IFERROR(VLOOKUP(Tablo519[[#This Row],[ÜRÜN KODU]],YMKODLARI!$A$1:$K$379,6,0)," ")</f>
        <v xml:space="preserve"> </v>
      </c>
      <c r="S505" s="100" t="str">
        <f>IFERROR(Tablo519[[#This Row],[YOLLUK HARİÇ BASKI GRAMI]]/Tablo519[[#This Row],[KALIP GÖZ ADEDİ]]," ")</f>
        <v xml:space="preserve"> </v>
      </c>
      <c r="T505" s="100" t="str">
        <f t="shared" si="54"/>
        <v xml:space="preserve"> </v>
      </c>
      <c r="U505" s="100"/>
      <c r="V505" s="100" t="str">
        <f t="shared" si="59"/>
        <v xml:space="preserve"> </v>
      </c>
      <c r="W505" s="101">
        <f t="shared" si="55"/>
        <v>24</v>
      </c>
      <c r="X505" s="102">
        <f t="shared" si="56"/>
        <v>0</v>
      </c>
      <c r="Y505" s="100" t="str">
        <f t="shared" si="57"/>
        <v xml:space="preserve"> </v>
      </c>
      <c r="Z505" s="100" t="str">
        <f t="shared" si="58"/>
        <v xml:space="preserve"> </v>
      </c>
    </row>
    <row r="506" spans="1:26">
      <c r="A506" s="100"/>
      <c r="B506" s="108" t="str">
        <f>IFERROR(VLOOKUP(Tablo519[[#This Row],[ÜRÜN KODU]],YMKODLARI!$A$1:$K$379,2,0)," ")</f>
        <v xml:space="preserve"> </v>
      </c>
      <c r="C506" s="99"/>
      <c r="D506" s="100"/>
      <c r="E506" s="101"/>
      <c r="F506" s="101"/>
      <c r="G506" s="100" t="str">
        <f>IFERROR(VLOOKUP(Tablo519[[#This Row],[ÜRÜN KODU]],YMKODLARI!$A$1:$K$379,3,0)," ")</f>
        <v xml:space="preserve"> </v>
      </c>
      <c r="H506" s="100" t="str">
        <f>IFERROR(VLOOKUP(Tablo519[[#This Row],[ÜRÜN KODU]],YMKODLARI!$A$1:$K$379,4,0)," ")</f>
        <v xml:space="preserve"> </v>
      </c>
      <c r="I506" s="100"/>
      <c r="J506" s="100" t="str">
        <f>IFERROR(VLOOKUP(Tablo519[[#This Row],[ÜRÜN KODU]],YMKODLARI!$A$1:$K$379,9,0)," ")</f>
        <v xml:space="preserve"> </v>
      </c>
      <c r="K506" s="100" t="str">
        <f>IFERROR(VLOOKUP(Tablo519[[#This Row],[BOYA KODU]],Tablo14[#All],4,0)," ")</f>
        <v xml:space="preserve"> </v>
      </c>
      <c r="L506" s="100" t="str">
        <f>IFERROR(VLOOKUP(Tablo519[[#This Row],[BOYA KODU]],Tablo14[#All],6,0)," ")</f>
        <v xml:space="preserve"> </v>
      </c>
      <c r="M506" s="100" t="str">
        <f t="shared" si="53"/>
        <v xml:space="preserve"> </v>
      </c>
      <c r="N506" s="100" t="str">
        <f>IFERROR(VLOOKUP(Tablo519[[#This Row],[ÜRÜN KODU]],YMKODLARI!$A$1:$K$363,8,0)," ")</f>
        <v xml:space="preserve"> </v>
      </c>
      <c r="O506" s="100" t="str">
        <f>IFERROR(VLOOKUP(Tablo519[[#This Row],[HAMMADDE KODU]],Tablo1[#All],3,0)," ")</f>
        <v xml:space="preserve"> </v>
      </c>
      <c r="P506" s="100" t="str">
        <f>IFERROR(VLOOKUP(Tablo519[[#This Row],[HAMMADDE KODU]],Tablo1[#All],4,0)," ")</f>
        <v xml:space="preserve"> </v>
      </c>
      <c r="Q506" s="100" t="str">
        <f>IFERROR(VLOOKUP(Tablo519[[#This Row],[ÜRÜN KODU]],YMKODLARI!$A$1:$K$379,5,0)," ")</f>
        <v xml:space="preserve"> </v>
      </c>
      <c r="R506" s="100" t="str">
        <f>IFERROR(VLOOKUP(Tablo519[[#This Row],[ÜRÜN KODU]],YMKODLARI!$A$1:$K$379,6,0)," ")</f>
        <v xml:space="preserve"> </v>
      </c>
      <c r="S506" s="100" t="str">
        <f>IFERROR(Tablo519[[#This Row],[YOLLUK HARİÇ BASKI GRAMI]]/Tablo519[[#This Row],[KALIP GÖZ ADEDİ]]," ")</f>
        <v xml:space="preserve"> </v>
      </c>
      <c r="T506" s="100" t="str">
        <f t="shared" si="54"/>
        <v xml:space="preserve"> </v>
      </c>
      <c r="U506" s="100"/>
      <c r="V506" s="100" t="str">
        <f t="shared" si="59"/>
        <v xml:space="preserve"> </v>
      </c>
      <c r="W506" s="101">
        <f t="shared" si="55"/>
        <v>24</v>
      </c>
      <c r="X506" s="102">
        <f t="shared" si="56"/>
        <v>0</v>
      </c>
      <c r="Y506" s="100" t="str">
        <f t="shared" si="57"/>
        <v xml:space="preserve"> </v>
      </c>
      <c r="Z506" s="100" t="str">
        <f t="shared" si="58"/>
        <v xml:space="preserve"> </v>
      </c>
    </row>
    <row r="507" spans="1:26">
      <c r="A507" s="100"/>
      <c r="B507" s="108" t="str">
        <f>IFERROR(VLOOKUP(Tablo519[[#This Row],[ÜRÜN KODU]],YMKODLARI!$A$1:$K$379,2,0)," ")</f>
        <v xml:space="preserve"> </v>
      </c>
      <c r="C507" s="99"/>
      <c r="D507" s="100"/>
      <c r="E507" s="101"/>
      <c r="F507" s="101"/>
      <c r="G507" s="100" t="str">
        <f>IFERROR(VLOOKUP(Tablo519[[#This Row],[ÜRÜN KODU]],YMKODLARI!$A$1:$K$379,3,0)," ")</f>
        <v xml:space="preserve"> </v>
      </c>
      <c r="H507" s="100" t="str">
        <f>IFERROR(VLOOKUP(Tablo519[[#This Row],[ÜRÜN KODU]],YMKODLARI!$A$1:$K$379,4,0)," ")</f>
        <v xml:space="preserve"> </v>
      </c>
      <c r="I507" s="100"/>
      <c r="J507" s="100" t="str">
        <f>IFERROR(VLOOKUP(Tablo519[[#This Row],[ÜRÜN KODU]],YMKODLARI!$A$1:$K$379,9,0)," ")</f>
        <v xml:space="preserve"> </v>
      </c>
      <c r="K507" s="100" t="str">
        <f>IFERROR(VLOOKUP(Tablo519[[#This Row],[BOYA KODU]],Tablo14[#All],4,0)," ")</f>
        <v xml:space="preserve"> </v>
      </c>
      <c r="L507" s="100" t="str">
        <f>IFERROR(VLOOKUP(Tablo519[[#This Row],[BOYA KODU]],Tablo14[#All],6,0)," ")</f>
        <v xml:space="preserve"> </v>
      </c>
      <c r="M507" s="100" t="str">
        <f t="shared" si="53"/>
        <v xml:space="preserve"> </v>
      </c>
      <c r="N507" s="100" t="str">
        <f>IFERROR(VLOOKUP(Tablo519[[#This Row],[ÜRÜN KODU]],YMKODLARI!$A$1:$K$363,8,0)," ")</f>
        <v xml:space="preserve"> </v>
      </c>
      <c r="O507" s="100" t="str">
        <f>IFERROR(VLOOKUP(Tablo519[[#This Row],[HAMMADDE KODU]],Tablo1[#All],3,0)," ")</f>
        <v xml:space="preserve"> </v>
      </c>
      <c r="P507" s="100" t="str">
        <f>IFERROR(VLOOKUP(Tablo519[[#This Row],[HAMMADDE KODU]],Tablo1[#All],4,0)," ")</f>
        <v xml:space="preserve"> </v>
      </c>
      <c r="Q507" s="100" t="str">
        <f>IFERROR(VLOOKUP(Tablo519[[#This Row],[ÜRÜN KODU]],YMKODLARI!$A$1:$K$379,5,0)," ")</f>
        <v xml:space="preserve"> </v>
      </c>
      <c r="R507" s="100" t="str">
        <f>IFERROR(VLOOKUP(Tablo519[[#This Row],[ÜRÜN KODU]],YMKODLARI!$A$1:$K$379,6,0)," ")</f>
        <v xml:space="preserve"> </v>
      </c>
      <c r="S507" s="100" t="str">
        <f>IFERROR(Tablo519[[#This Row],[YOLLUK HARİÇ BASKI GRAMI]]/Tablo519[[#This Row],[KALIP GÖZ ADEDİ]]," ")</f>
        <v xml:space="preserve"> </v>
      </c>
      <c r="T507" s="100" t="str">
        <f t="shared" si="54"/>
        <v xml:space="preserve"> </v>
      </c>
      <c r="U507" s="100"/>
      <c r="V507" s="100" t="str">
        <f t="shared" si="59"/>
        <v xml:space="preserve"> </v>
      </c>
      <c r="W507" s="101">
        <f t="shared" si="55"/>
        <v>24</v>
      </c>
      <c r="X507" s="102">
        <f t="shared" si="56"/>
        <v>0</v>
      </c>
      <c r="Y507" s="100" t="str">
        <f t="shared" si="57"/>
        <v xml:space="preserve"> </v>
      </c>
      <c r="Z507" s="100" t="str">
        <f t="shared" si="58"/>
        <v xml:space="preserve"> </v>
      </c>
    </row>
    <row r="508" spans="1:26">
      <c r="A508" s="100"/>
      <c r="B508" s="108" t="str">
        <f>IFERROR(VLOOKUP(Tablo519[[#This Row],[ÜRÜN KODU]],YMKODLARI!$A$1:$K$379,2,0)," ")</f>
        <v xml:space="preserve"> </v>
      </c>
      <c r="C508" s="99"/>
      <c r="D508" s="100"/>
      <c r="E508" s="101"/>
      <c r="F508" s="101"/>
      <c r="G508" s="100" t="str">
        <f>IFERROR(VLOOKUP(Tablo519[[#This Row],[ÜRÜN KODU]],YMKODLARI!$A$1:$K$379,3,0)," ")</f>
        <v xml:space="preserve"> </v>
      </c>
      <c r="H508" s="100" t="str">
        <f>IFERROR(VLOOKUP(Tablo519[[#This Row],[ÜRÜN KODU]],YMKODLARI!$A$1:$K$379,4,0)," ")</f>
        <v xml:space="preserve"> </v>
      </c>
      <c r="I508" s="100"/>
      <c r="J508" s="100" t="str">
        <f>IFERROR(VLOOKUP(Tablo519[[#This Row],[ÜRÜN KODU]],YMKODLARI!$A$1:$K$379,9,0)," ")</f>
        <v xml:space="preserve"> </v>
      </c>
      <c r="K508" s="100" t="str">
        <f>IFERROR(VLOOKUP(Tablo519[[#This Row],[BOYA KODU]],Tablo14[#All],4,0)," ")</f>
        <v xml:space="preserve"> </v>
      </c>
      <c r="L508" s="100" t="str">
        <f>IFERROR(VLOOKUP(Tablo519[[#This Row],[BOYA KODU]],Tablo14[#All],6,0)," ")</f>
        <v xml:space="preserve"> </v>
      </c>
      <c r="M508" s="100" t="str">
        <f t="shared" si="53"/>
        <v xml:space="preserve"> </v>
      </c>
      <c r="N508" s="100" t="str">
        <f>IFERROR(VLOOKUP(Tablo519[[#This Row],[ÜRÜN KODU]],YMKODLARI!$A$1:$K$363,8,0)," ")</f>
        <v xml:space="preserve"> </v>
      </c>
      <c r="O508" s="100" t="str">
        <f>IFERROR(VLOOKUP(Tablo519[[#This Row],[HAMMADDE KODU]],Tablo1[#All],3,0)," ")</f>
        <v xml:space="preserve"> </v>
      </c>
      <c r="P508" s="100" t="str">
        <f>IFERROR(VLOOKUP(Tablo519[[#This Row],[HAMMADDE KODU]],Tablo1[#All],4,0)," ")</f>
        <v xml:space="preserve"> </v>
      </c>
      <c r="Q508" s="100" t="str">
        <f>IFERROR(VLOOKUP(Tablo519[[#This Row],[ÜRÜN KODU]],YMKODLARI!$A$1:$K$379,5,0)," ")</f>
        <v xml:space="preserve"> </v>
      </c>
      <c r="R508" s="100" t="str">
        <f>IFERROR(VLOOKUP(Tablo519[[#This Row],[ÜRÜN KODU]],YMKODLARI!$A$1:$K$379,6,0)," ")</f>
        <v xml:space="preserve"> </v>
      </c>
      <c r="S508" s="100" t="str">
        <f>IFERROR(Tablo519[[#This Row],[YOLLUK HARİÇ BASKI GRAMI]]/Tablo519[[#This Row],[KALIP GÖZ ADEDİ]]," ")</f>
        <v xml:space="preserve"> </v>
      </c>
      <c r="T508" s="100" t="str">
        <f t="shared" si="54"/>
        <v xml:space="preserve"> </v>
      </c>
      <c r="U508" s="100"/>
      <c r="V508" s="100" t="str">
        <f t="shared" si="59"/>
        <v xml:space="preserve"> </v>
      </c>
      <c r="W508" s="101">
        <f t="shared" si="55"/>
        <v>24</v>
      </c>
      <c r="X508" s="102">
        <f t="shared" si="56"/>
        <v>0</v>
      </c>
      <c r="Y508" s="100" t="str">
        <f t="shared" si="57"/>
        <v xml:space="preserve"> </v>
      </c>
      <c r="Z508" s="100" t="str">
        <f t="shared" si="58"/>
        <v xml:space="preserve"> </v>
      </c>
    </row>
    <row r="509" spans="1:26">
      <c r="A509" s="100"/>
      <c r="B509" s="108" t="str">
        <f>IFERROR(VLOOKUP(Tablo519[[#This Row],[ÜRÜN KODU]],YMKODLARI!$A$1:$K$379,2,0)," ")</f>
        <v xml:space="preserve"> </v>
      </c>
      <c r="C509" s="99"/>
      <c r="D509" s="100"/>
      <c r="E509" s="101"/>
      <c r="F509" s="101"/>
      <c r="G509" s="100" t="str">
        <f>IFERROR(VLOOKUP(Tablo519[[#This Row],[ÜRÜN KODU]],YMKODLARI!$A$1:$K$379,3,0)," ")</f>
        <v xml:space="preserve"> </v>
      </c>
      <c r="H509" s="100" t="str">
        <f>IFERROR(VLOOKUP(Tablo519[[#This Row],[ÜRÜN KODU]],YMKODLARI!$A$1:$K$379,4,0)," ")</f>
        <v xml:space="preserve"> </v>
      </c>
      <c r="I509" s="100"/>
      <c r="J509" s="100" t="str">
        <f>IFERROR(VLOOKUP(Tablo519[[#This Row],[ÜRÜN KODU]],YMKODLARI!$A$1:$K$379,9,0)," ")</f>
        <v xml:space="preserve"> </v>
      </c>
      <c r="K509" s="100" t="str">
        <f>IFERROR(VLOOKUP(Tablo519[[#This Row],[BOYA KODU]],Tablo14[#All],4,0)," ")</f>
        <v xml:space="preserve"> </v>
      </c>
      <c r="L509" s="100" t="str">
        <f>IFERROR(VLOOKUP(Tablo519[[#This Row],[BOYA KODU]],Tablo14[#All],6,0)," ")</f>
        <v xml:space="preserve"> </v>
      </c>
      <c r="M509" s="100" t="str">
        <f t="shared" si="53"/>
        <v xml:space="preserve"> </v>
      </c>
      <c r="N509" s="100" t="str">
        <f>IFERROR(VLOOKUP(Tablo519[[#This Row],[ÜRÜN KODU]],YMKODLARI!$A$1:$K$363,8,0)," ")</f>
        <v xml:space="preserve"> </v>
      </c>
      <c r="O509" s="100" t="str">
        <f>IFERROR(VLOOKUP(Tablo519[[#This Row],[HAMMADDE KODU]],Tablo1[#All],3,0)," ")</f>
        <v xml:space="preserve"> </v>
      </c>
      <c r="P509" s="100" t="str">
        <f>IFERROR(VLOOKUP(Tablo519[[#This Row],[HAMMADDE KODU]],Tablo1[#All],4,0)," ")</f>
        <v xml:space="preserve"> </v>
      </c>
      <c r="Q509" s="100" t="str">
        <f>IFERROR(VLOOKUP(Tablo519[[#This Row],[ÜRÜN KODU]],YMKODLARI!$A$1:$K$379,5,0)," ")</f>
        <v xml:space="preserve"> </v>
      </c>
      <c r="R509" s="100" t="str">
        <f>IFERROR(VLOOKUP(Tablo519[[#This Row],[ÜRÜN KODU]],YMKODLARI!$A$1:$K$379,6,0)," ")</f>
        <v xml:space="preserve"> </v>
      </c>
      <c r="S509" s="100" t="str">
        <f>IFERROR(Tablo519[[#This Row],[YOLLUK HARİÇ BASKI GRAMI]]/Tablo519[[#This Row],[KALIP GÖZ ADEDİ]]," ")</f>
        <v xml:space="preserve"> </v>
      </c>
      <c r="T509" s="100" t="str">
        <f t="shared" si="54"/>
        <v xml:space="preserve"> </v>
      </c>
      <c r="U509" s="100"/>
      <c r="V509" s="100" t="str">
        <f t="shared" si="59"/>
        <v xml:space="preserve"> </v>
      </c>
      <c r="W509" s="101">
        <f t="shared" si="55"/>
        <v>24</v>
      </c>
      <c r="X509" s="102">
        <f t="shared" si="56"/>
        <v>0</v>
      </c>
      <c r="Y509" s="100" t="str">
        <f t="shared" si="57"/>
        <v xml:space="preserve"> </v>
      </c>
      <c r="Z509" s="100" t="str">
        <f t="shared" si="58"/>
        <v xml:space="preserve"> </v>
      </c>
    </row>
    <row r="510" spans="1:26">
      <c r="A510" s="100"/>
      <c r="B510" s="108" t="str">
        <f>IFERROR(VLOOKUP(Tablo519[[#This Row],[ÜRÜN KODU]],YMKODLARI!$A$1:$K$379,2,0)," ")</f>
        <v xml:space="preserve"> </v>
      </c>
      <c r="C510" s="99"/>
      <c r="D510" s="100"/>
      <c r="E510" s="101"/>
      <c r="F510" s="101"/>
      <c r="G510" s="100" t="str">
        <f>IFERROR(VLOOKUP(Tablo519[[#This Row],[ÜRÜN KODU]],YMKODLARI!$A$1:$K$379,3,0)," ")</f>
        <v xml:space="preserve"> </v>
      </c>
      <c r="H510" s="100" t="str">
        <f>IFERROR(VLOOKUP(Tablo519[[#This Row],[ÜRÜN KODU]],YMKODLARI!$A$1:$K$379,4,0)," ")</f>
        <v xml:space="preserve"> </v>
      </c>
      <c r="I510" s="100"/>
      <c r="J510" s="100" t="str">
        <f>IFERROR(VLOOKUP(Tablo519[[#This Row],[ÜRÜN KODU]],YMKODLARI!$A$1:$K$379,9,0)," ")</f>
        <v xml:space="preserve"> </v>
      </c>
      <c r="K510" s="100" t="str">
        <f>IFERROR(VLOOKUP(Tablo519[[#This Row],[BOYA KODU]],Tablo14[#All],4,0)," ")</f>
        <v xml:space="preserve"> </v>
      </c>
      <c r="L510" s="100" t="str">
        <f>IFERROR(VLOOKUP(Tablo519[[#This Row],[BOYA KODU]],Tablo14[#All],6,0)," ")</f>
        <v xml:space="preserve"> </v>
      </c>
      <c r="M510" s="100" t="str">
        <f t="shared" si="53"/>
        <v xml:space="preserve"> </v>
      </c>
      <c r="N510" s="100" t="str">
        <f>IFERROR(VLOOKUP(Tablo519[[#This Row],[ÜRÜN KODU]],YMKODLARI!$A$1:$K$363,8,0)," ")</f>
        <v xml:space="preserve"> </v>
      </c>
      <c r="O510" s="100" t="str">
        <f>IFERROR(VLOOKUP(Tablo519[[#This Row],[HAMMADDE KODU]],Tablo1[#All],3,0)," ")</f>
        <v xml:space="preserve"> </v>
      </c>
      <c r="P510" s="100" t="str">
        <f>IFERROR(VLOOKUP(Tablo519[[#This Row],[HAMMADDE KODU]],Tablo1[#All],4,0)," ")</f>
        <v xml:space="preserve"> </v>
      </c>
      <c r="Q510" s="100" t="str">
        <f>IFERROR(VLOOKUP(Tablo519[[#This Row],[ÜRÜN KODU]],YMKODLARI!$A$1:$K$379,5,0)," ")</f>
        <v xml:space="preserve"> </v>
      </c>
      <c r="R510" s="100" t="str">
        <f>IFERROR(VLOOKUP(Tablo519[[#This Row],[ÜRÜN KODU]],YMKODLARI!$A$1:$K$379,6,0)," ")</f>
        <v xml:space="preserve"> </v>
      </c>
      <c r="S510" s="100" t="str">
        <f>IFERROR(Tablo519[[#This Row],[YOLLUK HARİÇ BASKI GRAMI]]/Tablo519[[#This Row],[KALIP GÖZ ADEDİ]]," ")</f>
        <v xml:space="preserve"> </v>
      </c>
      <c r="T510" s="100" t="str">
        <f t="shared" si="54"/>
        <v xml:space="preserve"> </v>
      </c>
      <c r="U510" s="100"/>
      <c r="V510" s="100" t="str">
        <f t="shared" si="59"/>
        <v xml:space="preserve"> </v>
      </c>
      <c r="W510" s="101">
        <f t="shared" si="55"/>
        <v>24</v>
      </c>
      <c r="X510" s="102">
        <f t="shared" si="56"/>
        <v>0</v>
      </c>
      <c r="Y510" s="100" t="str">
        <f t="shared" si="57"/>
        <v xml:space="preserve"> </v>
      </c>
      <c r="Z510" s="100" t="str">
        <f t="shared" si="58"/>
        <v xml:space="preserve"> </v>
      </c>
    </row>
    <row r="511" spans="1:26">
      <c r="A511" s="100"/>
      <c r="B511" s="108" t="str">
        <f>IFERROR(VLOOKUP(Tablo519[[#This Row],[ÜRÜN KODU]],YMKODLARI!$A$1:$K$379,2,0)," ")</f>
        <v xml:space="preserve"> </v>
      </c>
      <c r="C511" s="99"/>
      <c r="D511" s="100"/>
      <c r="E511" s="101"/>
      <c r="F511" s="101"/>
      <c r="G511" s="100" t="str">
        <f>IFERROR(VLOOKUP(Tablo519[[#This Row],[ÜRÜN KODU]],YMKODLARI!$A$1:$K$379,3,0)," ")</f>
        <v xml:space="preserve"> </v>
      </c>
      <c r="H511" s="100" t="str">
        <f>IFERROR(VLOOKUP(Tablo519[[#This Row],[ÜRÜN KODU]],YMKODLARI!$A$1:$K$379,4,0)," ")</f>
        <v xml:space="preserve"> </v>
      </c>
      <c r="I511" s="100"/>
      <c r="J511" s="100" t="str">
        <f>IFERROR(VLOOKUP(Tablo519[[#This Row],[ÜRÜN KODU]],YMKODLARI!$A$1:$K$379,9,0)," ")</f>
        <v xml:space="preserve"> </v>
      </c>
      <c r="K511" s="100" t="str">
        <f>IFERROR(VLOOKUP(Tablo519[[#This Row],[BOYA KODU]],Tablo14[#All],4,0)," ")</f>
        <v xml:space="preserve"> </v>
      </c>
      <c r="L511" s="100" t="str">
        <f>IFERROR(VLOOKUP(Tablo519[[#This Row],[BOYA KODU]],Tablo14[#All],6,0)," ")</f>
        <v xml:space="preserve"> </v>
      </c>
      <c r="M511" s="100" t="str">
        <f t="shared" si="53"/>
        <v xml:space="preserve"> </v>
      </c>
      <c r="N511" s="100" t="str">
        <f>IFERROR(VLOOKUP(Tablo519[[#This Row],[ÜRÜN KODU]],YMKODLARI!$A$1:$K$363,8,0)," ")</f>
        <v xml:space="preserve"> </v>
      </c>
      <c r="O511" s="100" t="str">
        <f>IFERROR(VLOOKUP(Tablo519[[#This Row],[HAMMADDE KODU]],Tablo1[#All],3,0)," ")</f>
        <v xml:space="preserve"> </v>
      </c>
      <c r="P511" s="100" t="str">
        <f>IFERROR(VLOOKUP(Tablo519[[#This Row],[HAMMADDE KODU]],Tablo1[#All],4,0)," ")</f>
        <v xml:space="preserve"> </v>
      </c>
      <c r="Q511" s="100" t="str">
        <f>IFERROR(VLOOKUP(Tablo519[[#This Row],[ÜRÜN KODU]],YMKODLARI!$A$1:$K$379,5,0)," ")</f>
        <v xml:space="preserve"> </v>
      </c>
      <c r="R511" s="100" t="str">
        <f>IFERROR(VLOOKUP(Tablo519[[#This Row],[ÜRÜN KODU]],YMKODLARI!$A$1:$K$379,6,0)," ")</f>
        <v xml:space="preserve"> </v>
      </c>
      <c r="S511" s="100" t="str">
        <f>IFERROR(Tablo519[[#This Row],[YOLLUK HARİÇ BASKI GRAMI]]/Tablo519[[#This Row],[KALIP GÖZ ADEDİ]]," ")</f>
        <v xml:space="preserve"> </v>
      </c>
      <c r="T511" s="100" t="str">
        <f t="shared" si="54"/>
        <v xml:space="preserve"> </v>
      </c>
      <c r="U511" s="100"/>
      <c r="V511" s="100" t="str">
        <f t="shared" si="59"/>
        <v xml:space="preserve"> </v>
      </c>
      <c r="W511" s="101">
        <f t="shared" si="55"/>
        <v>24</v>
      </c>
      <c r="X511" s="102">
        <f t="shared" si="56"/>
        <v>0</v>
      </c>
      <c r="Y511" s="100" t="str">
        <f t="shared" si="57"/>
        <v xml:space="preserve"> </v>
      </c>
      <c r="Z511" s="100" t="str">
        <f t="shared" si="58"/>
        <v xml:space="preserve"> </v>
      </c>
    </row>
    <row r="512" spans="1:26">
      <c r="A512" s="100"/>
      <c r="B512" s="108" t="str">
        <f>IFERROR(VLOOKUP(Tablo519[[#This Row],[ÜRÜN KODU]],YMKODLARI!$A$1:$K$379,2,0)," ")</f>
        <v xml:space="preserve"> </v>
      </c>
      <c r="C512" s="99"/>
      <c r="D512" s="100"/>
      <c r="E512" s="101"/>
      <c r="F512" s="101"/>
      <c r="G512" s="100" t="str">
        <f>IFERROR(VLOOKUP(Tablo519[[#This Row],[ÜRÜN KODU]],YMKODLARI!$A$1:$K$379,3,0)," ")</f>
        <v xml:space="preserve"> </v>
      </c>
      <c r="H512" s="100" t="str">
        <f>IFERROR(VLOOKUP(Tablo519[[#This Row],[ÜRÜN KODU]],YMKODLARI!$A$1:$K$379,4,0)," ")</f>
        <v xml:space="preserve"> </v>
      </c>
      <c r="I512" s="100"/>
      <c r="J512" s="100" t="str">
        <f>IFERROR(VLOOKUP(Tablo519[[#This Row],[ÜRÜN KODU]],YMKODLARI!$A$1:$K$379,9,0)," ")</f>
        <v xml:space="preserve"> </v>
      </c>
      <c r="K512" s="100" t="str">
        <f>IFERROR(VLOOKUP(Tablo519[[#This Row],[BOYA KODU]],Tablo14[#All],4,0)," ")</f>
        <v xml:space="preserve"> </v>
      </c>
      <c r="L512" s="100" t="str">
        <f>IFERROR(VLOOKUP(Tablo519[[#This Row],[BOYA KODU]],Tablo14[#All],6,0)," ")</f>
        <v xml:space="preserve"> </v>
      </c>
      <c r="M512" s="100" t="str">
        <f t="shared" si="53"/>
        <v xml:space="preserve"> </v>
      </c>
      <c r="N512" s="100" t="str">
        <f>IFERROR(VLOOKUP(Tablo519[[#This Row],[ÜRÜN KODU]],YMKODLARI!$A$1:$K$363,8,0)," ")</f>
        <v xml:space="preserve"> </v>
      </c>
      <c r="O512" s="100" t="str">
        <f>IFERROR(VLOOKUP(Tablo519[[#This Row],[HAMMADDE KODU]],Tablo1[#All],3,0)," ")</f>
        <v xml:space="preserve"> </v>
      </c>
      <c r="P512" s="100" t="str">
        <f>IFERROR(VLOOKUP(Tablo519[[#This Row],[HAMMADDE KODU]],Tablo1[#All],4,0)," ")</f>
        <v xml:space="preserve"> </v>
      </c>
      <c r="Q512" s="100" t="str">
        <f>IFERROR(VLOOKUP(Tablo519[[#This Row],[ÜRÜN KODU]],YMKODLARI!$A$1:$K$379,5,0)," ")</f>
        <v xml:space="preserve"> </v>
      </c>
      <c r="R512" s="100" t="str">
        <f>IFERROR(VLOOKUP(Tablo519[[#This Row],[ÜRÜN KODU]],YMKODLARI!$A$1:$K$379,6,0)," ")</f>
        <v xml:space="preserve"> </v>
      </c>
      <c r="S512" s="100" t="str">
        <f>IFERROR(Tablo519[[#This Row],[YOLLUK HARİÇ BASKI GRAMI]]/Tablo519[[#This Row],[KALIP GÖZ ADEDİ]]," ")</f>
        <v xml:space="preserve"> </v>
      </c>
      <c r="T512" s="100" t="str">
        <f t="shared" si="54"/>
        <v xml:space="preserve"> </v>
      </c>
      <c r="U512" s="100"/>
      <c r="V512" s="100" t="str">
        <f t="shared" si="59"/>
        <v xml:space="preserve"> </v>
      </c>
      <c r="W512" s="101">
        <f t="shared" si="55"/>
        <v>24</v>
      </c>
      <c r="X512" s="102">
        <f t="shared" si="56"/>
        <v>0</v>
      </c>
      <c r="Y512" s="100" t="str">
        <f t="shared" si="57"/>
        <v xml:space="preserve"> </v>
      </c>
      <c r="Z512" s="100" t="str">
        <f t="shared" si="58"/>
        <v xml:space="preserve"> </v>
      </c>
    </row>
    <row r="513" spans="1:26">
      <c r="A513" s="100"/>
      <c r="B513" s="108" t="str">
        <f>IFERROR(VLOOKUP(Tablo519[[#This Row],[ÜRÜN KODU]],YMKODLARI!$A$1:$K$379,2,0)," ")</f>
        <v xml:space="preserve"> </v>
      </c>
      <c r="C513" s="99"/>
      <c r="D513" s="100"/>
      <c r="E513" s="101"/>
      <c r="F513" s="101"/>
      <c r="G513" s="100" t="str">
        <f>IFERROR(VLOOKUP(Tablo519[[#This Row],[ÜRÜN KODU]],YMKODLARI!$A$1:$K$379,3,0)," ")</f>
        <v xml:space="preserve"> </v>
      </c>
      <c r="H513" s="100" t="str">
        <f>IFERROR(VLOOKUP(Tablo519[[#This Row],[ÜRÜN KODU]],YMKODLARI!$A$1:$K$379,4,0)," ")</f>
        <v xml:space="preserve"> </v>
      </c>
      <c r="I513" s="100"/>
      <c r="J513" s="100" t="str">
        <f>IFERROR(VLOOKUP(Tablo519[[#This Row],[ÜRÜN KODU]],YMKODLARI!$A$1:$K$379,9,0)," ")</f>
        <v xml:space="preserve"> </v>
      </c>
      <c r="K513" s="100" t="str">
        <f>IFERROR(VLOOKUP(Tablo519[[#This Row],[BOYA KODU]],Tablo14[#All],4,0)," ")</f>
        <v xml:space="preserve"> </v>
      </c>
      <c r="L513" s="100" t="str">
        <f>IFERROR(VLOOKUP(Tablo519[[#This Row],[BOYA KODU]],Tablo14[#All],6,0)," ")</f>
        <v xml:space="preserve"> </v>
      </c>
      <c r="M513" s="100" t="str">
        <f t="shared" si="53"/>
        <v xml:space="preserve"> </v>
      </c>
      <c r="N513" s="100" t="str">
        <f>IFERROR(VLOOKUP(Tablo519[[#This Row],[ÜRÜN KODU]],YMKODLARI!$A$1:$K$363,8,0)," ")</f>
        <v xml:space="preserve"> </v>
      </c>
      <c r="O513" s="100" t="str">
        <f>IFERROR(VLOOKUP(Tablo519[[#This Row],[HAMMADDE KODU]],Tablo1[#All],3,0)," ")</f>
        <v xml:space="preserve"> </v>
      </c>
      <c r="P513" s="100" t="str">
        <f>IFERROR(VLOOKUP(Tablo519[[#This Row],[HAMMADDE KODU]],Tablo1[#All],4,0)," ")</f>
        <v xml:space="preserve"> </v>
      </c>
      <c r="Q513" s="100" t="str">
        <f>IFERROR(VLOOKUP(Tablo519[[#This Row],[ÜRÜN KODU]],YMKODLARI!$A$1:$K$379,5,0)," ")</f>
        <v xml:space="preserve"> </v>
      </c>
      <c r="R513" s="100" t="str">
        <f>IFERROR(VLOOKUP(Tablo519[[#This Row],[ÜRÜN KODU]],YMKODLARI!$A$1:$K$379,6,0)," ")</f>
        <v xml:space="preserve"> </v>
      </c>
      <c r="S513" s="100" t="str">
        <f>IFERROR(Tablo519[[#This Row],[YOLLUK HARİÇ BASKI GRAMI]]/Tablo519[[#This Row],[KALIP GÖZ ADEDİ]]," ")</f>
        <v xml:space="preserve"> </v>
      </c>
      <c r="T513" s="100" t="str">
        <f t="shared" si="54"/>
        <v xml:space="preserve"> </v>
      </c>
      <c r="U513" s="100"/>
      <c r="V513" s="100" t="str">
        <f t="shared" si="59"/>
        <v xml:space="preserve"> </v>
      </c>
      <c r="W513" s="101">
        <f t="shared" si="55"/>
        <v>24</v>
      </c>
      <c r="X513" s="102">
        <f t="shared" si="56"/>
        <v>0</v>
      </c>
      <c r="Y513" s="100" t="str">
        <f t="shared" si="57"/>
        <v xml:space="preserve"> </v>
      </c>
      <c r="Z513" s="100" t="str">
        <f t="shared" si="58"/>
        <v xml:space="preserve"> </v>
      </c>
    </row>
    <row r="514" spans="1:26">
      <c r="A514" s="100"/>
      <c r="B514" s="108" t="str">
        <f>IFERROR(VLOOKUP(Tablo519[[#This Row],[ÜRÜN KODU]],YMKODLARI!$A$1:$K$379,2,0)," ")</f>
        <v xml:space="preserve"> </v>
      </c>
      <c r="C514" s="99"/>
      <c r="D514" s="100"/>
      <c r="E514" s="101"/>
      <c r="F514" s="101"/>
      <c r="G514" s="100" t="str">
        <f>IFERROR(VLOOKUP(Tablo519[[#This Row],[ÜRÜN KODU]],YMKODLARI!$A$1:$K$379,3,0)," ")</f>
        <v xml:space="preserve"> </v>
      </c>
      <c r="H514" s="100" t="str">
        <f>IFERROR(VLOOKUP(Tablo519[[#This Row],[ÜRÜN KODU]],YMKODLARI!$A$1:$K$379,4,0)," ")</f>
        <v xml:space="preserve"> </v>
      </c>
      <c r="I514" s="100"/>
      <c r="J514" s="100" t="str">
        <f>IFERROR(VLOOKUP(Tablo519[[#This Row],[ÜRÜN KODU]],YMKODLARI!$A$1:$K$379,9,0)," ")</f>
        <v xml:space="preserve"> </v>
      </c>
      <c r="K514" s="100" t="str">
        <f>IFERROR(VLOOKUP(Tablo519[[#This Row],[BOYA KODU]],Tablo14[#All],4,0)," ")</f>
        <v xml:space="preserve"> </v>
      </c>
      <c r="L514" s="100" t="str">
        <f>IFERROR(VLOOKUP(Tablo519[[#This Row],[BOYA KODU]],Tablo14[#All],6,0)," ")</f>
        <v xml:space="preserve"> </v>
      </c>
      <c r="M514" s="100" t="str">
        <f t="shared" ref="M514:M571" si="60">IFERROR((I514*Q514)*L514," ")</f>
        <v xml:space="preserve"> </v>
      </c>
      <c r="N514" s="100" t="str">
        <f>IFERROR(VLOOKUP(Tablo519[[#This Row],[ÜRÜN KODU]],YMKODLARI!$A$1:$K$363,8,0)," ")</f>
        <v xml:space="preserve"> </v>
      </c>
      <c r="O514" s="100" t="str">
        <f>IFERROR(VLOOKUP(Tablo519[[#This Row],[HAMMADDE KODU]],Tablo1[#All],3,0)," ")</f>
        <v xml:space="preserve"> </v>
      </c>
      <c r="P514" s="100" t="str">
        <f>IFERROR(VLOOKUP(Tablo519[[#This Row],[HAMMADDE KODU]],Tablo1[#All],4,0)," ")</f>
        <v xml:space="preserve"> </v>
      </c>
      <c r="Q514" s="100" t="str">
        <f>IFERROR(VLOOKUP(Tablo519[[#This Row],[ÜRÜN KODU]],YMKODLARI!$A$1:$K$379,5,0)," ")</f>
        <v xml:space="preserve"> </v>
      </c>
      <c r="R514" s="100" t="str">
        <f>IFERROR(VLOOKUP(Tablo519[[#This Row],[ÜRÜN KODU]],YMKODLARI!$A$1:$K$379,6,0)," ")</f>
        <v xml:space="preserve"> </v>
      </c>
      <c r="S514" s="100" t="str">
        <f>IFERROR(Tablo519[[#This Row],[YOLLUK HARİÇ BASKI GRAMI]]/Tablo519[[#This Row],[KALIP GÖZ ADEDİ]]," ")</f>
        <v xml:space="preserve"> </v>
      </c>
      <c r="T514" s="100" t="str">
        <f t="shared" si="54"/>
        <v xml:space="preserve"> </v>
      </c>
      <c r="U514" s="100"/>
      <c r="V514" s="100" t="str">
        <f t="shared" si="59"/>
        <v xml:space="preserve"> </v>
      </c>
      <c r="W514" s="101">
        <f t="shared" si="55"/>
        <v>24</v>
      </c>
      <c r="X514" s="102">
        <f t="shared" si="56"/>
        <v>0</v>
      </c>
      <c r="Y514" s="100" t="str">
        <f t="shared" si="57"/>
        <v xml:space="preserve"> </v>
      </c>
      <c r="Z514" s="100" t="str">
        <f t="shared" si="58"/>
        <v xml:space="preserve"> </v>
      </c>
    </row>
    <row r="515" spans="1:26">
      <c r="A515" s="100"/>
      <c r="B515" s="108" t="str">
        <f>IFERROR(VLOOKUP(Tablo519[[#This Row],[ÜRÜN KODU]],YMKODLARI!$A$1:$K$379,2,0)," ")</f>
        <v xml:space="preserve"> </v>
      </c>
      <c r="C515" s="99"/>
      <c r="D515" s="100"/>
      <c r="E515" s="101"/>
      <c r="F515" s="101"/>
      <c r="G515" s="100" t="str">
        <f>IFERROR(VLOOKUP(Tablo519[[#This Row],[ÜRÜN KODU]],YMKODLARI!$A$1:$K$379,3,0)," ")</f>
        <v xml:space="preserve"> </v>
      </c>
      <c r="H515" s="100" t="str">
        <f>IFERROR(VLOOKUP(Tablo519[[#This Row],[ÜRÜN KODU]],YMKODLARI!$A$1:$K$379,4,0)," ")</f>
        <v xml:space="preserve"> </v>
      </c>
      <c r="I515" s="100"/>
      <c r="J515" s="100" t="str">
        <f>IFERROR(VLOOKUP(Tablo519[[#This Row],[ÜRÜN KODU]],YMKODLARI!$A$1:$K$379,9,0)," ")</f>
        <v xml:space="preserve"> </v>
      </c>
      <c r="K515" s="100" t="str">
        <f>IFERROR(VLOOKUP(Tablo519[[#This Row],[BOYA KODU]],Tablo14[#All],4,0)," ")</f>
        <v xml:space="preserve"> </v>
      </c>
      <c r="L515" s="100" t="str">
        <f>IFERROR(VLOOKUP(Tablo519[[#This Row],[BOYA KODU]],Tablo14[#All],6,0)," ")</f>
        <v xml:space="preserve"> </v>
      </c>
      <c r="M515" s="100" t="str">
        <f t="shared" si="60"/>
        <v xml:space="preserve"> </v>
      </c>
      <c r="N515" s="100" t="str">
        <f>IFERROR(VLOOKUP(Tablo519[[#This Row],[ÜRÜN KODU]],YMKODLARI!$A$1:$K$363,8,0)," ")</f>
        <v xml:space="preserve"> </v>
      </c>
      <c r="O515" s="100" t="str">
        <f>IFERROR(VLOOKUP(Tablo519[[#This Row],[HAMMADDE KODU]],Tablo1[#All],3,0)," ")</f>
        <v xml:space="preserve"> </v>
      </c>
      <c r="P515" s="100" t="str">
        <f>IFERROR(VLOOKUP(Tablo519[[#This Row],[HAMMADDE KODU]],Tablo1[#All],4,0)," ")</f>
        <v xml:space="preserve"> </v>
      </c>
      <c r="Q515" s="100" t="str">
        <f>IFERROR(VLOOKUP(Tablo519[[#This Row],[ÜRÜN KODU]],YMKODLARI!$A$1:$K$379,5,0)," ")</f>
        <v xml:space="preserve"> </v>
      </c>
      <c r="R515" s="100" t="str">
        <f>IFERROR(VLOOKUP(Tablo519[[#This Row],[ÜRÜN KODU]],YMKODLARI!$A$1:$K$379,6,0)," ")</f>
        <v xml:space="preserve"> </v>
      </c>
      <c r="S515" s="100" t="str">
        <f>IFERROR(Tablo519[[#This Row],[YOLLUK HARİÇ BASKI GRAMI]]/Tablo519[[#This Row],[KALIP GÖZ ADEDİ]]," ")</f>
        <v xml:space="preserve"> </v>
      </c>
      <c r="T515" s="100" t="str">
        <f t="shared" ref="T515:T571" si="61">IFERROR(Q515-R515," ")</f>
        <v xml:space="preserve"> </v>
      </c>
      <c r="U515" s="100"/>
      <c r="V515" s="100" t="str">
        <f t="shared" si="59"/>
        <v xml:space="preserve"> </v>
      </c>
      <c r="W515" s="101">
        <f t="shared" ref="W515:W571" si="62">IFERROR(24-(E515-F515)," ")</f>
        <v>24</v>
      </c>
      <c r="X515" s="102">
        <f t="shared" ref="X515:X571" si="63">IFERROR((W515-INT(W515))*24," ")</f>
        <v>0</v>
      </c>
      <c r="Y515" s="100" t="str">
        <f t="shared" ref="Y515:Y571" si="64">IFERROR(H515*I515/3600," ")</f>
        <v xml:space="preserve"> </v>
      </c>
      <c r="Z515" s="100" t="str">
        <f t="shared" ref="Z515:Z571" si="65">IFERROR(I515*G515," " )</f>
        <v xml:space="preserve"> </v>
      </c>
    </row>
    <row r="516" spans="1:26">
      <c r="A516" s="100"/>
      <c r="B516" s="108" t="str">
        <f>IFERROR(VLOOKUP(Tablo519[[#This Row],[ÜRÜN KODU]],YMKODLARI!$A$1:$K$379,2,0)," ")</f>
        <v xml:space="preserve"> </v>
      </c>
      <c r="C516" s="99"/>
      <c r="D516" s="100"/>
      <c r="E516" s="101"/>
      <c r="F516" s="101"/>
      <c r="G516" s="100" t="str">
        <f>IFERROR(VLOOKUP(Tablo519[[#This Row],[ÜRÜN KODU]],YMKODLARI!$A$1:$K$379,3,0)," ")</f>
        <v xml:space="preserve"> </v>
      </c>
      <c r="H516" s="100" t="str">
        <f>IFERROR(VLOOKUP(Tablo519[[#This Row],[ÜRÜN KODU]],YMKODLARI!$A$1:$K$379,4,0)," ")</f>
        <v xml:space="preserve"> </v>
      </c>
      <c r="I516" s="100"/>
      <c r="J516" s="100" t="str">
        <f>IFERROR(VLOOKUP(Tablo519[[#This Row],[ÜRÜN KODU]],YMKODLARI!$A$1:$K$379,9,0)," ")</f>
        <v xml:space="preserve"> </v>
      </c>
      <c r="K516" s="100" t="str">
        <f>IFERROR(VLOOKUP(Tablo519[[#This Row],[BOYA KODU]],Tablo14[#All],4,0)," ")</f>
        <v xml:space="preserve"> </v>
      </c>
      <c r="L516" s="100" t="str">
        <f>IFERROR(VLOOKUP(Tablo519[[#This Row],[BOYA KODU]],Tablo14[#All],6,0)," ")</f>
        <v xml:space="preserve"> </v>
      </c>
      <c r="M516" s="100" t="str">
        <f t="shared" si="60"/>
        <v xml:space="preserve"> </v>
      </c>
      <c r="N516" s="100" t="str">
        <f>IFERROR(VLOOKUP(Tablo519[[#This Row],[ÜRÜN KODU]],YMKODLARI!$A$1:$K$363,8,0)," ")</f>
        <v xml:space="preserve"> </v>
      </c>
      <c r="O516" s="100" t="str">
        <f>IFERROR(VLOOKUP(Tablo519[[#This Row],[HAMMADDE KODU]],Tablo1[#All],3,0)," ")</f>
        <v xml:space="preserve"> </v>
      </c>
      <c r="P516" s="100" t="str">
        <f>IFERROR(VLOOKUP(Tablo519[[#This Row],[HAMMADDE KODU]],Tablo1[#All],4,0)," ")</f>
        <v xml:space="preserve"> </v>
      </c>
      <c r="Q516" s="100" t="str">
        <f>IFERROR(VLOOKUP(Tablo519[[#This Row],[ÜRÜN KODU]],YMKODLARI!$A$1:$K$379,5,0)," ")</f>
        <v xml:space="preserve"> </v>
      </c>
      <c r="R516" s="100" t="str">
        <f>IFERROR(VLOOKUP(Tablo519[[#This Row],[ÜRÜN KODU]],YMKODLARI!$A$1:$K$379,6,0)," ")</f>
        <v xml:space="preserve"> </v>
      </c>
      <c r="S516" s="100" t="str">
        <f>IFERROR(Tablo519[[#This Row],[YOLLUK HARİÇ BASKI GRAMI]]/Tablo519[[#This Row],[KALIP GÖZ ADEDİ]]," ")</f>
        <v xml:space="preserve"> </v>
      </c>
      <c r="T516" s="100" t="str">
        <f t="shared" si="61"/>
        <v xml:space="preserve"> </v>
      </c>
      <c r="U516" s="100"/>
      <c r="V516" s="100" t="str">
        <f t="shared" si="59"/>
        <v xml:space="preserve"> </v>
      </c>
      <c r="W516" s="101">
        <f t="shared" si="62"/>
        <v>24</v>
      </c>
      <c r="X516" s="102">
        <f t="shared" si="63"/>
        <v>0</v>
      </c>
      <c r="Y516" s="100" t="str">
        <f t="shared" si="64"/>
        <v xml:space="preserve"> </v>
      </c>
      <c r="Z516" s="100" t="str">
        <f t="shared" si="65"/>
        <v xml:space="preserve"> </v>
      </c>
    </row>
    <row r="517" spans="1:26">
      <c r="A517" s="100"/>
      <c r="B517" s="108" t="str">
        <f>IFERROR(VLOOKUP(Tablo519[[#This Row],[ÜRÜN KODU]],YMKODLARI!$A$1:$K$379,2,0)," ")</f>
        <v xml:space="preserve"> </v>
      </c>
      <c r="C517" s="99"/>
      <c r="D517" s="100"/>
      <c r="E517" s="101"/>
      <c r="F517" s="101"/>
      <c r="G517" s="100" t="str">
        <f>IFERROR(VLOOKUP(Tablo519[[#This Row],[ÜRÜN KODU]],YMKODLARI!$A$1:$K$379,3,0)," ")</f>
        <v xml:space="preserve"> </v>
      </c>
      <c r="H517" s="100" t="str">
        <f>IFERROR(VLOOKUP(Tablo519[[#This Row],[ÜRÜN KODU]],YMKODLARI!$A$1:$K$379,4,0)," ")</f>
        <v xml:space="preserve"> </v>
      </c>
      <c r="I517" s="100"/>
      <c r="J517" s="100" t="str">
        <f>IFERROR(VLOOKUP(Tablo519[[#This Row],[ÜRÜN KODU]],YMKODLARI!$A$1:$K$379,9,0)," ")</f>
        <v xml:space="preserve"> </v>
      </c>
      <c r="K517" s="100" t="str">
        <f>IFERROR(VLOOKUP(Tablo519[[#This Row],[BOYA KODU]],Tablo14[#All],4,0)," ")</f>
        <v xml:space="preserve"> </v>
      </c>
      <c r="L517" s="100" t="str">
        <f>IFERROR(VLOOKUP(Tablo519[[#This Row],[BOYA KODU]],Tablo14[#All],6,0)," ")</f>
        <v xml:space="preserve"> </v>
      </c>
      <c r="M517" s="100" t="str">
        <f t="shared" si="60"/>
        <v xml:space="preserve"> </v>
      </c>
      <c r="N517" s="100" t="str">
        <f>IFERROR(VLOOKUP(Tablo519[[#This Row],[ÜRÜN KODU]],YMKODLARI!$A$1:$K$363,8,0)," ")</f>
        <v xml:space="preserve"> </v>
      </c>
      <c r="O517" s="100" t="str">
        <f>IFERROR(VLOOKUP(Tablo519[[#This Row],[HAMMADDE KODU]],Tablo1[#All],3,0)," ")</f>
        <v xml:space="preserve"> </v>
      </c>
      <c r="P517" s="100" t="str">
        <f>IFERROR(VLOOKUP(Tablo519[[#This Row],[HAMMADDE KODU]],Tablo1[#All],4,0)," ")</f>
        <v xml:space="preserve"> </v>
      </c>
      <c r="Q517" s="100" t="str">
        <f>IFERROR(VLOOKUP(Tablo519[[#This Row],[ÜRÜN KODU]],YMKODLARI!$A$1:$K$379,5,0)," ")</f>
        <v xml:space="preserve"> </v>
      </c>
      <c r="R517" s="100" t="str">
        <f>IFERROR(VLOOKUP(Tablo519[[#This Row],[ÜRÜN KODU]],YMKODLARI!$A$1:$K$379,6,0)," ")</f>
        <v xml:space="preserve"> </v>
      </c>
      <c r="S517" s="100" t="str">
        <f>IFERROR(Tablo519[[#This Row],[YOLLUK HARİÇ BASKI GRAMI]]/Tablo519[[#This Row],[KALIP GÖZ ADEDİ]]," ")</f>
        <v xml:space="preserve"> </v>
      </c>
      <c r="T517" s="100" t="str">
        <f t="shared" si="61"/>
        <v xml:space="preserve"> </v>
      </c>
      <c r="U517" s="100"/>
      <c r="V517" s="100" t="str">
        <f t="shared" si="59"/>
        <v xml:space="preserve"> </v>
      </c>
      <c r="W517" s="101">
        <f t="shared" si="62"/>
        <v>24</v>
      </c>
      <c r="X517" s="102">
        <f t="shared" si="63"/>
        <v>0</v>
      </c>
      <c r="Y517" s="100" t="str">
        <f t="shared" si="64"/>
        <v xml:space="preserve"> </v>
      </c>
      <c r="Z517" s="100" t="str">
        <f t="shared" si="65"/>
        <v xml:space="preserve"> </v>
      </c>
    </row>
    <row r="518" spans="1:26">
      <c r="A518" s="100"/>
      <c r="B518" s="108" t="str">
        <f>IFERROR(VLOOKUP(Tablo519[[#This Row],[ÜRÜN KODU]],YMKODLARI!$A$1:$K$379,2,0)," ")</f>
        <v xml:space="preserve"> </v>
      </c>
      <c r="C518" s="99"/>
      <c r="D518" s="100"/>
      <c r="E518" s="101"/>
      <c r="F518" s="101"/>
      <c r="G518" s="100" t="str">
        <f>IFERROR(VLOOKUP(Tablo519[[#This Row],[ÜRÜN KODU]],YMKODLARI!$A$1:$K$379,3,0)," ")</f>
        <v xml:space="preserve"> </v>
      </c>
      <c r="H518" s="100" t="str">
        <f>IFERROR(VLOOKUP(Tablo519[[#This Row],[ÜRÜN KODU]],YMKODLARI!$A$1:$K$379,4,0)," ")</f>
        <v xml:space="preserve"> </v>
      </c>
      <c r="I518" s="100"/>
      <c r="J518" s="100" t="str">
        <f>IFERROR(VLOOKUP(Tablo519[[#This Row],[ÜRÜN KODU]],YMKODLARI!$A$1:$K$379,9,0)," ")</f>
        <v xml:space="preserve"> </v>
      </c>
      <c r="K518" s="100" t="str">
        <f>IFERROR(VLOOKUP(Tablo519[[#This Row],[BOYA KODU]],Tablo14[#All],4,0)," ")</f>
        <v xml:space="preserve"> </v>
      </c>
      <c r="L518" s="100" t="str">
        <f>IFERROR(VLOOKUP(Tablo519[[#This Row],[BOYA KODU]],Tablo14[#All],6,0)," ")</f>
        <v xml:space="preserve"> </v>
      </c>
      <c r="M518" s="100" t="str">
        <f t="shared" si="60"/>
        <v xml:space="preserve"> </v>
      </c>
      <c r="N518" s="100" t="str">
        <f>IFERROR(VLOOKUP(Tablo519[[#This Row],[ÜRÜN KODU]],YMKODLARI!$A$1:$K$363,8,0)," ")</f>
        <v xml:space="preserve"> </v>
      </c>
      <c r="O518" s="100" t="str">
        <f>IFERROR(VLOOKUP(Tablo519[[#This Row],[HAMMADDE KODU]],Tablo1[#All],3,0)," ")</f>
        <v xml:space="preserve"> </v>
      </c>
      <c r="P518" s="100" t="str">
        <f>IFERROR(VLOOKUP(Tablo519[[#This Row],[HAMMADDE KODU]],Tablo1[#All],4,0)," ")</f>
        <v xml:space="preserve"> </v>
      </c>
      <c r="Q518" s="100" t="str">
        <f>IFERROR(VLOOKUP(Tablo519[[#This Row],[ÜRÜN KODU]],YMKODLARI!$A$1:$K$379,5,0)," ")</f>
        <v xml:space="preserve"> </v>
      </c>
      <c r="R518" s="100" t="str">
        <f>IFERROR(VLOOKUP(Tablo519[[#This Row],[ÜRÜN KODU]],YMKODLARI!$A$1:$K$379,6,0)," ")</f>
        <v xml:space="preserve"> </v>
      </c>
      <c r="S518" s="100" t="str">
        <f>IFERROR(Tablo519[[#This Row],[YOLLUK HARİÇ BASKI GRAMI]]/Tablo519[[#This Row],[KALIP GÖZ ADEDİ]]," ")</f>
        <v xml:space="preserve"> </v>
      </c>
      <c r="T518" s="100" t="str">
        <f t="shared" si="61"/>
        <v xml:space="preserve"> </v>
      </c>
      <c r="U518" s="100"/>
      <c r="V518" s="100" t="str">
        <f t="shared" si="59"/>
        <v xml:space="preserve"> </v>
      </c>
      <c r="W518" s="101">
        <f t="shared" si="62"/>
        <v>24</v>
      </c>
      <c r="X518" s="102">
        <f t="shared" si="63"/>
        <v>0</v>
      </c>
      <c r="Y518" s="100" t="str">
        <f t="shared" si="64"/>
        <v xml:space="preserve"> </v>
      </c>
      <c r="Z518" s="100" t="str">
        <f t="shared" si="65"/>
        <v xml:space="preserve"> </v>
      </c>
    </row>
    <row r="519" spans="1:26">
      <c r="A519" s="100"/>
      <c r="B519" s="108" t="str">
        <f>IFERROR(VLOOKUP(Tablo519[[#This Row],[ÜRÜN KODU]],YMKODLARI!$A$1:$K$379,2,0)," ")</f>
        <v xml:space="preserve"> </v>
      </c>
      <c r="C519" s="99"/>
      <c r="D519" s="100"/>
      <c r="E519" s="101"/>
      <c r="F519" s="101"/>
      <c r="G519" s="100" t="str">
        <f>IFERROR(VLOOKUP(Tablo519[[#This Row],[ÜRÜN KODU]],YMKODLARI!$A$1:$K$379,3,0)," ")</f>
        <v xml:space="preserve"> </v>
      </c>
      <c r="H519" s="100" t="str">
        <f>IFERROR(VLOOKUP(Tablo519[[#This Row],[ÜRÜN KODU]],YMKODLARI!$A$1:$K$379,4,0)," ")</f>
        <v xml:space="preserve"> </v>
      </c>
      <c r="I519" s="100"/>
      <c r="J519" s="100" t="str">
        <f>IFERROR(VLOOKUP(Tablo519[[#This Row],[ÜRÜN KODU]],YMKODLARI!$A$1:$K$379,9,0)," ")</f>
        <v xml:space="preserve"> </v>
      </c>
      <c r="K519" s="100" t="str">
        <f>IFERROR(VLOOKUP(Tablo519[[#This Row],[BOYA KODU]],Tablo14[#All],4,0)," ")</f>
        <v xml:space="preserve"> </v>
      </c>
      <c r="L519" s="100" t="str">
        <f>IFERROR(VLOOKUP(Tablo519[[#This Row],[BOYA KODU]],Tablo14[#All],6,0)," ")</f>
        <v xml:space="preserve"> </v>
      </c>
      <c r="M519" s="100" t="str">
        <f t="shared" si="60"/>
        <v xml:space="preserve"> </v>
      </c>
      <c r="N519" s="100" t="str">
        <f>IFERROR(VLOOKUP(Tablo519[[#This Row],[ÜRÜN KODU]],YMKODLARI!$A$1:$K$363,8,0)," ")</f>
        <v xml:space="preserve"> </v>
      </c>
      <c r="O519" s="100" t="str">
        <f>IFERROR(VLOOKUP(Tablo519[[#This Row],[HAMMADDE KODU]],Tablo1[#All],3,0)," ")</f>
        <v xml:space="preserve"> </v>
      </c>
      <c r="P519" s="100" t="str">
        <f>IFERROR(VLOOKUP(Tablo519[[#This Row],[HAMMADDE KODU]],Tablo1[#All],4,0)," ")</f>
        <v xml:space="preserve"> </v>
      </c>
      <c r="Q519" s="100" t="str">
        <f>IFERROR(VLOOKUP(Tablo519[[#This Row],[ÜRÜN KODU]],YMKODLARI!$A$1:$K$379,5,0)," ")</f>
        <v xml:space="preserve"> </v>
      </c>
      <c r="R519" s="100" t="str">
        <f>IFERROR(VLOOKUP(Tablo519[[#This Row],[ÜRÜN KODU]],YMKODLARI!$A$1:$K$379,6,0)," ")</f>
        <v xml:space="preserve"> </v>
      </c>
      <c r="S519" s="100" t="str">
        <f>IFERROR(Tablo519[[#This Row],[YOLLUK HARİÇ BASKI GRAMI]]/Tablo519[[#This Row],[KALIP GÖZ ADEDİ]]," ")</f>
        <v xml:space="preserve"> </v>
      </c>
      <c r="T519" s="100" t="str">
        <f t="shared" si="61"/>
        <v xml:space="preserve"> </v>
      </c>
      <c r="U519" s="100"/>
      <c r="V519" s="100" t="str">
        <f t="shared" si="59"/>
        <v xml:space="preserve"> </v>
      </c>
      <c r="W519" s="101">
        <f t="shared" si="62"/>
        <v>24</v>
      </c>
      <c r="X519" s="102">
        <f t="shared" si="63"/>
        <v>0</v>
      </c>
      <c r="Y519" s="100" t="str">
        <f t="shared" si="64"/>
        <v xml:space="preserve"> </v>
      </c>
      <c r="Z519" s="100" t="str">
        <f t="shared" si="65"/>
        <v xml:space="preserve"> </v>
      </c>
    </row>
    <row r="520" spans="1:26">
      <c r="A520" s="100"/>
      <c r="B520" s="108" t="str">
        <f>IFERROR(VLOOKUP(Tablo519[[#This Row],[ÜRÜN KODU]],YMKODLARI!$A$1:$K$379,2,0)," ")</f>
        <v xml:space="preserve"> </v>
      </c>
      <c r="C520" s="99"/>
      <c r="D520" s="100"/>
      <c r="E520" s="101"/>
      <c r="F520" s="101"/>
      <c r="G520" s="100" t="str">
        <f>IFERROR(VLOOKUP(Tablo519[[#This Row],[ÜRÜN KODU]],YMKODLARI!$A$1:$K$379,3,0)," ")</f>
        <v xml:space="preserve"> </v>
      </c>
      <c r="H520" s="100" t="str">
        <f>IFERROR(VLOOKUP(Tablo519[[#This Row],[ÜRÜN KODU]],YMKODLARI!$A$1:$K$379,4,0)," ")</f>
        <v xml:space="preserve"> </v>
      </c>
      <c r="I520" s="100"/>
      <c r="J520" s="100" t="str">
        <f>IFERROR(VLOOKUP(Tablo519[[#This Row],[ÜRÜN KODU]],YMKODLARI!$A$1:$K$379,9,0)," ")</f>
        <v xml:space="preserve"> </v>
      </c>
      <c r="K520" s="100" t="str">
        <f>IFERROR(VLOOKUP(Tablo519[[#This Row],[BOYA KODU]],Tablo14[#All],4,0)," ")</f>
        <v xml:space="preserve"> </v>
      </c>
      <c r="L520" s="100" t="str">
        <f>IFERROR(VLOOKUP(Tablo519[[#This Row],[BOYA KODU]],Tablo14[#All],6,0)," ")</f>
        <v xml:space="preserve"> </v>
      </c>
      <c r="M520" s="100" t="str">
        <f t="shared" si="60"/>
        <v xml:space="preserve"> </v>
      </c>
      <c r="N520" s="100" t="str">
        <f>IFERROR(VLOOKUP(Tablo519[[#This Row],[ÜRÜN KODU]],YMKODLARI!$A$1:$K$363,8,0)," ")</f>
        <v xml:space="preserve"> </v>
      </c>
      <c r="O520" s="100" t="str">
        <f>IFERROR(VLOOKUP(Tablo519[[#This Row],[HAMMADDE KODU]],Tablo1[#All],3,0)," ")</f>
        <v xml:space="preserve"> </v>
      </c>
      <c r="P520" s="100" t="str">
        <f>IFERROR(VLOOKUP(Tablo519[[#This Row],[HAMMADDE KODU]],Tablo1[#All],4,0)," ")</f>
        <v xml:space="preserve"> </v>
      </c>
      <c r="Q520" s="100" t="str">
        <f>IFERROR(VLOOKUP(Tablo519[[#This Row],[ÜRÜN KODU]],YMKODLARI!$A$1:$K$379,5,0)," ")</f>
        <v xml:space="preserve"> </v>
      </c>
      <c r="R520" s="100" t="str">
        <f>IFERROR(VLOOKUP(Tablo519[[#This Row],[ÜRÜN KODU]],YMKODLARI!$A$1:$K$379,6,0)," ")</f>
        <v xml:space="preserve"> </v>
      </c>
      <c r="S520" s="100" t="str">
        <f>IFERROR(Tablo519[[#This Row],[YOLLUK HARİÇ BASKI GRAMI]]/Tablo519[[#This Row],[KALIP GÖZ ADEDİ]]," ")</f>
        <v xml:space="preserve"> </v>
      </c>
      <c r="T520" s="100" t="str">
        <f t="shared" si="61"/>
        <v xml:space="preserve"> </v>
      </c>
      <c r="U520" s="100"/>
      <c r="V520" s="100" t="str">
        <f t="shared" si="59"/>
        <v xml:space="preserve"> </v>
      </c>
      <c r="W520" s="101">
        <f t="shared" si="62"/>
        <v>24</v>
      </c>
      <c r="X520" s="102">
        <f t="shared" si="63"/>
        <v>0</v>
      </c>
      <c r="Y520" s="100" t="str">
        <f t="shared" si="64"/>
        <v xml:space="preserve"> </v>
      </c>
      <c r="Z520" s="100" t="str">
        <f t="shared" si="65"/>
        <v xml:space="preserve"> </v>
      </c>
    </row>
    <row r="521" spans="1:26">
      <c r="A521" s="100"/>
      <c r="B521" s="108" t="str">
        <f>IFERROR(VLOOKUP(Tablo519[[#This Row],[ÜRÜN KODU]],YMKODLARI!$A$1:$K$379,2,0)," ")</f>
        <v xml:space="preserve"> </v>
      </c>
      <c r="C521" s="99"/>
      <c r="D521" s="100"/>
      <c r="E521" s="101"/>
      <c r="F521" s="101"/>
      <c r="G521" s="100" t="str">
        <f>IFERROR(VLOOKUP(Tablo519[[#This Row],[ÜRÜN KODU]],YMKODLARI!$A$1:$K$379,3,0)," ")</f>
        <v xml:space="preserve"> </v>
      </c>
      <c r="H521" s="100" t="str">
        <f>IFERROR(VLOOKUP(Tablo519[[#This Row],[ÜRÜN KODU]],YMKODLARI!$A$1:$K$379,4,0)," ")</f>
        <v xml:space="preserve"> </v>
      </c>
      <c r="I521" s="100"/>
      <c r="J521" s="100" t="str">
        <f>IFERROR(VLOOKUP(Tablo519[[#This Row],[ÜRÜN KODU]],YMKODLARI!$A$1:$K$379,9,0)," ")</f>
        <v xml:space="preserve"> </v>
      </c>
      <c r="K521" s="100" t="str">
        <f>IFERROR(VLOOKUP(Tablo519[[#This Row],[BOYA KODU]],Tablo14[#All],4,0)," ")</f>
        <v xml:space="preserve"> </v>
      </c>
      <c r="L521" s="100" t="str">
        <f>IFERROR(VLOOKUP(Tablo519[[#This Row],[BOYA KODU]],Tablo14[#All],6,0)," ")</f>
        <v xml:space="preserve"> </v>
      </c>
      <c r="M521" s="100" t="str">
        <f t="shared" si="60"/>
        <v xml:space="preserve"> </v>
      </c>
      <c r="N521" s="100" t="str">
        <f>IFERROR(VLOOKUP(Tablo519[[#This Row],[ÜRÜN KODU]],YMKODLARI!$A$1:$K$363,8,0)," ")</f>
        <v xml:space="preserve"> </v>
      </c>
      <c r="O521" s="100" t="str">
        <f>IFERROR(VLOOKUP(Tablo519[[#This Row],[HAMMADDE KODU]],Tablo1[#All],3,0)," ")</f>
        <v xml:space="preserve"> </v>
      </c>
      <c r="P521" s="100" t="str">
        <f>IFERROR(VLOOKUP(Tablo519[[#This Row],[HAMMADDE KODU]],Tablo1[#All],4,0)," ")</f>
        <v xml:space="preserve"> </v>
      </c>
      <c r="Q521" s="100" t="str">
        <f>IFERROR(VLOOKUP(Tablo519[[#This Row],[ÜRÜN KODU]],YMKODLARI!$A$1:$K$379,5,0)," ")</f>
        <v xml:space="preserve"> </v>
      </c>
      <c r="R521" s="100" t="str">
        <f>IFERROR(VLOOKUP(Tablo519[[#This Row],[ÜRÜN KODU]],YMKODLARI!$A$1:$K$379,6,0)," ")</f>
        <v xml:space="preserve"> </v>
      </c>
      <c r="S521" s="100" t="str">
        <f>IFERROR(Tablo519[[#This Row],[YOLLUK HARİÇ BASKI GRAMI]]/Tablo519[[#This Row],[KALIP GÖZ ADEDİ]]," ")</f>
        <v xml:space="preserve"> </v>
      </c>
      <c r="T521" s="100" t="str">
        <f t="shared" si="61"/>
        <v xml:space="preserve"> </v>
      </c>
      <c r="U521" s="100"/>
      <c r="V521" s="100" t="str">
        <f t="shared" si="59"/>
        <v xml:space="preserve"> </v>
      </c>
      <c r="W521" s="101">
        <f t="shared" si="62"/>
        <v>24</v>
      </c>
      <c r="X521" s="102">
        <f t="shared" si="63"/>
        <v>0</v>
      </c>
      <c r="Y521" s="100" t="str">
        <f t="shared" si="64"/>
        <v xml:space="preserve"> </v>
      </c>
      <c r="Z521" s="100" t="str">
        <f t="shared" si="65"/>
        <v xml:space="preserve"> </v>
      </c>
    </row>
    <row r="522" spans="1:26">
      <c r="A522" s="100"/>
      <c r="B522" s="108" t="str">
        <f>IFERROR(VLOOKUP(Tablo519[[#This Row],[ÜRÜN KODU]],YMKODLARI!$A$1:$K$379,2,0)," ")</f>
        <v xml:space="preserve"> </v>
      </c>
      <c r="C522" s="99"/>
      <c r="D522" s="100"/>
      <c r="E522" s="101"/>
      <c r="F522" s="101"/>
      <c r="G522" s="100" t="str">
        <f>IFERROR(VLOOKUP(Tablo519[[#This Row],[ÜRÜN KODU]],YMKODLARI!$A$1:$K$379,3,0)," ")</f>
        <v xml:space="preserve"> </v>
      </c>
      <c r="H522" s="100" t="str">
        <f>IFERROR(VLOOKUP(Tablo519[[#This Row],[ÜRÜN KODU]],YMKODLARI!$A$1:$K$379,4,0)," ")</f>
        <v xml:space="preserve"> </v>
      </c>
      <c r="I522" s="100"/>
      <c r="J522" s="100" t="str">
        <f>IFERROR(VLOOKUP(Tablo519[[#This Row],[ÜRÜN KODU]],YMKODLARI!$A$1:$K$379,9,0)," ")</f>
        <v xml:space="preserve"> </v>
      </c>
      <c r="K522" s="100" t="str">
        <f>IFERROR(VLOOKUP(Tablo519[[#This Row],[BOYA KODU]],Tablo14[#All],4,0)," ")</f>
        <v xml:space="preserve"> </v>
      </c>
      <c r="L522" s="100" t="str">
        <f>IFERROR(VLOOKUP(Tablo519[[#This Row],[BOYA KODU]],Tablo14[#All],6,0)," ")</f>
        <v xml:space="preserve"> </v>
      </c>
      <c r="M522" s="100" t="str">
        <f t="shared" si="60"/>
        <v xml:space="preserve"> </v>
      </c>
      <c r="N522" s="100" t="str">
        <f>IFERROR(VLOOKUP(Tablo519[[#This Row],[ÜRÜN KODU]],YMKODLARI!$A$1:$K$363,8,0)," ")</f>
        <v xml:space="preserve"> </v>
      </c>
      <c r="O522" s="100" t="str">
        <f>IFERROR(VLOOKUP(Tablo519[[#This Row],[HAMMADDE KODU]],Tablo1[#All],3,0)," ")</f>
        <v xml:space="preserve"> </v>
      </c>
      <c r="P522" s="100" t="str">
        <f>IFERROR(VLOOKUP(Tablo519[[#This Row],[HAMMADDE KODU]],Tablo1[#All],4,0)," ")</f>
        <v xml:space="preserve"> </v>
      </c>
      <c r="Q522" s="100" t="str">
        <f>IFERROR(VLOOKUP(Tablo519[[#This Row],[ÜRÜN KODU]],YMKODLARI!$A$1:$K$379,5,0)," ")</f>
        <v xml:space="preserve"> </v>
      </c>
      <c r="R522" s="100" t="str">
        <f>IFERROR(VLOOKUP(Tablo519[[#This Row],[ÜRÜN KODU]],YMKODLARI!$A$1:$K$379,6,0)," ")</f>
        <v xml:space="preserve"> </v>
      </c>
      <c r="S522" s="100" t="str">
        <f>IFERROR(Tablo519[[#This Row],[YOLLUK HARİÇ BASKI GRAMI]]/Tablo519[[#This Row],[KALIP GÖZ ADEDİ]]," ")</f>
        <v xml:space="preserve"> </v>
      </c>
      <c r="T522" s="100" t="str">
        <f t="shared" si="61"/>
        <v xml:space="preserve"> </v>
      </c>
      <c r="U522" s="100"/>
      <c r="V522" s="100" t="str">
        <f t="shared" si="59"/>
        <v xml:space="preserve"> </v>
      </c>
      <c r="W522" s="101">
        <f t="shared" si="62"/>
        <v>24</v>
      </c>
      <c r="X522" s="102">
        <f t="shared" si="63"/>
        <v>0</v>
      </c>
      <c r="Y522" s="100" t="str">
        <f t="shared" si="64"/>
        <v xml:space="preserve"> </v>
      </c>
      <c r="Z522" s="100" t="str">
        <f t="shared" si="65"/>
        <v xml:space="preserve"> </v>
      </c>
    </row>
    <row r="523" spans="1:26">
      <c r="A523" s="100"/>
      <c r="B523" s="108" t="str">
        <f>IFERROR(VLOOKUP(Tablo519[[#This Row],[ÜRÜN KODU]],YMKODLARI!$A$1:$K$379,2,0)," ")</f>
        <v xml:space="preserve"> </v>
      </c>
      <c r="C523" s="99"/>
      <c r="D523" s="100"/>
      <c r="E523" s="101"/>
      <c r="F523" s="101"/>
      <c r="G523" s="100" t="str">
        <f>IFERROR(VLOOKUP(Tablo519[[#This Row],[ÜRÜN KODU]],YMKODLARI!$A$1:$K$379,3,0)," ")</f>
        <v xml:space="preserve"> </v>
      </c>
      <c r="H523" s="100" t="str">
        <f>IFERROR(VLOOKUP(Tablo519[[#This Row],[ÜRÜN KODU]],YMKODLARI!$A$1:$K$379,4,0)," ")</f>
        <v xml:space="preserve"> </v>
      </c>
      <c r="I523" s="100"/>
      <c r="J523" s="100" t="str">
        <f>IFERROR(VLOOKUP(Tablo519[[#This Row],[ÜRÜN KODU]],YMKODLARI!$A$1:$K$379,9,0)," ")</f>
        <v xml:space="preserve"> </v>
      </c>
      <c r="K523" s="100" t="str">
        <f>IFERROR(VLOOKUP(Tablo519[[#This Row],[BOYA KODU]],Tablo14[#All],4,0)," ")</f>
        <v xml:space="preserve"> </v>
      </c>
      <c r="L523" s="100" t="str">
        <f>IFERROR(VLOOKUP(Tablo519[[#This Row],[BOYA KODU]],Tablo14[#All],6,0)," ")</f>
        <v xml:space="preserve"> </v>
      </c>
      <c r="M523" s="100" t="str">
        <f t="shared" si="60"/>
        <v xml:space="preserve"> </v>
      </c>
      <c r="N523" s="100" t="str">
        <f>IFERROR(VLOOKUP(Tablo519[[#This Row],[ÜRÜN KODU]],YMKODLARI!$A$1:$K$363,8,0)," ")</f>
        <v xml:space="preserve"> </v>
      </c>
      <c r="O523" s="100" t="str">
        <f>IFERROR(VLOOKUP(Tablo519[[#This Row],[HAMMADDE KODU]],Tablo1[#All],3,0)," ")</f>
        <v xml:space="preserve"> </v>
      </c>
      <c r="P523" s="100" t="str">
        <f>IFERROR(VLOOKUP(Tablo519[[#This Row],[HAMMADDE KODU]],Tablo1[#All],4,0)," ")</f>
        <v xml:space="preserve"> </v>
      </c>
      <c r="Q523" s="100" t="str">
        <f>IFERROR(VLOOKUP(Tablo519[[#This Row],[ÜRÜN KODU]],YMKODLARI!$A$1:$K$379,5,0)," ")</f>
        <v xml:space="preserve"> </v>
      </c>
      <c r="R523" s="100" t="str">
        <f>IFERROR(VLOOKUP(Tablo519[[#This Row],[ÜRÜN KODU]],YMKODLARI!$A$1:$K$379,6,0)," ")</f>
        <v xml:space="preserve"> </v>
      </c>
      <c r="S523" s="100" t="str">
        <f>IFERROR(Tablo519[[#This Row],[YOLLUK HARİÇ BASKI GRAMI]]/Tablo519[[#This Row],[KALIP GÖZ ADEDİ]]," ")</f>
        <v xml:space="preserve"> </v>
      </c>
      <c r="T523" s="100" t="str">
        <f t="shared" si="61"/>
        <v xml:space="preserve"> </v>
      </c>
      <c r="U523" s="100"/>
      <c r="V523" s="100" t="str">
        <f t="shared" si="59"/>
        <v xml:space="preserve"> </v>
      </c>
      <c r="W523" s="101">
        <f t="shared" si="62"/>
        <v>24</v>
      </c>
      <c r="X523" s="102">
        <f t="shared" si="63"/>
        <v>0</v>
      </c>
      <c r="Y523" s="100" t="str">
        <f t="shared" si="64"/>
        <v xml:space="preserve"> </v>
      </c>
      <c r="Z523" s="100" t="str">
        <f t="shared" si="65"/>
        <v xml:space="preserve"> </v>
      </c>
    </row>
    <row r="524" spans="1:26">
      <c r="A524" s="100"/>
      <c r="B524" s="108" t="str">
        <f>IFERROR(VLOOKUP(Tablo519[[#This Row],[ÜRÜN KODU]],YMKODLARI!$A$1:$K$379,2,0)," ")</f>
        <v xml:space="preserve"> </v>
      </c>
      <c r="C524" s="99"/>
      <c r="D524" s="100"/>
      <c r="E524" s="101"/>
      <c r="F524" s="101"/>
      <c r="G524" s="100" t="str">
        <f>IFERROR(VLOOKUP(Tablo519[[#This Row],[ÜRÜN KODU]],YMKODLARI!$A$1:$K$379,3,0)," ")</f>
        <v xml:space="preserve"> </v>
      </c>
      <c r="H524" s="100" t="str">
        <f>IFERROR(VLOOKUP(Tablo519[[#This Row],[ÜRÜN KODU]],YMKODLARI!$A$1:$K$379,4,0)," ")</f>
        <v xml:space="preserve"> </v>
      </c>
      <c r="I524" s="100"/>
      <c r="J524" s="100" t="str">
        <f>IFERROR(VLOOKUP(Tablo519[[#This Row],[ÜRÜN KODU]],YMKODLARI!$A$1:$K$379,9,0)," ")</f>
        <v xml:space="preserve"> </v>
      </c>
      <c r="K524" s="100" t="str">
        <f>IFERROR(VLOOKUP(Tablo519[[#This Row],[BOYA KODU]],Tablo14[#All],4,0)," ")</f>
        <v xml:space="preserve"> </v>
      </c>
      <c r="L524" s="100" t="str">
        <f>IFERROR(VLOOKUP(Tablo519[[#This Row],[BOYA KODU]],Tablo14[#All],6,0)," ")</f>
        <v xml:space="preserve"> </v>
      </c>
      <c r="M524" s="100" t="str">
        <f t="shared" si="60"/>
        <v xml:space="preserve"> </v>
      </c>
      <c r="N524" s="100" t="str">
        <f>IFERROR(VLOOKUP(Tablo519[[#This Row],[ÜRÜN KODU]],YMKODLARI!$A$1:$K$363,8,0)," ")</f>
        <v xml:space="preserve"> </v>
      </c>
      <c r="O524" s="100" t="str">
        <f>IFERROR(VLOOKUP(Tablo519[[#This Row],[HAMMADDE KODU]],Tablo1[#All],3,0)," ")</f>
        <v xml:space="preserve"> </v>
      </c>
      <c r="P524" s="100" t="str">
        <f>IFERROR(VLOOKUP(Tablo519[[#This Row],[HAMMADDE KODU]],Tablo1[#All],4,0)," ")</f>
        <v xml:space="preserve"> </v>
      </c>
      <c r="Q524" s="100" t="str">
        <f>IFERROR(VLOOKUP(Tablo519[[#This Row],[ÜRÜN KODU]],YMKODLARI!$A$1:$K$379,5,0)," ")</f>
        <v xml:space="preserve"> </v>
      </c>
      <c r="R524" s="100" t="str">
        <f>IFERROR(VLOOKUP(Tablo519[[#This Row],[ÜRÜN KODU]],YMKODLARI!$A$1:$K$379,6,0)," ")</f>
        <v xml:space="preserve"> </v>
      </c>
      <c r="S524" s="100" t="str">
        <f>IFERROR(Tablo519[[#This Row],[YOLLUK HARİÇ BASKI GRAMI]]/Tablo519[[#This Row],[KALIP GÖZ ADEDİ]]," ")</f>
        <v xml:space="preserve"> </v>
      </c>
      <c r="T524" s="100" t="str">
        <f t="shared" si="61"/>
        <v xml:space="preserve"> </v>
      </c>
      <c r="U524" s="100"/>
      <c r="V524" s="100" t="str">
        <f t="shared" si="59"/>
        <v xml:space="preserve"> </v>
      </c>
      <c r="W524" s="101">
        <f t="shared" si="62"/>
        <v>24</v>
      </c>
      <c r="X524" s="102">
        <f t="shared" si="63"/>
        <v>0</v>
      </c>
      <c r="Y524" s="100" t="str">
        <f t="shared" si="64"/>
        <v xml:space="preserve"> </v>
      </c>
      <c r="Z524" s="100" t="str">
        <f t="shared" si="65"/>
        <v xml:space="preserve"> </v>
      </c>
    </row>
    <row r="525" spans="1:26">
      <c r="A525" s="100"/>
      <c r="B525" s="108" t="str">
        <f>IFERROR(VLOOKUP(Tablo519[[#This Row],[ÜRÜN KODU]],YMKODLARI!$A$1:$K$379,2,0)," ")</f>
        <v xml:space="preserve"> </v>
      </c>
      <c r="C525" s="99"/>
      <c r="D525" s="100"/>
      <c r="E525" s="101"/>
      <c r="F525" s="101"/>
      <c r="G525" s="100" t="str">
        <f>IFERROR(VLOOKUP(Tablo519[[#This Row],[ÜRÜN KODU]],YMKODLARI!$A$1:$K$379,3,0)," ")</f>
        <v xml:space="preserve"> </v>
      </c>
      <c r="H525" s="100" t="str">
        <f>IFERROR(VLOOKUP(Tablo519[[#This Row],[ÜRÜN KODU]],YMKODLARI!$A$1:$K$379,4,0)," ")</f>
        <v xml:space="preserve"> </v>
      </c>
      <c r="I525" s="100"/>
      <c r="J525" s="100" t="str">
        <f>IFERROR(VLOOKUP(Tablo519[[#This Row],[ÜRÜN KODU]],YMKODLARI!$A$1:$K$379,9,0)," ")</f>
        <v xml:space="preserve"> </v>
      </c>
      <c r="K525" s="100" t="str">
        <f>IFERROR(VLOOKUP(Tablo519[[#This Row],[BOYA KODU]],Tablo14[#All],4,0)," ")</f>
        <v xml:space="preserve"> </v>
      </c>
      <c r="L525" s="100" t="str">
        <f>IFERROR(VLOOKUP(Tablo519[[#This Row],[BOYA KODU]],Tablo14[#All],6,0)," ")</f>
        <v xml:space="preserve"> </v>
      </c>
      <c r="M525" s="100" t="str">
        <f t="shared" si="60"/>
        <v xml:space="preserve"> </v>
      </c>
      <c r="N525" s="100" t="str">
        <f>IFERROR(VLOOKUP(Tablo519[[#This Row],[ÜRÜN KODU]],YMKODLARI!$A$1:$K$363,8,0)," ")</f>
        <v xml:space="preserve"> </v>
      </c>
      <c r="O525" s="100" t="str">
        <f>IFERROR(VLOOKUP(Tablo519[[#This Row],[HAMMADDE KODU]],Tablo1[#All],3,0)," ")</f>
        <v xml:space="preserve"> </v>
      </c>
      <c r="P525" s="100" t="str">
        <f>IFERROR(VLOOKUP(Tablo519[[#This Row],[HAMMADDE KODU]],Tablo1[#All],4,0)," ")</f>
        <v xml:space="preserve"> </v>
      </c>
      <c r="Q525" s="100" t="str">
        <f>IFERROR(VLOOKUP(Tablo519[[#This Row],[ÜRÜN KODU]],YMKODLARI!$A$1:$K$379,5,0)," ")</f>
        <v xml:space="preserve"> </v>
      </c>
      <c r="R525" s="100" t="str">
        <f>IFERROR(VLOOKUP(Tablo519[[#This Row],[ÜRÜN KODU]],YMKODLARI!$A$1:$K$379,6,0)," ")</f>
        <v xml:space="preserve"> </v>
      </c>
      <c r="S525" s="100" t="str">
        <f>IFERROR(Tablo519[[#This Row],[YOLLUK HARİÇ BASKI GRAMI]]/Tablo519[[#This Row],[KALIP GÖZ ADEDİ]]," ")</f>
        <v xml:space="preserve"> </v>
      </c>
      <c r="T525" s="100" t="str">
        <f t="shared" si="61"/>
        <v xml:space="preserve"> </v>
      </c>
      <c r="U525" s="100"/>
      <c r="V525" s="100" t="str">
        <f t="shared" si="59"/>
        <v xml:space="preserve"> </v>
      </c>
      <c r="W525" s="101">
        <f t="shared" si="62"/>
        <v>24</v>
      </c>
      <c r="X525" s="102">
        <f t="shared" si="63"/>
        <v>0</v>
      </c>
      <c r="Y525" s="100" t="str">
        <f t="shared" si="64"/>
        <v xml:space="preserve"> </v>
      </c>
      <c r="Z525" s="100" t="str">
        <f t="shared" si="65"/>
        <v xml:space="preserve"> </v>
      </c>
    </row>
    <row r="526" spans="1:26">
      <c r="A526" s="100"/>
      <c r="B526" s="108" t="str">
        <f>IFERROR(VLOOKUP(Tablo519[[#This Row],[ÜRÜN KODU]],YMKODLARI!$A$1:$K$379,2,0)," ")</f>
        <v xml:space="preserve"> </v>
      </c>
      <c r="C526" s="99"/>
      <c r="D526" s="100"/>
      <c r="E526" s="101"/>
      <c r="F526" s="101"/>
      <c r="G526" s="100" t="str">
        <f>IFERROR(VLOOKUP(Tablo519[[#This Row],[ÜRÜN KODU]],YMKODLARI!$A$1:$K$379,3,0)," ")</f>
        <v xml:space="preserve"> </v>
      </c>
      <c r="H526" s="100" t="str">
        <f>IFERROR(VLOOKUP(Tablo519[[#This Row],[ÜRÜN KODU]],YMKODLARI!$A$1:$K$379,4,0)," ")</f>
        <v xml:space="preserve"> </v>
      </c>
      <c r="I526" s="100"/>
      <c r="J526" s="100" t="str">
        <f>IFERROR(VLOOKUP(Tablo519[[#This Row],[ÜRÜN KODU]],YMKODLARI!$A$1:$K$379,9,0)," ")</f>
        <v xml:space="preserve"> </v>
      </c>
      <c r="K526" s="100" t="str">
        <f>IFERROR(VLOOKUP(Tablo519[[#This Row],[BOYA KODU]],Tablo14[#All],4,0)," ")</f>
        <v xml:space="preserve"> </v>
      </c>
      <c r="L526" s="100" t="str">
        <f>IFERROR(VLOOKUP(Tablo519[[#This Row],[BOYA KODU]],Tablo14[#All],6,0)," ")</f>
        <v xml:space="preserve"> </v>
      </c>
      <c r="M526" s="100" t="str">
        <f t="shared" si="60"/>
        <v xml:space="preserve"> </v>
      </c>
      <c r="N526" s="100" t="str">
        <f>IFERROR(VLOOKUP(Tablo519[[#This Row],[ÜRÜN KODU]],YMKODLARI!$A$1:$K$363,8,0)," ")</f>
        <v xml:space="preserve"> </v>
      </c>
      <c r="O526" s="100" t="str">
        <f>IFERROR(VLOOKUP(Tablo519[[#This Row],[HAMMADDE KODU]],Tablo1[#All],3,0)," ")</f>
        <v xml:space="preserve"> </v>
      </c>
      <c r="P526" s="100" t="str">
        <f>IFERROR(VLOOKUP(Tablo519[[#This Row],[HAMMADDE KODU]],Tablo1[#All],4,0)," ")</f>
        <v xml:space="preserve"> </v>
      </c>
      <c r="Q526" s="100" t="str">
        <f>IFERROR(VLOOKUP(Tablo519[[#This Row],[ÜRÜN KODU]],YMKODLARI!$A$1:$K$379,5,0)," ")</f>
        <v xml:space="preserve"> </v>
      </c>
      <c r="R526" s="100" t="str">
        <f>IFERROR(VLOOKUP(Tablo519[[#This Row],[ÜRÜN KODU]],YMKODLARI!$A$1:$K$379,6,0)," ")</f>
        <v xml:space="preserve"> </v>
      </c>
      <c r="S526" s="100" t="str">
        <f>IFERROR(Tablo519[[#This Row],[YOLLUK HARİÇ BASKI GRAMI]]/Tablo519[[#This Row],[KALIP GÖZ ADEDİ]]," ")</f>
        <v xml:space="preserve"> </v>
      </c>
      <c r="T526" s="100" t="str">
        <f t="shared" si="61"/>
        <v xml:space="preserve"> </v>
      </c>
      <c r="U526" s="100"/>
      <c r="V526" s="100" t="str">
        <f t="shared" si="59"/>
        <v xml:space="preserve"> </v>
      </c>
      <c r="W526" s="101">
        <f t="shared" si="62"/>
        <v>24</v>
      </c>
      <c r="X526" s="102">
        <f t="shared" si="63"/>
        <v>0</v>
      </c>
      <c r="Y526" s="100" t="str">
        <f t="shared" si="64"/>
        <v xml:space="preserve"> </v>
      </c>
      <c r="Z526" s="100" t="str">
        <f t="shared" si="65"/>
        <v xml:space="preserve"> </v>
      </c>
    </row>
    <row r="527" spans="1:26">
      <c r="A527" s="100"/>
      <c r="B527" s="108" t="str">
        <f>IFERROR(VLOOKUP(Tablo519[[#This Row],[ÜRÜN KODU]],YMKODLARI!$A$1:$K$379,2,0)," ")</f>
        <v xml:space="preserve"> </v>
      </c>
      <c r="C527" s="99"/>
      <c r="D527" s="100"/>
      <c r="E527" s="101"/>
      <c r="F527" s="101"/>
      <c r="G527" s="100" t="str">
        <f>IFERROR(VLOOKUP(Tablo519[[#This Row],[ÜRÜN KODU]],YMKODLARI!$A$1:$K$379,3,0)," ")</f>
        <v xml:space="preserve"> </v>
      </c>
      <c r="H527" s="100" t="str">
        <f>IFERROR(VLOOKUP(Tablo519[[#This Row],[ÜRÜN KODU]],YMKODLARI!$A$1:$K$379,4,0)," ")</f>
        <v xml:space="preserve"> </v>
      </c>
      <c r="I527" s="100"/>
      <c r="J527" s="100" t="str">
        <f>IFERROR(VLOOKUP(Tablo519[[#This Row],[ÜRÜN KODU]],YMKODLARI!$A$1:$K$379,9,0)," ")</f>
        <v xml:space="preserve"> </v>
      </c>
      <c r="K527" s="100" t="str">
        <f>IFERROR(VLOOKUP(Tablo519[[#This Row],[BOYA KODU]],Tablo14[#All],4,0)," ")</f>
        <v xml:space="preserve"> </v>
      </c>
      <c r="L527" s="100" t="str">
        <f>IFERROR(VLOOKUP(Tablo519[[#This Row],[BOYA KODU]],Tablo14[#All],6,0)," ")</f>
        <v xml:space="preserve"> </v>
      </c>
      <c r="M527" s="100" t="str">
        <f t="shared" si="60"/>
        <v xml:space="preserve"> </v>
      </c>
      <c r="N527" s="100" t="str">
        <f>IFERROR(VLOOKUP(Tablo519[[#This Row],[ÜRÜN KODU]],YMKODLARI!$A$1:$K$363,8,0)," ")</f>
        <v xml:space="preserve"> </v>
      </c>
      <c r="O527" s="100" t="str">
        <f>IFERROR(VLOOKUP(Tablo519[[#This Row],[HAMMADDE KODU]],Tablo1[#All],3,0)," ")</f>
        <v xml:space="preserve"> </v>
      </c>
      <c r="P527" s="100" t="str">
        <f>IFERROR(VLOOKUP(Tablo519[[#This Row],[HAMMADDE KODU]],Tablo1[#All],4,0)," ")</f>
        <v xml:space="preserve"> </v>
      </c>
      <c r="Q527" s="100" t="str">
        <f>IFERROR(VLOOKUP(Tablo519[[#This Row],[ÜRÜN KODU]],YMKODLARI!$A$1:$K$379,5,0)," ")</f>
        <v xml:space="preserve"> </v>
      </c>
      <c r="R527" s="100" t="str">
        <f>IFERROR(VLOOKUP(Tablo519[[#This Row],[ÜRÜN KODU]],YMKODLARI!$A$1:$K$379,6,0)," ")</f>
        <v xml:space="preserve"> </v>
      </c>
      <c r="S527" s="100" t="str">
        <f>IFERROR(Tablo519[[#This Row],[YOLLUK HARİÇ BASKI GRAMI]]/Tablo519[[#This Row],[KALIP GÖZ ADEDİ]]," ")</f>
        <v xml:space="preserve"> </v>
      </c>
      <c r="T527" s="100" t="str">
        <f t="shared" si="61"/>
        <v xml:space="preserve"> </v>
      </c>
      <c r="U527" s="100"/>
      <c r="V527" s="100" t="str">
        <f t="shared" si="59"/>
        <v xml:space="preserve"> </v>
      </c>
      <c r="W527" s="101">
        <f t="shared" si="62"/>
        <v>24</v>
      </c>
      <c r="X527" s="102">
        <f t="shared" si="63"/>
        <v>0</v>
      </c>
      <c r="Y527" s="100" t="str">
        <f t="shared" si="64"/>
        <v xml:space="preserve"> </v>
      </c>
      <c r="Z527" s="100" t="str">
        <f t="shared" si="65"/>
        <v xml:space="preserve"> </v>
      </c>
    </row>
    <row r="528" spans="1:26">
      <c r="A528" s="100"/>
      <c r="B528" s="108" t="str">
        <f>IFERROR(VLOOKUP(Tablo519[[#This Row],[ÜRÜN KODU]],YMKODLARI!$A$1:$K$379,2,0)," ")</f>
        <v xml:space="preserve"> </v>
      </c>
      <c r="C528" s="99"/>
      <c r="D528" s="100"/>
      <c r="E528" s="101"/>
      <c r="F528" s="101"/>
      <c r="G528" s="100" t="str">
        <f>IFERROR(VLOOKUP(Tablo519[[#This Row],[ÜRÜN KODU]],YMKODLARI!$A$1:$K$379,3,0)," ")</f>
        <v xml:space="preserve"> </v>
      </c>
      <c r="H528" s="100" t="str">
        <f>IFERROR(VLOOKUP(Tablo519[[#This Row],[ÜRÜN KODU]],YMKODLARI!$A$1:$K$379,4,0)," ")</f>
        <v xml:space="preserve"> </v>
      </c>
      <c r="I528" s="100"/>
      <c r="J528" s="100" t="str">
        <f>IFERROR(VLOOKUP(Tablo519[[#This Row],[ÜRÜN KODU]],YMKODLARI!$A$1:$K$379,9,0)," ")</f>
        <v xml:space="preserve"> </v>
      </c>
      <c r="K528" s="100" t="str">
        <f>IFERROR(VLOOKUP(Tablo519[[#This Row],[BOYA KODU]],Tablo14[#All],4,0)," ")</f>
        <v xml:space="preserve"> </v>
      </c>
      <c r="L528" s="100" t="str">
        <f>IFERROR(VLOOKUP(Tablo519[[#This Row],[BOYA KODU]],Tablo14[#All],6,0)," ")</f>
        <v xml:space="preserve"> </v>
      </c>
      <c r="M528" s="100" t="str">
        <f t="shared" si="60"/>
        <v xml:space="preserve"> </v>
      </c>
      <c r="N528" s="100" t="str">
        <f>IFERROR(VLOOKUP(Tablo519[[#This Row],[ÜRÜN KODU]],YMKODLARI!$A$1:$K$363,8,0)," ")</f>
        <v xml:space="preserve"> </v>
      </c>
      <c r="O528" s="100" t="str">
        <f>IFERROR(VLOOKUP(Tablo519[[#This Row],[HAMMADDE KODU]],Tablo1[#All],3,0)," ")</f>
        <v xml:space="preserve"> </v>
      </c>
      <c r="P528" s="100" t="str">
        <f>IFERROR(VLOOKUP(Tablo519[[#This Row],[HAMMADDE KODU]],Tablo1[#All],4,0)," ")</f>
        <v xml:space="preserve"> </v>
      </c>
      <c r="Q528" s="100" t="str">
        <f>IFERROR(VLOOKUP(Tablo519[[#This Row],[ÜRÜN KODU]],YMKODLARI!$A$1:$K$379,5,0)," ")</f>
        <v xml:space="preserve"> </v>
      </c>
      <c r="R528" s="100" t="str">
        <f>IFERROR(VLOOKUP(Tablo519[[#This Row],[ÜRÜN KODU]],YMKODLARI!$A$1:$K$379,6,0)," ")</f>
        <v xml:space="preserve"> </v>
      </c>
      <c r="S528" s="100" t="str">
        <f>IFERROR(Tablo519[[#This Row],[YOLLUK HARİÇ BASKI GRAMI]]/Tablo519[[#This Row],[KALIP GÖZ ADEDİ]]," ")</f>
        <v xml:space="preserve"> </v>
      </c>
      <c r="T528" s="100" t="str">
        <f t="shared" si="61"/>
        <v xml:space="preserve"> </v>
      </c>
      <c r="U528" s="100"/>
      <c r="V528" s="100" t="str">
        <f t="shared" si="59"/>
        <v xml:space="preserve"> </v>
      </c>
      <c r="W528" s="101">
        <f t="shared" si="62"/>
        <v>24</v>
      </c>
      <c r="X528" s="102">
        <f t="shared" si="63"/>
        <v>0</v>
      </c>
      <c r="Y528" s="100" t="str">
        <f t="shared" si="64"/>
        <v xml:space="preserve"> </v>
      </c>
      <c r="Z528" s="100" t="str">
        <f t="shared" si="65"/>
        <v xml:space="preserve"> </v>
      </c>
    </row>
    <row r="529" spans="1:26">
      <c r="A529" s="100"/>
      <c r="B529" s="108" t="str">
        <f>IFERROR(VLOOKUP(Tablo519[[#This Row],[ÜRÜN KODU]],YMKODLARI!$A$1:$K$379,2,0)," ")</f>
        <v xml:space="preserve"> </v>
      </c>
      <c r="C529" s="99"/>
      <c r="D529" s="100"/>
      <c r="E529" s="101"/>
      <c r="F529" s="101"/>
      <c r="G529" s="100" t="str">
        <f>IFERROR(VLOOKUP(Tablo519[[#This Row],[ÜRÜN KODU]],YMKODLARI!$A$1:$K$379,3,0)," ")</f>
        <v xml:space="preserve"> </v>
      </c>
      <c r="H529" s="100" t="str">
        <f>IFERROR(VLOOKUP(Tablo519[[#This Row],[ÜRÜN KODU]],YMKODLARI!$A$1:$K$379,4,0)," ")</f>
        <v xml:space="preserve"> </v>
      </c>
      <c r="I529" s="100"/>
      <c r="J529" s="100" t="str">
        <f>IFERROR(VLOOKUP(Tablo519[[#This Row],[ÜRÜN KODU]],YMKODLARI!$A$1:$K$379,9,0)," ")</f>
        <v xml:space="preserve"> </v>
      </c>
      <c r="K529" s="100" t="str">
        <f>IFERROR(VLOOKUP(Tablo519[[#This Row],[BOYA KODU]],Tablo14[#All],4,0)," ")</f>
        <v xml:space="preserve"> </v>
      </c>
      <c r="L529" s="100" t="str">
        <f>IFERROR(VLOOKUP(Tablo519[[#This Row],[BOYA KODU]],Tablo14[#All],6,0)," ")</f>
        <v xml:space="preserve"> </v>
      </c>
      <c r="M529" s="100" t="str">
        <f t="shared" si="60"/>
        <v xml:space="preserve"> </v>
      </c>
      <c r="N529" s="100" t="str">
        <f>IFERROR(VLOOKUP(Tablo519[[#This Row],[ÜRÜN KODU]],YMKODLARI!$A$1:$K$363,8,0)," ")</f>
        <v xml:space="preserve"> </v>
      </c>
      <c r="O529" s="100" t="str">
        <f>IFERROR(VLOOKUP(Tablo519[[#This Row],[HAMMADDE KODU]],Tablo1[#All],3,0)," ")</f>
        <v xml:space="preserve"> </v>
      </c>
      <c r="P529" s="100" t="str">
        <f>IFERROR(VLOOKUP(Tablo519[[#This Row],[HAMMADDE KODU]],Tablo1[#All],4,0)," ")</f>
        <v xml:space="preserve"> </v>
      </c>
      <c r="Q529" s="100" t="str">
        <f>IFERROR(VLOOKUP(Tablo519[[#This Row],[ÜRÜN KODU]],YMKODLARI!$A$1:$K$379,5,0)," ")</f>
        <v xml:space="preserve"> </v>
      </c>
      <c r="R529" s="100" t="str">
        <f>IFERROR(VLOOKUP(Tablo519[[#This Row],[ÜRÜN KODU]],YMKODLARI!$A$1:$K$379,6,0)," ")</f>
        <v xml:space="preserve"> </v>
      </c>
      <c r="S529" s="100" t="str">
        <f>IFERROR(Tablo519[[#This Row],[YOLLUK HARİÇ BASKI GRAMI]]/Tablo519[[#This Row],[KALIP GÖZ ADEDİ]]," ")</f>
        <v xml:space="preserve"> </v>
      </c>
      <c r="T529" s="100" t="str">
        <f t="shared" si="61"/>
        <v xml:space="preserve"> </v>
      </c>
      <c r="U529" s="100"/>
      <c r="V529" s="100" t="str">
        <f t="shared" si="59"/>
        <v xml:space="preserve"> </v>
      </c>
      <c r="W529" s="101">
        <f t="shared" si="62"/>
        <v>24</v>
      </c>
      <c r="X529" s="102">
        <f t="shared" si="63"/>
        <v>0</v>
      </c>
      <c r="Y529" s="100" t="str">
        <f t="shared" si="64"/>
        <v xml:space="preserve"> </v>
      </c>
      <c r="Z529" s="100" t="str">
        <f t="shared" si="65"/>
        <v xml:space="preserve"> </v>
      </c>
    </row>
    <row r="530" spans="1:26">
      <c r="A530" s="100"/>
      <c r="B530" s="108" t="str">
        <f>IFERROR(VLOOKUP(Tablo519[[#This Row],[ÜRÜN KODU]],YMKODLARI!$A$1:$K$379,2,0)," ")</f>
        <v xml:space="preserve"> </v>
      </c>
      <c r="C530" s="99"/>
      <c r="D530" s="100"/>
      <c r="E530" s="101"/>
      <c r="F530" s="101"/>
      <c r="G530" s="100" t="str">
        <f>IFERROR(VLOOKUP(Tablo519[[#This Row],[ÜRÜN KODU]],YMKODLARI!$A$1:$K$379,3,0)," ")</f>
        <v xml:space="preserve"> </v>
      </c>
      <c r="H530" s="100" t="str">
        <f>IFERROR(VLOOKUP(Tablo519[[#This Row],[ÜRÜN KODU]],YMKODLARI!$A$1:$K$379,4,0)," ")</f>
        <v xml:space="preserve"> </v>
      </c>
      <c r="I530" s="100"/>
      <c r="J530" s="100" t="str">
        <f>IFERROR(VLOOKUP(Tablo519[[#This Row],[ÜRÜN KODU]],YMKODLARI!$A$1:$K$379,9,0)," ")</f>
        <v xml:space="preserve"> </v>
      </c>
      <c r="K530" s="100" t="str">
        <f>IFERROR(VLOOKUP(Tablo519[[#This Row],[BOYA KODU]],Tablo14[#All],4,0)," ")</f>
        <v xml:space="preserve"> </v>
      </c>
      <c r="L530" s="100" t="str">
        <f>IFERROR(VLOOKUP(Tablo519[[#This Row],[BOYA KODU]],Tablo14[#All],6,0)," ")</f>
        <v xml:space="preserve"> </v>
      </c>
      <c r="M530" s="100" t="str">
        <f t="shared" si="60"/>
        <v xml:space="preserve"> </v>
      </c>
      <c r="N530" s="100" t="str">
        <f>IFERROR(VLOOKUP(Tablo519[[#This Row],[ÜRÜN KODU]],YMKODLARI!$A$1:$K$363,8,0)," ")</f>
        <v xml:space="preserve"> </v>
      </c>
      <c r="O530" s="100" t="str">
        <f>IFERROR(VLOOKUP(Tablo519[[#This Row],[HAMMADDE KODU]],Tablo1[#All],3,0)," ")</f>
        <v xml:space="preserve"> </v>
      </c>
      <c r="P530" s="100" t="str">
        <f>IFERROR(VLOOKUP(Tablo519[[#This Row],[HAMMADDE KODU]],Tablo1[#All],4,0)," ")</f>
        <v xml:space="preserve"> </v>
      </c>
      <c r="Q530" s="100" t="str">
        <f>IFERROR(VLOOKUP(Tablo519[[#This Row],[ÜRÜN KODU]],YMKODLARI!$A$1:$K$379,5,0)," ")</f>
        <v xml:space="preserve"> </v>
      </c>
      <c r="R530" s="100" t="str">
        <f>IFERROR(VLOOKUP(Tablo519[[#This Row],[ÜRÜN KODU]],YMKODLARI!$A$1:$K$379,6,0)," ")</f>
        <v xml:space="preserve"> </v>
      </c>
      <c r="S530" s="100" t="str">
        <f>IFERROR(Tablo519[[#This Row],[YOLLUK HARİÇ BASKI GRAMI]]/Tablo519[[#This Row],[KALIP GÖZ ADEDİ]]," ")</f>
        <v xml:space="preserve"> </v>
      </c>
      <c r="T530" s="100" t="str">
        <f t="shared" si="61"/>
        <v xml:space="preserve"> </v>
      </c>
      <c r="U530" s="100"/>
      <c r="V530" s="100" t="str">
        <f t="shared" si="59"/>
        <v xml:space="preserve"> </v>
      </c>
      <c r="W530" s="101">
        <f t="shared" si="62"/>
        <v>24</v>
      </c>
      <c r="X530" s="102">
        <f t="shared" si="63"/>
        <v>0</v>
      </c>
      <c r="Y530" s="100" t="str">
        <f t="shared" si="64"/>
        <v xml:space="preserve"> </v>
      </c>
      <c r="Z530" s="100" t="str">
        <f t="shared" si="65"/>
        <v xml:space="preserve"> </v>
      </c>
    </row>
    <row r="531" spans="1:26">
      <c r="A531" s="100"/>
      <c r="B531" s="108" t="str">
        <f>IFERROR(VLOOKUP(Tablo519[[#This Row],[ÜRÜN KODU]],YMKODLARI!$A$1:$K$379,2,0)," ")</f>
        <v xml:space="preserve"> </v>
      </c>
      <c r="C531" s="99"/>
      <c r="D531" s="100"/>
      <c r="E531" s="101"/>
      <c r="F531" s="101"/>
      <c r="G531" s="100" t="str">
        <f>IFERROR(VLOOKUP(Tablo519[[#This Row],[ÜRÜN KODU]],YMKODLARI!$A$1:$K$379,3,0)," ")</f>
        <v xml:space="preserve"> </v>
      </c>
      <c r="H531" s="100" t="str">
        <f>IFERROR(VLOOKUP(Tablo519[[#This Row],[ÜRÜN KODU]],YMKODLARI!$A$1:$K$379,4,0)," ")</f>
        <v xml:space="preserve"> </v>
      </c>
      <c r="I531" s="100"/>
      <c r="J531" s="100" t="str">
        <f>IFERROR(VLOOKUP(Tablo519[[#This Row],[ÜRÜN KODU]],YMKODLARI!$A$1:$K$379,9,0)," ")</f>
        <v xml:space="preserve"> </v>
      </c>
      <c r="K531" s="100" t="str">
        <f>IFERROR(VLOOKUP(Tablo519[[#This Row],[BOYA KODU]],Tablo14[#All],4,0)," ")</f>
        <v xml:space="preserve"> </v>
      </c>
      <c r="L531" s="100" t="str">
        <f>IFERROR(VLOOKUP(Tablo519[[#This Row],[BOYA KODU]],Tablo14[#All],6,0)," ")</f>
        <v xml:space="preserve"> </v>
      </c>
      <c r="M531" s="100" t="str">
        <f t="shared" si="60"/>
        <v xml:space="preserve"> </v>
      </c>
      <c r="N531" s="100" t="str">
        <f>IFERROR(VLOOKUP(Tablo519[[#This Row],[ÜRÜN KODU]],YMKODLARI!$A$1:$K$363,8,0)," ")</f>
        <v xml:space="preserve"> </v>
      </c>
      <c r="O531" s="100" t="str">
        <f>IFERROR(VLOOKUP(Tablo519[[#This Row],[HAMMADDE KODU]],Tablo1[#All],3,0)," ")</f>
        <v xml:space="preserve"> </v>
      </c>
      <c r="P531" s="100" t="str">
        <f>IFERROR(VLOOKUP(Tablo519[[#This Row],[HAMMADDE KODU]],Tablo1[#All],4,0)," ")</f>
        <v xml:space="preserve"> </v>
      </c>
      <c r="Q531" s="100" t="str">
        <f>IFERROR(VLOOKUP(Tablo519[[#This Row],[ÜRÜN KODU]],YMKODLARI!$A$1:$K$379,5,0)," ")</f>
        <v xml:space="preserve"> </v>
      </c>
      <c r="R531" s="100" t="str">
        <f>IFERROR(VLOOKUP(Tablo519[[#This Row],[ÜRÜN KODU]],YMKODLARI!$A$1:$K$379,6,0)," ")</f>
        <v xml:space="preserve"> </v>
      </c>
      <c r="S531" s="100" t="str">
        <f>IFERROR(Tablo519[[#This Row],[YOLLUK HARİÇ BASKI GRAMI]]/Tablo519[[#This Row],[KALIP GÖZ ADEDİ]]," ")</f>
        <v xml:space="preserve"> </v>
      </c>
      <c r="T531" s="100" t="str">
        <f t="shared" si="61"/>
        <v xml:space="preserve"> </v>
      </c>
      <c r="U531" s="100"/>
      <c r="V531" s="100" t="str">
        <f t="shared" si="59"/>
        <v xml:space="preserve"> </v>
      </c>
      <c r="W531" s="101">
        <f t="shared" si="62"/>
        <v>24</v>
      </c>
      <c r="X531" s="102">
        <f t="shared" si="63"/>
        <v>0</v>
      </c>
      <c r="Y531" s="100" t="str">
        <f t="shared" si="64"/>
        <v xml:space="preserve"> </v>
      </c>
      <c r="Z531" s="100" t="str">
        <f t="shared" si="65"/>
        <v xml:space="preserve"> </v>
      </c>
    </row>
    <row r="532" spans="1:26">
      <c r="A532" s="100"/>
      <c r="B532" s="108" t="str">
        <f>IFERROR(VLOOKUP(Tablo519[[#This Row],[ÜRÜN KODU]],YMKODLARI!$A$1:$K$379,2,0)," ")</f>
        <v xml:space="preserve"> </v>
      </c>
      <c r="C532" s="99"/>
      <c r="D532" s="100"/>
      <c r="E532" s="101"/>
      <c r="F532" s="101"/>
      <c r="G532" s="100" t="str">
        <f>IFERROR(VLOOKUP(Tablo519[[#This Row],[ÜRÜN KODU]],YMKODLARI!$A$1:$K$379,3,0)," ")</f>
        <v xml:space="preserve"> </v>
      </c>
      <c r="H532" s="100" t="str">
        <f>IFERROR(VLOOKUP(Tablo519[[#This Row],[ÜRÜN KODU]],YMKODLARI!$A$1:$K$379,4,0)," ")</f>
        <v xml:space="preserve"> </v>
      </c>
      <c r="I532" s="100"/>
      <c r="J532" s="100" t="str">
        <f>IFERROR(VLOOKUP(Tablo519[[#This Row],[ÜRÜN KODU]],YMKODLARI!$A$1:$K$379,9,0)," ")</f>
        <v xml:space="preserve"> </v>
      </c>
      <c r="K532" s="100" t="str">
        <f>IFERROR(VLOOKUP(Tablo519[[#This Row],[BOYA KODU]],Tablo14[#All],4,0)," ")</f>
        <v xml:space="preserve"> </v>
      </c>
      <c r="L532" s="100" t="str">
        <f>IFERROR(VLOOKUP(Tablo519[[#This Row],[BOYA KODU]],Tablo14[#All],6,0)," ")</f>
        <v xml:space="preserve"> </v>
      </c>
      <c r="M532" s="100" t="str">
        <f t="shared" si="60"/>
        <v xml:space="preserve"> </v>
      </c>
      <c r="N532" s="100" t="str">
        <f>IFERROR(VLOOKUP(Tablo519[[#This Row],[ÜRÜN KODU]],YMKODLARI!$A$1:$K$363,8,0)," ")</f>
        <v xml:space="preserve"> </v>
      </c>
      <c r="O532" s="100" t="str">
        <f>IFERROR(VLOOKUP(Tablo519[[#This Row],[HAMMADDE KODU]],Tablo1[#All],3,0)," ")</f>
        <v xml:space="preserve"> </v>
      </c>
      <c r="P532" s="100" t="str">
        <f>IFERROR(VLOOKUP(Tablo519[[#This Row],[HAMMADDE KODU]],Tablo1[#All],4,0)," ")</f>
        <v xml:space="preserve"> </v>
      </c>
      <c r="Q532" s="100" t="str">
        <f>IFERROR(VLOOKUP(Tablo519[[#This Row],[ÜRÜN KODU]],YMKODLARI!$A$1:$K$379,5,0)," ")</f>
        <v xml:space="preserve"> </v>
      </c>
      <c r="R532" s="100" t="str">
        <f>IFERROR(VLOOKUP(Tablo519[[#This Row],[ÜRÜN KODU]],YMKODLARI!$A$1:$K$379,6,0)," ")</f>
        <v xml:space="preserve"> </v>
      </c>
      <c r="S532" s="100" t="str">
        <f>IFERROR(Tablo519[[#This Row],[YOLLUK HARİÇ BASKI GRAMI]]/Tablo519[[#This Row],[KALIP GÖZ ADEDİ]]," ")</f>
        <v xml:space="preserve"> </v>
      </c>
      <c r="T532" s="100" t="str">
        <f t="shared" si="61"/>
        <v xml:space="preserve"> </v>
      </c>
      <c r="U532" s="100"/>
      <c r="V532" s="100" t="str">
        <f t="shared" si="59"/>
        <v xml:space="preserve"> </v>
      </c>
      <c r="W532" s="101">
        <f t="shared" si="62"/>
        <v>24</v>
      </c>
      <c r="X532" s="102">
        <f t="shared" si="63"/>
        <v>0</v>
      </c>
      <c r="Y532" s="100" t="str">
        <f t="shared" si="64"/>
        <v xml:space="preserve"> </v>
      </c>
      <c r="Z532" s="100" t="str">
        <f t="shared" si="65"/>
        <v xml:space="preserve"> </v>
      </c>
    </row>
    <row r="533" spans="1:26">
      <c r="A533" s="100"/>
      <c r="B533" s="108" t="str">
        <f>IFERROR(VLOOKUP(Tablo519[[#This Row],[ÜRÜN KODU]],YMKODLARI!$A$1:$K$379,2,0)," ")</f>
        <v xml:space="preserve"> </v>
      </c>
      <c r="C533" s="99"/>
      <c r="D533" s="100"/>
      <c r="E533" s="101"/>
      <c r="F533" s="101"/>
      <c r="G533" s="100" t="str">
        <f>IFERROR(VLOOKUP(Tablo519[[#This Row],[ÜRÜN KODU]],YMKODLARI!$A$1:$K$379,3,0)," ")</f>
        <v xml:space="preserve"> </v>
      </c>
      <c r="H533" s="100" t="str">
        <f>IFERROR(VLOOKUP(Tablo519[[#This Row],[ÜRÜN KODU]],YMKODLARI!$A$1:$K$379,4,0)," ")</f>
        <v xml:space="preserve"> </v>
      </c>
      <c r="I533" s="100"/>
      <c r="J533" s="100" t="str">
        <f>IFERROR(VLOOKUP(Tablo519[[#This Row],[ÜRÜN KODU]],YMKODLARI!$A$1:$K$379,9,0)," ")</f>
        <v xml:space="preserve"> </v>
      </c>
      <c r="K533" s="100" t="str">
        <f>IFERROR(VLOOKUP(Tablo519[[#This Row],[BOYA KODU]],Tablo14[#All],4,0)," ")</f>
        <v xml:space="preserve"> </v>
      </c>
      <c r="L533" s="100" t="str">
        <f>IFERROR(VLOOKUP(Tablo519[[#This Row],[BOYA KODU]],Tablo14[#All],6,0)," ")</f>
        <v xml:space="preserve"> </v>
      </c>
      <c r="M533" s="100" t="str">
        <f t="shared" si="60"/>
        <v xml:space="preserve"> </v>
      </c>
      <c r="N533" s="100" t="str">
        <f>IFERROR(VLOOKUP(Tablo519[[#This Row],[ÜRÜN KODU]],YMKODLARI!$A$1:$K$363,8,0)," ")</f>
        <v xml:space="preserve"> </v>
      </c>
      <c r="O533" s="100" t="str">
        <f>IFERROR(VLOOKUP(Tablo519[[#This Row],[HAMMADDE KODU]],Tablo1[#All],3,0)," ")</f>
        <v xml:space="preserve"> </v>
      </c>
      <c r="P533" s="100" t="str">
        <f>IFERROR(VLOOKUP(Tablo519[[#This Row],[HAMMADDE KODU]],Tablo1[#All],4,0)," ")</f>
        <v xml:space="preserve"> </v>
      </c>
      <c r="Q533" s="100" t="str">
        <f>IFERROR(VLOOKUP(Tablo519[[#This Row],[ÜRÜN KODU]],YMKODLARI!$A$1:$K$379,5,0)," ")</f>
        <v xml:space="preserve"> </v>
      </c>
      <c r="R533" s="100" t="str">
        <f>IFERROR(VLOOKUP(Tablo519[[#This Row],[ÜRÜN KODU]],YMKODLARI!$A$1:$K$379,6,0)," ")</f>
        <v xml:space="preserve"> </v>
      </c>
      <c r="S533" s="100" t="str">
        <f>IFERROR(Tablo519[[#This Row],[YOLLUK HARİÇ BASKI GRAMI]]/Tablo519[[#This Row],[KALIP GÖZ ADEDİ]]," ")</f>
        <v xml:space="preserve"> </v>
      </c>
      <c r="T533" s="100" t="str">
        <f t="shared" si="61"/>
        <v xml:space="preserve"> </v>
      </c>
      <c r="U533" s="100"/>
      <c r="V533" s="100" t="str">
        <f t="shared" si="59"/>
        <v xml:space="preserve"> </v>
      </c>
      <c r="W533" s="101">
        <f t="shared" si="62"/>
        <v>24</v>
      </c>
      <c r="X533" s="102">
        <f t="shared" si="63"/>
        <v>0</v>
      </c>
      <c r="Y533" s="100" t="str">
        <f t="shared" si="64"/>
        <v xml:space="preserve"> </v>
      </c>
      <c r="Z533" s="100" t="str">
        <f t="shared" si="65"/>
        <v xml:space="preserve"> </v>
      </c>
    </row>
    <row r="534" spans="1:26">
      <c r="A534" s="100"/>
      <c r="B534" s="108" t="str">
        <f>IFERROR(VLOOKUP(Tablo519[[#This Row],[ÜRÜN KODU]],YMKODLARI!$A$1:$K$379,2,0)," ")</f>
        <v xml:space="preserve"> </v>
      </c>
      <c r="C534" s="99"/>
      <c r="D534" s="100"/>
      <c r="E534" s="101"/>
      <c r="F534" s="101"/>
      <c r="G534" s="100" t="str">
        <f>IFERROR(VLOOKUP(Tablo519[[#This Row],[ÜRÜN KODU]],YMKODLARI!$A$1:$K$379,3,0)," ")</f>
        <v xml:space="preserve"> </v>
      </c>
      <c r="H534" s="100" t="str">
        <f>IFERROR(VLOOKUP(Tablo519[[#This Row],[ÜRÜN KODU]],YMKODLARI!$A$1:$K$379,4,0)," ")</f>
        <v xml:space="preserve"> </v>
      </c>
      <c r="I534" s="100"/>
      <c r="J534" s="100" t="str">
        <f>IFERROR(VLOOKUP(Tablo519[[#This Row],[ÜRÜN KODU]],YMKODLARI!$A$1:$K$379,9,0)," ")</f>
        <v xml:space="preserve"> </v>
      </c>
      <c r="K534" s="100" t="str">
        <f>IFERROR(VLOOKUP(Tablo519[[#This Row],[BOYA KODU]],Tablo14[#All],4,0)," ")</f>
        <v xml:space="preserve"> </v>
      </c>
      <c r="L534" s="100" t="str">
        <f>IFERROR(VLOOKUP(Tablo519[[#This Row],[BOYA KODU]],Tablo14[#All],6,0)," ")</f>
        <v xml:space="preserve"> </v>
      </c>
      <c r="M534" s="100" t="str">
        <f t="shared" si="60"/>
        <v xml:space="preserve"> </v>
      </c>
      <c r="N534" s="100" t="str">
        <f>IFERROR(VLOOKUP(Tablo519[[#This Row],[ÜRÜN KODU]],YMKODLARI!$A$1:$K$363,8,0)," ")</f>
        <v xml:space="preserve"> </v>
      </c>
      <c r="O534" s="100" t="str">
        <f>IFERROR(VLOOKUP(Tablo519[[#This Row],[HAMMADDE KODU]],Tablo1[#All],3,0)," ")</f>
        <v xml:space="preserve"> </v>
      </c>
      <c r="P534" s="100" t="str">
        <f>IFERROR(VLOOKUP(Tablo519[[#This Row],[HAMMADDE KODU]],Tablo1[#All],4,0)," ")</f>
        <v xml:space="preserve"> </v>
      </c>
      <c r="Q534" s="100" t="str">
        <f>IFERROR(VLOOKUP(Tablo519[[#This Row],[ÜRÜN KODU]],YMKODLARI!$A$1:$K$379,5,0)," ")</f>
        <v xml:space="preserve"> </v>
      </c>
      <c r="R534" s="100" t="str">
        <f>IFERROR(VLOOKUP(Tablo519[[#This Row],[ÜRÜN KODU]],YMKODLARI!$A$1:$K$379,6,0)," ")</f>
        <v xml:space="preserve"> </v>
      </c>
      <c r="S534" s="100" t="str">
        <f>IFERROR(Tablo519[[#This Row],[YOLLUK HARİÇ BASKI GRAMI]]/Tablo519[[#This Row],[KALIP GÖZ ADEDİ]]," ")</f>
        <v xml:space="preserve"> </v>
      </c>
      <c r="T534" s="100" t="str">
        <f t="shared" si="61"/>
        <v xml:space="preserve"> </v>
      </c>
      <c r="U534" s="100"/>
      <c r="V534" s="100" t="str">
        <f t="shared" si="59"/>
        <v xml:space="preserve"> </v>
      </c>
      <c r="W534" s="101">
        <f t="shared" si="62"/>
        <v>24</v>
      </c>
      <c r="X534" s="102">
        <f t="shared" si="63"/>
        <v>0</v>
      </c>
      <c r="Y534" s="100" t="str">
        <f t="shared" si="64"/>
        <v xml:space="preserve"> </v>
      </c>
      <c r="Z534" s="100" t="str">
        <f t="shared" si="65"/>
        <v xml:space="preserve"> </v>
      </c>
    </row>
    <row r="535" spans="1:26">
      <c r="A535" s="100"/>
      <c r="B535" s="108" t="str">
        <f>IFERROR(VLOOKUP(Tablo519[[#This Row],[ÜRÜN KODU]],YMKODLARI!$A$1:$K$379,2,0)," ")</f>
        <v xml:space="preserve"> </v>
      </c>
      <c r="C535" s="99"/>
      <c r="D535" s="100"/>
      <c r="E535" s="101"/>
      <c r="F535" s="101"/>
      <c r="G535" s="100" t="str">
        <f>IFERROR(VLOOKUP(Tablo519[[#This Row],[ÜRÜN KODU]],YMKODLARI!$A$1:$K$379,3,0)," ")</f>
        <v xml:space="preserve"> </v>
      </c>
      <c r="H535" s="100" t="str">
        <f>IFERROR(VLOOKUP(Tablo519[[#This Row],[ÜRÜN KODU]],YMKODLARI!$A$1:$K$379,4,0)," ")</f>
        <v xml:space="preserve"> </v>
      </c>
      <c r="I535" s="100"/>
      <c r="J535" s="100" t="str">
        <f>IFERROR(VLOOKUP(Tablo519[[#This Row],[ÜRÜN KODU]],YMKODLARI!$A$1:$K$379,9,0)," ")</f>
        <v xml:space="preserve"> </v>
      </c>
      <c r="K535" s="100" t="str">
        <f>IFERROR(VLOOKUP(Tablo519[[#This Row],[BOYA KODU]],Tablo14[#All],4,0)," ")</f>
        <v xml:space="preserve"> </v>
      </c>
      <c r="L535" s="100" t="str">
        <f>IFERROR(VLOOKUP(Tablo519[[#This Row],[BOYA KODU]],Tablo14[#All],6,0)," ")</f>
        <v xml:space="preserve"> </v>
      </c>
      <c r="M535" s="100" t="str">
        <f t="shared" si="60"/>
        <v xml:space="preserve"> </v>
      </c>
      <c r="N535" s="100" t="str">
        <f>IFERROR(VLOOKUP(Tablo519[[#This Row],[ÜRÜN KODU]],YMKODLARI!$A$1:$K$363,8,0)," ")</f>
        <v xml:space="preserve"> </v>
      </c>
      <c r="O535" s="100" t="str">
        <f>IFERROR(VLOOKUP(Tablo519[[#This Row],[HAMMADDE KODU]],Tablo1[#All],3,0)," ")</f>
        <v xml:space="preserve"> </v>
      </c>
      <c r="P535" s="100" t="str">
        <f>IFERROR(VLOOKUP(Tablo519[[#This Row],[HAMMADDE KODU]],Tablo1[#All],4,0)," ")</f>
        <v xml:space="preserve"> </v>
      </c>
      <c r="Q535" s="100" t="str">
        <f>IFERROR(VLOOKUP(Tablo519[[#This Row],[ÜRÜN KODU]],YMKODLARI!$A$1:$K$379,5,0)," ")</f>
        <v xml:space="preserve"> </v>
      </c>
      <c r="R535" s="100" t="str">
        <f>IFERROR(VLOOKUP(Tablo519[[#This Row],[ÜRÜN KODU]],YMKODLARI!$A$1:$K$379,6,0)," ")</f>
        <v xml:space="preserve"> </v>
      </c>
      <c r="S535" s="100" t="str">
        <f>IFERROR(Tablo519[[#This Row],[YOLLUK HARİÇ BASKI GRAMI]]/Tablo519[[#This Row],[KALIP GÖZ ADEDİ]]," ")</f>
        <v xml:space="preserve"> </v>
      </c>
      <c r="T535" s="100" t="str">
        <f t="shared" si="61"/>
        <v xml:space="preserve"> </v>
      </c>
      <c r="U535" s="100"/>
      <c r="V535" s="100" t="str">
        <f t="shared" si="59"/>
        <v xml:space="preserve"> </v>
      </c>
      <c r="W535" s="101">
        <f t="shared" si="62"/>
        <v>24</v>
      </c>
      <c r="X535" s="102">
        <f t="shared" si="63"/>
        <v>0</v>
      </c>
      <c r="Y535" s="100" t="str">
        <f t="shared" si="64"/>
        <v xml:space="preserve"> </v>
      </c>
      <c r="Z535" s="100" t="str">
        <f t="shared" si="65"/>
        <v xml:space="preserve"> </v>
      </c>
    </row>
    <row r="536" spans="1:26">
      <c r="A536" s="100"/>
      <c r="B536" s="108" t="str">
        <f>IFERROR(VLOOKUP(Tablo519[[#This Row],[ÜRÜN KODU]],YMKODLARI!$A$1:$K$379,2,0)," ")</f>
        <v xml:space="preserve"> </v>
      </c>
      <c r="C536" s="99"/>
      <c r="D536" s="100"/>
      <c r="E536" s="101"/>
      <c r="F536" s="101"/>
      <c r="G536" s="100" t="str">
        <f>IFERROR(VLOOKUP(Tablo519[[#This Row],[ÜRÜN KODU]],YMKODLARI!$A$1:$K$379,3,0)," ")</f>
        <v xml:space="preserve"> </v>
      </c>
      <c r="H536" s="100" t="str">
        <f>IFERROR(VLOOKUP(Tablo519[[#This Row],[ÜRÜN KODU]],YMKODLARI!$A$1:$K$379,4,0)," ")</f>
        <v xml:space="preserve"> </v>
      </c>
      <c r="I536" s="100"/>
      <c r="J536" s="100" t="str">
        <f>IFERROR(VLOOKUP(Tablo519[[#This Row],[ÜRÜN KODU]],YMKODLARI!$A$1:$K$379,9,0)," ")</f>
        <v xml:space="preserve"> </v>
      </c>
      <c r="K536" s="100" t="str">
        <f>IFERROR(VLOOKUP(Tablo519[[#This Row],[BOYA KODU]],Tablo14[#All],4,0)," ")</f>
        <v xml:space="preserve"> </v>
      </c>
      <c r="L536" s="100" t="str">
        <f>IFERROR(VLOOKUP(Tablo519[[#This Row],[BOYA KODU]],Tablo14[#All],6,0)," ")</f>
        <v xml:space="preserve"> </v>
      </c>
      <c r="M536" s="100" t="str">
        <f t="shared" si="60"/>
        <v xml:space="preserve"> </v>
      </c>
      <c r="N536" s="100" t="str">
        <f>IFERROR(VLOOKUP(Tablo519[[#This Row],[ÜRÜN KODU]],YMKODLARI!$A$1:$K$363,8,0)," ")</f>
        <v xml:space="preserve"> </v>
      </c>
      <c r="O536" s="100" t="str">
        <f>IFERROR(VLOOKUP(Tablo519[[#This Row],[HAMMADDE KODU]],Tablo1[#All],3,0)," ")</f>
        <v xml:space="preserve"> </v>
      </c>
      <c r="P536" s="100" t="str">
        <f>IFERROR(VLOOKUP(Tablo519[[#This Row],[HAMMADDE KODU]],Tablo1[#All],4,0)," ")</f>
        <v xml:space="preserve"> </v>
      </c>
      <c r="Q536" s="100" t="str">
        <f>IFERROR(VLOOKUP(Tablo519[[#This Row],[ÜRÜN KODU]],YMKODLARI!$A$1:$K$379,5,0)," ")</f>
        <v xml:space="preserve"> </v>
      </c>
      <c r="R536" s="100" t="str">
        <f>IFERROR(VLOOKUP(Tablo519[[#This Row],[ÜRÜN KODU]],YMKODLARI!$A$1:$K$379,6,0)," ")</f>
        <v xml:space="preserve"> </v>
      </c>
      <c r="S536" s="100" t="str">
        <f>IFERROR(Tablo519[[#This Row],[YOLLUK HARİÇ BASKI GRAMI]]/Tablo519[[#This Row],[KALIP GÖZ ADEDİ]]," ")</f>
        <v xml:space="preserve"> </v>
      </c>
      <c r="T536" s="100" t="str">
        <f t="shared" si="61"/>
        <v xml:space="preserve"> </v>
      </c>
      <c r="U536" s="100"/>
      <c r="V536" s="100" t="str">
        <f t="shared" si="59"/>
        <v xml:space="preserve"> </v>
      </c>
      <c r="W536" s="101">
        <f t="shared" si="62"/>
        <v>24</v>
      </c>
      <c r="X536" s="102">
        <f t="shared" si="63"/>
        <v>0</v>
      </c>
      <c r="Y536" s="100" t="str">
        <f t="shared" si="64"/>
        <v xml:space="preserve"> </v>
      </c>
      <c r="Z536" s="100" t="str">
        <f t="shared" si="65"/>
        <v xml:space="preserve"> </v>
      </c>
    </row>
    <row r="537" spans="1:26">
      <c r="A537" s="100"/>
      <c r="B537" s="108" t="str">
        <f>IFERROR(VLOOKUP(Tablo519[[#This Row],[ÜRÜN KODU]],YMKODLARI!$A$1:$K$379,2,0)," ")</f>
        <v xml:space="preserve"> </v>
      </c>
      <c r="C537" s="99"/>
      <c r="D537" s="100"/>
      <c r="E537" s="101"/>
      <c r="F537" s="101"/>
      <c r="G537" s="100" t="str">
        <f>IFERROR(VLOOKUP(Tablo519[[#This Row],[ÜRÜN KODU]],YMKODLARI!$A$1:$K$379,3,0)," ")</f>
        <v xml:space="preserve"> </v>
      </c>
      <c r="H537" s="100" t="str">
        <f>IFERROR(VLOOKUP(Tablo519[[#This Row],[ÜRÜN KODU]],YMKODLARI!$A$1:$K$379,4,0)," ")</f>
        <v xml:space="preserve"> </v>
      </c>
      <c r="I537" s="100"/>
      <c r="J537" s="100" t="str">
        <f>IFERROR(VLOOKUP(Tablo519[[#This Row],[ÜRÜN KODU]],YMKODLARI!$A$1:$K$379,9,0)," ")</f>
        <v xml:space="preserve"> </v>
      </c>
      <c r="K537" s="100" t="str">
        <f>IFERROR(VLOOKUP(Tablo519[[#This Row],[BOYA KODU]],Tablo14[#All],4,0)," ")</f>
        <v xml:space="preserve"> </v>
      </c>
      <c r="L537" s="100" t="str">
        <f>IFERROR(VLOOKUP(Tablo519[[#This Row],[BOYA KODU]],Tablo14[#All],6,0)," ")</f>
        <v xml:space="preserve"> </v>
      </c>
      <c r="M537" s="100" t="str">
        <f t="shared" si="60"/>
        <v xml:space="preserve"> </v>
      </c>
      <c r="N537" s="100" t="str">
        <f>IFERROR(VLOOKUP(Tablo519[[#This Row],[ÜRÜN KODU]],YMKODLARI!$A$1:$K$363,8,0)," ")</f>
        <v xml:space="preserve"> </v>
      </c>
      <c r="O537" s="100" t="str">
        <f>IFERROR(VLOOKUP(Tablo519[[#This Row],[HAMMADDE KODU]],Tablo1[#All],3,0)," ")</f>
        <v xml:space="preserve"> </v>
      </c>
      <c r="P537" s="100" t="str">
        <f>IFERROR(VLOOKUP(Tablo519[[#This Row],[HAMMADDE KODU]],Tablo1[#All],4,0)," ")</f>
        <v xml:space="preserve"> </v>
      </c>
      <c r="Q537" s="100" t="str">
        <f>IFERROR(VLOOKUP(Tablo519[[#This Row],[ÜRÜN KODU]],YMKODLARI!$A$1:$K$379,5,0)," ")</f>
        <v xml:space="preserve"> </v>
      </c>
      <c r="R537" s="100" t="str">
        <f>IFERROR(VLOOKUP(Tablo519[[#This Row],[ÜRÜN KODU]],YMKODLARI!$A$1:$K$379,6,0)," ")</f>
        <v xml:space="preserve"> </v>
      </c>
      <c r="S537" s="100" t="str">
        <f>IFERROR(Tablo519[[#This Row],[YOLLUK HARİÇ BASKI GRAMI]]/Tablo519[[#This Row],[KALIP GÖZ ADEDİ]]," ")</f>
        <v xml:space="preserve"> </v>
      </c>
      <c r="T537" s="100" t="str">
        <f t="shared" si="61"/>
        <v xml:space="preserve"> </v>
      </c>
      <c r="U537" s="100"/>
      <c r="V537" s="100" t="str">
        <f t="shared" si="59"/>
        <v xml:space="preserve"> </v>
      </c>
      <c r="W537" s="101">
        <f t="shared" si="62"/>
        <v>24</v>
      </c>
      <c r="X537" s="102">
        <f t="shared" si="63"/>
        <v>0</v>
      </c>
      <c r="Y537" s="100" t="str">
        <f t="shared" si="64"/>
        <v xml:space="preserve"> </v>
      </c>
      <c r="Z537" s="100" t="str">
        <f t="shared" si="65"/>
        <v xml:space="preserve"> </v>
      </c>
    </row>
    <row r="538" spans="1:26">
      <c r="A538" s="100"/>
      <c r="B538" s="108" t="str">
        <f>IFERROR(VLOOKUP(Tablo519[[#This Row],[ÜRÜN KODU]],YMKODLARI!$A$1:$K$379,2,0)," ")</f>
        <v xml:space="preserve"> </v>
      </c>
      <c r="C538" s="99"/>
      <c r="D538" s="100"/>
      <c r="E538" s="101"/>
      <c r="F538" s="101"/>
      <c r="G538" s="100" t="str">
        <f>IFERROR(VLOOKUP(Tablo519[[#This Row],[ÜRÜN KODU]],YMKODLARI!$A$1:$K$379,3,0)," ")</f>
        <v xml:space="preserve"> </v>
      </c>
      <c r="H538" s="100" t="str">
        <f>IFERROR(VLOOKUP(Tablo519[[#This Row],[ÜRÜN KODU]],YMKODLARI!$A$1:$K$379,4,0)," ")</f>
        <v xml:space="preserve"> </v>
      </c>
      <c r="I538" s="100"/>
      <c r="J538" s="100" t="str">
        <f>IFERROR(VLOOKUP(Tablo519[[#This Row],[ÜRÜN KODU]],YMKODLARI!$A$1:$K$379,9,0)," ")</f>
        <v xml:space="preserve"> </v>
      </c>
      <c r="K538" s="100" t="str">
        <f>IFERROR(VLOOKUP(Tablo519[[#This Row],[BOYA KODU]],Tablo14[#All],4,0)," ")</f>
        <v xml:space="preserve"> </v>
      </c>
      <c r="L538" s="100" t="str">
        <f>IFERROR(VLOOKUP(Tablo519[[#This Row],[BOYA KODU]],Tablo14[#All],6,0)," ")</f>
        <v xml:space="preserve"> </v>
      </c>
      <c r="M538" s="100" t="str">
        <f t="shared" si="60"/>
        <v xml:space="preserve"> </v>
      </c>
      <c r="N538" s="100" t="str">
        <f>IFERROR(VLOOKUP(Tablo519[[#This Row],[ÜRÜN KODU]],YMKODLARI!$A$1:$K$363,8,0)," ")</f>
        <v xml:space="preserve"> </v>
      </c>
      <c r="O538" s="100" t="str">
        <f>IFERROR(VLOOKUP(Tablo519[[#This Row],[HAMMADDE KODU]],Tablo1[#All],3,0)," ")</f>
        <v xml:space="preserve"> </v>
      </c>
      <c r="P538" s="100" t="str">
        <f>IFERROR(VLOOKUP(Tablo519[[#This Row],[HAMMADDE KODU]],Tablo1[#All],4,0)," ")</f>
        <v xml:space="preserve"> </v>
      </c>
      <c r="Q538" s="100" t="str">
        <f>IFERROR(VLOOKUP(Tablo519[[#This Row],[ÜRÜN KODU]],YMKODLARI!$A$1:$K$379,5,0)," ")</f>
        <v xml:space="preserve"> </v>
      </c>
      <c r="R538" s="100" t="str">
        <f>IFERROR(VLOOKUP(Tablo519[[#This Row],[ÜRÜN KODU]],YMKODLARI!$A$1:$K$379,6,0)," ")</f>
        <v xml:space="preserve"> </v>
      </c>
      <c r="S538" s="100" t="str">
        <f>IFERROR(Tablo519[[#This Row],[YOLLUK HARİÇ BASKI GRAMI]]/Tablo519[[#This Row],[KALIP GÖZ ADEDİ]]," ")</f>
        <v xml:space="preserve"> </v>
      </c>
      <c r="T538" s="100" t="str">
        <f t="shared" si="61"/>
        <v xml:space="preserve"> </v>
      </c>
      <c r="U538" s="100"/>
      <c r="V538" s="100" t="str">
        <f t="shared" si="59"/>
        <v xml:space="preserve"> </v>
      </c>
      <c r="W538" s="101">
        <f t="shared" si="62"/>
        <v>24</v>
      </c>
      <c r="X538" s="102">
        <f t="shared" si="63"/>
        <v>0</v>
      </c>
      <c r="Y538" s="100" t="str">
        <f t="shared" si="64"/>
        <v xml:space="preserve"> </v>
      </c>
      <c r="Z538" s="100" t="str">
        <f t="shared" si="65"/>
        <v xml:space="preserve"> </v>
      </c>
    </row>
    <row r="539" spans="1:26">
      <c r="A539" s="100"/>
      <c r="B539" s="108" t="str">
        <f>IFERROR(VLOOKUP(Tablo519[[#This Row],[ÜRÜN KODU]],YMKODLARI!$A$1:$K$379,2,0)," ")</f>
        <v xml:space="preserve"> </v>
      </c>
      <c r="C539" s="99"/>
      <c r="D539" s="100"/>
      <c r="E539" s="101"/>
      <c r="F539" s="101"/>
      <c r="G539" s="100" t="str">
        <f>IFERROR(VLOOKUP(Tablo519[[#This Row],[ÜRÜN KODU]],YMKODLARI!$A$1:$K$379,3,0)," ")</f>
        <v xml:space="preserve"> </v>
      </c>
      <c r="H539" s="100" t="str">
        <f>IFERROR(VLOOKUP(Tablo519[[#This Row],[ÜRÜN KODU]],YMKODLARI!$A$1:$K$379,4,0)," ")</f>
        <v xml:space="preserve"> </v>
      </c>
      <c r="I539" s="100"/>
      <c r="J539" s="100" t="str">
        <f>IFERROR(VLOOKUP(Tablo519[[#This Row],[ÜRÜN KODU]],YMKODLARI!$A$1:$K$379,9,0)," ")</f>
        <v xml:space="preserve"> </v>
      </c>
      <c r="K539" s="100" t="str">
        <f>IFERROR(VLOOKUP(Tablo519[[#This Row],[BOYA KODU]],Tablo14[#All],4,0)," ")</f>
        <v xml:space="preserve"> </v>
      </c>
      <c r="L539" s="100" t="str">
        <f>IFERROR(VLOOKUP(Tablo519[[#This Row],[BOYA KODU]],Tablo14[#All],6,0)," ")</f>
        <v xml:space="preserve"> </v>
      </c>
      <c r="M539" s="100" t="str">
        <f t="shared" si="60"/>
        <v xml:space="preserve"> </v>
      </c>
      <c r="N539" s="100" t="str">
        <f>IFERROR(VLOOKUP(Tablo519[[#This Row],[ÜRÜN KODU]],YMKODLARI!$A$1:$K$363,8,0)," ")</f>
        <v xml:space="preserve"> </v>
      </c>
      <c r="O539" s="100" t="str">
        <f>IFERROR(VLOOKUP(Tablo519[[#This Row],[HAMMADDE KODU]],Tablo1[#All],3,0)," ")</f>
        <v xml:space="preserve"> </v>
      </c>
      <c r="P539" s="100" t="str">
        <f>IFERROR(VLOOKUP(Tablo519[[#This Row],[HAMMADDE KODU]],Tablo1[#All],4,0)," ")</f>
        <v xml:space="preserve"> </v>
      </c>
      <c r="Q539" s="100" t="str">
        <f>IFERROR(VLOOKUP(Tablo519[[#This Row],[ÜRÜN KODU]],YMKODLARI!$A$1:$K$379,5,0)," ")</f>
        <v xml:space="preserve"> </v>
      </c>
      <c r="R539" s="100" t="str">
        <f>IFERROR(VLOOKUP(Tablo519[[#This Row],[ÜRÜN KODU]],YMKODLARI!$A$1:$K$379,6,0)," ")</f>
        <v xml:space="preserve"> </v>
      </c>
      <c r="S539" s="100" t="str">
        <f>IFERROR(Tablo519[[#This Row],[YOLLUK HARİÇ BASKI GRAMI]]/Tablo519[[#This Row],[KALIP GÖZ ADEDİ]]," ")</f>
        <v xml:space="preserve"> </v>
      </c>
      <c r="T539" s="100" t="str">
        <f t="shared" si="61"/>
        <v xml:space="preserve"> </v>
      </c>
      <c r="U539" s="100"/>
      <c r="V539" s="100" t="str">
        <f t="shared" si="59"/>
        <v xml:space="preserve"> </v>
      </c>
      <c r="W539" s="101">
        <f t="shared" si="62"/>
        <v>24</v>
      </c>
      <c r="X539" s="102">
        <f t="shared" si="63"/>
        <v>0</v>
      </c>
      <c r="Y539" s="100" t="str">
        <f t="shared" si="64"/>
        <v xml:space="preserve"> </v>
      </c>
      <c r="Z539" s="100" t="str">
        <f t="shared" si="65"/>
        <v xml:space="preserve"> </v>
      </c>
    </row>
    <row r="540" spans="1:26">
      <c r="A540" s="100"/>
      <c r="B540" s="108" t="str">
        <f>IFERROR(VLOOKUP(Tablo519[[#This Row],[ÜRÜN KODU]],YMKODLARI!$A$1:$K$379,2,0)," ")</f>
        <v xml:space="preserve"> </v>
      </c>
      <c r="C540" s="99"/>
      <c r="D540" s="100"/>
      <c r="E540" s="101"/>
      <c r="F540" s="101"/>
      <c r="G540" s="100" t="str">
        <f>IFERROR(VLOOKUP(Tablo519[[#This Row],[ÜRÜN KODU]],YMKODLARI!$A$1:$K$379,3,0)," ")</f>
        <v xml:space="preserve"> </v>
      </c>
      <c r="H540" s="100" t="str">
        <f>IFERROR(VLOOKUP(Tablo519[[#This Row],[ÜRÜN KODU]],YMKODLARI!$A$1:$K$379,4,0)," ")</f>
        <v xml:space="preserve"> </v>
      </c>
      <c r="I540" s="100"/>
      <c r="J540" s="100" t="str">
        <f>IFERROR(VLOOKUP(Tablo519[[#This Row],[ÜRÜN KODU]],YMKODLARI!$A$1:$K$379,9,0)," ")</f>
        <v xml:space="preserve"> </v>
      </c>
      <c r="K540" s="100" t="str">
        <f>IFERROR(VLOOKUP(Tablo519[[#This Row],[BOYA KODU]],Tablo14[#All],4,0)," ")</f>
        <v xml:space="preserve"> </v>
      </c>
      <c r="L540" s="100" t="str">
        <f>IFERROR(VLOOKUP(Tablo519[[#This Row],[BOYA KODU]],Tablo14[#All],6,0)," ")</f>
        <v xml:space="preserve"> </v>
      </c>
      <c r="M540" s="100" t="str">
        <f t="shared" si="60"/>
        <v xml:space="preserve"> </v>
      </c>
      <c r="N540" s="100" t="str">
        <f>IFERROR(VLOOKUP(Tablo519[[#This Row],[ÜRÜN KODU]],YMKODLARI!$A$1:$K$363,8,0)," ")</f>
        <v xml:space="preserve"> </v>
      </c>
      <c r="O540" s="100" t="str">
        <f>IFERROR(VLOOKUP(Tablo519[[#This Row],[HAMMADDE KODU]],Tablo1[#All],3,0)," ")</f>
        <v xml:space="preserve"> </v>
      </c>
      <c r="P540" s="100" t="str">
        <f>IFERROR(VLOOKUP(Tablo519[[#This Row],[HAMMADDE KODU]],Tablo1[#All],4,0)," ")</f>
        <v xml:space="preserve"> </v>
      </c>
      <c r="Q540" s="100" t="str">
        <f>IFERROR(VLOOKUP(Tablo519[[#This Row],[ÜRÜN KODU]],YMKODLARI!$A$1:$K$379,5,0)," ")</f>
        <v xml:space="preserve"> </v>
      </c>
      <c r="R540" s="100" t="str">
        <f>IFERROR(VLOOKUP(Tablo519[[#This Row],[ÜRÜN KODU]],YMKODLARI!$A$1:$K$379,6,0)," ")</f>
        <v xml:space="preserve"> </v>
      </c>
      <c r="S540" s="100" t="str">
        <f>IFERROR(Tablo519[[#This Row],[YOLLUK HARİÇ BASKI GRAMI]]/Tablo519[[#This Row],[KALIP GÖZ ADEDİ]]," ")</f>
        <v xml:space="preserve"> </v>
      </c>
      <c r="T540" s="100" t="str">
        <f t="shared" si="61"/>
        <v xml:space="preserve"> </v>
      </c>
      <c r="U540" s="100"/>
      <c r="V540" s="100" t="str">
        <f t="shared" si="59"/>
        <v xml:space="preserve"> </v>
      </c>
      <c r="W540" s="101">
        <f t="shared" si="62"/>
        <v>24</v>
      </c>
      <c r="X540" s="102">
        <f t="shared" si="63"/>
        <v>0</v>
      </c>
      <c r="Y540" s="100" t="str">
        <f t="shared" si="64"/>
        <v xml:space="preserve"> </v>
      </c>
      <c r="Z540" s="100" t="str">
        <f t="shared" si="65"/>
        <v xml:space="preserve"> </v>
      </c>
    </row>
    <row r="541" spans="1:26">
      <c r="A541" s="100"/>
      <c r="B541" s="108" t="str">
        <f>IFERROR(VLOOKUP(Tablo519[[#This Row],[ÜRÜN KODU]],YMKODLARI!$A$1:$K$379,2,0)," ")</f>
        <v xml:space="preserve"> </v>
      </c>
      <c r="C541" s="99"/>
      <c r="D541" s="100"/>
      <c r="E541" s="101"/>
      <c r="F541" s="101"/>
      <c r="G541" s="100" t="str">
        <f>IFERROR(VLOOKUP(Tablo519[[#This Row],[ÜRÜN KODU]],YMKODLARI!$A$1:$K$379,3,0)," ")</f>
        <v xml:space="preserve"> </v>
      </c>
      <c r="H541" s="100" t="str">
        <f>IFERROR(VLOOKUP(Tablo519[[#This Row],[ÜRÜN KODU]],YMKODLARI!$A$1:$K$379,4,0)," ")</f>
        <v xml:space="preserve"> </v>
      </c>
      <c r="I541" s="100"/>
      <c r="J541" s="100" t="str">
        <f>IFERROR(VLOOKUP(Tablo519[[#This Row],[ÜRÜN KODU]],YMKODLARI!$A$1:$K$379,9,0)," ")</f>
        <v xml:space="preserve"> </v>
      </c>
      <c r="K541" s="100" t="str">
        <f>IFERROR(VLOOKUP(Tablo519[[#This Row],[BOYA KODU]],Tablo14[#All],4,0)," ")</f>
        <v xml:space="preserve"> </v>
      </c>
      <c r="L541" s="100" t="str">
        <f>IFERROR(VLOOKUP(Tablo519[[#This Row],[BOYA KODU]],Tablo14[#All],6,0)," ")</f>
        <v xml:space="preserve"> </v>
      </c>
      <c r="M541" s="100" t="str">
        <f t="shared" si="60"/>
        <v xml:space="preserve"> </v>
      </c>
      <c r="N541" s="100" t="str">
        <f>IFERROR(VLOOKUP(Tablo519[[#This Row],[ÜRÜN KODU]],YMKODLARI!$A$1:$K$363,8,0)," ")</f>
        <v xml:space="preserve"> </v>
      </c>
      <c r="O541" s="100" t="str">
        <f>IFERROR(VLOOKUP(Tablo519[[#This Row],[HAMMADDE KODU]],Tablo1[#All],3,0)," ")</f>
        <v xml:space="preserve"> </v>
      </c>
      <c r="P541" s="100" t="str">
        <f>IFERROR(VLOOKUP(Tablo519[[#This Row],[HAMMADDE KODU]],Tablo1[#All],4,0)," ")</f>
        <v xml:space="preserve"> </v>
      </c>
      <c r="Q541" s="100" t="str">
        <f>IFERROR(VLOOKUP(Tablo519[[#This Row],[ÜRÜN KODU]],YMKODLARI!$A$1:$K$379,5,0)," ")</f>
        <v xml:space="preserve"> </v>
      </c>
      <c r="R541" s="100" t="str">
        <f>IFERROR(VLOOKUP(Tablo519[[#This Row],[ÜRÜN KODU]],YMKODLARI!$A$1:$K$379,6,0)," ")</f>
        <v xml:space="preserve"> </v>
      </c>
      <c r="S541" s="100" t="str">
        <f>IFERROR(Tablo519[[#This Row],[YOLLUK HARİÇ BASKI GRAMI]]/Tablo519[[#This Row],[KALIP GÖZ ADEDİ]]," ")</f>
        <v xml:space="preserve"> </v>
      </c>
      <c r="T541" s="100" t="str">
        <f t="shared" si="61"/>
        <v xml:space="preserve"> </v>
      </c>
      <c r="U541" s="100"/>
      <c r="V541" s="100" t="str">
        <f t="shared" si="59"/>
        <v xml:space="preserve"> </v>
      </c>
      <c r="W541" s="101">
        <f t="shared" si="62"/>
        <v>24</v>
      </c>
      <c r="X541" s="102">
        <f t="shared" si="63"/>
        <v>0</v>
      </c>
      <c r="Y541" s="100" t="str">
        <f t="shared" si="64"/>
        <v xml:space="preserve"> </v>
      </c>
      <c r="Z541" s="100" t="str">
        <f t="shared" si="65"/>
        <v xml:space="preserve"> </v>
      </c>
    </row>
    <row r="542" spans="1:26">
      <c r="A542" s="100"/>
      <c r="B542" s="108" t="str">
        <f>IFERROR(VLOOKUP(Tablo519[[#This Row],[ÜRÜN KODU]],YMKODLARI!$A$1:$K$379,2,0)," ")</f>
        <v xml:space="preserve"> </v>
      </c>
      <c r="C542" s="99"/>
      <c r="D542" s="100"/>
      <c r="E542" s="101"/>
      <c r="F542" s="101"/>
      <c r="G542" s="100" t="str">
        <f>IFERROR(VLOOKUP(Tablo519[[#This Row],[ÜRÜN KODU]],YMKODLARI!$A$1:$K$379,3,0)," ")</f>
        <v xml:space="preserve"> </v>
      </c>
      <c r="H542" s="100" t="str">
        <f>IFERROR(VLOOKUP(Tablo519[[#This Row],[ÜRÜN KODU]],YMKODLARI!$A$1:$K$379,4,0)," ")</f>
        <v xml:space="preserve"> </v>
      </c>
      <c r="I542" s="100"/>
      <c r="J542" s="100" t="str">
        <f>IFERROR(VLOOKUP(Tablo519[[#This Row],[ÜRÜN KODU]],YMKODLARI!$A$1:$K$379,9,0)," ")</f>
        <v xml:space="preserve"> </v>
      </c>
      <c r="K542" s="100" t="str">
        <f>IFERROR(VLOOKUP(Tablo519[[#This Row],[BOYA KODU]],Tablo14[#All],4,0)," ")</f>
        <v xml:space="preserve"> </v>
      </c>
      <c r="L542" s="100" t="str">
        <f>IFERROR(VLOOKUP(Tablo519[[#This Row],[BOYA KODU]],Tablo14[#All],6,0)," ")</f>
        <v xml:space="preserve"> </v>
      </c>
      <c r="M542" s="100" t="str">
        <f t="shared" si="60"/>
        <v xml:space="preserve"> </v>
      </c>
      <c r="N542" s="100" t="str">
        <f>IFERROR(VLOOKUP(Tablo519[[#This Row],[ÜRÜN KODU]],YMKODLARI!$A$1:$K$363,8,0)," ")</f>
        <v xml:space="preserve"> </v>
      </c>
      <c r="O542" s="100" t="str">
        <f>IFERROR(VLOOKUP(Tablo519[[#This Row],[HAMMADDE KODU]],Tablo1[#All],3,0)," ")</f>
        <v xml:space="preserve"> </v>
      </c>
      <c r="P542" s="100" t="str">
        <f>IFERROR(VLOOKUP(Tablo519[[#This Row],[HAMMADDE KODU]],Tablo1[#All],4,0)," ")</f>
        <v xml:space="preserve"> </v>
      </c>
      <c r="Q542" s="100" t="str">
        <f>IFERROR(VLOOKUP(Tablo519[[#This Row],[ÜRÜN KODU]],YMKODLARI!$A$1:$K$379,5,0)," ")</f>
        <v xml:space="preserve"> </v>
      </c>
      <c r="R542" s="100" t="str">
        <f>IFERROR(VLOOKUP(Tablo519[[#This Row],[ÜRÜN KODU]],YMKODLARI!$A$1:$K$379,6,0)," ")</f>
        <v xml:space="preserve"> </v>
      </c>
      <c r="S542" s="100" t="str">
        <f>IFERROR(Tablo519[[#This Row],[YOLLUK HARİÇ BASKI GRAMI]]/Tablo519[[#This Row],[KALIP GÖZ ADEDİ]]," ")</f>
        <v xml:space="preserve"> </v>
      </c>
      <c r="T542" s="100" t="str">
        <f t="shared" si="61"/>
        <v xml:space="preserve"> </v>
      </c>
      <c r="U542" s="100"/>
      <c r="V542" s="100" t="str">
        <f t="shared" si="59"/>
        <v xml:space="preserve"> </v>
      </c>
      <c r="W542" s="101">
        <f t="shared" si="62"/>
        <v>24</v>
      </c>
      <c r="X542" s="102">
        <f t="shared" si="63"/>
        <v>0</v>
      </c>
      <c r="Y542" s="100" t="str">
        <f t="shared" si="64"/>
        <v xml:space="preserve"> </v>
      </c>
      <c r="Z542" s="100" t="str">
        <f t="shared" si="65"/>
        <v xml:space="preserve"> </v>
      </c>
    </row>
    <row r="543" spans="1:26">
      <c r="A543" s="100"/>
      <c r="B543" s="108" t="str">
        <f>IFERROR(VLOOKUP(Tablo519[[#This Row],[ÜRÜN KODU]],YMKODLARI!$A$1:$K$379,2,0)," ")</f>
        <v xml:space="preserve"> </v>
      </c>
      <c r="C543" s="99"/>
      <c r="D543" s="100"/>
      <c r="E543" s="101"/>
      <c r="F543" s="101"/>
      <c r="G543" s="100" t="str">
        <f>IFERROR(VLOOKUP(Tablo519[[#This Row],[ÜRÜN KODU]],YMKODLARI!$A$1:$K$379,3,0)," ")</f>
        <v xml:space="preserve"> </v>
      </c>
      <c r="H543" s="100" t="str">
        <f>IFERROR(VLOOKUP(Tablo519[[#This Row],[ÜRÜN KODU]],YMKODLARI!$A$1:$K$379,4,0)," ")</f>
        <v xml:space="preserve"> </v>
      </c>
      <c r="I543" s="100"/>
      <c r="J543" s="100" t="str">
        <f>IFERROR(VLOOKUP(Tablo519[[#This Row],[ÜRÜN KODU]],YMKODLARI!$A$1:$K$379,9,0)," ")</f>
        <v xml:space="preserve"> </v>
      </c>
      <c r="K543" s="100" t="str">
        <f>IFERROR(VLOOKUP(Tablo519[[#This Row],[BOYA KODU]],Tablo14[#All],4,0)," ")</f>
        <v xml:space="preserve"> </v>
      </c>
      <c r="L543" s="100" t="str">
        <f>IFERROR(VLOOKUP(Tablo519[[#This Row],[BOYA KODU]],Tablo14[#All],6,0)," ")</f>
        <v xml:space="preserve"> </v>
      </c>
      <c r="M543" s="100" t="str">
        <f t="shared" si="60"/>
        <v xml:space="preserve"> </v>
      </c>
      <c r="N543" s="100" t="str">
        <f>IFERROR(VLOOKUP(Tablo519[[#This Row],[ÜRÜN KODU]],YMKODLARI!$A$1:$K$363,8,0)," ")</f>
        <v xml:space="preserve"> </v>
      </c>
      <c r="O543" s="100" t="str">
        <f>IFERROR(VLOOKUP(Tablo519[[#This Row],[HAMMADDE KODU]],Tablo1[#All],3,0)," ")</f>
        <v xml:space="preserve"> </v>
      </c>
      <c r="P543" s="100" t="str">
        <f>IFERROR(VLOOKUP(Tablo519[[#This Row],[HAMMADDE KODU]],Tablo1[#All],4,0)," ")</f>
        <v xml:space="preserve"> </v>
      </c>
      <c r="Q543" s="100" t="str">
        <f>IFERROR(VLOOKUP(Tablo519[[#This Row],[ÜRÜN KODU]],YMKODLARI!$A$1:$K$379,5,0)," ")</f>
        <v xml:space="preserve"> </v>
      </c>
      <c r="R543" s="100" t="str">
        <f>IFERROR(VLOOKUP(Tablo519[[#This Row],[ÜRÜN KODU]],YMKODLARI!$A$1:$K$379,6,0)," ")</f>
        <v xml:space="preserve"> </v>
      </c>
      <c r="S543" s="100" t="str">
        <f>IFERROR(Tablo519[[#This Row],[YOLLUK HARİÇ BASKI GRAMI]]/Tablo519[[#This Row],[KALIP GÖZ ADEDİ]]," ")</f>
        <v xml:space="preserve"> </v>
      </c>
      <c r="T543" s="100" t="str">
        <f t="shared" si="61"/>
        <v xml:space="preserve"> </v>
      </c>
      <c r="U543" s="100"/>
      <c r="V543" s="100" t="str">
        <f t="shared" si="59"/>
        <v xml:space="preserve"> </v>
      </c>
      <c r="W543" s="101">
        <f t="shared" si="62"/>
        <v>24</v>
      </c>
      <c r="X543" s="102">
        <f t="shared" si="63"/>
        <v>0</v>
      </c>
      <c r="Y543" s="100" t="str">
        <f t="shared" si="64"/>
        <v xml:space="preserve"> </v>
      </c>
      <c r="Z543" s="100" t="str">
        <f t="shared" si="65"/>
        <v xml:space="preserve"> </v>
      </c>
    </row>
    <row r="544" spans="1:26">
      <c r="A544" s="100"/>
      <c r="B544" s="108" t="str">
        <f>IFERROR(VLOOKUP(Tablo519[[#This Row],[ÜRÜN KODU]],YMKODLARI!$A$1:$K$379,2,0)," ")</f>
        <v xml:space="preserve"> </v>
      </c>
      <c r="C544" s="99"/>
      <c r="D544" s="100"/>
      <c r="E544" s="101"/>
      <c r="F544" s="101"/>
      <c r="G544" s="100" t="str">
        <f>IFERROR(VLOOKUP(Tablo519[[#This Row],[ÜRÜN KODU]],YMKODLARI!$A$1:$K$379,3,0)," ")</f>
        <v xml:space="preserve"> </v>
      </c>
      <c r="H544" s="100" t="str">
        <f>IFERROR(VLOOKUP(Tablo519[[#This Row],[ÜRÜN KODU]],YMKODLARI!$A$1:$K$379,4,0)," ")</f>
        <v xml:space="preserve"> </v>
      </c>
      <c r="I544" s="100"/>
      <c r="J544" s="100" t="str">
        <f>IFERROR(VLOOKUP(Tablo519[[#This Row],[ÜRÜN KODU]],YMKODLARI!$A$1:$K$379,9,0)," ")</f>
        <v xml:space="preserve"> </v>
      </c>
      <c r="K544" s="100" t="str">
        <f>IFERROR(VLOOKUP(Tablo519[[#This Row],[BOYA KODU]],Tablo14[#All],4,0)," ")</f>
        <v xml:space="preserve"> </v>
      </c>
      <c r="L544" s="100" t="str">
        <f>IFERROR(VLOOKUP(Tablo519[[#This Row],[BOYA KODU]],Tablo14[#All],6,0)," ")</f>
        <v xml:space="preserve"> </v>
      </c>
      <c r="M544" s="100" t="str">
        <f t="shared" si="60"/>
        <v xml:space="preserve"> </v>
      </c>
      <c r="N544" s="100" t="str">
        <f>IFERROR(VLOOKUP(Tablo519[[#This Row],[ÜRÜN KODU]],YMKODLARI!$A$1:$K$363,8,0)," ")</f>
        <v xml:space="preserve"> </v>
      </c>
      <c r="O544" s="100" t="str">
        <f>IFERROR(VLOOKUP(Tablo519[[#This Row],[HAMMADDE KODU]],Tablo1[#All],3,0)," ")</f>
        <v xml:space="preserve"> </v>
      </c>
      <c r="P544" s="100" t="str">
        <f>IFERROR(VLOOKUP(Tablo519[[#This Row],[HAMMADDE KODU]],Tablo1[#All],4,0)," ")</f>
        <v xml:space="preserve"> </v>
      </c>
      <c r="Q544" s="100" t="str">
        <f>IFERROR(VLOOKUP(Tablo519[[#This Row],[ÜRÜN KODU]],YMKODLARI!$A$1:$K$379,5,0)," ")</f>
        <v xml:space="preserve"> </v>
      </c>
      <c r="R544" s="100" t="str">
        <f>IFERROR(VLOOKUP(Tablo519[[#This Row],[ÜRÜN KODU]],YMKODLARI!$A$1:$K$379,6,0)," ")</f>
        <v xml:space="preserve"> </v>
      </c>
      <c r="S544" s="100" t="str">
        <f>IFERROR(Tablo519[[#This Row],[YOLLUK HARİÇ BASKI GRAMI]]/Tablo519[[#This Row],[KALIP GÖZ ADEDİ]]," ")</f>
        <v xml:space="preserve"> </v>
      </c>
      <c r="T544" s="100" t="str">
        <f t="shared" si="61"/>
        <v xml:space="preserve"> </v>
      </c>
      <c r="U544" s="100"/>
      <c r="V544" s="100" t="str">
        <f t="shared" si="59"/>
        <v xml:space="preserve"> </v>
      </c>
      <c r="W544" s="101">
        <f t="shared" si="62"/>
        <v>24</v>
      </c>
      <c r="X544" s="102">
        <f t="shared" si="63"/>
        <v>0</v>
      </c>
      <c r="Y544" s="100" t="str">
        <f t="shared" si="64"/>
        <v xml:space="preserve"> </v>
      </c>
      <c r="Z544" s="100" t="str">
        <f t="shared" si="65"/>
        <v xml:space="preserve"> </v>
      </c>
    </row>
    <row r="545" spans="1:26">
      <c r="A545" s="100"/>
      <c r="B545" s="108" t="str">
        <f>IFERROR(VLOOKUP(Tablo519[[#This Row],[ÜRÜN KODU]],YMKODLARI!$A$1:$K$379,2,0)," ")</f>
        <v xml:space="preserve"> </v>
      </c>
      <c r="C545" s="99"/>
      <c r="D545" s="100"/>
      <c r="E545" s="101"/>
      <c r="F545" s="101"/>
      <c r="G545" s="100" t="str">
        <f>IFERROR(VLOOKUP(Tablo519[[#This Row],[ÜRÜN KODU]],YMKODLARI!$A$1:$K$379,3,0)," ")</f>
        <v xml:space="preserve"> </v>
      </c>
      <c r="H545" s="100" t="str">
        <f>IFERROR(VLOOKUP(Tablo519[[#This Row],[ÜRÜN KODU]],YMKODLARI!$A$1:$K$379,4,0)," ")</f>
        <v xml:space="preserve"> </v>
      </c>
      <c r="I545" s="100"/>
      <c r="J545" s="100" t="str">
        <f>IFERROR(VLOOKUP(Tablo519[[#This Row],[ÜRÜN KODU]],YMKODLARI!$A$1:$K$379,9,0)," ")</f>
        <v xml:space="preserve"> </v>
      </c>
      <c r="K545" s="100" t="str">
        <f>IFERROR(VLOOKUP(Tablo519[[#This Row],[BOYA KODU]],Tablo14[#All],4,0)," ")</f>
        <v xml:space="preserve"> </v>
      </c>
      <c r="L545" s="100" t="str">
        <f>IFERROR(VLOOKUP(Tablo519[[#This Row],[BOYA KODU]],Tablo14[#All],6,0)," ")</f>
        <v xml:space="preserve"> </v>
      </c>
      <c r="M545" s="100" t="str">
        <f t="shared" si="60"/>
        <v xml:space="preserve"> </v>
      </c>
      <c r="N545" s="100" t="str">
        <f>IFERROR(VLOOKUP(Tablo519[[#This Row],[ÜRÜN KODU]],YMKODLARI!$A$1:$K$363,8,0)," ")</f>
        <v xml:space="preserve"> </v>
      </c>
      <c r="O545" s="100" t="str">
        <f>IFERROR(VLOOKUP(Tablo519[[#This Row],[HAMMADDE KODU]],Tablo1[#All],3,0)," ")</f>
        <v xml:space="preserve"> </v>
      </c>
      <c r="P545" s="100" t="str">
        <f>IFERROR(VLOOKUP(Tablo519[[#This Row],[HAMMADDE KODU]],Tablo1[#All],4,0)," ")</f>
        <v xml:space="preserve"> </v>
      </c>
      <c r="Q545" s="100" t="str">
        <f>IFERROR(VLOOKUP(Tablo519[[#This Row],[ÜRÜN KODU]],YMKODLARI!$A$1:$K$379,5,0)," ")</f>
        <v xml:space="preserve"> </v>
      </c>
      <c r="R545" s="100" t="str">
        <f>IFERROR(VLOOKUP(Tablo519[[#This Row],[ÜRÜN KODU]],YMKODLARI!$A$1:$K$379,6,0)," ")</f>
        <v xml:space="preserve"> </v>
      </c>
      <c r="S545" s="100" t="str">
        <f>IFERROR(Tablo519[[#This Row],[YOLLUK HARİÇ BASKI GRAMI]]/Tablo519[[#This Row],[KALIP GÖZ ADEDİ]]," ")</f>
        <v xml:space="preserve"> </v>
      </c>
      <c r="T545" s="100" t="str">
        <f t="shared" si="61"/>
        <v xml:space="preserve"> </v>
      </c>
      <c r="U545" s="100"/>
      <c r="V545" s="100" t="str">
        <f t="shared" si="59"/>
        <v xml:space="preserve"> </v>
      </c>
      <c r="W545" s="101">
        <f t="shared" si="62"/>
        <v>24</v>
      </c>
      <c r="X545" s="102">
        <f t="shared" si="63"/>
        <v>0</v>
      </c>
      <c r="Y545" s="100" t="str">
        <f t="shared" si="64"/>
        <v xml:space="preserve"> </v>
      </c>
      <c r="Z545" s="100" t="str">
        <f t="shared" si="65"/>
        <v xml:space="preserve"> </v>
      </c>
    </row>
    <row r="546" spans="1:26">
      <c r="A546" s="100"/>
      <c r="B546" s="108" t="str">
        <f>IFERROR(VLOOKUP(Tablo519[[#This Row],[ÜRÜN KODU]],YMKODLARI!$A$1:$K$379,2,0)," ")</f>
        <v xml:space="preserve"> </v>
      </c>
      <c r="C546" s="99"/>
      <c r="D546" s="100"/>
      <c r="E546" s="101"/>
      <c r="F546" s="101"/>
      <c r="G546" s="100" t="str">
        <f>IFERROR(VLOOKUP(Tablo519[[#This Row],[ÜRÜN KODU]],YMKODLARI!$A$1:$K$379,3,0)," ")</f>
        <v xml:space="preserve"> </v>
      </c>
      <c r="H546" s="100" t="str">
        <f>IFERROR(VLOOKUP(Tablo519[[#This Row],[ÜRÜN KODU]],YMKODLARI!$A$1:$K$379,4,0)," ")</f>
        <v xml:space="preserve"> </v>
      </c>
      <c r="I546" s="100"/>
      <c r="J546" s="100" t="str">
        <f>IFERROR(VLOOKUP(Tablo519[[#This Row],[ÜRÜN KODU]],YMKODLARI!$A$1:$K$379,9,0)," ")</f>
        <v xml:space="preserve"> </v>
      </c>
      <c r="K546" s="100" t="str">
        <f>IFERROR(VLOOKUP(Tablo519[[#This Row],[BOYA KODU]],Tablo14[#All],4,0)," ")</f>
        <v xml:space="preserve"> </v>
      </c>
      <c r="L546" s="100" t="str">
        <f>IFERROR(VLOOKUP(Tablo519[[#This Row],[BOYA KODU]],Tablo14[#All],6,0)," ")</f>
        <v xml:space="preserve"> </v>
      </c>
      <c r="M546" s="100" t="str">
        <f t="shared" si="60"/>
        <v xml:space="preserve"> </v>
      </c>
      <c r="N546" s="100" t="str">
        <f>IFERROR(VLOOKUP(Tablo519[[#This Row],[ÜRÜN KODU]],YMKODLARI!$A$1:$K$363,8,0)," ")</f>
        <v xml:space="preserve"> </v>
      </c>
      <c r="O546" s="100" t="str">
        <f>IFERROR(VLOOKUP(Tablo519[[#This Row],[HAMMADDE KODU]],Tablo1[#All],3,0)," ")</f>
        <v xml:space="preserve"> </v>
      </c>
      <c r="P546" s="100" t="str">
        <f>IFERROR(VLOOKUP(Tablo519[[#This Row],[HAMMADDE KODU]],Tablo1[#All],4,0)," ")</f>
        <v xml:space="preserve"> </v>
      </c>
      <c r="Q546" s="100" t="str">
        <f>IFERROR(VLOOKUP(Tablo519[[#This Row],[ÜRÜN KODU]],YMKODLARI!$A$1:$K$379,5,0)," ")</f>
        <v xml:space="preserve"> </v>
      </c>
      <c r="R546" s="100" t="str">
        <f>IFERROR(VLOOKUP(Tablo519[[#This Row],[ÜRÜN KODU]],YMKODLARI!$A$1:$K$379,6,0)," ")</f>
        <v xml:space="preserve"> </v>
      </c>
      <c r="S546" s="100" t="str">
        <f>IFERROR(Tablo519[[#This Row],[YOLLUK HARİÇ BASKI GRAMI]]/Tablo519[[#This Row],[KALIP GÖZ ADEDİ]]," ")</f>
        <v xml:space="preserve"> </v>
      </c>
      <c r="T546" s="100" t="str">
        <f t="shared" si="61"/>
        <v xml:space="preserve"> </v>
      </c>
      <c r="U546" s="100"/>
      <c r="V546" s="100" t="str">
        <f t="shared" si="59"/>
        <v xml:space="preserve"> </v>
      </c>
      <c r="W546" s="101">
        <f t="shared" si="62"/>
        <v>24</v>
      </c>
      <c r="X546" s="102">
        <f t="shared" si="63"/>
        <v>0</v>
      </c>
      <c r="Y546" s="100" t="str">
        <f t="shared" si="64"/>
        <v xml:space="preserve"> </v>
      </c>
      <c r="Z546" s="100" t="str">
        <f t="shared" si="65"/>
        <v xml:space="preserve"> </v>
      </c>
    </row>
    <row r="547" spans="1:26">
      <c r="A547" s="100"/>
      <c r="B547" s="108" t="str">
        <f>IFERROR(VLOOKUP(Tablo519[[#This Row],[ÜRÜN KODU]],YMKODLARI!$A$1:$K$379,2,0)," ")</f>
        <v xml:space="preserve"> </v>
      </c>
      <c r="C547" s="99"/>
      <c r="D547" s="100"/>
      <c r="E547" s="101"/>
      <c r="F547" s="101"/>
      <c r="G547" s="100" t="str">
        <f>IFERROR(VLOOKUP(Tablo519[[#This Row],[ÜRÜN KODU]],YMKODLARI!$A$1:$K$379,3,0)," ")</f>
        <v xml:space="preserve"> </v>
      </c>
      <c r="H547" s="100" t="str">
        <f>IFERROR(VLOOKUP(Tablo519[[#This Row],[ÜRÜN KODU]],YMKODLARI!$A$1:$K$379,4,0)," ")</f>
        <v xml:space="preserve"> </v>
      </c>
      <c r="I547" s="100"/>
      <c r="J547" s="100" t="str">
        <f>IFERROR(VLOOKUP(Tablo519[[#This Row],[ÜRÜN KODU]],YMKODLARI!$A$1:$K$379,9,0)," ")</f>
        <v xml:space="preserve"> </v>
      </c>
      <c r="K547" s="100" t="str">
        <f>IFERROR(VLOOKUP(Tablo519[[#This Row],[BOYA KODU]],Tablo14[#All],4,0)," ")</f>
        <v xml:space="preserve"> </v>
      </c>
      <c r="L547" s="100" t="str">
        <f>IFERROR(VLOOKUP(Tablo519[[#This Row],[BOYA KODU]],Tablo14[#All],6,0)," ")</f>
        <v xml:space="preserve"> </v>
      </c>
      <c r="M547" s="100" t="str">
        <f t="shared" si="60"/>
        <v xml:space="preserve"> </v>
      </c>
      <c r="N547" s="100" t="str">
        <f>IFERROR(VLOOKUP(Tablo519[[#This Row],[ÜRÜN KODU]],YMKODLARI!$A$1:$K$363,8,0)," ")</f>
        <v xml:space="preserve"> </v>
      </c>
      <c r="O547" s="100" t="str">
        <f>IFERROR(VLOOKUP(Tablo519[[#This Row],[HAMMADDE KODU]],Tablo1[#All],3,0)," ")</f>
        <v xml:space="preserve"> </v>
      </c>
      <c r="P547" s="100" t="str">
        <f>IFERROR(VLOOKUP(Tablo519[[#This Row],[HAMMADDE KODU]],Tablo1[#All],4,0)," ")</f>
        <v xml:space="preserve"> </v>
      </c>
      <c r="Q547" s="100" t="str">
        <f>IFERROR(VLOOKUP(Tablo519[[#This Row],[ÜRÜN KODU]],YMKODLARI!$A$1:$K$379,5,0)," ")</f>
        <v xml:space="preserve"> </v>
      </c>
      <c r="R547" s="100" t="str">
        <f>IFERROR(VLOOKUP(Tablo519[[#This Row],[ÜRÜN KODU]],YMKODLARI!$A$1:$K$379,6,0)," ")</f>
        <v xml:space="preserve"> </v>
      </c>
      <c r="S547" s="100" t="str">
        <f>IFERROR(Tablo519[[#This Row],[YOLLUK HARİÇ BASKI GRAMI]]/Tablo519[[#This Row],[KALIP GÖZ ADEDİ]]," ")</f>
        <v xml:space="preserve"> </v>
      </c>
      <c r="T547" s="100" t="str">
        <f t="shared" si="61"/>
        <v xml:space="preserve"> </v>
      </c>
      <c r="U547" s="100"/>
      <c r="V547" s="100" t="str">
        <f t="shared" si="59"/>
        <v xml:space="preserve"> </v>
      </c>
      <c r="W547" s="101">
        <f t="shared" si="62"/>
        <v>24</v>
      </c>
      <c r="X547" s="102">
        <f t="shared" si="63"/>
        <v>0</v>
      </c>
      <c r="Y547" s="100" t="str">
        <f t="shared" si="64"/>
        <v xml:space="preserve"> </v>
      </c>
      <c r="Z547" s="100" t="str">
        <f t="shared" si="65"/>
        <v xml:space="preserve"> </v>
      </c>
    </row>
    <row r="548" spans="1:26">
      <c r="A548" s="100"/>
      <c r="B548" s="108" t="str">
        <f>IFERROR(VLOOKUP(Tablo519[[#This Row],[ÜRÜN KODU]],YMKODLARI!$A$1:$K$379,2,0)," ")</f>
        <v xml:space="preserve"> </v>
      </c>
      <c r="C548" s="99"/>
      <c r="D548" s="100"/>
      <c r="E548" s="101"/>
      <c r="F548" s="101"/>
      <c r="G548" s="100" t="str">
        <f>IFERROR(VLOOKUP(Tablo519[[#This Row],[ÜRÜN KODU]],YMKODLARI!$A$1:$K$379,3,0)," ")</f>
        <v xml:space="preserve"> </v>
      </c>
      <c r="H548" s="100" t="str">
        <f>IFERROR(VLOOKUP(Tablo519[[#This Row],[ÜRÜN KODU]],YMKODLARI!$A$1:$K$379,4,0)," ")</f>
        <v xml:space="preserve"> </v>
      </c>
      <c r="I548" s="100"/>
      <c r="J548" s="100" t="str">
        <f>IFERROR(VLOOKUP(Tablo519[[#This Row],[ÜRÜN KODU]],YMKODLARI!$A$1:$K$379,9,0)," ")</f>
        <v xml:space="preserve"> </v>
      </c>
      <c r="K548" s="100" t="str">
        <f>IFERROR(VLOOKUP(Tablo519[[#This Row],[BOYA KODU]],Tablo14[#All],4,0)," ")</f>
        <v xml:space="preserve"> </v>
      </c>
      <c r="L548" s="100" t="str">
        <f>IFERROR(VLOOKUP(Tablo519[[#This Row],[BOYA KODU]],Tablo14[#All],6,0)," ")</f>
        <v xml:space="preserve"> </v>
      </c>
      <c r="M548" s="100" t="str">
        <f t="shared" si="60"/>
        <v xml:space="preserve"> </v>
      </c>
      <c r="N548" s="100" t="str">
        <f>IFERROR(VLOOKUP(Tablo519[[#This Row],[ÜRÜN KODU]],YMKODLARI!$A$1:$K$363,8,0)," ")</f>
        <v xml:space="preserve"> </v>
      </c>
      <c r="O548" s="100" t="str">
        <f>IFERROR(VLOOKUP(Tablo519[[#This Row],[HAMMADDE KODU]],Tablo1[#All],3,0)," ")</f>
        <v xml:space="preserve"> </v>
      </c>
      <c r="P548" s="100" t="str">
        <f>IFERROR(VLOOKUP(Tablo519[[#This Row],[HAMMADDE KODU]],Tablo1[#All],4,0)," ")</f>
        <v xml:space="preserve"> </v>
      </c>
      <c r="Q548" s="100" t="str">
        <f>IFERROR(VLOOKUP(Tablo519[[#This Row],[ÜRÜN KODU]],YMKODLARI!$A$1:$K$379,5,0)," ")</f>
        <v xml:space="preserve"> </v>
      </c>
      <c r="R548" s="100" t="str">
        <f>IFERROR(VLOOKUP(Tablo519[[#This Row],[ÜRÜN KODU]],YMKODLARI!$A$1:$K$379,6,0)," ")</f>
        <v xml:space="preserve"> </v>
      </c>
      <c r="S548" s="100" t="str">
        <f>IFERROR(Tablo519[[#This Row],[YOLLUK HARİÇ BASKI GRAMI]]/Tablo519[[#This Row],[KALIP GÖZ ADEDİ]]," ")</f>
        <v xml:space="preserve"> </v>
      </c>
      <c r="T548" s="100" t="str">
        <f t="shared" si="61"/>
        <v xml:space="preserve"> </v>
      </c>
      <c r="U548" s="100"/>
      <c r="V548" s="100" t="str">
        <f t="shared" si="59"/>
        <v xml:space="preserve"> </v>
      </c>
      <c r="W548" s="101">
        <f t="shared" si="62"/>
        <v>24</v>
      </c>
      <c r="X548" s="102">
        <f t="shared" si="63"/>
        <v>0</v>
      </c>
      <c r="Y548" s="100" t="str">
        <f t="shared" si="64"/>
        <v xml:space="preserve"> </v>
      </c>
      <c r="Z548" s="100" t="str">
        <f t="shared" si="65"/>
        <v xml:space="preserve"> </v>
      </c>
    </row>
    <row r="549" spans="1:26">
      <c r="A549" s="100"/>
      <c r="B549" s="108" t="str">
        <f>IFERROR(VLOOKUP(Tablo519[[#This Row],[ÜRÜN KODU]],YMKODLARI!$A$1:$K$379,2,0)," ")</f>
        <v xml:space="preserve"> </v>
      </c>
      <c r="C549" s="99"/>
      <c r="D549" s="100"/>
      <c r="E549" s="101"/>
      <c r="F549" s="101"/>
      <c r="G549" s="100" t="str">
        <f>IFERROR(VLOOKUP(Tablo519[[#This Row],[ÜRÜN KODU]],YMKODLARI!$A$1:$K$379,3,0)," ")</f>
        <v xml:space="preserve"> </v>
      </c>
      <c r="H549" s="100" t="str">
        <f>IFERROR(VLOOKUP(Tablo519[[#This Row],[ÜRÜN KODU]],YMKODLARI!$A$1:$K$379,4,0)," ")</f>
        <v xml:space="preserve"> </v>
      </c>
      <c r="I549" s="100"/>
      <c r="J549" s="100" t="str">
        <f>IFERROR(VLOOKUP(Tablo519[[#This Row],[ÜRÜN KODU]],YMKODLARI!$A$1:$K$379,9,0)," ")</f>
        <v xml:space="preserve"> </v>
      </c>
      <c r="K549" s="100" t="str">
        <f>IFERROR(VLOOKUP(Tablo519[[#This Row],[BOYA KODU]],Tablo14[#All],4,0)," ")</f>
        <v xml:space="preserve"> </v>
      </c>
      <c r="L549" s="100" t="str">
        <f>IFERROR(VLOOKUP(Tablo519[[#This Row],[BOYA KODU]],Tablo14[#All],6,0)," ")</f>
        <v xml:space="preserve"> </v>
      </c>
      <c r="M549" s="100" t="str">
        <f t="shared" si="60"/>
        <v xml:space="preserve"> </v>
      </c>
      <c r="N549" s="100" t="str">
        <f>IFERROR(VLOOKUP(Tablo519[[#This Row],[ÜRÜN KODU]],YMKODLARI!$A$1:$K$363,8,0)," ")</f>
        <v xml:space="preserve"> </v>
      </c>
      <c r="O549" s="100" t="str">
        <f>IFERROR(VLOOKUP(Tablo519[[#This Row],[HAMMADDE KODU]],Tablo1[#All],3,0)," ")</f>
        <v xml:space="preserve"> </v>
      </c>
      <c r="P549" s="100" t="str">
        <f>IFERROR(VLOOKUP(Tablo519[[#This Row],[HAMMADDE KODU]],Tablo1[#All],4,0)," ")</f>
        <v xml:space="preserve"> </v>
      </c>
      <c r="Q549" s="100" t="str">
        <f>IFERROR(VLOOKUP(Tablo519[[#This Row],[ÜRÜN KODU]],YMKODLARI!$A$1:$K$379,5,0)," ")</f>
        <v xml:space="preserve"> </v>
      </c>
      <c r="R549" s="100" t="str">
        <f>IFERROR(VLOOKUP(Tablo519[[#This Row],[ÜRÜN KODU]],YMKODLARI!$A$1:$K$379,6,0)," ")</f>
        <v xml:space="preserve"> </v>
      </c>
      <c r="S549" s="100" t="str">
        <f>IFERROR(Tablo519[[#This Row],[YOLLUK HARİÇ BASKI GRAMI]]/Tablo519[[#This Row],[KALIP GÖZ ADEDİ]]," ")</f>
        <v xml:space="preserve"> </v>
      </c>
      <c r="T549" s="100" t="str">
        <f t="shared" si="61"/>
        <v xml:space="preserve"> </v>
      </c>
      <c r="U549" s="100"/>
      <c r="V549" s="100" t="str">
        <f t="shared" si="59"/>
        <v xml:space="preserve"> </v>
      </c>
      <c r="W549" s="101">
        <f t="shared" si="62"/>
        <v>24</v>
      </c>
      <c r="X549" s="102">
        <f t="shared" si="63"/>
        <v>0</v>
      </c>
      <c r="Y549" s="100" t="str">
        <f t="shared" si="64"/>
        <v xml:space="preserve"> </v>
      </c>
      <c r="Z549" s="100" t="str">
        <f t="shared" si="65"/>
        <v xml:space="preserve"> </v>
      </c>
    </row>
    <row r="550" spans="1:26">
      <c r="A550" s="100"/>
      <c r="B550" s="108" t="str">
        <f>IFERROR(VLOOKUP(Tablo519[[#This Row],[ÜRÜN KODU]],YMKODLARI!$A$1:$K$379,2,0)," ")</f>
        <v xml:space="preserve"> </v>
      </c>
      <c r="C550" s="99"/>
      <c r="D550" s="100"/>
      <c r="E550" s="101"/>
      <c r="F550" s="101"/>
      <c r="G550" s="100" t="str">
        <f>IFERROR(VLOOKUP(Tablo519[[#This Row],[ÜRÜN KODU]],YMKODLARI!$A$1:$K$379,3,0)," ")</f>
        <v xml:space="preserve"> </v>
      </c>
      <c r="H550" s="100" t="str">
        <f>IFERROR(VLOOKUP(Tablo519[[#This Row],[ÜRÜN KODU]],YMKODLARI!$A$1:$K$379,4,0)," ")</f>
        <v xml:space="preserve"> </v>
      </c>
      <c r="I550" s="100"/>
      <c r="J550" s="100" t="str">
        <f>IFERROR(VLOOKUP(Tablo519[[#This Row],[ÜRÜN KODU]],YMKODLARI!$A$1:$K$379,9,0)," ")</f>
        <v xml:space="preserve"> </v>
      </c>
      <c r="K550" s="100" t="str">
        <f>IFERROR(VLOOKUP(Tablo519[[#This Row],[BOYA KODU]],Tablo14[#All],4,0)," ")</f>
        <v xml:space="preserve"> </v>
      </c>
      <c r="L550" s="100" t="str">
        <f>IFERROR(VLOOKUP(Tablo519[[#This Row],[BOYA KODU]],Tablo14[#All],6,0)," ")</f>
        <v xml:space="preserve"> </v>
      </c>
      <c r="M550" s="100" t="str">
        <f t="shared" si="60"/>
        <v xml:space="preserve"> </v>
      </c>
      <c r="N550" s="100" t="str">
        <f>IFERROR(VLOOKUP(Tablo519[[#This Row],[ÜRÜN KODU]],YMKODLARI!$A$1:$K$363,8,0)," ")</f>
        <v xml:space="preserve"> </v>
      </c>
      <c r="O550" s="100" t="str">
        <f>IFERROR(VLOOKUP(Tablo519[[#This Row],[HAMMADDE KODU]],Tablo1[#All],3,0)," ")</f>
        <v xml:space="preserve"> </v>
      </c>
      <c r="P550" s="100" t="str">
        <f>IFERROR(VLOOKUP(Tablo519[[#This Row],[HAMMADDE KODU]],Tablo1[#All],4,0)," ")</f>
        <v xml:space="preserve"> </v>
      </c>
      <c r="Q550" s="100" t="str">
        <f>IFERROR(VLOOKUP(Tablo519[[#This Row],[ÜRÜN KODU]],YMKODLARI!$A$1:$K$379,5,0)," ")</f>
        <v xml:space="preserve"> </v>
      </c>
      <c r="R550" s="100" t="str">
        <f>IFERROR(VLOOKUP(Tablo519[[#This Row],[ÜRÜN KODU]],YMKODLARI!$A$1:$K$379,6,0)," ")</f>
        <v xml:space="preserve"> </v>
      </c>
      <c r="S550" s="100" t="str">
        <f>IFERROR(Tablo519[[#This Row],[YOLLUK HARİÇ BASKI GRAMI]]/Tablo519[[#This Row],[KALIP GÖZ ADEDİ]]," ")</f>
        <v xml:space="preserve"> </v>
      </c>
      <c r="T550" s="100" t="str">
        <f t="shared" si="61"/>
        <v xml:space="preserve"> </v>
      </c>
      <c r="U550" s="100"/>
      <c r="V550" s="100" t="str">
        <f t="shared" si="59"/>
        <v xml:space="preserve"> </v>
      </c>
      <c r="W550" s="101">
        <f t="shared" si="62"/>
        <v>24</v>
      </c>
      <c r="X550" s="102">
        <f t="shared" si="63"/>
        <v>0</v>
      </c>
      <c r="Y550" s="100" t="str">
        <f t="shared" si="64"/>
        <v xml:space="preserve"> </v>
      </c>
      <c r="Z550" s="100" t="str">
        <f t="shared" si="65"/>
        <v xml:space="preserve"> </v>
      </c>
    </row>
    <row r="551" spans="1:26">
      <c r="A551" s="100"/>
      <c r="B551" s="108" t="str">
        <f>IFERROR(VLOOKUP(Tablo519[[#This Row],[ÜRÜN KODU]],YMKODLARI!$A$1:$K$379,2,0)," ")</f>
        <v xml:space="preserve"> </v>
      </c>
      <c r="C551" s="99"/>
      <c r="D551" s="100"/>
      <c r="E551" s="101"/>
      <c r="F551" s="101"/>
      <c r="G551" s="100" t="str">
        <f>IFERROR(VLOOKUP(Tablo519[[#This Row],[ÜRÜN KODU]],YMKODLARI!$A$1:$K$379,3,0)," ")</f>
        <v xml:space="preserve"> </v>
      </c>
      <c r="H551" s="100" t="str">
        <f>IFERROR(VLOOKUP(Tablo519[[#This Row],[ÜRÜN KODU]],YMKODLARI!$A$1:$K$379,4,0)," ")</f>
        <v xml:space="preserve"> </v>
      </c>
      <c r="I551" s="100"/>
      <c r="J551" s="100" t="str">
        <f>IFERROR(VLOOKUP(Tablo519[[#This Row],[ÜRÜN KODU]],YMKODLARI!$A$1:$K$379,9,0)," ")</f>
        <v xml:space="preserve"> </v>
      </c>
      <c r="K551" s="100" t="str">
        <f>IFERROR(VLOOKUP(Tablo519[[#This Row],[BOYA KODU]],Tablo14[#All],4,0)," ")</f>
        <v xml:space="preserve"> </v>
      </c>
      <c r="L551" s="100" t="str">
        <f>IFERROR(VLOOKUP(Tablo519[[#This Row],[BOYA KODU]],Tablo14[#All],6,0)," ")</f>
        <v xml:space="preserve"> </v>
      </c>
      <c r="M551" s="100" t="str">
        <f t="shared" si="60"/>
        <v xml:space="preserve"> </v>
      </c>
      <c r="N551" s="100" t="str">
        <f>IFERROR(VLOOKUP(Tablo519[[#This Row],[ÜRÜN KODU]],YMKODLARI!$A$1:$K$363,8,0)," ")</f>
        <v xml:space="preserve"> </v>
      </c>
      <c r="O551" s="100" t="str">
        <f>IFERROR(VLOOKUP(Tablo519[[#This Row],[HAMMADDE KODU]],Tablo1[#All],3,0)," ")</f>
        <v xml:space="preserve"> </v>
      </c>
      <c r="P551" s="100" t="str">
        <f>IFERROR(VLOOKUP(Tablo519[[#This Row],[HAMMADDE KODU]],Tablo1[#All],4,0)," ")</f>
        <v xml:space="preserve"> </v>
      </c>
      <c r="Q551" s="100" t="str">
        <f>IFERROR(VLOOKUP(Tablo519[[#This Row],[ÜRÜN KODU]],YMKODLARI!$A$1:$K$379,5,0)," ")</f>
        <v xml:space="preserve"> </v>
      </c>
      <c r="R551" s="100" t="str">
        <f>IFERROR(VLOOKUP(Tablo519[[#This Row],[ÜRÜN KODU]],YMKODLARI!$A$1:$K$379,6,0)," ")</f>
        <v xml:space="preserve"> </v>
      </c>
      <c r="S551" s="100" t="str">
        <f>IFERROR(Tablo519[[#This Row],[YOLLUK HARİÇ BASKI GRAMI]]/Tablo519[[#This Row],[KALIP GÖZ ADEDİ]]," ")</f>
        <v xml:space="preserve"> </v>
      </c>
      <c r="T551" s="100" t="str">
        <f t="shared" si="61"/>
        <v xml:space="preserve"> </v>
      </c>
      <c r="U551" s="100"/>
      <c r="V551" s="100" t="str">
        <f t="shared" si="59"/>
        <v xml:space="preserve"> </v>
      </c>
      <c r="W551" s="101">
        <f t="shared" si="62"/>
        <v>24</v>
      </c>
      <c r="X551" s="102">
        <f t="shared" si="63"/>
        <v>0</v>
      </c>
      <c r="Y551" s="100" t="str">
        <f t="shared" si="64"/>
        <v xml:space="preserve"> </v>
      </c>
      <c r="Z551" s="100" t="str">
        <f t="shared" si="65"/>
        <v xml:space="preserve"> </v>
      </c>
    </row>
    <row r="552" spans="1:26">
      <c r="A552" s="100"/>
      <c r="B552" s="108" t="str">
        <f>IFERROR(VLOOKUP(Tablo519[[#This Row],[ÜRÜN KODU]],YMKODLARI!$A$1:$K$379,2,0)," ")</f>
        <v xml:space="preserve"> </v>
      </c>
      <c r="C552" s="99"/>
      <c r="D552" s="100"/>
      <c r="E552" s="101"/>
      <c r="F552" s="101"/>
      <c r="G552" s="100" t="str">
        <f>IFERROR(VLOOKUP(Tablo519[[#This Row],[ÜRÜN KODU]],YMKODLARI!$A$1:$K$379,3,0)," ")</f>
        <v xml:space="preserve"> </v>
      </c>
      <c r="H552" s="100" t="str">
        <f>IFERROR(VLOOKUP(Tablo519[[#This Row],[ÜRÜN KODU]],YMKODLARI!$A$1:$K$379,4,0)," ")</f>
        <v xml:space="preserve"> </v>
      </c>
      <c r="I552" s="100"/>
      <c r="J552" s="100" t="str">
        <f>IFERROR(VLOOKUP(Tablo519[[#This Row],[ÜRÜN KODU]],YMKODLARI!$A$1:$K$379,9,0)," ")</f>
        <v xml:space="preserve"> </v>
      </c>
      <c r="K552" s="100" t="str">
        <f>IFERROR(VLOOKUP(Tablo519[[#This Row],[BOYA KODU]],Tablo14[#All],4,0)," ")</f>
        <v xml:space="preserve"> </v>
      </c>
      <c r="L552" s="100" t="str">
        <f>IFERROR(VLOOKUP(Tablo519[[#This Row],[BOYA KODU]],Tablo14[#All],6,0)," ")</f>
        <v xml:space="preserve"> </v>
      </c>
      <c r="M552" s="100" t="str">
        <f t="shared" si="60"/>
        <v xml:space="preserve"> </v>
      </c>
      <c r="N552" s="100" t="str">
        <f>IFERROR(VLOOKUP(Tablo519[[#This Row],[ÜRÜN KODU]],YMKODLARI!$A$1:$K$363,8,0)," ")</f>
        <v xml:space="preserve"> </v>
      </c>
      <c r="O552" s="100" t="str">
        <f>IFERROR(VLOOKUP(Tablo519[[#This Row],[HAMMADDE KODU]],Tablo1[#All],3,0)," ")</f>
        <v xml:space="preserve"> </v>
      </c>
      <c r="P552" s="100" t="str">
        <f>IFERROR(VLOOKUP(Tablo519[[#This Row],[HAMMADDE KODU]],Tablo1[#All],4,0)," ")</f>
        <v xml:space="preserve"> </v>
      </c>
      <c r="Q552" s="100" t="str">
        <f>IFERROR(VLOOKUP(Tablo519[[#This Row],[ÜRÜN KODU]],YMKODLARI!$A$1:$K$379,5,0)," ")</f>
        <v xml:space="preserve"> </v>
      </c>
      <c r="R552" s="100" t="str">
        <f>IFERROR(VLOOKUP(Tablo519[[#This Row],[ÜRÜN KODU]],YMKODLARI!$A$1:$K$379,6,0)," ")</f>
        <v xml:space="preserve"> </v>
      </c>
      <c r="S552" s="100" t="str">
        <f>IFERROR(Tablo519[[#This Row],[YOLLUK HARİÇ BASKI GRAMI]]/Tablo519[[#This Row],[KALIP GÖZ ADEDİ]]," ")</f>
        <v xml:space="preserve"> </v>
      </c>
      <c r="T552" s="100" t="str">
        <f t="shared" si="61"/>
        <v xml:space="preserve"> </v>
      </c>
      <c r="U552" s="100"/>
      <c r="V552" s="100" t="str">
        <f t="shared" si="59"/>
        <v xml:space="preserve"> </v>
      </c>
      <c r="W552" s="101">
        <f t="shared" si="62"/>
        <v>24</v>
      </c>
      <c r="X552" s="102">
        <f t="shared" si="63"/>
        <v>0</v>
      </c>
      <c r="Y552" s="100" t="str">
        <f t="shared" si="64"/>
        <v xml:space="preserve"> </v>
      </c>
      <c r="Z552" s="100" t="str">
        <f t="shared" si="65"/>
        <v xml:space="preserve"> </v>
      </c>
    </row>
    <row r="553" spans="1:26">
      <c r="A553" s="100"/>
      <c r="B553" s="108" t="str">
        <f>IFERROR(VLOOKUP(Tablo519[[#This Row],[ÜRÜN KODU]],YMKODLARI!$A$1:$K$379,2,0)," ")</f>
        <v xml:space="preserve"> </v>
      </c>
      <c r="C553" s="99"/>
      <c r="D553" s="100"/>
      <c r="E553" s="101"/>
      <c r="F553" s="101"/>
      <c r="G553" s="100" t="str">
        <f>IFERROR(VLOOKUP(Tablo519[[#This Row],[ÜRÜN KODU]],YMKODLARI!$A$1:$K$379,3,0)," ")</f>
        <v xml:space="preserve"> </v>
      </c>
      <c r="H553" s="100" t="str">
        <f>IFERROR(VLOOKUP(Tablo519[[#This Row],[ÜRÜN KODU]],YMKODLARI!$A$1:$K$379,4,0)," ")</f>
        <v xml:space="preserve"> </v>
      </c>
      <c r="I553" s="100"/>
      <c r="J553" s="100" t="str">
        <f>IFERROR(VLOOKUP(Tablo519[[#This Row],[ÜRÜN KODU]],YMKODLARI!$A$1:$K$379,9,0)," ")</f>
        <v xml:space="preserve"> </v>
      </c>
      <c r="K553" s="100" t="str">
        <f>IFERROR(VLOOKUP(Tablo519[[#This Row],[BOYA KODU]],Tablo14[#All],4,0)," ")</f>
        <v xml:space="preserve"> </v>
      </c>
      <c r="L553" s="100" t="str">
        <f>IFERROR(VLOOKUP(Tablo519[[#This Row],[BOYA KODU]],Tablo14[#All],6,0)," ")</f>
        <v xml:space="preserve"> </v>
      </c>
      <c r="M553" s="100" t="str">
        <f t="shared" si="60"/>
        <v xml:space="preserve"> </v>
      </c>
      <c r="N553" s="100" t="str">
        <f>IFERROR(VLOOKUP(Tablo519[[#This Row],[ÜRÜN KODU]],YMKODLARI!$A$1:$K$363,8,0)," ")</f>
        <v xml:space="preserve"> </v>
      </c>
      <c r="O553" s="100" t="str">
        <f>IFERROR(VLOOKUP(Tablo519[[#This Row],[HAMMADDE KODU]],Tablo1[#All],3,0)," ")</f>
        <v xml:space="preserve"> </v>
      </c>
      <c r="P553" s="100" t="str">
        <f>IFERROR(VLOOKUP(Tablo519[[#This Row],[HAMMADDE KODU]],Tablo1[#All],4,0)," ")</f>
        <v xml:space="preserve"> </v>
      </c>
      <c r="Q553" s="100" t="str">
        <f>IFERROR(VLOOKUP(Tablo519[[#This Row],[ÜRÜN KODU]],YMKODLARI!$A$1:$K$379,5,0)," ")</f>
        <v xml:space="preserve"> </v>
      </c>
      <c r="R553" s="100" t="str">
        <f>IFERROR(VLOOKUP(Tablo519[[#This Row],[ÜRÜN KODU]],YMKODLARI!$A$1:$K$379,6,0)," ")</f>
        <v xml:space="preserve"> </v>
      </c>
      <c r="S553" s="100" t="str">
        <f>IFERROR(Tablo519[[#This Row],[YOLLUK HARİÇ BASKI GRAMI]]/Tablo519[[#This Row],[KALIP GÖZ ADEDİ]]," ")</f>
        <v xml:space="preserve"> </v>
      </c>
      <c r="T553" s="100" t="str">
        <f t="shared" si="61"/>
        <v xml:space="preserve"> </v>
      </c>
      <c r="U553" s="100"/>
      <c r="V553" s="100" t="str">
        <f t="shared" ref="V553:V571" si="66">IFERROR(U553+(R553*I553) /1000," ")</f>
        <v xml:space="preserve"> </v>
      </c>
      <c r="W553" s="101">
        <f t="shared" si="62"/>
        <v>24</v>
      </c>
      <c r="X553" s="102">
        <f t="shared" si="63"/>
        <v>0</v>
      </c>
      <c r="Y553" s="100" t="str">
        <f t="shared" si="64"/>
        <v xml:space="preserve"> </v>
      </c>
      <c r="Z553" s="100" t="str">
        <f t="shared" si="65"/>
        <v xml:space="preserve"> </v>
      </c>
    </row>
    <row r="554" spans="1:26">
      <c r="A554" s="100"/>
      <c r="B554" s="108" t="str">
        <f>IFERROR(VLOOKUP(Tablo519[[#This Row],[ÜRÜN KODU]],YMKODLARI!$A$1:$K$379,2,0)," ")</f>
        <v xml:space="preserve"> </v>
      </c>
      <c r="C554" s="99"/>
      <c r="D554" s="100"/>
      <c r="E554" s="101"/>
      <c r="F554" s="101"/>
      <c r="G554" s="100" t="str">
        <f>IFERROR(VLOOKUP(Tablo519[[#This Row],[ÜRÜN KODU]],YMKODLARI!$A$1:$K$379,3,0)," ")</f>
        <v xml:space="preserve"> </v>
      </c>
      <c r="H554" s="100" t="str">
        <f>IFERROR(VLOOKUP(Tablo519[[#This Row],[ÜRÜN KODU]],YMKODLARI!$A$1:$K$379,4,0)," ")</f>
        <v xml:space="preserve"> </v>
      </c>
      <c r="I554" s="100"/>
      <c r="J554" s="100" t="str">
        <f>IFERROR(VLOOKUP(Tablo519[[#This Row],[ÜRÜN KODU]],YMKODLARI!$A$1:$K$379,9,0)," ")</f>
        <v xml:space="preserve"> </v>
      </c>
      <c r="K554" s="100" t="str">
        <f>IFERROR(VLOOKUP(Tablo519[[#This Row],[BOYA KODU]],Tablo14[#All],4,0)," ")</f>
        <v xml:space="preserve"> </v>
      </c>
      <c r="L554" s="100" t="str">
        <f>IFERROR(VLOOKUP(Tablo519[[#This Row],[BOYA KODU]],Tablo14[#All],6,0)," ")</f>
        <v xml:space="preserve"> </v>
      </c>
      <c r="M554" s="100" t="str">
        <f t="shared" si="60"/>
        <v xml:space="preserve"> </v>
      </c>
      <c r="N554" s="100" t="str">
        <f>IFERROR(VLOOKUP(Tablo519[[#This Row],[ÜRÜN KODU]],YMKODLARI!$A$1:$K$363,8,0)," ")</f>
        <v xml:space="preserve"> </v>
      </c>
      <c r="O554" s="100" t="str">
        <f>IFERROR(VLOOKUP(Tablo519[[#This Row],[HAMMADDE KODU]],Tablo1[#All],3,0)," ")</f>
        <v xml:space="preserve"> </v>
      </c>
      <c r="P554" s="100" t="str">
        <f>IFERROR(VLOOKUP(Tablo519[[#This Row],[HAMMADDE KODU]],Tablo1[#All],4,0)," ")</f>
        <v xml:space="preserve"> </v>
      </c>
      <c r="Q554" s="100" t="str">
        <f>IFERROR(VLOOKUP(Tablo519[[#This Row],[ÜRÜN KODU]],YMKODLARI!$A$1:$K$379,5,0)," ")</f>
        <v xml:space="preserve"> </v>
      </c>
      <c r="R554" s="100" t="str">
        <f>IFERROR(VLOOKUP(Tablo519[[#This Row],[ÜRÜN KODU]],YMKODLARI!$A$1:$K$379,6,0)," ")</f>
        <v xml:space="preserve"> </v>
      </c>
      <c r="S554" s="100" t="str">
        <f>IFERROR(Tablo519[[#This Row],[YOLLUK HARİÇ BASKI GRAMI]]/Tablo519[[#This Row],[KALIP GÖZ ADEDİ]]," ")</f>
        <v xml:space="preserve"> </v>
      </c>
      <c r="T554" s="100" t="str">
        <f t="shared" si="61"/>
        <v xml:space="preserve"> </v>
      </c>
      <c r="U554" s="100"/>
      <c r="V554" s="100" t="str">
        <f t="shared" si="66"/>
        <v xml:space="preserve"> </v>
      </c>
      <c r="W554" s="101">
        <f t="shared" si="62"/>
        <v>24</v>
      </c>
      <c r="X554" s="102">
        <f t="shared" si="63"/>
        <v>0</v>
      </c>
      <c r="Y554" s="100" t="str">
        <f t="shared" si="64"/>
        <v xml:space="preserve"> </v>
      </c>
      <c r="Z554" s="100" t="str">
        <f t="shared" si="65"/>
        <v xml:space="preserve"> </v>
      </c>
    </row>
    <row r="555" spans="1:26">
      <c r="A555" s="100"/>
      <c r="B555" s="108" t="str">
        <f>IFERROR(VLOOKUP(Tablo519[[#This Row],[ÜRÜN KODU]],YMKODLARI!$A$1:$K$379,2,0)," ")</f>
        <v xml:space="preserve"> </v>
      </c>
      <c r="C555" s="99"/>
      <c r="D555" s="100"/>
      <c r="E555" s="101"/>
      <c r="F555" s="101"/>
      <c r="G555" s="100" t="str">
        <f>IFERROR(VLOOKUP(Tablo519[[#This Row],[ÜRÜN KODU]],YMKODLARI!$A$1:$K$379,3,0)," ")</f>
        <v xml:space="preserve"> </v>
      </c>
      <c r="H555" s="100" t="str">
        <f>IFERROR(VLOOKUP(Tablo519[[#This Row],[ÜRÜN KODU]],YMKODLARI!$A$1:$K$379,4,0)," ")</f>
        <v xml:space="preserve"> </v>
      </c>
      <c r="I555" s="100"/>
      <c r="J555" s="100" t="str">
        <f>IFERROR(VLOOKUP(Tablo519[[#This Row],[ÜRÜN KODU]],YMKODLARI!$A$1:$K$379,9,0)," ")</f>
        <v xml:space="preserve"> </v>
      </c>
      <c r="K555" s="100" t="str">
        <f>IFERROR(VLOOKUP(Tablo519[[#This Row],[BOYA KODU]],Tablo14[#All],4,0)," ")</f>
        <v xml:space="preserve"> </v>
      </c>
      <c r="L555" s="100" t="str">
        <f>IFERROR(VLOOKUP(Tablo519[[#This Row],[BOYA KODU]],Tablo14[#All],6,0)," ")</f>
        <v xml:space="preserve"> </v>
      </c>
      <c r="M555" s="100" t="str">
        <f t="shared" si="60"/>
        <v xml:space="preserve"> </v>
      </c>
      <c r="N555" s="100" t="str">
        <f>IFERROR(VLOOKUP(Tablo519[[#This Row],[ÜRÜN KODU]],YMKODLARI!$A$1:$K$363,8,0)," ")</f>
        <v xml:space="preserve"> </v>
      </c>
      <c r="O555" s="100" t="str">
        <f>IFERROR(VLOOKUP(Tablo519[[#This Row],[HAMMADDE KODU]],Tablo1[#All],3,0)," ")</f>
        <v xml:space="preserve"> </v>
      </c>
      <c r="P555" s="100" t="str">
        <f>IFERROR(VLOOKUP(Tablo519[[#This Row],[HAMMADDE KODU]],Tablo1[#All],4,0)," ")</f>
        <v xml:space="preserve"> </v>
      </c>
      <c r="Q555" s="100" t="str">
        <f>IFERROR(VLOOKUP(Tablo519[[#This Row],[ÜRÜN KODU]],YMKODLARI!$A$1:$K$379,5,0)," ")</f>
        <v xml:space="preserve"> </v>
      </c>
      <c r="R555" s="100" t="str">
        <f>IFERROR(VLOOKUP(Tablo519[[#This Row],[ÜRÜN KODU]],YMKODLARI!$A$1:$K$379,6,0)," ")</f>
        <v xml:space="preserve"> </v>
      </c>
      <c r="S555" s="100" t="str">
        <f>IFERROR(Tablo519[[#This Row],[YOLLUK HARİÇ BASKI GRAMI]]/Tablo519[[#This Row],[KALIP GÖZ ADEDİ]]," ")</f>
        <v xml:space="preserve"> </v>
      </c>
      <c r="T555" s="100" t="str">
        <f t="shared" si="61"/>
        <v xml:space="preserve"> </v>
      </c>
      <c r="U555" s="100"/>
      <c r="V555" s="100" t="str">
        <f t="shared" si="66"/>
        <v xml:space="preserve"> </v>
      </c>
      <c r="W555" s="101">
        <f t="shared" si="62"/>
        <v>24</v>
      </c>
      <c r="X555" s="102">
        <f t="shared" si="63"/>
        <v>0</v>
      </c>
      <c r="Y555" s="100" t="str">
        <f t="shared" si="64"/>
        <v xml:space="preserve"> </v>
      </c>
      <c r="Z555" s="100" t="str">
        <f t="shared" si="65"/>
        <v xml:space="preserve"> </v>
      </c>
    </row>
    <row r="556" spans="1:26">
      <c r="A556" s="100"/>
      <c r="B556" s="108" t="str">
        <f>IFERROR(VLOOKUP(Tablo519[[#This Row],[ÜRÜN KODU]],YMKODLARI!$A$1:$K$379,2,0)," ")</f>
        <v xml:space="preserve"> </v>
      </c>
      <c r="C556" s="99"/>
      <c r="D556" s="100"/>
      <c r="E556" s="101"/>
      <c r="F556" s="101"/>
      <c r="G556" s="100" t="str">
        <f>IFERROR(VLOOKUP(Tablo519[[#This Row],[ÜRÜN KODU]],YMKODLARI!$A$1:$K$379,3,0)," ")</f>
        <v xml:space="preserve"> </v>
      </c>
      <c r="H556" s="100" t="str">
        <f>IFERROR(VLOOKUP(Tablo519[[#This Row],[ÜRÜN KODU]],YMKODLARI!$A$1:$K$379,4,0)," ")</f>
        <v xml:space="preserve"> </v>
      </c>
      <c r="I556" s="100"/>
      <c r="J556" s="100" t="str">
        <f>IFERROR(VLOOKUP(Tablo519[[#This Row],[ÜRÜN KODU]],YMKODLARI!$A$1:$K$379,9,0)," ")</f>
        <v xml:space="preserve"> </v>
      </c>
      <c r="K556" s="100" t="str">
        <f>IFERROR(VLOOKUP(Tablo519[[#This Row],[BOYA KODU]],Tablo14[#All],4,0)," ")</f>
        <v xml:space="preserve"> </v>
      </c>
      <c r="L556" s="100" t="str">
        <f>IFERROR(VLOOKUP(Tablo519[[#This Row],[BOYA KODU]],Tablo14[#All],6,0)," ")</f>
        <v xml:space="preserve"> </v>
      </c>
      <c r="M556" s="100" t="str">
        <f t="shared" si="60"/>
        <v xml:space="preserve"> </v>
      </c>
      <c r="N556" s="100" t="str">
        <f>IFERROR(VLOOKUP(Tablo519[[#This Row],[ÜRÜN KODU]],YMKODLARI!$A$1:$K$363,8,0)," ")</f>
        <v xml:space="preserve"> </v>
      </c>
      <c r="O556" s="100" t="str">
        <f>IFERROR(VLOOKUP(Tablo519[[#This Row],[HAMMADDE KODU]],Tablo1[#All],3,0)," ")</f>
        <v xml:space="preserve"> </v>
      </c>
      <c r="P556" s="100" t="str">
        <f>IFERROR(VLOOKUP(Tablo519[[#This Row],[HAMMADDE KODU]],Tablo1[#All],4,0)," ")</f>
        <v xml:space="preserve"> </v>
      </c>
      <c r="Q556" s="100" t="str">
        <f>IFERROR(VLOOKUP(Tablo519[[#This Row],[ÜRÜN KODU]],YMKODLARI!$A$1:$K$379,5,0)," ")</f>
        <v xml:space="preserve"> </v>
      </c>
      <c r="R556" s="100" t="str">
        <f>IFERROR(VLOOKUP(Tablo519[[#This Row],[ÜRÜN KODU]],YMKODLARI!$A$1:$K$379,6,0)," ")</f>
        <v xml:space="preserve"> </v>
      </c>
      <c r="S556" s="100" t="str">
        <f>IFERROR(Tablo519[[#This Row],[YOLLUK HARİÇ BASKI GRAMI]]/Tablo519[[#This Row],[KALIP GÖZ ADEDİ]]," ")</f>
        <v xml:space="preserve"> </v>
      </c>
      <c r="T556" s="100" t="str">
        <f t="shared" si="61"/>
        <v xml:space="preserve"> </v>
      </c>
      <c r="U556" s="100"/>
      <c r="V556" s="100" t="str">
        <f t="shared" si="66"/>
        <v xml:space="preserve"> </v>
      </c>
      <c r="W556" s="101">
        <f t="shared" si="62"/>
        <v>24</v>
      </c>
      <c r="X556" s="102">
        <f t="shared" si="63"/>
        <v>0</v>
      </c>
      <c r="Y556" s="100" t="str">
        <f t="shared" si="64"/>
        <v xml:space="preserve"> </v>
      </c>
      <c r="Z556" s="100" t="str">
        <f t="shared" si="65"/>
        <v xml:space="preserve"> </v>
      </c>
    </row>
    <row r="557" spans="1:26">
      <c r="A557" s="100"/>
      <c r="B557" s="108" t="str">
        <f>IFERROR(VLOOKUP(Tablo519[[#This Row],[ÜRÜN KODU]],YMKODLARI!$A$1:$K$379,2,0)," ")</f>
        <v xml:space="preserve"> </v>
      </c>
      <c r="C557" s="99"/>
      <c r="D557" s="100"/>
      <c r="E557" s="101"/>
      <c r="F557" s="101"/>
      <c r="G557" s="100" t="str">
        <f>IFERROR(VLOOKUP(Tablo519[[#This Row],[ÜRÜN KODU]],YMKODLARI!$A$1:$K$379,3,0)," ")</f>
        <v xml:space="preserve"> </v>
      </c>
      <c r="H557" s="100" t="str">
        <f>IFERROR(VLOOKUP(Tablo519[[#This Row],[ÜRÜN KODU]],YMKODLARI!$A$1:$K$379,4,0)," ")</f>
        <v xml:space="preserve"> </v>
      </c>
      <c r="I557" s="100"/>
      <c r="J557" s="100" t="str">
        <f>IFERROR(VLOOKUP(Tablo519[[#This Row],[ÜRÜN KODU]],YMKODLARI!$A$1:$K$379,9,0)," ")</f>
        <v xml:space="preserve"> </v>
      </c>
      <c r="K557" s="100" t="str">
        <f>IFERROR(VLOOKUP(Tablo519[[#This Row],[BOYA KODU]],Tablo14[#All],4,0)," ")</f>
        <v xml:space="preserve"> </v>
      </c>
      <c r="L557" s="100" t="str">
        <f>IFERROR(VLOOKUP(Tablo519[[#This Row],[BOYA KODU]],Tablo14[#All],6,0)," ")</f>
        <v xml:space="preserve"> </v>
      </c>
      <c r="M557" s="100" t="str">
        <f t="shared" si="60"/>
        <v xml:space="preserve"> </v>
      </c>
      <c r="N557" s="100" t="str">
        <f>IFERROR(VLOOKUP(Tablo519[[#This Row],[ÜRÜN KODU]],YMKODLARI!$A$1:$K$363,8,0)," ")</f>
        <v xml:space="preserve"> </v>
      </c>
      <c r="O557" s="100" t="str">
        <f>IFERROR(VLOOKUP(Tablo519[[#This Row],[HAMMADDE KODU]],Tablo1[#All],3,0)," ")</f>
        <v xml:space="preserve"> </v>
      </c>
      <c r="P557" s="100" t="str">
        <f>IFERROR(VLOOKUP(Tablo519[[#This Row],[HAMMADDE KODU]],Tablo1[#All],4,0)," ")</f>
        <v xml:space="preserve"> </v>
      </c>
      <c r="Q557" s="100" t="str">
        <f>IFERROR(VLOOKUP(Tablo519[[#This Row],[ÜRÜN KODU]],YMKODLARI!$A$1:$K$379,5,0)," ")</f>
        <v xml:space="preserve"> </v>
      </c>
      <c r="R557" s="100" t="str">
        <f>IFERROR(VLOOKUP(Tablo519[[#This Row],[ÜRÜN KODU]],YMKODLARI!$A$1:$K$379,6,0)," ")</f>
        <v xml:space="preserve"> </v>
      </c>
      <c r="S557" s="100" t="str">
        <f>IFERROR(Tablo519[[#This Row],[YOLLUK HARİÇ BASKI GRAMI]]/Tablo519[[#This Row],[KALIP GÖZ ADEDİ]]," ")</f>
        <v xml:space="preserve"> </v>
      </c>
      <c r="T557" s="100" t="str">
        <f t="shared" si="61"/>
        <v xml:space="preserve"> </v>
      </c>
      <c r="U557" s="100"/>
      <c r="V557" s="100" t="str">
        <f t="shared" si="66"/>
        <v xml:space="preserve"> </v>
      </c>
      <c r="W557" s="101">
        <f t="shared" si="62"/>
        <v>24</v>
      </c>
      <c r="X557" s="102">
        <f t="shared" si="63"/>
        <v>0</v>
      </c>
      <c r="Y557" s="100" t="str">
        <f t="shared" si="64"/>
        <v xml:space="preserve"> </v>
      </c>
      <c r="Z557" s="100" t="str">
        <f t="shared" si="65"/>
        <v xml:space="preserve"> </v>
      </c>
    </row>
    <row r="558" spans="1:26">
      <c r="A558" s="100"/>
      <c r="B558" s="108" t="str">
        <f>IFERROR(VLOOKUP(Tablo519[[#This Row],[ÜRÜN KODU]],YMKODLARI!$A$1:$K$379,2,0)," ")</f>
        <v xml:space="preserve"> </v>
      </c>
      <c r="C558" s="99"/>
      <c r="D558" s="100"/>
      <c r="E558" s="101"/>
      <c r="F558" s="101"/>
      <c r="G558" s="100" t="str">
        <f>IFERROR(VLOOKUP(Tablo519[[#This Row],[ÜRÜN KODU]],YMKODLARI!$A$1:$K$379,3,0)," ")</f>
        <v xml:space="preserve"> </v>
      </c>
      <c r="H558" s="100" t="str">
        <f>IFERROR(VLOOKUP(Tablo519[[#This Row],[ÜRÜN KODU]],YMKODLARI!$A$1:$K$379,4,0)," ")</f>
        <v xml:space="preserve"> </v>
      </c>
      <c r="I558" s="100"/>
      <c r="J558" s="100" t="str">
        <f>IFERROR(VLOOKUP(Tablo519[[#This Row],[ÜRÜN KODU]],YMKODLARI!$A$1:$K$379,9,0)," ")</f>
        <v xml:space="preserve"> </v>
      </c>
      <c r="K558" s="100" t="str">
        <f>IFERROR(VLOOKUP(Tablo519[[#This Row],[BOYA KODU]],Tablo14[#All],4,0)," ")</f>
        <v xml:space="preserve"> </v>
      </c>
      <c r="L558" s="100" t="str">
        <f>IFERROR(VLOOKUP(Tablo519[[#This Row],[BOYA KODU]],Tablo14[#All],6,0)," ")</f>
        <v xml:space="preserve"> </v>
      </c>
      <c r="M558" s="100" t="str">
        <f t="shared" si="60"/>
        <v xml:space="preserve"> </v>
      </c>
      <c r="N558" s="100" t="str">
        <f>IFERROR(VLOOKUP(Tablo519[[#This Row],[ÜRÜN KODU]],YMKODLARI!$A$1:$K$363,8,0)," ")</f>
        <v xml:space="preserve"> </v>
      </c>
      <c r="O558" s="100" t="str">
        <f>IFERROR(VLOOKUP(Tablo519[[#This Row],[HAMMADDE KODU]],Tablo1[#All],3,0)," ")</f>
        <v xml:space="preserve"> </v>
      </c>
      <c r="P558" s="100" t="str">
        <f>IFERROR(VLOOKUP(Tablo519[[#This Row],[HAMMADDE KODU]],Tablo1[#All],4,0)," ")</f>
        <v xml:space="preserve"> </v>
      </c>
      <c r="Q558" s="100" t="str">
        <f>IFERROR(VLOOKUP(Tablo519[[#This Row],[ÜRÜN KODU]],YMKODLARI!$A$1:$K$379,5,0)," ")</f>
        <v xml:space="preserve"> </v>
      </c>
      <c r="R558" s="100" t="str">
        <f>IFERROR(VLOOKUP(Tablo519[[#This Row],[ÜRÜN KODU]],YMKODLARI!$A$1:$K$379,6,0)," ")</f>
        <v xml:space="preserve"> </v>
      </c>
      <c r="S558" s="100" t="str">
        <f>IFERROR(Tablo519[[#This Row],[YOLLUK HARİÇ BASKI GRAMI]]/Tablo519[[#This Row],[KALIP GÖZ ADEDİ]]," ")</f>
        <v xml:space="preserve"> </v>
      </c>
      <c r="T558" s="100" t="str">
        <f t="shared" si="61"/>
        <v xml:space="preserve"> </v>
      </c>
      <c r="U558" s="100"/>
      <c r="V558" s="100" t="str">
        <f t="shared" si="66"/>
        <v xml:space="preserve"> </v>
      </c>
      <c r="W558" s="101">
        <f t="shared" si="62"/>
        <v>24</v>
      </c>
      <c r="X558" s="102">
        <f t="shared" si="63"/>
        <v>0</v>
      </c>
      <c r="Y558" s="100" t="str">
        <f t="shared" si="64"/>
        <v xml:space="preserve"> </v>
      </c>
      <c r="Z558" s="100" t="str">
        <f t="shared" si="65"/>
        <v xml:space="preserve"> </v>
      </c>
    </row>
    <row r="559" spans="1:26">
      <c r="A559" s="100"/>
      <c r="B559" s="108" t="str">
        <f>IFERROR(VLOOKUP(Tablo519[[#This Row],[ÜRÜN KODU]],YMKODLARI!$A$1:$K$379,2,0)," ")</f>
        <v xml:space="preserve"> </v>
      </c>
      <c r="C559" s="99"/>
      <c r="D559" s="100"/>
      <c r="E559" s="101"/>
      <c r="F559" s="101"/>
      <c r="G559" s="100" t="str">
        <f>IFERROR(VLOOKUP(Tablo519[[#This Row],[ÜRÜN KODU]],YMKODLARI!$A$1:$K$379,3,0)," ")</f>
        <v xml:space="preserve"> </v>
      </c>
      <c r="H559" s="100" t="str">
        <f>IFERROR(VLOOKUP(Tablo519[[#This Row],[ÜRÜN KODU]],YMKODLARI!$A$1:$K$379,4,0)," ")</f>
        <v xml:space="preserve"> </v>
      </c>
      <c r="I559" s="100"/>
      <c r="J559" s="100" t="str">
        <f>IFERROR(VLOOKUP(Tablo519[[#This Row],[ÜRÜN KODU]],YMKODLARI!$A$1:$K$379,9,0)," ")</f>
        <v xml:space="preserve"> </v>
      </c>
      <c r="K559" s="100" t="str">
        <f>IFERROR(VLOOKUP(Tablo519[[#This Row],[BOYA KODU]],Tablo14[#All],4,0)," ")</f>
        <v xml:space="preserve"> </v>
      </c>
      <c r="L559" s="100" t="str">
        <f>IFERROR(VLOOKUP(Tablo519[[#This Row],[BOYA KODU]],Tablo14[#All],6,0)," ")</f>
        <v xml:space="preserve"> </v>
      </c>
      <c r="M559" s="100" t="str">
        <f t="shared" si="60"/>
        <v xml:space="preserve"> </v>
      </c>
      <c r="N559" s="100" t="str">
        <f>IFERROR(VLOOKUP(Tablo519[[#This Row],[ÜRÜN KODU]],YMKODLARI!$A$1:$K$363,8,0)," ")</f>
        <v xml:space="preserve"> </v>
      </c>
      <c r="O559" s="100" t="str">
        <f>IFERROR(VLOOKUP(Tablo519[[#This Row],[HAMMADDE KODU]],Tablo1[#All],3,0)," ")</f>
        <v xml:space="preserve"> </v>
      </c>
      <c r="P559" s="100" t="str">
        <f>IFERROR(VLOOKUP(Tablo519[[#This Row],[HAMMADDE KODU]],Tablo1[#All],4,0)," ")</f>
        <v xml:space="preserve"> </v>
      </c>
      <c r="Q559" s="100" t="str">
        <f>IFERROR(VLOOKUP(Tablo519[[#This Row],[ÜRÜN KODU]],YMKODLARI!$A$1:$K$379,5,0)," ")</f>
        <v xml:space="preserve"> </v>
      </c>
      <c r="R559" s="100" t="str">
        <f>IFERROR(VLOOKUP(Tablo519[[#This Row],[ÜRÜN KODU]],YMKODLARI!$A$1:$K$379,6,0)," ")</f>
        <v xml:space="preserve"> </v>
      </c>
      <c r="S559" s="100" t="str">
        <f>IFERROR(Tablo519[[#This Row],[YOLLUK HARİÇ BASKI GRAMI]]/Tablo519[[#This Row],[KALIP GÖZ ADEDİ]]," ")</f>
        <v xml:space="preserve"> </v>
      </c>
      <c r="T559" s="100" t="str">
        <f t="shared" si="61"/>
        <v xml:space="preserve"> </v>
      </c>
      <c r="U559" s="100"/>
      <c r="V559" s="100" t="str">
        <f t="shared" si="66"/>
        <v xml:space="preserve"> </v>
      </c>
      <c r="W559" s="101">
        <f t="shared" si="62"/>
        <v>24</v>
      </c>
      <c r="X559" s="102">
        <f t="shared" si="63"/>
        <v>0</v>
      </c>
      <c r="Y559" s="100" t="str">
        <f t="shared" si="64"/>
        <v xml:space="preserve"> </v>
      </c>
      <c r="Z559" s="100" t="str">
        <f t="shared" si="65"/>
        <v xml:space="preserve"> </v>
      </c>
    </row>
    <row r="560" spans="1:26">
      <c r="A560" s="100"/>
      <c r="B560" s="108" t="str">
        <f>IFERROR(VLOOKUP(Tablo519[[#This Row],[ÜRÜN KODU]],YMKODLARI!$A$1:$K$379,2,0)," ")</f>
        <v xml:space="preserve"> </v>
      </c>
      <c r="C560" s="99"/>
      <c r="D560" s="100"/>
      <c r="E560" s="101"/>
      <c r="F560" s="101"/>
      <c r="G560" s="100" t="str">
        <f>IFERROR(VLOOKUP(Tablo519[[#This Row],[ÜRÜN KODU]],YMKODLARI!$A$1:$K$379,3,0)," ")</f>
        <v xml:space="preserve"> </v>
      </c>
      <c r="H560" s="100" t="str">
        <f>IFERROR(VLOOKUP(Tablo519[[#This Row],[ÜRÜN KODU]],YMKODLARI!$A$1:$K$379,4,0)," ")</f>
        <v xml:space="preserve"> </v>
      </c>
      <c r="I560" s="100"/>
      <c r="J560" s="100" t="str">
        <f>IFERROR(VLOOKUP(Tablo519[[#This Row],[ÜRÜN KODU]],YMKODLARI!$A$1:$K$379,9,0)," ")</f>
        <v xml:space="preserve"> </v>
      </c>
      <c r="K560" s="100" t="str">
        <f>IFERROR(VLOOKUP(Tablo519[[#This Row],[BOYA KODU]],Tablo14[#All],4,0)," ")</f>
        <v xml:space="preserve"> </v>
      </c>
      <c r="L560" s="100" t="str">
        <f>IFERROR(VLOOKUP(Tablo519[[#This Row],[BOYA KODU]],Tablo14[#All],6,0)," ")</f>
        <v xml:space="preserve"> </v>
      </c>
      <c r="M560" s="100" t="str">
        <f t="shared" si="60"/>
        <v xml:space="preserve"> </v>
      </c>
      <c r="N560" s="100" t="str">
        <f>IFERROR(VLOOKUP(Tablo519[[#This Row],[ÜRÜN KODU]],YMKODLARI!$A$1:$K$363,8,0)," ")</f>
        <v xml:space="preserve"> </v>
      </c>
      <c r="O560" s="100" t="str">
        <f>IFERROR(VLOOKUP(Tablo519[[#This Row],[HAMMADDE KODU]],Tablo1[#All],3,0)," ")</f>
        <v xml:space="preserve"> </v>
      </c>
      <c r="P560" s="100" t="str">
        <f>IFERROR(VLOOKUP(Tablo519[[#This Row],[HAMMADDE KODU]],Tablo1[#All],4,0)," ")</f>
        <v xml:space="preserve"> </v>
      </c>
      <c r="Q560" s="100" t="str">
        <f>IFERROR(VLOOKUP(Tablo519[[#This Row],[ÜRÜN KODU]],YMKODLARI!$A$1:$K$379,5,0)," ")</f>
        <v xml:space="preserve"> </v>
      </c>
      <c r="R560" s="100" t="str">
        <f>IFERROR(VLOOKUP(Tablo519[[#This Row],[ÜRÜN KODU]],YMKODLARI!$A$1:$K$379,6,0)," ")</f>
        <v xml:space="preserve"> </v>
      </c>
      <c r="S560" s="100" t="str">
        <f>IFERROR(Tablo519[[#This Row],[YOLLUK HARİÇ BASKI GRAMI]]/Tablo519[[#This Row],[KALIP GÖZ ADEDİ]]," ")</f>
        <v xml:space="preserve"> </v>
      </c>
      <c r="T560" s="100" t="str">
        <f t="shared" si="61"/>
        <v xml:space="preserve"> </v>
      </c>
      <c r="U560" s="100"/>
      <c r="V560" s="100" t="str">
        <f t="shared" si="66"/>
        <v xml:space="preserve"> </v>
      </c>
      <c r="W560" s="101">
        <f t="shared" si="62"/>
        <v>24</v>
      </c>
      <c r="X560" s="102">
        <f t="shared" si="63"/>
        <v>0</v>
      </c>
      <c r="Y560" s="100" t="str">
        <f t="shared" si="64"/>
        <v xml:space="preserve"> </v>
      </c>
      <c r="Z560" s="100" t="str">
        <f t="shared" si="65"/>
        <v xml:space="preserve"> </v>
      </c>
    </row>
    <row r="561" spans="1:26">
      <c r="A561" s="100"/>
      <c r="B561" s="108" t="str">
        <f>IFERROR(VLOOKUP(Tablo519[[#This Row],[ÜRÜN KODU]],YMKODLARI!$A$1:$K$379,2,0)," ")</f>
        <v xml:space="preserve"> </v>
      </c>
      <c r="C561" s="99"/>
      <c r="D561" s="100"/>
      <c r="E561" s="101"/>
      <c r="F561" s="101"/>
      <c r="G561" s="100" t="str">
        <f>IFERROR(VLOOKUP(Tablo519[[#This Row],[ÜRÜN KODU]],YMKODLARI!$A$1:$K$379,3,0)," ")</f>
        <v xml:space="preserve"> </v>
      </c>
      <c r="H561" s="100" t="str">
        <f>IFERROR(VLOOKUP(Tablo519[[#This Row],[ÜRÜN KODU]],YMKODLARI!$A$1:$K$379,4,0)," ")</f>
        <v xml:space="preserve"> </v>
      </c>
      <c r="I561" s="100"/>
      <c r="J561" s="100" t="str">
        <f>IFERROR(VLOOKUP(Tablo519[[#This Row],[ÜRÜN KODU]],YMKODLARI!$A$1:$K$379,9,0)," ")</f>
        <v xml:space="preserve"> </v>
      </c>
      <c r="K561" s="100" t="str">
        <f>IFERROR(VLOOKUP(Tablo519[[#This Row],[BOYA KODU]],Tablo14[#All],4,0)," ")</f>
        <v xml:space="preserve"> </v>
      </c>
      <c r="L561" s="100" t="str">
        <f>IFERROR(VLOOKUP(Tablo519[[#This Row],[BOYA KODU]],Tablo14[#All],6,0)," ")</f>
        <v xml:space="preserve"> </v>
      </c>
      <c r="M561" s="100" t="str">
        <f t="shared" si="60"/>
        <v xml:space="preserve"> </v>
      </c>
      <c r="N561" s="100" t="str">
        <f>IFERROR(VLOOKUP(Tablo519[[#This Row],[ÜRÜN KODU]],YMKODLARI!$A$1:$K$363,8,0)," ")</f>
        <v xml:space="preserve"> </v>
      </c>
      <c r="O561" s="100" t="str">
        <f>IFERROR(VLOOKUP(Tablo519[[#This Row],[HAMMADDE KODU]],Tablo1[#All],3,0)," ")</f>
        <v xml:space="preserve"> </v>
      </c>
      <c r="P561" s="100" t="str">
        <f>IFERROR(VLOOKUP(Tablo519[[#This Row],[HAMMADDE KODU]],Tablo1[#All],4,0)," ")</f>
        <v xml:space="preserve"> </v>
      </c>
      <c r="Q561" s="100" t="str">
        <f>IFERROR(VLOOKUP(Tablo519[[#This Row],[ÜRÜN KODU]],YMKODLARI!$A$1:$K$379,5,0)," ")</f>
        <v xml:space="preserve"> </v>
      </c>
      <c r="R561" s="100" t="str">
        <f>IFERROR(VLOOKUP(Tablo519[[#This Row],[ÜRÜN KODU]],YMKODLARI!$A$1:$K$379,6,0)," ")</f>
        <v xml:space="preserve"> </v>
      </c>
      <c r="S561" s="100" t="str">
        <f>IFERROR(Tablo519[[#This Row],[YOLLUK HARİÇ BASKI GRAMI]]/Tablo519[[#This Row],[KALIP GÖZ ADEDİ]]," ")</f>
        <v xml:space="preserve"> </v>
      </c>
      <c r="T561" s="100" t="str">
        <f t="shared" si="61"/>
        <v xml:space="preserve"> </v>
      </c>
      <c r="U561" s="100"/>
      <c r="V561" s="100" t="str">
        <f t="shared" si="66"/>
        <v xml:space="preserve"> </v>
      </c>
      <c r="W561" s="101">
        <f t="shared" si="62"/>
        <v>24</v>
      </c>
      <c r="X561" s="102">
        <f t="shared" si="63"/>
        <v>0</v>
      </c>
      <c r="Y561" s="100" t="str">
        <f t="shared" si="64"/>
        <v xml:space="preserve"> </v>
      </c>
      <c r="Z561" s="100" t="str">
        <f t="shared" si="65"/>
        <v xml:space="preserve"> </v>
      </c>
    </row>
    <row r="562" spans="1:26">
      <c r="A562" s="100"/>
      <c r="B562" s="108" t="str">
        <f>IFERROR(VLOOKUP(Tablo519[[#This Row],[ÜRÜN KODU]],YMKODLARI!$A$1:$K$379,2,0)," ")</f>
        <v xml:space="preserve"> </v>
      </c>
      <c r="C562" s="99"/>
      <c r="D562" s="100"/>
      <c r="E562" s="101"/>
      <c r="F562" s="101"/>
      <c r="G562" s="100" t="str">
        <f>IFERROR(VLOOKUP(Tablo519[[#This Row],[ÜRÜN KODU]],YMKODLARI!$A$1:$K$379,3,0)," ")</f>
        <v xml:space="preserve"> </v>
      </c>
      <c r="H562" s="100" t="str">
        <f>IFERROR(VLOOKUP(Tablo519[[#This Row],[ÜRÜN KODU]],YMKODLARI!$A$1:$K$379,4,0)," ")</f>
        <v xml:space="preserve"> </v>
      </c>
      <c r="I562" s="100"/>
      <c r="J562" s="100" t="str">
        <f>IFERROR(VLOOKUP(Tablo519[[#This Row],[ÜRÜN KODU]],YMKODLARI!$A$1:$K$379,9,0)," ")</f>
        <v xml:space="preserve"> </v>
      </c>
      <c r="K562" s="100" t="str">
        <f>IFERROR(VLOOKUP(Tablo519[[#This Row],[BOYA KODU]],Tablo14[#All],4,0)," ")</f>
        <v xml:space="preserve"> </v>
      </c>
      <c r="L562" s="100" t="str">
        <f>IFERROR(VLOOKUP(Tablo519[[#This Row],[BOYA KODU]],Tablo14[#All],6,0)," ")</f>
        <v xml:space="preserve"> </v>
      </c>
      <c r="M562" s="100" t="str">
        <f t="shared" si="60"/>
        <v xml:space="preserve"> </v>
      </c>
      <c r="N562" s="100" t="str">
        <f>IFERROR(VLOOKUP(Tablo519[[#This Row],[ÜRÜN KODU]],YMKODLARI!$A$1:$K$363,8,0)," ")</f>
        <v xml:space="preserve"> </v>
      </c>
      <c r="O562" s="100" t="str">
        <f>IFERROR(VLOOKUP(Tablo519[[#This Row],[HAMMADDE KODU]],Tablo1[#All],3,0)," ")</f>
        <v xml:space="preserve"> </v>
      </c>
      <c r="P562" s="100" t="str">
        <f>IFERROR(VLOOKUP(Tablo519[[#This Row],[HAMMADDE KODU]],Tablo1[#All],4,0)," ")</f>
        <v xml:space="preserve"> </v>
      </c>
      <c r="Q562" s="100" t="str">
        <f>IFERROR(VLOOKUP(Tablo519[[#This Row],[ÜRÜN KODU]],YMKODLARI!$A$1:$K$379,5,0)," ")</f>
        <v xml:space="preserve"> </v>
      </c>
      <c r="R562" s="100" t="str">
        <f>IFERROR(VLOOKUP(Tablo519[[#This Row],[ÜRÜN KODU]],YMKODLARI!$A$1:$K$379,6,0)," ")</f>
        <v xml:space="preserve"> </v>
      </c>
      <c r="S562" s="100" t="str">
        <f>IFERROR(Tablo519[[#This Row],[YOLLUK HARİÇ BASKI GRAMI]]/Tablo519[[#This Row],[KALIP GÖZ ADEDİ]]," ")</f>
        <v xml:space="preserve"> </v>
      </c>
      <c r="T562" s="100" t="str">
        <f t="shared" si="61"/>
        <v xml:space="preserve"> </v>
      </c>
      <c r="U562" s="100"/>
      <c r="V562" s="100" t="str">
        <f t="shared" si="66"/>
        <v xml:space="preserve"> </v>
      </c>
      <c r="W562" s="101">
        <f t="shared" si="62"/>
        <v>24</v>
      </c>
      <c r="X562" s="102">
        <f t="shared" si="63"/>
        <v>0</v>
      </c>
      <c r="Y562" s="100" t="str">
        <f t="shared" si="64"/>
        <v xml:space="preserve"> </v>
      </c>
      <c r="Z562" s="100" t="str">
        <f t="shared" si="65"/>
        <v xml:space="preserve"> </v>
      </c>
    </row>
    <row r="563" spans="1:26">
      <c r="A563" s="100"/>
      <c r="B563" s="108" t="str">
        <f>IFERROR(VLOOKUP(Tablo519[[#This Row],[ÜRÜN KODU]],YMKODLARI!$A$1:$K$379,2,0)," ")</f>
        <v xml:space="preserve"> </v>
      </c>
      <c r="C563" s="99"/>
      <c r="D563" s="100"/>
      <c r="E563" s="101"/>
      <c r="F563" s="101"/>
      <c r="G563" s="100" t="str">
        <f>IFERROR(VLOOKUP(Tablo519[[#This Row],[ÜRÜN KODU]],YMKODLARI!$A$1:$K$379,3,0)," ")</f>
        <v xml:space="preserve"> </v>
      </c>
      <c r="H563" s="100" t="str">
        <f>IFERROR(VLOOKUP(Tablo519[[#This Row],[ÜRÜN KODU]],YMKODLARI!$A$1:$K$379,4,0)," ")</f>
        <v xml:space="preserve"> </v>
      </c>
      <c r="I563" s="100"/>
      <c r="J563" s="100" t="str">
        <f>IFERROR(VLOOKUP(Tablo519[[#This Row],[ÜRÜN KODU]],YMKODLARI!$A$1:$K$379,9,0)," ")</f>
        <v xml:space="preserve"> </v>
      </c>
      <c r="K563" s="100" t="str">
        <f>IFERROR(VLOOKUP(Tablo519[[#This Row],[BOYA KODU]],Tablo14[#All],4,0)," ")</f>
        <v xml:space="preserve"> </v>
      </c>
      <c r="L563" s="100" t="str">
        <f>IFERROR(VLOOKUP(Tablo519[[#This Row],[BOYA KODU]],Tablo14[#All],6,0)," ")</f>
        <v xml:space="preserve"> </v>
      </c>
      <c r="M563" s="100" t="str">
        <f t="shared" si="60"/>
        <v xml:space="preserve"> </v>
      </c>
      <c r="N563" s="100" t="str">
        <f>IFERROR(VLOOKUP(Tablo519[[#This Row],[ÜRÜN KODU]],YMKODLARI!$A$1:$K$363,8,0)," ")</f>
        <v xml:space="preserve"> </v>
      </c>
      <c r="O563" s="100" t="str">
        <f>IFERROR(VLOOKUP(Tablo519[[#This Row],[HAMMADDE KODU]],Tablo1[#All],3,0)," ")</f>
        <v xml:space="preserve"> </v>
      </c>
      <c r="P563" s="100" t="str">
        <f>IFERROR(VLOOKUP(Tablo519[[#This Row],[HAMMADDE KODU]],Tablo1[#All],4,0)," ")</f>
        <v xml:space="preserve"> </v>
      </c>
      <c r="Q563" s="100" t="str">
        <f>IFERROR(VLOOKUP(Tablo519[[#This Row],[ÜRÜN KODU]],YMKODLARI!$A$1:$K$379,5,0)," ")</f>
        <v xml:space="preserve"> </v>
      </c>
      <c r="R563" s="100" t="str">
        <f>IFERROR(VLOOKUP(Tablo519[[#This Row],[ÜRÜN KODU]],YMKODLARI!$A$1:$K$379,6,0)," ")</f>
        <v xml:space="preserve"> </v>
      </c>
      <c r="S563" s="100" t="str">
        <f>IFERROR(Tablo519[[#This Row],[YOLLUK HARİÇ BASKI GRAMI]]/Tablo519[[#This Row],[KALIP GÖZ ADEDİ]]," ")</f>
        <v xml:space="preserve"> </v>
      </c>
      <c r="T563" s="100" t="str">
        <f t="shared" si="61"/>
        <v xml:space="preserve"> </v>
      </c>
      <c r="U563" s="100"/>
      <c r="V563" s="100" t="str">
        <f t="shared" si="66"/>
        <v xml:space="preserve"> </v>
      </c>
      <c r="W563" s="101">
        <f t="shared" si="62"/>
        <v>24</v>
      </c>
      <c r="X563" s="102">
        <f t="shared" si="63"/>
        <v>0</v>
      </c>
      <c r="Y563" s="100" t="str">
        <f t="shared" si="64"/>
        <v xml:space="preserve"> </v>
      </c>
      <c r="Z563" s="100" t="str">
        <f t="shared" si="65"/>
        <v xml:space="preserve"> </v>
      </c>
    </row>
    <row r="564" spans="1:26">
      <c r="A564" s="100"/>
      <c r="B564" s="108" t="str">
        <f>IFERROR(VLOOKUP(Tablo519[[#This Row],[ÜRÜN KODU]],YMKODLARI!$A$1:$K$379,2,0)," ")</f>
        <v xml:space="preserve"> </v>
      </c>
      <c r="C564" s="99"/>
      <c r="D564" s="100"/>
      <c r="E564" s="101"/>
      <c r="F564" s="101"/>
      <c r="G564" s="100" t="str">
        <f>IFERROR(VLOOKUP(Tablo519[[#This Row],[ÜRÜN KODU]],YMKODLARI!$A$1:$K$379,3,0)," ")</f>
        <v xml:space="preserve"> </v>
      </c>
      <c r="H564" s="100" t="str">
        <f>IFERROR(VLOOKUP(Tablo519[[#This Row],[ÜRÜN KODU]],YMKODLARI!$A$1:$K$379,4,0)," ")</f>
        <v xml:space="preserve"> </v>
      </c>
      <c r="I564" s="100"/>
      <c r="J564" s="100" t="str">
        <f>IFERROR(VLOOKUP(Tablo519[[#This Row],[ÜRÜN KODU]],YMKODLARI!$A$1:$K$379,9,0)," ")</f>
        <v xml:space="preserve"> </v>
      </c>
      <c r="K564" s="100" t="str">
        <f>IFERROR(VLOOKUP(Tablo519[[#This Row],[BOYA KODU]],Tablo14[#All],4,0)," ")</f>
        <v xml:space="preserve"> </v>
      </c>
      <c r="L564" s="100" t="str">
        <f>IFERROR(VLOOKUP(Tablo519[[#This Row],[BOYA KODU]],Tablo14[#All],6,0)," ")</f>
        <v xml:space="preserve"> </v>
      </c>
      <c r="M564" s="100" t="str">
        <f t="shared" si="60"/>
        <v xml:space="preserve"> </v>
      </c>
      <c r="N564" s="100" t="str">
        <f>IFERROR(VLOOKUP(Tablo519[[#This Row],[ÜRÜN KODU]],YMKODLARI!$A$1:$K$363,8,0)," ")</f>
        <v xml:space="preserve"> </v>
      </c>
      <c r="O564" s="100" t="str">
        <f>IFERROR(VLOOKUP(Tablo519[[#This Row],[HAMMADDE KODU]],Tablo1[#All],3,0)," ")</f>
        <v xml:space="preserve"> </v>
      </c>
      <c r="P564" s="100" t="str">
        <f>IFERROR(VLOOKUP(Tablo519[[#This Row],[HAMMADDE KODU]],Tablo1[#All],4,0)," ")</f>
        <v xml:space="preserve"> </v>
      </c>
      <c r="Q564" s="100" t="str">
        <f>IFERROR(VLOOKUP(Tablo519[[#This Row],[ÜRÜN KODU]],YMKODLARI!$A$1:$K$379,5,0)," ")</f>
        <v xml:space="preserve"> </v>
      </c>
      <c r="R564" s="100" t="str">
        <f>IFERROR(VLOOKUP(Tablo519[[#This Row],[ÜRÜN KODU]],YMKODLARI!$A$1:$K$379,6,0)," ")</f>
        <v xml:space="preserve"> </v>
      </c>
      <c r="S564" s="100" t="str">
        <f>IFERROR(Tablo519[[#This Row],[YOLLUK HARİÇ BASKI GRAMI]]/Tablo519[[#This Row],[KALIP GÖZ ADEDİ]]," ")</f>
        <v xml:space="preserve"> </v>
      </c>
      <c r="T564" s="100" t="str">
        <f t="shared" si="61"/>
        <v xml:space="preserve"> </v>
      </c>
      <c r="U564" s="100"/>
      <c r="V564" s="100" t="str">
        <f t="shared" si="66"/>
        <v xml:space="preserve"> </v>
      </c>
      <c r="W564" s="101">
        <f t="shared" si="62"/>
        <v>24</v>
      </c>
      <c r="X564" s="102">
        <f t="shared" si="63"/>
        <v>0</v>
      </c>
      <c r="Y564" s="100" t="str">
        <f t="shared" si="64"/>
        <v xml:space="preserve"> </v>
      </c>
      <c r="Z564" s="100" t="str">
        <f t="shared" si="65"/>
        <v xml:space="preserve"> </v>
      </c>
    </row>
    <row r="565" spans="1:26">
      <c r="A565" s="100"/>
      <c r="B565" s="108" t="str">
        <f>IFERROR(VLOOKUP(Tablo519[[#This Row],[ÜRÜN KODU]],YMKODLARI!$A$1:$K$379,2,0)," ")</f>
        <v xml:space="preserve"> </v>
      </c>
      <c r="C565" s="99"/>
      <c r="D565" s="100"/>
      <c r="E565" s="101"/>
      <c r="F565" s="101"/>
      <c r="G565" s="100" t="str">
        <f>IFERROR(VLOOKUP(Tablo519[[#This Row],[ÜRÜN KODU]],YMKODLARI!$A$1:$K$379,3,0)," ")</f>
        <v xml:space="preserve"> </v>
      </c>
      <c r="H565" s="100" t="str">
        <f>IFERROR(VLOOKUP(Tablo519[[#This Row],[ÜRÜN KODU]],YMKODLARI!$A$1:$K$379,4,0)," ")</f>
        <v xml:space="preserve"> </v>
      </c>
      <c r="I565" s="100"/>
      <c r="J565" s="100" t="str">
        <f>IFERROR(VLOOKUP(Tablo519[[#This Row],[ÜRÜN KODU]],YMKODLARI!$A$1:$K$379,9,0)," ")</f>
        <v xml:space="preserve"> </v>
      </c>
      <c r="K565" s="100" t="str">
        <f>IFERROR(VLOOKUP(Tablo519[[#This Row],[BOYA KODU]],Tablo14[#All],4,0)," ")</f>
        <v xml:space="preserve"> </v>
      </c>
      <c r="L565" s="100" t="str">
        <f>IFERROR(VLOOKUP(Tablo519[[#This Row],[BOYA KODU]],Tablo14[#All],6,0)," ")</f>
        <v xml:space="preserve"> </v>
      </c>
      <c r="M565" s="100" t="str">
        <f t="shared" si="60"/>
        <v xml:space="preserve"> </v>
      </c>
      <c r="N565" s="100" t="str">
        <f>IFERROR(VLOOKUP(Tablo519[[#This Row],[ÜRÜN KODU]],YMKODLARI!$A$1:$K$363,8,0)," ")</f>
        <v xml:space="preserve"> </v>
      </c>
      <c r="O565" s="100" t="str">
        <f>IFERROR(VLOOKUP(Tablo519[[#This Row],[HAMMADDE KODU]],Tablo1[#All],3,0)," ")</f>
        <v xml:space="preserve"> </v>
      </c>
      <c r="P565" s="100" t="str">
        <f>IFERROR(VLOOKUP(Tablo519[[#This Row],[HAMMADDE KODU]],Tablo1[#All],4,0)," ")</f>
        <v xml:space="preserve"> </v>
      </c>
      <c r="Q565" s="100" t="str">
        <f>IFERROR(VLOOKUP(Tablo519[[#This Row],[ÜRÜN KODU]],YMKODLARI!$A$1:$K$379,5,0)," ")</f>
        <v xml:space="preserve"> </v>
      </c>
      <c r="R565" s="100" t="str">
        <f>IFERROR(VLOOKUP(Tablo519[[#This Row],[ÜRÜN KODU]],YMKODLARI!$A$1:$K$379,6,0)," ")</f>
        <v xml:space="preserve"> </v>
      </c>
      <c r="S565" s="100" t="str">
        <f>IFERROR(Tablo519[[#This Row],[YOLLUK HARİÇ BASKI GRAMI]]/Tablo519[[#This Row],[KALIP GÖZ ADEDİ]]," ")</f>
        <v xml:space="preserve"> </v>
      </c>
      <c r="T565" s="100" t="str">
        <f t="shared" si="61"/>
        <v xml:space="preserve"> </v>
      </c>
      <c r="U565" s="100"/>
      <c r="V565" s="100" t="str">
        <f t="shared" si="66"/>
        <v xml:space="preserve"> </v>
      </c>
      <c r="W565" s="101">
        <f t="shared" si="62"/>
        <v>24</v>
      </c>
      <c r="X565" s="102">
        <f t="shared" si="63"/>
        <v>0</v>
      </c>
      <c r="Y565" s="100" t="str">
        <f t="shared" si="64"/>
        <v xml:space="preserve"> </v>
      </c>
      <c r="Z565" s="100" t="str">
        <f t="shared" si="65"/>
        <v xml:space="preserve"> </v>
      </c>
    </row>
    <row r="566" spans="1:26">
      <c r="A566" s="100"/>
      <c r="B566" s="108" t="str">
        <f>IFERROR(VLOOKUP(Tablo519[[#This Row],[ÜRÜN KODU]],YMKODLARI!$A$1:$K$379,2,0)," ")</f>
        <v xml:space="preserve"> </v>
      </c>
      <c r="C566" s="99"/>
      <c r="D566" s="100"/>
      <c r="E566" s="101"/>
      <c r="F566" s="101"/>
      <c r="G566" s="100" t="str">
        <f>IFERROR(VLOOKUP(Tablo519[[#This Row],[ÜRÜN KODU]],YMKODLARI!$A$1:$K$379,3,0)," ")</f>
        <v xml:space="preserve"> </v>
      </c>
      <c r="H566" s="100" t="str">
        <f>IFERROR(VLOOKUP(Tablo519[[#This Row],[ÜRÜN KODU]],YMKODLARI!$A$1:$K$379,4,0)," ")</f>
        <v xml:space="preserve"> </v>
      </c>
      <c r="I566" s="100"/>
      <c r="J566" s="100" t="str">
        <f>IFERROR(VLOOKUP(Tablo519[[#This Row],[ÜRÜN KODU]],YMKODLARI!$A$1:$K$379,9,0)," ")</f>
        <v xml:space="preserve"> </v>
      </c>
      <c r="K566" s="100" t="str">
        <f>IFERROR(VLOOKUP(Tablo519[[#This Row],[BOYA KODU]],Tablo14[#All],4,0)," ")</f>
        <v xml:space="preserve"> </v>
      </c>
      <c r="L566" s="100" t="str">
        <f>IFERROR(VLOOKUP(Tablo519[[#This Row],[BOYA KODU]],Tablo14[#All],6,0)," ")</f>
        <v xml:space="preserve"> </v>
      </c>
      <c r="M566" s="100" t="str">
        <f t="shared" si="60"/>
        <v xml:space="preserve"> </v>
      </c>
      <c r="N566" s="100" t="str">
        <f>IFERROR(VLOOKUP(Tablo519[[#This Row],[ÜRÜN KODU]],YMKODLARI!$A$1:$K$363,8,0)," ")</f>
        <v xml:space="preserve"> </v>
      </c>
      <c r="O566" s="100" t="str">
        <f>IFERROR(VLOOKUP(Tablo519[[#This Row],[HAMMADDE KODU]],Tablo1[#All],3,0)," ")</f>
        <v xml:space="preserve"> </v>
      </c>
      <c r="P566" s="100" t="str">
        <f>IFERROR(VLOOKUP(Tablo519[[#This Row],[HAMMADDE KODU]],Tablo1[#All],4,0)," ")</f>
        <v xml:space="preserve"> </v>
      </c>
      <c r="Q566" s="100" t="str">
        <f>IFERROR(VLOOKUP(Tablo519[[#This Row],[ÜRÜN KODU]],YMKODLARI!$A$1:$K$379,5,0)," ")</f>
        <v xml:space="preserve"> </v>
      </c>
      <c r="R566" s="100" t="str">
        <f>IFERROR(VLOOKUP(Tablo519[[#This Row],[ÜRÜN KODU]],YMKODLARI!$A$1:$K$379,6,0)," ")</f>
        <v xml:space="preserve"> </v>
      </c>
      <c r="S566" s="100" t="str">
        <f>IFERROR(Tablo519[[#This Row],[YOLLUK HARİÇ BASKI GRAMI]]/Tablo519[[#This Row],[KALIP GÖZ ADEDİ]]," ")</f>
        <v xml:space="preserve"> </v>
      </c>
      <c r="T566" s="100" t="str">
        <f t="shared" si="61"/>
        <v xml:space="preserve"> </v>
      </c>
      <c r="U566" s="100"/>
      <c r="V566" s="100" t="str">
        <f t="shared" si="66"/>
        <v xml:space="preserve"> </v>
      </c>
      <c r="W566" s="101">
        <f t="shared" si="62"/>
        <v>24</v>
      </c>
      <c r="X566" s="102">
        <f t="shared" si="63"/>
        <v>0</v>
      </c>
      <c r="Y566" s="100" t="str">
        <f t="shared" si="64"/>
        <v xml:space="preserve"> </v>
      </c>
      <c r="Z566" s="100" t="str">
        <f t="shared" si="65"/>
        <v xml:space="preserve"> </v>
      </c>
    </row>
    <row r="567" spans="1:26">
      <c r="A567" s="100"/>
      <c r="B567" s="108" t="str">
        <f>IFERROR(VLOOKUP(Tablo519[[#This Row],[ÜRÜN KODU]],YMKODLARI!$A$1:$K$379,2,0)," ")</f>
        <v xml:space="preserve"> </v>
      </c>
      <c r="C567" s="99"/>
      <c r="D567" s="100"/>
      <c r="E567" s="101"/>
      <c r="F567" s="101"/>
      <c r="G567" s="100" t="str">
        <f>IFERROR(VLOOKUP(Tablo519[[#This Row],[ÜRÜN KODU]],YMKODLARI!$A$1:$K$379,3,0)," ")</f>
        <v xml:space="preserve"> </v>
      </c>
      <c r="H567" s="100" t="str">
        <f>IFERROR(VLOOKUP(Tablo519[[#This Row],[ÜRÜN KODU]],YMKODLARI!$A$1:$K$379,4,0)," ")</f>
        <v xml:space="preserve"> </v>
      </c>
      <c r="I567" s="100"/>
      <c r="J567" s="100" t="str">
        <f>IFERROR(VLOOKUP(Tablo519[[#This Row],[ÜRÜN KODU]],YMKODLARI!$A$1:$K$379,9,0)," ")</f>
        <v xml:space="preserve"> </v>
      </c>
      <c r="K567" s="100" t="str">
        <f>IFERROR(VLOOKUP(Tablo519[[#This Row],[BOYA KODU]],Tablo14[#All],4,0)," ")</f>
        <v xml:space="preserve"> </v>
      </c>
      <c r="L567" s="100" t="str">
        <f>IFERROR(VLOOKUP(Tablo519[[#This Row],[BOYA KODU]],Tablo14[#All],6,0)," ")</f>
        <v xml:space="preserve"> </v>
      </c>
      <c r="M567" s="100" t="str">
        <f t="shared" si="60"/>
        <v xml:space="preserve"> </v>
      </c>
      <c r="N567" s="100" t="str">
        <f>IFERROR(VLOOKUP(Tablo519[[#This Row],[ÜRÜN KODU]],YMKODLARI!$A$1:$K$363,8,0)," ")</f>
        <v xml:space="preserve"> </v>
      </c>
      <c r="O567" s="100" t="str">
        <f>IFERROR(VLOOKUP(Tablo519[[#This Row],[HAMMADDE KODU]],Tablo1[#All],3,0)," ")</f>
        <v xml:space="preserve"> </v>
      </c>
      <c r="P567" s="100" t="str">
        <f>IFERROR(VLOOKUP(Tablo519[[#This Row],[HAMMADDE KODU]],Tablo1[#All],4,0)," ")</f>
        <v xml:space="preserve"> </v>
      </c>
      <c r="Q567" s="100" t="str">
        <f>IFERROR(VLOOKUP(Tablo519[[#This Row],[ÜRÜN KODU]],YMKODLARI!$A$1:$K$379,5,0)," ")</f>
        <v xml:space="preserve"> </v>
      </c>
      <c r="R567" s="100" t="str">
        <f>IFERROR(VLOOKUP(Tablo519[[#This Row],[ÜRÜN KODU]],YMKODLARI!$A$1:$K$379,6,0)," ")</f>
        <v xml:space="preserve"> </v>
      </c>
      <c r="S567" s="100" t="str">
        <f>IFERROR(Tablo519[[#This Row],[YOLLUK HARİÇ BASKI GRAMI]]/Tablo519[[#This Row],[KALIP GÖZ ADEDİ]]," ")</f>
        <v xml:space="preserve"> </v>
      </c>
      <c r="T567" s="100" t="str">
        <f t="shared" si="61"/>
        <v xml:space="preserve"> </v>
      </c>
      <c r="U567" s="100"/>
      <c r="V567" s="100" t="str">
        <f t="shared" si="66"/>
        <v xml:space="preserve"> </v>
      </c>
      <c r="W567" s="101">
        <f t="shared" si="62"/>
        <v>24</v>
      </c>
      <c r="X567" s="102">
        <f t="shared" si="63"/>
        <v>0</v>
      </c>
      <c r="Y567" s="100" t="str">
        <f t="shared" si="64"/>
        <v xml:space="preserve"> </v>
      </c>
      <c r="Z567" s="100" t="str">
        <f t="shared" si="65"/>
        <v xml:space="preserve"> </v>
      </c>
    </row>
    <row r="568" spans="1:26">
      <c r="A568" s="100"/>
      <c r="B568" s="108" t="str">
        <f>IFERROR(VLOOKUP(Tablo519[[#This Row],[ÜRÜN KODU]],YMKODLARI!$A$1:$K$379,2,0)," ")</f>
        <v xml:space="preserve"> </v>
      </c>
      <c r="C568" s="99"/>
      <c r="D568" s="100"/>
      <c r="E568" s="101"/>
      <c r="F568" s="101"/>
      <c r="G568" s="100" t="str">
        <f>IFERROR(VLOOKUP(Tablo519[[#This Row],[ÜRÜN KODU]],YMKODLARI!$A$1:$K$379,3,0)," ")</f>
        <v xml:space="preserve"> </v>
      </c>
      <c r="H568" s="100" t="str">
        <f>IFERROR(VLOOKUP(Tablo519[[#This Row],[ÜRÜN KODU]],YMKODLARI!$A$1:$K$379,4,0)," ")</f>
        <v xml:space="preserve"> </v>
      </c>
      <c r="I568" s="100"/>
      <c r="J568" s="100" t="str">
        <f>IFERROR(VLOOKUP(Tablo519[[#This Row],[ÜRÜN KODU]],YMKODLARI!$A$1:$K$379,9,0)," ")</f>
        <v xml:space="preserve"> </v>
      </c>
      <c r="K568" s="100" t="str">
        <f>IFERROR(VLOOKUP(Tablo519[[#This Row],[BOYA KODU]],Tablo14[#All],4,0)," ")</f>
        <v xml:space="preserve"> </v>
      </c>
      <c r="L568" s="100" t="str">
        <f>IFERROR(VLOOKUP(Tablo519[[#This Row],[BOYA KODU]],Tablo14[#All],6,0)," ")</f>
        <v xml:space="preserve"> </v>
      </c>
      <c r="M568" s="100" t="str">
        <f t="shared" si="60"/>
        <v xml:space="preserve"> </v>
      </c>
      <c r="N568" s="100" t="str">
        <f>IFERROR(VLOOKUP(Tablo519[[#This Row],[ÜRÜN KODU]],YMKODLARI!$A$1:$K$363,8,0)," ")</f>
        <v xml:space="preserve"> </v>
      </c>
      <c r="O568" s="100" t="str">
        <f>IFERROR(VLOOKUP(Tablo519[[#This Row],[HAMMADDE KODU]],Tablo1[#All],3,0)," ")</f>
        <v xml:space="preserve"> </v>
      </c>
      <c r="P568" s="100" t="str">
        <f>IFERROR(VLOOKUP(Tablo519[[#This Row],[HAMMADDE KODU]],Tablo1[#All],4,0)," ")</f>
        <v xml:space="preserve"> </v>
      </c>
      <c r="Q568" s="100" t="str">
        <f>IFERROR(VLOOKUP(Tablo519[[#This Row],[ÜRÜN KODU]],YMKODLARI!$A$1:$K$379,5,0)," ")</f>
        <v xml:space="preserve"> </v>
      </c>
      <c r="R568" s="100" t="str">
        <f>IFERROR(VLOOKUP(Tablo519[[#This Row],[ÜRÜN KODU]],YMKODLARI!$A$1:$K$379,6,0)," ")</f>
        <v xml:space="preserve"> </v>
      </c>
      <c r="S568" s="100" t="str">
        <f>IFERROR(Tablo519[[#This Row],[YOLLUK HARİÇ BASKI GRAMI]]/Tablo519[[#This Row],[KALIP GÖZ ADEDİ]]," ")</f>
        <v xml:space="preserve"> </v>
      </c>
      <c r="T568" s="100" t="str">
        <f t="shared" si="61"/>
        <v xml:space="preserve"> </v>
      </c>
      <c r="U568" s="100"/>
      <c r="V568" s="100" t="str">
        <f t="shared" si="66"/>
        <v xml:space="preserve"> </v>
      </c>
      <c r="W568" s="101">
        <f t="shared" si="62"/>
        <v>24</v>
      </c>
      <c r="X568" s="102">
        <f t="shared" si="63"/>
        <v>0</v>
      </c>
      <c r="Y568" s="100" t="str">
        <f t="shared" si="64"/>
        <v xml:space="preserve"> </v>
      </c>
      <c r="Z568" s="100" t="str">
        <f t="shared" si="65"/>
        <v xml:space="preserve"> </v>
      </c>
    </row>
    <row r="569" spans="1:26">
      <c r="A569" s="100"/>
      <c r="B569" s="108" t="str">
        <f>IFERROR(VLOOKUP(Tablo519[[#This Row],[ÜRÜN KODU]],YMKODLARI!$A$1:$K$379,2,0)," ")</f>
        <v xml:space="preserve"> </v>
      </c>
      <c r="C569" s="99"/>
      <c r="D569" s="100"/>
      <c r="E569" s="101"/>
      <c r="F569" s="101"/>
      <c r="G569" s="100" t="str">
        <f>IFERROR(VLOOKUP(Tablo519[[#This Row],[ÜRÜN KODU]],YMKODLARI!$A$1:$K$379,3,0)," ")</f>
        <v xml:space="preserve"> </v>
      </c>
      <c r="H569" s="100" t="str">
        <f>IFERROR(VLOOKUP(Tablo519[[#This Row],[ÜRÜN KODU]],YMKODLARI!$A$1:$K$379,4,0)," ")</f>
        <v xml:space="preserve"> </v>
      </c>
      <c r="I569" s="100"/>
      <c r="J569" s="100" t="str">
        <f>IFERROR(VLOOKUP(Tablo519[[#This Row],[ÜRÜN KODU]],YMKODLARI!$A$1:$K$379,9,0)," ")</f>
        <v xml:space="preserve"> </v>
      </c>
      <c r="K569" s="100" t="str">
        <f>IFERROR(VLOOKUP(Tablo519[[#This Row],[BOYA KODU]],Tablo14[#All],4,0)," ")</f>
        <v xml:space="preserve"> </v>
      </c>
      <c r="L569" s="100" t="str">
        <f>IFERROR(VLOOKUP(Tablo519[[#This Row],[BOYA KODU]],Tablo14[#All],6,0)," ")</f>
        <v xml:space="preserve"> </v>
      </c>
      <c r="M569" s="100" t="str">
        <f t="shared" si="60"/>
        <v xml:space="preserve"> </v>
      </c>
      <c r="N569" s="100" t="str">
        <f>IFERROR(VLOOKUP(Tablo519[[#This Row],[ÜRÜN KODU]],YMKODLARI!$A$1:$K$363,8,0)," ")</f>
        <v xml:space="preserve"> </v>
      </c>
      <c r="O569" s="100" t="str">
        <f>IFERROR(VLOOKUP(Tablo519[[#This Row],[HAMMADDE KODU]],Tablo1[#All],3,0)," ")</f>
        <v xml:space="preserve"> </v>
      </c>
      <c r="P569" s="100" t="str">
        <f>IFERROR(VLOOKUP(Tablo519[[#This Row],[HAMMADDE KODU]],Tablo1[#All],4,0)," ")</f>
        <v xml:space="preserve"> </v>
      </c>
      <c r="Q569" s="100" t="str">
        <f>IFERROR(VLOOKUP(Tablo519[[#This Row],[ÜRÜN KODU]],YMKODLARI!$A$1:$K$379,5,0)," ")</f>
        <v xml:space="preserve"> </v>
      </c>
      <c r="R569" s="100" t="str">
        <f>IFERROR(VLOOKUP(Tablo519[[#This Row],[ÜRÜN KODU]],YMKODLARI!$A$1:$K$379,6,0)," ")</f>
        <v xml:space="preserve"> </v>
      </c>
      <c r="S569" s="100" t="str">
        <f>IFERROR(Tablo519[[#This Row],[YOLLUK HARİÇ BASKI GRAMI]]/Tablo519[[#This Row],[KALIP GÖZ ADEDİ]]," ")</f>
        <v xml:space="preserve"> </v>
      </c>
      <c r="T569" s="100" t="str">
        <f t="shared" si="61"/>
        <v xml:space="preserve"> </v>
      </c>
      <c r="U569" s="100"/>
      <c r="V569" s="100" t="str">
        <f t="shared" si="66"/>
        <v xml:space="preserve"> </v>
      </c>
      <c r="W569" s="101">
        <f t="shared" si="62"/>
        <v>24</v>
      </c>
      <c r="X569" s="102">
        <f t="shared" si="63"/>
        <v>0</v>
      </c>
      <c r="Y569" s="100" t="str">
        <f t="shared" si="64"/>
        <v xml:space="preserve"> </v>
      </c>
      <c r="Z569" s="100" t="str">
        <f t="shared" si="65"/>
        <v xml:space="preserve"> </v>
      </c>
    </row>
    <row r="570" spans="1:26">
      <c r="A570" s="100"/>
      <c r="B570" s="108" t="str">
        <f>IFERROR(VLOOKUP(Tablo519[[#This Row],[ÜRÜN KODU]],YMKODLARI!$A$1:$K$379,2,0)," ")</f>
        <v xml:space="preserve"> </v>
      </c>
      <c r="C570" s="99"/>
      <c r="D570" s="100"/>
      <c r="E570" s="101"/>
      <c r="F570" s="101"/>
      <c r="G570" s="100" t="str">
        <f>IFERROR(VLOOKUP(Tablo519[[#This Row],[ÜRÜN KODU]],YMKODLARI!$A$1:$K$379,3,0)," ")</f>
        <v xml:space="preserve"> </v>
      </c>
      <c r="H570" s="100" t="str">
        <f>IFERROR(VLOOKUP(Tablo519[[#This Row],[ÜRÜN KODU]],YMKODLARI!$A$1:$K$379,4,0)," ")</f>
        <v xml:space="preserve"> </v>
      </c>
      <c r="I570" s="100"/>
      <c r="J570" s="100" t="str">
        <f>IFERROR(VLOOKUP(Tablo519[[#This Row],[ÜRÜN KODU]],YMKODLARI!$A$1:$K$379,9,0)," ")</f>
        <v xml:space="preserve"> </v>
      </c>
      <c r="K570" s="100" t="str">
        <f>IFERROR(VLOOKUP(Tablo519[[#This Row],[BOYA KODU]],Tablo14[#All],4,0)," ")</f>
        <v xml:space="preserve"> </v>
      </c>
      <c r="L570" s="100" t="str">
        <f>IFERROR(VLOOKUP(Tablo519[[#This Row],[BOYA KODU]],Tablo14[#All],6,0)," ")</f>
        <v xml:space="preserve"> </v>
      </c>
      <c r="M570" s="100" t="str">
        <f t="shared" si="60"/>
        <v xml:space="preserve"> </v>
      </c>
      <c r="N570" s="100" t="str">
        <f>IFERROR(VLOOKUP(Tablo519[[#This Row],[ÜRÜN KODU]],YMKODLARI!$A$1:$K$363,8,0)," ")</f>
        <v xml:space="preserve"> </v>
      </c>
      <c r="O570" s="100" t="str">
        <f>IFERROR(VLOOKUP(Tablo519[[#This Row],[HAMMADDE KODU]],Tablo1[#All],3,0)," ")</f>
        <v xml:space="preserve"> </v>
      </c>
      <c r="P570" s="100" t="str">
        <f>IFERROR(VLOOKUP(Tablo519[[#This Row],[HAMMADDE KODU]],Tablo1[#All],4,0)," ")</f>
        <v xml:space="preserve"> </v>
      </c>
      <c r="Q570" s="100" t="str">
        <f>IFERROR(VLOOKUP(Tablo519[[#This Row],[ÜRÜN KODU]],YMKODLARI!$A$1:$K$379,5,0)," ")</f>
        <v xml:space="preserve"> </v>
      </c>
      <c r="R570" s="100" t="str">
        <f>IFERROR(VLOOKUP(Tablo519[[#This Row],[ÜRÜN KODU]],YMKODLARI!$A$1:$K$379,6,0)," ")</f>
        <v xml:space="preserve"> </v>
      </c>
      <c r="S570" s="100" t="str">
        <f>IFERROR(Tablo519[[#This Row],[YOLLUK HARİÇ BASKI GRAMI]]/Tablo519[[#This Row],[KALIP GÖZ ADEDİ]]," ")</f>
        <v xml:space="preserve"> </v>
      </c>
      <c r="T570" s="100" t="str">
        <f t="shared" si="61"/>
        <v xml:space="preserve"> </v>
      </c>
      <c r="U570" s="100"/>
      <c r="V570" s="100" t="str">
        <f t="shared" si="66"/>
        <v xml:space="preserve"> </v>
      </c>
      <c r="W570" s="101">
        <f t="shared" si="62"/>
        <v>24</v>
      </c>
      <c r="X570" s="102">
        <f t="shared" si="63"/>
        <v>0</v>
      </c>
      <c r="Y570" s="100" t="str">
        <f t="shared" si="64"/>
        <v xml:space="preserve"> </v>
      </c>
      <c r="Z570" s="100" t="str">
        <f t="shared" si="65"/>
        <v xml:space="preserve"> </v>
      </c>
    </row>
    <row r="571" spans="1:26">
      <c r="A571" s="100"/>
      <c r="B571" s="108" t="str">
        <f>IFERROR(VLOOKUP(Tablo519[[#This Row],[ÜRÜN KODU]],YMKODLARI!$A$1:$K$379,2,0)," ")</f>
        <v xml:space="preserve"> </v>
      </c>
      <c r="C571" s="99"/>
      <c r="D571" s="100"/>
      <c r="E571" s="101"/>
      <c r="F571" s="101"/>
      <c r="G571" s="100" t="str">
        <f>IFERROR(VLOOKUP(Tablo519[[#This Row],[ÜRÜN KODU]],YMKODLARI!$A$1:$K$379,3,0)," ")</f>
        <v xml:space="preserve"> </v>
      </c>
      <c r="H571" s="100" t="str">
        <f>IFERROR(VLOOKUP(Tablo519[[#This Row],[ÜRÜN KODU]],YMKODLARI!$A$1:$K$379,4,0)," ")</f>
        <v xml:space="preserve"> </v>
      </c>
      <c r="I571" s="100"/>
      <c r="J571" s="100" t="str">
        <f>IFERROR(VLOOKUP(Tablo519[[#This Row],[ÜRÜN KODU]],YMKODLARI!$A$1:$K$379,9,0)," ")</f>
        <v xml:space="preserve"> </v>
      </c>
      <c r="K571" s="100" t="str">
        <f>IFERROR(VLOOKUP(Tablo519[[#This Row],[BOYA KODU]],Tablo14[#All],4,0)," ")</f>
        <v xml:space="preserve"> </v>
      </c>
      <c r="L571" s="100" t="str">
        <f>IFERROR(VLOOKUP(Tablo519[[#This Row],[BOYA KODU]],Tablo14[#All],6,0)," ")</f>
        <v xml:space="preserve"> </v>
      </c>
      <c r="M571" s="100" t="str">
        <f t="shared" si="60"/>
        <v xml:space="preserve"> </v>
      </c>
      <c r="N571" s="100" t="str">
        <f>IFERROR(VLOOKUP(Tablo519[[#This Row],[ÜRÜN KODU]],YMKODLARI!$A$1:$K$363,8,0)," ")</f>
        <v xml:space="preserve"> </v>
      </c>
      <c r="O571" s="100" t="str">
        <f>IFERROR(VLOOKUP(Tablo519[[#This Row],[HAMMADDE KODU]],Tablo1[#All],3,0)," ")</f>
        <v xml:space="preserve"> </v>
      </c>
      <c r="P571" s="100" t="str">
        <f>IFERROR(VLOOKUP(Tablo519[[#This Row],[HAMMADDE KODU]],Tablo1[#All],4,0)," ")</f>
        <v xml:space="preserve"> </v>
      </c>
      <c r="Q571" s="100" t="str">
        <f>IFERROR(VLOOKUP(Tablo519[[#This Row],[ÜRÜN KODU]],YMKODLARI!$A$1:$K$379,5,0)," ")</f>
        <v xml:space="preserve"> </v>
      </c>
      <c r="R571" s="100" t="str">
        <f>IFERROR(VLOOKUP(Tablo519[[#This Row],[ÜRÜN KODU]],YMKODLARI!$A$1:$K$379,6,0)," ")</f>
        <v xml:space="preserve"> </v>
      </c>
      <c r="S571" s="100" t="str">
        <f>IFERROR(Tablo519[[#This Row],[YOLLUK HARİÇ BASKI GRAMI]]/Tablo519[[#This Row],[KALIP GÖZ ADEDİ]]," ")</f>
        <v xml:space="preserve"> </v>
      </c>
      <c r="T571" s="100" t="str">
        <f t="shared" si="61"/>
        <v xml:space="preserve"> </v>
      </c>
      <c r="U571" s="100"/>
      <c r="V571" s="100" t="str">
        <f t="shared" si="66"/>
        <v xml:space="preserve"> </v>
      </c>
      <c r="W571" s="101">
        <f t="shared" si="62"/>
        <v>24</v>
      </c>
      <c r="X571" s="102">
        <f t="shared" si="63"/>
        <v>0</v>
      </c>
      <c r="Y571" s="100" t="str">
        <f t="shared" si="64"/>
        <v xml:space="preserve"> </v>
      </c>
      <c r="Z571" s="100" t="str">
        <f t="shared" si="65"/>
        <v xml:space="preserve"> </v>
      </c>
    </row>
  </sheetData>
  <sheetProtection password="CC17" sheet="1" objects="1" scenarios="1" selectLockedCells="1"/>
  <protectedRanges>
    <protectedRange password="CC09" sqref="U1:U120 U125:U1048576 I1:I1048576 E250:F1048576 E1:F248 C1:D1048576 A1:A1048576" name="Girişler"/>
  </protectedRanges>
  <pageMargins left="0.7" right="0.7" top="0.75" bottom="0.75" header="0.3" footer="0.3"/>
  <pageSetup paperSize="9" orientation="portrait" verticalDpi="0" r:id="rId1"/>
  <ignoredErrors>
    <ignoredError sqref="B229" calculatedColumn="1"/>
  </ignoredErrors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>
  <sheetPr codeName="Sayfa11"/>
  <dimension ref="A1:Z571"/>
  <sheetViews>
    <sheetView workbookViewId="0">
      <pane ySplit="1" topLeftCell="A2" activePane="bottomLeft" state="frozen"/>
      <selection activeCell="F19" sqref="F19"/>
      <selection pane="bottomLeft" activeCell="A29" sqref="A29"/>
    </sheetView>
  </sheetViews>
  <sheetFormatPr defaultRowHeight="15"/>
  <cols>
    <col min="1" max="1" width="13.28515625" style="84" customWidth="1"/>
    <col min="2" max="2" width="34.42578125" style="84" customWidth="1"/>
    <col min="3" max="3" width="10.7109375" style="36" customWidth="1"/>
    <col min="4" max="4" width="15.28515625" style="84" customWidth="1"/>
    <col min="5" max="5" width="12" style="38" customWidth="1"/>
    <col min="6" max="6" width="10.140625" style="38" customWidth="1"/>
    <col min="7" max="7" width="9.140625" style="84" customWidth="1"/>
    <col min="8" max="8" width="9" style="84" customWidth="1"/>
    <col min="9" max="9" width="11.7109375" style="84" customWidth="1"/>
    <col min="10" max="10" width="12.7109375" style="84" bestFit="1" customWidth="1"/>
    <col min="11" max="11" width="11.85546875" style="84" customWidth="1"/>
    <col min="12" max="12" width="10" style="84" customWidth="1"/>
    <col min="13" max="13" width="12.140625" style="84" customWidth="1"/>
    <col min="14" max="16" width="12.42578125" style="84" customWidth="1"/>
    <col min="17" max="17" width="8.5703125" style="84" customWidth="1"/>
    <col min="18" max="18" width="10.5703125" style="84" customWidth="1"/>
    <col min="19" max="19" width="7.5703125" style="84" customWidth="1"/>
    <col min="20" max="20" width="10" style="84" customWidth="1"/>
    <col min="21" max="21" width="9.140625" style="84"/>
    <col min="22" max="22" width="12.140625" style="84" customWidth="1"/>
    <col min="23" max="23" width="11.85546875" style="38" customWidth="1"/>
    <col min="24" max="24" width="11.85546875" style="39" customWidth="1"/>
    <col min="25" max="25" width="9.5703125" style="84" customWidth="1"/>
    <col min="26" max="26" width="10.28515625" style="84" customWidth="1"/>
    <col min="27" max="16384" width="9.140625" style="84"/>
  </cols>
  <sheetData>
    <row r="1" spans="1:26" s="40" customFormat="1" ht="105" customHeight="1">
      <c r="A1" s="40" t="s">
        <v>0</v>
      </c>
      <c r="B1" s="40" t="s">
        <v>1</v>
      </c>
      <c r="C1" s="42" t="s">
        <v>2</v>
      </c>
      <c r="D1" s="40" t="s">
        <v>3</v>
      </c>
      <c r="E1" s="43" t="s">
        <v>4</v>
      </c>
      <c r="F1" s="43" t="s">
        <v>5</v>
      </c>
      <c r="G1" s="40" t="s">
        <v>6</v>
      </c>
      <c r="H1" s="40" t="s">
        <v>7</v>
      </c>
      <c r="I1" s="40" t="s">
        <v>8</v>
      </c>
      <c r="J1" s="40" t="s">
        <v>9</v>
      </c>
      <c r="K1" s="40" t="s">
        <v>10</v>
      </c>
      <c r="L1" s="40" t="s">
        <v>11</v>
      </c>
      <c r="M1" s="40" t="s">
        <v>12</v>
      </c>
      <c r="N1" s="40" t="s">
        <v>13</v>
      </c>
      <c r="O1" s="40" t="s">
        <v>14</v>
      </c>
      <c r="P1" s="40" t="s">
        <v>15</v>
      </c>
      <c r="Q1" s="40" t="s">
        <v>16</v>
      </c>
      <c r="R1" s="40" t="s">
        <v>17</v>
      </c>
      <c r="S1" s="40" t="s">
        <v>18</v>
      </c>
      <c r="T1" s="40" t="s">
        <v>19</v>
      </c>
      <c r="U1" s="40" t="s">
        <v>20</v>
      </c>
      <c r="V1" s="40" t="s">
        <v>21</v>
      </c>
      <c r="W1" s="43" t="s">
        <v>22</v>
      </c>
      <c r="X1" s="44" t="s">
        <v>23</v>
      </c>
      <c r="Y1" s="40" t="s">
        <v>24</v>
      </c>
      <c r="Z1" s="40" t="s">
        <v>25</v>
      </c>
    </row>
    <row r="2" spans="1:26">
      <c r="A2" s="112" t="s">
        <v>573</v>
      </c>
      <c r="B2" s="100" t="str">
        <f>IFERROR(VLOOKUP(Tablo520[[#This Row],[ÜRÜN KODU]],YMKODLARI!$A$1:$K$373,2,0)," ")</f>
        <v>KARE SAKLAMA KABI KAPAĞI</v>
      </c>
      <c r="C2" s="99">
        <v>44109</v>
      </c>
      <c r="D2" s="100" t="s">
        <v>27</v>
      </c>
      <c r="E2" s="101">
        <v>0.45833333333333331</v>
      </c>
      <c r="F2" s="101">
        <v>0.75</v>
      </c>
      <c r="G2" s="100">
        <f>IFERROR(VLOOKUP(Tablo520[[#This Row],[ÜRÜN KODU]],YMKODLARI!$A$1:$K$373,3,0)," ")</f>
        <v>4</v>
      </c>
      <c r="H2" s="100">
        <f>IFERROR(VLOOKUP(Tablo520[[#This Row],[ÜRÜN KODU]],YMKODLARI!$A$1:$K$373,4,0)," ")</f>
        <v>29</v>
      </c>
      <c r="I2" s="100">
        <v>817</v>
      </c>
      <c r="J2" s="100">
        <f>IFERROR(VLOOKUP(Tablo520[[#This Row],[ÜRÜN KODU]],YMKODLARI!$A$1:$K$373,9,0)," ")</f>
        <v>0</v>
      </c>
      <c r="K2" s="100" t="str">
        <f>IFERROR(VLOOKUP(Tablo520[[#This Row],[BOYA KODU]],Tablo14[#All],4,0)," ")</f>
        <v xml:space="preserve"> </v>
      </c>
      <c r="L2" s="100" t="str">
        <f>IFERROR(VLOOKUP(Tablo520[[#This Row],[BOYA KODU]],Tablo14[#All],6,0)," ")</f>
        <v xml:space="preserve"> </v>
      </c>
      <c r="M2" s="100" t="str">
        <f t="shared" ref="M2:M65" si="0">IFERROR((I2*Q2)*L2," ")</f>
        <v xml:space="preserve"> </v>
      </c>
      <c r="N2" s="100" t="str">
        <f>IFERROR(VLOOKUP(Tablo520[[#This Row],[ÜRÜN KODU]],YMKODLARI!$A$1:$K$373,8,0)," ")</f>
        <v>HM 006</v>
      </c>
      <c r="O2" s="100" t="str">
        <f>IFERROR(VLOOKUP(Tablo520[[#This Row],[HAMMADDE KODU]],Tablo1[#All],3,0)," ")</f>
        <v>TRITAN</v>
      </c>
      <c r="P2" s="100" t="str">
        <f>IFERROR(VLOOKUP(Tablo520[[#This Row],[HAMMADDE KODU]],Tablo1[#All],4,0)," ")</f>
        <v>XXX</v>
      </c>
      <c r="Q2" s="100">
        <f>IFERROR(VLOOKUP(Tablo520[[#This Row],[ÜRÜN KODU]],YMKODLARI!$A$1:$K$373,5,0)," ")</f>
        <v>104.1</v>
      </c>
      <c r="R2" s="100">
        <f>IFERROR(VLOOKUP(Tablo520[[#This Row],[ÜRÜN KODU]],YMKODLARI!$A$1:$K$373,6,0)," ")</f>
        <v>102.3</v>
      </c>
      <c r="S2" s="100">
        <f>IFERROR(Tablo520[[#This Row],[YOLLUK HARİÇ BASKI GRAMI]]/Tablo520[[#This Row],[KALIP GÖZ ADEDİ]]," ")</f>
        <v>25.574999999999999</v>
      </c>
      <c r="T2" s="100">
        <f>IFERROR(Q2-R2," ")</f>
        <v>1.7999999999999972</v>
      </c>
      <c r="U2" s="100">
        <v>9.5</v>
      </c>
      <c r="V2" s="100">
        <f t="shared" ref="V2:V65" si="1">IFERROR(U2+(R2*I2) /1000," ")</f>
        <v>93.079099999999997</v>
      </c>
      <c r="W2" s="101">
        <f>IFERROR(24-(E2-F2)," ")</f>
        <v>24.291666666666668</v>
      </c>
      <c r="X2" s="102">
        <f>IFERROR((W2-INT(W2))*24," ")</f>
        <v>7.0000000000000284</v>
      </c>
      <c r="Y2" s="100">
        <f>IFERROR(H2*I2/3600," ")</f>
        <v>6.5813888888888892</v>
      </c>
      <c r="Z2" s="100">
        <f>IFERROR(I2*G2," " )</f>
        <v>3268</v>
      </c>
    </row>
    <row r="3" spans="1:26">
      <c r="A3" s="112" t="s">
        <v>573</v>
      </c>
      <c r="B3" s="100" t="str">
        <f>IFERROR(VLOOKUP(Tablo520[[#This Row],[ÜRÜN KODU]],YMKODLARI!$A$1:$K$373,2,0)," ")</f>
        <v>KARE SAKLAMA KABI KAPAĞI</v>
      </c>
      <c r="C3" s="99">
        <v>44110</v>
      </c>
      <c r="D3" s="100" t="s">
        <v>36</v>
      </c>
      <c r="E3" s="101">
        <v>0.375</v>
      </c>
      <c r="F3" s="101">
        <v>0.625</v>
      </c>
      <c r="G3" s="100">
        <f>IFERROR(VLOOKUP(Tablo520[[#This Row],[ÜRÜN KODU]],YMKODLARI!$A$1:$K$373,3,0)," ")</f>
        <v>4</v>
      </c>
      <c r="H3" s="100">
        <f>IFERROR(VLOOKUP(Tablo520[[#This Row],[ÜRÜN KODU]],YMKODLARI!$A$1:$K$373,4,0)," ")</f>
        <v>29</v>
      </c>
      <c r="I3" s="100">
        <v>719</v>
      </c>
      <c r="J3" s="100">
        <f>IFERROR(VLOOKUP(Tablo520[[#This Row],[ÜRÜN KODU]],YMKODLARI!$A$1:$K$373,9,0)," ")</f>
        <v>0</v>
      </c>
      <c r="K3" s="100" t="str">
        <f>IFERROR(VLOOKUP(Tablo520[[#This Row],[BOYA KODU]],Tablo14[#All],4,0)," ")</f>
        <v xml:space="preserve"> </v>
      </c>
      <c r="L3" s="100" t="str">
        <f>IFERROR(VLOOKUP(Tablo520[[#This Row],[BOYA KODU]],Tablo14[#All],6,0)," ")</f>
        <v xml:space="preserve"> </v>
      </c>
      <c r="M3" s="100" t="str">
        <f t="shared" si="0"/>
        <v xml:space="preserve"> </v>
      </c>
      <c r="N3" s="100" t="str">
        <f>IFERROR(VLOOKUP(Tablo520[[#This Row],[ÜRÜN KODU]],YMKODLARI!$A$1:$K$373,8,0)," ")</f>
        <v>HM 006</v>
      </c>
      <c r="O3" s="100" t="str">
        <f>IFERROR(VLOOKUP(Tablo520[[#This Row],[HAMMADDE KODU]],Tablo1[#All],3,0)," ")</f>
        <v>TRITAN</v>
      </c>
      <c r="P3" s="100" t="str">
        <f>IFERROR(VLOOKUP(Tablo520[[#This Row],[HAMMADDE KODU]],Tablo1[#All],4,0)," ")</f>
        <v>XXX</v>
      </c>
      <c r="Q3" s="100">
        <f>IFERROR(VLOOKUP(Tablo520[[#This Row],[ÜRÜN KODU]],YMKODLARI!$A$1:$K$373,5,0)," ")</f>
        <v>104.1</v>
      </c>
      <c r="R3" s="100">
        <f>IFERROR(VLOOKUP(Tablo520[[#This Row],[ÜRÜN KODU]],YMKODLARI!$A$1:$K$373,6,0)," ")</f>
        <v>102.3</v>
      </c>
      <c r="S3" s="100">
        <f>IFERROR(Tablo520[[#This Row],[YOLLUK HARİÇ BASKI GRAMI]]/Tablo520[[#This Row],[KALIP GÖZ ADEDİ]]," ")</f>
        <v>25.574999999999999</v>
      </c>
      <c r="T3" s="100">
        <f t="shared" ref="T3:T66" si="2">IFERROR(Q3-R3," ")</f>
        <v>1.7999999999999972</v>
      </c>
      <c r="U3" s="100">
        <v>12.9</v>
      </c>
      <c r="V3" s="100">
        <f t="shared" si="1"/>
        <v>86.453699999999998</v>
      </c>
      <c r="W3" s="101">
        <f t="shared" ref="W3:W66" si="3">IFERROR(24-(E3-F3)," ")</f>
        <v>24.25</v>
      </c>
      <c r="X3" s="102">
        <f t="shared" ref="X3:X66" si="4">IFERROR((W3-INT(W3))*24," ")</f>
        <v>6</v>
      </c>
      <c r="Y3" s="100">
        <f t="shared" ref="Y3:Y66" si="5">IFERROR(H3*I3/3600," ")</f>
        <v>5.7919444444444448</v>
      </c>
      <c r="Z3" s="100">
        <f t="shared" ref="Z3:Z66" si="6">IFERROR(I3*G3," " )</f>
        <v>2876</v>
      </c>
    </row>
    <row r="4" spans="1:26">
      <c r="A4" s="112" t="s">
        <v>555</v>
      </c>
      <c r="B4" s="100" t="str">
        <f>IFERROR(VLOOKUP(Tablo520[[#This Row],[ÜRÜN KODU]],YMKODLARI!$A$1:$K$373,2,0)," ")</f>
        <v>KARE SAKLAMA KABI NO 1</v>
      </c>
      <c r="C4" s="99">
        <v>44111</v>
      </c>
      <c r="D4" s="100" t="s">
        <v>36</v>
      </c>
      <c r="E4" s="101">
        <v>0.58333333333333337</v>
      </c>
      <c r="F4" s="101">
        <v>0.75</v>
      </c>
      <c r="G4" s="100">
        <f>IFERROR(VLOOKUP(Tablo520[[#This Row],[ÜRÜN KODU]],YMKODLARI!$A$1:$K$373,3,0)," ")</f>
        <v>1</v>
      </c>
      <c r="H4" s="100">
        <f>IFERROR(VLOOKUP(Tablo520[[#This Row],[ÜRÜN KODU]],YMKODLARI!$A$1:$K$373,4,0)," ")</f>
        <v>19</v>
      </c>
      <c r="I4" s="100">
        <v>760</v>
      </c>
      <c r="J4" s="100">
        <f>IFERROR(VLOOKUP(Tablo520[[#This Row],[ÜRÜN KODU]],YMKODLARI!$A$1:$K$373,9,0)," ")</f>
        <v>0</v>
      </c>
      <c r="K4" s="100" t="str">
        <f>IFERROR(VLOOKUP(Tablo520[[#This Row],[BOYA KODU]],Tablo14[#All],4,0)," ")</f>
        <v xml:space="preserve"> </v>
      </c>
      <c r="L4" s="100" t="str">
        <f>IFERROR(VLOOKUP(Tablo520[[#This Row],[BOYA KODU]],Tablo14[#All],6,0)," ")</f>
        <v xml:space="preserve"> </v>
      </c>
      <c r="M4" s="100" t="str">
        <f t="shared" si="0"/>
        <v xml:space="preserve"> </v>
      </c>
      <c r="N4" s="100" t="str">
        <f>IFERROR(VLOOKUP(Tablo520[[#This Row],[ÜRÜN KODU]],YMKODLARI!$A$1:$K$373,8,0)," ")</f>
        <v>HM 006</v>
      </c>
      <c r="O4" s="100" t="str">
        <f>IFERROR(VLOOKUP(Tablo520[[#This Row],[HAMMADDE KODU]],Tablo1[#All],3,0)," ")</f>
        <v>TRITAN</v>
      </c>
      <c r="P4" s="100" t="str">
        <f>IFERROR(VLOOKUP(Tablo520[[#This Row],[HAMMADDE KODU]],Tablo1[#All],4,0)," ")</f>
        <v>XXX</v>
      </c>
      <c r="Q4" s="100">
        <f>IFERROR(VLOOKUP(Tablo520[[#This Row],[ÜRÜN KODU]],YMKODLARI!$A$1:$K$373,5,0)," ")</f>
        <v>66.7</v>
      </c>
      <c r="R4" s="100">
        <f>IFERROR(VLOOKUP(Tablo520[[#This Row],[ÜRÜN KODU]],YMKODLARI!$A$1:$K$373,6,0)," ")</f>
        <v>66.7</v>
      </c>
      <c r="S4" s="100">
        <f>IFERROR(Tablo520[[#This Row],[YOLLUK HARİÇ BASKI GRAMI]]/Tablo520[[#This Row],[KALIP GÖZ ADEDİ]]," ")</f>
        <v>66.7</v>
      </c>
      <c r="T4" s="100">
        <f t="shared" si="2"/>
        <v>0</v>
      </c>
      <c r="U4" s="100">
        <v>10.4</v>
      </c>
      <c r="V4" s="100">
        <f t="shared" si="1"/>
        <v>61.091999999999999</v>
      </c>
      <c r="W4" s="101">
        <f t="shared" si="3"/>
        <v>24.166666666666668</v>
      </c>
      <c r="X4" s="102">
        <f t="shared" si="4"/>
        <v>4.0000000000000284</v>
      </c>
      <c r="Y4" s="100">
        <f t="shared" si="5"/>
        <v>4.0111111111111111</v>
      </c>
      <c r="Z4" s="100">
        <f t="shared" si="6"/>
        <v>760</v>
      </c>
    </row>
    <row r="5" spans="1:26">
      <c r="A5" s="112" t="s">
        <v>555</v>
      </c>
      <c r="B5" s="100" t="str">
        <f>IFERROR(VLOOKUP(Tablo520[[#This Row],[ÜRÜN KODU]],YMKODLARI!$A$1:$K$373,2,0)," ")</f>
        <v>KARE SAKLAMA KABI NO 1</v>
      </c>
      <c r="C5" s="99">
        <v>44112</v>
      </c>
      <c r="D5" s="100" t="s">
        <v>36</v>
      </c>
      <c r="E5" s="101">
        <v>0.375</v>
      </c>
      <c r="F5" s="101">
        <v>0.83333333333333337</v>
      </c>
      <c r="G5" s="100">
        <f>IFERROR(VLOOKUP(Tablo520[[#This Row],[ÜRÜN KODU]],YMKODLARI!$A$1:$K$373,3,0)," ")</f>
        <v>1</v>
      </c>
      <c r="H5" s="100">
        <f>IFERROR(VLOOKUP(Tablo520[[#This Row],[ÜRÜN KODU]],YMKODLARI!$A$1:$K$373,4,0)," ")</f>
        <v>19</v>
      </c>
      <c r="I5" s="100">
        <v>1545</v>
      </c>
      <c r="J5" s="100">
        <f>IFERROR(VLOOKUP(Tablo520[[#This Row],[ÜRÜN KODU]],YMKODLARI!$A$1:$K$373,9,0)," ")</f>
        <v>0</v>
      </c>
      <c r="K5" s="100" t="str">
        <f>IFERROR(VLOOKUP(Tablo520[[#This Row],[BOYA KODU]],Tablo14[#All],4,0)," ")</f>
        <v xml:space="preserve"> </v>
      </c>
      <c r="L5" s="100" t="str">
        <f>IFERROR(VLOOKUP(Tablo520[[#This Row],[BOYA KODU]],Tablo14[#All],6,0)," ")</f>
        <v xml:space="preserve"> </v>
      </c>
      <c r="M5" s="100" t="str">
        <f t="shared" si="0"/>
        <v xml:space="preserve"> </v>
      </c>
      <c r="N5" s="100" t="str">
        <f>IFERROR(VLOOKUP(Tablo520[[#This Row],[ÜRÜN KODU]],YMKODLARI!$A$1:$K$373,8,0)," ")</f>
        <v>HM 006</v>
      </c>
      <c r="O5" s="100" t="str">
        <f>IFERROR(VLOOKUP(Tablo520[[#This Row],[HAMMADDE KODU]],Tablo1[#All],3,0)," ")</f>
        <v>TRITAN</v>
      </c>
      <c r="P5" s="100" t="str">
        <f>IFERROR(VLOOKUP(Tablo520[[#This Row],[HAMMADDE KODU]],Tablo1[#All],4,0)," ")</f>
        <v>XXX</v>
      </c>
      <c r="Q5" s="100">
        <f>IFERROR(VLOOKUP(Tablo520[[#This Row],[ÜRÜN KODU]],YMKODLARI!$A$1:$K$373,5,0)," ")</f>
        <v>66.7</v>
      </c>
      <c r="R5" s="100">
        <f>IFERROR(VLOOKUP(Tablo520[[#This Row],[ÜRÜN KODU]],YMKODLARI!$A$1:$K$373,6,0)," ")</f>
        <v>66.7</v>
      </c>
      <c r="S5" s="100">
        <f>IFERROR(Tablo520[[#This Row],[YOLLUK HARİÇ BASKI GRAMI]]/Tablo520[[#This Row],[KALIP GÖZ ADEDİ]]," ")</f>
        <v>66.7</v>
      </c>
      <c r="T5" s="100">
        <f t="shared" si="2"/>
        <v>0</v>
      </c>
      <c r="U5" s="100">
        <v>3</v>
      </c>
      <c r="V5" s="100">
        <f t="shared" si="1"/>
        <v>106.0515</v>
      </c>
      <c r="W5" s="101">
        <f t="shared" si="3"/>
        <v>24.458333333333332</v>
      </c>
      <c r="X5" s="102">
        <f t="shared" si="4"/>
        <v>10.999999999999972</v>
      </c>
      <c r="Y5" s="100">
        <f t="shared" si="5"/>
        <v>8.1541666666666668</v>
      </c>
      <c r="Z5" s="100">
        <f t="shared" si="6"/>
        <v>1545</v>
      </c>
    </row>
    <row r="6" spans="1:26">
      <c r="A6" s="112" t="s">
        <v>557</v>
      </c>
      <c r="B6" s="100" t="str">
        <f>IFERROR(VLOOKUP(Tablo520[[#This Row],[ÜRÜN KODU]],YMKODLARI!$A$1:$K$373,2,0)," ")</f>
        <v>YUVARLAK SAKLAMA KABI NO 1</v>
      </c>
      <c r="C6" s="99">
        <v>44116</v>
      </c>
      <c r="D6" s="100" t="s">
        <v>36</v>
      </c>
      <c r="E6" s="101">
        <v>0.63194444444444442</v>
      </c>
      <c r="F6" s="101">
        <v>0.72222222222222221</v>
      </c>
      <c r="G6" s="100">
        <f>IFERROR(VLOOKUP(Tablo520[[#This Row],[ÜRÜN KODU]],YMKODLARI!$A$1:$K$373,3,0)," ")</f>
        <v>2</v>
      </c>
      <c r="H6" s="100">
        <f>IFERROR(VLOOKUP(Tablo520[[#This Row],[ÜRÜN KODU]],YMKODLARI!$A$1:$K$373,4,0)," ")</f>
        <v>29</v>
      </c>
      <c r="I6" s="100">
        <v>111</v>
      </c>
      <c r="J6" s="100">
        <f>IFERROR(VLOOKUP(Tablo520[[#This Row],[ÜRÜN KODU]],YMKODLARI!$A$1:$K$373,9,0)," ")</f>
        <v>0</v>
      </c>
      <c r="K6" s="100" t="str">
        <f>IFERROR(VLOOKUP(Tablo520[[#This Row],[BOYA KODU]],Tablo14[#All],4,0)," ")</f>
        <v xml:space="preserve"> </v>
      </c>
      <c r="L6" s="100" t="str">
        <f>IFERROR(VLOOKUP(Tablo520[[#This Row],[BOYA KODU]],Tablo14[#All],6,0)," ")</f>
        <v xml:space="preserve"> </v>
      </c>
      <c r="M6" s="100" t="str">
        <f t="shared" si="0"/>
        <v xml:space="preserve"> </v>
      </c>
      <c r="N6" s="100" t="str">
        <f>IFERROR(VLOOKUP(Tablo520[[#This Row],[ÜRÜN KODU]],YMKODLARI!$A$1:$K$373,8,0)," ")</f>
        <v>HM 006</v>
      </c>
      <c r="O6" s="100" t="str">
        <f>IFERROR(VLOOKUP(Tablo520[[#This Row],[HAMMADDE KODU]],Tablo1[#All],3,0)," ")</f>
        <v>TRITAN</v>
      </c>
      <c r="P6" s="100" t="str">
        <f>IFERROR(VLOOKUP(Tablo520[[#This Row],[HAMMADDE KODU]],Tablo1[#All],4,0)," ")</f>
        <v>XXX</v>
      </c>
      <c r="Q6" s="100">
        <f>IFERROR(VLOOKUP(Tablo520[[#This Row],[ÜRÜN KODU]],YMKODLARI!$A$1:$K$373,5,0)," ")</f>
        <v>112.7</v>
      </c>
      <c r="R6" s="100">
        <f>IFERROR(VLOOKUP(Tablo520[[#This Row],[ÜRÜN KODU]],YMKODLARI!$A$1:$K$373,6,0)," ")</f>
        <v>112.7</v>
      </c>
      <c r="S6" s="100">
        <f>IFERROR(Tablo520[[#This Row],[YOLLUK HARİÇ BASKI GRAMI]]/Tablo520[[#This Row],[KALIP GÖZ ADEDİ]]," ")</f>
        <v>56.35</v>
      </c>
      <c r="T6" s="100">
        <f t="shared" si="2"/>
        <v>0</v>
      </c>
      <c r="U6" s="100">
        <v>1.6</v>
      </c>
      <c r="V6" s="100">
        <f t="shared" si="1"/>
        <v>14.1097</v>
      </c>
      <c r="W6" s="101">
        <f t="shared" si="3"/>
        <v>24.090277777777779</v>
      </c>
      <c r="X6" s="102">
        <f t="shared" si="4"/>
        <v>2.1666666666666856</v>
      </c>
      <c r="Y6" s="100">
        <f t="shared" si="5"/>
        <v>0.89416666666666667</v>
      </c>
      <c r="Z6" s="100">
        <f t="shared" si="6"/>
        <v>222</v>
      </c>
    </row>
    <row r="7" spans="1:26">
      <c r="A7" s="112" t="s">
        <v>557</v>
      </c>
      <c r="B7" s="100" t="str">
        <f>IFERROR(VLOOKUP(Tablo520[[#This Row],[ÜRÜN KODU]],YMKODLARI!$A$1:$K$373,2,0)," ")</f>
        <v>YUVARLAK SAKLAMA KABI NO 1</v>
      </c>
      <c r="C7" s="99">
        <v>44117</v>
      </c>
      <c r="D7" s="100" t="s">
        <v>36</v>
      </c>
      <c r="E7" s="101">
        <v>0.41666666666666669</v>
      </c>
      <c r="F7" s="101">
        <v>0.69791666666666663</v>
      </c>
      <c r="G7" s="100">
        <f>IFERROR(VLOOKUP(Tablo520[[#This Row],[ÜRÜN KODU]],YMKODLARI!$A$1:$K$373,3,0)," ")</f>
        <v>2</v>
      </c>
      <c r="H7" s="100">
        <f>IFERROR(VLOOKUP(Tablo520[[#This Row],[ÜRÜN KODU]],YMKODLARI!$A$1:$K$373,4,0)," ")</f>
        <v>29</v>
      </c>
      <c r="I7" s="100">
        <v>280</v>
      </c>
      <c r="J7" s="100">
        <f>IFERROR(VLOOKUP(Tablo520[[#This Row],[ÜRÜN KODU]],YMKODLARI!$A$1:$K$373,9,0)," ")</f>
        <v>0</v>
      </c>
      <c r="K7" s="100" t="str">
        <f>IFERROR(VLOOKUP(Tablo520[[#This Row],[BOYA KODU]],Tablo14[#All],4,0)," ")</f>
        <v xml:space="preserve"> </v>
      </c>
      <c r="L7" s="100" t="str">
        <f>IFERROR(VLOOKUP(Tablo520[[#This Row],[BOYA KODU]],Tablo14[#All],6,0)," ")</f>
        <v xml:space="preserve"> </v>
      </c>
      <c r="M7" s="100" t="str">
        <f t="shared" si="0"/>
        <v xml:space="preserve"> </v>
      </c>
      <c r="N7" s="100" t="str">
        <f>IFERROR(VLOOKUP(Tablo520[[#This Row],[ÜRÜN KODU]],YMKODLARI!$A$1:$K$373,8,0)," ")</f>
        <v>HM 006</v>
      </c>
      <c r="O7" s="100" t="str">
        <f>IFERROR(VLOOKUP(Tablo520[[#This Row],[HAMMADDE KODU]],Tablo1[#All],3,0)," ")</f>
        <v>TRITAN</v>
      </c>
      <c r="P7" s="100" t="str">
        <f>IFERROR(VLOOKUP(Tablo520[[#This Row],[HAMMADDE KODU]],Tablo1[#All],4,0)," ")</f>
        <v>XXX</v>
      </c>
      <c r="Q7" s="100">
        <f>IFERROR(VLOOKUP(Tablo520[[#This Row],[ÜRÜN KODU]],YMKODLARI!$A$1:$K$373,5,0)," ")</f>
        <v>112.7</v>
      </c>
      <c r="R7" s="100">
        <f>IFERROR(VLOOKUP(Tablo520[[#This Row],[ÜRÜN KODU]],YMKODLARI!$A$1:$K$373,6,0)," ")</f>
        <v>112.7</v>
      </c>
      <c r="S7" s="100">
        <f>IFERROR(Tablo520[[#This Row],[YOLLUK HARİÇ BASKI GRAMI]]/Tablo520[[#This Row],[KALIP GÖZ ADEDİ]]," ")</f>
        <v>56.35</v>
      </c>
      <c r="T7" s="100">
        <f t="shared" si="2"/>
        <v>0</v>
      </c>
      <c r="U7" s="100">
        <v>2.4</v>
      </c>
      <c r="V7" s="100">
        <f t="shared" si="1"/>
        <v>33.956000000000003</v>
      </c>
      <c r="W7" s="101">
        <f t="shared" si="3"/>
        <v>24.28125</v>
      </c>
      <c r="X7" s="102">
        <f t="shared" si="4"/>
        <v>6.75</v>
      </c>
      <c r="Y7" s="100">
        <f t="shared" si="5"/>
        <v>2.2555555555555555</v>
      </c>
      <c r="Z7" s="100">
        <f t="shared" si="6"/>
        <v>560</v>
      </c>
    </row>
    <row r="8" spans="1:26">
      <c r="A8" s="112" t="s">
        <v>556</v>
      </c>
      <c r="B8" s="100" t="str">
        <f>IFERROR(VLOOKUP(Tablo520[[#This Row],[ÜRÜN KODU]],YMKODLARI!$A$1:$K$373,2,0)," ")</f>
        <v>KARE SAKLAMA KABI NO 2</v>
      </c>
      <c r="C8" s="99">
        <v>44118</v>
      </c>
      <c r="D8" s="100" t="s">
        <v>575</v>
      </c>
      <c r="E8" s="101">
        <v>0.54166666666666663</v>
      </c>
      <c r="F8" s="101">
        <v>0.95833333333333337</v>
      </c>
      <c r="G8" s="100">
        <f>IFERROR(VLOOKUP(Tablo520[[#This Row],[ÜRÜN KODU]],YMKODLARI!$A$1:$K$373,3,0)," ")</f>
        <v>1</v>
      </c>
      <c r="H8" s="100">
        <f>IFERROR(VLOOKUP(Tablo520[[#This Row],[ÜRÜN KODU]],YMKODLARI!$A$1:$K$373,4,0)," ")</f>
        <v>30</v>
      </c>
      <c r="I8" s="100">
        <v>650</v>
      </c>
      <c r="J8" s="100">
        <f>IFERROR(VLOOKUP(Tablo520[[#This Row],[ÜRÜN KODU]],YMKODLARI!$A$1:$K$373,9,0)," ")</f>
        <v>0</v>
      </c>
      <c r="K8" s="100" t="str">
        <f>IFERROR(VLOOKUP(Tablo520[[#This Row],[BOYA KODU]],Tablo14[#All],4,0)," ")</f>
        <v xml:space="preserve"> </v>
      </c>
      <c r="L8" s="100" t="str">
        <f>IFERROR(VLOOKUP(Tablo520[[#This Row],[BOYA KODU]],Tablo14[#All],6,0)," ")</f>
        <v xml:space="preserve"> </v>
      </c>
      <c r="M8" s="100" t="str">
        <f t="shared" si="0"/>
        <v xml:space="preserve"> </v>
      </c>
      <c r="N8" s="100" t="str">
        <f>IFERROR(VLOOKUP(Tablo520[[#This Row],[ÜRÜN KODU]],YMKODLARI!$A$1:$K$373,8,0)," ")</f>
        <v>HM 006</v>
      </c>
      <c r="O8" s="100" t="str">
        <f>IFERROR(VLOOKUP(Tablo520[[#This Row],[HAMMADDE KODU]],Tablo1[#All],3,0)," ")</f>
        <v>TRITAN</v>
      </c>
      <c r="P8" s="100" t="str">
        <f>IFERROR(VLOOKUP(Tablo520[[#This Row],[HAMMADDE KODU]],Tablo1[#All],4,0)," ")</f>
        <v>XXX</v>
      </c>
      <c r="Q8" s="100">
        <f>IFERROR(VLOOKUP(Tablo520[[#This Row],[ÜRÜN KODU]],YMKODLARI!$A$1:$K$373,5,0)," ")</f>
        <v>107</v>
      </c>
      <c r="R8" s="100">
        <f>IFERROR(VLOOKUP(Tablo520[[#This Row],[ÜRÜN KODU]],YMKODLARI!$A$1:$K$373,6,0)," ")</f>
        <v>107</v>
      </c>
      <c r="S8" s="100">
        <f>IFERROR(Tablo520[[#This Row],[YOLLUK HARİÇ BASKI GRAMI]]/Tablo520[[#This Row],[KALIP GÖZ ADEDİ]]," ")</f>
        <v>107</v>
      </c>
      <c r="T8" s="100">
        <f t="shared" si="2"/>
        <v>0</v>
      </c>
      <c r="U8" s="100">
        <v>9</v>
      </c>
      <c r="V8" s="100">
        <f t="shared" si="1"/>
        <v>78.55</v>
      </c>
      <c r="W8" s="101">
        <f t="shared" si="3"/>
        <v>24.416666666666668</v>
      </c>
      <c r="X8" s="102">
        <f t="shared" si="4"/>
        <v>10.000000000000028</v>
      </c>
      <c r="Y8" s="100">
        <f t="shared" si="5"/>
        <v>5.416666666666667</v>
      </c>
      <c r="Z8" s="100">
        <f t="shared" si="6"/>
        <v>650</v>
      </c>
    </row>
    <row r="9" spans="1:26">
      <c r="A9" s="112" t="s">
        <v>556</v>
      </c>
      <c r="B9" s="100" t="str">
        <f>IFERROR(VLOOKUP(Tablo520[[#This Row],[ÜRÜN KODU]],YMKODLARI!$A$1:$K$373,2,0)," ")</f>
        <v>KARE SAKLAMA KABI NO 2</v>
      </c>
      <c r="C9" s="99">
        <v>44119</v>
      </c>
      <c r="D9" s="100" t="s">
        <v>36</v>
      </c>
      <c r="E9" s="101">
        <v>0.43055555555555558</v>
      </c>
      <c r="F9" s="101">
        <v>0.75</v>
      </c>
      <c r="G9" s="100">
        <f>IFERROR(VLOOKUP(Tablo520[[#This Row],[ÜRÜN KODU]],YMKODLARI!$A$1:$K$373,3,0)," ")</f>
        <v>1</v>
      </c>
      <c r="H9" s="100">
        <f>IFERROR(VLOOKUP(Tablo520[[#This Row],[ÜRÜN KODU]],YMKODLARI!$A$1:$K$373,4,0)," ")</f>
        <v>30</v>
      </c>
      <c r="I9" s="100">
        <v>930</v>
      </c>
      <c r="J9" s="100">
        <f>IFERROR(VLOOKUP(Tablo520[[#This Row],[ÜRÜN KODU]],YMKODLARI!$A$1:$K$373,9,0)," ")</f>
        <v>0</v>
      </c>
      <c r="K9" s="100" t="str">
        <f>IFERROR(VLOOKUP(Tablo520[[#This Row],[BOYA KODU]],Tablo14[#All],4,0)," ")</f>
        <v xml:space="preserve"> </v>
      </c>
      <c r="L9" s="100" t="str">
        <f>IFERROR(VLOOKUP(Tablo520[[#This Row],[BOYA KODU]],Tablo14[#All],6,0)," ")</f>
        <v xml:space="preserve"> </v>
      </c>
      <c r="M9" s="100" t="str">
        <f t="shared" si="0"/>
        <v xml:space="preserve"> </v>
      </c>
      <c r="N9" s="100" t="str">
        <f>IFERROR(VLOOKUP(Tablo520[[#This Row],[ÜRÜN KODU]],YMKODLARI!$A$1:$K$373,8,0)," ")</f>
        <v>HM 006</v>
      </c>
      <c r="O9" s="100" t="str">
        <f>IFERROR(VLOOKUP(Tablo520[[#This Row],[HAMMADDE KODU]],Tablo1[#All],3,0)," ")</f>
        <v>TRITAN</v>
      </c>
      <c r="P9" s="100" t="str">
        <f>IFERROR(VLOOKUP(Tablo520[[#This Row],[HAMMADDE KODU]],Tablo1[#All],4,0)," ")</f>
        <v>XXX</v>
      </c>
      <c r="Q9" s="100">
        <f>IFERROR(VLOOKUP(Tablo520[[#This Row],[ÜRÜN KODU]],YMKODLARI!$A$1:$K$373,5,0)," ")</f>
        <v>107</v>
      </c>
      <c r="R9" s="100">
        <f>IFERROR(VLOOKUP(Tablo520[[#This Row],[ÜRÜN KODU]],YMKODLARI!$A$1:$K$373,6,0)," ")</f>
        <v>107</v>
      </c>
      <c r="S9" s="100">
        <f>IFERROR(Tablo520[[#This Row],[YOLLUK HARİÇ BASKI GRAMI]]/Tablo520[[#This Row],[KALIP GÖZ ADEDİ]]," ")</f>
        <v>107</v>
      </c>
      <c r="T9" s="100">
        <f t="shared" si="2"/>
        <v>0</v>
      </c>
      <c r="U9" s="100">
        <v>4.3</v>
      </c>
      <c r="V9" s="100">
        <f t="shared" si="1"/>
        <v>103.81</v>
      </c>
      <c r="W9" s="101">
        <f t="shared" si="3"/>
        <v>24.319444444444443</v>
      </c>
      <c r="X9" s="102">
        <f t="shared" si="4"/>
        <v>7.6666666666666288</v>
      </c>
      <c r="Y9" s="100">
        <f t="shared" si="5"/>
        <v>7.75</v>
      </c>
      <c r="Z9" s="100">
        <f t="shared" si="6"/>
        <v>930</v>
      </c>
    </row>
    <row r="10" spans="1:26">
      <c r="A10" s="112" t="s">
        <v>556</v>
      </c>
      <c r="B10" s="100" t="str">
        <f>IFERROR(VLOOKUP(Tablo520[[#This Row],[ÜRÜN KODU]],YMKODLARI!$A$1:$K$373,2,0)," ")</f>
        <v>KARE SAKLAMA KABI NO 2</v>
      </c>
      <c r="C10" s="99">
        <v>44120</v>
      </c>
      <c r="D10" s="100" t="s">
        <v>36</v>
      </c>
      <c r="E10" s="101">
        <v>0.375</v>
      </c>
      <c r="F10" s="101">
        <v>0.75</v>
      </c>
      <c r="G10" s="100">
        <f>IFERROR(VLOOKUP(Tablo520[[#This Row],[ÜRÜN KODU]],YMKODLARI!$A$1:$K$373,3,0)," ")</f>
        <v>1</v>
      </c>
      <c r="H10" s="100">
        <f>IFERROR(VLOOKUP(Tablo520[[#This Row],[ÜRÜN KODU]],YMKODLARI!$A$1:$K$373,4,0)," ")</f>
        <v>30</v>
      </c>
      <c r="I10" s="100">
        <v>1041</v>
      </c>
      <c r="J10" s="100">
        <f>IFERROR(VLOOKUP(Tablo520[[#This Row],[ÜRÜN KODU]],YMKODLARI!$A$1:$K$373,9,0)," ")</f>
        <v>0</v>
      </c>
      <c r="K10" s="100" t="str">
        <f>IFERROR(VLOOKUP(Tablo520[[#This Row],[BOYA KODU]],Tablo14[#All],4,0)," ")</f>
        <v xml:space="preserve"> </v>
      </c>
      <c r="L10" s="100" t="str">
        <f>IFERROR(VLOOKUP(Tablo520[[#This Row],[BOYA KODU]],Tablo14[#All],6,0)," ")</f>
        <v xml:space="preserve"> </v>
      </c>
      <c r="M10" s="100" t="str">
        <f t="shared" si="0"/>
        <v xml:space="preserve"> </v>
      </c>
      <c r="N10" s="100" t="str">
        <f>IFERROR(VLOOKUP(Tablo520[[#This Row],[ÜRÜN KODU]],YMKODLARI!$A$1:$K$373,8,0)," ")</f>
        <v>HM 006</v>
      </c>
      <c r="O10" s="100" t="str">
        <f>IFERROR(VLOOKUP(Tablo520[[#This Row],[HAMMADDE KODU]],Tablo1[#All],3,0)," ")</f>
        <v>TRITAN</v>
      </c>
      <c r="P10" s="100" t="str">
        <f>IFERROR(VLOOKUP(Tablo520[[#This Row],[HAMMADDE KODU]],Tablo1[#All],4,0)," ")</f>
        <v>XXX</v>
      </c>
      <c r="Q10" s="100">
        <f>IFERROR(VLOOKUP(Tablo520[[#This Row],[ÜRÜN KODU]],YMKODLARI!$A$1:$K$373,5,0)," ")</f>
        <v>107</v>
      </c>
      <c r="R10" s="100">
        <f>IFERROR(VLOOKUP(Tablo520[[#This Row],[ÜRÜN KODU]],YMKODLARI!$A$1:$K$373,6,0)," ")</f>
        <v>107</v>
      </c>
      <c r="S10" s="100">
        <f>IFERROR(Tablo520[[#This Row],[YOLLUK HARİÇ BASKI GRAMI]]/Tablo520[[#This Row],[KALIP GÖZ ADEDİ]]," ")</f>
        <v>107</v>
      </c>
      <c r="T10" s="100">
        <f t="shared" si="2"/>
        <v>0</v>
      </c>
      <c r="U10" s="100">
        <v>40</v>
      </c>
      <c r="V10" s="100">
        <f t="shared" si="1"/>
        <v>151.387</v>
      </c>
      <c r="W10" s="101">
        <f t="shared" si="3"/>
        <v>24.375</v>
      </c>
      <c r="X10" s="102">
        <f t="shared" si="4"/>
        <v>9</v>
      </c>
      <c r="Y10" s="100">
        <f t="shared" si="5"/>
        <v>8.6750000000000007</v>
      </c>
      <c r="Z10" s="100">
        <f t="shared" si="6"/>
        <v>1041</v>
      </c>
    </row>
    <row r="11" spans="1:26">
      <c r="A11" s="100" t="s">
        <v>558</v>
      </c>
      <c r="B11" s="100" t="str">
        <f>IFERROR(VLOOKUP(Tablo520[[#This Row],[ÜRÜN KODU]],YMKODLARI!$A$1:$K$373,2,0)," ")</f>
        <v>YUVARLAK SAKLAMA KABI NO 2</v>
      </c>
      <c r="C11" s="99">
        <v>44124</v>
      </c>
      <c r="D11" s="100" t="s">
        <v>36</v>
      </c>
      <c r="E11" s="101">
        <v>0.71875</v>
      </c>
      <c r="F11" s="101">
        <v>0.84027777777777779</v>
      </c>
      <c r="G11" s="100">
        <f>IFERROR(VLOOKUP(Tablo520[[#This Row],[ÜRÜN KODU]],YMKODLARI!$A$1:$K$373,3,0)," ")</f>
        <v>1</v>
      </c>
      <c r="H11" s="100">
        <f>IFERROR(VLOOKUP(Tablo520[[#This Row],[ÜRÜN KODU]],YMKODLARI!$A$1:$K$373,4,0)," ")</f>
        <v>26</v>
      </c>
      <c r="I11" s="100">
        <v>520</v>
      </c>
      <c r="J11" s="100">
        <f>IFERROR(VLOOKUP(Tablo520[[#This Row],[ÜRÜN KODU]],YMKODLARI!$A$1:$K$373,9,0)," ")</f>
        <v>0</v>
      </c>
      <c r="K11" s="100" t="str">
        <f>IFERROR(VLOOKUP(Tablo520[[#This Row],[BOYA KODU]],Tablo14[#All],4,0)," ")</f>
        <v xml:space="preserve"> </v>
      </c>
      <c r="L11" s="100" t="str">
        <f>IFERROR(VLOOKUP(Tablo520[[#This Row],[BOYA KODU]],Tablo14[#All],6,0)," ")</f>
        <v xml:space="preserve"> </v>
      </c>
      <c r="M11" s="100" t="str">
        <f t="shared" si="0"/>
        <v xml:space="preserve"> </v>
      </c>
      <c r="N11" s="100" t="str">
        <f>IFERROR(VLOOKUP(Tablo520[[#This Row],[ÜRÜN KODU]],YMKODLARI!$A$1:$K$373,8,0)," ")</f>
        <v>HM 006</v>
      </c>
      <c r="O11" s="100" t="str">
        <f>IFERROR(VLOOKUP(Tablo520[[#This Row],[HAMMADDE KODU]],Tablo1[#All],3,0)," ")</f>
        <v>TRITAN</v>
      </c>
      <c r="P11" s="100" t="str">
        <f>IFERROR(VLOOKUP(Tablo520[[#This Row],[HAMMADDE KODU]],Tablo1[#All],4,0)," ")</f>
        <v>XXX</v>
      </c>
      <c r="Q11" s="100">
        <f>IFERROR(VLOOKUP(Tablo520[[#This Row],[ÜRÜN KODU]],YMKODLARI!$A$1:$K$373,5,0)," ")</f>
        <v>100.2</v>
      </c>
      <c r="R11" s="100">
        <f>IFERROR(VLOOKUP(Tablo520[[#This Row],[ÜRÜN KODU]],YMKODLARI!$A$1:$K$373,6,0)," ")</f>
        <v>100.2</v>
      </c>
      <c r="S11" s="100">
        <f>IFERROR(Tablo520[[#This Row],[YOLLUK HARİÇ BASKI GRAMI]]/Tablo520[[#This Row],[KALIP GÖZ ADEDİ]]," ")</f>
        <v>100.2</v>
      </c>
      <c r="T11" s="100">
        <f t="shared" si="2"/>
        <v>0</v>
      </c>
      <c r="U11" s="100">
        <v>18</v>
      </c>
      <c r="V11" s="100">
        <f t="shared" si="1"/>
        <v>70.103999999999999</v>
      </c>
      <c r="W11" s="101">
        <f t="shared" si="3"/>
        <v>24.121527777777779</v>
      </c>
      <c r="X11" s="102">
        <f t="shared" si="4"/>
        <v>2.9166666666666856</v>
      </c>
      <c r="Y11" s="100">
        <f t="shared" si="5"/>
        <v>3.7555555555555555</v>
      </c>
      <c r="Z11" s="100">
        <f t="shared" si="6"/>
        <v>520</v>
      </c>
    </row>
    <row r="12" spans="1:26">
      <c r="A12" s="100" t="s">
        <v>559</v>
      </c>
      <c r="B12" s="100" t="str">
        <f>IFERROR(VLOOKUP(Tablo520[[#This Row],[ÜRÜN KODU]],YMKODLARI!$A$1:$K$373,2,0)," ")</f>
        <v>YUVARLAK SAKLAMA KABI NO 3</v>
      </c>
      <c r="C12" s="99">
        <v>44125</v>
      </c>
      <c r="D12" s="100" t="s">
        <v>27</v>
      </c>
      <c r="E12" s="101">
        <v>0.35416666666666669</v>
      </c>
      <c r="F12" s="101">
        <v>0.875</v>
      </c>
      <c r="G12" s="100">
        <f>IFERROR(VLOOKUP(Tablo520[[#This Row],[ÜRÜN KODU]],YMKODLARI!$A$1:$K$373,3,0)," ")</f>
        <v>1</v>
      </c>
      <c r="H12" s="100">
        <f>IFERROR(VLOOKUP(Tablo520[[#This Row],[ÜRÜN KODU]],YMKODLARI!$A$1:$K$373,4,0)," ")</f>
        <v>33</v>
      </c>
      <c r="I12" s="100">
        <v>611</v>
      </c>
      <c r="J12" s="100">
        <f>IFERROR(VLOOKUP(Tablo520[[#This Row],[ÜRÜN KODU]],YMKODLARI!$A$1:$K$373,9,0)," ")</f>
        <v>0</v>
      </c>
      <c r="K12" s="100" t="str">
        <f>IFERROR(VLOOKUP(Tablo520[[#This Row],[BOYA KODU]],Tablo14[#All],4,0)," ")</f>
        <v xml:space="preserve"> </v>
      </c>
      <c r="L12" s="100" t="str">
        <f>IFERROR(VLOOKUP(Tablo520[[#This Row],[BOYA KODU]],Tablo14[#All],6,0)," ")</f>
        <v xml:space="preserve"> </v>
      </c>
      <c r="M12" s="100" t="str">
        <f t="shared" si="0"/>
        <v xml:space="preserve"> </v>
      </c>
      <c r="N12" s="100" t="str">
        <f>IFERROR(VLOOKUP(Tablo520[[#This Row],[ÜRÜN KODU]],YMKODLARI!$A$1:$K$373,8,0)," ")</f>
        <v>HM 006</v>
      </c>
      <c r="O12" s="100" t="str">
        <f>IFERROR(VLOOKUP(Tablo520[[#This Row],[HAMMADDE KODU]],Tablo1[#All],3,0)," ")</f>
        <v>TRITAN</v>
      </c>
      <c r="P12" s="100" t="str">
        <f>IFERROR(VLOOKUP(Tablo520[[#This Row],[HAMMADDE KODU]],Tablo1[#All],4,0)," ")</f>
        <v>XXX</v>
      </c>
      <c r="Q12" s="100">
        <f>IFERROR(VLOOKUP(Tablo520[[#This Row],[ÜRÜN KODU]],YMKODLARI!$A$1:$K$373,5,0)," ")</f>
        <v>171.3</v>
      </c>
      <c r="R12" s="100">
        <f>IFERROR(VLOOKUP(Tablo520[[#This Row],[ÜRÜN KODU]],YMKODLARI!$A$1:$K$373,6,0)," ")</f>
        <v>171.3</v>
      </c>
      <c r="S12" s="100">
        <f>IFERROR(Tablo520[[#This Row],[YOLLUK HARİÇ BASKI GRAMI]]/Tablo520[[#This Row],[KALIP GÖZ ADEDİ]]," ")</f>
        <v>171.3</v>
      </c>
      <c r="T12" s="100">
        <f t="shared" si="2"/>
        <v>0</v>
      </c>
      <c r="U12" s="100">
        <v>5.7</v>
      </c>
      <c r="V12" s="100">
        <f t="shared" si="1"/>
        <v>110.3643</v>
      </c>
      <c r="W12" s="101">
        <f t="shared" si="3"/>
        <v>24.520833333333332</v>
      </c>
      <c r="X12" s="102">
        <f>IFERROR((W12-INT(W12))*24," ")</f>
        <v>12.499999999999972</v>
      </c>
      <c r="Y12" s="100">
        <f t="shared" si="5"/>
        <v>5.6008333333333331</v>
      </c>
      <c r="Z12" s="100">
        <f t="shared" si="6"/>
        <v>611</v>
      </c>
    </row>
    <row r="13" spans="1:26">
      <c r="A13" s="100" t="s">
        <v>213</v>
      </c>
      <c r="B13" s="100" t="str">
        <f>IFERROR(VLOOKUP(Tablo520[[#This Row],[ÜRÜN KODU]],YMKODLARI!$A$1:$K$373,2,0)," ")</f>
        <v>GENİŞ AĞIZ BİBERON KAPAĞI</v>
      </c>
      <c r="C13" s="99">
        <v>44137</v>
      </c>
      <c r="D13" s="100" t="s">
        <v>33</v>
      </c>
      <c r="E13" s="101">
        <v>0.58333333333333337</v>
      </c>
      <c r="F13" s="101">
        <v>0.74097222222222225</v>
      </c>
      <c r="G13" s="100">
        <f>IFERROR(VLOOKUP(Tablo520[[#This Row],[ÜRÜN KODU]],YMKODLARI!$A$1:$K$373,3,0)," ")</f>
        <v>4</v>
      </c>
      <c r="H13" s="100">
        <f>IFERROR(VLOOKUP(Tablo520[[#This Row],[ÜRÜN KODU]],YMKODLARI!$A$1:$K$373,4,0)," ")</f>
        <v>12</v>
      </c>
      <c r="I13" s="100">
        <v>506</v>
      </c>
      <c r="J13" s="100" t="str">
        <f>IFERROR(VLOOKUP(Tablo520[[#This Row],[ÜRÜN KODU]],YMKODLARI!$A$1:$K$373,9,0)," ")</f>
        <v>Şeffaf</v>
      </c>
      <c r="K13" s="100" t="str">
        <f>IFERROR(VLOOKUP(Tablo520[[#This Row],[BOYA KODU]],Tablo14[#All],4,0)," ")</f>
        <v xml:space="preserve"> </v>
      </c>
      <c r="L13" s="100" t="str">
        <f>IFERROR(VLOOKUP(Tablo520[[#This Row],[BOYA KODU]],Tablo14[#All],6,0)," ")</f>
        <v xml:space="preserve"> </v>
      </c>
      <c r="M13" s="100" t="str">
        <f t="shared" si="0"/>
        <v xml:space="preserve"> </v>
      </c>
      <c r="N13" s="100" t="str">
        <f>IFERROR(VLOOKUP(Tablo520[[#This Row],[ÜRÜN KODU]],YMKODLARI!$A$1:$K$373,8,0)," ")</f>
        <v>HM 001</v>
      </c>
      <c r="O13" s="100" t="str">
        <f>IFERROR(VLOOKUP(Tablo520[[#This Row],[HAMMADDE KODU]],Tablo1[#All],3,0)," ")</f>
        <v>CAPILENE</v>
      </c>
      <c r="P13" s="100" t="str">
        <f>IFERROR(VLOOKUP(Tablo520[[#This Row],[HAMMADDE KODU]],Tablo1[#All],4,0)," ")</f>
        <v>PİNHAS</v>
      </c>
      <c r="Q13" s="100">
        <f>IFERROR(VLOOKUP(Tablo520[[#This Row],[ÜRÜN KODU]],YMKODLARI!$A$1:$K$373,5,0)," ")</f>
        <v>34.4</v>
      </c>
      <c r="R13" s="100">
        <f>IFERROR(VLOOKUP(Tablo520[[#This Row],[ÜRÜN KODU]],YMKODLARI!$A$1:$K$373,6,0)," ")</f>
        <v>34.4</v>
      </c>
      <c r="S13" s="100">
        <f>IFERROR(Tablo520[[#This Row],[YOLLUK HARİÇ BASKI GRAMI]]/Tablo520[[#This Row],[KALIP GÖZ ADEDİ]]," ")</f>
        <v>8.6</v>
      </c>
      <c r="T13" s="100">
        <f t="shared" si="2"/>
        <v>0</v>
      </c>
      <c r="U13" s="100"/>
      <c r="V13" s="100">
        <f t="shared" si="1"/>
        <v>17.406399999999998</v>
      </c>
      <c r="W13" s="101">
        <f t="shared" si="3"/>
        <v>24.15763888888889</v>
      </c>
      <c r="X13" s="102">
        <f t="shared" si="4"/>
        <v>3.7833333333333599</v>
      </c>
      <c r="Y13" s="100">
        <f t="shared" si="5"/>
        <v>1.6866666666666668</v>
      </c>
      <c r="Z13" s="100">
        <f t="shared" si="6"/>
        <v>2024</v>
      </c>
    </row>
    <row r="14" spans="1:26">
      <c r="A14" s="100" t="s">
        <v>213</v>
      </c>
      <c r="B14" s="100" t="str">
        <f>IFERROR(VLOOKUP(Tablo520[[#This Row],[ÜRÜN KODU]],YMKODLARI!$A$1:$K$373,2,0)," ")</f>
        <v>GENİŞ AĞIZ BİBERON KAPAĞI</v>
      </c>
      <c r="C14" s="99">
        <v>44138</v>
      </c>
      <c r="D14" s="100" t="s">
        <v>29</v>
      </c>
      <c r="E14" s="101">
        <v>0.44791666666666669</v>
      </c>
      <c r="F14" s="101">
        <v>0.75</v>
      </c>
      <c r="G14" s="100">
        <f>IFERROR(VLOOKUP(Tablo520[[#This Row],[ÜRÜN KODU]],YMKODLARI!$A$1:$K$373,3,0)," ")</f>
        <v>4</v>
      </c>
      <c r="H14" s="100">
        <f>IFERROR(VLOOKUP(Tablo520[[#This Row],[ÜRÜN KODU]],YMKODLARI!$A$1:$K$373,4,0)," ")</f>
        <v>12</v>
      </c>
      <c r="I14" s="100">
        <v>1316</v>
      </c>
      <c r="J14" s="100" t="str">
        <f>IFERROR(VLOOKUP(Tablo520[[#This Row],[ÜRÜN KODU]],YMKODLARI!$A$1:$K$373,9,0)," ")</f>
        <v>Şeffaf</v>
      </c>
      <c r="K14" s="100" t="str">
        <f>IFERROR(VLOOKUP(Tablo520[[#This Row],[BOYA KODU]],Tablo14[#All],4,0)," ")</f>
        <v xml:space="preserve"> </v>
      </c>
      <c r="L14" s="100" t="str">
        <f>IFERROR(VLOOKUP(Tablo520[[#This Row],[BOYA KODU]],Tablo14[#All],6,0)," ")</f>
        <v xml:space="preserve"> </v>
      </c>
      <c r="M14" s="100" t="str">
        <f t="shared" si="0"/>
        <v xml:space="preserve"> </v>
      </c>
      <c r="N14" s="100" t="str">
        <f>IFERROR(VLOOKUP(Tablo520[[#This Row],[ÜRÜN KODU]],YMKODLARI!$A$1:$K$373,8,0)," ")</f>
        <v>HM 001</v>
      </c>
      <c r="O14" s="100" t="str">
        <f>IFERROR(VLOOKUP(Tablo520[[#This Row],[HAMMADDE KODU]],Tablo1[#All],3,0)," ")</f>
        <v>CAPILENE</v>
      </c>
      <c r="P14" s="100" t="str">
        <f>IFERROR(VLOOKUP(Tablo520[[#This Row],[HAMMADDE KODU]],Tablo1[#All],4,0)," ")</f>
        <v>PİNHAS</v>
      </c>
      <c r="Q14" s="100">
        <f>IFERROR(VLOOKUP(Tablo520[[#This Row],[ÜRÜN KODU]],YMKODLARI!$A$1:$K$373,5,0)," ")</f>
        <v>34.4</v>
      </c>
      <c r="R14" s="100">
        <f>IFERROR(VLOOKUP(Tablo520[[#This Row],[ÜRÜN KODU]],YMKODLARI!$A$1:$K$373,6,0)," ")</f>
        <v>34.4</v>
      </c>
      <c r="S14" s="100">
        <f>IFERROR(Tablo520[[#This Row],[YOLLUK HARİÇ BASKI GRAMI]]/Tablo520[[#This Row],[KALIP GÖZ ADEDİ]]," ")</f>
        <v>8.6</v>
      </c>
      <c r="T14" s="100">
        <f t="shared" si="2"/>
        <v>0</v>
      </c>
      <c r="U14" s="100"/>
      <c r="V14" s="100">
        <f t="shared" si="1"/>
        <v>45.270400000000002</v>
      </c>
      <c r="W14" s="101">
        <f t="shared" si="3"/>
        <v>24.302083333333332</v>
      </c>
      <c r="X14" s="102">
        <f t="shared" si="4"/>
        <v>7.2499999999999716</v>
      </c>
      <c r="Y14" s="100">
        <f t="shared" si="5"/>
        <v>4.3866666666666667</v>
      </c>
      <c r="Z14" s="100">
        <f t="shared" si="6"/>
        <v>5264</v>
      </c>
    </row>
    <row r="15" spans="1:26">
      <c r="A15" s="100" t="s">
        <v>213</v>
      </c>
      <c r="B15" s="100" t="str">
        <f>IFERROR(VLOOKUP(Tablo520[[#This Row],[ÜRÜN KODU]],YMKODLARI!$A$1:$K$373,2,0)," ")</f>
        <v>GENİŞ AĞIZ BİBERON KAPAĞI</v>
      </c>
      <c r="C15" s="99">
        <v>44139</v>
      </c>
      <c r="D15" s="100" t="s">
        <v>29</v>
      </c>
      <c r="E15" s="101">
        <v>0.33333333333333331</v>
      </c>
      <c r="F15" s="101">
        <v>0.75</v>
      </c>
      <c r="G15" s="100">
        <f>IFERROR(VLOOKUP(Tablo520[[#This Row],[ÜRÜN KODU]],YMKODLARI!$A$1:$K$373,3,0)," ")</f>
        <v>4</v>
      </c>
      <c r="H15" s="100">
        <f>IFERROR(VLOOKUP(Tablo520[[#This Row],[ÜRÜN KODU]],YMKODLARI!$A$1:$K$373,4,0)," ")</f>
        <v>12</v>
      </c>
      <c r="I15" s="100">
        <v>1429</v>
      </c>
      <c r="J15" s="100" t="str">
        <f>IFERROR(VLOOKUP(Tablo520[[#This Row],[ÜRÜN KODU]],YMKODLARI!$A$1:$K$373,9,0)," ")</f>
        <v>Şeffaf</v>
      </c>
      <c r="K15" s="100" t="str">
        <f>IFERROR(VLOOKUP(Tablo520[[#This Row],[BOYA KODU]],Tablo14[#All],4,0)," ")</f>
        <v xml:space="preserve"> </v>
      </c>
      <c r="L15" s="100" t="str">
        <f>IFERROR(VLOOKUP(Tablo520[[#This Row],[BOYA KODU]],Tablo14[#All],6,0)," ")</f>
        <v xml:space="preserve"> </v>
      </c>
      <c r="M15" s="100" t="str">
        <f t="shared" si="0"/>
        <v xml:space="preserve"> </v>
      </c>
      <c r="N15" s="100" t="str">
        <f>IFERROR(VLOOKUP(Tablo520[[#This Row],[ÜRÜN KODU]],YMKODLARI!$A$1:$K$373,8,0)," ")</f>
        <v>HM 001</v>
      </c>
      <c r="O15" s="100" t="str">
        <f>IFERROR(VLOOKUP(Tablo520[[#This Row],[HAMMADDE KODU]],Tablo1[#All],3,0)," ")</f>
        <v>CAPILENE</v>
      </c>
      <c r="P15" s="100" t="str">
        <f>IFERROR(VLOOKUP(Tablo520[[#This Row],[HAMMADDE KODU]],Tablo1[#All],4,0)," ")</f>
        <v>PİNHAS</v>
      </c>
      <c r="Q15" s="100">
        <f>IFERROR(VLOOKUP(Tablo520[[#This Row],[ÜRÜN KODU]],YMKODLARI!$A$1:$K$373,5,0)," ")</f>
        <v>34.4</v>
      </c>
      <c r="R15" s="100">
        <f>IFERROR(VLOOKUP(Tablo520[[#This Row],[ÜRÜN KODU]],YMKODLARI!$A$1:$K$373,6,0)," ")</f>
        <v>34.4</v>
      </c>
      <c r="S15" s="100">
        <f>IFERROR(Tablo520[[#This Row],[YOLLUK HARİÇ BASKI GRAMI]]/Tablo520[[#This Row],[KALIP GÖZ ADEDİ]]," ")</f>
        <v>8.6</v>
      </c>
      <c r="T15" s="100">
        <f t="shared" si="2"/>
        <v>0</v>
      </c>
      <c r="U15" s="100"/>
      <c r="V15" s="100">
        <f t="shared" si="1"/>
        <v>49.157599999999995</v>
      </c>
      <c r="W15" s="101">
        <f t="shared" si="3"/>
        <v>24.416666666666668</v>
      </c>
      <c r="X15" s="102">
        <f t="shared" si="4"/>
        <v>10.000000000000028</v>
      </c>
      <c r="Y15" s="100">
        <f t="shared" si="5"/>
        <v>4.7633333333333336</v>
      </c>
      <c r="Z15" s="100">
        <f t="shared" si="6"/>
        <v>5716</v>
      </c>
    </row>
    <row r="16" spans="1:26">
      <c r="A16" s="100" t="s">
        <v>225</v>
      </c>
      <c r="B16" s="100" t="str">
        <f>IFERROR(VLOOKUP(Tablo520[[#This Row],[ÜRÜN KODU]],YMKODLARI!$A$1:$K$373,2,0)," ")</f>
        <v>TİRLE ZURNA</v>
      </c>
      <c r="C16" s="99">
        <v>44140</v>
      </c>
      <c r="D16" s="100" t="s">
        <v>33</v>
      </c>
      <c r="E16" s="101">
        <v>0.5</v>
      </c>
      <c r="F16" s="101">
        <v>0.75</v>
      </c>
      <c r="G16" s="100">
        <f>IFERROR(VLOOKUP(Tablo520[[#This Row],[ÜRÜN KODU]],YMKODLARI!$A$1:$K$373,3,0)," ")</f>
        <v>2</v>
      </c>
      <c r="H16" s="100">
        <f>IFERROR(VLOOKUP(Tablo520[[#This Row],[ÜRÜN KODU]],YMKODLARI!$A$1:$K$373,4,0)," ")</f>
        <v>15</v>
      </c>
      <c r="I16" s="100">
        <v>426</v>
      </c>
      <c r="J16" s="100" t="str">
        <f>IFERROR(VLOOKUP(Tablo520[[#This Row],[ÜRÜN KODU]],YMKODLARI!$A$1:$K$373,9,0)," ")</f>
        <v>Şeffaf</v>
      </c>
      <c r="K16" s="100" t="str">
        <f>IFERROR(VLOOKUP(Tablo520[[#This Row],[BOYA KODU]],Tablo14[#All],4,0)," ")</f>
        <v xml:space="preserve"> </v>
      </c>
      <c r="L16" s="100" t="str">
        <f>IFERROR(VLOOKUP(Tablo520[[#This Row],[BOYA KODU]],Tablo14[#All],6,0)," ")</f>
        <v xml:space="preserve"> </v>
      </c>
      <c r="M16" s="100" t="str">
        <f t="shared" si="0"/>
        <v xml:space="preserve"> </v>
      </c>
      <c r="N16" s="100" t="str">
        <f>IFERROR(VLOOKUP(Tablo520[[#This Row],[ÜRÜN KODU]],YMKODLARI!$A$1:$K$373,8,0)," ")</f>
        <v>HM 001</v>
      </c>
      <c r="O16" s="100" t="str">
        <f>IFERROR(VLOOKUP(Tablo520[[#This Row],[HAMMADDE KODU]],Tablo1[#All],3,0)," ")</f>
        <v>CAPILENE</v>
      </c>
      <c r="P16" s="100" t="str">
        <f>IFERROR(VLOOKUP(Tablo520[[#This Row],[HAMMADDE KODU]],Tablo1[#All],4,0)," ")</f>
        <v>PİNHAS</v>
      </c>
      <c r="Q16" s="100">
        <f>IFERROR(VLOOKUP(Tablo520[[#This Row],[ÜRÜN KODU]],YMKODLARI!$A$1:$K$373,5,0)," ")</f>
        <v>26.4</v>
      </c>
      <c r="R16" s="100">
        <f>IFERROR(VLOOKUP(Tablo520[[#This Row],[ÜRÜN KODU]],YMKODLARI!$A$1:$K$373,6,0)," ")</f>
        <v>25.9</v>
      </c>
      <c r="S16" s="100">
        <f>IFERROR(Tablo520[[#This Row],[YOLLUK HARİÇ BASKI GRAMI]]/Tablo520[[#This Row],[KALIP GÖZ ADEDİ]]," ")</f>
        <v>12.95</v>
      </c>
      <c r="T16" s="100">
        <f t="shared" si="2"/>
        <v>0.5</v>
      </c>
      <c r="U16" s="100">
        <v>2</v>
      </c>
      <c r="V16" s="100">
        <f t="shared" si="1"/>
        <v>13.0334</v>
      </c>
      <c r="W16" s="101">
        <f t="shared" si="3"/>
        <v>24.25</v>
      </c>
      <c r="X16" s="102">
        <f t="shared" si="4"/>
        <v>6</v>
      </c>
      <c r="Y16" s="100">
        <f t="shared" si="5"/>
        <v>1.7749999999999999</v>
      </c>
      <c r="Z16" s="100">
        <f t="shared" si="6"/>
        <v>852</v>
      </c>
    </row>
    <row r="17" spans="1:26">
      <c r="A17" s="100" t="s">
        <v>225</v>
      </c>
      <c r="B17" s="100" t="str">
        <f>IFERROR(VLOOKUP(Tablo520[[#This Row],[ÜRÜN KODU]],YMKODLARI!$A$1:$K$373,2,0)," ")</f>
        <v>TİRLE ZURNA</v>
      </c>
      <c r="C17" s="99">
        <v>44141</v>
      </c>
      <c r="D17" s="100" t="s">
        <v>33</v>
      </c>
      <c r="E17" s="101">
        <v>0.33333333333333331</v>
      </c>
      <c r="F17" s="101">
        <v>0.75</v>
      </c>
      <c r="G17" s="100">
        <f>IFERROR(VLOOKUP(Tablo520[[#This Row],[ÜRÜN KODU]],YMKODLARI!$A$1:$K$373,3,0)," ")</f>
        <v>2</v>
      </c>
      <c r="H17" s="100">
        <f>IFERROR(VLOOKUP(Tablo520[[#This Row],[ÜRÜN KODU]],YMKODLARI!$A$1:$K$373,4,0)," ")</f>
        <v>15</v>
      </c>
      <c r="I17" s="100">
        <v>661</v>
      </c>
      <c r="J17" s="100" t="str">
        <f>IFERROR(VLOOKUP(Tablo520[[#This Row],[ÜRÜN KODU]],YMKODLARI!$A$1:$K$373,9,0)," ")</f>
        <v>Şeffaf</v>
      </c>
      <c r="K17" s="100" t="str">
        <f>IFERROR(VLOOKUP(Tablo520[[#This Row],[BOYA KODU]],Tablo14[#All],4,0)," ")</f>
        <v xml:space="preserve"> </v>
      </c>
      <c r="L17" s="100" t="str">
        <f>IFERROR(VLOOKUP(Tablo520[[#This Row],[BOYA KODU]],Tablo14[#All],6,0)," ")</f>
        <v xml:space="preserve"> </v>
      </c>
      <c r="M17" s="100" t="str">
        <f t="shared" si="0"/>
        <v xml:space="preserve"> </v>
      </c>
      <c r="N17" s="100" t="str">
        <f>IFERROR(VLOOKUP(Tablo520[[#This Row],[ÜRÜN KODU]],YMKODLARI!$A$1:$K$373,8,0)," ")</f>
        <v>HM 001</v>
      </c>
      <c r="O17" s="100" t="str">
        <f>IFERROR(VLOOKUP(Tablo520[[#This Row],[HAMMADDE KODU]],Tablo1[#All],3,0)," ")</f>
        <v>CAPILENE</v>
      </c>
      <c r="P17" s="100" t="str">
        <f>IFERROR(VLOOKUP(Tablo520[[#This Row],[HAMMADDE KODU]],Tablo1[#All],4,0)," ")</f>
        <v>PİNHAS</v>
      </c>
      <c r="Q17" s="100">
        <f>IFERROR(VLOOKUP(Tablo520[[#This Row],[ÜRÜN KODU]],YMKODLARI!$A$1:$K$373,5,0)," ")</f>
        <v>26.4</v>
      </c>
      <c r="R17" s="100">
        <f>IFERROR(VLOOKUP(Tablo520[[#This Row],[ÜRÜN KODU]],YMKODLARI!$A$1:$K$373,6,0)," ")</f>
        <v>25.9</v>
      </c>
      <c r="S17" s="100">
        <f>IFERROR(Tablo520[[#This Row],[YOLLUK HARİÇ BASKI GRAMI]]/Tablo520[[#This Row],[KALIP GÖZ ADEDİ]]," ")</f>
        <v>12.95</v>
      </c>
      <c r="T17" s="100">
        <f t="shared" si="2"/>
        <v>0.5</v>
      </c>
      <c r="U17" s="100">
        <v>2</v>
      </c>
      <c r="V17" s="100">
        <f t="shared" si="1"/>
        <v>19.119899999999998</v>
      </c>
      <c r="W17" s="101">
        <f t="shared" si="3"/>
        <v>24.416666666666668</v>
      </c>
      <c r="X17" s="102">
        <f t="shared" si="4"/>
        <v>10.000000000000028</v>
      </c>
      <c r="Y17" s="100">
        <f t="shared" si="5"/>
        <v>2.7541666666666669</v>
      </c>
      <c r="Z17" s="100">
        <f t="shared" si="6"/>
        <v>1322</v>
      </c>
    </row>
    <row r="18" spans="1:26">
      <c r="A18" s="100" t="s">
        <v>225</v>
      </c>
      <c r="B18" s="100" t="str">
        <f>IFERROR(VLOOKUP(Tablo520[[#This Row],[ÜRÜN KODU]],YMKODLARI!$A$1:$K$373,2,0)," ")</f>
        <v>TİRLE ZURNA</v>
      </c>
      <c r="C18" s="99">
        <v>44144</v>
      </c>
      <c r="D18" s="100" t="s">
        <v>33</v>
      </c>
      <c r="E18" s="101">
        <v>0.33333333333333331</v>
      </c>
      <c r="F18" s="101">
        <v>0.81944444444444453</v>
      </c>
      <c r="G18" s="100">
        <f>IFERROR(VLOOKUP(Tablo520[[#This Row],[ÜRÜN KODU]],YMKODLARI!$A$1:$K$373,3,0)," ")</f>
        <v>2</v>
      </c>
      <c r="H18" s="100">
        <f>IFERROR(VLOOKUP(Tablo520[[#This Row],[ÜRÜN KODU]],YMKODLARI!$A$1:$K$373,4,0)," ")</f>
        <v>15</v>
      </c>
      <c r="I18" s="100">
        <v>898</v>
      </c>
      <c r="J18" s="100" t="str">
        <f>IFERROR(VLOOKUP(Tablo520[[#This Row],[ÜRÜN KODU]],YMKODLARI!$A$1:$K$373,9,0)," ")</f>
        <v>Şeffaf</v>
      </c>
      <c r="K18" s="100" t="str">
        <f>IFERROR(VLOOKUP(Tablo520[[#This Row],[BOYA KODU]],Tablo14[#All],4,0)," ")</f>
        <v xml:space="preserve"> </v>
      </c>
      <c r="L18" s="100" t="str">
        <f>IFERROR(VLOOKUP(Tablo520[[#This Row],[BOYA KODU]],Tablo14[#All],6,0)," ")</f>
        <v xml:space="preserve"> </v>
      </c>
      <c r="M18" s="100" t="str">
        <f t="shared" si="0"/>
        <v xml:space="preserve"> </v>
      </c>
      <c r="N18" s="100" t="str">
        <f>IFERROR(VLOOKUP(Tablo520[[#This Row],[ÜRÜN KODU]],YMKODLARI!$A$1:$K$373,8,0)," ")</f>
        <v>HM 001</v>
      </c>
      <c r="O18" s="100" t="str">
        <f>IFERROR(VLOOKUP(Tablo520[[#This Row],[HAMMADDE KODU]],Tablo1[#All],3,0)," ")</f>
        <v>CAPILENE</v>
      </c>
      <c r="P18" s="100" t="str">
        <f>IFERROR(VLOOKUP(Tablo520[[#This Row],[HAMMADDE KODU]],Tablo1[#All],4,0)," ")</f>
        <v>PİNHAS</v>
      </c>
      <c r="Q18" s="100">
        <f>IFERROR(VLOOKUP(Tablo520[[#This Row],[ÜRÜN KODU]],YMKODLARI!$A$1:$K$373,5,0)," ")</f>
        <v>26.4</v>
      </c>
      <c r="R18" s="100">
        <f>IFERROR(VLOOKUP(Tablo520[[#This Row],[ÜRÜN KODU]],YMKODLARI!$A$1:$K$373,6,0)," ")</f>
        <v>25.9</v>
      </c>
      <c r="S18" s="100">
        <f>IFERROR(Tablo520[[#This Row],[YOLLUK HARİÇ BASKI GRAMI]]/Tablo520[[#This Row],[KALIP GÖZ ADEDİ]]," ")</f>
        <v>12.95</v>
      </c>
      <c r="T18" s="100">
        <f t="shared" si="2"/>
        <v>0.5</v>
      </c>
      <c r="U18" s="100">
        <v>2</v>
      </c>
      <c r="V18" s="100">
        <f t="shared" si="1"/>
        <v>25.258199999999999</v>
      </c>
      <c r="W18" s="101">
        <f t="shared" si="3"/>
        <v>24.486111111111111</v>
      </c>
      <c r="X18" s="102">
        <f t="shared" si="4"/>
        <v>11.666666666666657</v>
      </c>
      <c r="Y18" s="100">
        <f t="shared" si="5"/>
        <v>3.7416666666666667</v>
      </c>
      <c r="Z18" s="100">
        <f t="shared" si="6"/>
        <v>1796</v>
      </c>
    </row>
    <row r="19" spans="1:26">
      <c r="A19" s="100" t="s">
        <v>225</v>
      </c>
      <c r="B19" s="100" t="str">
        <f>IFERROR(VLOOKUP(Tablo520[[#This Row],[ÜRÜN KODU]],YMKODLARI!$A$1:$K$373,2,0)," ")</f>
        <v>TİRLE ZURNA</v>
      </c>
      <c r="C19" s="99">
        <v>44145</v>
      </c>
      <c r="D19" s="100" t="s">
        <v>33</v>
      </c>
      <c r="E19" s="101">
        <v>0.33333333333333331</v>
      </c>
      <c r="F19" s="101">
        <v>0.81944444444444453</v>
      </c>
      <c r="G19" s="100">
        <f>IFERROR(VLOOKUP(Tablo520[[#This Row],[ÜRÜN KODU]],YMKODLARI!$A$1:$K$373,3,0)," ")</f>
        <v>2</v>
      </c>
      <c r="H19" s="100">
        <f>IFERROR(VLOOKUP(Tablo520[[#This Row],[ÜRÜN KODU]],YMKODLARI!$A$1:$K$373,4,0)," ")</f>
        <v>15</v>
      </c>
      <c r="I19" s="100">
        <v>1180</v>
      </c>
      <c r="J19" s="100" t="str">
        <f>IFERROR(VLOOKUP(Tablo520[[#This Row],[ÜRÜN KODU]],YMKODLARI!$A$1:$K$373,9,0)," ")</f>
        <v>Şeffaf</v>
      </c>
      <c r="K19" s="100" t="str">
        <f>IFERROR(VLOOKUP(Tablo520[[#This Row],[BOYA KODU]],Tablo14[#All],4,0)," ")</f>
        <v xml:space="preserve"> </v>
      </c>
      <c r="L19" s="100" t="str">
        <f>IFERROR(VLOOKUP(Tablo520[[#This Row],[BOYA KODU]],Tablo14[#All],6,0)," ")</f>
        <v xml:space="preserve"> </v>
      </c>
      <c r="M19" s="100" t="str">
        <f t="shared" si="0"/>
        <v xml:space="preserve"> </v>
      </c>
      <c r="N19" s="100" t="str">
        <f>IFERROR(VLOOKUP(Tablo520[[#This Row],[ÜRÜN KODU]],YMKODLARI!$A$1:$K$373,8,0)," ")</f>
        <v>HM 001</v>
      </c>
      <c r="O19" s="100" t="str">
        <f>IFERROR(VLOOKUP(Tablo520[[#This Row],[HAMMADDE KODU]],Tablo1[#All],3,0)," ")</f>
        <v>CAPILENE</v>
      </c>
      <c r="P19" s="100" t="str">
        <f>IFERROR(VLOOKUP(Tablo520[[#This Row],[HAMMADDE KODU]],Tablo1[#All],4,0)," ")</f>
        <v>PİNHAS</v>
      </c>
      <c r="Q19" s="100">
        <f>IFERROR(VLOOKUP(Tablo520[[#This Row],[ÜRÜN KODU]],YMKODLARI!$A$1:$K$373,5,0)," ")</f>
        <v>26.4</v>
      </c>
      <c r="R19" s="100">
        <f>IFERROR(VLOOKUP(Tablo520[[#This Row],[ÜRÜN KODU]],YMKODLARI!$A$1:$K$373,6,0)," ")</f>
        <v>25.9</v>
      </c>
      <c r="S19" s="100">
        <f>IFERROR(Tablo520[[#This Row],[YOLLUK HARİÇ BASKI GRAMI]]/Tablo520[[#This Row],[KALIP GÖZ ADEDİ]]," ")</f>
        <v>12.95</v>
      </c>
      <c r="T19" s="100">
        <f t="shared" si="2"/>
        <v>0.5</v>
      </c>
      <c r="U19" s="100">
        <v>2</v>
      </c>
      <c r="V19" s="100">
        <f t="shared" si="1"/>
        <v>32.561999999999998</v>
      </c>
      <c r="W19" s="101">
        <f t="shared" si="3"/>
        <v>24.486111111111111</v>
      </c>
      <c r="X19" s="102">
        <f t="shared" si="4"/>
        <v>11.666666666666657</v>
      </c>
      <c r="Y19" s="100">
        <f t="shared" si="5"/>
        <v>4.916666666666667</v>
      </c>
      <c r="Z19" s="100">
        <f t="shared" si="6"/>
        <v>2360</v>
      </c>
    </row>
    <row r="20" spans="1:26">
      <c r="A20" s="100" t="s">
        <v>225</v>
      </c>
      <c r="B20" s="100" t="str">
        <f>IFERROR(VLOOKUP(Tablo520[[#This Row],[ÜRÜN KODU]],YMKODLARI!$A$1:$K$373,2,0)," ")</f>
        <v>TİRLE ZURNA</v>
      </c>
      <c r="C20" s="99">
        <v>44146</v>
      </c>
      <c r="D20" s="100" t="s">
        <v>33</v>
      </c>
      <c r="E20" s="101">
        <v>0.33333333333333331</v>
      </c>
      <c r="F20" s="101">
        <v>0.81944444444444453</v>
      </c>
      <c r="G20" s="100">
        <f>IFERROR(VLOOKUP(Tablo520[[#This Row],[ÜRÜN KODU]],YMKODLARI!$A$1:$K$373,3,0)," ")</f>
        <v>2</v>
      </c>
      <c r="H20" s="100">
        <f>IFERROR(VLOOKUP(Tablo520[[#This Row],[ÜRÜN KODU]],YMKODLARI!$A$1:$K$373,4,0)," ")</f>
        <v>15</v>
      </c>
      <c r="I20" s="100">
        <v>816</v>
      </c>
      <c r="J20" s="100" t="str">
        <f>IFERROR(VLOOKUP(Tablo520[[#This Row],[ÜRÜN KODU]],YMKODLARI!$A$1:$K$373,9,0)," ")</f>
        <v>Şeffaf</v>
      </c>
      <c r="K20" s="100" t="str">
        <f>IFERROR(VLOOKUP(Tablo520[[#This Row],[BOYA KODU]],Tablo14[#All],4,0)," ")</f>
        <v xml:space="preserve"> </v>
      </c>
      <c r="L20" s="100" t="str">
        <f>IFERROR(VLOOKUP(Tablo520[[#This Row],[BOYA KODU]],Tablo14[#All],6,0)," ")</f>
        <v xml:space="preserve"> </v>
      </c>
      <c r="M20" s="100" t="str">
        <f t="shared" si="0"/>
        <v xml:space="preserve"> </v>
      </c>
      <c r="N20" s="100" t="str">
        <f>IFERROR(VLOOKUP(Tablo520[[#This Row],[ÜRÜN KODU]],YMKODLARI!$A$1:$K$373,8,0)," ")</f>
        <v>HM 001</v>
      </c>
      <c r="O20" s="100" t="str">
        <f>IFERROR(VLOOKUP(Tablo520[[#This Row],[HAMMADDE KODU]],Tablo1[#All],3,0)," ")</f>
        <v>CAPILENE</v>
      </c>
      <c r="P20" s="100" t="str">
        <f>IFERROR(VLOOKUP(Tablo520[[#This Row],[HAMMADDE KODU]],Tablo1[#All],4,0)," ")</f>
        <v>PİNHAS</v>
      </c>
      <c r="Q20" s="100">
        <f>IFERROR(VLOOKUP(Tablo520[[#This Row],[ÜRÜN KODU]],YMKODLARI!$A$1:$K$373,5,0)," ")</f>
        <v>26.4</v>
      </c>
      <c r="R20" s="100">
        <f>IFERROR(VLOOKUP(Tablo520[[#This Row],[ÜRÜN KODU]],YMKODLARI!$A$1:$K$373,6,0)," ")</f>
        <v>25.9</v>
      </c>
      <c r="S20" s="100">
        <f>IFERROR(Tablo520[[#This Row],[YOLLUK HARİÇ BASKI GRAMI]]/Tablo520[[#This Row],[KALIP GÖZ ADEDİ]]," ")</f>
        <v>12.95</v>
      </c>
      <c r="T20" s="100">
        <f t="shared" si="2"/>
        <v>0.5</v>
      </c>
      <c r="U20" s="100">
        <v>2.2999999999999998</v>
      </c>
      <c r="V20" s="100">
        <f t="shared" si="1"/>
        <v>23.4344</v>
      </c>
      <c r="W20" s="101">
        <f t="shared" si="3"/>
        <v>24.486111111111111</v>
      </c>
      <c r="X20" s="102">
        <f t="shared" si="4"/>
        <v>11.666666666666657</v>
      </c>
      <c r="Y20" s="100">
        <f t="shared" si="5"/>
        <v>3.4</v>
      </c>
      <c r="Z20" s="100">
        <f t="shared" si="6"/>
        <v>1632</v>
      </c>
    </row>
    <row r="21" spans="1:26">
      <c r="A21" s="100" t="s">
        <v>225</v>
      </c>
      <c r="B21" s="100" t="str">
        <f>IFERROR(VLOOKUP(Tablo520[[#This Row],[ÜRÜN KODU]],YMKODLARI!$A$1:$K$373,2,0)," ")</f>
        <v>TİRLE ZURNA</v>
      </c>
      <c r="C21" s="99">
        <v>44147</v>
      </c>
      <c r="D21" s="100" t="s">
        <v>33</v>
      </c>
      <c r="E21" s="101">
        <v>0.33333333333333331</v>
      </c>
      <c r="F21" s="101">
        <v>0.81944444444444453</v>
      </c>
      <c r="G21" s="100">
        <f>IFERROR(VLOOKUP(Tablo520[[#This Row],[ÜRÜN KODU]],YMKODLARI!$A$1:$K$373,3,0)," ")</f>
        <v>2</v>
      </c>
      <c r="H21" s="100">
        <f>IFERROR(VLOOKUP(Tablo520[[#This Row],[ÜRÜN KODU]],YMKODLARI!$A$1:$K$373,4,0)," ")</f>
        <v>15</v>
      </c>
      <c r="I21" s="100">
        <v>1240</v>
      </c>
      <c r="J21" s="100" t="str">
        <f>IFERROR(VLOOKUP(Tablo520[[#This Row],[ÜRÜN KODU]],YMKODLARI!$A$1:$K$373,9,0)," ")</f>
        <v>Şeffaf</v>
      </c>
      <c r="K21" s="100" t="str">
        <f>IFERROR(VLOOKUP(Tablo520[[#This Row],[BOYA KODU]],Tablo14[#All],4,0)," ")</f>
        <v xml:space="preserve"> </v>
      </c>
      <c r="L21" s="100" t="str">
        <f>IFERROR(VLOOKUP(Tablo520[[#This Row],[BOYA KODU]],Tablo14[#All],6,0)," ")</f>
        <v xml:space="preserve"> </v>
      </c>
      <c r="M21" s="100" t="str">
        <f t="shared" si="0"/>
        <v xml:space="preserve"> </v>
      </c>
      <c r="N21" s="100" t="str">
        <f>IFERROR(VLOOKUP(Tablo520[[#This Row],[ÜRÜN KODU]],YMKODLARI!$A$1:$K$373,8,0)," ")</f>
        <v>HM 001</v>
      </c>
      <c r="O21" s="100" t="str">
        <f>IFERROR(VLOOKUP(Tablo520[[#This Row],[HAMMADDE KODU]],Tablo1[#All],3,0)," ")</f>
        <v>CAPILENE</v>
      </c>
      <c r="P21" s="100" t="str">
        <f>IFERROR(VLOOKUP(Tablo520[[#This Row],[HAMMADDE KODU]],Tablo1[#All],4,0)," ")</f>
        <v>PİNHAS</v>
      </c>
      <c r="Q21" s="100">
        <f>IFERROR(VLOOKUP(Tablo520[[#This Row],[ÜRÜN KODU]],YMKODLARI!$A$1:$K$373,5,0)," ")</f>
        <v>26.4</v>
      </c>
      <c r="R21" s="100">
        <f>IFERROR(VLOOKUP(Tablo520[[#This Row],[ÜRÜN KODU]],YMKODLARI!$A$1:$K$373,6,0)," ")</f>
        <v>25.9</v>
      </c>
      <c r="S21" s="100">
        <f>IFERROR(Tablo520[[#This Row],[YOLLUK HARİÇ BASKI GRAMI]]/Tablo520[[#This Row],[KALIP GÖZ ADEDİ]]," ")</f>
        <v>12.95</v>
      </c>
      <c r="T21" s="100">
        <f t="shared" si="2"/>
        <v>0.5</v>
      </c>
      <c r="U21" s="100">
        <v>1.7</v>
      </c>
      <c r="V21" s="100">
        <f t="shared" si="1"/>
        <v>33.816000000000003</v>
      </c>
      <c r="W21" s="101">
        <f t="shared" si="3"/>
        <v>24.486111111111111</v>
      </c>
      <c r="X21" s="102">
        <f t="shared" si="4"/>
        <v>11.666666666666657</v>
      </c>
      <c r="Y21" s="100">
        <f t="shared" si="5"/>
        <v>5.166666666666667</v>
      </c>
      <c r="Z21" s="100">
        <f t="shared" si="6"/>
        <v>2480</v>
      </c>
    </row>
    <row r="22" spans="1:26">
      <c r="A22" s="100" t="s">
        <v>225</v>
      </c>
      <c r="B22" s="100" t="str">
        <f>IFERROR(VLOOKUP(Tablo520[[#This Row],[ÜRÜN KODU]],YMKODLARI!$A$1:$K$373,2,0)," ")</f>
        <v>TİRLE ZURNA</v>
      </c>
      <c r="C22" s="99">
        <v>44148</v>
      </c>
      <c r="D22" s="100" t="s">
        <v>33</v>
      </c>
      <c r="E22" s="101">
        <v>0.33333333333333331</v>
      </c>
      <c r="F22" s="101">
        <v>0.69652777777777775</v>
      </c>
      <c r="G22" s="100">
        <f>IFERROR(VLOOKUP(Tablo520[[#This Row],[ÜRÜN KODU]],YMKODLARI!$A$1:$K$373,3,0)," ")</f>
        <v>2</v>
      </c>
      <c r="H22" s="100">
        <f>IFERROR(VLOOKUP(Tablo520[[#This Row],[ÜRÜN KODU]],YMKODLARI!$A$1:$K$373,4,0)," ")</f>
        <v>15</v>
      </c>
      <c r="I22" s="100">
        <v>817</v>
      </c>
      <c r="J22" s="100" t="str">
        <f>IFERROR(VLOOKUP(Tablo520[[#This Row],[ÜRÜN KODU]],YMKODLARI!$A$1:$K$373,9,0)," ")</f>
        <v>Şeffaf</v>
      </c>
      <c r="K22" s="100" t="str">
        <f>IFERROR(VLOOKUP(Tablo520[[#This Row],[BOYA KODU]],Tablo14[#All],4,0)," ")</f>
        <v xml:space="preserve"> </v>
      </c>
      <c r="L22" s="100" t="str">
        <f>IFERROR(VLOOKUP(Tablo520[[#This Row],[BOYA KODU]],Tablo14[#All],6,0)," ")</f>
        <v xml:space="preserve"> </v>
      </c>
      <c r="M22" s="100" t="str">
        <f t="shared" si="0"/>
        <v xml:space="preserve"> </v>
      </c>
      <c r="N22" s="100" t="str">
        <f>IFERROR(VLOOKUP(Tablo520[[#This Row],[ÜRÜN KODU]],YMKODLARI!$A$1:$K$373,8,0)," ")</f>
        <v>HM 001</v>
      </c>
      <c r="O22" s="100" t="str">
        <f>IFERROR(VLOOKUP(Tablo520[[#This Row],[HAMMADDE KODU]],Tablo1[#All],3,0)," ")</f>
        <v>CAPILENE</v>
      </c>
      <c r="P22" s="100" t="str">
        <f>IFERROR(VLOOKUP(Tablo520[[#This Row],[HAMMADDE KODU]],Tablo1[#All],4,0)," ")</f>
        <v>PİNHAS</v>
      </c>
      <c r="Q22" s="100">
        <f>IFERROR(VLOOKUP(Tablo520[[#This Row],[ÜRÜN KODU]],YMKODLARI!$A$1:$K$373,5,0)," ")</f>
        <v>26.4</v>
      </c>
      <c r="R22" s="100">
        <f>IFERROR(VLOOKUP(Tablo520[[#This Row],[ÜRÜN KODU]],YMKODLARI!$A$1:$K$373,6,0)," ")</f>
        <v>25.9</v>
      </c>
      <c r="S22" s="100">
        <f>IFERROR(Tablo520[[#This Row],[YOLLUK HARİÇ BASKI GRAMI]]/Tablo520[[#This Row],[KALIP GÖZ ADEDİ]]," ")</f>
        <v>12.95</v>
      </c>
      <c r="T22" s="100">
        <f t="shared" si="2"/>
        <v>0.5</v>
      </c>
      <c r="U22" s="100">
        <v>1.6</v>
      </c>
      <c r="V22" s="100">
        <f t="shared" si="1"/>
        <v>22.760300000000001</v>
      </c>
      <c r="W22" s="101">
        <f t="shared" si="3"/>
        <v>24.363194444444446</v>
      </c>
      <c r="X22" s="102">
        <f t="shared" si="4"/>
        <v>8.716666666666697</v>
      </c>
      <c r="Y22" s="100">
        <f t="shared" si="5"/>
        <v>3.4041666666666668</v>
      </c>
      <c r="Z22" s="100">
        <f t="shared" si="6"/>
        <v>1634</v>
      </c>
    </row>
    <row r="23" spans="1:26">
      <c r="A23" s="100" t="s">
        <v>555</v>
      </c>
      <c r="B23" s="100" t="str">
        <f>IFERROR(VLOOKUP(Tablo520[[#This Row],[ÜRÜN KODU]],YMKODLARI!$A$1:$K$373,2,0)," ")</f>
        <v>KARE SAKLAMA KABI NO 1</v>
      </c>
      <c r="C23" s="99">
        <v>44151</v>
      </c>
      <c r="D23" s="100" t="s">
        <v>36</v>
      </c>
      <c r="E23" s="101">
        <v>0.60416666666666663</v>
      </c>
      <c r="F23" s="101">
        <v>0.83333333333333337</v>
      </c>
      <c r="G23" s="100">
        <f>IFERROR(VLOOKUP(Tablo520[[#This Row],[ÜRÜN KODU]],YMKODLARI!$A$1:$K$373,3,0)," ")</f>
        <v>1</v>
      </c>
      <c r="H23" s="100">
        <f>IFERROR(VLOOKUP(Tablo520[[#This Row],[ÜRÜN KODU]],YMKODLARI!$A$1:$K$373,4,0)," ")</f>
        <v>19</v>
      </c>
      <c r="I23" s="100">
        <v>1065</v>
      </c>
      <c r="J23" s="100">
        <f>IFERROR(VLOOKUP(Tablo520[[#This Row],[ÜRÜN KODU]],YMKODLARI!$A$1:$K$373,9,0)," ")</f>
        <v>0</v>
      </c>
      <c r="K23" s="100" t="str">
        <f>IFERROR(VLOOKUP(Tablo520[[#This Row],[BOYA KODU]],Tablo14[#All],4,0)," ")</f>
        <v xml:space="preserve"> </v>
      </c>
      <c r="L23" s="100" t="str">
        <f>IFERROR(VLOOKUP(Tablo520[[#This Row],[BOYA KODU]],Tablo14[#All],6,0)," ")</f>
        <v xml:space="preserve"> </v>
      </c>
      <c r="M23" s="100" t="str">
        <f t="shared" si="0"/>
        <v xml:space="preserve"> </v>
      </c>
      <c r="N23" s="100" t="str">
        <f>IFERROR(VLOOKUP(Tablo520[[#This Row],[ÜRÜN KODU]],YMKODLARI!$A$1:$K$373,8,0)," ")</f>
        <v>HM 006</v>
      </c>
      <c r="O23" s="100" t="str">
        <f>IFERROR(VLOOKUP(Tablo520[[#This Row],[HAMMADDE KODU]],Tablo1[#All],3,0)," ")</f>
        <v>TRITAN</v>
      </c>
      <c r="P23" s="100" t="str">
        <f>IFERROR(VLOOKUP(Tablo520[[#This Row],[HAMMADDE KODU]],Tablo1[#All],4,0)," ")</f>
        <v>XXX</v>
      </c>
      <c r="Q23" s="100">
        <f>IFERROR(VLOOKUP(Tablo520[[#This Row],[ÜRÜN KODU]],YMKODLARI!$A$1:$K$373,5,0)," ")</f>
        <v>66.7</v>
      </c>
      <c r="R23" s="100">
        <f>IFERROR(VLOOKUP(Tablo520[[#This Row],[ÜRÜN KODU]],YMKODLARI!$A$1:$K$373,6,0)," ")</f>
        <v>66.7</v>
      </c>
      <c r="S23" s="100">
        <f>IFERROR(Tablo520[[#This Row],[YOLLUK HARİÇ BASKI GRAMI]]/Tablo520[[#This Row],[KALIP GÖZ ADEDİ]]," ")</f>
        <v>66.7</v>
      </c>
      <c r="T23" s="100">
        <f t="shared" si="2"/>
        <v>0</v>
      </c>
      <c r="U23" s="100"/>
      <c r="V23" s="100">
        <f t="shared" si="1"/>
        <v>71.035499999999999</v>
      </c>
      <c r="W23" s="101">
        <f t="shared" si="3"/>
        <v>24.229166666666668</v>
      </c>
      <c r="X23" s="102">
        <f t="shared" si="4"/>
        <v>5.5000000000000284</v>
      </c>
      <c r="Y23" s="100">
        <f t="shared" si="5"/>
        <v>5.6208333333333336</v>
      </c>
      <c r="Z23" s="100">
        <f t="shared" si="6"/>
        <v>1065</v>
      </c>
    </row>
    <row r="24" spans="1:26">
      <c r="A24" s="100" t="s">
        <v>555</v>
      </c>
      <c r="B24" s="100" t="str">
        <f>IFERROR(VLOOKUP(Tablo520[[#This Row],[ÜRÜN KODU]],YMKODLARI!$A$1:$K$373,2,0)," ")</f>
        <v>KARE SAKLAMA KABI NO 1</v>
      </c>
      <c r="C24" s="99">
        <v>44152</v>
      </c>
      <c r="D24" s="100" t="s">
        <v>29</v>
      </c>
      <c r="E24" s="101">
        <v>0.33333333333333331</v>
      </c>
      <c r="F24" s="101">
        <v>0.83333333333333337</v>
      </c>
      <c r="G24" s="100">
        <f>IFERROR(VLOOKUP(Tablo520[[#This Row],[ÜRÜN KODU]],YMKODLARI!$A$1:$K$373,3,0)," ")</f>
        <v>1</v>
      </c>
      <c r="H24" s="100">
        <f>IFERROR(VLOOKUP(Tablo520[[#This Row],[ÜRÜN KODU]],YMKODLARI!$A$1:$K$373,4,0)," ")</f>
        <v>19</v>
      </c>
      <c r="I24" s="100">
        <v>2298</v>
      </c>
      <c r="J24" s="100">
        <f>IFERROR(VLOOKUP(Tablo520[[#This Row],[ÜRÜN KODU]],YMKODLARI!$A$1:$K$373,9,0)," ")</f>
        <v>0</v>
      </c>
      <c r="K24" s="100" t="str">
        <f>IFERROR(VLOOKUP(Tablo520[[#This Row],[BOYA KODU]],Tablo14[#All],4,0)," ")</f>
        <v xml:space="preserve"> </v>
      </c>
      <c r="L24" s="100" t="str">
        <f>IFERROR(VLOOKUP(Tablo520[[#This Row],[BOYA KODU]],Tablo14[#All],6,0)," ")</f>
        <v xml:space="preserve"> </v>
      </c>
      <c r="M24" s="100" t="str">
        <f t="shared" si="0"/>
        <v xml:space="preserve"> </v>
      </c>
      <c r="N24" s="100" t="str">
        <f>IFERROR(VLOOKUP(Tablo520[[#This Row],[ÜRÜN KODU]],YMKODLARI!$A$1:$K$373,8,0)," ")</f>
        <v>HM 006</v>
      </c>
      <c r="O24" s="100" t="str">
        <f>IFERROR(VLOOKUP(Tablo520[[#This Row],[HAMMADDE KODU]],Tablo1[#All],3,0)," ")</f>
        <v>TRITAN</v>
      </c>
      <c r="P24" s="100" t="str">
        <f>IFERROR(VLOOKUP(Tablo520[[#This Row],[HAMMADDE KODU]],Tablo1[#All],4,0)," ")</f>
        <v>XXX</v>
      </c>
      <c r="Q24" s="100">
        <f>IFERROR(VLOOKUP(Tablo520[[#This Row],[ÜRÜN KODU]],YMKODLARI!$A$1:$K$373,5,0)," ")</f>
        <v>66.7</v>
      </c>
      <c r="R24" s="100">
        <f>IFERROR(VLOOKUP(Tablo520[[#This Row],[ÜRÜN KODU]],YMKODLARI!$A$1:$K$373,6,0)," ")</f>
        <v>66.7</v>
      </c>
      <c r="S24" s="100">
        <f>IFERROR(Tablo520[[#This Row],[YOLLUK HARİÇ BASKI GRAMI]]/Tablo520[[#This Row],[KALIP GÖZ ADEDİ]]," ")</f>
        <v>66.7</v>
      </c>
      <c r="T24" s="100">
        <f t="shared" si="2"/>
        <v>0</v>
      </c>
      <c r="U24" s="100"/>
      <c r="V24" s="100">
        <f t="shared" si="1"/>
        <v>153.2766</v>
      </c>
      <c r="W24" s="101">
        <f t="shared" si="3"/>
        <v>24.5</v>
      </c>
      <c r="X24" s="102">
        <f t="shared" si="4"/>
        <v>12</v>
      </c>
      <c r="Y24" s="100">
        <f t="shared" si="5"/>
        <v>12.128333333333334</v>
      </c>
      <c r="Z24" s="100">
        <f t="shared" si="6"/>
        <v>2298</v>
      </c>
    </row>
    <row r="25" spans="1:26">
      <c r="A25" s="100" t="s">
        <v>555</v>
      </c>
      <c r="B25" s="100" t="str">
        <f>IFERROR(VLOOKUP(Tablo520[[#This Row],[ÜRÜN KODU]],YMKODLARI!$A$1:$K$373,2,0)," ")</f>
        <v>KARE SAKLAMA KABI NO 1</v>
      </c>
      <c r="C25" s="99">
        <v>44153</v>
      </c>
      <c r="D25" s="100" t="s">
        <v>29</v>
      </c>
      <c r="E25" s="101">
        <v>0.33333333333333331</v>
      </c>
      <c r="F25" s="101">
        <v>0.54861111111111105</v>
      </c>
      <c r="G25" s="100">
        <f>IFERROR(VLOOKUP(Tablo520[[#This Row],[ÜRÜN KODU]],YMKODLARI!$A$1:$K$373,3,0)," ")</f>
        <v>1</v>
      </c>
      <c r="H25" s="100">
        <f>IFERROR(VLOOKUP(Tablo520[[#This Row],[ÜRÜN KODU]],YMKODLARI!$A$1:$K$373,4,0)," ")</f>
        <v>19</v>
      </c>
      <c r="I25" s="100">
        <v>978</v>
      </c>
      <c r="J25" s="100">
        <f>IFERROR(VLOOKUP(Tablo520[[#This Row],[ÜRÜN KODU]],YMKODLARI!$A$1:$K$373,9,0)," ")</f>
        <v>0</v>
      </c>
      <c r="K25" s="100" t="str">
        <f>IFERROR(VLOOKUP(Tablo520[[#This Row],[BOYA KODU]],Tablo14[#All],4,0)," ")</f>
        <v xml:space="preserve"> </v>
      </c>
      <c r="L25" s="100" t="str">
        <f>IFERROR(VLOOKUP(Tablo520[[#This Row],[BOYA KODU]],Tablo14[#All],6,0)," ")</f>
        <v xml:space="preserve"> </v>
      </c>
      <c r="M25" s="100" t="str">
        <f t="shared" si="0"/>
        <v xml:space="preserve"> </v>
      </c>
      <c r="N25" s="100" t="str">
        <f>IFERROR(VLOOKUP(Tablo520[[#This Row],[ÜRÜN KODU]],YMKODLARI!$A$1:$K$373,8,0)," ")</f>
        <v>HM 006</v>
      </c>
      <c r="O25" s="100" t="str">
        <f>IFERROR(VLOOKUP(Tablo520[[#This Row],[HAMMADDE KODU]],Tablo1[#All],3,0)," ")</f>
        <v>TRITAN</v>
      </c>
      <c r="P25" s="100" t="str">
        <f>IFERROR(VLOOKUP(Tablo520[[#This Row],[HAMMADDE KODU]],Tablo1[#All],4,0)," ")</f>
        <v>XXX</v>
      </c>
      <c r="Q25" s="100">
        <f>IFERROR(VLOOKUP(Tablo520[[#This Row],[ÜRÜN KODU]],YMKODLARI!$A$1:$K$373,5,0)," ")</f>
        <v>66.7</v>
      </c>
      <c r="R25" s="100">
        <f>IFERROR(VLOOKUP(Tablo520[[#This Row],[ÜRÜN KODU]],YMKODLARI!$A$1:$K$373,6,0)," ")</f>
        <v>66.7</v>
      </c>
      <c r="S25" s="100">
        <f>IFERROR(Tablo520[[#This Row],[YOLLUK HARİÇ BASKI GRAMI]]/Tablo520[[#This Row],[KALIP GÖZ ADEDİ]]," ")</f>
        <v>66.7</v>
      </c>
      <c r="T25" s="100">
        <f t="shared" si="2"/>
        <v>0</v>
      </c>
      <c r="U25" s="100"/>
      <c r="V25" s="100">
        <f t="shared" si="1"/>
        <v>65.232600000000005</v>
      </c>
      <c r="W25" s="101">
        <f t="shared" si="3"/>
        <v>24.215277777777779</v>
      </c>
      <c r="X25" s="102">
        <f t="shared" si="4"/>
        <v>5.1666666666666856</v>
      </c>
      <c r="Y25" s="100">
        <f t="shared" si="5"/>
        <v>5.1616666666666671</v>
      </c>
      <c r="Z25" s="100">
        <f t="shared" si="6"/>
        <v>978</v>
      </c>
    </row>
    <row r="26" spans="1:26">
      <c r="A26" s="100" t="s">
        <v>573</v>
      </c>
      <c r="B26" s="100" t="str">
        <f>IFERROR(VLOOKUP(Tablo520[[#This Row],[ÜRÜN KODU]],YMKODLARI!$A$1:$K$373,2,0)," ")</f>
        <v>KARE SAKLAMA KABI KAPAĞI</v>
      </c>
      <c r="C26" s="99">
        <v>44153</v>
      </c>
      <c r="D26" s="100" t="s">
        <v>29</v>
      </c>
      <c r="E26" s="101">
        <v>0.58333333333333337</v>
      </c>
      <c r="F26" s="101">
        <v>0.75</v>
      </c>
      <c r="G26" s="100">
        <f>IFERROR(VLOOKUP(Tablo520[[#This Row],[ÜRÜN KODU]],YMKODLARI!$A$1:$K$373,3,0)," ")</f>
        <v>4</v>
      </c>
      <c r="H26" s="100">
        <f>IFERROR(VLOOKUP(Tablo520[[#This Row],[ÜRÜN KODU]],YMKODLARI!$A$1:$K$373,4,0)," ")</f>
        <v>29</v>
      </c>
      <c r="I26" s="100">
        <v>1126</v>
      </c>
      <c r="J26" s="100">
        <f>IFERROR(VLOOKUP(Tablo520[[#This Row],[ÜRÜN KODU]],YMKODLARI!$A$1:$K$373,9,0)," ")</f>
        <v>0</v>
      </c>
      <c r="K26" s="100" t="str">
        <f>IFERROR(VLOOKUP(Tablo520[[#This Row],[BOYA KODU]],Tablo14[#All],4,0)," ")</f>
        <v xml:space="preserve"> </v>
      </c>
      <c r="L26" s="100" t="str">
        <f>IFERROR(VLOOKUP(Tablo520[[#This Row],[BOYA KODU]],Tablo14[#All],6,0)," ")</f>
        <v xml:space="preserve"> </v>
      </c>
      <c r="M26" s="100" t="str">
        <f t="shared" si="0"/>
        <v xml:space="preserve"> </v>
      </c>
      <c r="N26" s="100" t="str">
        <f>IFERROR(VLOOKUP(Tablo520[[#This Row],[ÜRÜN KODU]],YMKODLARI!$A$1:$K$373,8,0)," ")</f>
        <v>HM 006</v>
      </c>
      <c r="O26" s="100" t="str">
        <f>IFERROR(VLOOKUP(Tablo520[[#This Row],[HAMMADDE KODU]],Tablo1[#All],3,0)," ")</f>
        <v>TRITAN</v>
      </c>
      <c r="P26" s="100" t="str">
        <f>IFERROR(VLOOKUP(Tablo520[[#This Row],[HAMMADDE KODU]],Tablo1[#All],4,0)," ")</f>
        <v>XXX</v>
      </c>
      <c r="Q26" s="100">
        <f>IFERROR(VLOOKUP(Tablo520[[#This Row],[ÜRÜN KODU]],YMKODLARI!$A$1:$K$373,5,0)," ")</f>
        <v>104.1</v>
      </c>
      <c r="R26" s="100">
        <f>IFERROR(VLOOKUP(Tablo520[[#This Row],[ÜRÜN KODU]],YMKODLARI!$A$1:$K$373,6,0)," ")</f>
        <v>102.3</v>
      </c>
      <c r="S26" s="100">
        <f>IFERROR(Tablo520[[#This Row],[YOLLUK HARİÇ BASKI GRAMI]]/Tablo520[[#This Row],[KALIP GÖZ ADEDİ]]," ")</f>
        <v>25.574999999999999</v>
      </c>
      <c r="T26" s="100">
        <f t="shared" si="2"/>
        <v>1.7999999999999972</v>
      </c>
      <c r="U26" s="100"/>
      <c r="V26" s="100">
        <f t="shared" si="1"/>
        <v>115.18980000000001</v>
      </c>
      <c r="W26" s="101">
        <f t="shared" si="3"/>
        <v>24.166666666666668</v>
      </c>
      <c r="X26" s="102">
        <f t="shared" si="4"/>
        <v>4.0000000000000284</v>
      </c>
      <c r="Y26" s="100">
        <f t="shared" si="5"/>
        <v>9.0705555555555559</v>
      </c>
      <c r="Z26" s="100">
        <f t="shared" si="6"/>
        <v>4504</v>
      </c>
    </row>
    <row r="27" spans="1:26">
      <c r="A27" s="100" t="s">
        <v>573</v>
      </c>
      <c r="B27" s="100" t="str">
        <f>IFERROR(VLOOKUP(Tablo520[[#This Row],[ÜRÜN KODU]],YMKODLARI!$A$1:$K$373,2,0)," ")</f>
        <v>KARE SAKLAMA KABI KAPAĞI</v>
      </c>
      <c r="C27" s="99">
        <v>44154</v>
      </c>
      <c r="D27" s="100" t="s">
        <v>29</v>
      </c>
      <c r="E27" s="101">
        <v>0.33333333333333331</v>
      </c>
      <c r="F27" s="101">
        <v>0.75</v>
      </c>
      <c r="G27" s="100">
        <f>IFERROR(VLOOKUP(Tablo520[[#This Row],[ÜRÜN KODU]],YMKODLARI!$A$1:$K$373,3,0)," ")</f>
        <v>4</v>
      </c>
      <c r="H27" s="100">
        <f>IFERROR(VLOOKUP(Tablo520[[#This Row],[ÜRÜN KODU]],YMKODLARI!$A$1:$K$373,4,0)," ")</f>
        <v>29</v>
      </c>
      <c r="I27" s="100">
        <v>895</v>
      </c>
      <c r="J27" s="100">
        <f>IFERROR(VLOOKUP(Tablo520[[#This Row],[ÜRÜN KODU]],YMKODLARI!$A$1:$K$373,9,0)," ")</f>
        <v>0</v>
      </c>
      <c r="K27" s="100" t="str">
        <f>IFERROR(VLOOKUP(Tablo520[[#This Row],[BOYA KODU]],Tablo14[#All],4,0)," ")</f>
        <v xml:space="preserve"> </v>
      </c>
      <c r="L27" s="100" t="str">
        <f>IFERROR(VLOOKUP(Tablo520[[#This Row],[BOYA KODU]],Tablo14[#All],6,0)," ")</f>
        <v xml:space="preserve"> </v>
      </c>
      <c r="M27" s="100" t="str">
        <f t="shared" si="0"/>
        <v xml:space="preserve"> </v>
      </c>
      <c r="N27" s="100" t="str">
        <f>IFERROR(VLOOKUP(Tablo520[[#This Row],[ÜRÜN KODU]],YMKODLARI!$A$1:$K$373,8,0)," ")</f>
        <v>HM 006</v>
      </c>
      <c r="O27" s="100" t="str">
        <f>IFERROR(VLOOKUP(Tablo520[[#This Row],[HAMMADDE KODU]],Tablo1[#All],3,0)," ")</f>
        <v>TRITAN</v>
      </c>
      <c r="P27" s="100" t="str">
        <f>IFERROR(VLOOKUP(Tablo520[[#This Row],[HAMMADDE KODU]],Tablo1[#All],4,0)," ")</f>
        <v>XXX</v>
      </c>
      <c r="Q27" s="100">
        <f>IFERROR(VLOOKUP(Tablo520[[#This Row],[ÜRÜN KODU]],YMKODLARI!$A$1:$K$373,5,0)," ")</f>
        <v>104.1</v>
      </c>
      <c r="R27" s="100">
        <f>IFERROR(VLOOKUP(Tablo520[[#This Row],[ÜRÜN KODU]],YMKODLARI!$A$1:$K$373,6,0)," ")</f>
        <v>102.3</v>
      </c>
      <c r="S27" s="100">
        <f>IFERROR(Tablo520[[#This Row],[YOLLUK HARİÇ BASKI GRAMI]]/Tablo520[[#This Row],[KALIP GÖZ ADEDİ]]," ")</f>
        <v>25.574999999999999</v>
      </c>
      <c r="T27" s="100">
        <f t="shared" si="2"/>
        <v>1.7999999999999972</v>
      </c>
      <c r="U27" s="100"/>
      <c r="V27" s="100">
        <f t="shared" si="1"/>
        <v>91.558499999999995</v>
      </c>
      <c r="W27" s="101">
        <f t="shared" si="3"/>
        <v>24.416666666666668</v>
      </c>
      <c r="X27" s="102">
        <f t="shared" si="4"/>
        <v>10.000000000000028</v>
      </c>
      <c r="Y27" s="100">
        <f t="shared" si="5"/>
        <v>7.2097222222222221</v>
      </c>
      <c r="Z27" s="100">
        <f t="shared" si="6"/>
        <v>3580</v>
      </c>
    </row>
    <row r="28" spans="1:26">
      <c r="A28" s="100" t="s">
        <v>573</v>
      </c>
      <c r="B28" s="100" t="str">
        <f>IFERROR(VLOOKUP(Tablo520[[#This Row],[ÜRÜN KODU]],YMKODLARI!$A$1:$K$373,2,0)," ")</f>
        <v>KARE SAKLAMA KABI KAPAĞI</v>
      </c>
      <c r="C28" s="99">
        <v>44155</v>
      </c>
      <c r="D28" s="100" t="s">
        <v>29</v>
      </c>
      <c r="E28" s="101">
        <v>0.33333333333333331</v>
      </c>
      <c r="F28" s="101">
        <v>0.72222222222222221</v>
      </c>
      <c r="G28" s="100">
        <f>IFERROR(VLOOKUP(Tablo520[[#This Row],[ÜRÜN KODU]],YMKODLARI!$A$1:$K$373,3,0)," ")</f>
        <v>4</v>
      </c>
      <c r="H28" s="100">
        <f>IFERROR(VLOOKUP(Tablo520[[#This Row],[ÜRÜN KODU]],YMKODLARI!$A$1:$K$373,4,0)," ")</f>
        <v>29</v>
      </c>
      <c r="I28" s="100">
        <v>834</v>
      </c>
      <c r="J28" s="100">
        <f>IFERROR(VLOOKUP(Tablo520[[#This Row],[ÜRÜN KODU]],YMKODLARI!$A$1:$K$373,9,0)," ")</f>
        <v>0</v>
      </c>
      <c r="K28" s="100" t="str">
        <f>IFERROR(VLOOKUP(Tablo520[[#This Row],[BOYA KODU]],Tablo14[#All],4,0)," ")</f>
        <v xml:space="preserve"> </v>
      </c>
      <c r="L28" s="100" t="str">
        <f>IFERROR(VLOOKUP(Tablo520[[#This Row],[BOYA KODU]],Tablo14[#All],6,0)," ")</f>
        <v xml:space="preserve"> </v>
      </c>
      <c r="M28" s="100" t="str">
        <f t="shared" si="0"/>
        <v xml:space="preserve"> </v>
      </c>
      <c r="N28" s="100" t="str">
        <f>IFERROR(VLOOKUP(Tablo520[[#This Row],[ÜRÜN KODU]],YMKODLARI!$A$1:$K$373,8,0)," ")</f>
        <v>HM 006</v>
      </c>
      <c r="O28" s="100" t="str">
        <f>IFERROR(VLOOKUP(Tablo520[[#This Row],[HAMMADDE KODU]],Tablo1[#All],3,0)," ")</f>
        <v>TRITAN</v>
      </c>
      <c r="P28" s="100" t="str">
        <f>IFERROR(VLOOKUP(Tablo520[[#This Row],[HAMMADDE KODU]],Tablo1[#All],4,0)," ")</f>
        <v>XXX</v>
      </c>
      <c r="Q28" s="100">
        <f>IFERROR(VLOOKUP(Tablo520[[#This Row],[ÜRÜN KODU]],YMKODLARI!$A$1:$K$373,5,0)," ")</f>
        <v>104.1</v>
      </c>
      <c r="R28" s="100">
        <f>IFERROR(VLOOKUP(Tablo520[[#This Row],[ÜRÜN KODU]],YMKODLARI!$A$1:$K$373,6,0)," ")</f>
        <v>102.3</v>
      </c>
      <c r="S28" s="100">
        <f>IFERROR(Tablo520[[#This Row],[YOLLUK HARİÇ BASKI GRAMI]]/Tablo520[[#This Row],[KALIP GÖZ ADEDİ]]," ")</f>
        <v>25.574999999999999</v>
      </c>
      <c r="T28" s="100">
        <f t="shared" si="2"/>
        <v>1.7999999999999972</v>
      </c>
      <c r="U28" s="100"/>
      <c r="V28" s="100">
        <f t="shared" si="1"/>
        <v>85.31819999999999</v>
      </c>
      <c r="W28" s="101">
        <f t="shared" si="3"/>
        <v>24.388888888888889</v>
      </c>
      <c r="X28" s="102">
        <f t="shared" si="4"/>
        <v>9.3333333333333428</v>
      </c>
      <c r="Y28" s="100">
        <f t="shared" si="5"/>
        <v>6.7183333333333337</v>
      </c>
      <c r="Z28" s="100">
        <f t="shared" si="6"/>
        <v>3336</v>
      </c>
    </row>
    <row r="29" spans="1:26">
      <c r="A29" s="100"/>
      <c r="B29" s="100" t="str">
        <f>IFERROR(VLOOKUP(Tablo520[[#This Row],[ÜRÜN KODU]],YMKODLARI!$A$1:$K$373,2,0)," ")</f>
        <v xml:space="preserve"> </v>
      </c>
      <c r="C29" s="99"/>
      <c r="D29" s="100"/>
      <c r="E29" s="101"/>
      <c r="F29" s="101"/>
      <c r="G29" s="100" t="str">
        <f>IFERROR(VLOOKUP(Tablo520[[#This Row],[ÜRÜN KODU]],YMKODLARI!$A$1:$K$373,3,0)," ")</f>
        <v xml:space="preserve"> </v>
      </c>
      <c r="H29" s="100" t="str">
        <f>IFERROR(VLOOKUP(Tablo520[[#This Row],[ÜRÜN KODU]],YMKODLARI!$A$1:$K$373,4,0)," ")</f>
        <v xml:space="preserve"> </v>
      </c>
      <c r="I29" s="100"/>
      <c r="J29" s="100" t="str">
        <f>IFERROR(VLOOKUP(Tablo520[[#This Row],[ÜRÜN KODU]],YMKODLARI!$A$1:$K$373,9,0)," ")</f>
        <v xml:space="preserve"> </v>
      </c>
      <c r="K29" s="100" t="str">
        <f>IFERROR(VLOOKUP(Tablo520[[#This Row],[BOYA KODU]],Tablo14[#All],4,0)," ")</f>
        <v xml:space="preserve"> </v>
      </c>
      <c r="L29" s="100" t="str">
        <f>IFERROR(VLOOKUP(Tablo520[[#This Row],[BOYA KODU]],Tablo14[#All],6,0)," ")</f>
        <v xml:space="preserve"> </v>
      </c>
      <c r="M29" s="100" t="str">
        <f t="shared" si="0"/>
        <v xml:space="preserve"> </v>
      </c>
      <c r="N29" s="100" t="str">
        <f>IFERROR(VLOOKUP(Tablo520[[#This Row],[ÜRÜN KODU]],YMKODLARI!$A$1:$K$373,8,0)," ")</f>
        <v xml:space="preserve"> </v>
      </c>
      <c r="O29" s="100" t="str">
        <f>IFERROR(VLOOKUP(Tablo520[[#This Row],[HAMMADDE KODU]],Tablo1[#All],3,0)," ")</f>
        <v xml:space="preserve"> </v>
      </c>
      <c r="P29" s="100" t="str">
        <f>IFERROR(VLOOKUP(Tablo520[[#This Row],[HAMMADDE KODU]],Tablo1[#All],4,0)," ")</f>
        <v xml:space="preserve"> </v>
      </c>
      <c r="Q29" s="100" t="str">
        <f>IFERROR(VLOOKUP(Tablo520[[#This Row],[ÜRÜN KODU]],YMKODLARI!$A$1:$K$373,5,0)," ")</f>
        <v xml:space="preserve"> </v>
      </c>
      <c r="R29" s="100" t="str">
        <f>IFERROR(VLOOKUP(Tablo520[[#This Row],[ÜRÜN KODU]],YMKODLARI!$A$1:$K$373,6,0)," ")</f>
        <v xml:space="preserve"> </v>
      </c>
      <c r="S29" s="100" t="str">
        <f>IFERROR(Tablo520[[#This Row],[YOLLUK HARİÇ BASKI GRAMI]]/Tablo520[[#This Row],[KALIP GÖZ ADEDİ]]," ")</f>
        <v xml:space="preserve"> </v>
      </c>
      <c r="T29" s="100" t="str">
        <f t="shared" si="2"/>
        <v xml:space="preserve"> </v>
      </c>
      <c r="U29" s="100"/>
      <c r="V29" s="100" t="str">
        <f t="shared" si="1"/>
        <v xml:space="preserve"> </v>
      </c>
      <c r="W29" s="101">
        <f t="shared" si="3"/>
        <v>24</v>
      </c>
      <c r="X29" s="102">
        <f t="shared" si="4"/>
        <v>0</v>
      </c>
      <c r="Y29" s="100" t="str">
        <f t="shared" si="5"/>
        <v xml:space="preserve"> </v>
      </c>
      <c r="Z29" s="100" t="str">
        <f t="shared" si="6"/>
        <v xml:space="preserve"> </v>
      </c>
    </row>
    <row r="30" spans="1:26">
      <c r="A30" s="100"/>
      <c r="B30" s="100" t="str">
        <f>IFERROR(VLOOKUP(Tablo520[[#This Row],[ÜRÜN KODU]],YMKODLARI!$A$1:$K$373,2,0)," ")</f>
        <v xml:space="preserve"> </v>
      </c>
      <c r="C30" s="99"/>
      <c r="D30" s="100"/>
      <c r="E30" s="101"/>
      <c r="F30" s="101"/>
      <c r="G30" s="100" t="str">
        <f>IFERROR(VLOOKUP(Tablo520[[#This Row],[ÜRÜN KODU]],YMKODLARI!$A$1:$K$373,3,0)," ")</f>
        <v xml:space="preserve"> </v>
      </c>
      <c r="H30" s="100" t="str">
        <f>IFERROR(VLOOKUP(Tablo520[[#This Row],[ÜRÜN KODU]],YMKODLARI!$A$1:$K$373,4,0)," ")</f>
        <v xml:space="preserve"> </v>
      </c>
      <c r="I30" s="100"/>
      <c r="J30" s="100" t="str">
        <f>IFERROR(VLOOKUP(Tablo520[[#This Row],[ÜRÜN KODU]],YMKODLARI!$A$1:$K$373,9,0)," ")</f>
        <v xml:space="preserve"> </v>
      </c>
      <c r="K30" s="100" t="str">
        <f>IFERROR(VLOOKUP(Tablo520[[#This Row],[BOYA KODU]],Tablo14[#All],4,0)," ")</f>
        <v xml:space="preserve"> </v>
      </c>
      <c r="L30" s="100" t="str">
        <f>IFERROR(VLOOKUP(Tablo520[[#This Row],[BOYA KODU]],Tablo14[#All],6,0)," ")</f>
        <v xml:space="preserve"> </v>
      </c>
      <c r="M30" s="100" t="str">
        <f t="shared" si="0"/>
        <v xml:space="preserve"> </v>
      </c>
      <c r="N30" s="100" t="str">
        <f>IFERROR(VLOOKUP(Tablo520[[#This Row],[ÜRÜN KODU]],YMKODLARI!$A$1:$K$373,8,0)," ")</f>
        <v xml:space="preserve"> </v>
      </c>
      <c r="O30" s="100" t="str">
        <f>IFERROR(VLOOKUP(Tablo520[[#This Row],[HAMMADDE KODU]],Tablo1[#All],3,0)," ")</f>
        <v xml:space="preserve"> </v>
      </c>
      <c r="P30" s="100" t="str">
        <f>IFERROR(VLOOKUP(Tablo520[[#This Row],[HAMMADDE KODU]],Tablo1[#All],4,0)," ")</f>
        <v xml:space="preserve"> </v>
      </c>
      <c r="Q30" s="100" t="str">
        <f>IFERROR(VLOOKUP(Tablo520[[#This Row],[ÜRÜN KODU]],YMKODLARI!$A$1:$K$373,5,0)," ")</f>
        <v xml:space="preserve"> </v>
      </c>
      <c r="R30" s="100" t="str">
        <f>IFERROR(VLOOKUP(Tablo520[[#This Row],[ÜRÜN KODU]],YMKODLARI!$A$1:$K$373,6,0)," ")</f>
        <v xml:space="preserve"> </v>
      </c>
      <c r="S30" s="100" t="str">
        <f>IFERROR(Tablo520[[#This Row],[YOLLUK HARİÇ BASKI GRAMI]]/Tablo520[[#This Row],[KALIP GÖZ ADEDİ]]," ")</f>
        <v xml:space="preserve"> </v>
      </c>
      <c r="T30" s="100" t="str">
        <f t="shared" si="2"/>
        <v xml:space="preserve"> </v>
      </c>
      <c r="U30" s="100"/>
      <c r="V30" s="100" t="str">
        <f t="shared" si="1"/>
        <v xml:space="preserve"> </v>
      </c>
      <c r="W30" s="101">
        <f t="shared" si="3"/>
        <v>24</v>
      </c>
      <c r="X30" s="102">
        <f t="shared" si="4"/>
        <v>0</v>
      </c>
      <c r="Y30" s="100" t="str">
        <f t="shared" si="5"/>
        <v xml:space="preserve"> </v>
      </c>
      <c r="Z30" s="100" t="str">
        <f t="shared" si="6"/>
        <v xml:space="preserve"> </v>
      </c>
    </row>
    <row r="31" spans="1:26">
      <c r="A31" s="100"/>
      <c r="B31" s="100" t="str">
        <f>IFERROR(VLOOKUP(Tablo520[[#This Row],[ÜRÜN KODU]],YMKODLARI!$A$1:$K$373,2,0)," ")</f>
        <v xml:space="preserve"> </v>
      </c>
      <c r="C31" s="99"/>
      <c r="D31" s="100"/>
      <c r="E31" s="101"/>
      <c r="F31" s="101"/>
      <c r="G31" s="100" t="str">
        <f>IFERROR(VLOOKUP(Tablo520[[#This Row],[ÜRÜN KODU]],YMKODLARI!$A$1:$K$373,3,0)," ")</f>
        <v xml:space="preserve"> </v>
      </c>
      <c r="H31" s="100" t="str">
        <f>IFERROR(VLOOKUP(Tablo520[[#This Row],[ÜRÜN KODU]],YMKODLARI!$A$1:$K$373,4,0)," ")</f>
        <v xml:space="preserve"> </v>
      </c>
      <c r="I31" s="100"/>
      <c r="J31" s="100" t="str">
        <f>IFERROR(VLOOKUP(Tablo520[[#This Row],[ÜRÜN KODU]],YMKODLARI!$A$1:$K$373,9,0)," ")</f>
        <v xml:space="preserve"> </v>
      </c>
      <c r="K31" s="100" t="str">
        <f>IFERROR(VLOOKUP(Tablo520[[#This Row],[BOYA KODU]],Tablo14[#All],4,0)," ")</f>
        <v xml:space="preserve"> </v>
      </c>
      <c r="L31" s="100" t="str">
        <f>IFERROR(VLOOKUP(Tablo520[[#This Row],[BOYA KODU]],Tablo14[#All],6,0)," ")</f>
        <v xml:space="preserve"> </v>
      </c>
      <c r="M31" s="100" t="str">
        <f t="shared" si="0"/>
        <v xml:space="preserve"> </v>
      </c>
      <c r="N31" s="100" t="str">
        <f>IFERROR(VLOOKUP(Tablo520[[#This Row],[ÜRÜN KODU]],YMKODLARI!$A$1:$K$373,8,0)," ")</f>
        <v xml:space="preserve"> </v>
      </c>
      <c r="O31" s="100" t="str">
        <f>IFERROR(VLOOKUP(Tablo520[[#This Row],[HAMMADDE KODU]],Tablo1[#All],3,0)," ")</f>
        <v xml:space="preserve"> </v>
      </c>
      <c r="P31" s="100" t="str">
        <f>IFERROR(VLOOKUP(Tablo520[[#This Row],[HAMMADDE KODU]],Tablo1[#All],4,0)," ")</f>
        <v xml:space="preserve"> </v>
      </c>
      <c r="Q31" s="100" t="str">
        <f>IFERROR(VLOOKUP(Tablo520[[#This Row],[ÜRÜN KODU]],YMKODLARI!$A$1:$K$373,5,0)," ")</f>
        <v xml:space="preserve"> </v>
      </c>
      <c r="R31" s="100" t="str">
        <f>IFERROR(VLOOKUP(Tablo520[[#This Row],[ÜRÜN KODU]],YMKODLARI!$A$1:$K$373,6,0)," ")</f>
        <v xml:space="preserve"> </v>
      </c>
      <c r="S31" s="100" t="str">
        <f>IFERROR(Tablo520[[#This Row],[YOLLUK HARİÇ BASKI GRAMI]]/Tablo520[[#This Row],[KALIP GÖZ ADEDİ]]," ")</f>
        <v xml:space="preserve"> </v>
      </c>
      <c r="T31" s="100" t="str">
        <f t="shared" si="2"/>
        <v xml:space="preserve"> </v>
      </c>
      <c r="U31" s="100"/>
      <c r="V31" s="100" t="str">
        <f t="shared" si="1"/>
        <v xml:space="preserve"> </v>
      </c>
      <c r="W31" s="101">
        <f t="shared" si="3"/>
        <v>24</v>
      </c>
      <c r="X31" s="102">
        <f t="shared" si="4"/>
        <v>0</v>
      </c>
      <c r="Y31" s="100" t="str">
        <f t="shared" si="5"/>
        <v xml:space="preserve"> </v>
      </c>
      <c r="Z31" s="100" t="str">
        <f t="shared" si="6"/>
        <v xml:space="preserve"> </v>
      </c>
    </row>
    <row r="32" spans="1:26">
      <c r="A32" s="100"/>
      <c r="B32" s="100" t="str">
        <f>IFERROR(VLOOKUP(Tablo520[[#This Row],[ÜRÜN KODU]],YMKODLARI!$A$1:$K$373,2,0)," ")</f>
        <v xml:space="preserve"> </v>
      </c>
      <c r="C32" s="99"/>
      <c r="D32" s="100"/>
      <c r="E32" s="101"/>
      <c r="F32" s="101"/>
      <c r="G32" s="100" t="str">
        <f>IFERROR(VLOOKUP(Tablo520[[#This Row],[ÜRÜN KODU]],YMKODLARI!$A$1:$K$373,3,0)," ")</f>
        <v xml:space="preserve"> </v>
      </c>
      <c r="H32" s="100" t="str">
        <f>IFERROR(VLOOKUP(Tablo520[[#This Row],[ÜRÜN KODU]],YMKODLARI!$A$1:$K$373,4,0)," ")</f>
        <v xml:space="preserve"> </v>
      </c>
      <c r="I32" s="100"/>
      <c r="J32" s="100" t="str">
        <f>IFERROR(VLOOKUP(Tablo520[[#This Row],[ÜRÜN KODU]],YMKODLARI!$A$1:$K$373,9,0)," ")</f>
        <v xml:space="preserve"> </v>
      </c>
      <c r="K32" s="100" t="str">
        <f>IFERROR(VLOOKUP(Tablo520[[#This Row],[BOYA KODU]],Tablo14[#All],4,0)," ")</f>
        <v xml:space="preserve"> </v>
      </c>
      <c r="L32" s="100" t="str">
        <f>IFERROR(VLOOKUP(Tablo520[[#This Row],[BOYA KODU]],Tablo14[#All],6,0)," ")</f>
        <v xml:space="preserve"> </v>
      </c>
      <c r="M32" s="100" t="str">
        <f t="shared" si="0"/>
        <v xml:space="preserve"> </v>
      </c>
      <c r="N32" s="100" t="str">
        <f>IFERROR(VLOOKUP(Tablo520[[#This Row],[ÜRÜN KODU]],YMKODLARI!$A$1:$K$373,8,0)," ")</f>
        <v xml:space="preserve"> </v>
      </c>
      <c r="O32" s="100" t="str">
        <f>IFERROR(VLOOKUP(Tablo520[[#This Row],[HAMMADDE KODU]],Tablo1[#All],3,0)," ")</f>
        <v xml:space="preserve"> </v>
      </c>
      <c r="P32" s="100" t="str">
        <f>IFERROR(VLOOKUP(Tablo520[[#This Row],[HAMMADDE KODU]],Tablo1[#All],4,0)," ")</f>
        <v xml:space="preserve"> </v>
      </c>
      <c r="Q32" s="100" t="str">
        <f>IFERROR(VLOOKUP(Tablo520[[#This Row],[ÜRÜN KODU]],YMKODLARI!$A$1:$K$373,5,0)," ")</f>
        <v xml:space="preserve"> </v>
      </c>
      <c r="R32" s="100" t="str">
        <f>IFERROR(VLOOKUP(Tablo520[[#This Row],[ÜRÜN KODU]],YMKODLARI!$A$1:$K$373,6,0)," ")</f>
        <v xml:space="preserve"> </v>
      </c>
      <c r="S32" s="100" t="str">
        <f>IFERROR(Tablo520[[#This Row],[YOLLUK HARİÇ BASKI GRAMI]]/Tablo520[[#This Row],[KALIP GÖZ ADEDİ]]," ")</f>
        <v xml:space="preserve"> </v>
      </c>
      <c r="T32" s="100" t="str">
        <f t="shared" si="2"/>
        <v xml:space="preserve"> </v>
      </c>
      <c r="U32" s="100"/>
      <c r="V32" s="100" t="str">
        <f t="shared" si="1"/>
        <v xml:space="preserve"> </v>
      </c>
      <c r="W32" s="101">
        <f t="shared" si="3"/>
        <v>24</v>
      </c>
      <c r="X32" s="102">
        <f t="shared" si="4"/>
        <v>0</v>
      </c>
      <c r="Y32" s="100" t="str">
        <f t="shared" si="5"/>
        <v xml:space="preserve"> </v>
      </c>
      <c r="Z32" s="100" t="str">
        <f t="shared" si="6"/>
        <v xml:space="preserve"> </v>
      </c>
    </row>
    <row r="33" spans="1:26">
      <c r="A33" s="100"/>
      <c r="B33" s="100" t="str">
        <f>IFERROR(VLOOKUP(Tablo520[[#This Row],[ÜRÜN KODU]],YMKODLARI!$A$1:$K$373,2,0)," ")</f>
        <v xml:space="preserve"> </v>
      </c>
      <c r="C33" s="99"/>
      <c r="D33" s="100"/>
      <c r="E33" s="101"/>
      <c r="F33" s="101"/>
      <c r="G33" s="100" t="str">
        <f>IFERROR(VLOOKUP(Tablo520[[#This Row],[ÜRÜN KODU]],YMKODLARI!$A$1:$K$373,3,0)," ")</f>
        <v xml:space="preserve"> </v>
      </c>
      <c r="H33" s="100" t="str">
        <f>IFERROR(VLOOKUP(Tablo520[[#This Row],[ÜRÜN KODU]],YMKODLARI!$A$1:$K$373,4,0)," ")</f>
        <v xml:space="preserve"> </v>
      </c>
      <c r="I33" s="100"/>
      <c r="J33" s="100" t="str">
        <f>IFERROR(VLOOKUP(Tablo520[[#This Row],[ÜRÜN KODU]],YMKODLARI!$A$1:$K$373,9,0)," ")</f>
        <v xml:space="preserve"> </v>
      </c>
      <c r="K33" s="100" t="str">
        <f>IFERROR(VLOOKUP(Tablo520[[#This Row],[BOYA KODU]],Tablo14[#All],4,0)," ")</f>
        <v xml:space="preserve"> </v>
      </c>
      <c r="L33" s="100" t="str">
        <f>IFERROR(VLOOKUP(Tablo520[[#This Row],[BOYA KODU]],Tablo14[#All],6,0)," ")</f>
        <v xml:space="preserve"> </v>
      </c>
      <c r="M33" s="100" t="str">
        <f t="shared" si="0"/>
        <v xml:space="preserve"> </v>
      </c>
      <c r="N33" s="100" t="str">
        <f>IFERROR(VLOOKUP(Tablo520[[#This Row],[ÜRÜN KODU]],YMKODLARI!$A$1:$K$373,8,0)," ")</f>
        <v xml:space="preserve"> </v>
      </c>
      <c r="O33" s="100" t="str">
        <f>IFERROR(VLOOKUP(Tablo520[[#This Row],[HAMMADDE KODU]],Tablo1[#All],3,0)," ")</f>
        <v xml:space="preserve"> </v>
      </c>
      <c r="P33" s="100" t="str">
        <f>IFERROR(VLOOKUP(Tablo520[[#This Row],[HAMMADDE KODU]],Tablo1[#All],4,0)," ")</f>
        <v xml:space="preserve"> </v>
      </c>
      <c r="Q33" s="100" t="str">
        <f>IFERROR(VLOOKUP(Tablo520[[#This Row],[ÜRÜN KODU]],YMKODLARI!$A$1:$K$373,5,0)," ")</f>
        <v xml:space="preserve"> </v>
      </c>
      <c r="R33" s="100" t="str">
        <f>IFERROR(VLOOKUP(Tablo520[[#This Row],[ÜRÜN KODU]],YMKODLARI!$A$1:$K$373,6,0)," ")</f>
        <v xml:space="preserve"> </v>
      </c>
      <c r="S33" s="100" t="str">
        <f>IFERROR(Tablo520[[#This Row],[YOLLUK HARİÇ BASKI GRAMI]]/Tablo520[[#This Row],[KALIP GÖZ ADEDİ]]," ")</f>
        <v xml:space="preserve"> </v>
      </c>
      <c r="T33" s="100" t="str">
        <f t="shared" si="2"/>
        <v xml:space="preserve"> </v>
      </c>
      <c r="U33" s="100"/>
      <c r="V33" s="100" t="str">
        <f t="shared" si="1"/>
        <v xml:space="preserve"> </v>
      </c>
      <c r="W33" s="101">
        <f t="shared" si="3"/>
        <v>24</v>
      </c>
      <c r="X33" s="102">
        <f t="shared" si="4"/>
        <v>0</v>
      </c>
      <c r="Y33" s="100" t="str">
        <f t="shared" si="5"/>
        <v xml:space="preserve"> </v>
      </c>
      <c r="Z33" s="100" t="str">
        <f t="shared" si="6"/>
        <v xml:space="preserve"> </v>
      </c>
    </row>
    <row r="34" spans="1:26">
      <c r="A34" s="100"/>
      <c r="B34" s="100" t="str">
        <f>IFERROR(VLOOKUP(Tablo520[[#This Row],[ÜRÜN KODU]],YMKODLARI!$A$1:$K$373,2,0)," ")</f>
        <v xml:space="preserve"> </v>
      </c>
      <c r="C34" s="99"/>
      <c r="D34" s="100"/>
      <c r="E34" s="101"/>
      <c r="F34" s="101"/>
      <c r="G34" s="100" t="str">
        <f>IFERROR(VLOOKUP(Tablo520[[#This Row],[ÜRÜN KODU]],YMKODLARI!$A$1:$K$373,3,0)," ")</f>
        <v xml:space="preserve"> </v>
      </c>
      <c r="H34" s="100" t="str">
        <f>IFERROR(VLOOKUP(Tablo520[[#This Row],[ÜRÜN KODU]],YMKODLARI!$A$1:$K$373,4,0)," ")</f>
        <v xml:space="preserve"> </v>
      </c>
      <c r="I34" s="100"/>
      <c r="J34" s="100" t="str">
        <f>IFERROR(VLOOKUP(Tablo520[[#This Row],[ÜRÜN KODU]],YMKODLARI!$A$1:$K$373,9,0)," ")</f>
        <v xml:space="preserve"> </v>
      </c>
      <c r="K34" s="100" t="str">
        <f>IFERROR(VLOOKUP(Tablo520[[#This Row],[BOYA KODU]],Tablo14[#All],4,0)," ")</f>
        <v xml:space="preserve"> </v>
      </c>
      <c r="L34" s="100" t="str">
        <f>IFERROR(VLOOKUP(Tablo520[[#This Row],[BOYA KODU]],Tablo14[#All],6,0)," ")</f>
        <v xml:space="preserve"> </v>
      </c>
      <c r="M34" s="100" t="str">
        <f t="shared" si="0"/>
        <v xml:space="preserve"> </v>
      </c>
      <c r="N34" s="100" t="str">
        <f>IFERROR(VLOOKUP(Tablo520[[#This Row],[ÜRÜN KODU]],YMKODLARI!$A$1:$K$373,8,0)," ")</f>
        <v xml:space="preserve"> </v>
      </c>
      <c r="O34" s="100" t="str">
        <f>IFERROR(VLOOKUP(Tablo520[[#This Row],[HAMMADDE KODU]],Tablo1[#All],3,0)," ")</f>
        <v xml:space="preserve"> </v>
      </c>
      <c r="P34" s="100" t="str">
        <f>IFERROR(VLOOKUP(Tablo520[[#This Row],[HAMMADDE KODU]],Tablo1[#All],4,0)," ")</f>
        <v xml:space="preserve"> </v>
      </c>
      <c r="Q34" s="100" t="str">
        <f>IFERROR(VLOOKUP(Tablo520[[#This Row],[ÜRÜN KODU]],YMKODLARI!$A$1:$K$373,5,0)," ")</f>
        <v xml:space="preserve"> </v>
      </c>
      <c r="R34" s="100" t="str">
        <f>IFERROR(VLOOKUP(Tablo520[[#This Row],[ÜRÜN KODU]],YMKODLARI!$A$1:$K$373,6,0)," ")</f>
        <v xml:space="preserve"> </v>
      </c>
      <c r="S34" s="100" t="str">
        <f>IFERROR(Tablo520[[#This Row],[YOLLUK HARİÇ BASKI GRAMI]]/Tablo520[[#This Row],[KALIP GÖZ ADEDİ]]," ")</f>
        <v xml:space="preserve"> </v>
      </c>
      <c r="T34" s="100" t="str">
        <f t="shared" si="2"/>
        <v xml:space="preserve"> </v>
      </c>
      <c r="U34" s="100"/>
      <c r="V34" s="100" t="str">
        <f t="shared" si="1"/>
        <v xml:space="preserve"> </v>
      </c>
      <c r="W34" s="101">
        <f t="shared" si="3"/>
        <v>24</v>
      </c>
      <c r="X34" s="102">
        <f t="shared" si="4"/>
        <v>0</v>
      </c>
      <c r="Y34" s="100" t="str">
        <f t="shared" si="5"/>
        <v xml:space="preserve"> </v>
      </c>
      <c r="Z34" s="100" t="str">
        <f t="shared" si="6"/>
        <v xml:space="preserve"> </v>
      </c>
    </row>
    <row r="35" spans="1:26">
      <c r="A35" s="100"/>
      <c r="B35" s="100" t="str">
        <f>IFERROR(VLOOKUP(Tablo520[[#This Row],[ÜRÜN KODU]],YMKODLARI!$A$1:$K$373,2,0)," ")</f>
        <v xml:space="preserve"> </v>
      </c>
      <c r="C35" s="99"/>
      <c r="D35" s="100"/>
      <c r="E35" s="101"/>
      <c r="F35" s="101"/>
      <c r="G35" s="100" t="str">
        <f>IFERROR(VLOOKUP(Tablo520[[#This Row],[ÜRÜN KODU]],YMKODLARI!$A$1:$K$373,3,0)," ")</f>
        <v xml:space="preserve"> </v>
      </c>
      <c r="H35" s="100" t="str">
        <f>IFERROR(VLOOKUP(Tablo520[[#This Row],[ÜRÜN KODU]],YMKODLARI!$A$1:$K$373,4,0)," ")</f>
        <v xml:space="preserve"> </v>
      </c>
      <c r="I35" s="100"/>
      <c r="J35" s="100" t="str">
        <f>IFERROR(VLOOKUP(Tablo520[[#This Row],[ÜRÜN KODU]],YMKODLARI!$A$1:$K$373,9,0)," ")</f>
        <v xml:space="preserve"> </v>
      </c>
      <c r="K35" s="100" t="str">
        <f>IFERROR(VLOOKUP(Tablo520[[#This Row],[BOYA KODU]],Tablo14[#All],4,0)," ")</f>
        <v xml:space="preserve"> </v>
      </c>
      <c r="L35" s="100" t="str">
        <f>IFERROR(VLOOKUP(Tablo520[[#This Row],[BOYA KODU]],Tablo14[#All],6,0)," ")</f>
        <v xml:space="preserve"> </v>
      </c>
      <c r="M35" s="100" t="str">
        <f t="shared" si="0"/>
        <v xml:space="preserve"> </v>
      </c>
      <c r="N35" s="100" t="str">
        <f>IFERROR(VLOOKUP(Tablo520[[#This Row],[ÜRÜN KODU]],YMKODLARI!$A$1:$K$373,8,0)," ")</f>
        <v xml:space="preserve"> </v>
      </c>
      <c r="O35" s="100" t="str">
        <f>IFERROR(VLOOKUP(Tablo520[[#This Row],[HAMMADDE KODU]],Tablo1[#All],3,0)," ")</f>
        <v xml:space="preserve"> </v>
      </c>
      <c r="P35" s="100" t="str">
        <f>IFERROR(VLOOKUP(Tablo520[[#This Row],[HAMMADDE KODU]],Tablo1[#All],4,0)," ")</f>
        <v xml:space="preserve"> </v>
      </c>
      <c r="Q35" s="100" t="str">
        <f>IFERROR(VLOOKUP(Tablo520[[#This Row],[ÜRÜN KODU]],YMKODLARI!$A$1:$K$373,5,0)," ")</f>
        <v xml:space="preserve"> </v>
      </c>
      <c r="R35" s="100" t="str">
        <f>IFERROR(VLOOKUP(Tablo520[[#This Row],[ÜRÜN KODU]],YMKODLARI!$A$1:$K$373,6,0)," ")</f>
        <v xml:space="preserve"> </v>
      </c>
      <c r="S35" s="100" t="str">
        <f>IFERROR(Tablo520[[#This Row],[YOLLUK HARİÇ BASKI GRAMI]]/Tablo520[[#This Row],[KALIP GÖZ ADEDİ]]," ")</f>
        <v xml:space="preserve"> </v>
      </c>
      <c r="T35" s="100" t="str">
        <f t="shared" si="2"/>
        <v xml:space="preserve"> </v>
      </c>
      <c r="U35" s="100"/>
      <c r="V35" s="100" t="str">
        <f t="shared" si="1"/>
        <v xml:space="preserve"> </v>
      </c>
      <c r="W35" s="101">
        <f t="shared" si="3"/>
        <v>24</v>
      </c>
      <c r="X35" s="102">
        <f t="shared" si="4"/>
        <v>0</v>
      </c>
      <c r="Y35" s="100" t="str">
        <f t="shared" si="5"/>
        <v xml:space="preserve"> </v>
      </c>
      <c r="Z35" s="100" t="str">
        <f t="shared" si="6"/>
        <v xml:space="preserve"> </v>
      </c>
    </row>
    <row r="36" spans="1:26">
      <c r="A36" s="100"/>
      <c r="B36" s="100" t="str">
        <f>IFERROR(VLOOKUP(Tablo520[[#This Row],[ÜRÜN KODU]],YMKODLARI!$A$1:$K$373,2,0)," ")</f>
        <v xml:space="preserve"> </v>
      </c>
      <c r="C36" s="99"/>
      <c r="D36" s="100"/>
      <c r="E36" s="101"/>
      <c r="F36" s="101"/>
      <c r="G36" s="100" t="str">
        <f>IFERROR(VLOOKUP(Tablo520[[#This Row],[ÜRÜN KODU]],YMKODLARI!$A$1:$K$373,3,0)," ")</f>
        <v xml:space="preserve"> </v>
      </c>
      <c r="H36" s="100" t="str">
        <f>IFERROR(VLOOKUP(Tablo520[[#This Row],[ÜRÜN KODU]],YMKODLARI!$A$1:$K$373,4,0)," ")</f>
        <v xml:space="preserve"> </v>
      </c>
      <c r="I36" s="100"/>
      <c r="J36" s="100" t="str">
        <f>IFERROR(VLOOKUP(Tablo520[[#This Row],[ÜRÜN KODU]],YMKODLARI!$A$1:$K$373,9,0)," ")</f>
        <v xml:space="preserve"> </v>
      </c>
      <c r="K36" s="100" t="str">
        <f>IFERROR(VLOOKUP(Tablo520[[#This Row],[BOYA KODU]],Tablo14[#All],4,0)," ")</f>
        <v xml:space="preserve"> </v>
      </c>
      <c r="L36" s="100" t="str">
        <f>IFERROR(VLOOKUP(Tablo520[[#This Row],[BOYA KODU]],Tablo14[#All],6,0)," ")</f>
        <v xml:space="preserve"> </v>
      </c>
      <c r="M36" s="100" t="str">
        <f t="shared" si="0"/>
        <v xml:space="preserve"> </v>
      </c>
      <c r="N36" s="100" t="str">
        <f>IFERROR(VLOOKUP(Tablo520[[#This Row],[ÜRÜN KODU]],YMKODLARI!$A$1:$K$373,8,0)," ")</f>
        <v xml:space="preserve"> </v>
      </c>
      <c r="O36" s="100" t="str">
        <f>IFERROR(VLOOKUP(Tablo520[[#This Row],[HAMMADDE KODU]],Tablo1[#All],3,0)," ")</f>
        <v xml:space="preserve"> </v>
      </c>
      <c r="P36" s="100" t="str">
        <f>IFERROR(VLOOKUP(Tablo520[[#This Row],[HAMMADDE KODU]],Tablo1[#All],4,0)," ")</f>
        <v xml:space="preserve"> </v>
      </c>
      <c r="Q36" s="100" t="str">
        <f>IFERROR(VLOOKUP(Tablo520[[#This Row],[ÜRÜN KODU]],YMKODLARI!$A$1:$K$373,5,0)," ")</f>
        <v xml:space="preserve"> </v>
      </c>
      <c r="R36" s="100" t="str">
        <f>IFERROR(VLOOKUP(Tablo520[[#This Row],[ÜRÜN KODU]],YMKODLARI!$A$1:$K$373,6,0)," ")</f>
        <v xml:space="preserve"> </v>
      </c>
      <c r="S36" s="100" t="str">
        <f>IFERROR(Tablo520[[#This Row],[YOLLUK HARİÇ BASKI GRAMI]]/Tablo520[[#This Row],[KALIP GÖZ ADEDİ]]," ")</f>
        <v xml:space="preserve"> </v>
      </c>
      <c r="T36" s="100" t="str">
        <f t="shared" si="2"/>
        <v xml:space="preserve"> </v>
      </c>
      <c r="U36" s="100"/>
      <c r="V36" s="100" t="str">
        <f t="shared" si="1"/>
        <v xml:space="preserve"> </v>
      </c>
      <c r="W36" s="101">
        <f t="shared" si="3"/>
        <v>24</v>
      </c>
      <c r="X36" s="102">
        <f t="shared" si="4"/>
        <v>0</v>
      </c>
      <c r="Y36" s="100" t="str">
        <f t="shared" si="5"/>
        <v xml:space="preserve"> </v>
      </c>
      <c r="Z36" s="100" t="str">
        <f t="shared" si="6"/>
        <v xml:space="preserve"> </v>
      </c>
    </row>
    <row r="37" spans="1:26">
      <c r="A37" s="100"/>
      <c r="B37" s="100" t="str">
        <f>IFERROR(VLOOKUP(Tablo520[[#This Row],[ÜRÜN KODU]],YMKODLARI!$A$1:$K$373,2,0)," ")</f>
        <v xml:space="preserve"> </v>
      </c>
      <c r="C37" s="99"/>
      <c r="D37" s="100"/>
      <c r="E37" s="101"/>
      <c r="F37" s="101"/>
      <c r="G37" s="100" t="str">
        <f>IFERROR(VLOOKUP(Tablo520[[#This Row],[ÜRÜN KODU]],YMKODLARI!$A$1:$K$373,3,0)," ")</f>
        <v xml:space="preserve"> </v>
      </c>
      <c r="H37" s="100" t="str">
        <f>IFERROR(VLOOKUP(Tablo520[[#This Row],[ÜRÜN KODU]],YMKODLARI!$A$1:$K$373,4,0)," ")</f>
        <v xml:space="preserve"> </v>
      </c>
      <c r="I37" s="100"/>
      <c r="J37" s="100" t="str">
        <f>IFERROR(VLOOKUP(Tablo520[[#This Row],[ÜRÜN KODU]],YMKODLARI!$A$1:$K$373,9,0)," ")</f>
        <v xml:space="preserve"> </v>
      </c>
      <c r="K37" s="100" t="str">
        <f>IFERROR(VLOOKUP(Tablo520[[#This Row],[BOYA KODU]],Tablo14[#All],4,0)," ")</f>
        <v xml:space="preserve"> </v>
      </c>
      <c r="L37" s="100" t="str">
        <f>IFERROR(VLOOKUP(Tablo520[[#This Row],[BOYA KODU]],Tablo14[#All],6,0)," ")</f>
        <v xml:space="preserve"> </v>
      </c>
      <c r="M37" s="100" t="str">
        <f t="shared" si="0"/>
        <v xml:space="preserve"> </v>
      </c>
      <c r="N37" s="100" t="str">
        <f>IFERROR(VLOOKUP(Tablo520[[#This Row],[ÜRÜN KODU]],YMKODLARI!$A$1:$K$373,8,0)," ")</f>
        <v xml:space="preserve"> </v>
      </c>
      <c r="O37" s="100" t="str">
        <f>IFERROR(VLOOKUP(Tablo520[[#This Row],[HAMMADDE KODU]],Tablo1[#All],3,0)," ")</f>
        <v xml:space="preserve"> </v>
      </c>
      <c r="P37" s="100" t="str">
        <f>IFERROR(VLOOKUP(Tablo520[[#This Row],[HAMMADDE KODU]],Tablo1[#All],4,0)," ")</f>
        <v xml:space="preserve"> </v>
      </c>
      <c r="Q37" s="100" t="str">
        <f>IFERROR(VLOOKUP(Tablo520[[#This Row],[ÜRÜN KODU]],YMKODLARI!$A$1:$K$373,5,0)," ")</f>
        <v xml:space="preserve"> </v>
      </c>
      <c r="R37" s="100" t="str">
        <f>IFERROR(VLOOKUP(Tablo520[[#This Row],[ÜRÜN KODU]],YMKODLARI!$A$1:$K$373,6,0)," ")</f>
        <v xml:space="preserve"> </v>
      </c>
      <c r="S37" s="100" t="str">
        <f>IFERROR(Tablo520[[#This Row],[YOLLUK HARİÇ BASKI GRAMI]]/Tablo520[[#This Row],[KALIP GÖZ ADEDİ]]," ")</f>
        <v xml:space="preserve"> </v>
      </c>
      <c r="T37" s="100" t="str">
        <f t="shared" si="2"/>
        <v xml:space="preserve"> </v>
      </c>
      <c r="U37" s="100"/>
      <c r="V37" s="100" t="str">
        <f t="shared" si="1"/>
        <v xml:space="preserve"> </v>
      </c>
      <c r="W37" s="101">
        <f t="shared" si="3"/>
        <v>24</v>
      </c>
      <c r="X37" s="102">
        <f t="shared" si="4"/>
        <v>0</v>
      </c>
      <c r="Y37" s="100" t="str">
        <f t="shared" si="5"/>
        <v xml:space="preserve"> </v>
      </c>
      <c r="Z37" s="100" t="str">
        <f t="shared" si="6"/>
        <v xml:space="preserve"> </v>
      </c>
    </row>
    <row r="38" spans="1:26">
      <c r="A38" s="100"/>
      <c r="B38" s="100" t="str">
        <f>IFERROR(VLOOKUP(Tablo520[[#This Row],[ÜRÜN KODU]],YMKODLARI!$A$1:$K$373,2,0)," ")</f>
        <v xml:space="preserve"> </v>
      </c>
      <c r="C38" s="99"/>
      <c r="D38" s="100"/>
      <c r="E38" s="101"/>
      <c r="F38" s="101"/>
      <c r="G38" s="100" t="str">
        <f>IFERROR(VLOOKUP(Tablo520[[#This Row],[ÜRÜN KODU]],YMKODLARI!$A$1:$K$373,3,0)," ")</f>
        <v xml:space="preserve"> </v>
      </c>
      <c r="H38" s="100" t="str">
        <f>IFERROR(VLOOKUP(Tablo520[[#This Row],[ÜRÜN KODU]],YMKODLARI!$A$1:$K$373,4,0)," ")</f>
        <v xml:space="preserve"> </v>
      </c>
      <c r="I38" s="100"/>
      <c r="J38" s="100" t="str">
        <f>IFERROR(VLOOKUP(Tablo520[[#This Row],[ÜRÜN KODU]],YMKODLARI!$A$1:$K$373,9,0)," ")</f>
        <v xml:space="preserve"> </v>
      </c>
      <c r="K38" s="100" t="str">
        <f>IFERROR(VLOOKUP(Tablo520[[#This Row],[BOYA KODU]],Tablo14[#All],4,0)," ")</f>
        <v xml:space="preserve"> </v>
      </c>
      <c r="L38" s="100" t="str">
        <f>IFERROR(VLOOKUP(Tablo520[[#This Row],[BOYA KODU]],Tablo14[#All],6,0)," ")</f>
        <v xml:space="preserve"> </v>
      </c>
      <c r="M38" s="100" t="str">
        <f t="shared" si="0"/>
        <v xml:space="preserve"> </v>
      </c>
      <c r="N38" s="100" t="str">
        <f>IFERROR(VLOOKUP(Tablo520[[#This Row],[ÜRÜN KODU]],YMKODLARI!$A$1:$K$373,8,0)," ")</f>
        <v xml:space="preserve"> </v>
      </c>
      <c r="O38" s="100" t="str">
        <f>IFERROR(VLOOKUP(Tablo520[[#This Row],[HAMMADDE KODU]],Tablo1[#All],3,0)," ")</f>
        <v xml:space="preserve"> </v>
      </c>
      <c r="P38" s="100" t="str">
        <f>IFERROR(VLOOKUP(Tablo520[[#This Row],[HAMMADDE KODU]],Tablo1[#All],4,0)," ")</f>
        <v xml:space="preserve"> </v>
      </c>
      <c r="Q38" s="100" t="str">
        <f>IFERROR(VLOOKUP(Tablo520[[#This Row],[ÜRÜN KODU]],YMKODLARI!$A$1:$K$373,5,0)," ")</f>
        <v xml:space="preserve"> </v>
      </c>
      <c r="R38" s="100" t="str">
        <f>IFERROR(VLOOKUP(Tablo520[[#This Row],[ÜRÜN KODU]],YMKODLARI!$A$1:$K$373,6,0)," ")</f>
        <v xml:space="preserve"> </v>
      </c>
      <c r="S38" s="100" t="str">
        <f>IFERROR(Tablo520[[#This Row],[YOLLUK HARİÇ BASKI GRAMI]]/Tablo520[[#This Row],[KALIP GÖZ ADEDİ]]," ")</f>
        <v xml:space="preserve"> </v>
      </c>
      <c r="T38" s="100" t="str">
        <f t="shared" si="2"/>
        <v xml:space="preserve"> </v>
      </c>
      <c r="U38" s="100"/>
      <c r="V38" s="100" t="str">
        <f t="shared" si="1"/>
        <v xml:space="preserve"> </v>
      </c>
      <c r="W38" s="101">
        <f t="shared" si="3"/>
        <v>24</v>
      </c>
      <c r="X38" s="102">
        <f t="shared" si="4"/>
        <v>0</v>
      </c>
      <c r="Y38" s="100" t="str">
        <f t="shared" si="5"/>
        <v xml:space="preserve"> </v>
      </c>
      <c r="Z38" s="100" t="str">
        <f t="shared" si="6"/>
        <v xml:space="preserve"> </v>
      </c>
    </row>
    <row r="39" spans="1:26">
      <c r="A39" s="100"/>
      <c r="B39" s="100" t="str">
        <f>IFERROR(VLOOKUP(Tablo520[[#This Row],[ÜRÜN KODU]],YMKODLARI!$A$1:$K$373,2,0)," ")</f>
        <v xml:space="preserve"> </v>
      </c>
      <c r="C39" s="99"/>
      <c r="D39" s="100"/>
      <c r="E39" s="101"/>
      <c r="F39" s="101"/>
      <c r="G39" s="100" t="str">
        <f>IFERROR(VLOOKUP(Tablo520[[#This Row],[ÜRÜN KODU]],YMKODLARI!$A$1:$K$373,3,0)," ")</f>
        <v xml:space="preserve"> </v>
      </c>
      <c r="H39" s="100" t="str">
        <f>IFERROR(VLOOKUP(Tablo520[[#This Row],[ÜRÜN KODU]],YMKODLARI!$A$1:$K$373,4,0)," ")</f>
        <v xml:space="preserve"> </v>
      </c>
      <c r="I39" s="100"/>
      <c r="J39" s="100" t="str">
        <f>IFERROR(VLOOKUP(Tablo520[[#This Row],[ÜRÜN KODU]],YMKODLARI!$A$1:$K$373,9,0)," ")</f>
        <v xml:space="preserve"> </v>
      </c>
      <c r="K39" s="100" t="str">
        <f>IFERROR(VLOOKUP(Tablo520[[#This Row],[BOYA KODU]],Tablo14[#All],4,0)," ")</f>
        <v xml:space="preserve"> </v>
      </c>
      <c r="L39" s="100" t="str">
        <f>IFERROR(VLOOKUP(Tablo520[[#This Row],[BOYA KODU]],Tablo14[#All],6,0)," ")</f>
        <v xml:space="preserve"> </v>
      </c>
      <c r="M39" s="100" t="str">
        <f t="shared" si="0"/>
        <v xml:space="preserve"> </v>
      </c>
      <c r="N39" s="100" t="str">
        <f>IFERROR(VLOOKUP(Tablo520[[#This Row],[ÜRÜN KODU]],YMKODLARI!$A$1:$K$373,8,0)," ")</f>
        <v xml:space="preserve"> </v>
      </c>
      <c r="O39" s="100" t="str">
        <f>IFERROR(VLOOKUP(Tablo520[[#This Row],[HAMMADDE KODU]],Tablo1[#All],3,0)," ")</f>
        <v xml:space="preserve"> </v>
      </c>
      <c r="P39" s="100" t="str">
        <f>IFERROR(VLOOKUP(Tablo520[[#This Row],[HAMMADDE KODU]],Tablo1[#All],4,0)," ")</f>
        <v xml:space="preserve"> </v>
      </c>
      <c r="Q39" s="100" t="str">
        <f>IFERROR(VLOOKUP(Tablo520[[#This Row],[ÜRÜN KODU]],YMKODLARI!$A$1:$K$373,5,0)," ")</f>
        <v xml:space="preserve"> </v>
      </c>
      <c r="R39" s="100" t="str">
        <f>IFERROR(VLOOKUP(Tablo520[[#This Row],[ÜRÜN KODU]],YMKODLARI!$A$1:$K$373,6,0)," ")</f>
        <v xml:space="preserve"> </v>
      </c>
      <c r="S39" s="100" t="str">
        <f>IFERROR(Tablo520[[#This Row],[YOLLUK HARİÇ BASKI GRAMI]]/Tablo520[[#This Row],[KALIP GÖZ ADEDİ]]," ")</f>
        <v xml:space="preserve"> </v>
      </c>
      <c r="T39" s="100" t="str">
        <f t="shared" si="2"/>
        <v xml:space="preserve"> </v>
      </c>
      <c r="U39" s="100"/>
      <c r="V39" s="100" t="str">
        <f t="shared" si="1"/>
        <v xml:space="preserve"> </v>
      </c>
      <c r="W39" s="101">
        <f t="shared" si="3"/>
        <v>24</v>
      </c>
      <c r="X39" s="102">
        <f t="shared" si="4"/>
        <v>0</v>
      </c>
      <c r="Y39" s="100" t="str">
        <f t="shared" si="5"/>
        <v xml:space="preserve"> </v>
      </c>
      <c r="Z39" s="100" t="str">
        <f t="shared" si="6"/>
        <v xml:space="preserve"> </v>
      </c>
    </row>
    <row r="40" spans="1:26">
      <c r="A40" s="100"/>
      <c r="B40" s="100" t="str">
        <f>IFERROR(VLOOKUP(Tablo520[[#This Row],[ÜRÜN KODU]],YMKODLARI!$A$1:$K$373,2,0)," ")</f>
        <v xml:space="preserve"> </v>
      </c>
      <c r="C40" s="99"/>
      <c r="D40" s="100"/>
      <c r="E40" s="101"/>
      <c r="F40" s="101"/>
      <c r="G40" s="100" t="str">
        <f>IFERROR(VLOOKUP(Tablo520[[#This Row],[ÜRÜN KODU]],YMKODLARI!$A$1:$K$373,3,0)," ")</f>
        <v xml:space="preserve"> </v>
      </c>
      <c r="H40" s="100" t="str">
        <f>IFERROR(VLOOKUP(Tablo520[[#This Row],[ÜRÜN KODU]],YMKODLARI!$A$1:$K$373,4,0)," ")</f>
        <v xml:space="preserve"> </v>
      </c>
      <c r="I40" s="100"/>
      <c r="J40" s="100" t="str">
        <f>IFERROR(VLOOKUP(Tablo520[[#This Row],[ÜRÜN KODU]],YMKODLARI!$A$1:$K$373,9,0)," ")</f>
        <v xml:space="preserve"> </v>
      </c>
      <c r="K40" s="100" t="str">
        <f>IFERROR(VLOOKUP(Tablo520[[#This Row],[BOYA KODU]],Tablo14[#All],4,0)," ")</f>
        <v xml:space="preserve"> </v>
      </c>
      <c r="L40" s="100" t="str">
        <f>IFERROR(VLOOKUP(Tablo520[[#This Row],[BOYA KODU]],Tablo14[#All],6,0)," ")</f>
        <v xml:space="preserve"> </v>
      </c>
      <c r="M40" s="100" t="str">
        <f t="shared" si="0"/>
        <v xml:space="preserve"> </v>
      </c>
      <c r="N40" s="100" t="str">
        <f>IFERROR(VLOOKUP(Tablo520[[#This Row],[ÜRÜN KODU]],YMKODLARI!$A$1:$K$373,8,0)," ")</f>
        <v xml:space="preserve"> </v>
      </c>
      <c r="O40" s="100" t="str">
        <f>IFERROR(VLOOKUP(Tablo520[[#This Row],[HAMMADDE KODU]],Tablo1[#All],3,0)," ")</f>
        <v xml:space="preserve"> </v>
      </c>
      <c r="P40" s="100" t="str">
        <f>IFERROR(VLOOKUP(Tablo520[[#This Row],[HAMMADDE KODU]],Tablo1[#All],4,0)," ")</f>
        <v xml:space="preserve"> </v>
      </c>
      <c r="Q40" s="100" t="str">
        <f>IFERROR(VLOOKUP(Tablo520[[#This Row],[ÜRÜN KODU]],YMKODLARI!$A$1:$K$373,5,0)," ")</f>
        <v xml:space="preserve"> </v>
      </c>
      <c r="R40" s="100" t="str">
        <f>IFERROR(VLOOKUP(Tablo520[[#This Row],[ÜRÜN KODU]],YMKODLARI!$A$1:$K$373,6,0)," ")</f>
        <v xml:space="preserve"> </v>
      </c>
      <c r="S40" s="100" t="str">
        <f>IFERROR(Tablo520[[#This Row],[YOLLUK HARİÇ BASKI GRAMI]]/Tablo520[[#This Row],[KALIP GÖZ ADEDİ]]," ")</f>
        <v xml:space="preserve"> </v>
      </c>
      <c r="T40" s="100" t="str">
        <f t="shared" si="2"/>
        <v xml:space="preserve"> </v>
      </c>
      <c r="U40" s="100"/>
      <c r="V40" s="100" t="str">
        <f t="shared" si="1"/>
        <v xml:space="preserve"> </v>
      </c>
      <c r="W40" s="101">
        <f t="shared" si="3"/>
        <v>24</v>
      </c>
      <c r="X40" s="102">
        <f t="shared" si="4"/>
        <v>0</v>
      </c>
      <c r="Y40" s="100" t="str">
        <f t="shared" si="5"/>
        <v xml:space="preserve"> </v>
      </c>
      <c r="Z40" s="100" t="str">
        <f t="shared" si="6"/>
        <v xml:space="preserve"> </v>
      </c>
    </row>
    <row r="41" spans="1:26">
      <c r="A41" s="100"/>
      <c r="B41" s="100" t="str">
        <f>IFERROR(VLOOKUP(Tablo520[[#This Row],[ÜRÜN KODU]],YMKODLARI!$A$1:$K$373,2,0)," ")</f>
        <v xml:space="preserve"> </v>
      </c>
      <c r="C41" s="99"/>
      <c r="D41" s="100"/>
      <c r="E41" s="101"/>
      <c r="F41" s="101"/>
      <c r="G41" s="100" t="str">
        <f>IFERROR(VLOOKUP(Tablo520[[#This Row],[ÜRÜN KODU]],YMKODLARI!$A$1:$K$373,3,0)," ")</f>
        <v xml:space="preserve"> </v>
      </c>
      <c r="H41" s="100" t="str">
        <f>IFERROR(VLOOKUP(Tablo520[[#This Row],[ÜRÜN KODU]],YMKODLARI!$A$1:$K$373,4,0)," ")</f>
        <v xml:space="preserve"> </v>
      </c>
      <c r="I41" s="100"/>
      <c r="J41" s="100" t="str">
        <f>IFERROR(VLOOKUP(Tablo520[[#This Row],[ÜRÜN KODU]],YMKODLARI!$A$1:$K$373,9,0)," ")</f>
        <v xml:space="preserve"> </v>
      </c>
      <c r="K41" s="100" t="str">
        <f>IFERROR(VLOOKUP(Tablo520[[#This Row],[BOYA KODU]],Tablo14[#All],4,0)," ")</f>
        <v xml:space="preserve"> </v>
      </c>
      <c r="L41" s="100" t="str">
        <f>IFERROR(VLOOKUP(Tablo520[[#This Row],[BOYA KODU]],Tablo14[#All],6,0)," ")</f>
        <v xml:space="preserve"> </v>
      </c>
      <c r="M41" s="100" t="str">
        <f t="shared" si="0"/>
        <v xml:space="preserve"> </v>
      </c>
      <c r="N41" s="100" t="str">
        <f>IFERROR(VLOOKUP(Tablo520[[#This Row],[ÜRÜN KODU]],YMKODLARI!$A$1:$K$373,8,0)," ")</f>
        <v xml:space="preserve"> </v>
      </c>
      <c r="O41" s="100" t="str">
        <f>IFERROR(VLOOKUP(Tablo520[[#This Row],[HAMMADDE KODU]],Tablo1[#All],3,0)," ")</f>
        <v xml:space="preserve"> </v>
      </c>
      <c r="P41" s="100" t="str">
        <f>IFERROR(VLOOKUP(Tablo520[[#This Row],[HAMMADDE KODU]],Tablo1[#All],4,0)," ")</f>
        <v xml:space="preserve"> </v>
      </c>
      <c r="Q41" s="100" t="str">
        <f>IFERROR(VLOOKUP(Tablo520[[#This Row],[ÜRÜN KODU]],YMKODLARI!$A$1:$K$373,5,0)," ")</f>
        <v xml:space="preserve"> </v>
      </c>
      <c r="R41" s="100" t="str">
        <f>IFERROR(VLOOKUP(Tablo520[[#This Row],[ÜRÜN KODU]],YMKODLARI!$A$1:$K$373,6,0)," ")</f>
        <v xml:space="preserve"> </v>
      </c>
      <c r="S41" s="100" t="str">
        <f>IFERROR(Tablo520[[#This Row],[YOLLUK HARİÇ BASKI GRAMI]]/Tablo520[[#This Row],[KALIP GÖZ ADEDİ]]," ")</f>
        <v xml:space="preserve"> </v>
      </c>
      <c r="T41" s="100" t="str">
        <f t="shared" si="2"/>
        <v xml:space="preserve"> </v>
      </c>
      <c r="U41" s="100"/>
      <c r="V41" s="100" t="str">
        <f t="shared" si="1"/>
        <v xml:space="preserve"> </v>
      </c>
      <c r="W41" s="101">
        <f t="shared" si="3"/>
        <v>24</v>
      </c>
      <c r="X41" s="102">
        <f t="shared" si="4"/>
        <v>0</v>
      </c>
      <c r="Y41" s="100" t="str">
        <f t="shared" si="5"/>
        <v xml:space="preserve"> </v>
      </c>
      <c r="Z41" s="100" t="str">
        <f t="shared" si="6"/>
        <v xml:space="preserve"> </v>
      </c>
    </row>
    <row r="42" spans="1:26">
      <c r="A42" s="100"/>
      <c r="B42" s="100" t="str">
        <f>IFERROR(VLOOKUP(Tablo520[[#This Row],[ÜRÜN KODU]],YMKODLARI!$A$1:$K$373,2,0)," ")</f>
        <v xml:space="preserve"> </v>
      </c>
      <c r="C42" s="99"/>
      <c r="D42" s="100"/>
      <c r="E42" s="101"/>
      <c r="F42" s="101"/>
      <c r="G42" s="100" t="str">
        <f>IFERROR(VLOOKUP(Tablo520[[#This Row],[ÜRÜN KODU]],YMKODLARI!$A$1:$K$373,3,0)," ")</f>
        <v xml:space="preserve"> </v>
      </c>
      <c r="H42" s="100" t="str">
        <f>IFERROR(VLOOKUP(Tablo520[[#This Row],[ÜRÜN KODU]],YMKODLARI!$A$1:$K$373,4,0)," ")</f>
        <v xml:space="preserve"> </v>
      </c>
      <c r="I42" s="100"/>
      <c r="J42" s="100" t="str">
        <f>IFERROR(VLOOKUP(Tablo520[[#This Row],[ÜRÜN KODU]],YMKODLARI!$A$1:$K$373,9,0)," ")</f>
        <v xml:space="preserve"> </v>
      </c>
      <c r="K42" s="100" t="str">
        <f>IFERROR(VLOOKUP(Tablo520[[#This Row],[BOYA KODU]],Tablo14[#All],4,0)," ")</f>
        <v xml:space="preserve"> </v>
      </c>
      <c r="L42" s="100" t="str">
        <f>IFERROR(VLOOKUP(Tablo520[[#This Row],[BOYA KODU]],Tablo14[#All],6,0)," ")</f>
        <v xml:space="preserve"> </v>
      </c>
      <c r="M42" s="100" t="str">
        <f t="shared" si="0"/>
        <v xml:space="preserve"> </v>
      </c>
      <c r="N42" s="100" t="str">
        <f>IFERROR(VLOOKUP(Tablo520[[#This Row],[ÜRÜN KODU]],YMKODLARI!$A$1:$K$373,8,0)," ")</f>
        <v xml:space="preserve"> </v>
      </c>
      <c r="O42" s="100" t="str">
        <f>IFERROR(VLOOKUP(Tablo520[[#This Row],[HAMMADDE KODU]],Tablo1[#All],3,0)," ")</f>
        <v xml:space="preserve"> </v>
      </c>
      <c r="P42" s="100" t="str">
        <f>IFERROR(VLOOKUP(Tablo520[[#This Row],[HAMMADDE KODU]],Tablo1[#All],4,0)," ")</f>
        <v xml:space="preserve"> </v>
      </c>
      <c r="Q42" s="100" t="str">
        <f>IFERROR(VLOOKUP(Tablo520[[#This Row],[ÜRÜN KODU]],YMKODLARI!$A$1:$K$373,5,0)," ")</f>
        <v xml:space="preserve"> </v>
      </c>
      <c r="R42" s="100" t="str">
        <f>IFERROR(VLOOKUP(Tablo520[[#This Row],[ÜRÜN KODU]],YMKODLARI!$A$1:$K$373,6,0)," ")</f>
        <v xml:space="preserve"> </v>
      </c>
      <c r="S42" s="100" t="str">
        <f>IFERROR(Tablo520[[#This Row],[YOLLUK HARİÇ BASKI GRAMI]]/Tablo520[[#This Row],[KALIP GÖZ ADEDİ]]," ")</f>
        <v xml:space="preserve"> </v>
      </c>
      <c r="T42" s="100" t="str">
        <f t="shared" si="2"/>
        <v xml:space="preserve"> </v>
      </c>
      <c r="U42" s="100"/>
      <c r="V42" s="100" t="str">
        <f t="shared" si="1"/>
        <v xml:space="preserve"> </v>
      </c>
      <c r="W42" s="101">
        <f t="shared" si="3"/>
        <v>24</v>
      </c>
      <c r="X42" s="102">
        <f t="shared" si="4"/>
        <v>0</v>
      </c>
      <c r="Y42" s="100" t="str">
        <f t="shared" si="5"/>
        <v xml:space="preserve"> </v>
      </c>
      <c r="Z42" s="100" t="str">
        <f t="shared" si="6"/>
        <v xml:space="preserve"> </v>
      </c>
    </row>
    <row r="43" spans="1:26">
      <c r="A43" s="100"/>
      <c r="B43" s="100" t="str">
        <f>IFERROR(VLOOKUP(Tablo520[[#This Row],[ÜRÜN KODU]],YMKODLARI!$A$1:$K$373,2,0)," ")</f>
        <v xml:space="preserve"> </v>
      </c>
      <c r="C43" s="99"/>
      <c r="D43" s="100"/>
      <c r="E43" s="101"/>
      <c r="F43" s="101"/>
      <c r="G43" s="100" t="str">
        <f>IFERROR(VLOOKUP(Tablo520[[#This Row],[ÜRÜN KODU]],YMKODLARI!$A$1:$K$373,3,0)," ")</f>
        <v xml:space="preserve"> </v>
      </c>
      <c r="H43" s="100" t="str">
        <f>IFERROR(VLOOKUP(Tablo520[[#This Row],[ÜRÜN KODU]],YMKODLARI!$A$1:$K$373,4,0)," ")</f>
        <v xml:space="preserve"> </v>
      </c>
      <c r="I43" s="100"/>
      <c r="J43" s="100" t="str">
        <f>IFERROR(VLOOKUP(Tablo520[[#This Row],[ÜRÜN KODU]],YMKODLARI!$A$1:$K$373,9,0)," ")</f>
        <v xml:space="preserve"> </v>
      </c>
      <c r="K43" s="100" t="str">
        <f>IFERROR(VLOOKUP(Tablo520[[#This Row],[BOYA KODU]],Tablo14[#All],4,0)," ")</f>
        <v xml:space="preserve"> </v>
      </c>
      <c r="L43" s="100" t="str">
        <f>IFERROR(VLOOKUP(Tablo520[[#This Row],[BOYA KODU]],Tablo14[#All],6,0)," ")</f>
        <v xml:space="preserve"> </v>
      </c>
      <c r="M43" s="100" t="str">
        <f t="shared" si="0"/>
        <v xml:space="preserve"> </v>
      </c>
      <c r="N43" s="100" t="str">
        <f>IFERROR(VLOOKUP(Tablo520[[#This Row],[ÜRÜN KODU]],YMKODLARI!$A$1:$K$373,8,0)," ")</f>
        <v xml:space="preserve"> </v>
      </c>
      <c r="O43" s="100" t="str">
        <f>IFERROR(VLOOKUP(Tablo520[[#This Row],[HAMMADDE KODU]],Tablo1[#All],3,0)," ")</f>
        <v xml:space="preserve"> </v>
      </c>
      <c r="P43" s="100" t="str">
        <f>IFERROR(VLOOKUP(Tablo520[[#This Row],[HAMMADDE KODU]],Tablo1[#All],4,0)," ")</f>
        <v xml:space="preserve"> </v>
      </c>
      <c r="Q43" s="100" t="str">
        <f>IFERROR(VLOOKUP(Tablo520[[#This Row],[ÜRÜN KODU]],YMKODLARI!$A$1:$K$373,5,0)," ")</f>
        <v xml:space="preserve"> </v>
      </c>
      <c r="R43" s="100" t="str">
        <f>IFERROR(VLOOKUP(Tablo520[[#This Row],[ÜRÜN KODU]],YMKODLARI!$A$1:$K$373,6,0)," ")</f>
        <v xml:space="preserve"> </v>
      </c>
      <c r="S43" s="100" t="str">
        <f>IFERROR(Tablo520[[#This Row],[YOLLUK HARİÇ BASKI GRAMI]]/Tablo520[[#This Row],[KALIP GÖZ ADEDİ]]," ")</f>
        <v xml:space="preserve"> </v>
      </c>
      <c r="T43" s="100" t="str">
        <f t="shared" si="2"/>
        <v xml:space="preserve"> </v>
      </c>
      <c r="U43" s="100"/>
      <c r="V43" s="100" t="str">
        <f t="shared" si="1"/>
        <v xml:space="preserve"> </v>
      </c>
      <c r="W43" s="101">
        <f t="shared" si="3"/>
        <v>24</v>
      </c>
      <c r="X43" s="102">
        <f t="shared" si="4"/>
        <v>0</v>
      </c>
      <c r="Y43" s="100" t="str">
        <f t="shared" si="5"/>
        <v xml:space="preserve"> </v>
      </c>
      <c r="Z43" s="100" t="str">
        <f t="shared" si="6"/>
        <v xml:space="preserve"> </v>
      </c>
    </row>
    <row r="44" spans="1:26">
      <c r="A44" s="100"/>
      <c r="B44" s="100" t="str">
        <f>IFERROR(VLOOKUP(Tablo520[[#This Row],[ÜRÜN KODU]],YMKODLARI!$A$1:$K$373,2,0)," ")</f>
        <v xml:space="preserve"> </v>
      </c>
      <c r="C44" s="99"/>
      <c r="D44" s="100"/>
      <c r="E44" s="101"/>
      <c r="F44" s="101"/>
      <c r="G44" s="100" t="str">
        <f>IFERROR(VLOOKUP(Tablo520[[#This Row],[ÜRÜN KODU]],YMKODLARI!$A$1:$K$373,3,0)," ")</f>
        <v xml:space="preserve"> </v>
      </c>
      <c r="H44" s="100" t="str">
        <f>IFERROR(VLOOKUP(Tablo520[[#This Row],[ÜRÜN KODU]],YMKODLARI!$A$1:$K$373,4,0)," ")</f>
        <v xml:space="preserve"> </v>
      </c>
      <c r="I44" s="100"/>
      <c r="J44" s="100" t="str">
        <f>IFERROR(VLOOKUP(Tablo520[[#This Row],[ÜRÜN KODU]],YMKODLARI!$A$1:$K$373,9,0)," ")</f>
        <v xml:space="preserve"> </v>
      </c>
      <c r="K44" s="100" t="str">
        <f>IFERROR(VLOOKUP(Tablo520[[#This Row],[BOYA KODU]],Tablo14[#All],4,0)," ")</f>
        <v xml:space="preserve"> </v>
      </c>
      <c r="L44" s="100" t="str">
        <f>IFERROR(VLOOKUP(Tablo520[[#This Row],[BOYA KODU]],Tablo14[#All],6,0)," ")</f>
        <v xml:space="preserve"> </v>
      </c>
      <c r="M44" s="100" t="str">
        <f t="shared" si="0"/>
        <v xml:space="preserve"> </v>
      </c>
      <c r="N44" s="100" t="str">
        <f>IFERROR(VLOOKUP(Tablo520[[#This Row],[ÜRÜN KODU]],YMKODLARI!$A$1:$K$373,8,0)," ")</f>
        <v xml:space="preserve"> </v>
      </c>
      <c r="O44" s="100" t="str">
        <f>IFERROR(VLOOKUP(Tablo520[[#This Row],[HAMMADDE KODU]],Tablo1[#All],3,0)," ")</f>
        <v xml:space="preserve"> </v>
      </c>
      <c r="P44" s="100" t="str">
        <f>IFERROR(VLOOKUP(Tablo520[[#This Row],[HAMMADDE KODU]],Tablo1[#All],4,0)," ")</f>
        <v xml:space="preserve"> </v>
      </c>
      <c r="Q44" s="100" t="str">
        <f>IFERROR(VLOOKUP(Tablo520[[#This Row],[ÜRÜN KODU]],YMKODLARI!$A$1:$K$373,5,0)," ")</f>
        <v xml:space="preserve"> </v>
      </c>
      <c r="R44" s="100" t="str">
        <f>IFERROR(VLOOKUP(Tablo520[[#This Row],[ÜRÜN KODU]],YMKODLARI!$A$1:$K$373,6,0)," ")</f>
        <v xml:space="preserve"> </v>
      </c>
      <c r="S44" s="100" t="str">
        <f>IFERROR(Tablo520[[#This Row],[YOLLUK HARİÇ BASKI GRAMI]]/Tablo520[[#This Row],[KALIP GÖZ ADEDİ]]," ")</f>
        <v xml:space="preserve"> </v>
      </c>
      <c r="T44" s="100" t="str">
        <f t="shared" si="2"/>
        <v xml:space="preserve"> </v>
      </c>
      <c r="U44" s="100"/>
      <c r="V44" s="100" t="str">
        <f t="shared" si="1"/>
        <v xml:space="preserve"> </v>
      </c>
      <c r="W44" s="101">
        <f t="shared" si="3"/>
        <v>24</v>
      </c>
      <c r="X44" s="102">
        <f t="shared" si="4"/>
        <v>0</v>
      </c>
      <c r="Y44" s="100" t="str">
        <f t="shared" si="5"/>
        <v xml:space="preserve"> </v>
      </c>
      <c r="Z44" s="100" t="str">
        <f t="shared" si="6"/>
        <v xml:space="preserve"> </v>
      </c>
    </row>
    <row r="45" spans="1:26">
      <c r="A45" s="100"/>
      <c r="B45" s="100" t="str">
        <f>IFERROR(VLOOKUP(Tablo520[[#This Row],[ÜRÜN KODU]],YMKODLARI!$A$1:$K$373,2,0)," ")</f>
        <v xml:space="preserve"> </v>
      </c>
      <c r="C45" s="99"/>
      <c r="D45" s="100"/>
      <c r="E45" s="101"/>
      <c r="F45" s="101"/>
      <c r="G45" s="100" t="str">
        <f>IFERROR(VLOOKUP(Tablo520[[#This Row],[ÜRÜN KODU]],YMKODLARI!$A$1:$K$373,3,0)," ")</f>
        <v xml:space="preserve"> </v>
      </c>
      <c r="H45" s="100" t="str">
        <f>IFERROR(VLOOKUP(Tablo520[[#This Row],[ÜRÜN KODU]],YMKODLARI!$A$1:$K$373,4,0)," ")</f>
        <v xml:space="preserve"> </v>
      </c>
      <c r="I45" s="100"/>
      <c r="J45" s="100" t="str">
        <f>IFERROR(VLOOKUP(Tablo520[[#This Row],[ÜRÜN KODU]],YMKODLARI!$A$1:$K$373,9,0)," ")</f>
        <v xml:space="preserve"> </v>
      </c>
      <c r="K45" s="100" t="str">
        <f>IFERROR(VLOOKUP(Tablo520[[#This Row],[BOYA KODU]],Tablo14[#All],4,0)," ")</f>
        <v xml:space="preserve"> </v>
      </c>
      <c r="L45" s="100" t="str">
        <f>IFERROR(VLOOKUP(Tablo520[[#This Row],[BOYA KODU]],Tablo14[#All],6,0)," ")</f>
        <v xml:space="preserve"> </v>
      </c>
      <c r="M45" s="100" t="str">
        <f t="shared" si="0"/>
        <v xml:space="preserve"> </v>
      </c>
      <c r="N45" s="100" t="str">
        <f>IFERROR(VLOOKUP(Tablo520[[#This Row],[ÜRÜN KODU]],YMKODLARI!$A$1:$K$373,8,0)," ")</f>
        <v xml:space="preserve"> </v>
      </c>
      <c r="O45" s="100" t="str">
        <f>IFERROR(VLOOKUP(Tablo520[[#This Row],[HAMMADDE KODU]],Tablo1[#All],3,0)," ")</f>
        <v xml:space="preserve"> </v>
      </c>
      <c r="P45" s="100" t="str">
        <f>IFERROR(VLOOKUP(Tablo520[[#This Row],[HAMMADDE KODU]],Tablo1[#All],4,0)," ")</f>
        <v xml:space="preserve"> </v>
      </c>
      <c r="Q45" s="100" t="str">
        <f>IFERROR(VLOOKUP(Tablo520[[#This Row],[ÜRÜN KODU]],YMKODLARI!$A$1:$K$373,5,0)," ")</f>
        <v xml:space="preserve"> </v>
      </c>
      <c r="R45" s="100" t="str">
        <f>IFERROR(VLOOKUP(Tablo520[[#This Row],[ÜRÜN KODU]],YMKODLARI!$A$1:$K$373,6,0)," ")</f>
        <v xml:space="preserve"> </v>
      </c>
      <c r="S45" s="100" t="str">
        <f>IFERROR(Tablo520[[#This Row],[YOLLUK HARİÇ BASKI GRAMI]]/Tablo520[[#This Row],[KALIP GÖZ ADEDİ]]," ")</f>
        <v xml:space="preserve"> </v>
      </c>
      <c r="T45" s="100" t="str">
        <f t="shared" si="2"/>
        <v xml:space="preserve"> </v>
      </c>
      <c r="U45" s="100"/>
      <c r="V45" s="100" t="str">
        <f t="shared" si="1"/>
        <v xml:space="preserve"> </v>
      </c>
      <c r="W45" s="101">
        <f t="shared" si="3"/>
        <v>24</v>
      </c>
      <c r="X45" s="102">
        <f t="shared" si="4"/>
        <v>0</v>
      </c>
      <c r="Y45" s="100" t="str">
        <f t="shared" si="5"/>
        <v xml:space="preserve"> </v>
      </c>
      <c r="Z45" s="100" t="str">
        <f t="shared" si="6"/>
        <v xml:space="preserve"> </v>
      </c>
    </row>
    <row r="46" spans="1:26">
      <c r="A46" s="100"/>
      <c r="B46" s="100" t="str">
        <f>IFERROR(VLOOKUP(Tablo520[[#This Row],[ÜRÜN KODU]],YMKODLARI!$A$1:$K$373,2,0)," ")</f>
        <v xml:space="preserve"> </v>
      </c>
      <c r="C46" s="99"/>
      <c r="D46" s="100"/>
      <c r="E46" s="101"/>
      <c r="F46" s="101"/>
      <c r="G46" s="100" t="str">
        <f>IFERROR(VLOOKUP(Tablo520[[#This Row],[ÜRÜN KODU]],YMKODLARI!$A$1:$K$373,3,0)," ")</f>
        <v xml:space="preserve"> </v>
      </c>
      <c r="H46" s="100" t="str">
        <f>IFERROR(VLOOKUP(Tablo520[[#This Row],[ÜRÜN KODU]],YMKODLARI!$A$1:$K$373,4,0)," ")</f>
        <v xml:space="preserve"> </v>
      </c>
      <c r="I46" s="100"/>
      <c r="J46" s="100" t="str">
        <f>IFERROR(VLOOKUP(Tablo520[[#This Row],[ÜRÜN KODU]],YMKODLARI!$A$1:$K$373,9,0)," ")</f>
        <v xml:space="preserve"> </v>
      </c>
      <c r="K46" s="100" t="str">
        <f>IFERROR(VLOOKUP(Tablo520[[#This Row],[BOYA KODU]],Tablo14[#All],4,0)," ")</f>
        <v xml:space="preserve"> </v>
      </c>
      <c r="L46" s="100" t="str">
        <f>IFERROR(VLOOKUP(Tablo520[[#This Row],[BOYA KODU]],Tablo14[#All],6,0)," ")</f>
        <v xml:space="preserve"> </v>
      </c>
      <c r="M46" s="100" t="str">
        <f t="shared" si="0"/>
        <v xml:space="preserve"> </v>
      </c>
      <c r="N46" s="100" t="str">
        <f>IFERROR(VLOOKUP(Tablo520[[#This Row],[ÜRÜN KODU]],YMKODLARI!$A$1:$K$373,8,0)," ")</f>
        <v xml:space="preserve"> </v>
      </c>
      <c r="O46" s="100" t="str">
        <f>IFERROR(VLOOKUP(Tablo520[[#This Row],[HAMMADDE KODU]],Tablo1[#All],3,0)," ")</f>
        <v xml:space="preserve"> </v>
      </c>
      <c r="P46" s="100" t="str">
        <f>IFERROR(VLOOKUP(Tablo520[[#This Row],[HAMMADDE KODU]],Tablo1[#All],4,0)," ")</f>
        <v xml:space="preserve"> </v>
      </c>
      <c r="Q46" s="100" t="str">
        <f>IFERROR(VLOOKUP(Tablo520[[#This Row],[ÜRÜN KODU]],YMKODLARI!$A$1:$K$373,5,0)," ")</f>
        <v xml:space="preserve"> </v>
      </c>
      <c r="R46" s="100" t="str">
        <f>IFERROR(VLOOKUP(Tablo520[[#This Row],[ÜRÜN KODU]],YMKODLARI!$A$1:$K$373,6,0)," ")</f>
        <v xml:space="preserve"> </v>
      </c>
      <c r="S46" s="100" t="str">
        <f>IFERROR(Tablo520[[#This Row],[YOLLUK HARİÇ BASKI GRAMI]]/Tablo520[[#This Row],[KALIP GÖZ ADEDİ]]," ")</f>
        <v xml:space="preserve"> </v>
      </c>
      <c r="T46" s="100" t="str">
        <f t="shared" si="2"/>
        <v xml:space="preserve"> </v>
      </c>
      <c r="U46" s="100"/>
      <c r="V46" s="100" t="str">
        <f t="shared" si="1"/>
        <v xml:space="preserve"> </v>
      </c>
      <c r="W46" s="101">
        <f t="shared" si="3"/>
        <v>24</v>
      </c>
      <c r="X46" s="102">
        <f t="shared" si="4"/>
        <v>0</v>
      </c>
      <c r="Y46" s="100" t="str">
        <f t="shared" si="5"/>
        <v xml:space="preserve"> </v>
      </c>
      <c r="Z46" s="100" t="str">
        <f t="shared" si="6"/>
        <v xml:space="preserve"> </v>
      </c>
    </row>
    <row r="47" spans="1:26">
      <c r="A47" s="100"/>
      <c r="B47" s="100" t="str">
        <f>IFERROR(VLOOKUP(Tablo520[[#This Row],[ÜRÜN KODU]],YMKODLARI!$A$1:$K$373,2,0)," ")</f>
        <v xml:space="preserve"> </v>
      </c>
      <c r="C47" s="99"/>
      <c r="D47" s="100"/>
      <c r="E47" s="101"/>
      <c r="F47" s="101"/>
      <c r="G47" s="100" t="str">
        <f>IFERROR(VLOOKUP(Tablo520[[#This Row],[ÜRÜN KODU]],YMKODLARI!$A$1:$K$373,3,0)," ")</f>
        <v xml:space="preserve"> </v>
      </c>
      <c r="H47" s="100" t="str">
        <f>IFERROR(VLOOKUP(Tablo520[[#This Row],[ÜRÜN KODU]],YMKODLARI!$A$1:$K$373,4,0)," ")</f>
        <v xml:space="preserve"> </v>
      </c>
      <c r="I47" s="100"/>
      <c r="J47" s="100" t="str">
        <f>IFERROR(VLOOKUP(Tablo520[[#This Row],[ÜRÜN KODU]],YMKODLARI!$A$1:$K$373,9,0)," ")</f>
        <v xml:space="preserve"> </v>
      </c>
      <c r="K47" s="100" t="str">
        <f>IFERROR(VLOOKUP(Tablo520[[#This Row],[BOYA KODU]],Tablo14[#All],4,0)," ")</f>
        <v xml:space="preserve"> </v>
      </c>
      <c r="L47" s="100" t="str">
        <f>IFERROR(VLOOKUP(Tablo520[[#This Row],[BOYA KODU]],Tablo14[#All],6,0)," ")</f>
        <v xml:space="preserve"> </v>
      </c>
      <c r="M47" s="100" t="str">
        <f t="shared" si="0"/>
        <v xml:space="preserve"> </v>
      </c>
      <c r="N47" s="100" t="str">
        <f>IFERROR(VLOOKUP(Tablo520[[#This Row],[ÜRÜN KODU]],YMKODLARI!$A$1:$K$373,8,0)," ")</f>
        <v xml:space="preserve"> </v>
      </c>
      <c r="O47" s="100" t="str">
        <f>IFERROR(VLOOKUP(Tablo520[[#This Row],[HAMMADDE KODU]],Tablo1[#All],3,0)," ")</f>
        <v xml:space="preserve"> </v>
      </c>
      <c r="P47" s="100" t="str">
        <f>IFERROR(VLOOKUP(Tablo520[[#This Row],[HAMMADDE KODU]],Tablo1[#All],4,0)," ")</f>
        <v xml:space="preserve"> </v>
      </c>
      <c r="Q47" s="100" t="str">
        <f>IFERROR(VLOOKUP(Tablo520[[#This Row],[ÜRÜN KODU]],YMKODLARI!$A$1:$K$373,5,0)," ")</f>
        <v xml:space="preserve"> </v>
      </c>
      <c r="R47" s="100" t="str">
        <f>IFERROR(VLOOKUP(Tablo520[[#This Row],[ÜRÜN KODU]],YMKODLARI!$A$1:$K$373,6,0)," ")</f>
        <v xml:space="preserve"> </v>
      </c>
      <c r="S47" s="100" t="str">
        <f>IFERROR(Tablo520[[#This Row],[YOLLUK HARİÇ BASKI GRAMI]]/Tablo520[[#This Row],[KALIP GÖZ ADEDİ]]," ")</f>
        <v xml:space="preserve"> </v>
      </c>
      <c r="T47" s="100" t="str">
        <f t="shared" si="2"/>
        <v xml:space="preserve"> </v>
      </c>
      <c r="U47" s="100"/>
      <c r="V47" s="100" t="str">
        <f t="shared" si="1"/>
        <v xml:space="preserve"> </v>
      </c>
      <c r="W47" s="101">
        <f t="shared" si="3"/>
        <v>24</v>
      </c>
      <c r="X47" s="102">
        <f t="shared" si="4"/>
        <v>0</v>
      </c>
      <c r="Y47" s="100" t="str">
        <f t="shared" si="5"/>
        <v xml:space="preserve"> </v>
      </c>
      <c r="Z47" s="100" t="str">
        <f t="shared" si="6"/>
        <v xml:space="preserve"> </v>
      </c>
    </row>
    <row r="48" spans="1:26">
      <c r="A48" s="100"/>
      <c r="B48" s="100" t="str">
        <f>IFERROR(VLOOKUP(Tablo520[[#This Row],[ÜRÜN KODU]],YMKODLARI!$A$1:$K$373,2,0)," ")</f>
        <v xml:space="preserve"> </v>
      </c>
      <c r="C48" s="99"/>
      <c r="D48" s="100"/>
      <c r="E48" s="101"/>
      <c r="F48" s="101"/>
      <c r="G48" s="100" t="str">
        <f>IFERROR(VLOOKUP(Tablo520[[#This Row],[ÜRÜN KODU]],YMKODLARI!$A$1:$K$373,3,0)," ")</f>
        <v xml:space="preserve"> </v>
      </c>
      <c r="H48" s="100" t="str">
        <f>IFERROR(VLOOKUP(Tablo520[[#This Row],[ÜRÜN KODU]],YMKODLARI!$A$1:$K$373,4,0)," ")</f>
        <v xml:space="preserve"> </v>
      </c>
      <c r="I48" s="100"/>
      <c r="J48" s="100" t="str">
        <f>IFERROR(VLOOKUP(Tablo520[[#This Row],[ÜRÜN KODU]],YMKODLARI!$A$1:$K$373,9,0)," ")</f>
        <v xml:space="preserve"> </v>
      </c>
      <c r="K48" s="100" t="str">
        <f>IFERROR(VLOOKUP(Tablo520[[#This Row],[BOYA KODU]],Tablo14[#All],4,0)," ")</f>
        <v xml:space="preserve"> </v>
      </c>
      <c r="L48" s="100" t="str">
        <f>IFERROR(VLOOKUP(Tablo520[[#This Row],[BOYA KODU]],Tablo14[#All],6,0)," ")</f>
        <v xml:space="preserve"> </v>
      </c>
      <c r="M48" s="100" t="str">
        <f t="shared" si="0"/>
        <v xml:space="preserve"> </v>
      </c>
      <c r="N48" s="100" t="str">
        <f>IFERROR(VLOOKUP(Tablo520[[#This Row],[ÜRÜN KODU]],YMKODLARI!$A$1:$K$373,8,0)," ")</f>
        <v xml:space="preserve"> </v>
      </c>
      <c r="O48" s="100" t="str">
        <f>IFERROR(VLOOKUP(Tablo520[[#This Row],[HAMMADDE KODU]],Tablo1[#All],3,0)," ")</f>
        <v xml:space="preserve"> </v>
      </c>
      <c r="P48" s="100" t="str">
        <f>IFERROR(VLOOKUP(Tablo520[[#This Row],[HAMMADDE KODU]],Tablo1[#All],4,0)," ")</f>
        <v xml:space="preserve"> </v>
      </c>
      <c r="Q48" s="100" t="str">
        <f>IFERROR(VLOOKUP(Tablo520[[#This Row],[ÜRÜN KODU]],YMKODLARI!$A$1:$K$373,5,0)," ")</f>
        <v xml:space="preserve"> </v>
      </c>
      <c r="R48" s="100" t="str">
        <f>IFERROR(VLOOKUP(Tablo520[[#This Row],[ÜRÜN KODU]],YMKODLARI!$A$1:$K$373,6,0)," ")</f>
        <v xml:space="preserve"> </v>
      </c>
      <c r="S48" s="100" t="str">
        <f>IFERROR(Tablo520[[#This Row],[YOLLUK HARİÇ BASKI GRAMI]]/Tablo520[[#This Row],[KALIP GÖZ ADEDİ]]," ")</f>
        <v xml:space="preserve"> </v>
      </c>
      <c r="T48" s="100" t="str">
        <f t="shared" si="2"/>
        <v xml:space="preserve"> </v>
      </c>
      <c r="U48" s="100"/>
      <c r="V48" s="100" t="str">
        <f t="shared" si="1"/>
        <v xml:space="preserve"> </v>
      </c>
      <c r="W48" s="101">
        <f t="shared" si="3"/>
        <v>24</v>
      </c>
      <c r="X48" s="102">
        <f t="shared" si="4"/>
        <v>0</v>
      </c>
      <c r="Y48" s="100" t="str">
        <f t="shared" si="5"/>
        <v xml:space="preserve"> </v>
      </c>
      <c r="Z48" s="100" t="str">
        <f t="shared" si="6"/>
        <v xml:space="preserve"> </v>
      </c>
    </row>
    <row r="49" spans="1:26">
      <c r="A49" s="100"/>
      <c r="B49" s="100" t="str">
        <f>IFERROR(VLOOKUP(Tablo520[[#This Row],[ÜRÜN KODU]],YMKODLARI!$A$1:$K$373,2,0)," ")</f>
        <v xml:space="preserve"> </v>
      </c>
      <c r="C49" s="99"/>
      <c r="D49" s="100"/>
      <c r="E49" s="101"/>
      <c r="F49" s="101"/>
      <c r="G49" s="100" t="str">
        <f>IFERROR(VLOOKUP(Tablo520[[#This Row],[ÜRÜN KODU]],YMKODLARI!$A$1:$K$373,3,0)," ")</f>
        <v xml:space="preserve"> </v>
      </c>
      <c r="H49" s="100" t="str">
        <f>IFERROR(VLOOKUP(Tablo520[[#This Row],[ÜRÜN KODU]],YMKODLARI!$A$1:$K$373,4,0)," ")</f>
        <v xml:space="preserve"> </v>
      </c>
      <c r="I49" s="100"/>
      <c r="J49" s="100" t="str">
        <f>IFERROR(VLOOKUP(Tablo520[[#This Row],[ÜRÜN KODU]],YMKODLARI!$A$1:$K$373,9,0)," ")</f>
        <v xml:space="preserve"> </v>
      </c>
      <c r="K49" s="100" t="str">
        <f>IFERROR(VLOOKUP(Tablo520[[#This Row],[BOYA KODU]],Tablo14[#All],4,0)," ")</f>
        <v xml:space="preserve"> </v>
      </c>
      <c r="L49" s="100" t="str">
        <f>IFERROR(VLOOKUP(Tablo520[[#This Row],[BOYA KODU]],Tablo14[#All],6,0)," ")</f>
        <v xml:space="preserve"> </v>
      </c>
      <c r="M49" s="100" t="str">
        <f t="shared" si="0"/>
        <v xml:space="preserve"> </v>
      </c>
      <c r="N49" s="100" t="str">
        <f>IFERROR(VLOOKUP(Tablo520[[#This Row],[ÜRÜN KODU]],YMKODLARI!$A$1:$K$373,8,0)," ")</f>
        <v xml:space="preserve"> </v>
      </c>
      <c r="O49" s="100" t="str">
        <f>IFERROR(VLOOKUP(Tablo520[[#This Row],[HAMMADDE KODU]],Tablo1[#All],3,0)," ")</f>
        <v xml:space="preserve"> </v>
      </c>
      <c r="P49" s="100" t="str">
        <f>IFERROR(VLOOKUP(Tablo520[[#This Row],[HAMMADDE KODU]],Tablo1[#All],4,0)," ")</f>
        <v xml:space="preserve"> </v>
      </c>
      <c r="Q49" s="100" t="str">
        <f>IFERROR(VLOOKUP(Tablo520[[#This Row],[ÜRÜN KODU]],YMKODLARI!$A$1:$K$373,5,0)," ")</f>
        <v xml:space="preserve"> </v>
      </c>
      <c r="R49" s="100" t="str">
        <f>IFERROR(VLOOKUP(Tablo520[[#This Row],[ÜRÜN KODU]],YMKODLARI!$A$1:$K$373,6,0)," ")</f>
        <v xml:space="preserve"> </v>
      </c>
      <c r="S49" s="100" t="str">
        <f>IFERROR(Tablo520[[#This Row],[YOLLUK HARİÇ BASKI GRAMI]]/Tablo520[[#This Row],[KALIP GÖZ ADEDİ]]," ")</f>
        <v xml:space="preserve"> </v>
      </c>
      <c r="T49" s="100" t="str">
        <f t="shared" si="2"/>
        <v xml:space="preserve"> </v>
      </c>
      <c r="U49" s="100"/>
      <c r="V49" s="100" t="str">
        <f t="shared" si="1"/>
        <v xml:space="preserve"> </v>
      </c>
      <c r="W49" s="101">
        <f t="shared" si="3"/>
        <v>24</v>
      </c>
      <c r="X49" s="102">
        <f t="shared" si="4"/>
        <v>0</v>
      </c>
      <c r="Y49" s="100" t="str">
        <f t="shared" si="5"/>
        <v xml:space="preserve"> </v>
      </c>
      <c r="Z49" s="100" t="str">
        <f t="shared" si="6"/>
        <v xml:space="preserve"> </v>
      </c>
    </row>
    <row r="50" spans="1:26">
      <c r="A50" s="100"/>
      <c r="B50" s="100" t="str">
        <f>IFERROR(VLOOKUP(Tablo520[[#This Row],[ÜRÜN KODU]],YMKODLARI!$A$1:$K$373,2,0)," ")</f>
        <v xml:space="preserve"> </v>
      </c>
      <c r="C50" s="99"/>
      <c r="D50" s="100"/>
      <c r="E50" s="101"/>
      <c r="F50" s="101"/>
      <c r="G50" s="100" t="str">
        <f>IFERROR(VLOOKUP(Tablo520[[#This Row],[ÜRÜN KODU]],YMKODLARI!$A$1:$K$373,3,0)," ")</f>
        <v xml:space="preserve"> </v>
      </c>
      <c r="H50" s="100" t="str">
        <f>IFERROR(VLOOKUP(Tablo520[[#This Row],[ÜRÜN KODU]],YMKODLARI!$A$1:$K$373,4,0)," ")</f>
        <v xml:space="preserve"> </v>
      </c>
      <c r="I50" s="100"/>
      <c r="J50" s="100" t="str">
        <f>IFERROR(VLOOKUP(Tablo520[[#This Row],[ÜRÜN KODU]],YMKODLARI!$A$1:$K$373,9,0)," ")</f>
        <v xml:space="preserve"> </v>
      </c>
      <c r="K50" s="100" t="str">
        <f>IFERROR(VLOOKUP(Tablo520[[#This Row],[BOYA KODU]],Tablo14[#All],4,0)," ")</f>
        <v xml:space="preserve"> </v>
      </c>
      <c r="L50" s="100" t="str">
        <f>IFERROR(VLOOKUP(Tablo520[[#This Row],[BOYA KODU]],Tablo14[#All],6,0)," ")</f>
        <v xml:space="preserve"> </v>
      </c>
      <c r="M50" s="100" t="str">
        <f t="shared" si="0"/>
        <v xml:space="preserve"> </v>
      </c>
      <c r="N50" s="100" t="str">
        <f>IFERROR(VLOOKUP(Tablo520[[#This Row],[ÜRÜN KODU]],YMKODLARI!$A$1:$K$373,8,0)," ")</f>
        <v xml:space="preserve"> </v>
      </c>
      <c r="O50" s="100" t="str">
        <f>IFERROR(VLOOKUP(Tablo520[[#This Row],[HAMMADDE KODU]],Tablo1[#All],3,0)," ")</f>
        <v xml:space="preserve"> </v>
      </c>
      <c r="P50" s="100" t="str">
        <f>IFERROR(VLOOKUP(Tablo520[[#This Row],[HAMMADDE KODU]],Tablo1[#All],4,0)," ")</f>
        <v xml:space="preserve"> </v>
      </c>
      <c r="Q50" s="100" t="str">
        <f>IFERROR(VLOOKUP(Tablo520[[#This Row],[ÜRÜN KODU]],YMKODLARI!$A$1:$K$373,5,0)," ")</f>
        <v xml:space="preserve"> </v>
      </c>
      <c r="R50" s="100" t="str">
        <f>IFERROR(VLOOKUP(Tablo520[[#This Row],[ÜRÜN KODU]],YMKODLARI!$A$1:$K$373,6,0)," ")</f>
        <v xml:space="preserve"> </v>
      </c>
      <c r="S50" s="100" t="str">
        <f>IFERROR(Tablo520[[#This Row],[YOLLUK HARİÇ BASKI GRAMI]]/Tablo520[[#This Row],[KALIP GÖZ ADEDİ]]," ")</f>
        <v xml:space="preserve"> </v>
      </c>
      <c r="T50" s="100" t="str">
        <f t="shared" si="2"/>
        <v xml:space="preserve"> </v>
      </c>
      <c r="U50" s="100"/>
      <c r="V50" s="100" t="str">
        <f t="shared" si="1"/>
        <v xml:space="preserve"> </v>
      </c>
      <c r="W50" s="101">
        <f t="shared" si="3"/>
        <v>24</v>
      </c>
      <c r="X50" s="102">
        <f t="shared" si="4"/>
        <v>0</v>
      </c>
      <c r="Y50" s="100" t="str">
        <f t="shared" si="5"/>
        <v xml:space="preserve"> </v>
      </c>
      <c r="Z50" s="100" t="str">
        <f t="shared" si="6"/>
        <v xml:space="preserve"> </v>
      </c>
    </row>
    <row r="51" spans="1:26">
      <c r="A51" s="100"/>
      <c r="B51" s="100" t="str">
        <f>IFERROR(VLOOKUP(Tablo520[[#This Row],[ÜRÜN KODU]],YMKODLARI!$A$1:$K$373,2,0)," ")</f>
        <v xml:space="preserve"> </v>
      </c>
      <c r="C51" s="99"/>
      <c r="D51" s="100"/>
      <c r="E51" s="101"/>
      <c r="F51" s="101"/>
      <c r="G51" s="100" t="str">
        <f>IFERROR(VLOOKUP(Tablo520[[#This Row],[ÜRÜN KODU]],YMKODLARI!$A$1:$K$373,3,0)," ")</f>
        <v xml:space="preserve"> </v>
      </c>
      <c r="H51" s="100" t="str">
        <f>IFERROR(VLOOKUP(Tablo520[[#This Row],[ÜRÜN KODU]],YMKODLARI!$A$1:$K$373,4,0)," ")</f>
        <v xml:space="preserve"> </v>
      </c>
      <c r="I51" s="100"/>
      <c r="J51" s="100" t="str">
        <f>IFERROR(VLOOKUP(Tablo520[[#This Row],[ÜRÜN KODU]],YMKODLARI!$A$1:$K$373,9,0)," ")</f>
        <v xml:space="preserve"> </v>
      </c>
      <c r="K51" s="100" t="str">
        <f>IFERROR(VLOOKUP(Tablo520[[#This Row],[BOYA KODU]],Tablo14[#All],4,0)," ")</f>
        <v xml:space="preserve"> </v>
      </c>
      <c r="L51" s="100" t="str">
        <f>IFERROR(VLOOKUP(Tablo520[[#This Row],[BOYA KODU]],Tablo14[#All],6,0)," ")</f>
        <v xml:space="preserve"> </v>
      </c>
      <c r="M51" s="100" t="str">
        <f t="shared" si="0"/>
        <v xml:space="preserve"> </v>
      </c>
      <c r="N51" s="100" t="str">
        <f>IFERROR(VLOOKUP(Tablo520[[#This Row],[ÜRÜN KODU]],YMKODLARI!$A$1:$K$373,8,0)," ")</f>
        <v xml:space="preserve"> </v>
      </c>
      <c r="O51" s="100" t="str">
        <f>IFERROR(VLOOKUP(Tablo520[[#This Row],[HAMMADDE KODU]],Tablo1[#All],3,0)," ")</f>
        <v xml:space="preserve"> </v>
      </c>
      <c r="P51" s="100" t="str">
        <f>IFERROR(VLOOKUP(Tablo520[[#This Row],[HAMMADDE KODU]],Tablo1[#All],4,0)," ")</f>
        <v xml:space="preserve"> </v>
      </c>
      <c r="Q51" s="100" t="str">
        <f>IFERROR(VLOOKUP(Tablo520[[#This Row],[ÜRÜN KODU]],YMKODLARI!$A$1:$K$373,5,0)," ")</f>
        <v xml:space="preserve"> </v>
      </c>
      <c r="R51" s="100" t="str">
        <f>IFERROR(VLOOKUP(Tablo520[[#This Row],[ÜRÜN KODU]],YMKODLARI!$A$1:$K$373,6,0)," ")</f>
        <v xml:space="preserve"> </v>
      </c>
      <c r="S51" s="100" t="str">
        <f>IFERROR(Tablo520[[#This Row],[YOLLUK HARİÇ BASKI GRAMI]]/Tablo520[[#This Row],[KALIP GÖZ ADEDİ]]," ")</f>
        <v xml:space="preserve"> </v>
      </c>
      <c r="T51" s="100" t="str">
        <f t="shared" si="2"/>
        <v xml:space="preserve"> </v>
      </c>
      <c r="U51" s="100"/>
      <c r="V51" s="100" t="str">
        <f t="shared" si="1"/>
        <v xml:space="preserve"> </v>
      </c>
      <c r="W51" s="101">
        <f t="shared" si="3"/>
        <v>24</v>
      </c>
      <c r="X51" s="102">
        <f t="shared" si="4"/>
        <v>0</v>
      </c>
      <c r="Y51" s="100" t="str">
        <f t="shared" si="5"/>
        <v xml:space="preserve"> </v>
      </c>
      <c r="Z51" s="100" t="str">
        <f t="shared" si="6"/>
        <v xml:space="preserve"> </v>
      </c>
    </row>
    <row r="52" spans="1:26">
      <c r="A52" s="100"/>
      <c r="B52" s="100" t="str">
        <f>IFERROR(VLOOKUP(Tablo520[[#This Row],[ÜRÜN KODU]],YMKODLARI!$A$1:$K$373,2,0)," ")</f>
        <v xml:space="preserve"> </v>
      </c>
      <c r="C52" s="99"/>
      <c r="D52" s="100"/>
      <c r="E52" s="101"/>
      <c r="F52" s="101"/>
      <c r="G52" s="100" t="str">
        <f>IFERROR(VLOOKUP(Tablo520[[#This Row],[ÜRÜN KODU]],YMKODLARI!$A$1:$K$373,3,0)," ")</f>
        <v xml:space="preserve"> </v>
      </c>
      <c r="H52" s="100" t="str">
        <f>IFERROR(VLOOKUP(Tablo520[[#This Row],[ÜRÜN KODU]],YMKODLARI!$A$1:$K$373,4,0)," ")</f>
        <v xml:space="preserve"> </v>
      </c>
      <c r="I52" s="100"/>
      <c r="J52" s="100" t="str">
        <f>IFERROR(VLOOKUP(Tablo520[[#This Row],[ÜRÜN KODU]],YMKODLARI!$A$1:$K$373,9,0)," ")</f>
        <v xml:space="preserve"> </v>
      </c>
      <c r="K52" s="100" t="str">
        <f>IFERROR(VLOOKUP(Tablo520[[#This Row],[BOYA KODU]],Tablo14[#All],4,0)," ")</f>
        <v xml:space="preserve"> </v>
      </c>
      <c r="L52" s="100" t="str">
        <f>IFERROR(VLOOKUP(Tablo520[[#This Row],[BOYA KODU]],Tablo14[#All],6,0)," ")</f>
        <v xml:space="preserve"> </v>
      </c>
      <c r="M52" s="100" t="str">
        <f t="shared" si="0"/>
        <v xml:space="preserve"> </v>
      </c>
      <c r="N52" s="100" t="str">
        <f>IFERROR(VLOOKUP(Tablo520[[#This Row],[ÜRÜN KODU]],YMKODLARI!$A$1:$K$373,8,0)," ")</f>
        <v xml:space="preserve"> </v>
      </c>
      <c r="O52" s="100" t="str">
        <f>IFERROR(VLOOKUP(Tablo520[[#This Row],[HAMMADDE KODU]],Tablo1[#All],3,0)," ")</f>
        <v xml:space="preserve"> </v>
      </c>
      <c r="P52" s="100" t="str">
        <f>IFERROR(VLOOKUP(Tablo520[[#This Row],[HAMMADDE KODU]],Tablo1[#All],4,0)," ")</f>
        <v xml:space="preserve"> </v>
      </c>
      <c r="Q52" s="100" t="str">
        <f>IFERROR(VLOOKUP(Tablo520[[#This Row],[ÜRÜN KODU]],YMKODLARI!$A$1:$K$373,5,0)," ")</f>
        <v xml:space="preserve"> </v>
      </c>
      <c r="R52" s="100" t="str">
        <f>IFERROR(VLOOKUP(Tablo520[[#This Row],[ÜRÜN KODU]],YMKODLARI!$A$1:$K$373,6,0)," ")</f>
        <v xml:space="preserve"> </v>
      </c>
      <c r="S52" s="100" t="str">
        <f>IFERROR(Tablo520[[#This Row],[YOLLUK HARİÇ BASKI GRAMI]]/Tablo520[[#This Row],[KALIP GÖZ ADEDİ]]," ")</f>
        <v xml:space="preserve"> </v>
      </c>
      <c r="T52" s="100" t="str">
        <f t="shared" si="2"/>
        <v xml:space="preserve"> </v>
      </c>
      <c r="U52" s="100"/>
      <c r="V52" s="100" t="str">
        <f t="shared" si="1"/>
        <v xml:space="preserve"> </v>
      </c>
      <c r="W52" s="101">
        <f t="shared" si="3"/>
        <v>24</v>
      </c>
      <c r="X52" s="102">
        <f t="shared" si="4"/>
        <v>0</v>
      </c>
      <c r="Y52" s="100" t="str">
        <f t="shared" si="5"/>
        <v xml:space="preserve"> </v>
      </c>
      <c r="Z52" s="100" t="str">
        <f t="shared" si="6"/>
        <v xml:space="preserve"> </v>
      </c>
    </row>
    <row r="53" spans="1:26">
      <c r="A53" s="100"/>
      <c r="B53" s="100" t="str">
        <f>IFERROR(VLOOKUP(Tablo520[[#This Row],[ÜRÜN KODU]],YMKODLARI!$A$1:$K$373,2,0)," ")</f>
        <v xml:space="preserve"> </v>
      </c>
      <c r="C53" s="99"/>
      <c r="D53" s="100"/>
      <c r="E53" s="101"/>
      <c r="F53" s="101"/>
      <c r="G53" s="100" t="str">
        <f>IFERROR(VLOOKUP(Tablo520[[#This Row],[ÜRÜN KODU]],YMKODLARI!$A$1:$K$373,3,0)," ")</f>
        <v xml:space="preserve"> </v>
      </c>
      <c r="H53" s="100" t="str">
        <f>IFERROR(VLOOKUP(Tablo520[[#This Row],[ÜRÜN KODU]],YMKODLARI!$A$1:$K$373,4,0)," ")</f>
        <v xml:space="preserve"> </v>
      </c>
      <c r="I53" s="100"/>
      <c r="J53" s="100" t="str">
        <f>IFERROR(VLOOKUP(Tablo520[[#This Row],[ÜRÜN KODU]],YMKODLARI!$A$1:$K$373,9,0)," ")</f>
        <v xml:space="preserve"> </v>
      </c>
      <c r="K53" s="100" t="str">
        <f>IFERROR(VLOOKUP(Tablo520[[#This Row],[BOYA KODU]],Tablo14[#All],4,0)," ")</f>
        <v xml:space="preserve"> </v>
      </c>
      <c r="L53" s="100" t="str">
        <f>IFERROR(VLOOKUP(Tablo520[[#This Row],[BOYA KODU]],Tablo14[#All],6,0)," ")</f>
        <v xml:space="preserve"> </v>
      </c>
      <c r="M53" s="100" t="str">
        <f t="shared" si="0"/>
        <v xml:space="preserve"> </v>
      </c>
      <c r="N53" s="100" t="str">
        <f>IFERROR(VLOOKUP(Tablo520[[#This Row],[ÜRÜN KODU]],YMKODLARI!$A$1:$K$373,8,0)," ")</f>
        <v xml:space="preserve"> </v>
      </c>
      <c r="O53" s="100" t="str">
        <f>IFERROR(VLOOKUP(Tablo520[[#This Row],[HAMMADDE KODU]],Tablo1[#All],3,0)," ")</f>
        <v xml:space="preserve"> </v>
      </c>
      <c r="P53" s="100" t="str">
        <f>IFERROR(VLOOKUP(Tablo520[[#This Row],[HAMMADDE KODU]],Tablo1[#All],4,0)," ")</f>
        <v xml:space="preserve"> </v>
      </c>
      <c r="Q53" s="100" t="str">
        <f>IFERROR(VLOOKUP(Tablo520[[#This Row],[ÜRÜN KODU]],YMKODLARI!$A$1:$K$373,5,0)," ")</f>
        <v xml:space="preserve"> </v>
      </c>
      <c r="R53" s="100" t="str">
        <f>IFERROR(VLOOKUP(Tablo520[[#This Row],[ÜRÜN KODU]],YMKODLARI!$A$1:$K$373,6,0)," ")</f>
        <v xml:space="preserve"> </v>
      </c>
      <c r="S53" s="100" t="str">
        <f>IFERROR(Tablo520[[#This Row],[YOLLUK HARİÇ BASKI GRAMI]]/Tablo520[[#This Row],[KALIP GÖZ ADEDİ]]," ")</f>
        <v xml:space="preserve"> </v>
      </c>
      <c r="T53" s="100" t="str">
        <f t="shared" si="2"/>
        <v xml:space="preserve"> </v>
      </c>
      <c r="U53" s="100"/>
      <c r="V53" s="100" t="str">
        <f t="shared" si="1"/>
        <v xml:space="preserve"> </v>
      </c>
      <c r="W53" s="101">
        <f t="shared" si="3"/>
        <v>24</v>
      </c>
      <c r="X53" s="102">
        <f t="shared" si="4"/>
        <v>0</v>
      </c>
      <c r="Y53" s="100" t="str">
        <f t="shared" si="5"/>
        <v xml:space="preserve"> </v>
      </c>
      <c r="Z53" s="100" t="str">
        <f t="shared" si="6"/>
        <v xml:space="preserve"> </v>
      </c>
    </row>
    <row r="54" spans="1:26">
      <c r="A54" s="100"/>
      <c r="B54" s="100" t="str">
        <f>IFERROR(VLOOKUP(Tablo520[[#This Row],[ÜRÜN KODU]],YMKODLARI!$A$1:$K$373,2,0)," ")</f>
        <v xml:space="preserve"> </v>
      </c>
      <c r="C54" s="99"/>
      <c r="D54" s="100"/>
      <c r="E54" s="101"/>
      <c r="F54" s="101"/>
      <c r="G54" s="100" t="str">
        <f>IFERROR(VLOOKUP(Tablo520[[#This Row],[ÜRÜN KODU]],YMKODLARI!$A$1:$K$373,3,0)," ")</f>
        <v xml:space="preserve"> </v>
      </c>
      <c r="H54" s="100" t="str">
        <f>IFERROR(VLOOKUP(Tablo520[[#This Row],[ÜRÜN KODU]],YMKODLARI!$A$1:$K$373,4,0)," ")</f>
        <v xml:space="preserve"> </v>
      </c>
      <c r="I54" s="100"/>
      <c r="J54" s="100" t="str">
        <f>IFERROR(VLOOKUP(Tablo520[[#This Row],[ÜRÜN KODU]],YMKODLARI!$A$1:$K$373,9,0)," ")</f>
        <v xml:space="preserve"> </v>
      </c>
      <c r="K54" s="100" t="str">
        <f>IFERROR(VLOOKUP(Tablo520[[#This Row],[BOYA KODU]],Tablo14[#All],4,0)," ")</f>
        <v xml:space="preserve"> </v>
      </c>
      <c r="L54" s="100" t="str">
        <f>IFERROR(VLOOKUP(Tablo520[[#This Row],[BOYA KODU]],Tablo14[#All],6,0)," ")</f>
        <v xml:space="preserve"> </v>
      </c>
      <c r="M54" s="100" t="str">
        <f t="shared" si="0"/>
        <v xml:space="preserve"> </v>
      </c>
      <c r="N54" s="100" t="str">
        <f>IFERROR(VLOOKUP(Tablo520[[#This Row],[ÜRÜN KODU]],YMKODLARI!$A$1:$K$373,8,0)," ")</f>
        <v xml:space="preserve"> </v>
      </c>
      <c r="O54" s="100" t="str">
        <f>IFERROR(VLOOKUP(Tablo520[[#This Row],[HAMMADDE KODU]],Tablo1[#All],3,0)," ")</f>
        <v xml:space="preserve"> </v>
      </c>
      <c r="P54" s="100" t="str">
        <f>IFERROR(VLOOKUP(Tablo520[[#This Row],[HAMMADDE KODU]],Tablo1[#All],4,0)," ")</f>
        <v xml:space="preserve"> </v>
      </c>
      <c r="Q54" s="100" t="str">
        <f>IFERROR(VLOOKUP(Tablo520[[#This Row],[ÜRÜN KODU]],YMKODLARI!$A$1:$K$373,5,0)," ")</f>
        <v xml:space="preserve"> </v>
      </c>
      <c r="R54" s="100" t="str">
        <f>IFERROR(VLOOKUP(Tablo520[[#This Row],[ÜRÜN KODU]],YMKODLARI!$A$1:$K$373,6,0)," ")</f>
        <v xml:space="preserve"> </v>
      </c>
      <c r="S54" s="100" t="str">
        <f>IFERROR(Tablo520[[#This Row],[YOLLUK HARİÇ BASKI GRAMI]]/Tablo520[[#This Row],[KALIP GÖZ ADEDİ]]," ")</f>
        <v xml:space="preserve"> </v>
      </c>
      <c r="T54" s="100" t="str">
        <f t="shared" si="2"/>
        <v xml:space="preserve"> </v>
      </c>
      <c r="U54" s="100"/>
      <c r="V54" s="100" t="str">
        <f t="shared" si="1"/>
        <v xml:space="preserve"> </v>
      </c>
      <c r="W54" s="101">
        <f t="shared" si="3"/>
        <v>24</v>
      </c>
      <c r="X54" s="102">
        <f t="shared" si="4"/>
        <v>0</v>
      </c>
      <c r="Y54" s="100" t="str">
        <f t="shared" si="5"/>
        <v xml:space="preserve"> </v>
      </c>
      <c r="Z54" s="100" t="str">
        <f t="shared" si="6"/>
        <v xml:space="preserve"> </v>
      </c>
    </row>
    <row r="55" spans="1:26">
      <c r="A55" s="100"/>
      <c r="B55" s="100" t="str">
        <f>IFERROR(VLOOKUP(Tablo520[[#This Row],[ÜRÜN KODU]],YMKODLARI!$A$1:$K$373,2,0)," ")</f>
        <v xml:space="preserve"> </v>
      </c>
      <c r="C55" s="99"/>
      <c r="D55" s="100"/>
      <c r="E55" s="101"/>
      <c r="F55" s="101"/>
      <c r="G55" s="100" t="str">
        <f>IFERROR(VLOOKUP(Tablo520[[#This Row],[ÜRÜN KODU]],YMKODLARI!$A$1:$K$373,3,0)," ")</f>
        <v xml:space="preserve"> </v>
      </c>
      <c r="H55" s="100" t="str">
        <f>IFERROR(VLOOKUP(Tablo520[[#This Row],[ÜRÜN KODU]],YMKODLARI!$A$1:$K$373,4,0)," ")</f>
        <v xml:space="preserve"> </v>
      </c>
      <c r="I55" s="100"/>
      <c r="J55" s="100" t="str">
        <f>IFERROR(VLOOKUP(Tablo520[[#This Row],[ÜRÜN KODU]],YMKODLARI!$A$1:$K$373,9,0)," ")</f>
        <v xml:space="preserve"> </v>
      </c>
      <c r="K55" s="100" t="str">
        <f>IFERROR(VLOOKUP(Tablo520[[#This Row],[BOYA KODU]],Tablo14[#All],4,0)," ")</f>
        <v xml:space="preserve"> </v>
      </c>
      <c r="L55" s="100" t="str">
        <f>IFERROR(VLOOKUP(Tablo520[[#This Row],[BOYA KODU]],Tablo14[#All],6,0)," ")</f>
        <v xml:space="preserve"> </v>
      </c>
      <c r="M55" s="100" t="str">
        <f t="shared" si="0"/>
        <v xml:space="preserve"> </v>
      </c>
      <c r="N55" s="100" t="str">
        <f>IFERROR(VLOOKUP(Tablo520[[#This Row],[ÜRÜN KODU]],YMKODLARI!$A$1:$K$373,8,0)," ")</f>
        <v xml:space="preserve"> </v>
      </c>
      <c r="O55" s="100" t="str">
        <f>IFERROR(VLOOKUP(Tablo520[[#This Row],[HAMMADDE KODU]],Tablo1[#All],3,0)," ")</f>
        <v xml:space="preserve"> </v>
      </c>
      <c r="P55" s="100" t="str">
        <f>IFERROR(VLOOKUP(Tablo520[[#This Row],[HAMMADDE KODU]],Tablo1[#All],4,0)," ")</f>
        <v xml:space="preserve"> </v>
      </c>
      <c r="Q55" s="100" t="str">
        <f>IFERROR(VLOOKUP(Tablo520[[#This Row],[ÜRÜN KODU]],YMKODLARI!$A$1:$K$373,5,0)," ")</f>
        <v xml:space="preserve"> </v>
      </c>
      <c r="R55" s="100" t="str">
        <f>IFERROR(VLOOKUP(Tablo520[[#This Row],[ÜRÜN KODU]],YMKODLARI!$A$1:$K$373,6,0)," ")</f>
        <v xml:space="preserve"> </v>
      </c>
      <c r="S55" s="100" t="str">
        <f>IFERROR(Tablo520[[#This Row],[YOLLUK HARİÇ BASKI GRAMI]]/Tablo520[[#This Row],[KALIP GÖZ ADEDİ]]," ")</f>
        <v xml:space="preserve"> </v>
      </c>
      <c r="T55" s="100" t="str">
        <f t="shared" si="2"/>
        <v xml:space="preserve"> </v>
      </c>
      <c r="U55" s="100"/>
      <c r="V55" s="100" t="str">
        <f t="shared" si="1"/>
        <v xml:space="preserve"> </v>
      </c>
      <c r="W55" s="101">
        <f t="shared" si="3"/>
        <v>24</v>
      </c>
      <c r="X55" s="102">
        <f t="shared" si="4"/>
        <v>0</v>
      </c>
      <c r="Y55" s="100" t="str">
        <f t="shared" si="5"/>
        <v xml:space="preserve"> </v>
      </c>
      <c r="Z55" s="100" t="str">
        <f t="shared" si="6"/>
        <v xml:space="preserve"> </v>
      </c>
    </row>
    <row r="56" spans="1:26">
      <c r="A56" s="100"/>
      <c r="B56" s="100" t="str">
        <f>IFERROR(VLOOKUP(Tablo520[[#This Row],[ÜRÜN KODU]],YMKODLARI!$A$1:$K$373,2,0)," ")</f>
        <v xml:space="preserve"> </v>
      </c>
      <c r="C56" s="99"/>
      <c r="D56" s="100"/>
      <c r="E56" s="101"/>
      <c r="F56" s="101"/>
      <c r="G56" s="100" t="str">
        <f>IFERROR(VLOOKUP(Tablo520[[#This Row],[ÜRÜN KODU]],YMKODLARI!$A$1:$K$373,3,0)," ")</f>
        <v xml:space="preserve"> </v>
      </c>
      <c r="H56" s="100" t="str">
        <f>IFERROR(VLOOKUP(Tablo520[[#This Row],[ÜRÜN KODU]],YMKODLARI!$A$1:$K$373,4,0)," ")</f>
        <v xml:space="preserve"> </v>
      </c>
      <c r="I56" s="100"/>
      <c r="J56" s="100" t="str">
        <f>IFERROR(VLOOKUP(Tablo520[[#This Row],[ÜRÜN KODU]],YMKODLARI!$A$1:$K$373,9,0)," ")</f>
        <v xml:space="preserve"> </v>
      </c>
      <c r="K56" s="100" t="str">
        <f>IFERROR(VLOOKUP(Tablo520[[#This Row],[BOYA KODU]],Tablo14[#All],4,0)," ")</f>
        <v xml:space="preserve"> </v>
      </c>
      <c r="L56" s="100" t="str">
        <f>IFERROR(VLOOKUP(Tablo520[[#This Row],[BOYA KODU]],Tablo14[#All],6,0)," ")</f>
        <v xml:space="preserve"> </v>
      </c>
      <c r="M56" s="100" t="str">
        <f t="shared" si="0"/>
        <v xml:space="preserve"> </v>
      </c>
      <c r="N56" s="100" t="str">
        <f>IFERROR(VLOOKUP(Tablo520[[#This Row],[ÜRÜN KODU]],YMKODLARI!$A$1:$K$373,8,0)," ")</f>
        <v xml:space="preserve"> </v>
      </c>
      <c r="O56" s="100" t="str">
        <f>IFERROR(VLOOKUP(Tablo520[[#This Row],[HAMMADDE KODU]],Tablo1[#All],3,0)," ")</f>
        <v xml:space="preserve"> </v>
      </c>
      <c r="P56" s="100" t="str">
        <f>IFERROR(VLOOKUP(Tablo520[[#This Row],[HAMMADDE KODU]],Tablo1[#All],4,0)," ")</f>
        <v xml:space="preserve"> </v>
      </c>
      <c r="Q56" s="100" t="str">
        <f>IFERROR(VLOOKUP(Tablo520[[#This Row],[ÜRÜN KODU]],YMKODLARI!$A$1:$K$373,5,0)," ")</f>
        <v xml:space="preserve"> </v>
      </c>
      <c r="R56" s="100" t="str">
        <f>IFERROR(VLOOKUP(Tablo520[[#This Row],[ÜRÜN KODU]],YMKODLARI!$A$1:$K$373,6,0)," ")</f>
        <v xml:space="preserve"> </v>
      </c>
      <c r="S56" s="100" t="str">
        <f>IFERROR(Tablo520[[#This Row],[YOLLUK HARİÇ BASKI GRAMI]]/Tablo520[[#This Row],[KALIP GÖZ ADEDİ]]," ")</f>
        <v xml:space="preserve"> </v>
      </c>
      <c r="T56" s="100" t="str">
        <f t="shared" si="2"/>
        <v xml:space="preserve"> </v>
      </c>
      <c r="U56" s="100"/>
      <c r="V56" s="100" t="str">
        <f t="shared" si="1"/>
        <v xml:space="preserve"> </v>
      </c>
      <c r="W56" s="101">
        <f t="shared" si="3"/>
        <v>24</v>
      </c>
      <c r="X56" s="102">
        <f t="shared" si="4"/>
        <v>0</v>
      </c>
      <c r="Y56" s="100" t="str">
        <f t="shared" si="5"/>
        <v xml:space="preserve"> </v>
      </c>
      <c r="Z56" s="100" t="str">
        <f t="shared" si="6"/>
        <v xml:space="preserve"> </v>
      </c>
    </row>
    <row r="57" spans="1:26">
      <c r="A57" s="100"/>
      <c r="B57" s="100" t="str">
        <f>IFERROR(VLOOKUP(Tablo520[[#This Row],[ÜRÜN KODU]],YMKODLARI!$A$1:$K$373,2,0)," ")</f>
        <v xml:space="preserve"> </v>
      </c>
      <c r="C57" s="99"/>
      <c r="D57" s="100"/>
      <c r="E57" s="101"/>
      <c r="F57" s="101"/>
      <c r="G57" s="100" t="str">
        <f>IFERROR(VLOOKUP(Tablo520[[#This Row],[ÜRÜN KODU]],YMKODLARI!$A$1:$K$373,3,0)," ")</f>
        <v xml:space="preserve"> </v>
      </c>
      <c r="H57" s="100" t="str">
        <f>IFERROR(VLOOKUP(Tablo520[[#This Row],[ÜRÜN KODU]],YMKODLARI!$A$1:$K$373,4,0)," ")</f>
        <v xml:space="preserve"> </v>
      </c>
      <c r="I57" s="100"/>
      <c r="J57" s="100" t="str">
        <f>IFERROR(VLOOKUP(Tablo520[[#This Row],[ÜRÜN KODU]],YMKODLARI!$A$1:$K$373,9,0)," ")</f>
        <v xml:space="preserve"> </v>
      </c>
      <c r="K57" s="100" t="str">
        <f>IFERROR(VLOOKUP(Tablo520[[#This Row],[BOYA KODU]],Tablo14[#All],4,0)," ")</f>
        <v xml:space="preserve"> </v>
      </c>
      <c r="L57" s="100" t="str">
        <f>IFERROR(VLOOKUP(Tablo520[[#This Row],[BOYA KODU]],Tablo14[#All],6,0)," ")</f>
        <v xml:space="preserve"> </v>
      </c>
      <c r="M57" s="100" t="str">
        <f t="shared" si="0"/>
        <v xml:space="preserve"> </v>
      </c>
      <c r="N57" s="100" t="str">
        <f>IFERROR(VLOOKUP(Tablo520[[#This Row],[ÜRÜN KODU]],YMKODLARI!$A$1:$K$373,8,0)," ")</f>
        <v xml:space="preserve"> </v>
      </c>
      <c r="O57" s="100" t="str">
        <f>IFERROR(VLOOKUP(Tablo520[[#This Row],[HAMMADDE KODU]],Tablo1[#All],3,0)," ")</f>
        <v xml:space="preserve"> </v>
      </c>
      <c r="P57" s="100" t="str">
        <f>IFERROR(VLOOKUP(Tablo520[[#This Row],[HAMMADDE KODU]],Tablo1[#All],4,0)," ")</f>
        <v xml:space="preserve"> </v>
      </c>
      <c r="Q57" s="100" t="str">
        <f>IFERROR(VLOOKUP(Tablo520[[#This Row],[ÜRÜN KODU]],YMKODLARI!$A$1:$K$373,5,0)," ")</f>
        <v xml:space="preserve"> </v>
      </c>
      <c r="R57" s="100" t="str">
        <f>IFERROR(VLOOKUP(Tablo520[[#This Row],[ÜRÜN KODU]],YMKODLARI!$A$1:$K$373,6,0)," ")</f>
        <v xml:space="preserve"> </v>
      </c>
      <c r="S57" s="100" t="str">
        <f>IFERROR(Tablo520[[#This Row],[YOLLUK HARİÇ BASKI GRAMI]]/Tablo520[[#This Row],[KALIP GÖZ ADEDİ]]," ")</f>
        <v xml:space="preserve"> </v>
      </c>
      <c r="T57" s="100" t="str">
        <f t="shared" si="2"/>
        <v xml:space="preserve"> </v>
      </c>
      <c r="U57" s="100"/>
      <c r="V57" s="100" t="str">
        <f t="shared" si="1"/>
        <v xml:space="preserve"> </v>
      </c>
      <c r="W57" s="101">
        <f t="shared" si="3"/>
        <v>24</v>
      </c>
      <c r="X57" s="102">
        <f t="shared" si="4"/>
        <v>0</v>
      </c>
      <c r="Y57" s="100" t="str">
        <f t="shared" si="5"/>
        <v xml:space="preserve"> </v>
      </c>
      <c r="Z57" s="100" t="str">
        <f t="shared" si="6"/>
        <v xml:space="preserve"> </v>
      </c>
    </row>
    <row r="58" spans="1:26">
      <c r="A58" s="100"/>
      <c r="B58" s="100" t="str">
        <f>IFERROR(VLOOKUP(Tablo520[[#This Row],[ÜRÜN KODU]],YMKODLARI!$A$1:$K$373,2,0)," ")</f>
        <v xml:space="preserve"> </v>
      </c>
      <c r="C58" s="99"/>
      <c r="D58" s="100"/>
      <c r="E58" s="101"/>
      <c r="F58" s="101"/>
      <c r="G58" s="100" t="str">
        <f>IFERROR(VLOOKUP(Tablo520[[#This Row],[ÜRÜN KODU]],YMKODLARI!$A$1:$K$373,3,0)," ")</f>
        <v xml:space="preserve"> </v>
      </c>
      <c r="H58" s="100" t="str">
        <f>IFERROR(VLOOKUP(Tablo520[[#This Row],[ÜRÜN KODU]],YMKODLARI!$A$1:$K$373,4,0)," ")</f>
        <v xml:space="preserve"> </v>
      </c>
      <c r="I58" s="100"/>
      <c r="J58" s="100" t="str">
        <f>IFERROR(VLOOKUP(Tablo520[[#This Row],[ÜRÜN KODU]],YMKODLARI!$A$1:$K$373,9,0)," ")</f>
        <v xml:space="preserve"> </v>
      </c>
      <c r="K58" s="100" t="str">
        <f>IFERROR(VLOOKUP(Tablo520[[#This Row],[BOYA KODU]],Tablo14[#All],4,0)," ")</f>
        <v xml:space="preserve"> </v>
      </c>
      <c r="L58" s="100" t="str">
        <f>IFERROR(VLOOKUP(Tablo520[[#This Row],[BOYA KODU]],Tablo14[#All],6,0)," ")</f>
        <v xml:space="preserve"> </v>
      </c>
      <c r="M58" s="100" t="str">
        <f t="shared" si="0"/>
        <v xml:space="preserve"> </v>
      </c>
      <c r="N58" s="100" t="str">
        <f>IFERROR(VLOOKUP(Tablo520[[#This Row],[ÜRÜN KODU]],YMKODLARI!$A$1:$K$373,8,0)," ")</f>
        <v xml:space="preserve"> </v>
      </c>
      <c r="O58" s="100" t="str">
        <f>IFERROR(VLOOKUP(Tablo520[[#This Row],[HAMMADDE KODU]],Tablo1[#All],3,0)," ")</f>
        <v xml:space="preserve"> </v>
      </c>
      <c r="P58" s="100" t="str">
        <f>IFERROR(VLOOKUP(Tablo520[[#This Row],[HAMMADDE KODU]],Tablo1[#All],4,0)," ")</f>
        <v xml:space="preserve"> </v>
      </c>
      <c r="Q58" s="100" t="str">
        <f>IFERROR(VLOOKUP(Tablo520[[#This Row],[ÜRÜN KODU]],YMKODLARI!$A$1:$K$373,5,0)," ")</f>
        <v xml:space="preserve"> </v>
      </c>
      <c r="R58" s="100" t="str">
        <f>IFERROR(VLOOKUP(Tablo520[[#This Row],[ÜRÜN KODU]],YMKODLARI!$A$1:$K$373,6,0)," ")</f>
        <v xml:space="preserve"> </v>
      </c>
      <c r="S58" s="100" t="str">
        <f>IFERROR(Tablo520[[#This Row],[YOLLUK HARİÇ BASKI GRAMI]]/Tablo520[[#This Row],[KALIP GÖZ ADEDİ]]," ")</f>
        <v xml:space="preserve"> </v>
      </c>
      <c r="T58" s="100" t="str">
        <f t="shared" si="2"/>
        <v xml:space="preserve"> </v>
      </c>
      <c r="U58" s="100"/>
      <c r="V58" s="100" t="str">
        <f t="shared" si="1"/>
        <v xml:space="preserve"> </v>
      </c>
      <c r="W58" s="101">
        <f t="shared" si="3"/>
        <v>24</v>
      </c>
      <c r="X58" s="102">
        <f t="shared" si="4"/>
        <v>0</v>
      </c>
      <c r="Y58" s="100" t="str">
        <f t="shared" si="5"/>
        <v xml:space="preserve"> </v>
      </c>
      <c r="Z58" s="100" t="str">
        <f t="shared" si="6"/>
        <v xml:space="preserve"> </v>
      </c>
    </row>
    <row r="59" spans="1:26">
      <c r="A59" s="100"/>
      <c r="B59" s="100" t="str">
        <f>IFERROR(VLOOKUP(Tablo520[[#This Row],[ÜRÜN KODU]],YMKODLARI!$A$1:$K$373,2,0)," ")</f>
        <v xml:space="preserve"> </v>
      </c>
      <c r="C59" s="99"/>
      <c r="D59" s="100"/>
      <c r="E59" s="101"/>
      <c r="F59" s="101"/>
      <c r="G59" s="100" t="str">
        <f>IFERROR(VLOOKUP(Tablo520[[#This Row],[ÜRÜN KODU]],YMKODLARI!$A$1:$K$373,3,0)," ")</f>
        <v xml:space="preserve"> </v>
      </c>
      <c r="H59" s="100" t="str">
        <f>IFERROR(VLOOKUP(Tablo520[[#This Row],[ÜRÜN KODU]],YMKODLARI!$A$1:$K$373,4,0)," ")</f>
        <v xml:space="preserve"> </v>
      </c>
      <c r="I59" s="100"/>
      <c r="J59" s="100" t="str">
        <f>IFERROR(VLOOKUP(Tablo520[[#This Row],[ÜRÜN KODU]],YMKODLARI!$A$1:$K$373,9,0)," ")</f>
        <v xml:space="preserve"> </v>
      </c>
      <c r="K59" s="100" t="str">
        <f>IFERROR(VLOOKUP(Tablo520[[#This Row],[BOYA KODU]],Tablo14[#All],4,0)," ")</f>
        <v xml:space="preserve"> </v>
      </c>
      <c r="L59" s="100" t="str">
        <f>IFERROR(VLOOKUP(Tablo520[[#This Row],[BOYA KODU]],Tablo14[#All],6,0)," ")</f>
        <v xml:space="preserve"> </v>
      </c>
      <c r="M59" s="100" t="str">
        <f t="shared" si="0"/>
        <v xml:space="preserve"> </v>
      </c>
      <c r="N59" s="100" t="str">
        <f>IFERROR(VLOOKUP(Tablo520[[#This Row],[ÜRÜN KODU]],YMKODLARI!$A$1:$K$373,8,0)," ")</f>
        <v xml:space="preserve"> </v>
      </c>
      <c r="O59" s="100" t="str">
        <f>IFERROR(VLOOKUP(Tablo520[[#This Row],[HAMMADDE KODU]],Tablo1[#All],3,0)," ")</f>
        <v xml:space="preserve"> </v>
      </c>
      <c r="P59" s="100" t="str">
        <f>IFERROR(VLOOKUP(Tablo520[[#This Row],[HAMMADDE KODU]],Tablo1[#All],4,0)," ")</f>
        <v xml:space="preserve"> </v>
      </c>
      <c r="Q59" s="100" t="str">
        <f>IFERROR(VLOOKUP(Tablo520[[#This Row],[ÜRÜN KODU]],YMKODLARI!$A$1:$K$373,5,0)," ")</f>
        <v xml:space="preserve"> </v>
      </c>
      <c r="R59" s="100" t="str">
        <f>IFERROR(VLOOKUP(Tablo520[[#This Row],[ÜRÜN KODU]],YMKODLARI!$A$1:$K$373,6,0)," ")</f>
        <v xml:space="preserve"> </v>
      </c>
      <c r="S59" s="100" t="str">
        <f>IFERROR(Tablo520[[#This Row],[YOLLUK HARİÇ BASKI GRAMI]]/Tablo520[[#This Row],[KALIP GÖZ ADEDİ]]," ")</f>
        <v xml:space="preserve"> </v>
      </c>
      <c r="T59" s="100" t="str">
        <f t="shared" si="2"/>
        <v xml:space="preserve"> </v>
      </c>
      <c r="U59" s="100"/>
      <c r="V59" s="100" t="str">
        <f t="shared" si="1"/>
        <v xml:space="preserve"> </v>
      </c>
      <c r="W59" s="101">
        <f t="shared" si="3"/>
        <v>24</v>
      </c>
      <c r="X59" s="102">
        <f t="shared" si="4"/>
        <v>0</v>
      </c>
      <c r="Y59" s="100" t="str">
        <f t="shared" si="5"/>
        <v xml:space="preserve"> </v>
      </c>
      <c r="Z59" s="100" t="str">
        <f t="shared" si="6"/>
        <v xml:space="preserve"> </v>
      </c>
    </row>
    <row r="60" spans="1:26">
      <c r="A60" s="100"/>
      <c r="B60" s="100" t="str">
        <f>IFERROR(VLOOKUP(Tablo520[[#This Row],[ÜRÜN KODU]],YMKODLARI!$A$1:$K$373,2,0)," ")</f>
        <v xml:space="preserve"> </v>
      </c>
      <c r="C60" s="99"/>
      <c r="D60" s="100"/>
      <c r="E60" s="101"/>
      <c r="F60" s="101"/>
      <c r="G60" s="100" t="str">
        <f>IFERROR(VLOOKUP(Tablo520[[#This Row],[ÜRÜN KODU]],YMKODLARI!$A$1:$K$373,3,0)," ")</f>
        <v xml:space="preserve"> </v>
      </c>
      <c r="H60" s="100" t="str">
        <f>IFERROR(VLOOKUP(Tablo520[[#This Row],[ÜRÜN KODU]],YMKODLARI!$A$1:$K$373,4,0)," ")</f>
        <v xml:space="preserve"> </v>
      </c>
      <c r="I60" s="100"/>
      <c r="J60" s="100" t="str">
        <f>IFERROR(VLOOKUP(Tablo520[[#This Row],[ÜRÜN KODU]],YMKODLARI!$A$1:$K$373,9,0)," ")</f>
        <v xml:space="preserve"> </v>
      </c>
      <c r="K60" s="100" t="str">
        <f>IFERROR(VLOOKUP(Tablo520[[#This Row],[BOYA KODU]],Tablo14[#All],4,0)," ")</f>
        <v xml:space="preserve"> </v>
      </c>
      <c r="L60" s="100" t="str">
        <f>IFERROR(VLOOKUP(Tablo520[[#This Row],[BOYA KODU]],Tablo14[#All],6,0)," ")</f>
        <v xml:space="preserve"> </v>
      </c>
      <c r="M60" s="100" t="str">
        <f t="shared" si="0"/>
        <v xml:space="preserve"> </v>
      </c>
      <c r="N60" s="100" t="str">
        <f>IFERROR(VLOOKUP(Tablo520[[#This Row],[ÜRÜN KODU]],YMKODLARI!$A$1:$K$373,8,0)," ")</f>
        <v xml:space="preserve"> </v>
      </c>
      <c r="O60" s="100" t="str">
        <f>IFERROR(VLOOKUP(Tablo520[[#This Row],[HAMMADDE KODU]],Tablo1[#All],3,0)," ")</f>
        <v xml:space="preserve"> </v>
      </c>
      <c r="P60" s="100" t="str">
        <f>IFERROR(VLOOKUP(Tablo520[[#This Row],[HAMMADDE KODU]],Tablo1[#All],4,0)," ")</f>
        <v xml:space="preserve"> </v>
      </c>
      <c r="Q60" s="100" t="str">
        <f>IFERROR(VLOOKUP(Tablo520[[#This Row],[ÜRÜN KODU]],YMKODLARI!$A$1:$K$373,5,0)," ")</f>
        <v xml:space="preserve"> </v>
      </c>
      <c r="R60" s="100" t="str">
        <f>IFERROR(VLOOKUP(Tablo520[[#This Row],[ÜRÜN KODU]],YMKODLARI!$A$1:$K$373,6,0)," ")</f>
        <v xml:space="preserve"> </v>
      </c>
      <c r="S60" s="100" t="str">
        <f>IFERROR(Tablo520[[#This Row],[YOLLUK HARİÇ BASKI GRAMI]]/Tablo520[[#This Row],[KALIP GÖZ ADEDİ]]," ")</f>
        <v xml:space="preserve"> </v>
      </c>
      <c r="T60" s="100" t="str">
        <f t="shared" si="2"/>
        <v xml:space="preserve"> </v>
      </c>
      <c r="U60" s="100"/>
      <c r="V60" s="100" t="str">
        <f t="shared" si="1"/>
        <v xml:space="preserve"> </v>
      </c>
      <c r="W60" s="101">
        <f t="shared" si="3"/>
        <v>24</v>
      </c>
      <c r="X60" s="102">
        <f t="shared" si="4"/>
        <v>0</v>
      </c>
      <c r="Y60" s="100" t="str">
        <f t="shared" si="5"/>
        <v xml:space="preserve"> </v>
      </c>
      <c r="Z60" s="100" t="str">
        <f t="shared" si="6"/>
        <v xml:space="preserve"> </v>
      </c>
    </row>
    <row r="61" spans="1:26">
      <c r="A61" s="100"/>
      <c r="B61" s="100" t="str">
        <f>IFERROR(VLOOKUP(Tablo520[[#This Row],[ÜRÜN KODU]],YMKODLARI!$A$1:$K$373,2,0)," ")</f>
        <v xml:space="preserve"> </v>
      </c>
      <c r="C61" s="99"/>
      <c r="D61" s="100"/>
      <c r="E61" s="101"/>
      <c r="F61" s="101"/>
      <c r="G61" s="100" t="str">
        <f>IFERROR(VLOOKUP(Tablo520[[#This Row],[ÜRÜN KODU]],YMKODLARI!$A$1:$K$373,3,0)," ")</f>
        <v xml:space="preserve"> </v>
      </c>
      <c r="H61" s="100" t="str">
        <f>IFERROR(VLOOKUP(Tablo520[[#This Row],[ÜRÜN KODU]],YMKODLARI!$A$1:$K$373,4,0)," ")</f>
        <v xml:space="preserve"> </v>
      </c>
      <c r="I61" s="100"/>
      <c r="J61" s="100" t="str">
        <f>IFERROR(VLOOKUP(Tablo520[[#This Row],[ÜRÜN KODU]],YMKODLARI!$A$1:$K$373,9,0)," ")</f>
        <v xml:space="preserve"> </v>
      </c>
      <c r="K61" s="100" t="str">
        <f>IFERROR(VLOOKUP(Tablo520[[#This Row],[BOYA KODU]],Tablo14[#All],4,0)," ")</f>
        <v xml:space="preserve"> </v>
      </c>
      <c r="L61" s="100" t="str">
        <f>IFERROR(VLOOKUP(Tablo520[[#This Row],[BOYA KODU]],Tablo14[#All],6,0)," ")</f>
        <v xml:space="preserve"> </v>
      </c>
      <c r="M61" s="100" t="str">
        <f t="shared" si="0"/>
        <v xml:space="preserve"> </v>
      </c>
      <c r="N61" s="100" t="str">
        <f>IFERROR(VLOOKUP(Tablo520[[#This Row],[ÜRÜN KODU]],YMKODLARI!$A$1:$K$373,8,0)," ")</f>
        <v xml:space="preserve"> </v>
      </c>
      <c r="O61" s="100" t="str">
        <f>IFERROR(VLOOKUP(Tablo520[[#This Row],[HAMMADDE KODU]],Tablo1[#All],3,0)," ")</f>
        <v xml:space="preserve"> </v>
      </c>
      <c r="P61" s="100" t="str">
        <f>IFERROR(VLOOKUP(Tablo520[[#This Row],[HAMMADDE KODU]],Tablo1[#All],4,0)," ")</f>
        <v xml:space="preserve"> </v>
      </c>
      <c r="Q61" s="100" t="str">
        <f>IFERROR(VLOOKUP(Tablo520[[#This Row],[ÜRÜN KODU]],YMKODLARI!$A$1:$K$373,5,0)," ")</f>
        <v xml:space="preserve"> </v>
      </c>
      <c r="R61" s="100" t="str">
        <f>IFERROR(VLOOKUP(Tablo520[[#This Row],[ÜRÜN KODU]],YMKODLARI!$A$1:$K$373,6,0)," ")</f>
        <v xml:space="preserve"> </v>
      </c>
      <c r="S61" s="100" t="str">
        <f>IFERROR(Tablo520[[#This Row],[YOLLUK HARİÇ BASKI GRAMI]]/Tablo520[[#This Row],[KALIP GÖZ ADEDİ]]," ")</f>
        <v xml:space="preserve"> </v>
      </c>
      <c r="T61" s="100" t="str">
        <f t="shared" si="2"/>
        <v xml:space="preserve"> </v>
      </c>
      <c r="U61" s="100"/>
      <c r="V61" s="100" t="str">
        <f t="shared" si="1"/>
        <v xml:space="preserve"> </v>
      </c>
      <c r="W61" s="101">
        <f t="shared" si="3"/>
        <v>24</v>
      </c>
      <c r="X61" s="102">
        <f t="shared" si="4"/>
        <v>0</v>
      </c>
      <c r="Y61" s="100" t="str">
        <f t="shared" si="5"/>
        <v xml:space="preserve"> </v>
      </c>
      <c r="Z61" s="100" t="str">
        <f t="shared" si="6"/>
        <v xml:space="preserve"> </v>
      </c>
    </row>
    <row r="62" spans="1:26">
      <c r="A62" s="100"/>
      <c r="B62" s="100" t="str">
        <f>IFERROR(VLOOKUP(Tablo520[[#This Row],[ÜRÜN KODU]],YMKODLARI!$A$1:$K$373,2,0)," ")</f>
        <v xml:space="preserve"> </v>
      </c>
      <c r="C62" s="99"/>
      <c r="D62" s="100"/>
      <c r="E62" s="101"/>
      <c r="F62" s="101"/>
      <c r="G62" s="100" t="str">
        <f>IFERROR(VLOOKUP(Tablo520[[#This Row],[ÜRÜN KODU]],YMKODLARI!$A$1:$K$373,3,0)," ")</f>
        <v xml:space="preserve"> </v>
      </c>
      <c r="H62" s="100" t="str">
        <f>IFERROR(VLOOKUP(Tablo520[[#This Row],[ÜRÜN KODU]],YMKODLARI!$A$1:$K$373,4,0)," ")</f>
        <v xml:space="preserve"> </v>
      </c>
      <c r="I62" s="100"/>
      <c r="J62" s="100" t="str">
        <f>IFERROR(VLOOKUP(Tablo520[[#This Row],[ÜRÜN KODU]],YMKODLARI!$A$1:$K$373,9,0)," ")</f>
        <v xml:space="preserve"> </v>
      </c>
      <c r="K62" s="100" t="str">
        <f>IFERROR(VLOOKUP(Tablo520[[#This Row],[BOYA KODU]],Tablo14[#All],4,0)," ")</f>
        <v xml:space="preserve"> </v>
      </c>
      <c r="L62" s="100" t="str">
        <f>IFERROR(VLOOKUP(Tablo520[[#This Row],[BOYA KODU]],Tablo14[#All],6,0)," ")</f>
        <v xml:space="preserve"> </v>
      </c>
      <c r="M62" s="100" t="str">
        <f t="shared" si="0"/>
        <v xml:space="preserve"> </v>
      </c>
      <c r="N62" s="100" t="str">
        <f>IFERROR(VLOOKUP(Tablo520[[#This Row],[ÜRÜN KODU]],YMKODLARI!$A$1:$K$373,8,0)," ")</f>
        <v xml:space="preserve"> </v>
      </c>
      <c r="O62" s="100" t="str">
        <f>IFERROR(VLOOKUP(Tablo520[[#This Row],[HAMMADDE KODU]],Tablo1[#All],3,0)," ")</f>
        <v xml:space="preserve"> </v>
      </c>
      <c r="P62" s="100" t="str">
        <f>IFERROR(VLOOKUP(Tablo520[[#This Row],[HAMMADDE KODU]],Tablo1[#All],4,0)," ")</f>
        <v xml:space="preserve"> </v>
      </c>
      <c r="Q62" s="100" t="str">
        <f>IFERROR(VLOOKUP(Tablo520[[#This Row],[ÜRÜN KODU]],YMKODLARI!$A$1:$K$373,5,0)," ")</f>
        <v xml:space="preserve"> </v>
      </c>
      <c r="R62" s="100" t="str">
        <f>IFERROR(VLOOKUP(Tablo520[[#This Row],[ÜRÜN KODU]],YMKODLARI!$A$1:$K$373,6,0)," ")</f>
        <v xml:space="preserve"> </v>
      </c>
      <c r="S62" s="100" t="str">
        <f>IFERROR(Tablo520[[#This Row],[YOLLUK HARİÇ BASKI GRAMI]]/Tablo520[[#This Row],[KALIP GÖZ ADEDİ]]," ")</f>
        <v xml:space="preserve"> </v>
      </c>
      <c r="T62" s="100" t="str">
        <f t="shared" si="2"/>
        <v xml:space="preserve"> </v>
      </c>
      <c r="U62" s="100"/>
      <c r="V62" s="100" t="str">
        <f t="shared" si="1"/>
        <v xml:space="preserve"> </v>
      </c>
      <c r="W62" s="101">
        <f t="shared" si="3"/>
        <v>24</v>
      </c>
      <c r="X62" s="102">
        <f t="shared" si="4"/>
        <v>0</v>
      </c>
      <c r="Y62" s="100" t="str">
        <f t="shared" si="5"/>
        <v xml:space="preserve"> </v>
      </c>
      <c r="Z62" s="100" t="str">
        <f t="shared" si="6"/>
        <v xml:space="preserve"> </v>
      </c>
    </row>
    <row r="63" spans="1:26">
      <c r="A63" s="100"/>
      <c r="B63" s="100" t="str">
        <f>IFERROR(VLOOKUP(Tablo520[[#This Row],[ÜRÜN KODU]],YMKODLARI!$A$1:$K$373,2,0)," ")</f>
        <v xml:space="preserve"> </v>
      </c>
      <c r="C63" s="99"/>
      <c r="D63" s="100"/>
      <c r="E63" s="101"/>
      <c r="F63" s="101"/>
      <c r="G63" s="100" t="str">
        <f>IFERROR(VLOOKUP(Tablo520[[#This Row],[ÜRÜN KODU]],YMKODLARI!$A$1:$K$373,3,0)," ")</f>
        <v xml:space="preserve"> </v>
      </c>
      <c r="H63" s="100" t="str">
        <f>IFERROR(VLOOKUP(Tablo520[[#This Row],[ÜRÜN KODU]],YMKODLARI!$A$1:$K$373,4,0)," ")</f>
        <v xml:space="preserve"> </v>
      </c>
      <c r="I63" s="100"/>
      <c r="J63" s="100" t="str">
        <f>IFERROR(VLOOKUP(Tablo520[[#This Row],[ÜRÜN KODU]],YMKODLARI!$A$1:$K$373,9,0)," ")</f>
        <v xml:space="preserve"> </v>
      </c>
      <c r="K63" s="100" t="str">
        <f>IFERROR(VLOOKUP(Tablo520[[#This Row],[BOYA KODU]],Tablo14[#All],4,0)," ")</f>
        <v xml:space="preserve"> </v>
      </c>
      <c r="L63" s="100" t="str">
        <f>IFERROR(VLOOKUP(Tablo520[[#This Row],[BOYA KODU]],Tablo14[#All],6,0)," ")</f>
        <v xml:space="preserve"> </v>
      </c>
      <c r="M63" s="100" t="str">
        <f t="shared" si="0"/>
        <v xml:space="preserve"> </v>
      </c>
      <c r="N63" s="100" t="str">
        <f>IFERROR(VLOOKUP(Tablo520[[#This Row],[ÜRÜN KODU]],YMKODLARI!$A$1:$K$373,8,0)," ")</f>
        <v xml:space="preserve"> </v>
      </c>
      <c r="O63" s="100" t="str">
        <f>IFERROR(VLOOKUP(Tablo520[[#This Row],[HAMMADDE KODU]],Tablo1[#All],3,0)," ")</f>
        <v xml:space="preserve"> </v>
      </c>
      <c r="P63" s="100" t="str">
        <f>IFERROR(VLOOKUP(Tablo520[[#This Row],[HAMMADDE KODU]],Tablo1[#All],4,0)," ")</f>
        <v xml:space="preserve"> </v>
      </c>
      <c r="Q63" s="100" t="str">
        <f>IFERROR(VLOOKUP(Tablo520[[#This Row],[ÜRÜN KODU]],YMKODLARI!$A$1:$K$373,5,0)," ")</f>
        <v xml:space="preserve"> </v>
      </c>
      <c r="R63" s="100" t="str">
        <f>IFERROR(VLOOKUP(Tablo520[[#This Row],[ÜRÜN KODU]],YMKODLARI!$A$1:$K$373,6,0)," ")</f>
        <v xml:space="preserve"> </v>
      </c>
      <c r="S63" s="100" t="str">
        <f>IFERROR(Tablo520[[#This Row],[YOLLUK HARİÇ BASKI GRAMI]]/Tablo520[[#This Row],[KALIP GÖZ ADEDİ]]," ")</f>
        <v xml:space="preserve"> </v>
      </c>
      <c r="T63" s="100" t="str">
        <f t="shared" si="2"/>
        <v xml:space="preserve"> </v>
      </c>
      <c r="U63" s="100"/>
      <c r="V63" s="100" t="str">
        <f t="shared" si="1"/>
        <v xml:space="preserve"> </v>
      </c>
      <c r="W63" s="101">
        <f t="shared" si="3"/>
        <v>24</v>
      </c>
      <c r="X63" s="102">
        <f t="shared" si="4"/>
        <v>0</v>
      </c>
      <c r="Y63" s="100" t="str">
        <f t="shared" si="5"/>
        <v xml:space="preserve"> </v>
      </c>
      <c r="Z63" s="100" t="str">
        <f t="shared" si="6"/>
        <v xml:space="preserve"> </v>
      </c>
    </row>
    <row r="64" spans="1:26">
      <c r="A64" s="100"/>
      <c r="B64" s="100" t="str">
        <f>IFERROR(VLOOKUP(Tablo520[[#This Row],[ÜRÜN KODU]],YMKODLARI!$A$1:$K$373,2,0)," ")</f>
        <v xml:space="preserve"> </v>
      </c>
      <c r="C64" s="99"/>
      <c r="D64" s="100"/>
      <c r="E64" s="101"/>
      <c r="F64" s="101"/>
      <c r="G64" s="100" t="str">
        <f>IFERROR(VLOOKUP(Tablo520[[#This Row],[ÜRÜN KODU]],YMKODLARI!$A$1:$K$373,3,0)," ")</f>
        <v xml:space="preserve"> </v>
      </c>
      <c r="H64" s="100" t="str">
        <f>IFERROR(VLOOKUP(Tablo520[[#This Row],[ÜRÜN KODU]],YMKODLARI!$A$1:$K$373,4,0)," ")</f>
        <v xml:space="preserve"> </v>
      </c>
      <c r="I64" s="100"/>
      <c r="J64" s="100" t="str">
        <f>IFERROR(VLOOKUP(Tablo520[[#This Row],[ÜRÜN KODU]],YMKODLARI!$A$1:$K$373,9,0)," ")</f>
        <v xml:space="preserve"> </v>
      </c>
      <c r="K64" s="100" t="str">
        <f>IFERROR(VLOOKUP(Tablo520[[#This Row],[BOYA KODU]],Tablo14[#All],4,0)," ")</f>
        <v xml:space="preserve"> </v>
      </c>
      <c r="L64" s="100" t="str">
        <f>IFERROR(VLOOKUP(Tablo520[[#This Row],[BOYA KODU]],Tablo14[#All],6,0)," ")</f>
        <v xml:space="preserve"> </v>
      </c>
      <c r="M64" s="100" t="str">
        <f t="shared" si="0"/>
        <v xml:space="preserve"> </v>
      </c>
      <c r="N64" s="100" t="str">
        <f>IFERROR(VLOOKUP(Tablo520[[#This Row],[ÜRÜN KODU]],YMKODLARI!$A$1:$K$373,8,0)," ")</f>
        <v xml:space="preserve"> </v>
      </c>
      <c r="O64" s="100" t="str">
        <f>IFERROR(VLOOKUP(Tablo520[[#This Row],[HAMMADDE KODU]],Tablo1[#All],3,0)," ")</f>
        <v xml:space="preserve"> </v>
      </c>
      <c r="P64" s="100" t="str">
        <f>IFERROR(VLOOKUP(Tablo520[[#This Row],[HAMMADDE KODU]],Tablo1[#All],4,0)," ")</f>
        <v xml:space="preserve"> </v>
      </c>
      <c r="Q64" s="100" t="str">
        <f>IFERROR(VLOOKUP(Tablo520[[#This Row],[ÜRÜN KODU]],YMKODLARI!$A$1:$K$373,5,0)," ")</f>
        <v xml:space="preserve"> </v>
      </c>
      <c r="R64" s="100" t="str">
        <f>IFERROR(VLOOKUP(Tablo520[[#This Row],[ÜRÜN KODU]],YMKODLARI!$A$1:$K$373,6,0)," ")</f>
        <v xml:space="preserve"> </v>
      </c>
      <c r="S64" s="100" t="str">
        <f>IFERROR(Tablo520[[#This Row],[YOLLUK HARİÇ BASKI GRAMI]]/Tablo520[[#This Row],[KALIP GÖZ ADEDİ]]," ")</f>
        <v xml:space="preserve"> </v>
      </c>
      <c r="T64" s="100" t="str">
        <f t="shared" si="2"/>
        <v xml:space="preserve"> </v>
      </c>
      <c r="U64" s="100"/>
      <c r="V64" s="100" t="str">
        <f t="shared" si="1"/>
        <v xml:space="preserve"> </v>
      </c>
      <c r="W64" s="101">
        <f t="shared" si="3"/>
        <v>24</v>
      </c>
      <c r="X64" s="102">
        <f t="shared" si="4"/>
        <v>0</v>
      </c>
      <c r="Y64" s="100" t="str">
        <f t="shared" si="5"/>
        <v xml:space="preserve"> </v>
      </c>
      <c r="Z64" s="100" t="str">
        <f t="shared" si="6"/>
        <v xml:space="preserve"> </v>
      </c>
    </row>
    <row r="65" spans="1:26">
      <c r="A65" s="100"/>
      <c r="B65" s="100" t="str">
        <f>IFERROR(VLOOKUP(Tablo520[[#This Row],[ÜRÜN KODU]],YMKODLARI!$A$1:$K$373,2,0)," ")</f>
        <v xml:space="preserve"> </v>
      </c>
      <c r="C65" s="99"/>
      <c r="D65" s="100"/>
      <c r="E65" s="101"/>
      <c r="F65" s="101"/>
      <c r="G65" s="100" t="str">
        <f>IFERROR(VLOOKUP(Tablo520[[#This Row],[ÜRÜN KODU]],YMKODLARI!$A$1:$K$373,3,0)," ")</f>
        <v xml:space="preserve"> </v>
      </c>
      <c r="H65" s="100" t="str">
        <f>IFERROR(VLOOKUP(Tablo520[[#This Row],[ÜRÜN KODU]],YMKODLARI!$A$1:$K$373,4,0)," ")</f>
        <v xml:space="preserve"> </v>
      </c>
      <c r="I65" s="100"/>
      <c r="J65" s="100" t="str">
        <f>IFERROR(VLOOKUP(Tablo520[[#This Row],[ÜRÜN KODU]],YMKODLARI!$A$1:$K$373,9,0)," ")</f>
        <v xml:space="preserve"> </v>
      </c>
      <c r="K65" s="100" t="str">
        <f>IFERROR(VLOOKUP(Tablo520[[#This Row],[BOYA KODU]],Tablo14[#All],4,0)," ")</f>
        <v xml:space="preserve"> </v>
      </c>
      <c r="L65" s="100" t="str">
        <f>IFERROR(VLOOKUP(Tablo520[[#This Row],[BOYA KODU]],Tablo14[#All],6,0)," ")</f>
        <v xml:space="preserve"> </v>
      </c>
      <c r="M65" s="100" t="str">
        <f t="shared" si="0"/>
        <v xml:space="preserve"> </v>
      </c>
      <c r="N65" s="100" t="str">
        <f>IFERROR(VLOOKUP(Tablo520[[#This Row],[ÜRÜN KODU]],YMKODLARI!$A$1:$K$373,8,0)," ")</f>
        <v xml:space="preserve"> </v>
      </c>
      <c r="O65" s="100" t="str">
        <f>IFERROR(VLOOKUP(Tablo520[[#This Row],[HAMMADDE KODU]],Tablo1[#All],3,0)," ")</f>
        <v xml:space="preserve"> </v>
      </c>
      <c r="P65" s="100" t="str">
        <f>IFERROR(VLOOKUP(Tablo520[[#This Row],[HAMMADDE KODU]],Tablo1[#All],4,0)," ")</f>
        <v xml:space="preserve"> </v>
      </c>
      <c r="Q65" s="100" t="str">
        <f>IFERROR(VLOOKUP(Tablo520[[#This Row],[ÜRÜN KODU]],YMKODLARI!$A$1:$K$373,5,0)," ")</f>
        <v xml:space="preserve"> </v>
      </c>
      <c r="R65" s="100" t="str">
        <f>IFERROR(VLOOKUP(Tablo520[[#This Row],[ÜRÜN KODU]],YMKODLARI!$A$1:$K$373,6,0)," ")</f>
        <v xml:space="preserve"> </v>
      </c>
      <c r="S65" s="100" t="str">
        <f>IFERROR(Tablo520[[#This Row],[YOLLUK HARİÇ BASKI GRAMI]]/Tablo520[[#This Row],[KALIP GÖZ ADEDİ]]," ")</f>
        <v xml:space="preserve"> </v>
      </c>
      <c r="T65" s="100" t="str">
        <f t="shared" si="2"/>
        <v xml:space="preserve"> </v>
      </c>
      <c r="U65" s="100"/>
      <c r="V65" s="100" t="str">
        <f t="shared" si="1"/>
        <v xml:space="preserve"> </v>
      </c>
      <c r="W65" s="101">
        <f t="shared" si="3"/>
        <v>24</v>
      </c>
      <c r="X65" s="102">
        <f t="shared" si="4"/>
        <v>0</v>
      </c>
      <c r="Y65" s="100" t="str">
        <f t="shared" si="5"/>
        <v xml:space="preserve"> </v>
      </c>
      <c r="Z65" s="100" t="str">
        <f t="shared" si="6"/>
        <v xml:space="preserve"> </v>
      </c>
    </row>
    <row r="66" spans="1:26">
      <c r="A66" s="100"/>
      <c r="B66" s="100" t="str">
        <f>IFERROR(VLOOKUP(Tablo520[[#This Row],[ÜRÜN KODU]],YMKODLARI!$A$1:$K$373,2,0)," ")</f>
        <v xml:space="preserve"> </v>
      </c>
      <c r="C66" s="99"/>
      <c r="D66" s="100"/>
      <c r="E66" s="101"/>
      <c r="F66" s="101"/>
      <c r="G66" s="100" t="str">
        <f>IFERROR(VLOOKUP(Tablo520[[#This Row],[ÜRÜN KODU]],YMKODLARI!$A$1:$K$373,3,0)," ")</f>
        <v xml:space="preserve"> </v>
      </c>
      <c r="H66" s="100" t="str">
        <f>IFERROR(VLOOKUP(Tablo520[[#This Row],[ÜRÜN KODU]],YMKODLARI!$A$1:$K$373,4,0)," ")</f>
        <v xml:space="preserve"> </v>
      </c>
      <c r="I66" s="100"/>
      <c r="J66" s="100" t="str">
        <f>IFERROR(VLOOKUP(Tablo520[[#This Row],[ÜRÜN KODU]],YMKODLARI!$A$1:$K$373,9,0)," ")</f>
        <v xml:space="preserve"> </v>
      </c>
      <c r="K66" s="100" t="str">
        <f>IFERROR(VLOOKUP(Tablo520[[#This Row],[BOYA KODU]],Tablo14[#All],4,0)," ")</f>
        <v xml:space="preserve"> </v>
      </c>
      <c r="L66" s="100" t="str">
        <f>IFERROR(VLOOKUP(Tablo520[[#This Row],[BOYA KODU]],Tablo14[#All],6,0)," ")</f>
        <v xml:space="preserve"> </v>
      </c>
      <c r="M66" s="100" t="str">
        <f t="shared" ref="M66:M129" si="7">IFERROR((I66*Q66)*L66," ")</f>
        <v xml:space="preserve"> </v>
      </c>
      <c r="N66" s="100" t="str">
        <f>IFERROR(VLOOKUP(Tablo520[[#This Row],[ÜRÜN KODU]],YMKODLARI!$A$1:$K$373,8,0)," ")</f>
        <v xml:space="preserve"> </v>
      </c>
      <c r="O66" s="100" t="str">
        <f>IFERROR(VLOOKUP(Tablo520[[#This Row],[HAMMADDE KODU]],Tablo1[#All],3,0)," ")</f>
        <v xml:space="preserve"> </v>
      </c>
      <c r="P66" s="100" t="str">
        <f>IFERROR(VLOOKUP(Tablo520[[#This Row],[HAMMADDE KODU]],Tablo1[#All],4,0)," ")</f>
        <v xml:space="preserve"> </v>
      </c>
      <c r="Q66" s="100" t="str">
        <f>IFERROR(VLOOKUP(Tablo520[[#This Row],[ÜRÜN KODU]],YMKODLARI!$A$1:$K$373,5,0)," ")</f>
        <v xml:space="preserve"> </v>
      </c>
      <c r="R66" s="100" t="str">
        <f>IFERROR(VLOOKUP(Tablo520[[#This Row],[ÜRÜN KODU]],YMKODLARI!$A$1:$K$373,6,0)," ")</f>
        <v xml:space="preserve"> </v>
      </c>
      <c r="S66" s="100" t="str">
        <f>IFERROR(Tablo520[[#This Row],[YOLLUK HARİÇ BASKI GRAMI]]/Tablo520[[#This Row],[KALIP GÖZ ADEDİ]]," ")</f>
        <v xml:space="preserve"> </v>
      </c>
      <c r="T66" s="100" t="str">
        <f t="shared" si="2"/>
        <v xml:space="preserve"> </v>
      </c>
      <c r="U66" s="100"/>
      <c r="V66" s="100" t="str">
        <f t="shared" ref="V66:V129" si="8">IFERROR(U66+(R66*I66) /1000," ")</f>
        <v xml:space="preserve"> </v>
      </c>
      <c r="W66" s="101">
        <f t="shared" si="3"/>
        <v>24</v>
      </c>
      <c r="X66" s="102">
        <f t="shared" si="4"/>
        <v>0</v>
      </c>
      <c r="Y66" s="100" t="str">
        <f t="shared" si="5"/>
        <v xml:space="preserve"> </v>
      </c>
      <c r="Z66" s="100" t="str">
        <f t="shared" si="6"/>
        <v xml:space="preserve"> </v>
      </c>
    </row>
    <row r="67" spans="1:26">
      <c r="A67" s="100"/>
      <c r="B67" s="100" t="str">
        <f>IFERROR(VLOOKUP(Tablo520[[#This Row],[ÜRÜN KODU]],YMKODLARI!$A$1:$K$373,2,0)," ")</f>
        <v xml:space="preserve"> </v>
      </c>
      <c r="C67" s="99"/>
      <c r="D67" s="100"/>
      <c r="E67" s="101"/>
      <c r="F67" s="101"/>
      <c r="G67" s="100" t="str">
        <f>IFERROR(VLOOKUP(Tablo520[[#This Row],[ÜRÜN KODU]],YMKODLARI!$A$1:$K$373,3,0)," ")</f>
        <v xml:space="preserve"> </v>
      </c>
      <c r="H67" s="100" t="str">
        <f>IFERROR(VLOOKUP(Tablo520[[#This Row],[ÜRÜN KODU]],YMKODLARI!$A$1:$K$373,4,0)," ")</f>
        <v xml:space="preserve"> </v>
      </c>
      <c r="I67" s="100"/>
      <c r="J67" s="100" t="str">
        <f>IFERROR(VLOOKUP(Tablo520[[#This Row],[ÜRÜN KODU]],YMKODLARI!$A$1:$K$373,9,0)," ")</f>
        <v xml:space="preserve"> </v>
      </c>
      <c r="K67" s="100" t="str">
        <f>IFERROR(VLOOKUP(Tablo520[[#This Row],[BOYA KODU]],Tablo14[#All],4,0)," ")</f>
        <v xml:space="preserve"> </v>
      </c>
      <c r="L67" s="100" t="str">
        <f>IFERROR(VLOOKUP(Tablo520[[#This Row],[BOYA KODU]],Tablo14[#All],6,0)," ")</f>
        <v xml:space="preserve"> </v>
      </c>
      <c r="M67" s="100" t="str">
        <f t="shared" si="7"/>
        <v xml:space="preserve"> </v>
      </c>
      <c r="N67" s="100" t="str">
        <f>IFERROR(VLOOKUP(Tablo520[[#This Row],[ÜRÜN KODU]],YMKODLARI!$A$1:$K$373,8,0)," ")</f>
        <v xml:space="preserve"> </v>
      </c>
      <c r="O67" s="100" t="str">
        <f>IFERROR(VLOOKUP(Tablo520[[#This Row],[HAMMADDE KODU]],Tablo1[#All],3,0)," ")</f>
        <v xml:space="preserve"> </v>
      </c>
      <c r="P67" s="100" t="str">
        <f>IFERROR(VLOOKUP(Tablo520[[#This Row],[HAMMADDE KODU]],Tablo1[#All],4,0)," ")</f>
        <v xml:space="preserve"> </v>
      </c>
      <c r="Q67" s="100" t="str">
        <f>IFERROR(VLOOKUP(Tablo520[[#This Row],[ÜRÜN KODU]],YMKODLARI!$A$1:$K$373,5,0)," ")</f>
        <v xml:space="preserve"> </v>
      </c>
      <c r="R67" s="100" t="str">
        <f>IFERROR(VLOOKUP(Tablo520[[#This Row],[ÜRÜN KODU]],YMKODLARI!$A$1:$K$373,6,0)," ")</f>
        <v xml:space="preserve"> </v>
      </c>
      <c r="S67" s="100" t="str">
        <f>IFERROR(Tablo520[[#This Row],[YOLLUK HARİÇ BASKI GRAMI]]/Tablo520[[#This Row],[KALIP GÖZ ADEDİ]]," ")</f>
        <v xml:space="preserve"> </v>
      </c>
      <c r="T67" s="100" t="str">
        <f t="shared" ref="T67:T130" si="9">IFERROR(Q67-R67," ")</f>
        <v xml:space="preserve"> </v>
      </c>
      <c r="U67" s="100"/>
      <c r="V67" s="100" t="str">
        <f t="shared" si="8"/>
        <v xml:space="preserve"> </v>
      </c>
      <c r="W67" s="101">
        <f t="shared" ref="W67:W130" si="10">IFERROR(24-(E67-F67)," ")</f>
        <v>24</v>
      </c>
      <c r="X67" s="102">
        <f t="shared" ref="X67:X130" si="11">IFERROR((W67-INT(W67))*24," ")</f>
        <v>0</v>
      </c>
      <c r="Y67" s="100" t="str">
        <f t="shared" ref="Y67:Y130" si="12">IFERROR(H67*I67/3600," ")</f>
        <v xml:space="preserve"> </v>
      </c>
      <c r="Z67" s="100" t="str">
        <f t="shared" ref="Z67:Z130" si="13">IFERROR(I67*G67," " )</f>
        <v xml:space="preserve"> </v>
      </c>
    </row>
    <row r="68" spans="1:26">
      <c r="A68" s="100"/>
      <c r="B68" s="100" t="str">
        <f>IFERROR(VLOOKUP(Tablo520[[#This Row],[ÜRÜN KODU]],YMKODLARI!$A$1:$K$373,2,0)," ")</f>
        <v xml:space="preserve"> </v>
      </c>
      <c r="C68" s="99"/>
      <c r="D68" s="100"/>
      <c r="E68" s="101"/>
      <c r="F68" s="101"/>
      <c r="G68" s="100" t="str">
        <f>IFERROR(VLOOKUP(Tablo520[[#This Row],[ÜRÜN KODU]],YMKODLARI!$A$1:$K$373,3,0)," ")</f>
        <v xml:space="preserve"> </v>
      </c>
      <c r="H68" s="100" t="str">
        <f>IFERROR(VLOOKUP(Tablo520[[#This Row],[ÜRÜN KODU]],YMKODLARI!$A$1:$K$373,4,0)," ")</f>
        <v xml:space="preserve"> </v>
      </c>
      <c r="I68" s="100"/>
      <c r="J68" s="100" t="str">
        <f>IFERROR(VLOOKUP(Tablo520[[#This Row],[ÜRÜN KODU]],YMKODLARI!$A$1:$K$373,9,0)," ")</f>
        <v xml:space="preserve"> </v>
      </c>
      <c r="K68" s="100" t="str">
        <f>IFERROR(VLOOKUP(Tablo520[[#This Row],[BOYA KODU]],Tablo14[#All],4,0)," ")</f>
        <v xml:space="preserve"> </v>
      </c>
      <c r="L68" s="100" t="str">
        <f>IFERROR(VLOOKUP(Tablo520[[#This Row],[BOYA KODU]],Tablo14[#All],6,0)," ")</f>
        <v xml:space="preserve"> </v>
      </c>
      <c r="M68" s="100" t="str">
        <f t="shared" si="7"/>
        <v xml:space="preserve"> </v>
      </c>
      <c r="N68" s="100" t="str">
        <f>IFERROR(VLOOKUP(Tablo520[[#This Row],[ÜRÜN KODU]],YMKODLARI!$A$1:$K$373,8,0)," ")</f>
        <v xml:space="preserve"> </v>
      </c>
      <c r="O68" s="100" t="str">
        <f>IFERROR(VLOOKUP(Tablo520[[#This Row],[HAMMADDE KODU]],Tablo1[#All],3,0)," ")</f>
        <v xml:space="preserve"> </v>
      </c>
      <c r="P68" s="100" t="str">
        <f>IFERROR(VLOOKUP(Tablo520[[#This Row],[HAMMADDE KODU]],Tablo1[#All],4,0)," ")</f>
        <v xml:space="preserve"> </v>
      </c>
      <c r="Q68" s="100" t="str">
        <f>IFERROR(VLOOKUP(Tablo520[[#This Row],[ÜRÜN KODU]],YMKODLARI!$A$1:$K$373,5,0)," ")</f>
        <v xml:space="preserve"> </v>
      </c>
      <c r="R68" s="100" t="str">
        <f>IFERROR(VLOOKUP(Tablo520[[#This Row],[ÜRÜN KODU]],YMKODLARI!$A$1:$K$373,6,0)," ")</f>
        <v xml:space="preserve"> </v>
      </c>
      <c r="S68" s="100" t="str">
        <f>IFERROR(Tablo520[[#This Row],[YOLLUK HARİÇ BASKI GRAMI]]/Tablo520[[#This Row],[KALIP GÖZ ADEDİ]]," ")</f>
        <v xml:space="preserve"> </v>
      </c>
      <c r="T68" s="100" t="str">
        <f t="shared" si="9"/>
        <v xml:space="preserve"> </v>
      </c>
      <c r="U68" s="100"/>
      <c r="V68" s="100" t="str">
        <f t="shared" si="8"/>
        <v xml:space="preserve"> </v>
      </c>
      <c r="W68" s="101">
        <f t="shared" si="10"/>
        <v>24</v>
      </c>
      <c r="X68" s="102">
        <f t="shared" si="11"/>
        <v>0</v>
      </c>
      <c r="Y68" s="100" t="str">
        <f t="shared" si="12"/>
        <v xml:space="preserve"> </v>
      </c>
      <c r="Z68" s="100" t="str">
        <f t="shared" si="13"/>
        <v xml:space="preserve"> </v>
      </c>
    </row>
    <row r="69" spans="1:26">
      <c r="A69" s="100"/>
      <c r="B69" s="100" t="str">
        <f>IFERROR(VLOOKUP(Tablo520[[#This Row],[ÜRÜN KODU]],YMKODLARI!$A$1:$K$373,2,0)," ")</f>
        <v xml:space="preserve"> </v>
      </c>
      <c r="C69" s="99"/>
      <c r="D69" s="100"/>
      <c r="E69" s="101"/>
      <c r="F69" s="101"/>
      <c r="G69" s="100" t="str">
        <f>IFERROR(VLOOKUP(Tablo520[[#This Row],[ÜRÜN KODU]],YMKODLARI!$A$1:$K$373,3,0)," ")</f>
        <v xml:space="preserve"> </v>
      </c>
      <c r="H69" s="100" t="str">
        <f>IFERROR(VLOOKUP(Tablo520[[#This Row],[ÜRÜN KODU]],YMKODLARI!$A$1:$K$373,4,0)," ")</f>
        <v xml:space="preserve"> </v>
      </c>
      <c r="I69" s="100"/>
      <c r="J69" s="100" t="str">
        <f>IFERROR(VLOOKUP(Tablo520[[#This Row],[ÜRÜN KODU]],YMKODLARI!$A$1:$K$373,9,0)," ")</f>
        <v xml:space="preserve"> </v>
      </c>
      <c r="K69" s="100" t="str">
        <f>IFERROR(VLOOKUP(Tablo520[[#This Row],[BOYA KODU]],Tablo14[#All],4,0)," ")</f>
        <v xml:space="preserve"> </v>
      </c>
      <c r="L69" s="100" t="str">
        <f>IFERROR(VLOOKUP(Tablo520[[#This Row],[BOYA KODU]],Tablo14[#All],6,0)," ")</f>
        <v xml:space="preserve"> </v>
      </c>
      <c r="M69" s="100" t="str">
        <f t="shared" si="7"/>
        <v xml:space="preserve"> </v>
      </c>
      <c r="N69" s="100" t="str">
        <f>IFERROR(VLOOKUP(Tablo520[[#This Row],[ÜRÜN KODU]],YMKODLARI!$A$1:$K$373,8,0)," ")</f>
        <v xml:space="preserve"> </v>
      </c>
      <c r="O69" s="100" t="str">
        <f>IFERROR(VLOOKUP(Tablo520[[#This Row],[HAMMADDE KODU]],Tablo1[#All],3,0)," ")</f>
        <v xml:space="preserve"> </v>
      </c>
      <c r="P69" s="100" t="str">
        <f>IFERROR(VLOOKUP(Tablo520[[#This Row],[HAMMADDE KODU]],Tablo1[#All],4,0)," ")</f>
        <v xml:space="preserve"> </v>
      </c>
      <c r="Q69" s="100" t="str">
        <f>IFERROR(VLOOKUP(Tablo520[[#This Row],[ÜRÜN KODU]],YMKODLARI!$A$1:$K$373,5,0)," ")</f>
        <v xml:space="preserve"> </v>
      </c>
      <c r="R69" s="100" t="str">
        <f>IFERROR(VLOOKUP(Tablo520[[#This Row],[ÜRÜN KODU]],YMKODLARI!$A$1:$K$373,6,0)," ")</f>
        <v xml:space="preserve"> </v>
      </c>
      <c r="S69" s="100" t="str">
        <f>IFERROR(Tablo520[[#This Row],[YOLLUK HARİÇ BASKI GRAMI]]/Tablo520[[#This Row],[KALIP GÖZ ADEDİ]]," ")</f>
        <v xml:space="preserve"> </v>
      </c>
      <c r="T69" s="100" t="str">
        <f t="shared" si="9"/>
        <v xml:space="preserve"> </v>
      </c>
      <c r="U69" s="100"/>
      <c r="V69" s="100" t="str">
        <f t="shared" si="8"/>
        <v xml:space="preserve"> </v>
      </c>
      <c r="W69" s="101">
        <f t="shared" si="10"/>
        <v>24</v>
      </c>
      <c r="X69" s="102">
        <f t="shared" si="11"/>
        <v>0</v>
      </c>
      <c r="Y69" s="100" t="str">
        <f t="shared" si="12"/>
        <v xml:space="preserve"> </v>
      </c>
      <c r="Z69" s="100" t="str">
        <f t="shared" si="13"/>
        <v xml:space="preserve"> </v>
      </c>
    </row>
    <row r="70" spans="1:26">
      <c r="A70" s="100"/>
      <c r="B70" s="100" t="str">
        <f>IFERROR(VLOOKUP(Tablo520[[#This Row],[ÜRÜN KODU]],YMKODLARI!$A$1:$K$373,2,0)," ")</f>
        <v xml:space="preserve"> </v>
      </c>
      <c r="C70" s="99"/>
      <c r="D70" s="100"/>
      <c r="E70" s="101"/>
      <c r="F70" s="101"/>
      <c r="G70" s="100" t="str">
        <f>IFERROR(VLOOKUP(Tablo520[[#This Row],[ÜRÜN KODU]],YMKODLARI!$A$1:$K$373,3,0)," ")</f>
        <v xml:space="preserve"> </v>
      </c>
      <c r="H70" s="100" t="str">
        <f>IFERROR(VLOOKUP(Tablo520[[#This Row],[ÜRÜN KODU]],YMKODLARI!$A$1:$K$373,4,0)," ")</f>
        <v xml:space="preserve"> </v>
      </c>
      <c r="I70" s="100"/>
      <c r="J70" s="100" t="str">
        <f>IFERROR(VLOOKUP(Tablo520[[#This Row],[ÜRÜN KODU]],YMKODLARI!$A$1:$K$373,9,0)," ")</f>
        <v xml:space="preserve"> </v>
      </c>
      <c r="K70" s="100" t="str">
        <f>IFERROR(VLOOKUP(Tablo520[[#This Row],[BOYA KODU]],Tablo14[#All],4,0)," ")</f>
        <v xml:space="preserve"> </v>
      </c>
      <c r="L70" s="100" t="str">
        <f>IFERROR(VLOOKUP(Tablo520[[#This Row],[BOYA KODU]],Tablo14[#All],6,0)," ")</f>
        <v xml:space="preserve"> </v>
      </c>
      <c r="M70" s="100" t="str">
        <f t="shared" si="7"/>
        <v xml:space="preserve"> </v>
      </c>
      <c r="N70" s="100" t="str">
        <f>IFERROR(VLOOKUP(Tablo520[[#This Row],[ÜRÜN KODU]],YMKODLARI!$A$1:$K$373,8,0)," ")</f>
        <v xml:space="preserve"> </v>
      </c>
      <c r="O70" s="100" t="str">
        <f>IFERROR(VLOOKUP(Tablo520[[#This Row],[HAMMADDE KODU]],Tablo1[#All],3,0)," ")</f>
        <v xml:space="preserve"> </v>
      </c>
      <c r="P70" s="100" t="str">
        <f>IFERROR(VLOOKUP(Tablo520[[#This Row],[HAMMADDE KODU]],Tablo1[#All],4,0)," ")</f>
        <v xml:space="preserve"> </v>
      </c>
      <c r="Q70" s="100" t="str">
        <f>IFERROR(VLOOKUP(Tablo520[[#This Row],[ÜRÜN KODU]],YMKODLARI!$A$1:$K$373,5,0)," ")</f>
        <v xml:space="preserve"> </v>
      </c>
      <c r="R70" s="100" t="str">
        <f>IFERROR(VLOOKUP(Tablo520[[#This Row],[ÜRÜN KODU]],YMKODLARI!$A$1:$K$373,6,0)," ")</f>
        <v xml:space="preserve"> </v>
      </c>
      <c r="S70" s="100" t="str">
        <f>IFERROR(Tablo520[[#This Row],[YOLLUK HARİÇ BASKI GRAMI]]/Tablo520[[#This Row],[KALIP GÖZ ADEDİ]]," ")</f>
        <v xml:space="preserve"> </v>
      </c>
      <c r="T70" s="100" t="str">
        <f t="shared" si="9"/>
        <v xml:space="preserve"> </v>
      </c>
      <c r="U70" s="100"/>
      <c r="V70" s="100" t="str">
        <f t="shared" si="8"/>
        <v xml:space="preserve"> </v>
      </c>
      <c r="W70" s="101">
        <f t="shared" si="10"/>
        <v>24</v>
      </c>
      <c r="X70" s="102">
        <f t="shared" si="11"/>
        <v>0</v>
      </c>
      <c r="Y70" s="100" t="str">
        <f t="shared" si="12"/>
        <v xml:space="preserve"> </v>
      </c>
      <c r="Z70" s="100" t="str">
        <f t="shared" si="13"/>
        <v xml:space="preserve"> </v>
      </c>
    </row>
    <row r="71" spans="1:26">
      <c r="A71" s="100"/>
      <c r="B71" s="100" t="str">
        <f>IFERROR(VLOOKUP(Tablo520[[#This Row],[ÜRÜN KODU]],YMKODLARI!$A$1:$K$373,2,0)," ")</f>
        <v xml:space="preserve"> </v>
      </c>
      <c r="C71" s="99"/>
      <c r="D71" s="100"/>
      <c r="E71" s="101"/>
      <c r="F71" s="101"/>
      <c r="G71" s="100" t="str">
        <f>IFERROR(VLOOKUP(Tablo520[[#This Row],[ÜRÜN KODU]],YMKODLARI!$A$1:$K$373,3,0)," ")</f>
        <v xml:space="preserve"> </v>
      </c>
      <c r="H71" s="100" t="str">
        <f>IFERROR(VLOOKUP(Tablo520[[#This Row],[ÜRÜN KODU]],YMKODLARI!$A$1:$K$373,4,0)," ")</f>
        <v xml:space="preserve"> </v>
      </c>
      <c r="I71" s="100"/>
      <c r="J71" s="100" t="str">
        <f>IFERROR(VLOOKUP(Tablo520[[#This Row],[ÜRÜN KODU]],YMKODLARI!$A$1:$K$373,9,0)," ")</f>
        <v xml:space="preserve"> </v>
      </c>
      <c r="K71" s="100" t="str">
        <f>IFERROR(VLOOKUP(Tablo520[[#This Row],[BOYA KODU]],Tablo14[#All],4,0)," ")</f>
        <v xml:space="preserve"> </v>
      </c>
      <c r="L71" s="100" t="str">
        <f>IFERROR(VLOOKUP(Tablo520[[#This Row],[BOYA KODU]],Tablo14[#All],6,0)," ")</f>
        <v xml:space="preserve"> </v>
      </c>
      <c r="M71" s="100" t="str">
        <f t="shared" si="7"/>
        <v xml:space="preserve"> </v>
      </c>
      <c r="N71" s="100" t="str">
        <f>IFERROR(VLOOKUP(Tablo520[[#This Row],[ÜRÜN KODU]],YMKODLARI!$A$1:$K$373,8,0)," ")</f>
        <v xml:space="preserve"> </v>
      </c>
      <c r="O71" s="100" t="str">
        <f>IFERROR(VLOOKUP(Tablo520[[#This Row],[HAMMADDE KODU]],Tablo1[#All],3,0)," ")</f>
        <v xml:space="preserve"> </v>
      </c>
      <c r="P71" s="100" t="str">
        <f>IFERROR(VLOOKUP(Tablo520[[#This Row],[HAMMADDE KODU]],Tablo1[#All],4,0)," ")</f>
        <v xml:space="preserve"> </v>
      </c>
      <c r="Q71" s="100" t="str">
        <f>IFERROR(VLOOKUP(Tablo520[[#This Row],[ÜRÜN KODU]],YMKODLARI!$A$1:$K$373,5,0)," ")</f>
        <v xml:space="preserve"> </v>
      </c>
      <c r="R71" s="100" t="str">
        <f>IFERROR(VLOOKUP(Tablo520[[#This Row],[ÜRÜN KODU]],YMKODLARI!$A$1:$K$373,6,0)," ")</f>
        <v xml:space="preserve"> </v>
      </c>
      <c r="S71" s="100" t="str">
        <f>IFERROR(Tablo520[[#This Row],[YOLLUK HARİÇ BASKI GRAMI]]/Tablo520[[#This Row],[KALIP GÖZ ADEDİ]]," ")</f>
        <v xml:space="preserve"> </v>
      </c>
      <c r="T71" s="100" t="str">
        <f t="shared" si="9"/>
        <v xml:space="preserve"> </v>
      </c>
      <c r="U71" s="100"/>
      <c r="V71" s="100" t="str">
        <f t="shared" si="8"/>
        <v xml:space="preserve"> </v>
      </c>
      <c r="W71" s="101">
        <f t="shared" si="10"/>
        <v>24</v>
      </c>
      <c r="X71" s="102">
        <f t="shared" si="11"/>
        <v>0</v>
      </c>
      <c r="Y71" s="100" t="str">
        <f t="shared" si="12"/>
        <v xml:space="preserve"> </v>
      </c>
      <c r="Z71" s="100" t="str">
        <f t="shared" si="13"/>
        <v xml:space="preserve"> </v>
      </c>
    </row>
    <row r="72" spans="1:26">
      <c r="A72" s="100"/>
      <c r="B72" s="100" t="str">
        <f>IFERROR(VLOOKUP(Tablo520[[#This Row],[ÜRÜN KODU]],YMKODLARI!$A$1:$K$373,2,0)," ")</f>
        <v xml:space="preserve"> </v>
      </c>
      <c r="C72" s="99"/>
      <c r="D72" s="100"/>
      <c r="E72" s="101"/>
      <c r="F72" s="101"/>
      <c r="G72" s="100" t="str">
        <f>IFERROR(VLOOKUP(Tablo520[[#This Row],[ÜRÜN KODU]],YMKODLARI!$A$1:$K$373,3,0)," ")</f>
        <v xml:space="preserve"> </v>
      </c>
      <c r="H72" s="100" t="str">
        <f>IFERROR(VLOOKUP(Tablo520[[#This Row],[ÜRÜN KODU]],YMKODLARI!$A$1:$K$373,4,0)," ")</f>
        <v xml:space="preserve"> </v>
      </c>
      <c r="I72" s="100"/>
      <c r="J72" s="100" t="str">
        <f>IFERROR(VLOOKUP(Tablo520[[#This Row],[ÜRÜN KODU]],YMKODLARI!$A$1:$K$373,9,0)," ")</f>
        <v xml:space="preserve"> </v>
      </c>
      <c r="K72" s="100" t="str">
        <f>IFERROR(VLOOKUP(Tablo520[[#This Row],[BOYA KODU]],Tablo14[#All],4,0)," ")</f>
        <v xml:space="preserve"> </v>
      </c>
      <c r="L72" s="100" t="str">
        <f>IFERROR(VLOOKUP(Tablo520[[#This Row],[BOYA KODU]],Tablo14[#All],6,0)," ")</f>
        <v xml:space="preserve"> </v>
      </c>
      <c r="M72" s="100" t="str">
        <f t="shared" si="7"/>
        <v xml:space="preserve"> </v>
      </c>
      <c r="N72" s="100" t="str">
        <f>IFERROR(VLOOKUP(Tablo520[[#This Row],[ÜRÜN KODU]],YMKODLARI!$A$1:$K$373,8,0)," ")</f>
        <v xml:space="preserve"> </v>
      </c>
      <c r="O72" s="100" t="str">
        <f>IFERROR(VLOOKUP(Tablo520[[#This Row],[HAMMADDE KODU]],Tablo1[#All],3,0)," ")</f>
        <v xml:space="preserve"> </v>
      </c>
      <c r="P72" s="100" t="str">
        <f>IFERROR(VLOOKUP(Tablo520[[#This Row],[HAMMADDE KODU]],Tablo1[#All],4,0)," ")</f>
        <v xml:space="preserve"> </v>
      </c>
      <c r="Q72" s="100" t="str">
        <f>IFERROR(VLOOKUP(Tablo520[[#This Row],[ÜRÜN KODU]],YMKODLARI!$A$1:$K$373,5,0)," ")</f>
        <v xml:space="preserve"> </v>
      </c>
      <c r="R72" s="100" t="str">
        <f>IFERROR(VLOOKUP(Tablo520[[#This Row],[ÜRÜN KODU]],YMKODLARI!$A$1:$K$373,6,0)," ")</f>
        <v xml:space="preserve"> </v>
      </c>
      <c r="S72" s="100" t="str">
        <f>IFERROR(Tablo520[[#This Row],[YOLLUK HARİÇ BASKI GRAMI]]/Tablo520[[#This Row],[KALIP GÖZ ADEDİ]]," ")</f>
        <v xml:space="preserve"> </v>
      </c>
      <c r="T72" s="100" t="str">
        <f t="shared" si="9"/>
        <v xml:space="preserve"> </v>
      </c>
      <c r="U72" s="100"/>
      <c r="V72" s="100" t="str">
        <f t="shared" si="8"/>
        <v xml:space="preserve"> </v>
      </c>
      <c r="W72" s="101">
        <f t="shared" si="10"/>
        <v>24</v>
      </c>
      <c r="X72" s="102">
        <f t="shared" si="11"/>
        <v>0</v>
      </c>
      <c r="Y72" s="100" t="str">
        <f t="shared" si="12"/>
        <v xml:space="preserve"> </v>
      </c>
      <c r="Z72" s="100" t="str">
        <f t="shared" si="13"/>
        <v xml:space="preserve"> </v>
      </c>
    </row>
    <row r="73" spans="1:26">
      <c r="A73" s="100"/>
      <c r="B73" s="100" t="str">
        <f>IFERROR(VLOOKUP(Tablo520[[#This Row],[ÜRÜN KODU]],YMKODLARI!$A$1:$K$373,2,0)," ")</f>
        <v xml:space="preserve"> </v>
      </c>
      <c r="C73" s="99"/>
      <c r="D73" s="100"/>
      <c r="E73" s="101"/>
      <c r="F73" s="101"/>
      <c r="G73" s="100" t="str">
        <f>IFERROR(VLOOKUP(Tablo520[[#This Row],[ÜRÜN KODU]],YMKODLARI!$A$1:$K$373,3,0)," ")</f>
        <v xml:space="preserve"> </v>
      </c>
      <c r="H73" s="100" t="str">
        <f>IFERROR(VLOOKUP(Tablo520[[#This Row],[ÜRÜN KODU]],YMKODLARI!$A$1:$K$373,4,0)," ")</f>
        <v xml:space="preserve"> </v>
      </c>
      <c r="I73" s="100"/>
      <c r="J73" s="100" t="str">
        <f>IFERROR(VLOOKUP(Tablo520[[#This Row],[ÜRÜN KODU]],YMKODLARI!$A$1:$K$373,9,0)," ")</f>
        <v xml:space="preserve"> </v>
      </c>
      <c r="K73" s="100" t="str">
        <f>IFERROR(VLOOKUP(Tablo520[[#This Row],[BOYA KODU]],Tablo14[#All],4,0)," ")</f>
        <v xml:space="preserve"> </v>
      </c>
      <c r="L73" s="100" t="str">
        <f>IFERROR(VLOOKUP(Tablo520[[#This Row],[BOYA KODU]],Tablo14[#All],6,0)," ")</f>
        <v xml:space="preserve"> </v>
      </c>
      <c r="M73" s="100" t="str">
        <f t="shared" si="7"/>
        <v xml:space="preserve"> </v>
      </c>
      <c r="N73" s="100" t="str">
        <f>IFERROR(VLOOKUP(Tablo520[[#This Row],[ÜRÜN KODU]],YMKODLARI!$A$1:$K$373,8,0)," ")</f>
        <v xml:space="preserve"> </v>
      </c>
      <c r="O73" s="100" t="str">
        <f>IFERROR(VLOOKUP(Tablo520[[#This Row],[HAMMADDE KODU]],Tablo1[#All],3,0)," ")</f>
        <v xml:space="preserve"> </v>
      </c>
      <c r="P73" s="100" t="str">
        <f>IFERROR(VLOOKUP(Tablo520[[#This Row],[HAMMADDE KODU]],Tablo1[#All],4,0)," ")</f>
        <v xml:space="preserve"> </v>
      </c>
      <c r="Q73" s="100" t="str">
        <f>IFERROR(VLOOKUP(Tablo520[[#This Row],[ÜRÜN KODU]],YMKODLARI!$A$1:$K$373,5,0)," ")</f>
        <v xml:space="preserve"> </v>
      </c>
      <c r="R73" s="100" t="str">
        <f>IFERROR(VLOOKUP(Tablo520[[#This Row],[ÜRÜN KODU]],YMKODLARI!$A$1:$K$373,6,0)," ")</f>
        <v xml:space="preserve"> </v>
      </c>
      <c r="S73" s="100" t="str">
        <f>IFERROR(Tablo520[[#This Row],[YOLLUK HARİÇ BASKI GRAMI]]/Tablo520[[#This Row],[KALIP GÖZ ADEDİ]]," ")</f>
        <v xml:space="preserve"> </v>
      </c>
      <c r="T73" s="100" t="str">
        <f t="shared" si="9"/>
        <v xml:space="preserve"> </v>
      </c>
      <c r="U73" s="100"/>
      <c r="V73" s="100" t="str">
        <f t="shared" si="8"/>
        <v xml:space="preserve"> </v>
      </c>
      <c r="W73" s="101">
        <f t="shared" si="10"/>
        <v>24</v>
      </c>
      <c r="X73" s="102">
        <f t="shared" si="11"/>
        <v>0</v>
      </c>
      <c r="Y73" s="100" t="str">
        <f t="shared" si="12"/>
        <v xml:space="preserve"> </v>
      </c>
      <c r="Z73" s="100" t="str">
        <f t="shared" si="13"/>
        <v xml:space="preserve"> </v>
      </c>
    </row>
    <row r="74" spans="1:26">
      <c r="A74" s="100"/>
      <c r="B74" s="100" t="str">
        <f>IFERROR(VLOOKUP(Tablo520[[#This Row],[ÜRÜN KODU]],YMKODLARI!$A$1:$K$373,2,0)," ")</f>
        <v xml:space="preserve"> </v>
      </c>
      <c r="C74" s="99"/>
      <c r="D74" s="100"/>
      <c r="E74" s="101"/>
      <c r="F74" s="101"/>
      <c r="G74" s="100" t="str">
        <f>IFERROR(VLOOKUP(Tablo520[[#This Row],[ÜRÜN KODU]],YMKODLARI!$A$1:$K$373,3,0)," ")</f>
        <v xml:space="preserve"> </v>
      </c>
      <c r="H74" s="100" t="str">
        <f>IFERROR(VLOOKUP(Tablo520[[#This Row],[ÜRÜN KODU]],YMKODLARI!$A$1:$K$373,4,0)," ")</f>
        <v xml:space="preserve"> </v>
      </c>
      <c r="I74" s="100"/>
      <c r="J74" s="100" t="str">
        <f>IFERROR(VLOOKUP(Tablo520[[#This Row],[ÜRÜN KODU]],YMKODLARI!$A$1:$K$373,9,0)," ")</f>
        <v xml:space="preserve"> </v>
      </c>
      <c r="K74" s="100" t="str">
        <f>IFERROR(VLOOKUP(Tablo520[[#This Row],[BOYA KODU]],Tablo14[#All],4,0)," ")</f>
        <v xml:space="preserve"> </v>
      </c>
      <c r="L74" s="100" t="str">
        <f>IFERROR(VLOOKUP(Tablo520[[#This Row],[BOYA KODU]],Tablo14[#All],6,0)," ")</f>
        <v xml:space="preserve"> </v>
      </c>
      <c r="M74" s="100" t="str">
        <f t="shared" si="7"/>
        <v xml:space="preserve"> </v>
      </c>
      <c r="N74" s="100" t="str">
        <f>IFERROR(VLOOKUP(Tablo520[[#This Row],[ÜRÜN KODU]],YMKODLARI!$A$1:$K$373,8,0)," ")</f>
        <v xml:space="preserve"> </v>
      </c>
      <c r="O74" s="100" t="str">
        <f>IFERROR(VLOOKUP(Tablo520[[#This Row],[HAMMADDE KODU]],Tablo1[#All],3,0)," ")</f>
        <v xml:space="preserve"> </v>
      </c>
      <c r="P74" s="100" t="str">
        <f>IFERROR(VLOOKUP(Tablo520[[#This Row],[HAMMADDE KODU]],Tablo1[#All],4,0)," ")</f>
        <v xml:space="preserve"> </v>
      </c>
      <c r="Q74" s="100" t="str">
        <f>IFERROR(VLOOKUP(Tablo520[[#This Row],[ÜRÜN KODU]],YMKODLARI!$A$1:$K$373,5,0)," ")</f>
        <v xml:space="preserve"> </v>
      </c>
      <c r="R74" s="100" t="str">
        <f>IFERROR(VLOOKUP(Tablo520[[#This Row],[ÜRÜN KODU]],YMKODLARI!$A$1:$K$373,6,0)," ")</f>
        <v xml:space="preserve"> </v>
      </c>
      <c r="S74" s="100" t="str">
        <f>IFERROR(Tablo520[[#This Row],[YOLLUK HARİÇ BASKI GRAMI]]/Tablo520[[#This Row],[KALIP GÖZ ADEDİ]]," ")</f>
        <v xml:space="preserve"> </v>
      </c>
      <c r="T74" s="100" t="str">
        <f t="shared" si="9"/>
        <v xml:space="preserve"> </v>
      </c>
      <c r="U74" s="100"/>
      <c r="V74" s="100" t="str">
        <f t="shared" si="8"/>
        <v xml:space="preserve"> </v>
      </c>
      <c r="W74" s="101">
        <f t="shared" si="10"/>
        <v>24</v>
      </c>
      <c r="X74" s="102">
        <f t="shared" si="11"/>
        <v>0</v>
      </c>
      <c r="Y74" s="100" t="str">
        <f t="shared" si="12"/>
        <v xml:space="preserve"> </v>
      </c>
      <c r="Z74" s="100" t="str">
        <f t="shared" si="13"/>
        <v xml:space="preserve"> </v>
      </c>
    </row>
    <row r="75" spans="1:26">
      <c r="A75" s="100"/>
      <c r="B75" s="100" t="str">
        <f>IFERROR(VLOOKUP(Tablo520[[#This Row],[ÜRÜN KODU]],YMKODLARI!$A$1:$K$373,2,0)," ")</f>
        <v xml:space="preserve"> </v>
      </c>
      <c r="C75" s="99"/>
      <c r="D75" s="100"/>
      <c r="E75" s="101"/>
      <c r="F75" s="101"/>
      <c r="G75" s="100" t="str">
        <f>IFERROR(VLOOKUP(Tablo520[[#This Row],[ÜRÜN KODU]],YMKODLARI!$A$1:$K$373,3,0)," ")</f>
        <v xml:space="preserve"> </v>
      </c>
      <c r="H75" s="100" t="str">
        <f>IFERROR(VLOOKUP(Tablo520[[#This Row],[ÜRÜN KODU]],YMKODLARI!$A$1:$K$373,4,0)," ")</f>
        <v xml:space="preserve"> </v>
      </c>
      <c r="I75" s="100"/>
      <c r="J75" s="100" t="str">
        <f>IFERROR(VLOOKUP(Tablo520[[#This Row],[ÜRÜN KODU]],YMKODLARI!$A$1:$K$373,9,0)," ")</f>
        <v xml:space="preserve"> </v>
      </c>
      <c r="K75" s="100" t="str">
        <f>IFERROR(VLOOKUP(Tablo520[[#This Row],[BOYA KODU]],Tablo14[#All],4,0)," ")</f>
        <v xml:space="preserve"> </v>
      </c>
      <c r="L75" s="100" t="str">
        <f>IFERROR(VLOOKUP(Tablo520[[#This Row],[BOYA KODU]],Tablo14[#All],6,0)," ")</f>
        <v xml:space="preserve"> </v>
      </c>
      <c r="M75" s="100" t="str">
        <f t="shared" si="7"/>
        <v xml:space="preserve"> </v>
      </c>
      <c r="N75" s="100" t="str">
        <f>IFERROR(VLOOKUP(Tablo520[[#This Row],[ÜRÜN KODU]],YMKODLARI!$A$1:$K$373,8,0)," ")</f>
        <v xml:space="preserve"> </v>
      </c>
      <c r="O75" s="100" t="str">
        <f>IFERROR(VLOOKUP(Tablo520[[#This Row],[HAMMADDE KODU]],Tablo1[#All],3,0)," ")</f>
        <v xml:space="preserve"> </v>
      </c>
      <c r="P75" s="100" t="str">
        <f>IFERROR(VLOOKUP(Tablo520[[#This Row],[HAMMADDE KODU]],Tablo1[#All],4,0)," ")</f>
        <v xml:space="preserve"> </v>
      </c>
      <c r="Q75" s="100" t="str">
        <f>IFERROR(VLOOKUP(Tablo520[[#This Row],[ÜRÜN KODU]],YMKODLARI!$A$1:$K$373,5,0)," ")</f>
        <v xml:space="preserve"> </v>
      </c>
      <c r="R75" s="100" t="str">
        <f>IFERROR(VLOOKUP(Tablo520[[#This Row],[ÜRÜN KODU]],YMKODLARI!$A$1:$K$373,6,0)," ")</f>
        <v xml:space="preserve"> </v>
      </c>
      <c r="S75" s="100" t="str">
        <f>IFERROR(Tablo520[[#This Row],[YOLLUK HARİÇ BASKI GRAMI]]/Tablo520[[#This Row],[KALIP GÖZ ADEDİ]]," ")</f>
        <v xml:space="preserve"> </v>
      </c>
      <c r="T75" s="100" t="str">
        <f t="shared" si="9"/>
        <v xml:space="preserve"> </v>
      </c>
      <c r="U75" s="100"/>
      <c r="V75" s="100" t="str">
        <f t="shared" si="8"/>
        <v xml:space="preserve"> </v>
      </c>
      <c r="W75" s="101">
        <f t="shared" si="10"/>
        <v>24</v>
      </c>
      <c r="X75" s="102">
        <f t="shared" si="11"/>
        <v>0</v>
      </c>
      <c r="Y75" s="100" t="str">
        <f t="shared" si="12"/>
        <v xml:space="preserve"> </v>
      </c>
      <c r="Z75" s="100" t="str">
        <f t="shared" si="13"/>
        <v xml:space="preserve"> </v>
      </c>
    </row>
    <row r="76" spans="1:26">
      <c r="A76" s="100"/>
      <c r="B76" s="100" t="str">
        <f>IFERROR(VLOOKUP(Tablo520[[#This Row],[ÜRÜN KODU]],YMKODLARI!$A$1:$K$373,2,0)," ")</f>
        <v xml:space="preserve"> </v>
      </c>
      <c r="C76" s="99"/>
      <c r="D76" s="100"/>
      <c r="E76" s="101"/>
      <c r="F76" s="101"/>
      <c r="G76" s="100" t="str">
        <f>IFERROR(VLOOKUP(Tablo520[[#This Row],[ÜRÜN KODU]],YMKODLARI!$A$1:$K$373,3,0)," ")</f>
        <v xml:space="preserve"> </v>
      </c>
      <c r="H76" s="100" t="str">
        <f>IFERROR(VLOOKUP(Tablo520[[#This Row],[ÜRÜN KODU]],YMKODLARI!$A$1:$K$373,4,0)," ")</f>
        <v xml:space="preserve"> </v>
      </c>
      <c r="I76" s="100"/>
      <c r="J76" s="100" t="str">
        <f>IFERROR(VLOOKUP(Tablo520[[#This Row],[ÜRÜN KODU]],YMKODLARI!$A$1:$K$373,9,0)," ")</f>
        <v xml:space="preserve"> </v>
      </c>
      <c r="K76" s="100" t="str">
        <f>IFERROR(VLOOKUP(Tablo520[[#This Row],[BOYA KODU]],Tablo14[#All],4,0)," ")</f>
        <v xml:space="preserve"> </v>
      </c>
      <c r="L76" s="100" t="str">
        <f>IFERROR(VLOOKUP(Tablo520[[#This Row],[BOYA KODU]],Tablo14[#All],6,0)," ")</f>
        <v xml:space="preserve"> </v>
      </c>
      <c r="M76" s="100" t="str">
        <f t="shared" si="7"/>
        <v xml:space="preserve"> </v>
      </c>
      <c r="N76" s="100" t="str">
        <f>IFERROR(VLOOKUP(Tablo520[[#This Row],[ÜRÜN KODU]],YMKODLARI!$A$1:$K$373,8,0)," ")</f>
        <v xml:space="preserve"> </v>
      </c>
      <c r="O76" s="100" t="str">
        <f>IFERROR(VLOOKUP(Tablo520[[#This Row],[HAMMADDE KODU]],Tablo1[#All],3,0)," ")</f>
        <v xml:space="preserve"> </v>
      </c>
      <c r="P76" s="100" t="str">
        <f>IFERROR(VLOOKUP(Tablo520[[#This Row],[HAMMADDE KODU]],Tablo1[#All],4,0)," ")</f>
        <v xml:space="preserve"> </v>
      </c>
      <c r="Q76" s="100" t="str">
        <f>IFERROR(VLOOKUP(Tablo520[[#This Row],[ÜRÜN KODU]],YMKODLARI!$A$1:$K$373,5,0)," ")</f>
        <v xml:space="preserve"> </v>
      </c>
      <c r="R76" s="100" t="str">
        <f>IFERROR(VLOOKUP(Tablo520[[#This Row],[ÜRÜN KODU]],YMKODLARI!$A$1:$K$373,6,0)," ")</f>
        <v xml:space="preserve"> </v>
      </c>
      <c r="S76" s="100" t="str">
        <f>IFERROR(Tablo520[[#This Row],[YOLLUK HARİÇ BASKI GRAMI]]/Tablo520[[#This Row],[KALIP GÖZ ADEDİ]]," ")</f>
        <v xml:space="preserve"> </v>
      </c>
      <c r="T76" s="100" t="str">
        <f t="shared" si="9"/>
        <v xml:space="preserve"> </v>
      </c>
      <c r="U76" s="100"/>
      <c r="V76" s="100" t="str">
        <f t="shared" si="8"/>
        <v xml:space="preserve"> </v>
      </c>
      <c r="W76" s="101">
        <f t="shared" si="10"/>
        <v>24</v>
      </c>
      <c r="X76" s="102">
        <f t="shared" si="11"/>
        <v>0</v>
      </c>
      <c r="Y76" s="100" t="str">
        <f t="shared" si="12"/>
        <v xml:space="preserve"> </v>
      </c>
      <c r="Z76" s="100" t="str">
        <f t="shared" si="13"/>
        <v xml:space="preserve"> </v>
      </c>
    </row>
    <row r="77" spans="1:26">
      <c r="A77" s="100"/>
      <c r="B77" s="100" t="str">
        <f>IFERROR(VLOOKUP(Tablo520[[#This Row],[ÜRÜN KODU]],YMKODLARI!$A$1:$K$373,2,0)," ")</f>
        <v xml:space="preserve"> </v>
      </c>
      <c r="C77" s="99"/>
      <c r="D77" s="100"/>
      <c r="E77" s="101"/>
      <c r="F77" s="101"/>
      <c r="G77" s="100" t="str">
        <f>IFERROR(VLOOKUP(Tablo520[[#This Row],[ÜRÜN KODU]],YMKODLARI!$A$1:$K$373,3,0)," ")</f>
        <v xml:space="preserve"> </v>
      </c>
      <c r="H77" s="100" t="str">
        <f>IFERROR(VLOOKUP(Tablo520[[#This Row],[ÜRÜN KODU]],YMKODLARI!$A$1:$K$373,4,0)," ")</f>
        <v xml:space="preserve"> </v>
      </c>
      <c r="I77" s="100"/>
      <c r="J77" s="100" t="str">
        <f>IFERROR(VLOOKUP(Tablo520[[#This Row],[ÜRÜN KODU]],YMKODLARI!$A$1:$K$373,9,0)," ")</f>
        <v xml:space="preserve"> </v>
      </c>
      <c r="K77" s="100" t="str">
        <f>IFERROR(VLOOKUP(Tablo520[[#This Row],[BOYA KODU]],Tablo14[#All],4,0)," ")</f>
        <v xml:space="preserve"> </v>
      </c>
      <c r="L77" s="100" t="str">
        <f>IFERROR(VLOOKUP(Tablo520[[#This Row],[BOYA KODU]],Tablo14[#All],6,0)," ")</f>
        <v xml:space="preserve"> </v>
      </c>
      <c r="M77" s="100" t="str">
        <f t="shared" si="7"/>
        <v xml:space="preserve"> </v>
      </c>
      <c r="N77" s="100" t="str">
        <f>IFERROR(VLOOKUP(Tablo520[[#This Row],[ÜRÜN KODU]],YMKODLARI!$A$1:$K$373,8,0)," ")</f>
        <v xml:space="preserve"> </v>
      </c>
      <c r="O77" s="100" t="str">
        <f>IFERROR(VLOOKUP(Tablo520[[#This Row],[HAMMADDE KODU]],Tablo1[#All],3,0)," ")</f>
        <v xml:space="preserve"> </v>
      </c>
      <c r="P77" s="100" t="str">
        <f>IFERROR(VLOOKUP(Tablo520[[#This Row],[HAMMADDE KODU]],Tablo1[#All],4,0)," ")</f>
        <v xml:space="preserve"> </v>
      </c>
      <c r="Q77" s="100" t="str">
        <f>IFERROR(VLOOKUP(Tablo520[[#This Row],[ÜRÜN KODU]],YMKODLARI!$A$1:$K$373,5,0)," ")</f>
        <v xml:space="preserve"> </v>
      </c>
      <c r="R77" s="100" t="str">
        <f>IFERROR(VLOOKUP(Tablo520[[#This Row],[ÜRÜN KODU]],YMKODLARI!$A$1:$K$373,6,0)," ")</f>
        <v xml:space="preserve"> </v>
      </c>
      <c r="S77" s="100" t="str">
        <f>IFERROR(Tablo520[[#This Row],[YOLLUK HARİÇ BASKI GRAMI]]/Tablo520[[#This Row],[KALIP GÖZ ADEDİ]]," ")</f>
        <v xml:space="preserve"> </v>
      </c>
      <c r="T77" s="100" t="str">
        <f t="shared" si="9"/>
        <v xml:space="preserve"> </v>
      </c>
      <c r="U77" s="100"/>
      <c r="V77" s="100" t="str">
        <f t="shared" si="8"/>
        <v xml:space="preserve"> </v>
      </c>
      <c r="W77" s="101">
        <f t="shared" si="10"/>
        <v>24</v>
      </c>
      <c r="X77" s="102">
        <f t="shared" si="11"/>
        <v>0</v>
      </c>
      <c r="Y77" s="100" t="str">
        <f t="shared" si="12"/>
        <v xml:space="preserve"> </v>
      </c>
      <c r="Z77" s="100" t="str">
        <f t="shared" si="13"/>
        <v xml:space="preserve"> </v>
      </c>
    </row>
    <row r="78" spans="1:26">
      <c r="A78" s="100"/>
      <c r="B78" s="100" t="str">
        <f>IFERROR(VLOOKUP(Tablo520[[#This Row],[ÜRÜN KODU]],YMKODLARI!$A$1:$K$373,2,0)," ")</f>
        <v xml:space="preserve"> </v>
      </c>
      <c r="C78" s="99"/>
      <c r="D78" s="100"/>
      <c r="E78" s="101"/>
      <c r="F78" s="101"/>
      <c r="G78" s="100" t="str">
        <f>IFERROR(VLOOKUP(Tablo520[[#This Row],[ÜRÜN KODU]],YMKODLARI!$A$1:$K$373,3,0)," ")</f>
        <v xml:space="preserve"> </v>
      </c>
      <c r="H78" s="100" t="str">
        <f>IFERROR(VLOOKUP(Tablo520[[#This Row],[ÜRÜN KODU]],YMKODLARI!$A$1:$K$373,4,0)," ")</f>
        <v xml:space="preserve"> </v>
      </c>
      <c r="I78" s="100"/>
      <c r="J78" s="100" t="str">
        <f>IFERROR(VLOOKUP(Tablo520[[#This Row],[ÜRÜN KODU]],YMKODLARI!$A$1:$K$373,9,0)," ")</f>
        <v xml:space="preserve"> </v>
      </c>
      <c r="K78" s="100" t="str">
        <f>IFERROR(VLOOKUP(Tablo520[[#This Row],[BOYA KODU]],Tablo14[#All],4,0)," ")</f>
        <v xml:space="preserve"> </v>
      </c>
      <c r="L78" s="100" t="str">
        <f>IFERROR(VLOOKUP(Tablo520[[#This Row],[BOYA KODU]],Tablo14[#All],6,0)," ")</f>
        <v xml:space="preserve"> </v>
      </c>
      <c r="M78" s="100" t="str">
        <f t="shared" si="7"/>
        <v xml:space="preserve"> </v>
      </c>
      <c r="N78" s="100" t="str">
        <f>IFERROR(VLOOKUP(Tablo520[[#This Row],[ÜRÜN KODU]],YMKODLARI!$A$1:$K$373,8,0)," ")</f>
        <v xml:space="preserve"> </v>
      </c>
      <c r="O78" s="100" t="str">
        <f>IFERROR(VLOOKUP(Tablo520[[#This Row],[HAMMADDE KODU]],Tablo1[#All],3,0)," ")</f>
        <v xml:space="preserve"> </v>
      </c>
      <c r="P78" s="100" t="str">
        <f>IFERROR(VLOOKUP(Tablo520[[#This Row],[HAMMADDE KODU]],Tablo1[#All],4,0)," ")</f>
        <v xml:space="preserve"> </v>
      </c>
      <c r="Q78" s="100" t="str">
        <f>IFERROR(VLOOKUP(Tablo520[[#This Row],[ÜRÜN KODU]],YMKODLARI!$A$1:$K$373,5,0)," ")</f>
        <v xml:space="preserve"> </v>
      </c>
      <c r="R78" s="100" t="str">
        <f>IFERROR(VLOOKUP(Tablo520[[#This Row],[ÜRÜN KODU]],YMKODLARI!$A$1:$K$373,6,0)," ")</f>
        <v xml:space="preserve"> </v>
      </c>
      <c r="S78" s="100" t="str">
        <f>IFERROR(Tablo520[[#This Row],[YOLLUK HARİÇ BASKI GRAMI]]/Tablo520[[#This Row],[KALIP GÖZ ADEDİ]]," ")</f>
        <v xml:space="preserve"> </v>
      </c>
      <c r="T78" s="100" t="str">
        <f t="shared" si="9"/>
        <v xml:space="preserve"> </v>
      </c>
      <c r="U78" s="100"/>
      <c r="V78" s="100" t="str">
        <f t="shared" si="8"/>
        <v xml:space="preserve"> </v>
      </c>
      <c r="W78" s="101">
        <f t="shared" si="10"/>
        <v>24</v>
      </c>
      <c r="X78" s="102">
        <f t="shared" si="11"/>
        <v>0</v>
      </c>
      <c r="Y78" s="100" t="str">
        <f t="shared" si="12"/>
        <v xml:space="preserve"> </v>
      </c>
      <c r="Z78" s="100" t="str">
        <f t="shared" si="13"/>
        <v xml:space="preserve"> </v>
      </c>
    </row>
    <row r="79" spans="1:26">
      <c r="A79" s="100"/>
      <c r="B79" s="100" t="str">
        <f>IFERROR(VLOOKUP(Tablo520[[#This Row],[ÜRÜN KODU]],YMKODLARI!$A$1:$K$373,2,0)," ")</f>
        <v xml:space="preserve"> </v>
      </c>
      <c r="C79" s="99"/>
      <c r="D79" s="100"/>
      <c r="E79" s="101"/>
      <c r="F79" s="101"/>
      <c r="G79" s="100" t="str">
        <f>IFERROR(VLOOKUP(Tablo520[[#This Row],[ÜRÜN KODU]],YMKODLARI!$A$1:$K$373,3,0)," ")</f>
        <v xml:space="preserve"> </v>
      </c>
      <c r="H79" s="100" t="str">
        <f>IFERROR(VLOOKUP(Tablo520[[#This Row],[ÜRÜN KODU]],YMKODLARI!$A$1:$K$373,4,0)," ")</f>
        <v xml:space="preserve"> </v>
      </c>
      <c r="I79" s="100"/>
      <c r="J79" s="100" t="str">
        <f>IFERROR(VLOOKUP(Tablo520[[#This Row],[ÜRÜN KODU]],YMKODLARI!$A$1:$K$373,9,0)," ")</f>
        <v xml:space="preserve"> </v>
      </c>
      <c r="K79" s="100" t="str">
        <f>IFERROR(VLOOKUP(Tablo520[[#This Row],[BOYA KODU]],Tablo14[#All],4,0)," ")</f>
        <v xml:space="preserve"> </v>
      </c>
      <c r="L79" s="100" t="str">
        <f>IFERROR(VLOOKUP(Tablo520[[#This Row],[BOYA KODU]],Tablo14[#All],6,0)," ")</f>
        <v xml:space="preserve"> </v>
      </c>
      <c r="M79" s="100" t="str">
        <f t="shared" si="7"/>
        <v xml:space="preserve"> </v>
      </c>
      <c r="N79" s="100" t="str">
        <f>IFERROR(VLOOKUP(Tablo520[[#This Row],[ÜRÜN KODU]],YMKODLARI!$A$1:$K$373,8,0)," ")</f>
        <v xml:space="preserve"> </v>
      </c>
      <c r="O79" s="100" t="str">
        <f>IFERROR(VLOOKUP(Tablo520[[#This Row],[HAMMADDE KODU]],Tablo1[#All],3,0)," ")</f>
        <v xml:space="preserve"> </v>
      </c>
      <c r="P79" s="100" t="str">
        <f>IFERROR(VLOOKUP(Tablo520[[#This Row],[HAMMADDE KODU]],Tablo1[#All],4,0)," ")</f>
        <v xml:space="preserve"> </v>
      </c>
      <c r="Q79" s="100" t="str">
        <f>IFERROR(VLOOKUP(Tablo520[[#This Row],[ÜRÜN KODU]],YMKODLARI!$A$1:$K$373,5,0)," ")</f>
        <v xml:space="preserve"> </v>
      </c>
      <c r="R79" s="100" t="str">
        <f>IFERROR(VLOOKUP(Tablo520[[#This Row],[ÜRÜN KODU]],YMKODLARI!$A$1:$K$373,6,0)," ")</f>
        <v xml:space="preserve"> </v>
      </c>
      <c r="S79" s="100" t="str">
        <f>IFERROR(Tablo520[[#This Row],[YOLLUK HARİÇ BASKI GRAMI]]/Tablo520[[#This Row],[KALIP GÖZ ADEDİ]]," ")</f>
        <v xml:space="preserve"> </v>
      </c>
      <c r="T79" s="100" t="str">
        <f t="shared" si="9"/>
        <v xml:space="preserve"> </v>
      </c>
      <c r="U79" s="100"/>
      <c r="V79" s="100" t="str">
        <f t="shared" si="8"/>
        <v xml:space="preserve"> </v>
      </c>
      <c r="W79" s="101">
        <f t="shared" si="10"/>
        <v>24</v>
      </c>
      <c r="X79" s="102">
        <f t="shared" si="11"/>
        <v>0</v>
      </c>
      <c r="Y79" s="100" t="str">
        <f t="shared" si="12"/>
        <v xml:space="preserve"> </v>
      </c>
      <c r="Z79" s="100" t="str">
        <f t="shared" si="13"/>
        <v xml:space="preserve"> </v>
      </c>
    </row>
    <row r="80" spans="1:26">
      <c r="A80" s="100"/>
      <c r="B80" s="100" t="str">
        <f>IFERROR(VLOOKUP(Tablo520[[#This Row],[ÜRÜN KODU]],YMKODLARI!$A$1:$K$373,2,0)," ")</f>
        <v xml:space="preserve"> </v>
      </c>
      <c r="C80" s="99"/>
      <c r="D80" s="100"/>
      <c r="E80" s="101"/>
      <c r="F80" s="101"/>
      <c r="G80" s="100" t="str">
        <f>IFERROR(VLOOKUP(Tablo520[[#This Row],[ÜRÜN KODU]],YMKODLARI!$A$1:$K$373,3,0)," ")</f>
        <v xml:space="preserve"> </v>
      </c>
      <c r="H80" s="100" t="str">
        <f>IFERROR(VLOOKUP(Tablo520[[#This Row],[ÜRÜN KODU]],YMKODLARI!$A$1:$K$373,4,0)," ")</f>
        <v xml:space="preserve"> </v>
      </c>
      <c r="I80" s="100"/>
      <c r="J80" s="100" t="str">
        <f>IFERROR(VLOOKUP(Tablo520[[#This Row],[ÜRÜN KODU]],YMKODLARI!$A$1:$K$373,9,0)," ")</f>
        <v xml:space="preserve"> </v>
      </c>
      <c r="K80" s="100" t="str">
        <f>IFERROR(VLOOKUP(Tablo520[[#This Row],[BOYA KODU]],Tablo14[#All],4,0)," ")</f>
        <v xml:space="preserve"> </v>
      </c>
      <c r="L80" s="100" t="str">
        <f>IFERROR(VLOOKUP(Tablo520[[#This Row],[BOYA KODU]],Tablo14[#All],6,0)," ")</f>
        <v xml:space="preserve"> </v>
      </c>
      <c r="M80" s="100" t="str">
        <f t="shared" si="7"/>
        <v xml:space="preserve"> </v>
      </c>
      <c r="N80" s="100" t="str">
        <f>IFERROR(VLOOKUP(Tablo520[[#This Row],[ÜRÜN KODU]],YMKODLARI!$A$1:$K$373,8,0)," ")</f>
        <v xml:space="preserve"> </v>
      </c>
      <c r="O80" s="100" t="str">
        <f>IFERROR(VLOOKUP(Tablo520[[#This Row],[HAMMADDE KODU]],Tablo1[#All],3,0)," ")</f>
        <v xml:space="preserve"> </v>
      </c>
      <c r="P80" s="100" t="str">
        <f>IFERROR(VLOOKUP(Tablo520[[#This Row],[HAMMADDE KODU]],Tablo1[#All],4,0)," ")</f>
        <v xml:space="preserve"> </v>
      </c>
      <c r="Q80" s="100" t="str">
        <f>IFERROR(VLOOKUP(Tablo520[[#This Row],[ÜRÜN KODU]],YMKODLARI!$A$1:$K$373,5,0)," ")</f>
        <v xml:space="preserve"> </v>
      </c>
      <c r="R80" s="100" t="str">
        <f>IFERROR(VLOOKUP(Tablo520[[#This Row],[ÜRÜN KODU]],YMKODLARI!$A$1:$K$373,6,0)," ")</f>
        <v xml:space="preserve"> </v>
      </c>
      <c r="S80" s="100" t="str">
        <f>IFERROR(Tablo520[[#This Row],[YOLLUK HARİÇ BASKI GRAMI]]/Tablo520[[#This Row],[KALIP GÖZ ADEDİ]]," ")</f>
        <v xml:space="preserve"> </v>
      </c>
      <c r="T80" s="100" t="str">
        <f t="shared" si="9"/>
        <v xml:space="preserve"> </v>
      </c>
      <c r="U80" s="100"/>
      <c r="V80" s="100" t="str">
        <f t="shared" si="8"/>
        <v xml:space="preserve"> </v>
      </c>
      <c r="W80" s="101">
        <f t="shared" si="10"/>
        <v>24</v>
      </c>
      <c r="X80" s="102">
        <f t="shared" si="11"/>
        <v>0</v>
      </c>
      <c r="Y80" s="100" t="str">
        <f t="shared" si="12"/>
        <v xml:space="preserve"> </v>
      </c>
      <c r="Z80" s="100" t="str">
        <f t="shared" si="13"/>
        <v xml:space="preserve"> </v>
      </c>
    </row>
    <row r="81" spans="1:26">
      <c r="A81" s="100"/>
      <c r="B81" s="100" t="str">
        <f>IFERROR(VLOOKUP(Tablo520[[#This Row],[ÜRÜN KODU]],YMKODLARI!$A$1:$K$373,2,0)," ")</f>
        <v xml:space="preserve"> </v>
      </c>
      <c r="C81" s="99"/>
      <c r="D81" s="100"/>
      <c r="E81" s="101"/>
      <c r="F81" s="101"/>
      <c r="G81" s="100" t="str">
        <f>IFERROR(VLOOKUP(Tablo520[[#This Row],[ÜRÜN KODU]],YMKODLARI!$A$1:$K$373,3,0)," ")</f>
        <v xml:space="preserve"> </v>
      </c>
      <c r="H81" s="100" t="str">
        <f>IFERROR(VLOOKUP(Tablo520[[#This Row],[ÜRÜN KODU]],YMKODLARI!$A$1:$K$373,4,0)," ")</f>
        <v xml:space="preserve"> </v>
      </c>
      <c r="I81" s="100"/>
      <c r="J81" s="100" t="str">
        <f>IFERROR(VLOOKUP(Tablo520[[#This Row],[ÜRÜN KODU]],YMKODLARI!$A$1:$K$373,9,0)," ")</f>
        <v xml:space="preserve"> </v>
      </c>
      <c r="K81" s="100" t="str">
        <f>IFERROR(VLOOKUP(Tablo520[[#This Row],[BOYA KODU]],Tablo14[#All],4,0)," ")</f>
        <v xml:space="preserve"> </v>
      </c>
      <c r="L81" s="100" t="str">
        <f>IFERROR(VLOOKUP(Tablo520[[#This Row],[BOYA KODU]],Tablo14[#All],6,0)," ")</f>
        <v xml:space="preserve"> </v>
      </c>
      <c r="M81" s="100" t="str">
        <f t="shared" si="7"/>
        <v xml:space="preserve"> </v>
      </c>
      <c r="N81" s="100" t="str">
        <f>IFERROR(VLOOKUP(Tablo520[[#This Row],[ÜRÜN KODU]],YMKODLARI!$A$1:$K$373,8,0)," ")</f>
        <v xml:space="preserve"> </v>
      </c>
      <c r="O81" s="100" t="str">
        <f>IFERROR(VLOOKUP(Tablo520[[#This Row],[HAMMADDE KODU]],Tablo1[#All],3,0)," ")</f>
        <v xml:space="preserve"> </v>
      </c>
      <c r="P81" s="100" t="str">
        <f>IFERROR(VLOOKUP(Tablo520[[#This Row],[HAMMADDE KODU]],Tablo1[#All],4,0)," ")</f>
        <v xml:space="preserve"> </v>
      </c>
      <c r="Q81" s="100" t="str">
        <f>IFERROR(VLOOKUP(Tablo520[[#This Row],[ÜRÜN KODU]],YMKODLARI!$A$1:$K$373,5,0)," ")</f>
        <v xml:space="preserve"> </v>
      </c>
      <c r="R81" s="100" t="str">
        <f>IFERROR(VLOOKUP(Tablo520[[#This Row],[ÜRÜN KODU]],YMKODLARI!$A$1:$K$373,6,0)," ")</f>
        <v xml:space="preserve"> </v>
      </c>
      <c r="S81" s="100" t="str">
        <f>IFERROR(Tablo520[[#This Row],[YOLLUK HARİÇ BASKI GRAMI]]/Tablo520[[#This Row],[KALIP GÖZ ADEDİ]]," ")</f>
        <v xml:space="preserve"> </v>
      </c>
      <c r="T81" s="100" t="str">
        <f t="shared" si="9"/>
        <v xml:space="preserve"> </v>
      </c>
      <c r="U81" s="100"/>
      <c r="V81" s="100" t="str">
        <f t="shared" si="8"/>
        <v xml:space="preserve"> </v>
      </c>
      <c r="W81" s="101">
        <f t="shared" si="10"/>
        <v>24</v>
      </c>
      <c r="X81" s="102">
        <f t="shared" si="11"/>
        <v>0</v>
      </c>
      <c r="Y81" s="100" t="str">
        <f t="shared" si="12"/>
        <v xml:space="preserve"> </v>
      </c>
      <c r="Z81" s="100" t="str">
        <f t="shared" si="13"/>
        <v xml:space="preserve"> </v>
      </c>
    </row>
    <row r="82" spans="1:26">
      <c r="A82" s="100"/>
      <c r="B82" s="100" t="str">
        <f>IFERROR(VLOOKUP(Tablo520[[#This Row],[ÜRÜN KODU]],YMKODLARI!$A$1:$K$373,2,0)," ")</f>
        <v xml:space="preserve"> </v>
      </c>
      <c r="C82" s="99"/>
      <c r="D82" s="100"/>
      <c r="E82" s="101"/>
      <c r="F82" s="101"/>
      <c r="G82" s="100" t="str">
        <f>IFERROR(VLOOKUP(Tablo520[[#This Row],[ÜRÜN KODU]],YMKODLARI!$A$1:$K$373,3,0)," ")</f>
        <v xml:space="preserve"> </v>
      </c>
      <c r="H82" s="100" t="str">
        <f>IFERROR(VLOOKUP(Tablo520[[#This Row],[ÜRÜN KODU]],YMKODLARI!$A$1:$K$373,4,0)," ")</f>
        <v xml:space="preserve"> </v>
      </c>
      <c r="I82" s="100"/>
      <c r="J82" s="100" t="str">
        <f>IFERROR(VLOOKUP(Tablo520[[#This Row],[ÜRÜN KODU]],YMKODLARI!$A$1:$K$373,9,0)," ")</f>
        <v xml:space="preserve"> </v>
      </c>
      <c r="K82" s="100" t="str">
        <f>IFERROR(VLOOKUP(Tablo520[[#This Row],[BOYA KODU]],Tablo14[#All],4,0)," ")</f>
        <v xml:space="preserve"> </v>
      </c>
      <c r="L82" s="100" t="str">
        <f>IFERROR(VLOOKUP(Tablo520[[#This Row],[BOYA KODU]],Tablo14[#All],6,0)," ")</f>
        <v xml:space="preserve"> </v>
      </c>
      <c r="M82" s="100" t="str">
        <f t="shared" si="7"/>
        <v xml:space="preserve"> </v>
      </c>
      <c r="N82" s="100" t="str">
        <f>IFERROR(VLOOKUP(Tablo520[[#This Row],[ÜRÜN KODU]],YMKODLARI!$A$1:$K$373,8,0)," ")</f>
        <v xml:space="preserve"> </v>
      </c>
      <c r="O82" s="100" t="str">
        <f>IFERROR(VLOOKUP(Tablo520[[#This Row],[HAMMADDE KODU]],Tablo1[#All],3,0)," ")</f>
        <v xml:space="preserve"> </v>
      </c>
      <c r="P82" s="100" t="str">
        <f>IFERROR(VLOOKUP(Tablo520[[#This Row],[HAMMADDE KODU]],Tablo1[#All],4,0)," ")</f>
        <v xml:space="preserve"> </v>
      </c>
      <c r="Q82" s="100" t="str">
        <f>IFERROR(VLOOKUP(Tablo520[[#This Row],[ÜRÜN KODU]],YMKODLARI!$A$1:$K$373,5,0)," ")</f>
        <v xml:space="preserve"> </v>
      </c>
      <c r="R82" s="100" t="str">
        <f>IFERROR(VLOOKUP(Tablo520[[#This Row],[ÜRÜN KODU]],YMKODLARI!$A$1:$K$373,6,0)," ")</f>
        <v xml:space="preserve"> </v>
      </c>
      <c r="S82" s="100" t="str">
        <f>IFERROR(Tablo520[[#This Row],[YOLLUK HARİÇ BASKI GRAMI]]/Tablo520[[#This Row],[KALIP GÖZ ADEDİ]]," ")</f>
        <v xml:space="preserve"> </v>
      </c>
      <c r="T82" s="100" t="str">
        <f t="shared" si="9"/>
        <v xml:space="preserve"> </v>
      </c>
      <c r="U82" s="100"/>
      <c r="V82" s="100" t="str">
        <f t="shared" si="8"/>
        <v xml:space="preserve"> </v>
      </c>
      <c r="W82" s="101">
        <f t="shared" si="10"/>
        <v>24</v>
      </c>
      <c r="X82" s="102">
        <f t="shared" si="11"/>
        <v>0</v>
      </c>
      <c r="Y82" s="100" t="str">
        <f t="shared" si="12"/>
        <v xml:space="preserve"> </v>
      </c>
      <c r="Z82" s="100" t="str">
        <f t="shared" si="13"/>
        <v xml:space="preserve"> </v>
      </c>
    </row>
    <row r="83" spans="1:26">
      <c r="A83" s="100"/>
      <c r="B83" s="100" t="str">
        <f>IFERROR(VLOOKUP(Tablo520[[#This Row],[ÜRÜN KODU]],YMKODLARI!$A$1:$K$373,2,0)," ")</f>
        <v xml:space="preserve"> </v>
      </c>
      <c r="C83" s="99"/>
      <c r="D83" s="100"/>
      <c r="E83" s="101"/>
      <c r="F83" s="101"/>
      <c r="G83" s="100" t="str">
        <f>IFERROR(VLOOKUP(Tablo520[[#This Row],[ÜRÜN KODU]],YMKODLARI!$A$1:$K$373,3,0)," ")</f>
        <v xml:space="preserve"> </v>
      </c>
      <c r="H83" s="100" t="str">
        <f>IFERROR(VLOOKUP(Tablo520[[#This Row],[ÜRÜN KODU]],YMKODLARI!$A$1:$K$373,4,0)," ")</f>
        <v xml:space="preserve"> </v>
      </c>
      <c r="I83" s="100"/>
      <c r="J83" s="100" t="str">
        <f>IFERROR(VLOOKUP(Tablo520[[#This Row],[ÜRÜN KODU]],YMKODLARI!$A$1:$K$373,9,0)," ")</f>
        <v xml:space="preserve"> </v>
      </c>
      <c r="K83" s="100" t="str">
        <f>IFERROR(VLOOKUP(Tablo520[[#This Row],[BOYA KODU]],Tablo14[#All],4,0)," ")</f>
        <v xml:space="preserve"> </v>
      </c>
      <c r="L83" s="100" t="str">
        <f>IFERROR(VLOOKUP(Tablo520[[#This Row],[BOYA KODU]],Tablo14[#All],6,0)," ")</f>
        <v xml:space="preserve"> </v>
      </c>
      <c r="M83" s="100" t="str">
        <f t="shared" si="7"/>
        <v xml:space="preserve"> </v>
      </c>
      <c r="N83" s="100" t="str">
        <f>IFERROR(VLOOKUP(Tablo520[[#This Row],[ÜRÜN KODU]],YMKODLARI!$A$1:$K$373,8,0)," ")</f>
        <v xml:space="preserve"> </v>
      </c>
      <c r="O83" s="100" t="str">
        <f>IFERROR(VLOOKUP(Tablo520[[#This Row],[HAMMADDE KODU]],Tablo1[#All],3,0)," ")</f>
        <v xml:space="preserve"> </v>
      </c>
      <c r="P83" s="100" t="str">
        <f>IFERROR(VLOOKUP(Tablo520[[#This Row],[HAMMADDE KODU]],Tablo1[#All],4,0)," ")</f>
        <v xml:space="preserve"> </v>
      </c>
      <c r="Q83" s="100" t="str">
        <f>IFERROR(VLOOKUP(Tablo520[[#This Row],[ÜRÜN KODU]],YMKODLARI!$A$1:$K$373,5,0)," ")</f>
        <v xml:space="preserve"> </v>
      </c>
      <c r="R83" s="100" t="str">
        <f>IFERROR(VLOOKUP(Tablo520[[#This Row],[ÜRÜN KODU]],YMKODLARI!$A$1:$K$373,6,0)," ")</f>
        <v xml:space="preserve"> </v>
      </c>
      <c r="S83" s="100" t="str">
        <f>IFERROR(Tablo520[[#This Row],[YOLLUK HARİÇ BASKI GRAMI]]/Tablo520[[#This Row],[KALIP GÖZ ADEDİ]]," ")</f>
        <v xml:space="preserve"> </v>
      </c>
      <c r="T83" s="100" t="str">
        <f t="shared" si="9"/>
        <v xml:space="preserve"> </v>
      </c>
      <c r="U83" s="100"/>
      <c r="V83" s="100" t="str">
        <f t="shared" si="8"/>
        <v xml:space="preserve"> </v>
      </c>
      <c r="W83" s="101">
        <f t="shared" si="10"/>
        <v>24</v>
      </c>
      <c r="X83" s="102">
        <f t="shared" si="11"/>
        <v>0</v>
      </c>
      <c r="Y83" s="100" t="str">
        <f t="shared" si="12"/>
        <v xml:space="preserve"> </v>
      </c>
      <c r="Z83" s="100" t="str">
        <f t="shared" si="13"/>
        <v xml:space="preserve"> </v>
      </c>
    </row>
    <row r="84" spans="1:26">
      <c r="A84" s="100"/>
      <c r="B84" s="100" t="str">
        <f>IFERROR(VLOOKUP(Tablo520[[#This Row],[ÜRÜN KODU]],YMKODLARI!$A$1:$K$373,2,0)," ")</f>
        <v xml:space="preserve"> </v>
      </c>
      <c r="C84" s="99"/>
      <c r="D84" s="100"/>
      <c r="E84" s="101"/>
      <c r="F84" s="101"/>
      <c r="G84" s="100" t="str">
        <f>IFERROR(VLOOKUP(Tablo520[[#This Row],[ÜRÜN KODU]],YMKODLARI!$A$1:$K$373,3,0)," ")</f>
        <v xml:space="preserve"> </v>
      </c>
      <c r="H84" s="100" t="str">
        <f>IFERROR(VLOOKUP(Tablo520[[#This Row],[ÜRÜN KODU]],YMKODLARI!$A$1:$K$373,4,0)," ")</f>
        <v xml:space="preserve"> </v>
      </c>
      <c r="I84" s="100"/>
      <c r="J84" s="100" t="str">
        <f>IFERROR(VLOOKUP(Tablo520[[#This Row],[ÜRÜN KODU]],YMKODLARI!$A$1:$K$373,9,0)," ")</f>
        <v xml:space="preserve"> </v>
      </c>
      <c r="K84" s="100" t="str">
        <f>IFERROR(VLOOKUP(Tablo520[[#This Row],[BOYA KODU]],Tablo14[#All],4,0)," ")</f>
        <v xml:space="preserve"> </v>
      </c>
      <c r="L84" s="100" t="str">
        <f>IFERROR(VLOOKUP(Tablo520[[#This Row],[BOYA KODU]],Tablo14[#All],6,0)," ")</f>
        <v xml:space="preserve"> </v>
      </c>
      <c r="M84" s="100" t="str">
        <f t="shared" si="7"/>
        <v xml:space="preserve"> </v>
      </c>
      <c r="N84" s="100" t="str">
        <f>IFERROR(VLOOKUP(Tablo520[[#This Row],[ÜRÜN KODU]],YMKODLARI!$A$1:$K$373,8,0)," ")</f>
        <v xml:space="preserve"> </v>
      </c>
      <c r="O84" s="100" t="str">
        <f>IFERROR(VLOOKUP(Tablo520[[#This Row],[HAMMADDE KODU]],Tablo1[#All],3,0)," ")</f>
        <v xml:space="preserve"> </v>
      </c>
      <c r="P84" s="100" t="str">
        <f>IFERROR(VLOOKUP(Tablo520[[#This Row],[HAMMADDE KODU]],Tablo1[#All],4,0)," ")</f>
        <v xml:space="preserve"> </v>
      </c>
      <c r="Q84" s="100" t="str">
        <f>IFERROR(VLOOKUP(Tablo520[[#This Row],[ÜRÜN KODU]],YMKODLARI!$A$1:$K$373,5,0)," ")</f>
        <v xml:space="preserve"> </v>
      </c>
      <c r="R84" s="100" t="str">
        <f>IFERROR(VLOOKUP(Tablo520[[#This Row],[ÜRÜN KODU]],YMKODLARI!$A$1:$K$373,6,0)," ")</f>
        <v xml:space="preserve"> </v>
      </c>
      <c r="S84" s="100" t="str">
        <f>IFERROR(Tablo520[[#This Row],[YOLLUK HARİÇ BASKI GRAMI]]/Tablo520[[#This Row],[KALIP GÖZ ADEDİ]]," ")</f>
        <v xml:space="preserve"> </v>
      </c>
      <c r="T84" s="100" t="str">
        <f t="shared" si="9"/>
        <v xml:space="preserve"> </v>
      </c>
      <c r="U84" s="100"/>
      <c r="V84" s="100" t="str">
        <f t="shared" si="8"/>
        <v xml:space="preserve"> </v>
      </c>
      <c r="W84" s="101">
        <f t="shared" si="10"/>
        <v>24</v>
      </c>
      <c r="X84" s="102">
        <f t="shared" si="11"/>
        <v>0</v>
      </c>
      <c r="Y84" s="100" t="str">
        <f t="shared" si="12"/>
        <v xml:space="preserve"> </v>
      </c>
      <c r="Z84" s="100" t="str">
        <f t="shared" si="13"/>
        <v xml:space="preserve"> </v>
      </c>
    </row>
    <row r="85" spans="1:26">
      <c r="A85" s="100"/>
      <c r="B85" s="100" t="str">
        <f>IFERROR(VLOOKUP(Tablo520[[#This Row],[ÜRÜN KODU]],YMKODLARI!$A$1:$K$373,2,0)," ")</f>
        <v xml:space="preserve"> </v>
      </c>
      <c r="C85" s="99"/>
      <c r="D85" s="100"/>
      <c r="E85" s="101"/>
      <c r="F85" s="101"/>
      <c r="G85" s="100" t="str">
        <f>IFERROR(VLOOKUP(Tablo520[[#This Row],[ÜRÜN KODU]],YMKODLARI!$A$1:$K$373,3,0)," ")</f>
        <v xml:space="preserve"> </v>
      </c>
      <c r="H85" s="100" t="str">
        <f>IFERROR(VLOOKUP(Tablo520[[#This Row],[ÜRÜN KODU]],YMKODLARI!$A$1:$K$373,4,0)," ")</f>
        <v xml:space="preserve"> </v>
      </c>
      <c r="I85" s="100"/>
      <c r="J85" s="100" t="str">
        <f>IFERROR(VLOOKUP(Tablo520[[#This Row],[ÜRÜN KODU]],YMKODLARI!$A$1:$K$373,9,0)," ")</f>
        <v xml:space="preserve"> </v>
      </c>
      <c r="K85" s="100" t="str">
        <f>IFERROR(VLOOKUP(Tablo520[[#This Row],[BOYA KODU]],Tablo14[#All],4,0)," ")</f>
        <v xml:space="preserve"> </v>
      </c>
      <c r="L85" s="100" t="str">
        <f>IFERROR(VLOOKUP(Tablo520[[#This Row],[BOYA KODU]],Tablo14[#All],6,0)," ")</f>
        <v xml:space="preserve"> </v>
      </c>
      <c r="M85" s="100" t="str">
        <f t="shared" si="7"/>
        <v xml:space="preserve"> </v>
      </c>
      <c r="N85" s="100" t="str">
        <f>IFERROR(VLOOKUP(Tablo520[[#This Row],[ÜRÜN KODU]],YMKODLARI!$A$1:$K$373,8,0)," ")</f>
        <v xml:space="preserve"> </v>
      </c>
      <c r="O85" s="100" t="str">
        <f>IFERROR(VLOOKUP(Tablo520[[#This Row],[HAMMADDE KODU]],Tablo1[#All],3,0)," ")</f>
        <v xml:space="preserve"> </v>
      </c>
      <c r="P85" s="100" t="str">
        <f>IFERROR(VLOOKUP(Tablo520[[#This Row],[HAMMADDE KODU]],Tablo1[#All],4,0)," ")</f>
        <v xml:space="preserve"> </v>
      </c>
      <c r="Q85" s="100" t="str">
        <f>IFERROR(VLOOKUP(Tablo520[[#This Row],[ÜRÜN KODU]],YMKODLARI!$A$1:$K$373,5,0)," ")</f>
        <v xml:space="preserve"> </v>
      </c>
      <c r="R85" s="100" t="str">
        <f>IFERROR(VLOOKUP(Tablo520[[#This Row],[ÜRÜN KODU]],YMKODLARI!$A$1:$K$373,6,0)," ")</f>
        <v xml:space="preserve"> </v>
      </c>
      <c r="S85" s="100" t="str">
        <f>IFERROR(Tablo520[[#This Row],[YOLLUK HARİÇ BASKI GRAMI]]/Tablo520[[#This Row],[KALIP GÖZ ADEDİ]]," ")</f>
        <v xml:space="preserve"> </v>
      </c>
      <c r="T85" s="100" t="str">
        <f t="shared" si="9"/>
        <v xml:space="preserve"> </v>
      </c>
      <c r="U85" s="100"/>
      <c r="V85" s="100" t="str">
        <f t="shared" si="8"/>
        <v xml:space="preserve"> </v>
      </c>
      <c r="W85" s="101">
        <f t="shared" si="10"/>
        <v>24</v>
      </c>
      <c r="X85" s="102">
        <f t="shared" si="11"/>
        <v>0</v>
      </c>
      <c r="Y85" s="100" t="str">
        <f t="shared" si="12"/>
        <v xml:space="preserve"> </v>
      </c>
      <c r="Z85" s="100" t="str">
        <f t="shared" si="13"/>
        <v xml:space="preserve"> </v>
      </c>
    </row>
    <row r="86" spans="1:26">
      <c r="A86" s="100"/>
      <c r="B86" s="100" t="str">
        <f>IFERROR(VLOOKUP(Tablo520[[#This Row],[ÜRÜN KODU]],YMKODLARI!$A$1:$K$373,2,0)," ")</f>
        <v xml:space="preserve"> </v>
      </c>
      <c r="C86" s="99"/>
      <c r="D86" s="100"/>
      <c r="E86" s="101"/>
      <c r="F86" s="101"/>
      <c r="G86" s="100" t="str">
        <f>IFERROR(VLOOKUP(Tablo520[[#This Row],[ÜRÜN KODU]],YMKODLARI!$A$1:$K$373,3,0)," ")</f>
        <v xml:space="preserve"> </v>
      </c>
      <c r="H86" s="100" t="str">
        <f>IFERROR(VLOOKUP(Tablo520[[#This Row],[ÜRÜN KODU]],YMKODLARI!$A$1:$K$373,4,0)," ")</f>
        <v xml:space="preserve"> </v>
      </c>
      <c r="I86" s="100"/>
      <c r="J86" s="100" t="str">
        <f>IFERROR(VLOOKUP(Tablo520[[#This Row],[ÜRÜN KODU]],YMKODLARI!$A$1:$K$373,9,0)," ")</f>
        <v xml:space="preserve"> </v>
      </c>
      <c r="K86" s="100" t="str">
        <f>IFERROR(VLOOKUP(Tablo520[[#This Row],[BOYA KODU]],Tablo14[#All],4,0)," ")</f>
        <v xml:space="preserve"> </v>
      </c>
      <c r="L86" s="100" t="str">
        <f>IFERROR(VLOOKUP(Tablo520[[#This Row],[BOYA KODU]],Tablo14[#All],6,0)," ")</f>
        <v xml:space="preserve"> </v>
      </c>
      <c r="M86" s="100" t="str">
        <f t="shared" si="7"/>
        <v xml:space="preserve"> </v>
      </c>
      <c r="N86" s="100" t="str">
        <f>IFERROR(VLOOKUP(Tablo520[[#This Row],[ÜRÜN KODU]],YMKODLARI!$A$1:$K$373,8,0)," ")</f>
        <v xml:space="preserve"> </v>
      </c>
      <c r="O86" s="100" t="str">
        <f>IFERROR(VLOOKUP(Tablo520[[#This Row],[HAMMADDE KODU]],Tablo1[#All],3,0)," ")</f>
        <v xml:space="preserve"> </v>
      </c>
      <c r="P86" s="100" t="str">
        <f>IFERROR(VLOOKUP(Tablo520[[#This Row],[HAMMADDE KODU]],Tablo1[#All],4,0)," ")</f>
        <v xml:space="preserve"> </v>
      </c>
      <c r="Q86" s="100" t="str">
        <f>IFERROR(VLOOKUP(Tablo520[[#This Row],[ÜRÜN KODU]],YMKODLARI!$A$1:$K$373,5,0)," ")</f>
        <v xml:space="preserve"> </v>
      </c>
      <c r="R86" s="100" t="str">
        <f>IFERROR(VLOOKUP(Tablo520[[#This Row],[ÜRÜN KODU]],YMKODLARI!$A$1:$K$373,6,0)," ")</f>
        <v xml:space="preserve"> </v>
      </c>
      <c r="S86" s="100" t="str">
        <f>IFERROR(Tablo520[[#This Row],[YOLLUK HARİÇ BASKI GRAMI]]/Tablo520[[#This Row],[KALIP GÖZ ADEDİ]]," ")</f>
        <v xml:space="preserve"> </v>
      </c>
      <c r="T86" s="100" t="str">
        <f t="shared" si="9"/>
        <v xml:space="preserve"> </v>
      </c>
      <c r="U86" s="100"/>
      <c r="V86" s="100" t="str">
        <f t="shared" si="8"/>
        <v xml:space="preserve"> </v>
      </c>
      <c r="W86" s="101">
        <f t="shared" si="10"/>
        <v>24</v>
      </c>
      <c r="X86" s="102">
        <f t="shared" si="11"/>
        <v>0</v>
      </c>
      <c r="Y86" s="100" t="str">
        <f t="shared" si="12"/>
        <v xml:space="preserve"> </v>
      </c>
      <c r="Z86" s="100" t="str">
        <f t="shared" si="13"/>
        <v xml:space="preserve"> </v>
      </c>
    </row>
    <row r="87" spans="1:26">
      <c r="A87" s="100"/>
      <c r="B87" s="100" t="str">
        <f>IFERROR(VLOOKUP(Tablo520[[#This Row],[ÜRÜN KODU]],YMKODLARI!$A$1:$K$373,2,0)," ")</f>
        <v xml:space="preserve"> </v>
      </c>
      <c r="C87" s="99"/>
      <c r="D87" s="100"/>
      <c r="E87" s="101"/>
      <c r="F87" s="101"/>
      <c r="G87" s="100" t="str">
        <f>IFERROR(VLOOKUP(Tablo520[[#This Row],[ÜRÜN KODU]],YMKODLARI!$A$1:$K$373,3,0)," ")</f>
        <v xml:space="preserve"> </v>
      </c>
      <c r="H87" s="100" t="str">
        <f>IFERROR(VLOOKUP(Tablo520[[#This Row],[ÜRÜN KODU]],YMKODLARI!$A$1:$K$373,4,0)," ")</f>
        <v xml:space="preserve"> </v>
      </c>
      <c r="I87" s="100"/>
      <c r="J87" s="100" t="str">
        <f>IFERROR(VLOOKUP(Tablo520[[#This Row],[ÜRÜN KODU]],YMKODLARI!$A$1:$K$373,9,0)," ")</f>
        <v xml:space="preserve"> </v>
      </c>
      <c r="K87" s="100" t="str">
        <f>IFERROR(VLOOKUP(Tablo520[[#This Row],[BOYA KODU]],Tablo14[#All],4,0)," ")</f>
        <v xml:space="preserve"> </v>
      </c>
      <c r="L87" s="100" t="str">
        <f>IFERROR(VLOOKUP(Tablo520[[#This Row],[BOYA KODU]],Tablo14[#All],6,0)," ")</f>
        <v xml:space="preserve"> </v>
      </c>
      <c r="M87" s="100" t="str">
        <f t="shared" si="7"/>
        <v xml:space="preserve"> </v>
      </c>
      <c r="N87" s="100" t="str">
        <f>IFERROR(VLOOKUP(Tablo520[[#This Row],[ÜRÜN KODU]],YMKODLARI!$A$1:$K$373,8,0)," ")</f>
        <v xml:space="preserve"> </v>
      </c>
      <c r="O87" s="100" t="str">
        <f>IFERROR(VLOOKUP(Tablo520[[#This Row],[HAMMADDE KODU]],Tablo1[#All],3,0)," ")</f>
        <v xml:space="preserve"> </v>
      </c>
      <c r="P87" s="100" t="str">
        <f>IFERROR(VLOOKUP(Tablo520[[#This Row],[HAMMADDE KODU]],Tablo1[#All],4,0)," ")</f>
        <v xml:space="preserve"> </v>
      </c>
      <c r="Q87" s="100" t="str">
        <f>IFERROR(VLOOKUP(Tablo520[[#This Row],[ÜRÜN KODU]],YMKODLARI!$A$1:$K$373,5,0)," ")</f>
        <v xml:space="preserve"> </v>
      </c>
      <c r="R87" s="100" t="str">
        <f>IFERROR(VLOOKUP(Tablo520[[#This Row],[ÜRÜN KODU]],YMKODLARI!$A$1:$K$373,6,0)," ")</f>
        <v xml:space="preserve"> </v>
      </c>
      <c r="S87" s="100" t="str">
        <f>IFERROR(Tablo520[[#This Row],[YOLLUK HARİÇ BASKI GRAMI]]/Tablo520[[#This Row],[KALIP GÖZ ADEDİ]]," ")</f>
        <v xml:space="preserve"> </v>
      </c>
      <c r="T87" s="100" t="str">
        <f t="shared" si="9"/>
        <v xml:space="preserve"> </v>
      </c>
      <c r="U87" s="100"/>
      <c r="V87" s="100" t="str">
        <f t="shared" si="8"/>
        <v xml:space="preserve"> </v>
      </c>
      <c r="W87" s="101">
        <f t="shared" si="10"/>
        <v>24</v>
      </c>
      <c r="X87" s="102">
        <f t="shared" si="11"/>
        <v>0</v>
      </c>
      <c r="Y87" s="100" t="str">
        <f t="shared" si="12"/>
        <v xml:space="preserve"> </v>
      </c>
      <c r="Z87" s="100" t="str">
        <f t="shared" si="13"/>
        <v xml:space="preserve"> </v>
      </c>
    </row>
    <row r="88" spans="1:26">
      <c r="A88" s="100"/>
      <c r="B88" s="100" t="str">
        <f>IFERROR(VLOOKUP(Tablo520[[#This Row],[ÜRÜN KODU]],YMKODLARI!$A$1:$K$373,2,0)," ")</f>
        <v xml:space="preserve"> </v>
      </c>
      <c r="C88" s="99"/>
      <c r="D88" s="100"/>
      <c r="E88" s="101"/>
      <c r="F88" s="101"/>
      <c r="G88" s="100" t="str">
        <f>IFERROR(VLOOKUP(Tablo520[[#This Row],[ÜRÜN KODU]],YMKODLARI!$A$1:$K$373,3,0)," ")</f>
        <v xml:space="preserve"> </v>
      </c>
      <c r="H88" s="100" t="str">
        <f>IFERROR(VLOOKUP(Tablo520[[#This Row],[ÜRÜN KODU]],YMKODLARI!$A$1:$K$373,4,0)," ")</f>
        <v xml:space="preserve"> </v>
      </c>
      <c r="I88" s="100"/>
      <c r="J88" s="100" t="str">
        <f>IFERROR(VLOOKUP(Tablo520[[#This Row],[ÜRÜN KODU]],YMKODLARI!$A$1:$K$373,9,0)," ")</f>
        <v xml:space="preserve"> </v>
      </c>
      <c r="K88" s="100" t="str">
        <f>IFERROR(VLOOKUP(Tablo520[[#This Row],[BOYA KODU]],Tablo14[#All],4,0)," ")</f>
        <v xml:space="preserve"> </v>
      </c>
      <c r="L88" s="100" t="str">
        <f>IFERROR(VLOOKUP(Tablo520[[#This Row],[BOYA KODU]],Tablo14[#All],6,0)," ")</f>
        <v xml:space="preserve"> </v>
      </c>
      <c r="M88" s="100" t="str">
        <f t="shared" si="7"/>
        <v xml:space="preserve"> </v>
      </c>
      <c r="N88" s="100" t="str">
        <f>IFERROR(VLOOKUP(Tablo520[[#This Row],[ÜRÜN KODU]],YMKODLARI!$A$1:$K$373,8,0)," ")</f>
        <v xml:space="preserve"> </v>
      </c>
      <c r="O88" s="100" t="str">
        <f>IFERROR(VLOOKUP(Tablo520[[#This Row],[HAMMADDE KODU]],Tablo1[#All],3,0)," ")</f>
        <v xml:space="preserve"> </v>
      </c>
      <c r="P88" s="100" t="str">
        <f>IFERROR(VLOOKUP(Tablo520[[#This Row],[HAMMADDE KODU]],Tablo1[#All],4,0)," ")</f>
        <v xml:space="preserve"> </v>
      </c>
      <c r="Q88" s="100" t="str">
        <f>IFERROR(VLOOKUP(Tablo520[[#This Row],[ÜRÜN KODU]],YMKODLARI!$A$1:$K$373,5,0)," ")</f>
        <v xml:space="preserve"> </v>
      </c>
      <c r="R88" s="100" t="str">
        <f>IFERROR(VLOOKUP(Tablo520[[#This Row],[ÜRÜN KODU]],YMKODLARI!$A$1:$K$373,6,0)," ")</f>
        <v xml:space="preserve"> </v>
      </c>
      <c r="S88" s="100" t="str">
        <f>IFERROR(Tablo520[[#This Row],[YOLLUK HARİÇ BASKI GRAMI]]/Tablo520[[#This Row],[KALIP GÖZ ADEDİ]]," ")</f>
        <v xml:space="preserve"> </v>
      </c>
      <c r="T88" s="100" t="str">
        <f t="shared" si="9"/>
        <v xml:space="preserve"> </v>
      </c>
      <c r="U88" s="100"/>
      <c r="V88" s="100" t="str">
        <f t="shared" si="8"/>
        <v xml:space="preserve"> </v>
      </c>
      <c r="W88" s="101">
        <f t="shared" si="10"/>
        <v>24</v>
      </c>
      <c r="X88" s="102">
        <f t="shared" si="11"/>
        <v>0</v>
      </c>
      <c r="Y88" s="100" t="str">
        <f t="shared" si="12"/>
        <v xml:space="preserve"> </v>
      </c>
      <c r="Z88" s="100" t="str">
        <f t="shared" si="13"/>
        <v xml:space="preserve"> </v>
      </c>
    </row>
    <row r="89" spans="1:26">
      <c r="A89" s="100"/>
      <c r="B89" s="100" t="str">
        <f>IFERROR(VLOOKUP(Tablo520[[#This Row],[ÜRÜN KODU]],YMKODLARI!$A$1:$K$373,2,0)," ")</f>
        <v xml:space="preserve"> </v>
      </c>
      <c r="C89" s="99"/>
      <c r="D89" s="100"/>
      <c r="E89" s="101"/>
      <c r="F89" s="101"/>
      <c r="G89" s="100" t="str">
        <f>IFERROR(VLOOKUP(Tablo520[[#This Row],[ÜRÜN KODU]],YMKODLARI!$A$1:$K$373,3,0)," ")</f>
        <v xml:space="preserve"> </v>
      </c>
      <c r="H89" s="100" t="str">
        <f>IFERROR(VLOOKUP(Tablo520[[#This Row],[ÜRÜN KODU]],YMKODLARI!$A$1:$K$373,4,0)," ")</f>
        <v xml:space="preserve"> </v>
      </c>
      <c r="I89" s="100"/>
      <c r="J89" s="100" t="str">
        <f>IFERROR(VLOOKUP(Tablo520[[#This Row],[ÜRÜN KODU]],YMKODLARI!$A$1:$K$373,9,0)," ")</f>
        <v xml:space="preserve"> </v>
      </c>
      <c r="K89" s="100" t="str">
        <f>IFERROR(VLOOKUP(Tablo520[[#This Row],[BOYA KODU]],Tablo14[#All],4,0)," ")</f>
        <v xml:space="preserve"> </v>
      </c>
      <c r="L89" s="100" t="str">
        <f>IFERROR(VLOOKUP(Tablo520[[#This Row],[BOYA KODU]],Tablo14[#All],6,0)," ")</f>
        <v xml:space="preserve"> </v>
      </c>
      <c r="M89" s="100" t="str">
        <f t="shared" si="7"/>
        <v xml:space="preserve"> </v>
      </c>
      <c r="N89" s="100" t="str">
        <f>IFERROR(VLOOKUP(Tablo520[[#This Row],[ÜRÜN KODU]],YMKODLARI!$A$1:$K$373,8,0)," ")</f>
        <v xml:space="preserve"> </v>
      </c>
      <c r="O89" s="100" t="str">
        <f>IFERROR(VLOOKUP(Tablo520[[#This Row],[HAMMADDE KODU]],Tablo1[#All],3,0)," ")</f>
        <v xml:space="preserve"> </v>
      </c>
      <c r="P89" s="100" t="str">
        <f>IFERROR(VLOOKUP(Tablo520[[#This Row],[HAMMADDE KODU]],Tablo1[#All],4,0)," ")</f>
        <v xml:space="preserve"> </v>
      </c>
      <c r="Q89" s="100" t="str">
        <f>IFERROR(VLOOKUP(Tablo520[[#This Row],[ÜRÜN KODU]],YMKODLARI!$A$1:$K$373,5,0)," ")</f>
        <v xml:space="preserve"> </v>
      </c>
      <c r="R89" s="100" t="str">
        <f>IFERROR(VLOOKUP(Tablo520[[#This Row],[ÜRÜN KODU]],YMKODLARI!$A$1:$K$373,6,0)," ")</f>
        <v xml:space="preserve"> </v>
      </c>
      <c r="S89" s="100" t="str">
        <f>IFERROR(Tablo520[[#This Row],[YOLLUK HARİÇ BASKI GRAMI]]/Tablo520[[#This Row],[KALIP GÖZ ADEDİ]]," ")</f>
        <v xml:space="preserve"> </v>
      </c>
      <c r="T89" s="100" t="str">
        <f t="shared" si="9"/>
        <v xml:space="preserve"> </v>
      </c>
      <c r="U89" s="100"/>
      <c r="V89" s="100" t="str">
        <f t="shared" si="8"/>
        <v xml:space="preserve"> </v>
      </c>
      <c r="W89" s="101">
        <f t="shared" si="10"/>
        <v>24</v>
      </c>
      <c r="X89" s="102">
        <f t="shared" si="11"/>
        <v>0</v>
      </c>
      <c r="Y89" s="100" t="str">
        <f t="shared" si="12"/>
        <v xml:space="preserve"> </v>
      </c>
      <c r="Z89" s="100" t="str">
        <f t="shared" si="13"/>
        <v xml:space="preserve"> </v>
      </c>
    </row>
    <row r="90" spans="1:26">
      <c r="A90" s="100"/>
      <c r="B90" s="100" t="str">
        <f>IFERROR(VLOOKUP(Tablo520[[#This Row],[ÜRÜN KODU]],YMKODLARI!$A$1:$K$373,2,0)," ")</f>
        <v xml:space="preserve"> </v>
      </c>
      <c r="C90" s="99"/>
      <c r="D90" s="100"/>
      <c r="E90" s="101"/>
      <c r="F90" s="101"/>
      <c r="G90" s="100" t="str">
        <f>IFERROR(VLOOKUP(Tablo520[[#This Row],[ÜRÜN KODU]],YMKODLARI!$A$1:$K$373,3,0)," ")</f>
        <v xml:space="preserve"> </v>
      </c>
      <c r="H90" s="100" t="str">
        <f>IFERROR(VLOOKUP(Tablo520[[#This Row],[ÜRÜN KODU]],YMKODLARI!$A$1:$K$373,4,0)," ")</f>
        <v xml:space="preserve"> </v>
      </c>
      <c r="I90" s="100"/>
      <c r="J90" s="100" t="str">
        <f>IFERROR(VLOOKUP(Tablo520[[#This Row],[ÜRÜN KODU]],YMKODLARI!$A$1:$K$373,9,0)," ")</f>
        <v xml:space="preserve"> </v>
      </c>
      <c r="K90" s="100" t="str">
        <f>IFERROR(VLOOKUP(Tablo520[[#This Row],[BOYA KODU]],Tablo14[#All],4,0)," ")</f>
        <v xml:space="preserve"> </v>
      </c>
      <c r="L90" s="100" t="str">
        <f>IFERROR(VLOOKUP(Tablo520[[#This Row],[BOYA KODU]],Tablo14[#All],6,0)," ")</f>
        <v xml:space="preserve"> </v>
      </c>
      <c r="M90" s="100" t="str">
        <f t="shared" si="7"/>
        <v xml:space="preserve"> </v>
      </c>
      <c r="N90" s="100" t="str">
        <f>IFERROR(VLOOKUP(Tablo520[[#This Row],[ÜRÜN KODU]],YMKODLARI!$A$1:$K$373,8,0)," ")</f>
        <v xml:space="preserve"> </v>
      </c>
      <c r="O90" s="100" t="str">
        <f>IFERROR(VLOOKUP(Tablo520[[#This Row],[HAMMADDE KODU]],Tablo1[#All],3,0)," ")</f>
        <v xml:space="preserve"> </v>
      </c>
      <c r="P90" s="100" t="str">
        <f>IFERROR(VLOOKUP(Tablo520[[#This Row],[HAMMADDE KODU]],Tablo1[#All],4,0)," ")</f>
        <v xml:space="preserve"> </v>
      </c>
      <c r="Q90" s="100" t="str">
        <f>IFERROR(VLOOKUP(Tablo520[[#This Row],[ÜRÜN KODU]],YMKODLARI!$A$1:$K$373,5,0)," ")</f>
        <v xml:space="preserve"> </v>
      </c>
      <c r="R90" s="100" t="str">
        <f>IFERROR(VLOOKUP(Tablo520[[#This Row],[ÜRÜN KODU]],YMKODLARI!$A$1:$K$373,6,0)," ")</f>
        <v xml:space="preserve"> </v>
      </c>
      <c r="S90" s="100" t="str">
        <f>IFERROR(Tablo520[[#This Row],[YOLLUK HARİÇ BASKI GRAMI]]/Tablo520[[#This Row],[KALIP GÖZ ADEDİ]]," ")</f>
        <v xml:space="preserve"> </v>
      </c>
      <c r="T90" s="100" t="str">
        <f t="shared" si="9"/>
        <v xml:space="preserve"> </v>
      </c>
      <c r="U90" s="100"/>
      <c r="V90" s="100" t="str">
        <f t="shared" si="8"/>
        <v xml:space="preserve"> </v>
      </c>
      <c r="W90" s="101">
        <f t="shared" si="10"/>
        <v>24</v>
      </c>
      <c r="X90" s="102">
        <f t="shared" si="11"/>
        <v>0</v>
      </c>
      <c r="Y90" s="100" t="str">
        <f t="shared" si="12"/>
        <v xml:space="preserve"> </v>
      </c>
      <c r="Z90" s="100" t="str">
        <f t="shared" si="13"/>
        <v xml:space="preserve"> </v>
      </c>
    </row>
    <row r="91" spans="1:26">
      <c r="A91" s="100"/>
      <c r="B91" s="100" t="str">
        <f>IFERROR(VLOOKUP(Tablo520[[#This Row],[ÜRÜN KODU]],YMKODLARI!$A$1:$K$373,2,0)," ")</f>
        <v xml:space="preserve"> </v>
      </c>
      <c r="C91" s="99"/>
      <c r="D91" s="100"/>
      <c r="E91" s="101"/>
      <c r="F91" s="101"/>
      <c r="G91" s="100" t="str">
        <f>IFERROR(VLOOKUP(Tablo520[[#This Row],[ÜRÜN KODU]],YMKODLARI!$A$1:$K$373,3,0)," ")</f>
        <v xml:space="preserve"> </v>
      </c>
      <c r="H91" s="100" t="str">
        <f>IFERROR(VLOOKUP(Tablo520[[#This Row],[ÜRÜN KODU]],YMKODLARI!$A$1:$K$373,4,0)," ")</f>
        <v xml:space="preserve"> </v>
      </c>
      <c r="I91" s="100"/>
      <c r="J91" s="100" t="str">
        <f>IFERROR(VLOOKUP(Tablo520[[#This Row],[ÜRÜN KODU]],YMKODLARI!$A$1:$K$373,9,0)," ")</f>
        <v xml:space="preserve"> </v>
      </c>
      <c r="K91" s="100" t="str">
        <f>IFERROR(VLOOKUP(Tablo520[[#This Row],[BOYA KODU]],Tablo14[#All],4,0)," ")</f>
        <v xml:space="preserve"> </v>
      </c>
      <c r="L91" s="100" t="str">
        <f>IFERROR(VLOOKUP(Tablo520[[#This Row],[BOYA KODU]],Tablo14[#All],6,0)," ")</f>
        <v xml:space="preserve"> </v>
      </c>
      <c r="M91" s="100" t="str">
        <f t="shared" si="7"/>
        <v xml:space="preserve"> </v>
      </c>
      <c r="N91" s="100" t="str">
        <f>IFERROR(VLOOKUP(Tablo520[[#This Row],[ÜRÜN KODU]],YMKODLARI!$A$1:$K$373,8,0)," ")</f>
        <v xml:space="preserve"> </v>
      </c>
      <c r="O91" s="100" t="str">
        <f>IFERROR(VLOOKUP(Tablo520[[#This Row],[HAMMADDE KODU]],Tablo1[#All],3,0)," ")</f>
        <v xml:space="preserve"> </v>
      </c>
      <c r="P91" s="100" t="str">
        <f>IFERROR(VLOOKUP(Tablo520[[#This Row],[HAMMADDE KODU]],Tablo1[#All],4,0)," ")</f>
        <v xml:space="preserve"> </v>
      </c>
      <c r="Q91" s="100" t="str">
        <f>IFERROR(VLOOKUP(Tablo520[[#This Row],[ÜRÜN KODU]],YMKODLARI!$A$1:$K$373,5,0)," ")</f>
        <v xml:space="preserve"> </v>
      </c>
      <c r="R91" s="100" t="str">
        <f>IFERROR(VLOOKUP(Tablo520[[#This Row],[ÜRÜN KODU]],YMKODLARI!$A$1:$K$373,6,0)," ")</f>
        <v xml:space="preserve"> </v>
      </c>
      <c r="S91" s="100" t="str">
        <f>IFERROR(Tablo520[[#This Row],[YOLLUK HARİÇ BASKI GRAMI]]/Tablo520[[#This Row],[KALIP GÖZ ADEDİ]]," ")</f>
        <v xml:space="preserve"> </v>
      </c>
      <c r="T91" s="100" t="str">
        <f t="shared" si="9"/>
        <v xml:space="preserve"> </v>
      </c>
      <c r="U91" s="100"/>
      <c r="V91" s="100" t="str">
        <f t="shared" si="8"/>
        <v xml:space="preserve"> </v>
      </c>
      <c r="W91" s="101">
        <f t="shared" si="10"/>
        <v>24</v>
      </c>
      <c r="X91" s="102">
        <f t="shared" si="11"/>
        <v>0</v>
      </c>
      <c r="Y91" s="100" t="str">
        <f t="shared" si="12"/>
        <v xml:space="preserve"> </v>
      </c>
      <c r="Z91" s="100" t="str">
        <f t="shared" si="13"/>
        <v xml:space="preserve"> </v>
      </c>
    </row>
    <row r="92" spans="1:26">
      <c r="A92" s="100"/>
      <c r="B92" s="100" t="str">
        <f>IFERROR(VLOOKUP(Tablo520[[#This Row],[ÜRÜN KODU]],YMKODLARI!$A$1:$K$373,2,0)," ")</f>
        <v xml:space="preserve"> </v>
      </c>
      <c r="C92" s="99"/>
      <c r="D92" s="100"/>
      <c r="E92" s="101"/>
      <c r="F92" s="101"/>
      <c r="G92" s="100" t="str">
        <f>IFERROR(VLOOKUP(Tablo520[[#This Row],[ÜRÜN KODU]],YMKODLARI!$A$1:$K$373,3,0)," ")</f>
        <v xml:space="preserve"> </v>
      </c>
      <c r="H92" s="100" t="str">
        <f>IFERROR(VLOOKUP(Tablo520[[#This Row],[ÜRÜN KODU]],YMKODLARI!$A$1:$K$373,4,0)," ")</f>
        <v xml:space="preserve"> </v>
      </c>
      <c r="I92" s="100"/>
      <c r="J92" s="100" t="str">
        <f>IFERROR(VLOOKUP(Tablo520[[#This Row],[ÜRÜN KODU]],YMKODLARI!$A$1:$K$373,9,0)," ")</f>
        <v xml:space="preserve"> </v>
      </c>
      <c r="K92" s="100" t="str">
        <f>IFERROR(VLOOKUP(Tablo520[[#This Row],[BOYA KODU]],Tablo14[#All],4,0)," ")</f>
        <v xml:space="preserve"> </v>
      </c>
      <c r="L92" s="100" t="str">
        <f>IFERROR(VLOOKUP(Tablo520[[#This Row],[BOYA KODU]],Tablo14[#All],6,0)," ")</f>
        <v xml:space="preserve"> </v>
      </c>
      <c r="M92" s="100" t="str">
        <f t="shared" si="7"/>
        <v xml:space="preserve"> </v>
      </c>
      <c r="N92" s="100" t="str">
        <f>IFERROR(VLOOKUP(Tablo520[[#This Row],[ÜRÜN KODU]],YMKODLARI!$A$1:$K$373,8,0)," ")</f>
        <v xml:space="preserve"> </v>
      </c>
      <c r="O92" s="100" t="str">
        <f>IFERROR(VLOOKUP(Tablo520[[#This Row],[HAMMADDE KODU]],Tablo1[#All],3,0)," ")</f>
        <v xml:space="preserve"> </v>
      </c>
      <c r="P92" s="100" t="str">
        <f>IFERROR(VLOOKUP(Tablo520[[#This Row],[HAMMADDE KODU]],Tablo1[#All],4,0)," ")</f>
        <v xml:space="preserve"> </v>
      </c>
      <c r="Q92" s="100" t="str">
        <f>IFERROR(VLOOKUP(Tablo520[[#This Row],[ÜRÜN KODU]],YMKODLARI!$A$1:$K$373,5,0)," ")</f>
        <v xml:space="preserve"> </v>
      </c>
      <c r="R92" s="100" t="str">
        <f>IFERROR(VLOOKUP(Tablo520[[#This Row],[ÜRÜN KODU]],YMKODLARI!$A$1:$K$373,6,0)," ")</f>
        <v xml:space="preserve"> </v>
      </c>
      <c r="S92" s="100" t="str">
        <f>IFERROR(Tablo520[[#This Row],[YOLLUK HARİÇ BASKI GRAMI]]/Tablo520[[#This Row],[KALIP GÖZ ADEDİ]]," ")</f>
        <v xml:space="preserve"> </v>
      </c>
      <c r="T92" s="100" t="str">
        <f t="shared" si="9"/>
        <v xml:space="preserve"> </v>
      </c>
      <c r="U92" s="100"/>
      <c r="V92" s="100" t="str">
        <f t="shared" si="8"/>
        <v xml:space="preserve"> </v>
      </c>
      <c r="W92" s="101">
        <f t="shared" si="10"/>
        <v>24</v>
      </c>
      <c r="X92" s="102">
        <f t="shared" si="11"/>
        <v>0</v>
      </c>
      <c r="Y92" s="100" t="str">
        <f t="shared" si="12"/>
        <v xml:space="preserve"> </v>
      </c>
      <c r="Z92" s="100" t="str">
        <f t="shared" si="13"/>
        <v xml:space="preserve"> </v>
      </c>
    </row>
    <row r="93" spans="1:26">
      <c r="A93" s="100"/>
      <c r="B93" s="100" t="str">
        <f>IFERROR(VLOOKUP(Tablo520[[#This Row],[ÜRÜN KODU]],YMKODLARI!$A$1:$K$373,2,0)," ")</f>
        <v xml:space="preserve"> </v>
      </c>
      <c r="C93" s="99"/>
      <c r="D93" s="100"/>
      <c r="E93" s="101"/>
      <c r="F93" s="101"/>
      <c r="G93" s="100" t="str">
        <f>IFERROR(VLOOKUP(Tablo520[[#This Row],[ÜRÜN KODU]],YMKODLARI!$A$1:$K$373,3,0)," ")</f>
        <v xml:space="preserve"> </v>
      </c>
      <c r="H93" s="100" t="str">
        <f>IFERROR(VLOOKUP(Tablo520[[#This Row],[ÜRÜN KODU]],YMKODLARI!$A$1:$K$373,4,0)," ")</f>
        <v xml:space="preserve"> </v>
      </c>
      <c r="I93" s="100"/>
      <c r="J93" s="100" t="str">
        <f>IFERROR(VLOOKUP(Tablo520[[#This Row],[ÜRÜN KODU]],YMKODLARI!$A$1:$K$373,9,0)," ")</f>
        <v xml:space="preserve"> </v>
      </c>
      <c r="K93" s="100" t="str">
        <f>IFERROR(VLOOKUP(Tablo520[[#This Row],[BOYA KODU]],Tablo14[#All],4,0)," ")</f>
        <v xml:space="preserve"> </v>
      </c>
      <c r="L93" s="100" t="str">
        <f>IFERROR(VLOOKUP(Tablo520[[#This Row],[BOYA KODU]],Tablo14[#All],6,0)," ")</f>
        <v xml:space="preserve"> </v>
      </c>
      <c r="M93" s="100" t="str">
        <f t="shared" si="7"/>
        <v xml:space="preserve"> </v>
      </c>
      <c r="N93" s="100" t="str">
        <f>IFERROR(VLOOKUP(Tablo520[[#This Row],[ÜRÜN KODU]],YMKODLARI!$A$1:$K$373,8,0)," ")</f>
        <v xml:space="preserve"> </v>
      </c>
      <c r="O93" s="100" t="str">
        <f>IFERROR(VLOOKUP(Tablo520[[#This Row],[HAMMADDE KODU]],Tablo1[#All],3,0)," ")</f>
        <v xml:space="preserve"> </v>
      </c>
      <c r="P93" s="100" t="str">
        <f>IFERROR(VLOOKUP(Tablo520[[#This Row],[HAMMADDE KODU]],Tablo1[#All],4,0)," ")</f>
        <v xml:space="preserve"> </v>
      </c>
      <c r="Q93" s="100" t="str">
        <f>IFERROR(VLOOKUP(Tablo520[[#This Row],[ÜRÜN KODU]],YMKODLARI!$A$1:$K$373,5,0)," ")</f>
        <v xml:space="preserve"> </v>
      </c>
      <c r="R93" s="100" t="str">
        <f>IFERROR(VLOOKUP(Tablo520[[#This Row],[ÜRÜN KODU]],YMKODLARI!$A$1:$K$373,6,0)," ")</f>
        <v xml:space="preserve"> </v>
      </c>
      <c r="S93" s="100" t="str">
        <f>IFERROR(Tablo520[[#This Row],[YOLLUK HARİÇ BASKI GRAMI]]/Tablo520[[#This Row],[KALIP GÖZ ADEDİ]]," ")</f>
        <v xml:space="preserve"> </v>
      </c>
      <c r="T93" s="100" t="str">
        <f t="shared" si="9"/>
        <v xml:space="preserve"> </v>
      </c>
      <c r="U93" s="100"/>
      <c r="V93" s="100" t="str">
        <f t="shared" si="8"/>
        <v xml:space="preserve"> </v>
      </c>
      <c r="W93" s="101">
        <f t="shared" si="10"/>
        <v>24</v>
      </c>
      <c r="X93" s="102">
        <f t="shared" si="11"/>
        <v>0</v>
      </c>
      <c r="Y93" s="100" t="str">
        <f t="shared" si="12"/>
        <v xml:space="preserve"> </v>
      </c>
      <c r="Z93" s="100" t="str">
        <f t="shared" si="13"/>
        <v xml:space="preserve"> </v>
      </c>
    </row>
    <row r="94" spans="1:26">
      <c r="A94" s="100"/>
      <c r="B94" s="100" t="str">
        <f>IFERROR(VLOOKUP(Tablo520[[#This Row],[ÜRÜN KODU]],YMKODLARI!$A$1:$K$373,2,0)," ")</f>
        <v xml:space="preserve"> </v>
      </c>
      <c r="C94" s="99"/>
      <c r="D94" s="100"/>
      <c r="E94" s="101"/>
      <c r="F94" s="101"/>
      <c r="G94" s="100" t="str">
        <f>IFERROR(VLOOKUP(Tablo520[[#This Row],[ÜRÜN KODU]],YMKODLARI!$A$1:$K$373,3,0)," ")</f>
        <v xml:space="preserve"> </v>
      </c>
      <c r="H94" s="100" t="str">
        <f>IFERROR(VLOOKUP(Tablo520[[#This Row],[ÜRÜN KODU]],YMKODLARI!$A$1:$K$373,4,0)," ")</f>
        <v xml:space="preserve"> </v>
      </c>
      <c r="I94" s="100"/>
      <c r="J94" s="100" t="str">
        <f>IFERROR(VLOOKUP(Tablo520[[#This Row],[ÜRÜN KODU]],YMKODLARI!$A$1:$K$373,9,0)," ")</f>
        <v xml:space="preserve"> </v>
      </c>
      <c r="K94" s="100" t="str">
        <f>IFERROR(VLOOKUP(Tablo520[[#This Row],[BOYA KODU]],Tablo14[#All],4,0)," ")</f>
        <v xml:space="preserve"> </v>
      </c>
      <c r="L94" s="100" t="str">
        <f>IFERROR(VLOOKUP(Tablo520[[#This Row],[BOYA KODU]],Tablo14[#All],6,0)," ")</f>
        <v xml:space="preserve"> </v>
      </c>
      <c r="M94" s="100" t="str">
        <f t="shared" si="7"/>
        <v xml:space="preserve"> </v>
      </c>
      <c r="N94" s="100" t="str">
        <f>IFERROR(VLOOKUP(Tablo520[[#This Row],[ÜRÜN KODU]],YMKODLARI!$A$1:$K$373,8,0)," ")</f>
        <v xml:space="preserve"> </v>
      </c>
      <c r="O94" s="100" t="str">
        <f>IFERROR(VLOOKUP(Tablo520[[#This Row],[HAMMADDE KODU]],Tablo1[#All],3,0)," ")</f>
        <v xml:space="preserve"> </v>
      </c>
      <c r="P94" s="100" t="str">
        <f>IFERROR(VLOOKUP(Tablo520[[#This Row],[HAMMADDE KODU]],Tablo1[#All],4,0)," ")</f>
        <v xml:space="preserve"> </v>
      </c>
      <c r="Q94" s="100" t="str">
        <f>IFERROR(VLOOKUP(Tablo520[[#This Row],[ÜRÜN KODU]],YMKODLARI!$A$1:$K$373,5,0)," ")</f>
        <v xml:space="preserve"> </v>
      </c>
      <c r="R94" s="100" t="str">
        <f>IFERROR(VLOOKUP(Tablo520[[#This Row],[ÜRÜN KODU]],YMKODLARI!$A$1:$K$373,6,0)," ")</f>
        <v xml:space="preserve"> </v>
      </c>
      <c r="S94" s="100" t="str">
        <f>IFERROR(Tablo520[[#This Row],[YOLLUK HARİÇ BASKI GRAMI]]/Tablo520[[#This Row],[KALIP GÖZ ADEDİ]]," ")</f>
        <v xml:space="preserve"> </v>
      </c>
      <c r="T94" s="100" t="str">
        <f t="shared" si="9"/>
        <v xml:space="preserve"> </v>
      </c>
      <c r="U94" s="100"/>
      <c r="V94" s="100" t="str">
        <f t="shared" si="8"/>
        <v xml:space="preserve"> </v>
      </c>
      <c r="W94" s="101">
        <f t="shared" si="10"/>
        <v>24</v>
      </c>
      <c r="X94" s="102">
        <f t="shared" si="11"/>
        <v>0</v>
      </c>
      <c r="Y94" s="100" t="str">
        <f t="shared" si="12"/>
        <v xml:space="preserve"> </v>
      </c>
      <c r="Z94" s="100" t="str">
        <f t="shared" si="13"/>
        <v xml:space="preserve"> </v>
      </c>
    </row>
    <row r="95" spans="1:26">
      <c r="A95" s="100"/>
      <c r="B95" s="100" t="str">
        <f>IFERROR(VLOOKUP(Tablo520[[#This Row],[ÜRÜN KODU]],YMKODLARI!$A$1:$K$373,2,0)," ")</f>
        <v xml:space="preserve"> </v>
      </c>
      <c r="C95" s="99"/>
      <c r="D95" s="100"/>
      <c r="E95" s="101"/>
      <c r="F95" s="101"/>
      <c r="G95" s="100" t="str">
        <f>IFERROR(VLOOKUP(Tablo520[[#This Row],[ÜRÜN KODU]],YMKODLARI!$A$1:$K$373,3,0)," ")</f>
        <v xml:space="preserve"> </v>
      </c>
      <c r="H95" s="100" t="str">
        <f>IFERROR(VLOOKUP(Tablo520[[#This Row],[ÜRÜN KODU]],YMKODLARI!$A$1:$K$373,4,0)," ")</f>
        <v xml:space="preserve"> </v>
      </c>
      <c r="I95" s="100"/>
      <c r="J95" s="100" t="str">
        <f>IFERROR(VLOOKUP(Tablo520[[#This Row],[ÜRÜN KODU]],YMKODLARI!$A$1:$K$373,9,0)," ")</f>
        <v xml:space="preserve"> </v>
      </c>
      <c r="K95" s="100" t="str">
        <f>IFERROR(VLOOKUP(Tablo520[[#This Row],[BOYA KODU]],Tablo14[#All],4,0)," ")</f>
        <v xml:space="preserve"> </v>
      </c>
      <c r="L95" s="100" t="str">
        <f>IFERROR(VLOOKUP(Tablo520[[#This Row],[BOYA KODU]],Tablo14[#All],6,0)," ")</f>
        <v xml:space="preserve"> </v>
      </c>
      <c r="M95" s="100" t="str">
        <f t="shared" si="7"/>
        <v xml:space="preserve"> </v>
      </c>
      <c r="N95" s="100" t="str">
        <f>IFERROR(VLOOKUP(Tablo520[[#This Row],[ÜRÜN KODU]],YMKODLARI!$A$1:$K$373,8,0)," ")</f>
        <v xml:space="preserve"> </v>
      </c>
      <c r="O95" s="100" t="str">
        <f>IFERROR(VLOOKUP(Tablo520[[#This Row],[HAMMADDE KODU]],Tablo1[#All],3,0)," ")</f>
        <v xml:space="preserve"> </v>
      </c>
      <c r="P95" s="100" t="str">
        <f>IFERROR(VLOOKUP(Tablo520[[#This Row],[HAMMADDE KODU]],Tablo1[#All],4,0)," ")</f>
        <v xml:space="preserve"> </v>
      </c>
      <c r="Q95" s="100" t="str">
        <f>IFERROR(VLOOKUP(Tablo520[[#This Row],[ÜRÜN KODU]],YMKODLARI!$A$1:$K$373,5,0)," ")</f>
        <v xml:space="preserve"> </v>
      </c>
      <c r="R95" s="100" t="str">
        <f>IFERROR(VLOOKUP(Tablo520[[#This Row],[ÜRÜN KODU]],YMKODLARI!$A$1:$K$373,6,0)," ")</f>
        <v xml:space="preserve"> </v>
      </c>
      <c r="S95" s="100" t="str">
        <f>IFERROR(Tablo520[[#This Row],[YOLLUK HARİÇ BASKI GRAMI]]/Tablo520[[#This Row],[KALIP GÖZ ADEDİ]]," ")</f>
        <v xml:space="preserve"> </v>
      </c>
      <c r="T95" s="100" t="str">
        <f t="shared" si="9"/>
        <v xml:space="preserve"> </v>
      </c>
      <c r="U95" s="100"/>
      <c r="V95" s="100" t="str">
        <f t="shared" si="8"/>
        <v xml:space="preserve"> </v>
      </c>
      <c r="W95" s="101">
        <f t="shared" si="10"/>
        <v>24</v>
      </c>
      <c r="X95" s="102">
        <f t="shared" si="11"/>
        <v>0</v>
      </c>
      <c r="Y95" s="100" t="str">
        <f t="shared" si="12"/>
        <v xml:space="preserve"> </v>
      </c>
      <c r="Z95" s="100" t="str">
        <f t="shared" si="13"/>
        <v xml:space="preserve"> </v>
      </c>
    </row>
    <row r="96" spans="1:26">
      <c r="A96" s="100"/>
      <c r="B96" s="100" t="str">
        <f>IFERROR(VLOOKUP(Tablo520[[#This Row],[ÜRÜN KODU]],YMKODLARI!$A$1:$K$373,2,0)," ")</f>
        <v xml:space="preserve"> </v>
      </c>
      <c r="C96" s="99"/>
      <c r="D96" s="100"/>
      <c r="E96" s="101"/>
      <c r="F96" s="101"/>
      <c r="G96" s="100" t="str">
        <f>IFERROR(VLOOKUP(Tablo520[[#This Row],[ÜRÜN KODU]],YMKODLARI!$A$1:$K$373,3,0)," ")</f>
        <v xml:space="preserve"> </v>
      </c>
      <c r="H96" s="100" t="str">
        <f>IFERROR(VLOOKUP(Tablo520[[#This Row],[ÜRÜN KODU]],YMKODLARI!$A$1:$K$373,4,0)," ")</f>
        <v xml:space="preserve"> </v>
      </c>
      <c r="I96" s="100"/>
      <c r="J96" s="100" t="str">
        <f>IFERROR(VLOOKUP(Tablo520[[#This Row],[ÜRÜN KODU]],YMKODLARI!$A$1:$K$373,9,0)," ")</f>
        <v xml:space="preserve"> </v>
      </c>
      <c r="K96" s="100" t="str">
        <f>IFERROR(VLOOKUP(Tablo520[[#This Row],[BOYA KODU]],Tablo14[#All],4,0)," ")</f>
        <v xml:space="preserve"> </v>
      </c>
      <c r="L96" s="100" t="str">
        <f>IFERROR(VLOOKUP(Tablo520[[#This Row],[BOYA KODU]],Tablo14[#All],6,0)," ")</f>
        <v xml:space="preserve"> </v>
      </c>
      <c r="M96" s="100" t="str">
        <f t="shared" si="7"/>
        <v xml:space="preserve"> </v>
      </c>
      <c r="N96" s="100" t="str">
        <f>IFERROR(VLOOKUP(Tablo520[[#This Row],[ÜRÜN KODU]],YMKODLARI!$A$1:$K$373,8,0)," ")</f>
        <v xml:space="preserve"> </v>
      </c>
      <c r="O96" s="100" t="str">
        <f>IFERROR(VLOOKUP(Tablo520[[#This Row],[HAMMADDE KODU]],Tablo1[#All],3,0)," ")</f>
        <v xml:space="preserve"> </v>
      </c>
      <c r="P96" s="100" t="str">
        <f>IFERROR(VLOOKUP(Tablo520[[#This Row],[HAMMADDE KODU]],Tablo1[#All],4,0)," ")</f>
        <v xml:space="preserve"> </v>
      </c>
      <c r="Q96" s="100" t="str">
        <f>IFERROR(VLOOKUP(Tablo520[[#This Row],[ÜRÜN KODU]],YMKODLARI!$A$1:$K$373,5,0)," ")</f>
        <v xml:space="preserve"> </v>
      </c>
      <c r="R96" s="100" t="str">
        <f>IFERROR(VLOOKUP(Tablo520[[#This Row],[ÜRÜN KODU]],YMKODLARI!$A$1:$K$373,6,0)," ")</f>
        <v xml:space="preserve"> </v>
      </c>
      <c r="S96" s="100" t="str">
        <f>IFERROR(Tablo520[[#This Row],[YOLLUK HARİÇ BASKI GRAMI]]/Tablo520[[#This Row],[KALIP GÖZ ADEDİ]]," ")</f>
        <v xml:space="preserve"> </v>
      </c>
      <c r="T96" s="100" t="str">
        <f t="shared" si="9"/>
        <v xml:space="preserve"> </v>
      </c>
      <c r="U96" s="100"/>
      <c r="V96" s="100" t="str">
        <f t="shared" si="8"/>
        <v xml:space="preserve"> </v>
      </c>
      <c r="W96" s="101">
        <f t="shared" si="10"/>
        <v>24</v>
      </c>
      <c r="X96" s="102">
        <f t="shared" si="11"/>
        <v>0</v>
      </c>
      <c r="Y96" s="100" t="str">
        <f t="shared" si="12"/>
        <v xml:space="preserve"> </v>
      </c>
      <c r="Z96" s="100" t="str">
        <f t="shared" si="13"/>
        <v xml:space="preserve"> </v>
      </c>
    </row>
    <row r="97" spans="1:26">
      <c r="A97" s="100"/>
      <c r="B97" s="100" t="str">
        <f>IFERROR(VLOOKUP(Tablo520[[#This Row],[ÜRÜN KODU]],YMKODLARI!$A$1:$K$373,2,0)," ")</f>
        <v xml:space="preserve"> </v>
      </c>
      <c r="C97" s="99"/>
      <c r="D97" s="100"/>
      <c r="E97" s="101"/>
      <c r="F97" s="101"/>
      <c r="G97" s="100" t="str">
        <f>IFERROR(VLOOKUP(Tablo520[[#This Row],[ÜRÜN KODU]],YMKODLARI!$A$1:$K$373,3,0)," ")</f>
        <v xml:space="preserve"> </v>
      </c>
      <c r="H97" s="100" t="str">
        <f>IFERROR(VLOOKUP(Tablo520[[#This Row],[ÜRÜN KODU]],YMKODLARI!$A$1:$K$373,4,0)," ")</f>
        <v xml:space="preserve"> </v>
      </c>
      <c r="I97" s="100"/>
      <c r="J97" s="100" t="str">
        <f>IFERROR(VLOOKUP(Tablo520[[#This Row],[ÜRÜN KODU]],YMKODLARI!$A$1:$K$373,9,0)," ")</f>
        <v xml:space="preserve"> </v>
      </c>
      <c r="K97" s="100" t="str">
        <f>IFERROR(VLOOKUP(Tablo520[[#This Row],[BOYA KODU]],Tablo14[#All],4,0)," ")</f>
        <v xml:space="preserve"> </v>
      </c>
      <c r="L97" s="100" t="str">
        <f>IFERROR(VLOOKUP(Tablo520[[#This Row],[BOYA KODU]],Tablo14[#All],6,0)," ")</f>
        <v xml:space="preserve"> </v>
      </c>
      <c r="M97" s="100" t="str">
        <f t="shared" si="7"/>
        <v xml:space="preserve"> </v>
      </c>
      <c r="N97" s="100" t="str">
        <f>IFERROR(VLOOKUP(Tablo520[[#This Row],[ÜRÜN KODU]],YMKODLARI!$A$1:$K$373,8,0)," ")</f>
        <v xml:space="preserve"> </v>
      </c>
      <c r="O97" s="100" t="str">
        <f>IFERROR(VLOOKUP(Tablo520[[#This Row],[HAMMADDE KODU]],Tablo1[#All],3,0)," ")</f>
        <v xml:space="preserve"> </v>
      </c>
      <c r="P97" s="100" t="str">
        <f>IFERROR(VLOOKUP(Tablo520[[#This Row],[HAMMADDE KODU]],Tablo1[#All],4,0)," ")</f>
        <v xml:space="preserve"> </v>
      </c>
      <c r="Q97" s="100" t="str">
        <f>IFERROR(VLOOKUP(Tablo520[[#This Row],[ÜRÜN KODU]],YMKODLARI!$A$1:$K$373,5,0)," ")</f>
        <v xml:space="preserve"> </v>
      </c>
      <c r="R97" s="100" t="str">
        <f>IFERROR(VLOOKUP(Tablo520[[#This Row],[ÜRÜN KODU]],YMKODLARI!$A$1:$K$373,6,0)," ")</f>
        <v xml:space="preserve"> </v>
      </c>
      <c r="S97" s="100" t="str">
        <f>IFERROR(Tablo520[[#This Row],[YOLLUK HARİÇ BASKI GRAMI]]/Tablo520[[#This Row],[KALIP GÖZ ADEDİ]]," ")</f>
        <v xml:space="preserve"> </v>
      </c>
      <c r="T97" s="100" t="str">
        <f t="shared" si="9"/>
        <v xml:space="preserve"> </v>
      </c>
      <c r="U97" s="100"/>
      <c r="V97" s="100" t="str">
        <f t="shared" si="8"/>
        <v xml:space="preserve"> </v>
      </c>
      <c r="W97" s="101">
        <f t="shared" si="10"/>
        <v>24</v>
      </c>
      <c r="X97" s="102">
        <f t="shared" si="11"/>
        <v>0</v>
      </c>
      <c r="Y97" s="100" t="str">
        <f t="shared" si="12"/>
        <v xml:space="preserve"> </v>
      </c>
      <c r="Z97" s="100" t="str">
        <f t="shared" si="13"/>
        <v xml:space="preserve"> </v>
      </c>
    </row>
    <row r="98" spans="1:26">
      <c r="A98" s="100"/>
      <c r="B98" s="100" t="str">
        <f>IFERROR(VLOOKUP(Tablo520[[#This Row],[ÜRÜN KODU]],YMKODLARI!$A$1:$K$373,2,0)," ")</f>
        <v xml:space="preserve"> </v>
      </c>
      <c r="C98" s="99"/>
      <c r="D98" s="100"/>
      <c r="E98" s="101"/>
      <c r="F98" s="101"/>
      <c r="G98" s="100" t="str">
        <f>IFERROR(VLOOKUP(Tablo520[[#This Row],[ÜRÜN KODU]],YMKODLARI!$A$1:$K$373,3,0)," ")</f>
        <v xml:space="preserve"> </v>
      </c>
      <c r="H98" s="100" t="str">
        <f>IFERROR(VLOOKUP(Tablo520[[#This Row],[ÜRÜN KODU]],YMKODLARI!$A$1:$K$373,4,0)," ")</f>
        <v xml:space="preserve"> </v>
      </c>
      <c r="I98" s="100"/>
      <c r="J98" s="100" t="str">
        <f>IFERROR(VLOOKUP(Tablo520[[#This Row],[ÜRÜN KODU]],YMKODLARI!$A$1:$K$373,9,0)," ")</f>
        <v xml:space="preserve"> </v>
      </c>
      <c r="K98" s="100" t="str">
        <f>IFERROR(VLOOKUP(Tablo520[[#This Row],[BOYA KODU]],Tablo14[#All],4,0)," ")</f>
        <v xml:space="preserve"> </v>
      </c>
      <c r="L98" s="100" t="str">
        <f>IFERROR(VLOOKUP(Tablo520[[#This Row],[BOYA KODU]],Tablo14[#All],6,0)," ")</f>
        <v xml:space="preserve"> </v>
      </c>
      <c r="M98" s="100" t="str">
        <f t="shared" si="7"/>
        <v xml:space="preserve"> </v>
      </c>
      <c r="N98" s="100" t="str">
        <f>IFERROR(VLOOKUP(Tablo520[[#This Row],[ÜRÜN KODU]],YMKODLARI!$A$1:$K$373,8,0)," ")</f>
        <v xml:space="preserve"> </v>
      </c>
      <c r="O98" s="100" t="str">
        <f>IFERROR(VLOOKUP(Tablo520[[#This Row],[HAMMADDE KODU]],Tablo1[#All],3,0)," ")</f>
        <v xml:space="preserve"> </v>
      </c>
      <c r="P98" s="100" t="str">
        <f>IFERROR(VLOOKUP(Tablo520[[#This Row],[HAMMADDE KODU]],Tablo1[#All],4,0)," ")</f>
        <v xml:space="preserve"> </v>
      </c>
      <c r="Q98" s="100" t="str">
        <f>IFERROR(VLOOKUP(Tablo520[[#This Row],[ÜRÜN KODU]],YMKODLARI!$A$1:$K$373,5,0)," ")</f>
        <v xml:space="preserve"> </v>
      </c>
      <c r="R98" s="100" t="str">
        <f>IFERROR(VLOOKUP(Tablo520[[#This Row],[ÜRÜN KODU]],YMKODLARI!$A$1:$K$373,6,0)," ")</f>
        <v xml:space="preserve"> </v>
      </c>
      <c r="S98" s="100" t="str">
        <f>IFERROR(Tablo520[[#This Row],[YOLLUK HARİÇ BASKI GRAMI]]/Tablo520[[#This Row],[KALIP GÖZ ADEDİ]]," ")</f>
        <v xml:space="preserve"> </v>
      </c>
      <c r="T98" s="100" t="str">
        <f t="shared" si="9"/>
        <v xml:space="preserve"> </v>
      </c>
      <c r="U98" s="100"/>
      <c r="V98" s="100" t="str">
        <f t="shared" si="8"/>
        <v xml:space="preserve"> </v>
      </c>
      <c r="W98" s="101">
        <f t="shared" si="10"/>
        <v>24</v>
      </c>
      <c r="X98" s="102">
        <f t="shared" si="11"/>
        <v>0</v>
      </c>
      <c r="Y98" s="100" t="str">
        <f t="shared" si="12"/>
        <v xml:space="preserve"> </v>
      </c>
      <c r="Z98" s="100" t="str">
        <f t="shared" si="13"/>
        <v xml:space="preserve"> </v>
      </c>
    </row>
    <row r="99" spans="1:26">
      <c r="A99" s="100"/>
      <c r="B99" s="100" t="str">
        <f>IFERROR(VLOOKUP(Tablo520[[#This Row],[ÜRÜN KODU]],YMKODLARI!$A$1:$K$373,2,0)," ")</f>
        <v xml:space="preserve"> </v>
      </c>
      <c r="C99" s="99"/>
      <c r="D99" s="100"/>
      <c r="E99" s="101"/>
      <c r="F99" s="101"/>
      <c r="G99" s="100" t="str">
        <f>IFERROR(VLOOKUP(Tablo520[[#This Row],[ÜRÜN KODU]],YMKODLARI!$A$1:$K$373,3,0)," ")</f>
        <v xml:space="preserve"> </v>
      </c>
      <c r="H99" s="100" t="str">
        <f>IFERROR(VLOOKUP(Tablo520[[#This Row],[ÜRÜN KODU]],YMKODLARI!$A$1:$K$373,4,0)," ")</f>
        <v xml:space="preserve"> </v>
      </c>
      <c r="I99" s="100"/>
      <c r="J99" s="100" t="str">
        <f>IFERROR(VLOOKUP(Tablo520[[#This Row],[ÜRÜN KODU]],YMKODLARI!$A$1:$K$373,9,0)," ")</f>
        <v xml:space="preserve"> </v>
      </c>
      <c r="K99" s="100" t="str">
        <f>IFERROR(VLOOKUP(Tablo520[[#This Row],[BOYA KODU]],Tablo14[#All],4,0)," ")</f>
        <v xml:space="preserve"> </v>
      </c>
      <c r="L99" s="100" t="str">
        <f>IFERROR(VLOOKUP(Tablo520[[#This Row],[BOYA KODU]],Tablo14[#All],6,0)," ")</f>
        <v xml:space="preserve"> </v>
      </c>
      <c r="M99" s="100" t="str">
        <f t="shared" si="7"/>
        <v xml:space="preserve"> </v>
      </c>
      <c r="N99" s="100" t="str">
        <f>IFERROR(VLOOKUP(Tablo520[[#This Row],[ÜRÜN KODU]],YMKODLARI!$A$1:$K$373,8,0)," ")</f>
        <v xml:space="preserve"> </v>
      </c>
      <c r="O99" s="100" t="str">
        <f>IFERROR(VLOOKUP(Tablo520[[#This Row],[HAMMADDE KODU]],Tablo1[#All],3,0)," ")</f>
        <v xml:space="preserve"> </v>
      </c>
      <c r="P99" s="100" t="str">
        <f>IFERROR(VLOOKUP(Tablo520[[#This Row],[HAMMADDE KODU]],Tablo1[#All],4,0)," ")</f>
        <v xml:space="preserve"> </v>
      </c>
      <c r="Q99" s="100" t="str">
        <f>IFERROR(VLOOKUP(Tablo520[[#This Row],[ÜRÜN KODU]],YMKODLARI!$A$1:$K$373,5,0)," ")</f>
        <v xml:space="preserve"> </v>
      </c>
      <c r="R99" s="100" t="str">
        <f>IFERROR(VLOOKUP(Tablo520[[#This Row],[ÜRÜN KODU]],YMKODLARI!$A$1:$K$373,6,0)," ")</f>
        <v xml:space="preserve"> </v>
      </c>
      <c r="S99" s="100" t="str">
        <f>IFERROR(Tablo520[[#This Row],[YOLLUK HARİÇ BASKI GRAMI]]/Tablo520[[#This Row],[KALIP GÖZ ADEDİ]]," ")</f>
        <v xml:space="preserve"> </v>
      </c>
      <c r="T99" s="100" t="str">
        <f t="shared" si="9"/>
        <v xml:space="preserve"> </v>
      </c>
      <c r="U99" s="100"/>
      <c r="V99" s="100" t="str">
        <f t="shared" si="8"/>
        <v xml:space="preserve"> </v>
      </c>
      <c r="W99" s="101">
        <f t="shared" si="10"/>
        <v>24</v>
      </c>
      <c r="X99" s="102">
        <f t="shared" si="11"/>
        <v>0</v>
      </c>
      <c r="Y99" s="100" t="str">
        <f t="shared" si="12"/>
        <v xml:space="preserve"> </v>
      </c>
      <c r="Z99" s="100" t="str">
        <f t="shared" si="13"/>
        <v xml:space="preserve"> </v>
      </c>
    </row>
    <row r="100" spans="1:26">
      <c r="A100" s="100"/>
      <c r="B100" s="100" t="str">
        <f>IFERROR(VLOOKUP(Tablo520[[#This Row],[ÜRÜN KODU]],YMKODLARI!$A$1:$K$373,2,0)," ")</f>
        <v xml:space="preserve"> </v>
      </c>
      <c r="C100" s="99"/>
      <c r="D100" s="100"/>
      <c r="E100" s="101"/>
      <c r="F100" s="101"/>
      <c r="G100" s="100" t="str">
        <f>IFERROR(VLOOKUP(Tablo520[[#This Row],[ÜRÜN KODU]],YMKODLARI!$A$1:$K$373,3,0)," ")</f>
        <v xml:space="preserve"> </v>
      </c>
      <c r="H100" s="100" t="str">
        <f>IFERROR(VLOOKUP(Tablo520[[#This Row],[ÜRÜN KODU]],YMKODLARI!$A$1:$K$373,4,0)," ")</f>
        <v xml:space="preserve"> </v>
      </c>
      <c r="I100" s="100"/>
      <c r="J100" s="100" t="str">
        <f>IFERROR(VLOOKUP(Tablo520[[#This Row],[ÜRÜN KODU]],YMKODLARI!$A$1:$K$373,9,0)," ")</f>
        <v xml:space="preserve"> </v>
      </c>
      <c r="K100" s="100" t="str">
        <f>IFERROR(VLOOKUP(Tablo520[[#This Row],[BOYA KODU]],Tablo14[#All],4,0)," ")</f>
        <v xml:space="preserve"> </v>
      </c>
      <c r="L100" s="100" t="str">
        <f>IFERROR(VLOOKUP(Tablo520[[#This Row],[BOYA KODU]],Tablo14[#All],6,0)," ")</f>
        <v xml:space="preserve"> </v>
      </c>
      <c r="M100" s="100" t="str">
        <f t="shared" si="7"/>
        <v xml:space="preserve"> </v>
      </c>
      <c r="N100" s="100" t="str">
        <f>IFERROR(VLOOKUP(Tablo520[[#This Row],[ÜRÜN KODU]],YMKODLARI!$A$1:$K$373,8,0)," ")</f>
        <v xml:space="preserve"> </v>
      </c>
      <c r="O100" s="100" t="str">
        <f>IFERROR(VLOOKUP(Tablo520[[#This Row],[HAMMADDE KODU]],Tablo1[#All],3,0)," ")</f>
        <v xml:space="preserve"> </v>
      </c>
      <c r="P100" s="100" t="str">
        <f>IFERROR(VLOOKUP(Tablo520[[#This Row],[HAMMADDE KODU]],Tablo1[#All],4,0)," ")</f>
        <v xml:space="preserve"> </v>
      </c>
      <c r="Q100" s="100" t="str">
        <f>IFERROR(VLOOKUP(Tablo520[[#This Row],[ÜRÜN KODU]],YMKODLARI!$A$1:$K$373,5,0)," ")</f>
        <v xml:space="preserve"> </v>
      </c>
      <c r="R100" s="100" t="str">
        <f>IFERROR(VLOOKUP(Tablo520[[#This Row],[ÜRÜN KODU]],YMKODLARI!$A$1:$K$373,6,0)," ")</f>
        <v xml:space="preserve"> </v>
      </c>
      <c r="S100" s="100" t="str">
        <f>IFERROR(Tablo520[[#This Row],[YOLLUK HARİÇ BASKI GRAMI]]/Tablo520[[#This Row],[KALIP GÖZ ADEDİ]]," ")</f>
        <v xml:space="preserve"> </v>
      </c>
      <c r="T100" s="100" t="str">
        <f t="shared" si="9"/>
        <v xml:space="preserve"> </v>
      </c>
      <c r="U100" s="100"/>
      <c r="V100" s="100" t="str">
        <f t="shared" si="8"/>
        <v xml:space="preserve"> </v>
      </c>
      <c r="W100" s="101">
        <f t="shared" si="10"/>
        <v>24</v>
      </c>
      <c r="X100" s="102">
        <f t="shared" si="11"/>
        <v>0</v>
      </c>
      <c r="Y100" s="100" t="str">
        <f t="shared" si="12"/>
        <v xml:space="preserve"> </v>
      </c>
      <c r="Z100" s="100" t="str">
        <f t="shared" si="13"/>
        <v xml:space="preserve"> </v>
      </c>
    </row>
    <row r="101" spans="1:26">
      <c r="A101" s="100"/>
      <c r="B101" s="100" t="str">
        <f>IFERROR(VLOOKUP(Tablo520[[#This Row],[ÜRÜN KODU]],YMKODLARI!$A$1:$K$373,2,0)," ")</f>
        <v xml:space="preserve"> </v>
      </c>
      <c r="C101" s="99"/>
      <c r="D101" s="100"/>
      <c r="E101" s="101"/>
      <c r="F101" s="101"/>
      <c r="G101" s="100" t="str">
        <f>IFERROR(VLOOKUP(Tablo520[[#This Row],[ÜRÜN KODU]],YMKODLARI!$A$1:$K$373,3,0)," ")</f>
        <v xml:space="preserve"> </v>
      </c>
      <c r="H101" s="100" t="str">
        <f>IFERROR(VLOOKUP(Tablo520[[#This Row],[ÜRÜN KODU]],YMKODLARI!$A$1:$K$373,4,0)," ")</f>
        <v xml:space="preserve"> </v>
      </c>
      <c r="I101" s="100"/>
      <c r="J101" s="100" t="str">
        <f>IFERROR(VLOOKUP(Tablo520[[#This Row],[ÜRÜN KODU]],YMKODLARI!$A$1:$K$373,9,0)," ")</f>
        <v xml:space="preserve"> </v>
      </c>
      <c r="K101" s="100" t="str">
        <f>IFERROR(VLOOKUP(Tablo520[[#This Row],[BOYA KODU]],Tablo14[#All],4,0)," ")</f>
        <v xml:space="preserve"> </v>
      </c>
      <c r="L101" s="100" t="str">
        <f>IFERROR(VLOOKUP(Tablo520[[#This Row],[BOYA KODU]],Tablo14[#All],6,0)," ")</f>
        <v xml:space="preserve"> </v>
      </c>
      <c r="M101" s="100" t="str">
        <f t="shared" si="7"/>
        <v xml:space="preserve"> </v>
      </c>
      <c r="N101" s="100" t="str">
        <f>IFERROR(VLOOKUP(Tablo520[[#This Row],[ÜRÜN KODU]],YMKODLARI!$A$1:$K$373,8,0)," ")</f>
        <v xml:space="preserve"> </v>
      </c>
      <c r="O101" s="100" t="str">
        <f>IFERROR(VLOOKUP(Tablo520[[#This Row],[HAMMADDE KODU]],Tablo1[#All],3,0)," ")</f>
        <v xml:space="preserve"> </v>
      </c>
      <c r="P101" s="100" t="str">
        <f>IFERROR(VLOOKUP(Tablo520[[#This Row],[HAMMADDE KODU]],Tablo1[#All],4,0)," ")</f>
        <v xml:space="preserve"> </v>
      </c>
      <c r="Q101" s="100" t="str">
        <f>IFERROR(VLOOKUP(Tablo520[[#This Row],[ÜRÜN KODU]],YMKODLARI!$A$1:$K$373,5,0)," ")</f>
        <v xml:space="preserve"> </v>
      </c>
      <c r="R101" s="100" t="str">
        <f>IFERROR(VLOOKUP(Tablo520[[#This Row],[ÜRÜN KODU]],YMKODLARI!$A$1:$K$373,6,0)," ")</f>
        <v xml:space="preserve"> </v>
      </c>
      <c r="S101" s="100" t="str">
        <f>IFERROR(Tablo520[[#This Row],[YOLLUK HARİÇ BASKI GRAMI]]/Tablo520[[#This Row],[KALIP GÖZ ADEDİ]]," ")</f>
        <v xml:space="preserve"> </v>
      </c>
      <c r="T101" s="100" t="str">
        <f t="shared" si="9"/>
        <v xml:space="preserve"> </v>
      </c>
      <c r="U101" s="100"/>
      <c r="V101" s="100" t="str">
        <f t="shared" si="8"/>
        <v xml:space="preserve"> </v>
      </c>
      <c r="W101" s="101">
        <f t="shared" si="10"/>
        <v>24</v>
      </c>
      <c r="X101" s="102">
        <f t="shared" si="11"/>
        <v>0</v>
      </c>
      <c r="Y101" s="100" t="str">
        <f t="shared" si="12"/>
        <v xml:space="preserve"> </v>
      </c>
      <c r="Z101" s="100" t="str">
        <f t="shared" si="13"/>
        <v xml:space="preserve"> </v>
      </c>
    </row>
    <row r="102" spans="1:26">
      <c r="A102" s="100"/>
      <c r="B102" s="100" t="str">
        <f>IFERROR(VLOOKUP(Tablo520[[#This Row],[ÜRÜN KODU]],YMKODLARI!$A$1:$K$373,2,0)," ")</f>
        <v xml:space="preserve"> </v>
      </c>
      <c r="C102" s="99"/>
      <c r="D102" s="100"/>
      <c r="E102" s="101"/>
      <c r="F102" s="101"/>
      <c r="G102" s="100" t="str">
        <f>IFERROR(VLOOKUP(Tablo520[[#This Row],[ÜRÜN KODU]],YMKODLARI!$A$1:$K$373,3,0)," ")</f>
        <v xml:space="preserve"> </v>
      </c>
      <c r="H102" s="100" t="str">
        <f>IFERROR(VLOOKUP(Tablo520[[#This Row],[ÜRÜN KODU]],YMKODLARI!$A$1:$K$373,4,0)," ")</f>
        <v xml:space="preserve"> </v>
      </c>
      <c r="I102" s="100"/>
      <c r="J102" s="100" t="str">
        <f>IFERROR(VLOOKUP(Tablo520[[#This Row],[ÜRÜN KODU]],YMKODLARI!$A$1:$K$373,9,0)," ")</f>
        <v xml:space="preserve"> </v>
      </c>
      <c r="K102" s="100" t="str">
        <f>IFERROR(VLOOKUP(Tablo520[[#This Row],[BOYA KODU]],Tablo14[#All],4,0)," ")</f>
        <v xml:space="preserve"> </v>
      </c>
      <c r="L102" s="100" t="str">
        <f>IFERROR(VLOOKUP(Tablo520[[#This Row],[BOYA KODU]],Tablo14[#All],6,0)," ")</f>
        <v xml:space="preserve"> </v>
      </c>
      <c r="M102" s="100" t="str">
        <f t="shared" si="7"/>
        <v xml:space="preserve"> </v>
      </c>
      <c r="N102" s="100" t="str">
        <f>IFERROR(VLOOKUP(Tablo520[[#This Row],[ÜRÜN KODU]],YMKODLARI!$A$1:$K$373,8,0)," ")</f>
        <v xml:space="preserve"> </v>
      </c>
      <c r="O102" s="100" t="str">
        <f>IFERROR(VLOOKUP(Tablo520[[#This Row],[HAMMADDE KODU]],Tablo1[#All],3,0)," ")</f>
        <v xml:space="preserve"> </v>
      </c>
      <c r="P102" s="100" t="str">
        <f>IFERROR(VLOOKUP(Tablo520[[#This Row],[HAMMADDE KODU]],Tablo1[#All],4,0)," ")</f>
        <v xml:space="preserve"> </v>
      </c>
      <c r="Q102" s="100" t="str">
        <f>IFERROR(VLOOKUP(Tablo520[[#This Row],[ÜRÜN KODU]],YMKODLARI!$A$1:$K$373,5,0)," ")</f>
        <v xml:space="preserve"> </v>
      </c>
      <c r="R102" s="100" t="str">
        <f>IFERROR(VLOOKUP(Tablo520[[#This Row],[ÜRÜN KODU]],YMKODLARI!$A$1:$K$373,6,0)," ")</f>
        <v xml:space="preserve"> </v>
      </c>
      <c r="S102" s="100" t="str">
        <f>IFERROR(Tablo520[[#This Row],[YOLLUK HARİÇ BASKI GRAMI]]/Tablo520[[#This Row],[KALIP GÖZ ADEDİ]]," ")</f>
        <v xml:space="preserve"> </v>
      </c>
      <c r="T102" s="100" t="str">
        <f t="shared" si="9"/>
        <v xml:space="preserve"> </v>
      </c>
      <c r="U102" s="100"/>
      <c r="V102" s="100" t="str">
        <f t="shared" si="8"/>
        <v xml:space="preserve"> </v>
      </c>
      <c r="W102" s="101">
        <f t="shared" si="10"/>
        <v>24</v>
      </c>
      <c r="X102" s="102">
        <f t="shared" si="11"/>
        <v>0</v>
      </c>
      <c r="Y102" s="100" t="str">
        <f t="shared" si="12"/>
        <v xml:space="preserve"> </v>
      </c>
      <c r="Z102" s="100" t="str">
        <f t="shared" si="13"/>
        <v xml:space="preserve"> </v>
      </c>
    </row>
    <row r="103" spans="1:26">
      <c r="A103" s="100"/>
      <c r="B103" s="100" t="str">
        <f>IFERROR(VLOOKUP(Tablo520[[#This Row],[ÜRÜN KODU]],YMKODLARI!$A$1:$K$373,2,0)," ")</f>
        <v xml:space="preserve"> </v>
      </c>
      <c r="C103" s="99"/>
      <c r="D103" s="100"/>
      <c r="E103" s="101"/>
      <c r="F103" s="101"/>
      <c r="G103" s="100" t="str">
        <f>IFERROR(VLOOKUP(Tablo520[[#This Row],[ÜRÜN KODU]],YMKODLARI!$A$1:$K$373,3,0)," ")</f>
        <v xml:space="preserve"> </v>
      </c>
      <c r="H103" s="100" t="str">
        <f>IFERROR(VLOOKUP(Tablo520[[#This Row],[ÜRÜN KODU]],YMKODLARI!$A$1:$K$373,4,0)," ")</f>
        <v xml:space="preserve"> </v>
      </c>
      <c r="I103" s="100"/>
      <c r="J103" s="100" t="str">
        <f>IFERROR(VLOOKUP(Tablo520[[#This Row],[ÜRÜN KODU]],YMKODLARI!$A$1:$K$373,9,0)," ")</f>
        <v xml:space="preserve"> </v>
      </c>
      <c r="K103" s="100" t="str">
        <f>IFERROR(VLOOKUP(Tablo520[[#This Row],[BOYA KODU]],Tablo14[#All],4,0)," ")</f>
        <v xml:space="preserve"> </v>
      </c>
      <c r="L103" s="100" t="str">
        <f>IFERROR(VLOOKUP(Tablo520[[#This Row],[BOYA KODU]],Tablo14[#All],6,0)," ")</f>
        <v xml:space="preserve"> </v>
      </c>
      <c r="M103" s="100" t="str">
        <f t="shared" si="7"/>
        <v xml:space="preserve"> </v>
      </c>
      <c r="N103" s="100" t="str">
        <f>IFERROR(VLOOKUP(Tablo520[[#This Row],[ÜRÜN KODU]],YMKODLARI!$A$1:$K$373,8,0)," ")</f>
        <v xml:space="preserve"> </v>
      </c>
      <c r="O103" s="100" t="str">
        <f>IFERROR(VLOOKUP(Tablo520[[#This Row],[HAMMADDE KODU]],Tablo1[#All],3,0)," ")</f>
        <v xml:space="preserve"> </v>
      </c>
      <c r="P103" s="100" t="str">
        <f>IFERROR(VLOOKUP(Tablo520[[#This Row],[HAMMADDE KODU]],Tablo1[#All],4,0)," ")</f>
        <v xml:space="preserve"> </v>
      </c>
      <c r="Q103" s="100" t="str">
        <f>IFERROR(VLOOKUP(Tablo520[[#This Row],[ÜRÜN KODU]],YMKODLARI!$A$1:$K$373,5,0)," ")</f>
        <v xml:space="preserve"> </v>
      </c>
      <c r="R103" s="100" t="str">
        <f>IFERROR(VLOOKUP(Tablo520[[#This Row],[ÜRÜN KODU]],YMKODLARI!$A$1:$K$373,6,0)," ")</f>
        <v xml:space="preserve"> </v>
      </c>
      <c r="S103" s="100" t="str">
        <f>IFERROR(Tablo520[[#This Row],[YOLLUK HARİÇ BASKI GRAMI]]/Tablo520[[#This Row],[KALIP GÖZ ADEDİ]]," ")</f>
        <v xml:space="preserve"> </v>
      </c>
      <c r="T103" s="100" t="str">
        <f t="shared" si="9"/>
        <v xml:space="preserve"> </v>
      </c>
      <c r="U103" s="100"/>
      <c r="V103" s="100" t="str">
        <f t="shared" si="8"/>
        <v xml:space="preserve"> </v>
      </c>
      <c r="W103" s="101">
        <f t="shared" si="10"/>
        <v>24</v>
      </c>
      <c r="X103" s="102">
        <f t="shared" si="11"/>
        <v>0</v>
      </c>
      <c r="Y103" s="100" t="str">
        <f t="shared" si="12"/>
        <v xml:space="preserve"> </v>
      </c>
      <c r="Z103" s="100" t="str">
        <f t="shared" si="13"/>
        <v xml:space="preserve"> </v>
      </c>
    </row>
    <row r="104" spans="1:26">
      <c r="A104" s="100"/>
      <c r="B104" s="100" t="str">
        <f>IFERROR(VLOOKUP(Tablo520[[#This Row],[ÜRÜN KODU]],YMKODLARI!$A$1:$K$373,2,0)," ")</f>
        <v xml:space="preserve"> </v>
      </c>
      <c r="C104" s="99"/>
      <c r="D104" s="100"/>
      <c r="E104" s="101"/>
      <c r="F104" s="101"/>
      <c r="G104" s="100" t="str">
        <f>IFERROR(VLOOKUP(Tablo520[[#This Row],[ÜRÜN KODU]],YMKODLARI!$A$1:$K$373,3,0)," ")</f>
        <v xml:space="preserve"> </v>
      </c>
      <c r="H104" s="100" t="str">
        <f>IFERROR(VLOOKUP(Tablo520[[#This Row],[ÜRÜN KODU]],YMKODLARI!$A$1:$K$373,4,0)," ")</f>
        <v xml:space="preserve"> </v>
      </c>
      <c r="I104" s="100"/>
      <c r="J104" s="100" t="str">
        <f>IFERROR(VLOOKUP(Tablo520[[#This Row],[ÜRÜN KODU]],YMKODLARI!$A$1:$K$373,9,0)," ")</f>
        <v xml:space="preserve"> </v>
      </c>
      <c r="K104" s="100" t="str">
        <f>IFERROR(VLOOKUP(Tablo520[[#This Row],[BOYA KODU]],Tablo14[#All],4,0)," ")</f>
        <v xml:space="preserve"> </v>
      </c>
      <c r="L104" s="100" t="str">
        <f>IFERROR(VLOOKUP(Tablo520[[#This Row],[BOYA KODU]],Tablo14[#All],6,0)," ")</f>
        <v xml:space="preserve"> </v>
      </c>
      <c r="M104" s="100" t="str">
        <f t="shared" si="7"/>
        <v xml:space="preserve"> </v>
      </c>
      <c r="N104" s="100" t="str">
        <f>IFERROR(VLOOKUP(Tablo520[[#This Row],[ÜRÜN KODU]],YMKODLARI!$A$1:$K$373,8,0)," ")</f>
        <v xml:space="preserve"> </v>
      </c>
      <c r="O104" s="100" t="str">
        <f>IFERROR(VLOOKUP(Tablo520[[#This Row],[HAMMADDE KODU]],Tablo1[#All],3,0)," ")</f>
        <v xml:space="preserve"> </v>
      </c>
      <c r="P104" s="100" t="str">
        <f>IFERROR(VLOOKUP(Tablo520[[#This Row],[HAMMADDE KODU]],Tablo1[#All],4,0)," ")</f>
        <v xml:space="preserve"> </v>
      </c>
      <c r="Q104" s="100" t="str">
        <f>IFERROR(VLOOKUP(Tablo520[[#This Row],[ÜRÜN KODU]],YMKODLARI!$A$1:$K$373,5,0)," ")</f>
        <v xml:space="preserve"> </v>
      </c>
      <c r="R104" s="100" t="str">
        <f>IFERROR(VLOOKUP(Tablo520[[#This Row],[ÜRÜN KODU]],YMKODLARI!$A$1:$K$373,6,0)," ")</f>
        <v xml:space="preserve"> </v>
      </c>
      <c r="S104" s="100" t="str">
        <f>IFERROR(Tablo520[[#This Row],[YOLLUK HARİÇ BASKI GRAMI]]/Tablo520[[#This Row],[KALIP GÖZ ADEDİ]]," ")</f>
        <v xml:space="preserve"> </v>
      </c>
      <c r="T104" s="100" t="str">
        <f t="shared" si="9"/>
        <v xml:space="preserve"> </v>
      </c>
      <c r="U104" s="100"/>
      <c r="V104" s="100" t="str">
        <f t="shared" si="8"/>
        <v xml:space="preserve"> </v>
      </c>
      <c r="W104" s="101">
        <f t="shared" si="10"/>
        <v>24</v>
      </c>
      <c r="X104" s="102">
        <f t="shared" si="11"/>
        <v>0</v>
      </c>
      <c r="Y104" s="100" t="str">
        <f t="shared" si="12"/>
        <v xml:space="preserve"> </v>
      </c>
      <c r="Z104" s="100" t="str">
        <f t="shared" si="13"/>
        <v xml:space="preserve"> </v>
      </c>
    </row>
    <row r="105" spans="1:26">
      <c r="A105" s="100"/>
      <c r="B105" s="100" t="str">
        <f>IFERROR(VLOOKUP(Tablo520[[#This Row],[ÜRÜN KODU]],YMKODLARI!$A$1:$K$373,2,0)," ")</f>
        <v xml:space="preserve"> </v>
      </c>
      <c r="C105" s="99"/>
      <c r="D105" s="100"/>
      <c r="E105" s="101"/>
      <c r="F105" s="101"/>
      <c r="G105" s="100" t="str">
        <f>IFERROR(VLOOKUP(Tablo520[[#This Row],[ÜRÜN KODU]],YMKODLARI!$A$1:$K$373,3,0)," ")</f>
        <v xml:space="preserve"> </v>
      </c>
      <c r="H105" s="100" t="str">
        <f>IFERROR(VLOOKUP(Tablo520[[#This Row],[ÜRÜN KODU]],YMKODLARI!$A$1:$K$373,4,0)," ")</f>
        <v xml:space="preserve"> </v>
      </c>
      <c r="I105" s="100"/>
      <c r="J105" s="100" t="str">
        <f>IFERROR(VLOOKUP(Tablo520[[#This Row],[ÜRÜN KODU]],YMKODLARI!$A$1:$K$373,9,0)," ")</f>
        <v xml:space="preserve"> </v>
      </c>
      <c r="K105" s="100" t="str">
        <f>IFERROR(VLOOKUP(Tablo520[[#This Row],[BOYA KODU]],Tablo14[#All],4,0)," ")</f>
        <v xml:space="preserve"> </v>
      </c>
      <c r="L105" s="100" t="str">
        <f>IFERROR(VLOOKUP(Tablo520[[#This Row],[BOYA KODU]],Tablo14[#All],6,0)," ")</f>
        <v xml:space="preserve"> </v>
      </c>
      <c r="M105" s="100" t="str">
        <f t="shared" si="7"/>
        <v xml:space="preserve"> </v>
      </c>
      <c r="N105" s="100" t="str">
        <f>IFERROR(VLOOKUP(Tablo520[[#This Row],[ÜRÜN KODU]],YMKODLARI!$A$1:$K$373,8,0)," ")</f>
        <v xml:space="preserve"> </v>
      </c>
      <c r="O105" s="100" t="str">
        <f>IFERROR(VLOOKUP(Tablo520[[#This Row],[HAMMADDE KODU]],Tablo1[#All],3,0)," ")</f>
        <v xml:space="preserve"> </v>
      </c>
      <c r="P105" s="100" t="str">
        <f>IFERROR(VLOOKUP(Tablo520[[#This Row],[HAMMADDE KODU]],Tablo1[#All],4,0)," ")</f>
        <v xml:space="preserve"> </v>
      </c>
      <c r="Q105" s="100" t="str">
        <f>IFERROR(VLOOKUP(Tablo520[[#This Row],[ÜRÜN KODU]],YMKODLARI!$A$1:$K$373,5,0)," ")</f>
        <v xml:space="preserve"> </v>
      </c>
      <c r="R105" s="100" t="str">
        <f>IFERROR(VLOOKUP(Tablo520[[#This Row],[ÜRÜN KODU]],YMKODLARI!$A$1:$K$373,6,0)," ")</f>
        <v xml:space="preserve"> </v>
      </c>
      <c r="S105" s="100" t="str">
        <f>IFERROR(Tablo520[[#This Row],[YOLLUK HARİÇ BASKI GRAMI]]/Tablo520[[#This Row],[KALIP GÖZ ADEDİ]]," ")</f>
        <v xml:space="preserve"> </v>
      </c>
      <c r="T105" s="100" t="str">
        <f t="shared" si="9"/>
        <v xml:space="preserve"> </v>
      </c>
      <c r="U105" s="100"/>
      <c r="V105" s="100" t="str">
        <f t="shared" si="8"/>
        <v xml:space="preserve"> </v>
      </c>
      <c r="W105" s="101">
        <f t="shared" si="10"/>
        <v>24</v>
      </c>
      <c r="X105" s="102">
        <f t="shared" si="11"/>
        <v>0</v>
      </c>
      <c r="Y105" s="100" t="str">
        <f t="shared" si="12"/>
        <v xml:space="preserve"> </v>
      </c>
      <c r="Z105" s="100" t="str">
        <f t="shared" si="13"/>
        <v xml:space="preserve"> </v>
      </c>
    </row>
    <row r="106" spans="1:26">
      <c r="A106" s="100"/>
      <c r="B106" s="100" t="str">
        <f>IFERROR(VLOOKUP(Tablo520[[#This Row],[ÜRÜN KODU]],YMKODLARI!$A$1:$K$373,2,0)," ")</f>
        <v xml:space="preserve"> </v>
      </c>
      <c r="C106" s="99"/>
      <c r="D106" s="100"/>
      <c r="E106" s="101"/>
      <c r="F106" s="101"/>
      <c r="G106" s="100" t="str">
        <f>IFERROR(VLOOKUP(Tablo520[[#This Row],[ÜRÜN KODU]],YMKODLARI!$A$1:$K$373,3,0)," ")</f>
        <v xml:space="preserve"> </v>
      </c>
      <c r="H106" s="100" t="str">
        <f>IFERROR(VLOOKUP(Tablo520[[#This Row],[ÜRÜN KODU]],YMKODLARI!$A$1:$K$373,4,0)," ")</f>
        <v xml:space="preserve"> </v>
      </c>
      <c r="I106" s="100"/>
      <c r="J106" s="100" t="str">
        <f>IFERROR(VLOOKUP(Tablo520[[#This Row],[ÜRÜN KODU]],YMKODLARI!$A$1:$K$373,9,0)," ")</f>
        <v xml:space="preserve"> </v>
      </c>
      <c r="K106" s="100" t="str">
        <f>IFERROR(VLOOKUP(Tablo520[[#This Row],[BOYA KODU]],Tablo14[#All],4,0)," ")</f>
        <v xml:space="preserve"> </v>
      </c>
      <c r="L106" s="100" t="str">
        <f>IFERROR(VLOOKUP(Tablo520[[#This Row],[BOYA KODU]],Tablo14[#All],6,0)," ")</f>
        <v xml:space="preserve"> </v>
      </c>
      <c r="M106" s="100" t="str">
        <f t="shared" si="7"/>
        <v xml:space="preserve"> </v>
      </c>
      <c r="N106" s="100" t="str">
        <f>IFERROR(VLOOKUP(Tablo520[[#This Row],[ÜRÜN KODU]],YMKODLARI!$A$1:$K$373,8,0)," ")</f>
        <v xml:space="preserve"> </v>
      </c>
      <c r="O106" s="100" t="str">
        <f>IFERROR(VLOOKUP(Tablo520[[#This Row],[HAMMADDE KODU]],Tablo1[#All],3,0)," ")</f>
        <v xml:space="preserve"> </v>
      </c>
      <c r="P106" s="100" t="str">
        <f>IFERROR(VLOOKUP(Tablo520[[#This Row],[HAMMADDE KODU]],Tablo1[#All],4,0)," ")</f>
        <v xml:space="preserve"> </v>
      </c>
      <c r="Q106" s="100" t="str">
        <f>IFERROR(VLOOKUP(Tablo520[[#This Row],[ÜRÜN KODU]],YMKODLARI!$A$1:$K$373,5,0)," ")</f>
        <v xml:space="preserve"> </v>
      </c>
      <c r="R106" s="100" t="str">
        <f>IFERROR(VLOOKUP(Tablo520[[#This Row],[ÜRÜN KODU]],YMKODLARI!$A$1:$K$373,6,0)," ")</f>
        <v xml:space="preserve"> </v>
      </c>
      <c r="S106" s="100" t="str">
        <f>IFERROR(Tablo520[[#This Row],[YOLLUK HARİÇ BASKI GRAMI]]/Tablo520[[#This Row],[KALIP GÖZ ADEDİ]]," ")</f>
        <v xml:space="preserve"> </v>
      </c>
      <c r="T106" s="100" t="str">
        <f t="shared" si="9"/>
        <v xml:space="preserve"> </v>
      </c>
      <c r="U106" s="100"/>
      <c r="V106" s="100" t="str">
        <f t="shared" si="8"/>
        <v xml:space="preserve"> </v>
      </c>
      <c r="W106" s="101">
        <f t="shared" si="10"/>
        <v>24</v>
      </c>
      <c r="X106" s="102">
        <f t="shared" si="11"/>
        <v>0</v>
      </c>
      <c r="Y106" s="100" t="str">
        <f t="shared" si="12"/>
        <v xml:space="preserve"> </v>
      </c>
      <c r="Z106" s="100" t="str">
        <f t="shared" si="13"/>
        <v xml:space="preserve"> </v>
      </c>
    </row>
    <row r="107" spans="1:26">
      <c r="A107" s="100"/>
      <c r="B107" s="100" t="str">
        <f>IFERROR(VLOOKUP(Tablo520[[#This Row],[ÜRÜN KODU]],YMKODLARI!$A$1:$K$373,2,0)," ")</f>
        <v xml:space="preserve"> </v>
      </c>
      <c r="C107" s="99"/>
      <c r="D107" s="100"/>
      <c r="E107" s="101"/>
      <c r="F107" s="101"/>
      <c r="G107" s="100" t="str">
        <f>IFERROR(VLOOKUP(Tablo520[[#This Row],[ÜRÜN KODU]],YMKODLARI!$A$1:$K$373,3,0)," ")</f>
        <v xml:space="preserve"> </v>
      </c>
      <c r="H107" s="100" t="str">
        <f>IFERROR(VLOOKUP(Tablo520[[#This Row],[ÜRÜN KODU]],YMKODLARI!$A$1:$K$373,4,0)," ")</f>
        <v xml:space="preserve"> </v>
      </c>
      <c r="I107" s="100"/>
      <c r="J107" s="100" t="str">
        <f>IFERROR(VLOOKUP(Tablo520[[#This Row],[ÜRÜN KODU]],YMKODLARI!$A$1:$K$373,9,0)," ")</f>
        <v xml:space="preserve"> </v>
      </c>
      <c r="K107" s="100" t="str">
        <f>IFERROR(VLOOKUP(Tablo520[[#This Row],[BOYA KODU]],Tablo14[#All],4,0)," ")</f>
        <v xml:space="preserve"> </v>
      </c>
      <c r="L107" s="100" t="str">
        <f>IFERROR(VLOOKUP(Tablo520[[#This Row],[BOYA KODU]],Tablo14[#All],6,0)," ")</f>
        <v xml:space="preserve"> </v>
      </c>
      <c r="M107" s="100" t="str">
        <f t="shared" si="7"/>
        <v xml:space="preserve"> </v>
      </c>
      <c r="N107" s="100" t="str">
        <f>IFERROR(VLOOKUP(Tablo520[[#This Row],[ÜRÜN KODU]],YMKODLARI!$A$1:$K$373,8,0)," ")</f>
        <v xml:space="preserve"> </v>
      </c>
      <c r="O107" s="100" t="str">
        <f>IFERROR(VLOOKUP(Tablo520[[#This Row],[HAMMADDE KODU]],Tablo1[#All],3,0)," ")</f>
        <v xml:space="preserve"> </v>
      </c>
      <c r="P107" s="100" t="str">
        <f>IFERROR(VLOOKUP(Tablo520[[#This Row],[HAMMADDE KODU]],Tablo1[#All],4,0)," ")</f>
        <v xml:space="preserve"> </v>
      </c>
      <c r="Q107" s="100" t="str">
        <f>IFERROR(VLOOKUP(Tablo520[[#This Row],[ÜRÜN KODU]],YMKODLARI!$A$1:$K$373,5,0)," ")</f>
        <v xml:space="preserve"> </v>
      </c>
      <c r="R107" s="100" t="str">
        <f>IFERROR(VLOOKUP(Tablo520[[#This Row],[ÜRÜN KODU]],YMKODLARI!$A$1:$K$373,6,0)," ")</f>
        <v xml:space="preserve"> </v>
      </c>
      <c r="S107" s="100" t="str">
        <f>IFERROR(Tablo520[[#This Row],[YOLLUK HARİÇ BASKI GRAMI]]/Tablo520[[#This Row],[KALIP GÖZ ADEDİ]]," ")</f>
        <v xml:space="preserve"> </v>
      </c>
      <c r="T107" s="100" t="str">
        <f t="shared" si="9"/>
        <v xml:space="preserve"> </v>
      </c>
      <c r="U107" s="100"/>
      <c r="V107" s="100" t="str">
        <f t="shared" si="8"/>
        <v xml:space="preserve"> </v>
      </c>
      <c r="W107" s="101">
        <f t="shared" si="10"/>
        <v>24</v>
      </c>
      <c r="X107" s="102">
        <f t="shared" si="11"/>
        <v>0</v>
      </c>
      <c r="Y107" s="100" t="str">
        <f t="shared" si="12"/>
        <v xml:space="preserve"> </v>
      </c>
      <c r="Z107" s="100" t="str">
        <f t="shared" si="13"/>
        <v xml:space="preserve"> </v>
      </c>
    </row>
    <row r="108" spans="1:26">
      <c r="A108" s="100"/>
      <c r="B108" s="100" t="str">
        <f>IFERROR(VLOOKUP(Tablo520[[#This Row],[ÜRÜN KODU]],YMKODLARI!$A$1:$K$373,2,0)," ")</f>
        <v xml:space="preserve"> </v>
      </c>
      <c r="C108" s="99"/>
      <c r="D108" s="100"/>
      <c r="E108" s="101"/>
      <c r="F108" s="101"/>
      <c r="G108" s="100" t="str">
        <f>IFERROR(VLOOKUP(Tablo520[[#This Row],[ÜRÜN KODU]],YMKODLARI!$A$1:$K$373,3,0)," ")</f>
        <v xml:space="preserve"> </v>
      </c>
      <c r="H108" s="100" t="str">
        <f>IFERROR(VLOOKUP(Tablo520[[#This Row],[ÜRÜN KODU]],YMKODLARI!$A$1:$K$373,4,0)," ")</f>
        <v xml:space="preserve"> </v>
      </c>
      <c r="I108" s="100"/>
      <c r="J108" s="100" t="str">
        <f>IFERROR(VLOOKUP(Tablo520[[#This Row],[ÜRÜN KODU]],YMKODLARI!$A$1:$K$373,9,0)," ")</f>
        <v xml:space="preserve"> </v>
      </c>
      <c r="K108" s="100" t="str">
        <f>IFERROR(VLOOKUP(Tablo520[[#This Row],[BOYA KODU]],Tablo14[#All],4,0)," ")</f>
        <v xml:space="preserve"> </v>
      </c>
      <c r="L108" s="100" t="str">
        <f>IFERROR(VLOOKUP(Tablo520[[#This Row],[BOYA KODU]],Tablo14[#All],6,0)," ")</f>
        <v xml:space="preserve"> </v>
      </c>
      <c r="M108" s="100" t="str">
        <f t="shared" si="7"/>
        <v xml:space="preserve"> </v>
      </c>
      <c r="N108" s="100" t="str">
        <f>IFERROR(VLOOKUP(Tablo520[[#This Row],[ÜRÜN KODU]],YMKODLARI!$A$1:$K$373,8,0)," ")</f>
        <v xml:space="preserve"> </v>
      </c>
      <c r="O108" s="100" t="str">
        <f>IFERROR(VLOOKUP(Tablo520[[#This Row],[HAMMADDE KODU]],Tablo1[#All],3,0)," ")</f>
        <v xml:space="preserve"> </v>
      </c>
      <c r="P108" s="100" t="str">
        <f>IFERROR(VLOOKUP(Tablo520[[#This Row],[HAMMADDE KODU]],Tablo1[#All],4,0)," ")</f>
        <v xml:space="preserve"> </v>
      </c>
      <c r="Q108" s="100" t="str">
        <f>IFERROR(VLOOKUP(Tablo520[[#This Row],[ÜRÜN KODU]],YMKODLARI!$A$1:$K$373,5,0)," ")</f>
        <v xml:space="preserve"> </v>
      </c>
      <c r="R108" s="100" t="str">
        <f>IFERROR(VLOOKUP(Tablo520[[#This Row],[ÜRÜN KODU]],YMKODLARI!$A$1:$K$373,6,0)," ")</f>
        <v xml:space="preserve"> </v>
      </c>
      <c r="S108" s="100" t="str">
        <f>IFERROR(Tablo520[[#This Row],[YOLLUK HARİÇ BASKI GRAMI]]/Tablo520[[#This Row],[KALIP GÖZ ADEDİ]]," ")</f>
        <v xml:space="preserve"> </v>
      </c>
      <c r="T108" s="100" t="str">
        <f t="shared" si="9"/>
        <v xml:space="preserve"> </v>
      </c>
      <c r="U108" s="100"/>
      <c r="V108" s="100" t="str">
        <f t="shared" si="8"/>
        <v xml:space="preserve"> </v>
      </c>
      <c r="W108" s="101">
        <f t="shared" si="10"/>
        <v>24</v>
      </c>
      <c r="X108" s="102">
        <f t="shared" si="11"/>
        <v>0</v>
      </c>
      <c r="Y108" s="100" t="str">
        <f t="shared" si="12"/>
        <v xml:space="preserve"> </v>
      </c>
      <c r="Z108" s="100" t="str">
        <f t="shared" si="13"/>
        <v xml:space="preserve"> </v>
      </c>
    </row>
    <row r="109" spans="1:26">
      <c r="A109" s="100"/>
      <c r="B109" s="100" t="str">
        <f>IFERROR(VLOOKUP(Tablo520[[#This Row],[ÜRÜN KODU]],YMKODLARI!$A$1:$K$373,2,0)," ")</f>
        <v xml:space="preserve"> </v>
      </c>
      <c r="C109" s="99"/>
      <c r="D109" s="100"/>
      <c r="E109" s="101"/>
      <c r="F109" s="101"/>
      <c r="G109" s="100" t="str">
        <f>IFERROR(VLOOKUP(Tablo520[[#This Row],[ÜRÜN KODU]],YMKODLARI!$A$1:$K$373,3,0)," ")</f>
        <v xml:space="preserve"> </v>
      </c>
      <c r="H109" s="100" t="str">
        <f>IFERROR(VLOOKUP(Tablo520[[#This Row],[ÜRÜN KODU]],YMKODLARI!$A$1:$K$373,4,0)," ")</f>
        <v xml:space="preserve"> </v>
      </c>
      <c r="I109" s="100"/>
      <c r="J109" s="100" t="str">
        <f>IFERROR(VLOOKUP(Tablo520[[#This Row],[ÜRÜN KODU]],YMKODLARI!$A$1:$K$373,9,0)," ")</f>
        <v xml:space="preserve"> </v>
      </c>
      <c r="K109" s="100" t="str">
        <f>IFERROR(VLOOKUP(Tablo520[[#This Row],[BOYA KODU]],Tablo14[#All],4,0)," ")</f>
        <v xml:space="preserve"> </v>
      </c>
      <c r="L109" s="100" t="str">
        <f>IFERROR(VLOOKUP(Tablo520[[#This Row],[BOYA KODU]],Tablo14[#All],6,0)," ")</f>
        <v xml:space="preserve"> </v>
      </c>
      <c r="M109" s="100" t="str">
        <f t="shared" si="7"/>
        <v xml:space="preserve"> </v>
      </c>
      <c r="N109" s="100" t="str">
        <f>IFERROR(VLOOKUP(Tablo520[[#This Row],[ÜRÜN KODU]],YMKODLARI!$A$1:$K$373,8,0)," ")</f>
        <v xml:space="preserve"> </v>
      </c>
      <c r="O109" s="100" t="str">
        <f>IFERROR(VLOOKUP(Tablo520[[#This Row],[HAMMADDE KODU]],Tablo1[#All],3,0)," ")</f>
        <v xml:space="preserve"> </v>
      </c>
      <c r="P109" s="100" t="str">
        <f>IFERROR(VLOOKUP(Tablo520[[#This Row],[HAMMADDE KODU]],Tablo1[#All],4,0)," ")</f>
        <v xml:space="preserve"> </v>
      </c>
      <c r="Q109" s="100" t="str">
        <f>IFERROR(VLOOKUP(Tablo520[[#This Row],[ÜRÜN KODU]],YMKODLARI!$A$1:$K$373,5,0)," ")</f>
        <v xml:space="preserve"> </v>
      </c>
      <c r="R109" s="100" t="str">
        <f>IFERROR(VLOOKUP(Tablo520[[#This Row],[ÜRÜN KODU]],YMKODLARI!$A$1:$K$373,6,0)," ")</f>
        <v xml:space="preserve"> </v>
      </c>
      <c r="S109" s="100" t="str">
        <f>IFERROR(Tablo520[[#This Row],[YOLLUK HARİÇ BASKI GRAMI]]/Tablo520[[#This Row],[KALIP GÖZ ADEDİ]]," ")</f>
        <v xml:space="preserve"> </v>
      </c>
      <c r="T109" s="100" t="str">
        <f t="shared" si="9"/>
        <v xml:space="preserve"> </v>
      </c>
      <c r="U109" s="100"/>
      <c r="V109" s="100" t="str">
        <f t="shared" si="8"/>
        <v xml:space="preserve"> </v>
      </c>
      <c r="W109" s="101">
        <f t="shared" si="10"/>
        <v>24</v>
      </c>
      <c r="X109" s="102">
        <f t="shared" si="11"/>
        <v>0</v>
      </c>
      <c r="Y109" s="100" t="str">
        <f t="shared" si="12"/>
        <v xml:space="preserve"> </v>
      </c>
      <c r="Z109" s="100" t="str">
        <f t="shared" si="13"/>
        <v xml:space="preserve"> </v>
      </c>
    </row>
    <row r="110" spans="1:26">
      <c r="A110" s="100"/>
      <c r="B110" s="100" t="str">
        <f>IFERROR(VLOOKUP(Tablo520[[#This Row],[ÜRÜN KODU]],YMKODLARI!$A$1:$K$373,2,0)," ")</f>
        <v xml:space="preserve"> </v>
      </c>
      <c r="C110" s="99"/>
      <c r="D110" s="100"/>
      <c r="E110" s="101"/>
      <c r="F110" s="101"/>
      <c r="G110" s="100" t="str">
        <f>IFERROR(VLOOKUP(Tablo520[[#This Row],[ÜRÜN KODU]],YMKODLARI!$A$1:$K$373,3,0)," ")</f>
        <v xml:space="preserve"> </v>
      </c>
      <c r="H110" s="100" t="str">
        <f>IFERROR(VLOOKUP(Tablo520[[#This Row],[ÜRÜN KODU]],YMKODLARI!$A$1:$K$373,4,0)," ")</f>
        <v xml:space="preserve"> </v>
      </c>
      <c r="I110" s="100"/>
      <c r="J110" s="100" t="str">
        <f>IFERROR(VLOOKUP(Tablo520[[#This Row],[ÜRÜN KODU]],YMKODLARI!$A$1:$K$373,9,0)," ")</f>
        <v xml:space="preserve"> </v>
      </c>
      <c r="K110" s="100" t="str">
        <f>IFERROR(VLOOKUP(Tablo520[[#This Row],[BOYA KODU]],Tablo14[#All],4,0)," ")</f>
        <v xml:space="preserve"> </v>
      </c>
      <c r="L110" s="100" t="str">
        <f>IFERROR(VLOOKUP(Tablo520[[#This Row],[BOYA KODU]],Tablo14[#All],6,0)," ")</f>
        <v xml:space="preserve"> </v>
      </c>
      <c r="M110" s="100" t="str">
        <f t="shared" si="7"/>
        <v xml:space="preserve"> </v>
      </c>
      <c r="N110" s="100" t="str">
        <f>IFERROR(VLOOKUP(Tablo520[[#This Row],[ÜRÜN KODU]],YMKODLARI!$A$1:$K$373,8,0)," ")</f>
        <v xml:space="preserve"> </v>
      </c>
      <c r="O110" s="100" t="str">
        <f>IFERROR(VLOOKUP(Tablo520[[#This Row],[HAMMADDE KODU]],Tablo1[#All],3,0)," ")</f>
        <v xml:space="preserve"> </v>
      </c>
      <c r="P110" s="100" t="str">
        <f>IFERROR(VLOOKUP(Tablo520[[#This Row],[HAMMADDE KODU]],Tablo1[#All],4,0)," ")</f>
        <v xml:space="preserve"> </v>
      </c>
      <c r="Q110" s="100" t="str">
        <f>IFERROR(VLOOKUP(Tablo520[[#This Row],[ÜRÜN KODU]],YMKODLARI!$A$1:$K$373,5,0)," ")</f>
        <v xml:space="preserve"> </v>
      </c>
      <c r="R110" s="100" t="str">
        <f>IFERROR(VLOOKUP(Tablo520[[#This Row],[ÜRÜN KODU]],YMKODLARI!$A$1:$K$373,6,0)," ")</f>
        <v xml:space="preserve"> </v>
      </c>
      <c r="S110" s="100" t="str">
        <f>IFERROR(Tablo520[[#This Row],[YOLLUK HARİÇ BASKI GRAMI]]/Tablo520[[#This Row],[KALIP GÖZ ADEDİ]]," ")</f>
        <v xml:space="preserve"> </v>
      </c>
      <c r="T110" s="100" t="str">
        <f t="shared" si="9"/>
        <v xml:space="preserve"> </v>
      </c>
      <c r="U110" s="100"/>
      <c r="V110" s="100" t="str">
        <f t="shared" si="8"/>
        <v xml:space="preserve"> </v>
      </c>
      <c r="W110" s="101">
        <f t="shared" si="10"/>
        <v>24</v>
      </c>
      <c r="X110" s="102">
        <f t="shared" si="11"/>
        <v>0</v>
      </c>
      <c r="Y110" s="100" t="str">
        <f t="shared" si="12"/>
        <v xml:space="preserve"> </v>
      </c>
      <c r="Z110" s="100" t="str">
        <f t="shared" si="13"/>
        <v xml:space="preserve"> </v>
      </c>
    </row>
    <row r="111" spans="1:26">
      <c r="A111" s="100"/>
      <c r="B111" s="100" t="str">
        <f>IFERROR(VLOOKUP(Tablo520[[#This Row],[ÜRÜN KODU]],YMKODLARI!$A$1:$K$373,2,0)," ")</f>
        <v xml:space="preserve"> </v>
      </c>
      <c r="C111" s="99"/>
      <c r="D111" s="100"/>
      <c r="E111" s="101"/>
      <c r="F111" s="101"/>
      <c r="G111" s="100" t="str">
        <f>IFERROR(VLOOKUP(Tablo520[[#This Row],[ÜRÜN KODU]],YMKODLARI!$A$1:$K$373,3,0)," ")</f>
        <v xml:space="preserve"> </v>
      </c>
      <c r="H111" s="100" t="str">
        <f>IFERROR(VLOOKUP(Tablo520[[#This Row],[ÜRÜN KODU]],YMKODLARI!$A$1:$K$373,4,0)," ")</f>
        <v xml:space="preserve"> </v>
      </c>
      <c r="I111" s="100"/>
      <c r="J111" s="100" t="str">
        <f>IFERROR(VLOOKUP(Tablo520[[#This Row],[ÜRÜN KODU]],YMKODLARI!$A$1:$K$373,9,0)," ")</f>
        <v xml:space="preserve"> </v>
      </c>
      <c r="K111" s="100" t="str">
        <f>IFERROR(VLOOKUP(Tablo520[[#This Row],[BOYA KODU]],Tablo14[#All],4,0)," ")</f>
        <v xml:space="preserve"> </v>
      </c>
      <c r="L111" s="100" t="str">
        <f>IFERROR(VLOOKUP(Tablo520[[#This Row],[BOYA KODU]],Tablo14[#All],6,0)," ")</f>
        <v xml:space="preserve"> </v>
      </c>
      <c r="M111" s="100" t="str">
        <f t="shared" si="7"/>
        <v xml:space="preserve"> </v>
      </c>
      <c r="N111" s="100" t="str">
        <f>IFERROR(VLOOKUP(Tablo520[[#This Row],[ÜRÜN KODU]],YMKODLARI!$A$1:$K$373,8,0)," ")</f>
        <v xml:space="preserve"> </v>
      </c>
      <c r="O111" s="100" t="str">
        <f>IFERROR(VLOOKUP(Tablo520[[#This Row],[HAMMADDE KODU]],Tablo1[#All],3,0)," ")</f>
        <v xml:space="preserve"> </v>
      </c>
      <c r="P111" s="100" t="str">
        <f>IFERROR(VLOOKUP(Tablo520[[#This Row],[HAMMADDE KODU]],Tablo1[#All],4,0)," ")</f>
        <v xml:space="preserve"> </v>
      </c>
      <c r="Q111" s="100" t="str">
        <f>IFERROR(VLOOKUP(Tablo520[[#This Row],[ÜRÜN KODU]],YMKODLARI!$A$1:$K$373,5,0)," ")</f>
        <v xml:space="preserve"> </v>
      </c>
      <c r="R111" s="100" t="str">
        <f>IFERROR(VLOOKUP(Tablo520[[#This Row],[ÜRÜN KODU]],YMKODLARI!$A$1:$K$373,6,0)," ")</f>
        <v xml:space="preserve"> </v>
      </c>
      <c r="S111" s="100" t="str">
        <f>IFERROR(Tablo520[[#This Row],[YOLLUK HARİÇ BASKI GRAMI]]/Tablo520[[#This Row],[KALIP GÖZ ADEDİ]]," ")</f>
        <v xml:space="preserve"> </v>
      </c>
      <c r="T111" s="100" t="str">
        <f t="shared" si="9"/>
        <v xml:space="preserve"> </v>
      </c>
      <c r="U111" s="100"/>
      <c r="V111" s="100" t="str">
        <f t="shared" si="8"/>
        <v xml:space="preserve"> </v>
      </c>
      <c r="W111" s="101">
        <f t="shared" si="10"/>
        <v>24</v>
      </c>
      <c r="X111" s="102">
        <f t="shared" si="11"/>
        <v>0</v>
      </c>
      <c r="Y111" s="100" t="str">
        <f t="shared" si="12"/>
        <v xml:space="preserve"> </v>
      </c>
      <c r="Z111" s="100" t="str">
        <f t="shared" si="13"/>
        <v xml:space="preserve"> </v>
      </c>
    </row>
    <row r="112" spans="1:26">
      <c r="A112" s="100"/>
      <c r="B112" s="100" t="str">
        <f>IFERROR(VLOOKUP(Tablo520[[#This Row],[ÜRÜN KODU]],YMKODLARI!$A$1:$K$373,2,0)," ")</f>
        <v xml:space="preserve"> </v>
      </c>
      <c r="C112" s="99"/>
      <c r="D112" s="100"/>
      <c r="E112" s="101"/>
      <c r="F112" s="101"/>
      <c r="G112" s="100" t="str">
        <f>IFERROR(VLOOKUP(Tablo520[[#This Row],[ÜRÜN KODU]],YMKODLARI!$A$1:$K$373,3,0)," ")</f>
        <v xml:space="preserve"> </v>
      </c>
      <c r="H112" s="100" t="str">
        <f>IFERROR(VLOOKUP(Tablo520[[#This Row],[ÜRÜN KODU]],YMKODLARI!$A$1:$K$373,4,0)," ")</f>
        <v xml:space="preserve"> </v>
      </c>
      <c r="I112" s="100"/>
      <c r="J112" s="100" t="str">
        <f>IFERROR(VLOOKUP(Tablo520[[#This Row],[ÜRÜN KODU]],YMKODLARI!$A$1:$K$373,9,0)," ")</f>
        <v xml:space="preserve"> </v>
      </c>
      <c r="K112" s="100" t="str">
        <f>IFERROR(VLOOKUP(Tablo520[[#This Row],[BOYA KODU]],Tablo14[#All],4,0)," ")</f>
        <v xml:space="preserve"> </v>
      </c>
      <c r="L112" s="100" t="str">
        <f>IFERROR(VLOOKUP(Tablo520[[#This Row],[BOYA KODU]],Tablo14[#All],6,0)," ")</f>
        <v xml:space="preserve"> </v>
      </c>
      <c r="M112" s="100" t="str">
        <f t="shared" si="7"/>
        <v xml:space="preserve"> </v>
      </c>
      <c r="N112" s="100" t="str">
        <f>IFERROR(VLOOKUP(Tablo520[[#This Row],[ÜRÜN KODU]],YMKODLARI!$A$1:$K$373,8,0)," ")</f>
        <v xml:space="preserve"> </v>
      </c>
      <c r="O112" s="100" t="str">
        <f>IFERROR(VLOOKUP(Tablo520[[#This Row],[HAMMADDE KODU]],Tablo1[#All],3,0)," ")</f>
        <v xml:space="preserve"> </v>
      </c>
      <c r="P112" s="100" t="str">
        <f>IFERROR(VLOOKUP(Tablo520[[#This Row],[HAMMADDE KODU]],Tablo1[#All],4,0)," ")</f>
        <v xml:space="preserve"> </v>
      </c>
      <c r="Q112" s="100" t="str">
        <f>IFERROR(VLOOKUP(Tablo520[[#This Row],[ÜRÜN KODU]],YMKODLARI!$A$1:$K$373,5,0)," ")</f>
        <v xml:space="preserve"> </v>
      </c>
      <c r="R112" s="100" t="str">
        <f>IFERROR(VLOOKUP(Tablo520[[#This Row],[ÜRÜN KODU]],YMKODLARI!$A$1:$K$373,6,0)," ")</f>
        <v xml:space="preserve"> </v>
      </c>
      <c r="S112" s="100" t="str">
        <f>IFERROR(Tablo520[[#This Row],[YOLLUK HARİÇ BASKI GRAMI]]/Tablo520[[#This Row],[KALIP GÖZ ADEDİ]]," ")</f>
        <v xml:space="preserve"> </v>
      </c>
      <c r="T112" s="100" t="str">
        <f t="shared" si="9"/>
        <v xml:space="preserve"> </v>
      </c>
      <c r="U112" s="100"/>
      <c r="V112" s="100" t="str">
        <f t="shared" si="8"/>
        <v xml:space="preserve"> </v>
      </c>
      <c r="W112" s="101">
        <f t="shared" si="10"/>
        <v>24</v>
      </c>
      <c r="X112" s="102">
        <f t="shared" si="11"/>
        <v>0</v>
      </c>
      <c r="Y112" s="100" t="str">
        <f t="shared" si="12"/>
        <v xml:space="preserve"> </v>
      </c>
      <c r="Z112" s="100" t="str">
        <f t="shared" si="13"/>
        <v xml:space="preserve"> </v>
      </c>
    </row>
    <row r="113" spans="1:26">
      <c r="A113" s="100"/>
      <c r="B113" s="100" t="str">
        <f>IFERROR(VLOOKUP(Tablo520[[#This Row],[ÜRÜN KODU]],YMKODLARI!$A$1:$K$373,2,0)," ")</f>
        <v xml:space="preserve"> </v>
      </c>
      <c r="C113" s="99"/>
      <c r="D113" s="100"/>
      <c r="E113" s="101"/>
      <c r="F113" s="101"/>
      <c r="G113" s="100" t="str">
        <f>IFERROR(VLOOKUP(Tablo520[[#This Row],[ÜRÜN KODU]],YMKODLARI!$A$1:$K$373,3,0)," ")</f>
        <v xml:space="preserve"> </v>
      </c>
      <c r="H113" s="100" t="str">
        <f>IFERROR(VLOOKUP(Tablo520[[#This Row],[ÜRÜN KODU]],YMKODLARI!$A$1:$K$373,4,0)," ")</f>
        <v xml:space="preserve"> </v>
      </c>
      <c r="I113" s="100"/>
      <c r="J113" s="100" t="str">
        <f>IFERROR(VLOOKUP(Tablo520[[#This Row],[ÜRÜN KODU]],YMKODLARI!$A$1:$K$373,9,0)," ")</f>
        <v xml:space="preserve"> </v>
      </c>
      <c r="K113" s="100" t="str">
        <f>IFERROR(VLOOKUP(Tablo520[[#This Row],[BOYA KODU]],Tablo14[#All],4,0)," ")</f>
        <v xml:space="preserve"> </v>
      </c>
      <c r="L113" s="100" t="str">
        <f>IFERROR(VLOOKUP(Tablo520[[#This Row],[BOYA KODU]],Tablo14[#All],6,0)," ")</f>
        <v xml:space="preserve"> </v>
      </c>
      <c r="M113" s="100" t="str">
        <f t="shared" si="7"/>
        <v xml:space="preserve"> </v>
      </c>
      <c r="N113" s="100" t="str">
        <f>IFERROR(VLOOKUP(Tablo520[[#This Row],[ÜRÜN KODU]],YMKODLARI!$A$1:$K$373,8,0)," ")</f>
        <v xml:space="preserve"> </v>
      </c>
      <c r="O113" s="100" t="str">
        <f>IFERROR(VLOOKUP(Tablo520[[#This Row],[HAMMADDE KODU]],Tablo1[#All],3,0)," ")</f>
        <v xml:space="preserve"> </v>
      </c>
      <c r="P113" s="100" t="str">
        <f>IFERROR(VLOOKUP(Tablo520[[#This Row],[HAMMADDE KODU]],Tablo1[#All],4,0)," ")</f>
        <v xml:space="preserve"> </v>
      </c>
      <c r="Q113" s="100" t="str">
        <f>IFERROR(VLOOKUP(Tablo520[[#This Row],[ÜRÜN KODU]],YMKODLARI!$A$1:$K$373,5,0)," ")</f>
        <v xml:space="preserve"> </v>
      </c>
      <c r="R113" s="100" t="str">
        <f>IFERROR(VLOOKUP(Tablo520[[#This Row],[ÜRÜN KODU]],YMKODLARI!$A$1:$K$373,6,0)," ")</f>
        <v xml:space="preserve"> </v>
      </c>
      <c r="S113" s="100" t="str">
        <f>IFERROR(Tablo520[[#This Row],[YOLLUK HARİÇ BASKI GRAMI]]/Tablo520[[#This Row],[KALIP GÖZ ADEDİ]]," ")</f>
        <v xml:space="preserve"> </v>
      </c>
      <c r="T113" s="100" t="str">
        <f t="shared" si="9"/>
        <v xml:space="preserve"> </v>
      </c>
      <c r="U113" s="100"/>
      <c r="V113" s="100" t="str">
        <f t="shared" si="8"/>
        <v xml:space="preserve"> </v>
      </c>
      <c r="W113" s="101">
        <f t="shared" si="10"/>
        <v>24</v>
      </c>
      <c r="X113" s="102">
        <f t="shared" si="11"/>
        <v>0</v>
      </c>
      <c r="Y113" s="100" t="str">
        <f t="shared" si="12"/>
        <v xml:space="preserve"> </v>
      </c>
      <c r="Z113" s="100" t="str">
        <f t="shared" si="13"/>
        <v xml:space="preserve"> </v>
      </c>
    </row>
    <row r="114" spans="1:26">
      <c r="A114" s="100"/>
      <c r="B114" s="100" t="str">
        <f>IFERROR(VLOOKUP(Tablo520[[#This Row],[ÜRÜN KODU]],YMKODLARI!$A$1:$K$373,2,0)," ")</f>
        <v xml:space="preserve"> </v>
      </c>
      <c r="C114" s="99"/>
      <c r="D114" s="100"/>
      <c r="E114" s="101"/>
      <c r="F114" s="101"/>
      <c r="G114" s="100" t="str">
        <f>IFERROR(VLOOKUP(Tablo520[[#This Row],[ÜRÜN KODU]],YMKODLARI!$A$1:$K$373,3,0)," ")</f>
        <v xml:space="preserve"> </v>
      </c>
      <c r="H114" s="100" t="str">
        <f>IFERROR(VLOOKUP(Tablo520[[#This Row],[ÜRÜN KODU]],YMKODLARI!$A$1:$K$373,4,0)," ")</f>
        <v xml:space="preserve"> </v>
      </c>
      <c r="I114" s="100"/>
      <c r="J114" s="100" t="str">
        <f>IFERROR(VLOOKUP(Tablo520[[#This Row],[ÜRÜN KODU]],YMKODLARI!$A$1:$K$373,9,0)," ")</f>
        <v xml:space="preserve"> </v>
      </c>
      <c r="K114" s="100" t="str">
        <f>IFERROR(VLOOKUP(Tablo520[[#This Row],[BOYA KODU]],Tablo14[#All],4,0)," ")</f>
        <v xml:space="preserve"> </v>
      </c>
      <c r="L114" s="100" t="str">
        <f>IFERROR(VLOOKUP(Tablo520[[#This Row],[BOYA KODU]],Tablo14[#All],6,0)," ")</f>
        <v xml:space="preserve"> </v>
      </c>
      <c r="M114" s="100" t="str">
        <f t="shared" si="7"/>
        <v xml:space="preserve"> </v>
      </c>
      <c r="N114" s="100" t="str">
        <f>IFERROR(VLOOKUP(Tablo520[[#This Row],[ÜRÜN KODU]],YMKODLARI!$A$1:$K$373,8,0)," ")</f>
        <v xml:space="preserve"> </v>
      </c>
      <c r="O114" s="100" t="str">
        <f>IFERROR(VLOOKUP(Tablo520[[#This Row],[HAMMADDE KODU]],Tablo1[#All],3,0)," ")</f>
        <v xml:space="preserve"> </v>
      </c>
      <c r="P114" s="100" t="str">
        <f>IFERROR(VLOOKUP(Tablo520[[#This Row],[HAMMADDE KODU]],Tablo1[#All],4,0)," ")</f>
        <v xml:space="preserve"> </v>
      </c>
      <c r="Q114" s="100" t="str">
        <f>IFERROR(VLOOKUP(Tablo520[[#This Row],[ÜRÜN KODU]],YMKODLARI!$A$1:$K$373,5,0)," ")</f>
        <v xml:space="preserve"> </v>
      </c>
      <c r="R114" s="100" t="str">
        <f>IFERROR(VLOOKUP(Tablo520[[#This Row],[ÜRÜN KODU]],YMKODLARI!$A$1:$K$373,6,0)," ")</f>
        <v xml:space="preserve"> </v>
      </c>
      <c r="S114" s="100" t="str">
        <f>IFERROR(Tablo520[[#This Row],[YOLLUK HARİÇ BASKI GRAMI]]/Tablo520[[#This Row],[KALIP GÖZ ADEDİ]]," ")</f>
        <v xml:space="preserve"> </v>
      </c>
      <c r="T114" s="100" t="str">
        <f t="shared" si="9"/>
        <v xml:space="preserve"> </v>
      </c>
      <c r="U114" s="100"/>
      <c r="V114" s="100" t="str">
        <f t="shared" si="8"/>
        <v xml:space="preserve"> </v>
      </c>
      <c r="W114" s="101">
        <f t="shared" si="10"/>
        <v>24</v>
      </c>
      <c r="X114" s="102">
        <f t="shared" si="11"/>
        <v>0</v>
      </c>
      <c r="Y114" s="100" t="str">
        <f t="shared" si="12"/>
        <v xml:space="preserve"> </v>
      </c>
      <c r="Z114" s="100" t="str">
        <f t="shared" si="13"/>
        <v xml:space="preserve"> </v>
      </c>
    </row>
    <row r="115" spans="1:26">
      <c r="A115" s="100"/>
      <c r="B115" s="100" t="str">
        <f>IFERROR(VLOOKUP(Tablo520[[#This Row],[ÜRÜN KODU]],YMKODLARI!$A$1:$K$373,2,0)," ")</f>
        <v xml:space="preserve"> </v>
      </c>
      <c r="C115" s="99"/>
      <c r="D115" s="100"/>
      <c r="E115" s="101"/>
      <c r="F115" s="101"/>
      <c r="G115" s="100" t="str">
        <f>IFERROR(VLOOKUP(Tablo520[[#This Row],[ÜRÜN KODU]],YMKODLARI!$A$1:$K$373,3,0)," ")</f>
        <v xml:space="preserve"> </v>
      </c>
      <c r="H115" s="100" t="str">
        <f>IFERROR(VLOOKUP(Tablo520[[#This Row],[ÜRÜN KODU]],YMKODLARI!$A$1:$K$373,4,0)," ")</f>
        <v xml:space="preserve"> </v>
      </c>
      <c r="I115" s="100"/>
      <c r="J115" s="100" t="str">
        <f>IFERROR(VLOOKUP(Tablo520[[#This Row],[ÜRÜN KODU]],YMKODLARI!$A$1:$K$373,9,0)," ")</f>
        <v xml:space="preserve"> </v>
      </c>
      <c r="K115" s="100" t="str">
        <f>IFERROR(VLOOKUP(Tablo520[[#This Row],[BOYA KODU]],Tablo14[#All],4,0)," ")</f>
        <v xml:space="preserve"> </v>
      </c>
      <c r="L115" s="100" t="str">
        <f>IFERROR(VLOOKUP(Tablo520[[#This Row],[BOYA KODU]],Tablo14[#All],6,0)," ")</f>
        <v xml:space="preserve"> </v>
      </c>
      <c r="M115" s="100" t="str">
        <f t="shared" si="7"/>
        <v xml:space="preserve"> </v>
      </c>
      <c r="N115" s="100" t="str">
        <f>IFERROR(VLOOKUP(Tablo520[[#This Row],[ÜRÜN KODU]],YMKODLARI!$A$1:$K$373,8,0)," ")</f>
        <v xml:space="preserve"> </v>
      </c>
      <c r="O115" s="100" t="str">
        <f>IFERROR(VLOOKUP(Tablo520[[#This Row],[HAMMADDE KODU]],Tablo1[#All],3,0)," ")</f>
        <v xml:space="preserve"> </v>
      </c>
      <c r="P115" s="100" t="str">
        <f>IFERROR(VLOOKUP(Tablo520[[#This Row],[HAMMADDE KODU]],Tablo1[#All],4,0)," ")</f>
        <v xml:space="preserve"> </v>
      </c>
      <c r="Q115" s="100" t="str">
        <f>IFERROR(VLOOKUP(Tablo520[[#This Row],[ÜRÜN KODU]],YMKODLARI!$A$1:$K$373,5,0)," ")</f>
        <v xml:space="preserve"> </v>
      </c>
      <c r="R115" s="100" t="str">
        <f>IFERROR(VLOOKUP(Tablo520[[#This Row],[ÜRÜN KODU]],YMKODLARI!$A$1:$K$373,6,0)," ")</f>
        <v xml:space="preserve"> </v>
      </c>
      <c r="S115" s="100" t="str">
        <f>IFERROR(Tablo520[[#This Row],[YOLLUK HARİÇ BASKI GRAMI]]/Tablo520[[#This Row],[KALIP GÖZ ADEDİ]]," ")</f>
        <v xml:space="preserve"> </v>
      </c>
      <c r="T115" s="100" t="str">
        <f t="shared" si="9"/>
        <v xml:space="preserve"> </v>
      </c>
      <c r="U115" s="100"/>
      <c r="V115" s="100" t="str">
        <f t="shared" si="8"/>
        <v xml:space="preserve"> </v>
      </c>
      <c r="W115" s="101">
        <f t="shared" si="10"/>
        <v>24</v>
      </c>
      <c r="X115" s="102">
        <f t="shared" si="11"/>
        <v>0</v>
      </c>
      <c r="Y115" s="100" t="str">
        <f t="shared" si="12"/>
        <v xml:space="preserve"> </v>
      </c>
      <c r="Z115" s="100" t="str">
        <f t="shared" si="13"/>
        <v xml:space="preserve"> </v>
      </c>
    </row>
    <row r="116" spans="1:26">
      <c r="A116" s="100"/>
      <c r="B116" s="100" t="str">
        <f>IFERROR(VLOOKUP(Tablo520[[#This Row],[ÜRÜN KODU]],YMKODLARI!$A$1:$K$373,2,0)," ")</f>
        <v xml:space="preserve"> </v>
      </c>
      <c r="C116" s="99"/>
      <c r="D116" s="100"/>
      <c r="E116" s="101"/>
      <c r="F116" s="101"/>
      <c r="G116" s="100" t="str">
        <f>IFERROR(VLOOKUP(Tablo520[[#This Row],[ÜRÜN KODU]],YMKODLARI!$A$1:$K$373,3,0)," ")</f>
        <v xml:space="preserve"> </v>
      </c>
      <c r="H116" s="100" t="str">
        <f>IFERROR(VLOOKUP(Tablo520[[#This Row],[ÜRÜN KODU]],YMKODLARI!$A$1:$K$373,4,0)," ")</f>
        <v xml:space="preserve"> </v>
      </c>
      <c r="I116" s="100"/>
      <c r="J116" s="100" t="str">
        <f>IFERROR(VLOOKUP(Tablo520[[#This Row],[ÜRÜN KODU]],YMKODLARI!$A$1:$K$373,9,0)," ")</f>
        <v xml:space="preserve"> </v>
      </c>
      <c r="K116" s="100" t="str">
        <f>IFERROR(VLOOKUP(Tablo520[[#This Row],[BOYA KODU]],Tablo14[#All],4,0)," ")</f>
        <v xml:space="preserve"> </v>
      </c>
      <c r="L116" s="100" t="str">
        <f>IFERROR(VLOOKUP(Tablo520[[#This Row],[BOYA KODU]],Tablo14[#All],6,0)," ")</f>
        <v xml:space="preserve"> </v>
      </c>
      <c r="M116" s="100" t="str">
        <f t="shared" si="7"/>
        <v xml:space="preserve"> </v>
      </c>
      <c r="N116" s="100" t="str">
        <f>IFERROR(VLOOKUP(Tablo520[[#This Row],[ÜRÜN KODU]],YMKODLARI!$A$1:$K$373,8,0)," ")</f>
        <v xml:space="preserve"> </v>
      </c>
      <c r="O116" s="100" t="str">
        <f>IFERROR(VLOOKUP(Tablo520[[#This Row],[HAMMADDE KODU]],Tablo1[#All],3,0)," ")</f>
        <v xml:space="preserve"> </v>
      </c>
      <c r="P116" s="100" t="str">
        <f>IFERROR(VLOOKUP(Tablo520[[#This Row],[HAMMADDE KODU]],Tablo1[#All],4,0)," ")</f>
        <v xml:space="preserve"> </v>
      </c>
      <c r="Q116" s="100" t="str">
        <f>IFERROR(VLOOKUP(Tablo520[[#This Row],[ÜRÜN KODU]],YMKODLARI!$A$1:$K$373,5,0)," ")</f>
        <v xml:space="preserve"> </v>
      </c>
      <c r="R116" s="100" t="str">
        <f>IFERROR(VLOOKUP(Tablo520[[#This Row],[ÜRÜN KODU]],YMKODLARI!$A$1:$K$373,6,0)," ")</f>
        <v xml:space="preserve"> </v>
      </c>
      <c r="S116" s="100" t="str">
        <f>IFERROR(Tablo520[[#This Row],[YOLLUK HARİÇ BASKI GRAMI]]/Tablo520[[#This Row],[KALIP GÖZ ADEDİ]]," ")</f>
        <v xml:space="preserve"> </v>
      </c>
      <c r="T116" s="100" t="str">
        <f t="shared" si="9"/>
        <v xml:space="preserve"> </v>
      </c>
      <c r="U116" s="100"/>
      <c r="V116" s="100" t="str">
        <f t="shared" si="8"/>
        <v xml:space="preserve"> </v>
      </c>
      <c r="W116" s="101">
        <f t="shared" si="10"/>
        <v>24</v>
      </c>
      <c r="X116" s="102">
        <f t="shared" si="11"/>
        <v>0</v>
      </c>
      <c r="Y116" s="100" t="str">
        <f t="shared" si="12"/>
        <v xml:space="preserve"> </v>
      </c>
      <c r="Z116" s="100" t="str">
        <f t="shared" si="13"/>
        <v xml:space="preserve"> </v>
      </c>
    </row>
    <row r="117" spans="1:26">
      <c r="A117" s="100"/>
      <c r="B117" s="100" t="str">
        <f>IFERROR(VLOOKUP(Tablo520[[#This Row],[ÜRÜN KODU]],YMKODLARI!$A$1:$K$373,2,0)," ")</f>
        <v xml:space="preserve"> </v>
      </c>
      <c r="C117" s="99"/>
      <c r="D117" s="100"/>
      <c r="E117" s="101"/>
      <c r="F117" s="101"/>
      <c r="G117" s="100" t="str">
        <f>IFERROR(VLOOKUP(Tablo520[[#This Row],[ÜRÜN KODU]],YMKODLARI!$A$1:$K$373,3,0)," ")</f>
        <v xml:space="preserve"> </v>
      </c>
      <c r="H117" s="100" t="str">
        <f>IFERROR(VLOOKUP(Tablo520[[#This Row],[ÜRÜN KODU]],YMKODLARI!$A$1:$K$373,4,0)," ")</f>
        <v xml:space="preserve"> </v>
      </c>
      <c r="I117" s="100"/>
      <c r="J117" s="100" t="str">
        <f>IFERROR(VLOOKUP(Tablo520[[#This Row],[ÜRÜN KODU]],YMKODLARI!$A$1:$K$373,9,0)," ")</f>
        <v xml:space="preserve"> </v>
      </c>
      <c r="K117" s="100" t="str">
        <f>IFERROR(VLOOKUP(Tablo520[[#This Row],[BOYA KODU]],Tablo14[#All],4,0)," ")</f>
        <v xml:space="preserve"> </v>
      </c>
      <c r="L117" s="100" t="str">
        <f>IFERROR(VLOOKUP(Tablo520[[#This Row],[BOYA KODU]],Tablo14[#All],6,0)," ")</f>
        <v xml:space="preserve"> </v>
      </c>
      <c r="M117" s="100" t="str">
        <f t="shared" si="7"/>
        <v xml:space="preserve"> </v>
      </c>
      <c r="N117" s="100" t="str">
        <f>IFERROR(VLOOKUP(Tablo520[[#This Row],[ÜRÜN KODU]],YMKODLARI!$A$1:$K$373,8,0)," ")</f>
        <v xml:space="preserve"> </v>
      </c>
      <c r="O117" s="100" t="str">
        <f>IFERROR(VLOOKUP(Tablo520[[#This Row],[HAMMADDE KODU]],Tablo1[#All],3,0)," ")</f>
        <v xml:space="preserve"> </v>
      </c>
      <c r="P117" s="100" t="str">
        <f>IFERROR(VLOOKUP(Tablo520[[#This Row],[HAMMADDE KODU]],Tablo1[#All],4,0)," ")</f>
        <v xml:space="preserve"> </v>
      </c>
      <c r="Q117" s="100" t="str">
        <f>IFERROR(VLOOKUP(Tablo520[[#This Row],[ÜRÜN KODU]],YMKODLARI!$A$1:$K$373,5,0)," ")</f>
        <v xml:space="preserve"> </v>
      </c>
      <c r="R117" s="100" t="str">
        <f>IFERROR(VLOOKUP(Tablo520[[#This Row],[ÜRÜN KODU]],YMKODLARI!$A$1:$K$373,6,0)," ")</f>
        <v xml:space="preserve"> </v>
      </c>
      <c r="S117" s="100" t="str">
        <f>IFERROR(Tablo520[[#This Row],[YOLLUK HARİÇ BASKI GRAMI]]/Tablo520[[#This Row],[KALIP GÖZ ADEDİ]]," ")</f>
        <v xml:space="preserve"> </v>
      </c>
      <c r="T117" s="100" t="str">
        <f t="shared" si="9"/>
        <v xml:space="preserve"> </v>
      </c>
      <c r="U117" s="100"/>
      <c r="V117" s="100" t="str">
        <f t="shared" si="8"/>
        <v xml:space="preserve"> </v>
      </c>
      <c r="W117" s="101">
        <f t="shared" si="10"/>
        <v>24</v>
      </c>
      <c r="X117" s="102">
        <f t="shared" si="11"/>
        <v>0</v>
      </c>
      <c r="Y117" s="100" t="str">
        <f t="shared" si="12"/>
        <v xml:space="preserve"> </v>
      </c>
      <c r="Z117" s="100" t="str">
        <f t="shared" si="13"/>
        <v xml:space="preserve"> </v>
      </c>
    </row>
    <row r="118" spans="1:26">
      <c r="A118" s="100"/>
      <c r="B118" s="100" t="str">
        <f>IFERROR(VLOOKUP(Tablo520[[#This Row],[ÜRÜN KODU]],YMKODLARI!$A$1:$K$373,2,0)," ")</f>
        <v xml:space="preserve"> </v>
      </c>
      <c r="C118" s="99"/>
      <c r="D118" s="100"/>
      <c r="E118" s="101"/>
      <c r="F118" s="101"/>
      <c r="G118" s="100" t="str">
        <f>IFERROR(VLOOKUP(Tablo520[[#This Row],[ÜRÜN KODU]],YMKODLARI!$A$1:$K$373,3,0)," ")</f>
        <v xml:space="preserve"> </v>
      </c>
      <c r="H118" s="100" t="str">
        <f>IFERROR(VLOOKUP(Tablo520[[#This Row],[ÜRÜN KODU]],YMKODLARI!$A$1:$K$373,4,0)," ")</f>
        <v xml:space="preserve"> </v>
      </c>
      <c r="I118" s="100"/>
      <c r="J118" s="100" t="str">
        <f>IFERROR(VLOOKUP(Tablo520[[#This Row],[ÜRÜN KODU]],YMKODLARI!$A$1:$K$373,9,0)," ")</f>
        <v xml:space="preserve"> </v>
      </c>
      <c r="K118" s="100" t="str">
        <f>IFERROR(VLOOKUP(Tablo520[[#This Row],[BOYA KODU]],Tablo14[#All],4,0)," ")</f>
        <v xml:space="preserve"> </v>
      </c>
      <c r="L118" s="100" t="str">
        <f>IFERROR(VLOOKUP(Tablo520[[#This Row],[BOYA KODU]],Tablo14[#All],6,0)," ")</f>
        <v xml:space="preserve"> </v>
      </c>
      <c r="M118" s="100" t="str">
        <f t="shared" si="7"/>
        <v xml:space="preserve"> </v>
      </c>
      <c r="N118" s="100" t="str">
        <f>IFERROR(VLOOKUP(Tablo520[[#This Row],[ÜRÜN KODU]],YMKODLARI!$A$1:$K$373,8,0)," ")</f>
        <v xml:space="preserve"> </v>
      </c>
      <c r="O118" s="100" t="str">
        <f>IFERROR(VLOOKUP(Tablo520[[#This Row],[HAMMADDE KODU]],Tablo1[#All],3,0)," ")</f>
        <v xml:space="preserve"> </v>
      </c>
      <c r="P118" s="100" t="str">
        <f>IFERROR(VLOOKUP(Tablo520[[#This Row],[HAMMADDE KODU]],Tablo1[#All],4,0)," ")</f>
        <v xml:space="preserve"> </v>
      </c>
      <c r="Q118" s="100" t="str">
        <f>IFERROR(VLOOKUP(Tablo520[[#This Row],[ÜRÜN KODU]],YMKODLARI!$A$1:$K$373,5,0)," ")</f>
        <v xml:space="preserve"> </v>
      </c>
      <c r="R118" s="100" t="str">
        <f>IFERROR(VLOOKUP(Tablo520[[#This Row],[ÜRÜN KODU]],YMKODLARI!$A$1:$K$373,6,0)," ")</f>
        <v xml:space="preserve"> </v>
      </c>
      <c r="S118" s="100" t="str">
        <f>IFERROR(Tablo520[[#This Row],[YOLLUK HARİÇ BASKI GRAMI]]/Tablo520[[#This Row],[KALIP GÖZ ADEDİ]]," ")</f>
        <v xml:space="preserve"> </v>
      </c>
      <c r="T118" s="100" t="str">
        <f t="shared" si="9"/>
        <v xml:space="preserve"> </v>
      </c>
      <c r="U118" s="100"/>
      <c r="V118" s="100" t="str">
        <f t="shared" si="8"/>
        <v xml:space="preserve"> </v>
      </c>
      <c r="W118" s="101">
        <f t="shared" si="10"/>
        <v>24</v>
      </c>
      <c r="X118" s="102">
        <f t="shared" si="11"/>
        <v>0</v>
      </c>
      <c r="Y118" s="100" t="str">
        <f t="shared" si="12"/>
        <v xml:space="preserve"> </v>
      </c>
      <c r="Z118" s="100" t="str">
        <f t="shared" si="13"/>
        <v xml:space="preserve"> </v>
      </c>
    </row>
    <row r="119" spans="1:26">
      <c r="A119" s="100"/>
      <c r="B119" s="100" t="str">
        <f>IFERROR(VLOOKUP(Tablo520[[#This Row],[ÜRÜN KODU]],YMKODLARI!$A$1:$K$373,2,0)," ")</f>
        <v xml:space="preserve"> </v>
      </c>
      <c r="C119" s="99"/>
      <c r="D119" s="100"/>
      <c r="E119" s="101"/>
      <c r="F119" s="101"/>
      <c r="G119" s="100" t="str">
        <f>IFERROR(VLOOKUP(Tablo520[[#This Row],[ÜRÜN KODU]],YMKODLARI!$A$1:$K$373,3,0)," ")</f>
        <v xml:space="preserve"> </v>
      </c>
      <c r="H119" s="100" t="str">
        <f>IFERROR(VLOOKUP(Tablo520[[#This Row],[ÜRÜN KODU]],YMKODLARI!$A$1:$K$373,4,0)," ")</f>
        <v xml:space="preserve"> </v>
      </c>
      <c r="I119" s="100"/>
      <c r="J119" s="100" t="str">
        <f>IFERROR(VLOOKUP(Tablo520[[#This Row],[ÜRÜN KODU]],YMKODLARI!$A$1:$K$373,9,0)," ")</f>
        <v xml:space="preserve"> </v>
      </c>
      <c r="K119" s="100" t="str">
        <f>IFERROR(VLOOKUP(Tablo520[[#This Row],[BOYA KODU]],Tablo14[#All],4,0)," ")</f>
        <v xml:space="preserve"> </v>
      </c>
      <c r="L119" s="100" t="str">
        <f>IFERROR(VLOOKUP(Tablo520[[#This Row],[BOYA KODU]],Tablo14[#All],6,0)," ")</f>
        <v xml:space="preserve"> </v>
      </c>
      <c r="M119" s="100" t="str">
        <f t="shared" si="7"/>
        <v xml:space="preserve"> </v>
      </c>
      <c r="N119" s="100" t="str">
        <f>IFERROR(VLOOKUP(Tablo520[[#This Row],[ÜRÜN KODU]],YMKODLARI!$A$1:$K$373,8,0)," ")</f>
        <v xml:space="preserve"> </v>
      </c>
      <c r="O119" s="100" t="str">
        <f>IFERROR(VLOOKUP(Tablo520[[#This Row],[HAMMADDE KODU]],Tablo1[#All],3,0)," ")</f>
        <v xml:space="preserve"> </v>
      </c>
      <c r="P119" s="100" t="str">
        <f>IFERROR(VLOOKUP(Tablo520[[#This Row],[HAMMADDE KODU]],Tablo1[#All],4,0)," ")</f>
        <v xml:space="preserve"> </v>
      </c>
      <c r="Q119" s="100" t="str">
        <f>IFERROR(VLOOKUP(Tablo520[[#This Row],[ÜRÜN KODU]],YMKODLARI!$A$1:$K$373,5,0)," ")</f>
        <v xml:space="preserve"> </v>
      </c>
      <c r="R119" s="100" t="str">
        <f>IFERROR(VLOOKUP(Tablo520[[#This Row],[ÜRÜN KODU]],YMKODLARI!$A$1:$K$373,6,0)," ")</f>
        <v xml:space="preserve"> </v>
      </c>
      <c r="S119" s="100" t="str">
        <f>IFERROR(Tablo520[[#This Row],[YOLLUK HARİÇ BASKI GRAMI]]/Tablo520[[#This Row],[KALIP GÖZ ADEDİ]]," ")</f>
        <v xml:space="preserve"> </v>
      </c>
      <c r="T119" s="100" t="str">
        <f t="shared" si="9"/>
        <v xml:space="preserve"> </v>
      </c>
      <c r="U119" s="100"/>
      <c r="V119" s="100" t="str">
        <f t="shared" si="8"/>
        <v xml:space="preserve"> </v>
      </c>
      <c r="W119" s="101">
        <f t="shared" si="10"/>
        <v>24</v>
      </c>
      <c r="X119" s="102">
        <f t="shared" si="11"/>
        <v>0</v>
      </c>
      <c r="Y119" s="100" t="str">
        <f t="shared" si="12"/>
        <v xml:space="preserve"> </v>
      </c>
      <c r="Z119" s="100" t="str">
        <f t="shared" si="13"/>
        <v xml:space="preserve"> </v>
      </c>
    </row>
    <row r="120" spans="1:26">
      <c r="A120" s="100"/>
      <c r="B120" s="100" t="str">
        <f>IFERROR(VLOOKUP(Tablo520[[#This Row],[ÜRÜN KODU]],YMKODLARI!$A$1:$K$373,2,0)," ")</f>
        <v xml:space="preserve"> </v>
      </c>
      <c r="C120" s="99"/>
      <c r="D120" s="100"/>
      <c r="E120" s="101"/>
      <c r="F120" s="101"/>
      <c r="G120" s="100" t="str">
        <f>IFERROR(VLOOKUP(Tablo520[[#This Row],[ÜRÜN KODU]],YMKODLARI!$A$1:$K$373,3,0)," ")</f>
        <v xml:space="preserve"> </v>
      </c>
      <c r="H120" s="100" t="str">
        <f>IFERROR(VLOOKUP(Tablo520[[#This Row],[ÜRÜN KODU]],YMKODLARI!$A$1:$K$373,4,0)," ")</f>
        <v xml:space="preserve"> </v>
      </c>
      <c r="I120" s="100"/>
      <c r="J120" s="100" t="str">
        <f>IFERROR(VLOOKUP(Tablo520[[#This Row],[ÜRÜN KODU]],YMKODLARI!$A$1:$K$373,9,0)," ")</f>
        <v xml:space="preserve"> </v>
      </c>
      <c r="K120" s="100" t="str">
        <f>IFERROR(VLOOKUP(Tablo520[[#This Row],[BOYA KODU]],Tablo14[#All],4,0)," ")</f>
        <v xml:space="preserve"> </v>
      </c>
      <c r="L120" s="100" t="str">
        <f>IFERROR(VLOOKUP(Tablo520[[#This Row],[BOYA KODU]],Tablo14[#All],6,0)," ")</f>
        <v xml:space="preserve"> </v>
      </c>
      <c r="M120" s="100" t="str">
        <f t="shared" si="7"/>
        <v xml:space="preserve"> </v>
      </c>
      <c r="N120" s="100" t="str">
        <f>IFERROR(VLOOKUP(Tablo520[[#This Row],[ÜRÜN KODU]],YMKODLARI!$A$1:$K$373,8,0)," ")</f>
        <v xml:space="preserve"> </v>
      </c>
      <c r="O120" s="100" t="str">
        <f>IFERROR(VLOOKUP(Tablo520[[#This Row],[HAMMADDE KODU]],Tablo1[#All],3,0)," ")</f>
        <v xml:space="preserve"> </v>
      </c>
      <c r="P120" s="100" t="str">
        <f>IFERROR(VLOOKUP(Tablo520[[#This Row],[HAMMADDE KODU]],Tablo1[#All],4,0)," ")</f>
        <v xml:space="preserve"> </v>
      </c>
      <c r="Q120" s="100" t="str">
        <f>IFERROR(VLOOKUP(Tablo520[[#This Row],[ÜRÜN KODU]],YMKODLARI!$A$1:$K$373,5,0)," ")</f>
        <v xml:space="preserve"> </v>
      </c>
      <c r="R120" s="100" t="str">
        <f>IFERROR(VLOOKUP(Tablo520[[#This Row],[ÜRÜN KODU]],YMKODLARI!$A$1:$K$373,6,0)," ")</f>
        <v xml:space="preserve"> </v>
      </c>
      <c r="S120" s="100" t="str">
        <f>IFERROR(Tablo520[[#This Row],[YOLLUK HARİÇ BASKI GRAMI]]/Tablo520[[#This Row],[KALIP GÖZ ADEDİ]]," ")</f>
        <v xml:space="preserve"> </v>
      </c>
      <c r="T120" s="100" t="str">
        <f t="shared" si="9"/>
        <v xml:space="preserve"> </v>
      </c>
      <c r="U120" s="100"/>
      <c r="V120" s="100" t="str">
        <f t="shared" si="8"/>
        <v xml:space="preserve"> </v>
      </c>
      <c r="W120" s="101">
        <f t="shared" si="10"/>
        <v>24</v>
      </c>
      <c r="X120" s="102">
        <f t="shared" si="11"/>
        <v>0</v>
      </c>
      <c r="Y120" s="100" t="str">
        <f t="shared" si="12"/>
        <v xml:space="preserve"> </v>
      </c>
      <c r="Z120" s="100" t="str">
        <f t="shared" si="13"/>
        <v xml:space="preserve"> </v>
      </c>
    </row>
    <row r="121" spans="1:26">
      <c r="A121" s="100"/>
      <c r="B121" s="100" t="str">
        <f>IFERROR(VLOOKUP(Tablo520[[#This Row],[ÜRÜN KODU]],YMKODLARI!$A$1:$K$373,2,0)," ")</f>
        <v xml:space="preserve"> </v>
      </c>
      <c r="C121" s="99"/>
      <c r="D121" s="100"/>
      <c r="E121" s="101"/>
      <c r="F121" s="101"/>
      <c r="G121" s="100" t="str">
        <f>IFERROR(VLOOKUP(Tablo520[[#This Row],[ÜRÜN KODU]],YMKODLARI!$A$1:$K$373,3,0)," ")</f>
        <v xml:space="preserve"> </v>
      </c>
      <c r="H121" s="100" t="str">
        <f>IFERROR(VLOOKUP(Tablo520[[#This Row],[ÜRÜN KODU]],YMKODLARI!$A$1:$K$373,4,0)," ")</f>
        <v xml:space="preserve"> </v>
      </c>
      <c r="I121" s="100"/>
      <c r="J121" s="100" t="str">
        <f>IFERROR(VLOOKUP(Tablo520[[#This Row],[ÜRÜN KODU]],YMKODLARI!$A$1:$K$373,9,0)," ")</f>
        <v xml:space="preserve"> </v>
      </c>
      <c r="K121" s="100" t="str">
        <f>IFERROR(VLOOKUP(Tablo520[[#This Row],[BOYA KODU]],Tablo14[#All],4,0)," ")</f>
        <v xml:space="preserve"> </v>
      </c>
      <c r="L121" s="100" t="str">
        <f>IFERROR(VLOOKUP(Tablo520[[#This Row],[BOYA KODU]],Tablo14[#All],6,0)," ")</f>
        <v xml:space="preserve"> </v>
      </c>
      <c r="M121" s="100" t="str">
        <f t="shared" si="7"/>
        <v xml:space="preserve"> </v>
      </c>
      <c r="N121" s="100" t="str">
        <f>IFERROR(VLOOKUP(Tablo520[[#This Row],[ÜRÜN KODU]],YMKODLARI!$A$1:$K$373,8,0)," ")</f>
        <v xml:space="preserve"> </v>
      </c>
      <c r="O121" s="100" t="str">
        <f>IFERROR(VLOOKUP(Tablo520[[#This Row],[HAMMADDE KODU]],Tablo1[#All],3,0)," ")</f>
        <v xml:space="preserve"> </v>
      </c>
      <c r="P121" s="100" t="str">
        <f>IFERROR(VLOOKUP(Tablo520[[#This Row],[HAMMADDE KODU]],Tablo1[#All],4,0)," ")</f>
        <v xml:space="preserve"> </v>
      </c>
      <c r="Q121" s="100" t="str">
        <f>IFERROR(VLOOKUP(Tablo520[[#This Row],[ÜRÜN KODU]],YMKODLARI!$A$1:$K$373,5,0)," ")</f>
        <v xml:space="preserve"> </v>
      </c>
      <c r="R121" s="100" t="str">
        <f>IFERROR(VLOOKUP(Tablo520[[#This Row],[ÜRÜN KODU]],YMKODLARI!$A$1:$K$373,6,0)," ")</f>
        <v xml:space="preserve"> </v>
      </c>
      <c r="S121" s="100" t="str">
        <f>IFERROR(Tablo520[[#This Row],[YOLLUK HARİÇ BASKI GRAMI]]/Tablo520[[#This Row],[KALIP GÖZ ADEDİ]]," ")</f>
        <v xml:space="preserve"> </v>
      </c>
      <c r="T121" s="100" t="str">
        <f t="shared" si="9"/>
        <v xml:space="preserve"> </v>
      </c>
      <c r="U121" s="100"/>
      <c r="V121" s="100" t="str">
        <f t="shared" si="8"/>
        <v xml:space="preserve"> </v>
      </c>
      <c r="W121" s="101">
        <f t="shared" si="10"/>
        <v>24</v>
      </c>
      <c r="X121" s="102">
        <f t="shared" si="11"/>
        <v>0</v>
      </c>
      <c r="Y121" s="100" t="str">
        <f t="shared" si="12"/>
        <v xml:space="preserve"> </v>
      </c>
      <c r="Z121" s="100" t="str">
        <f t="shared" si="13"/>
        <v xml:space="preserve"> </v>
      </c>
    </row>
    <row r="122" spans="1:26">
      <c r="A122" s="100"/>
      <c r="B122" s="100" t="str">
        <f>IFERROR(VLOOKUP(Tablo520[[#This Row],[ÜRÜN KODU]],YMKODLARI!$A$1:$K$373,2,0)," ")</f>
        <v xml:space="preserve"> </v>
      </c>
      <c r="C122" s="99"/>
      <c r="D122" s="100"/>
      <c r="E122" s="101"/>
      <c r="F122" s="101"/>
      <c r="G122" s="100" t="str">
        <f>IFERROR(VLOOKUP(Tablo520[[#This Row],[ÜRÜN KODU]],YMKODLARI!$A$1:$K$373,3,0)," ")</f>
        <v xml:space="preserve"> </v>
      </c>
      <c r="H122" s="100" t="str">
        <f>IFERROR(VLOOKUP(Tablo520[[#This Row],[ÜRÜN KODU]],YMKODLARI!$A$1:$K$373,4,0)," ")</f>
        <v xml:space="preserve"> </v>
      </c>
      <c r="I122" s="100"/>
      <c r="J122" s="100" t="str">
        <f>IFERROR(VLOOKUP(Tablo520[[#This Row],[ÜRÜN KODU]],YMKODLARI!$A$1:$K$373,9,0)," ")</f>
        <v xml:space="preserve"> </v>
      </c>
      <c r="K122" s="100" t="str">
        <f>IFERROR(VLOOKUP(Tablo520[[#This Row],[BOYA KODU]],Tablo14[#All],4,0)," ")</f>
        <v xml:space="preserve"> </v>
      </c>
      <c r="L122" s="100" t="str">
        <f>IFERROR(VLOOKUP(Tablo520[[#This Row],[BOYA KODU]],Tablo14[#All],6,0)," ")</f>
        <v xml:space="preserve"> </v>
      </c>
      <c r="M122" s="100" t="str">
        <f t="shared" si="7"/>
        <v xml:space="preserve"> </v>
      </c>
      <c r="N122" s="100" t="str">
        <f>IFERROR(VLOOKUP(Tablo520[[#This Row],[ÜRÜN KODU]],YMKODLARI!$A$1:$K$373,8,0)," ")</f>
        <v xml:space="preserve"> </v>
      </c>
      <c r="O122" s="100" t="str">
        <f>IFERROR(VLOOKUP(Tablo520[[#This Row],[HAMMADDE KODU]],Tablo1[#All],3,0)," ")</f>
        <v xml:space="preserve"> </v>
      </c>
      <c r="P122" s="100" t="str">
        <f>IFERROR(VLOOKUP(Tablo520[[#This Row],[HAMMADDE KODU]],Tablo1[#All],4,0)," ")</f>
        <v xml:space="preserve"> </v>
      </c>
      <c r="Q122" s="100" t="str">
        <f>IFERROR(VLOOKUP(Tablo520[[#This Row],[ÜRÜN KODU]],YMKODLARI!$A$1:$K$373,5,0)," ")</f>
        <v xml:space="preserve"> </v>
      </c>
      <c r="R122" s="100" t="str">
        <f>IFERROR(VLOOKUP(Tablo520[[#This Row],[ÜRÜN KODU]],YMKODLARI!$A$1:$K$373,6,0)," ")</f>
        <v xml:space="preserve"> </v>
      </c>
      <c r="S122" s="100" t="str">
        <f>IFERROR(Tablo520[[#This Row],[YOLLUK HARİÇ BASKI GRAMI]]/Tablo520[[#This Row],[KALIP GÖZ ADEDİ]]," ")</f>
        <v xml:space="preserve"> </v>
      </c>
      <c r="T122" s="100" t="str">
        <f t="shared" si="9"/>
        <v xml:space="preserve"> </v>
      </c>
      <c r="U122" s="100"/>
      <c r="V122" s="100" t="str">
        <f t="shared" si="8"/>
        <v xml:space="preserve"> </v>
      </c>
      <c r="W122" s="101">
        <f t="shared" si="10"/>
        <v>24</v>
      </c>
      <c r="X122" s="102">
        <f t="shared" si="11"/>
        <v>0</v>
      </c>
      <c r="Y122" s="100" t="str">
        <f t="shared" si="12"/>
        <v xml:space="preserve"> </v>
      </c>
      <c r="Z122" s="100" t="str">
        <f t="shared" si="13"/>
        <v xml:space="preserve"> </v>
      </c>
    </row>
    <row r="123" spans="1:26">
      <c r="A123" s="100"/>
      <c r="B123" s="100" t="str">
        <f>IFERROR(VLOOKUP(Tablo520[[#This Row],[ÜRÜN KODU]],YMKODLARI!$A$1:$K$373,2,0)," ")</f>
        <v xml:space="preserve"> </v>
      </c>
      <c r="C123" s="99"/>
      <c r="D123" s="100"/>
      <c r="E123" s="101"/>
      <c r="F123" s="101"/>
      <c r="G123" s="100" t="str">
        <f>IFERROR(VLOOKUP(Tablo520[[#This Row],[ÜRÜN KODU]],YMKODLARI!$A$1:$K$373,3,0)," ")</f>
        <v xml:space="preserve"> </v>
      </c>
      <c r="H123" s="100" t="str">
        <f>IFERROR(VLOOKUP(Tablo520[[#This Row],[ÜRÜN KODU]],YMKODLARI!$A$1:$K$373,4,0)," ")</f>
        <v xml:space="preserve"> </v>
      </c>
      <c r="I123" s="100"/>
      <c r="J123" s="100" t="str">
        <f>IFERROR(VLOOKUP(Tablo520[[#This Row],[ÜRÜN KODU]],YMKODLARI!$A$1:$K$373,9,0)," ")</f>
        <v xml:space="preserve"> </v>
      </c>
      <c r="K123" s="100" t="str">
        <f>IFERROR(VLOOKUP(Tablo520[[#This Row],[BOYA KODU]],Tablo14[#All],4,0)," ")</f>
        <v xml:space="preserve"> </v>
      </c>
      <c r="L123" s="100" t="str">
        <f>IFERROR(VLOOKUP(Tablo520[[#This Row],[BOYA KODU]],Tablo14[#All],6,0)," ")</f>
        <v xml:space="preserve"> </v>
      </c>
      <c r="M123" s="100" t="str">
        <f t="shared" si="7"/>
        <v xml:space="preserve"> </v>
      </c>
      <c r="N123" s="100" t="str">
        <f>IFERROR(VLOOKUP(Tablo520[[#This Row],[ÜRÜN KODU]],YMKODLARI!$A$1:$K$373,8,0)," ")</f>
        <v xml:space="preserve"> </v>
      </c>
      <c r="O123" s="100" t="str">
        <f>IFERROR(VLOOKUP(Tablo520[[#This Row],[HAMMADDE KODU]],Tablo1[#All],3,0)," ")</f>
        <v xml:space="preserve"> </v>
      </c>
      <c r="P123" s="100" t="str">
        <f>IFERROR(VLOOKUP(Tablo520[[#This Row],[HAMMADDE KODU]],Tablo1[#All],4,0)," ")</f>
        <v xml:space="preserve"> </v>
      </c>
      <c r="Q123" s="100" t="str">
        <f>IFERROR(VLOOKUP(Tablo520[[#This Row],[ÜRÜN KODU]],YMKODLARI!$A$1:$K$373,5,0)," ")</f>
        <v xml:space="preserve"> </v>
      </c>
      <c r="R123" s="100" t="str">
        <f>IFERROR(VLOOKUP(Tablo520[[#This Row],[ÜRÜN KODU]],YMKODLARI!$A$1:$K$373,6,0)," ")</f>
        <v xml:space="preserve"> </v>
      </c>
      <c r="S123" s="100" t="str">
        <f>IFERROR(Tablo520[[#This Row],[YOLLUK HARİÇ BASKI GRAMI]]/Tablo520[[#This Row],[KALIP GÖZ ADEDİ]]," ")</f>
        <v xml:space="preserve"> </v>
      </c>
      <c r="T123" s="100" t="str">
        <f t="shared" si="9"/>
        <v xml:space="preserve"> </v>
      </c>
      <c r="U123" s="100"/>
      <c r="V123" s="100" t="str">
        <f t="shared" si="8"/>
        <v xml:space="preserve"> </v>
      </c>
      <c r="W123" s="101">
        <f t="shared" si="10"/>
        <v>24</v>
      </c>
      <c r="X123" s="102">
        <f t="shared" si="11"/>
        <v>0</v>
      </c>
      <c r="Y123" s="100" t="str">
        <f t="shared" si="12"/>
        <v xml:space="preserve"> </v>
      </c>
      <c r="Z123" s="100" t="str">
        <f t="shared" si="13"/>
        <v xml:space="preserve"> </v>
      </c>
    </row>
    <row r="124" spans="1:26">
      <c r="A124" s="100"/>
      <c r="B124" s="100" t="str">
        <f>IFERROR(VLOOKUP(Tablo520[[#This Row],[ÜRÜN KODU]],YMKODLARI!$A$1:$K$373,2,0)," ")</f>
        <v xml:space="preserve"> </v>
      </c>
      <c r="C124" s="99"/>
      <c r="D124" s="100"/>
      <c r="E124" s="101"/>
      <c r="F124" s="101"/>
      <c r="G124" s="100" t="str">
        <f>IFERROR(VLOOKUP(Tablo520[[#This Row],[ÜRÜN KODU]],YMKODLARI!$A$1:$K$373,3,0)," ")</f>
        <v xml:space="preserve"> </v>
      </c>
      <c r="H124" s="100" t="str">
        <f>IFERROR(VLOOKUP(Tablo520[[#This Row],[ÜRÜN KODU]],YMKODLARI!$A$1:$K$373,4,0)," ")</f>
        <v xml:space="preserve"> </v>
      </c>
      <c r="I124" s="100"/>
      <c r="J124" s="100" t="str">
        <f>IFERROR(VLOOKUP(Tablo520[[#This Row],[ÜRÜN KODU]],YMKODLARI!$A$1:$K$373,9,0)," ")</f>
        <v xml:space="preserve"> </v>
      </c>
      <c r="K124" s="100" t="str">
        <f>IFERROR(VLOOKUP(Tablo520[[#This Row],[BOYA KODU]],Tablo14[#All],4,0)," ")</f>
        <v xml:space="preserve"> </v>
      </c>
      <c r="L124" s="100" t="str">
        <f>IFERROR(VLOOKUP(Tablo520[[#This Row],[BOYA KODU]],Tablo14[#All],6,0)," ")</f>
        <v xml:space="preserve"> </v>
      </c>
      <c r="M124" s="100" t="str">
        <f t="shared" si="7"/>
        <v xml:space="preserve"> </v>
      </c>
      <c r="N124" s="100" t="str">
        <f>IFERROR(VLOOKUP(Tablo520[[#This Row],[ÜRÜN KODU]],YMKODLARI!$A$1:$K$373,8,0)," ")</f>
        <v xml:space="preserve"> </v>
      </c>
      <c r="O124" s="100" t="str">
        <f>IFERROR(VLOOKUP(Tablo520[[#This Row],[HAMMADDE KODU]],Tablo1[#All],3,0)," ")</f>
        <v xml:space="preserve"> </v>
      </c>
      <c r="P124" s="100" t="str">
        <f>IFERROR(VLOOKUP(Tablo520[[#This Row],[HAMMADDE KODU]],Tablo1[#All],4,0)," ")</f>
        <v xml:space="preserve"> </v>
      </c>
      <c r="Q124" s="100" t="str">
        <f>IFERROR(VLOOKUP(Tablo520[[#This Row],[ÜRÜN KODU]],YMKODLARI!$A$1:$K$373,5,0)," ")</f>
        <v xml:space="preserve"> </v>
      </c>
      <c r="R124" s="100" t="str">
        <f>IFERROR(VLOOKUP(Tablo520[[#This Row],[ÜRÜN KODU]],YMKODLARI!$A$1:$K$373,6,0)," ")</f>
        <v xml:space="preserve"> </v>
      </c>
      <c r="S124" s="100" t="str">
        <f>IFERROR(Tablo520[[#This Row],[YOLLUK HARİÇ BASKI GRAMI]]/Tablo520[[#This Row],[KALIP GÖZ ADEDİ]]," ")</f>
        <v xml:space="preserve"> </v>
      </c>
      <c r="T124" s="100" t="str">
        <f t="shared" si="9"/>
        <v xml:space="preserve"> </v>
      </c>
      <c r="U124" s="100"/>
      <c r="V124" s="100" t="str">
        <f t="shared" si="8"/>
        <v xml:space="preserve"> </v>
      </c>
      <c r="W124" s="101">
        <f t="shared" si="10"/>
        <v>24</v>
      </c>
      <c r="X124" s="102">
        <f t="shared" si="11"/>
        <v>0</v>
      </c>
      <c r="Y124" s="100" t="str">
        <f t="shared" si="12"/>
        <v xml:space="preserve"> </v>
      </c>
      <c r="Z124" s="100" t="str">
        <f t="shared" si="13"/>
        <v xml:space="preserve"> </v>
      </c>
    </row>
    <row r="125" spans="1:26">
      <c r="A125" s="100"/>
      <c r="B125" s="100" t="str">
        <f>IFERROR(VLOOKUP(Tablo520[[#This Row],[ÜRÜN KODU]],YMKODLARI!$A$1:$K$373,2,0)," ")</f>
        <v xml:space="preserve"> </v>
      </c>
      <c r="C125" s="99"/>
      <c r="D125" s="100"/>
      <c r="E125" s="101"/>
      <c r="F125" s="101"/>
      <c r="G125" s="100" t="str">
        <f>IFERROR(VLOOKUP(Tablo520[[#This Row],[ÜRÜN KODU]],YMKODLARI!$A$1:$K$373,3,0)," ")</f>
        <v xml:space="preserve"> </v>
      </c>
      <c r="H125" s="100" t="str">
        <f>IFERROR(VLOOKUP(Tablo520[[#This Row],[ÜRÜN KODU]],YMKODLARI!$A$1:$K$373,4,0)," ")</f>
        <v xml:space="preserve"> </v>
      </c>
      <c r="I125" s="100"/>
      <c r="J125" s="100" t="str">
        <f>IFERROR(VLOOKUP(Tablo520[[#This Row],[ÜRÜN KODU]],YMKODLARI!$A$1:$K$373,9,0)," ")</f>
        <v xml:space="preserve"> </v>
      </c>
      <c r="K125" s="100" t="str">
        <f>IFERROR(VLOOKUP(Tablo520[[#This Row],[BOYA KODU]],Tablo14[#All],4,0)," ")</f>
        <v xml:space="preserve"> </v>
      </c>
      <c r="L125" s="100" t="str">
        <f>IFERROR(VLOOKUP(Tablo520[[#This Row],[BOYA KODU]],Tablo14[#All],6,0)," ")</f>
        <v xml:space="preserve"> </v>
      </c>
      <c r="M125" s="100" t="str">
        <f t="shared" si="7"/>
        <v xml:space="preserve"> </v>
      </c>
      <c r="N125" s="100" t="str">
        <f>IFERROR(VLOOKUP(Tablo520[[#This Row],[ÜRÜN KODU]],YMKODLARI!$A$1:$K$373,8,0)," ")</f>
        <v xml:space="preserve"> </v>
      </c>
      <c r="O125" s="100" t="str">
        <f>IFERROR(VLOOKUP(Tablo520[[#This Row],[HAMMADDE KODU]],Tablo1[#All],3,0)," ")</f>
        <v xml:space="preserve"> </v>
      </c>
      <c r="P125" s="100" t="str">
        <f>IFERROR(VLOOKUP(Tablo520[[#This Row],[HAMMADDE KODU]],Tablo1[#All],4,0)," ")</f>
        <v xml:space="preserve"> </v>
      </c>
      <c r="Q125" s="100" t="str">
        <f>IFERROR(VLOOKUP(Tablo520[[#This Row],[ÜRÜN KODU]],YMKODLARI!$A$1:$K$373,5,0)," ")</f>
        <v xml:space="preserve"> </v>
      </c>
      <c r="R125" s="100" t="str">
        <f>IFERROR(VLOOKUP(Tablo520[[#This Row],[ÜRÜN KODU]],YMKODLARI!$A$1:$K$373,6,0)," ")</f>
        <v xml:space="preserve"> </v>
      </c>
      <c r="S125" s="100" t="str">
        <f>IFERROR(Tablo520[[#This Row],[YOLLUK HARİÇ BASKI GRAMI]]/Tablo520[[#This Row],[KALIP GÖZ ADEDİ]]," ")</f>
        <v xml:space="preserve"> </v>
      </c>
      <c r="T125" s="100" t="str">
        <f t="shared" si="9"/>
        <v xml:space="preserve"> </v>
      </c>
      <c r="U125" s="100"/>
      <c r="V125" s="100" t="str">
        <f t="shared" si="8"/>
        <v xml:space="preserve"> </v>
      </c>
      <c r="W125" s="101">
        <f t="shared" si="10"/>
        <v>24</v>
      </c>
      <c r="X125" s="102">
        <f t="shared" si="11"/>
        <v>0</v>
      </c>
      <c r="Y125" s="100" t="str">
        <f t="shared" si="12"/>
        <v xml:space="preserve"> </v>
      </c>
      <c r="Z125" s="100" t="str">
        <f t="shared" si="13"/>
        <v xml:space="preserve"> </v>
      </c>
    </row>
    <row r="126" spans="1:26">
      <c r="A126" s="100"/>
      <c r="B126" s="100" t="str">
        <f>IFERROR(VLOOKUP(Tablo520[[#This Row],[ÜRÜN KODU]],YMKODLARI!$A$1:$K$373,2,0)," ")</f>
        <v xml:space="preserve"> </v>
      </c>
      <c r="C126" s="99"/>
      <c r="D126" s="100"/>
      <c r="E126" s="101"/>
      <c r="F126" s="101"/>
      <c r="G126" s="100" t="str">
        <f>IFERROR(VLOOKUP(Tablo520[[#This Row],[ÜRÜN KODU]],YMKODLARI!$A$1:$K$373,3,0)," ")</f>
        <v xml:space="preserve"> </v>
      </c>
      <c r="H126" s="100" t="str">
        <f>IFERROR(VLOOKUP(Tablo520[[#This Row],[ÜRÜN KODU]],YMKODLARI!$A$1:$K$373,4,0)," ")</f>
        <v xml:space="preserve"> </v>
      </c>
      <c r="I126" s="100"/>
      <c r="J126" s="100" t="str">
        <f>IFERROR(VLOOKUP(Tablo520[[#This Row],[ÜRÜN KODU]],YMKODLARI!$A$1:$K$373,9,0)," ")</f>
        <v xml:space="preserve"> </v>
      </c>
      <c r="K126" s="100" t="str">
        <f>IFERROR(VLOOKUP(Tablo520[[#This Row],[BOYA KODU]],Tablo14[#All],4,0)," ")</f>
        <v xml:space="preserve"> </v>
      </c>
      <c r="L126" s="100" t="str">
        <f>IFERROR(VLOOKUP(Tablo520[[#This Row],[BOYA KODU]],Tablo14[#All],6,0)," ")</f>
        <v xml:space="preserve"> </v>
      </c>
      <c r="M126" s="100" t="str">
        <f t="shared" si="7"/>
        <v xml:space="preserve"> </v>
      </c>
      <c r="N126" s="100" t="str">
        <f>IFERROR(VLOOKUP(Tablo520[[#This Row],[ÜRÜN KODU]],YMKODLARI!$A$1:$K$373,8,0)," ")</f>
        <v xml:space="preserve"> </v>
      </c>
      <c r="O126" s="100" t="str">
        <f>IFERROR(VLOOKUP(Tablo520[[#This Row],[HAMMADDE KODU]],Tablo1[#All],3,0)," ")</f>
        <v xml:space="preserve"> </v>
      </c>
      <c r="P126" s="100" t="str">
        <f>IFERROR(VLOOKUP(Tablo520[[#This Row],[HAMMADDE KODU]],Tablo1[#All],4,0)," ")</f>
        <v xml:space="preserve"> </v>
      </c>
      <c r="Q126" s="100" t="str">
        <f>IFERROR(VLOOKUP(Tablo520[[#This Row],[ÜRÜN KODU]],YMKODLARI!$A$1:$K$373,5,0)," ")</f>
        <v xml:space="preserve"> </v>
      </c>
      <c r="R126" s="100" t="str">
        <f>IFERROR(VLOOKUP(Tablo520[[#This Row],[ÜRÜN KODU]],YMKODLARI!$A$1:$K$373,6,0)," ")</f>
        <v xml:space="preserve"> </v>
      </c>
      <c r="S126" s="100" t="str">
        <f>IFERROR(Tablo520[[#This Row],[YOLLUK HARİÇ BASKI GRAMI]]/Tablo520[[#This Row],[KALIP GÖZ ADEDİ]]," ")</f>
        <v xml:space="preserve"> </v>
      </c>
      <c r="T126" s="100" t="str">
        <f t="shared" si="9"/>
        <v xml:space="preserve"> </v>
      </c>
      <c r="U126" s="100"/>
      <c r="V126" s="100" t="str">
        <f t="shared" si="8"/>
        <v xml:space="preserve"> </v>
      </c>
      <c r="W126" s="101">
        <f t="shared" si="10"/>
        <v>24</v>
      </c>
      <c r="X126" s="102">
        <f t="shared" si="11"/>
        <v>0</v>
      </c>
      <c r="Y126" s="100" t="str">
        <f t="shared" si="12"/>
        <v xml:space="preserve"> </v>
      </c>
      <c r="Z126" s="100" t="str">
        <f t="shared" si="13"/>
        <v xml:space="preserve"> </v>
      </c>
    </row>
    <row r="127" spans="1:26">
      <c r="A127" s="100"/>
      <c r="B127" s="100" t="str">
        <f>IFERROR(VLOOKUP(Tablo520[[#This Row],[ÜRÜN KODU]],YMKODLARI!$A$1:$K$373,2,0)," ")</f>
        <v xml:space="preserve"> </v>
      </c>
      <c r="C127" s="99"/>
      <c r="D127" s="100"/>
      <c r="E127" s="101"/>
      <c r="F127" s="101"/>
      <c r="G127" s="100" t="str">
        <f>IFERROR(VLOOKUP(Tablo520[[#This Row],[ÜRÜN KODU]],YMKODLARI!$A$1:$K$373,3,0)," ")</f>
        <v xml:space="preserve"> </v>
      </c>
      <c r="H127" s="100" t="str">
        <f>IFERROR(VLOOKUP(Tablo520[[#This Row],[ÜRÜN KODU]],YMKODLARI!$A$1:$K$373,4,0)," ")</f>
        <v xml:space="preserve"> </v>
      </c>
      <c r="I127" s="100"/>
      <c r="J127" s="100" t="str">
        <f>IFERROR(VLOOKUP(Tablo520[[#This Row],[ÜRÜN KODU]],YMKODLARI!$A$1:$K$373,9,0)," ")</f>
        <v xml:space="preserve"> </v>
      </c>
      <c r="K127" s="100" t="str">
        <f>IFERROR(VLOOKUP(Tablo520[[#This Row],[BOYA KODU]],Tablo14[#All],4,0)," ")</f>
        <v xml:space="preserve"> </v>
      </c>
      <c r="L127" s="100" t="str">
        <f>IFERROR(VLOOKUP(Tablo520[[#This Row],[BOYA KODU]],Tablo14[#All],6,0)," ")</f>
        <v xml:space="preserve"> </v>
      </c>
      <c r="M127" s="100" t="str">
        <f t="shared" si="7"/>
        <v xml:space="preserve"> </v>
      </c>
      <c r="N127" s="100" t="str">
        <f>IFERROR(VLOOKUP(Tablo520[[#This Row],[ÜRÜN KODU]],YMKODLARI!$A$1:$K$373,8,0)," ")</f>
        <v xml:space="preserve"> </v>
      </c>
      <c r="O127" s="100" t="str">
        <f>IFERROR(VLOOKUP(Tablo520[[#This Row],[HAMMADDE KODU]],Tablo1[#All],3,0)," ")</f>
        <v xml:space="preserve"> </v>
      </c>
      <c r="P127" s="100" t="str">
        <f>IFERROR(VLOOKUP(Tablo520[[#This Row],[HAMMADDE KODU]],Tablo1[#All],4,0)," ")</f>
        <v xml:space="preserve"> </v>
      </c>
      <c r="Q127" s="100" t="str">
        <f>IFERROR(VLOOKUP(Tablo520[[#This Row],[ÜRÜN KODU]],YMKODLARI!$A$1:$K$373,5,0)," ")</f>
        <v xml:space="preserve"> </v>
      </c>
      <c r="R127" s="100" t="str">
        <f>IFERROR(VLOOKUP(Tablo520[[#This Row],[ÜRÜN KODU]],YMKODLARI!$A$1:$K$373,6,0)," ")</f>
        <v xml:space="preserve"> </v>
      </c>
      <c r="S127" s="100" t="str">
        <f>IFERROR(Tablo520[[#This Row],[YOLLUK HARİÇ BASKI GRAMI]]/Tablo520[[#This Row],[KALIP GÖZ ADEDİ]]," ")</f>
        <v xml:space="preserve"> </v>
      </c>
      <c r="T127" s="100" t="str">
        <f t="shared" si="9"/>
        <v xml:space="preserve"> </v>
      </c>
      <c r="U127" s="100"/>
      <c r="V127" s="100" t="str">
        <f t="shared" si="8"/>
        <v xml:space="preserve"> </v>
      </c>
      <c r="W127" s="101">
        <f t="shared" si="10"/>
        <v>24</v>
      </c>
      <c r="X127" s="102">
        <f t="shared" si="11"/>
        <v>0</v>
      </c>
      <c r="Y127" s="100" t="str">
        <f t="shared" si="12"/>
        <v xml:space="preserve"> </v>
      </c>
      <c r="Z127" s="100" t="str">
        <f t="shared" si="13"/>
        <v xml:space="preserve"> </v>
      </c>
    </row>
    <row r="128" spans="1:26">
      <c r="A128" s="100"/>
      <c r="B128" s="100" t="str">
        <f>IFERROR(VLOOKUP(Tablo520[[#This Row],[ÜRÜN KODU]],YMKODLARI!$A$1:$K$373,2,0)," ")</f>
        <v xml:space="preserve"> </v>
      </c>
      <c r="C128" s="99"/>
      <c r="D128" s="100"/>
      <c r="E128" s="101"/>
      <c r="F128" s="101"/>
      <c r="G128" s="100" t="str">
        <f>IFERROR(VLOOKUP(Tablo520[[#This Row],[ÜRÜN KODU]],YMKODLARI!$A$1:$K$373,3,0)," ")</f>
        <v xml:space="preserve"> </v>
      </c>
      <c r="H128" s="100" t="str">
        <f>IFERROR(VLOOKUP(Tablo520[[#This Row],[ÜRÜN KODU]],YMKODLARI!$A$1:$K$373,4,0)," ")</f>
        <v xml:space="preserve"> </v>
      </c>
      <c r="I128" s="100"/>
      <c r="J128" s="100" t="str">
        <f>IFERROR(VLOOKUP(Tablo520[[#This Row],[ÜRÜN KODU]],YMKODLARI!$A$1:$K$373,9,0)," ")</f>
        <v xml:space="preserve"> </v>
      </c>
      <c r="K128" s="100" t="str">
        <f>IFERROR(VLOOKUP(Tablo520[[#This Row],[BOYA KODU]],Tablo14[#All],4,0)," ")</f>
        <v xml:space="preserve"> </v>
      </c>
      <c r="L128" s="100" t="str">
        <f>IFERROR(VLOOKUP(Tablo520[[#This Row],[BOYA KODU]],Tablo14[#All],6,0)," ")</f>
        <v xml:space="preserve"> </v>
      </c>
      <c r="M128" s="100" t="str">
        <f t="shared" si="7"/>
        <v xml:space="preserve"> </v>
      </c>
      <c r="N128" s="100" t="str">
        <f>IFERROR(VLOOKUP(Tablo520[[#This Row],[ÜRÜN KODU]],YMKODLARI!$A$1:$K$373,8,0)," ")</f>
        <v xml:space="preserve"> </v>
      </c>
      <c r="O128" s="100" t="str">
        <f>IFERROR(VLOOKUP(Tablo520[[#This Row],[HAMMADDE KODU]],Tablo1[#All],3,0)," ")</f>
        <v xml:space="preserve"> </v>
      </c>
      <c r="P128" s="100" t="str">
        <f>IFERROR(VLOOKUP(Tablo520[[#This Row],[HAMMADDE KODU]],Tablo1[#All],4,0)," ")</f>
        <v xml:space="preserve"> </v>
      </c>
      <c r="Q128" s="100" t="str">
        <f>IFERROR(VLOOKUP(Tablo520[[#This Row],[ÜRÜN KODU]],YMKODLARI!$A$1:$K$373,5,0)," ")</f>
        <v xml:space="preserve"> </v>
      </c>
      <c r="R128" s="100" t="str">
        <f>IFERROR(VLOOKUP(Tablo520[[#This Row],[ÜRÜN KODU]],YMKODLARI!$A$1:$K$373,6,0)," ")</f>
        <v xml:space="preserve"> </v>
      </c>
      <c r="S128" s="100" t="str">
        <f>IFERROR(Tablo520[[#This Row],[YOLLUK HARİÇ BASKI GRAMI]]/Tablo520[[#This Row],[KALIP GÖZ ADEDİ]]," ")</f>
        <v xml:space="preserve"> </v>
      </c>
      <c r="T128" s="100" t="str">
        <f t="shared" si="9"/>
        <v xml:space="preserve"> </v>
      </c>
      <c r="U128" s="100"/>
      <c r="V128" s="100" t="str">
        <f t="shared" si="8"/>
        <v xml:space="preserve"> </v>
      </c>
      <c r="W128" s="101">
        <f t="shared" si="10"/>
        <v>24</v>
      </c>
      <c r="X128" s="102">
        <f t="shared" si="11"/>
        <v>0</v>
      </c>
      <c r="Y128" s="100" t="str">
        <f t="shared" si="12"/>
        <v xml:space="preserve"> </v>
      </c>
      <c r="Z128" s="100" t="str">
        <f t="shared" si="13"/>
        <v xml:space="preserve"> </v>
      </c>
    </row>
    <row r="129" spans="1:26">
      <c r="A129" s="100"/>
      <c r="B129" s="100" t="str">
        <f>IFERROR(VLOOKUP(Tablo520[[#This Row],[ÜRÜN KODU]],YMKODLARI!$A$1:$K$373,2,0)," ")</f>
        <v xml:space="preserve"> </v>
      </c>
      <c r="C129" s="99"/>
      <c r="D129" s="100"/>
      <c r="E129" s="101"/>
      <c r="F129" s="101"/>
      <c r="G129" s="100" t="str">
        <f>IFERROR(VLOOKUP(Tablo520[[#This Row],[ÜRÜN KODU]],YMKODLARI!$A$1:$K$373,3,0)," ")</f>
        <v xml:space="preserve"> </v>
      </c>
      <c r="H129" s="100" t="str">
        <f>IFERROR(VLOOKUP(Tablo520[[#This Row],[ÜRÜN KODU]],YMKODLARI!$A$1:$K$373,4,0)," ")</f>
        <v xml:space="preserve"> </v>
      </c>
      <c r="I129" s="100"/>
      <c r="J129" s="100" t="str">
        <f>IFERROR(VLOOKUP(Tablo520[[#This Row],[ÜRÜN KODU]],YMKODLARI!$A$1:$K$373,9,0)," ")</f>
        <v xml:space="preserve"> </v>
      </c>
      <c r="K129" s="100" t="str">
        <f>IFERROR(VLOOKUP(Tablo520[[#This Row],[BOYA KODU]],Tablo14[#All],4,0)," ")</f>
        <v xml:space="preserve"> </v>
      </c>
      <c r="L129" s="100" t="str">
        <f>IFERROR(VLOOKUP(Tablo520[[#This Row],[BOYA KODU]],Tablo14[#All],6,0)," ")</f>
        <v xml:space="preserve"> </v>
      </c>
      <c r="M129" s="100" t="str">
        <f t="shared" si="7"/>
        <v xml:space="preserve"> </v>
      </c>
      <c r="N129" s="100" t="str">
        <f>IFERROR(VLOOKUP(Tablo520[[#This Row],[ÜRÜN KODU]],YMKODLARI!$A$1:$K$373,8,0)," ")</f>
        <v xml:space="preserve"> </v>
      </c>
      <c r="O129" s="100" t="str">
        <f>IFERROR(VLOOKUP(Tablo520[[#This Row],[HAMMADDE KODU]],Tablo1[#All],3,0)," ")</f>
        <v xml:space="preserve"> </v>
      </c>
      <c r="P129" s="100" t="str">
        <f>IFERROR(VLOOKUP(Tablo520[[#This Row],[HAMMADDE KODU]],Tablo1[#All],4,0)," ")</f>
        <v xml:space="preserve"> </v>
      </c>
      <c r="Q129" s="100" t="str">
        <f>IFERROR(VLOOKUP(Tablo520[[#This Row],[ÜRÜN KODU]],YMKODLARI!$A$1:$K$373,5,0)," ")</f>
        <v xml:space="preserve"> </v>
      </c>
      <c r="R129" s="100" t="str">
        <f>IFERROR(VLOOKUP(Tablo520[[#This Row],[ÜRÜN KODU]],YMKODLARI!$A$1:$K$373,6,0)," ")</f>
        <v xml:space="preserve"> </v>
      </c>
      <c r="S129" s="100" t="str">
        <f>IFERROR(Tablo520[[#This Row],[YOLLUK HARİÇ BASKI GRAMI]]/Tablo520[[#This Row],[KALIP GÖZ ADEDİ]]," ")</f>
        <v xml:space="preserve"> </v>
      </c>
      <c r="T129" s="100" t="str">
        <f t="shared" si="9"/>
        <v xml:space="preserve"> </v>
      </c>
      <c r="U129" s="100"/>
      <c r="V129" s="100" t="str">
        <f t="shared" si="8"/>
        <v xml:space="preserve"> </v>
      </c>
      <c r="W129" s="101">
        <f t="shared" si="10"/>
        <v>24</v>
      </c>
      <c r="X129" s="102">
        <f t="shared" si="11"/>
        <v>0</v>
      </c>
      <c r="Y129" s="100" t="str">
        <f t="shared" si="12"/>
        <v xml:space="preserve"> </v>
      </c>
      <c r="Z129" s="100" t="str">
        <f t="shared" si="13"/>
        <v xml:space="preserve"> </v>
      </c>
    </row>
    <row r="130" spans="1:26">
      <c r="A130" s="100"/>
      <c r="B130" s="100" t="str">
        <f>IFERROR(VLOOKUP(Tablo520[[#This Row],[ÜRÜN KODU]],YMKODLARI!$A$1:$K$373,2,0)," ")</f>
        <v xml:space="preserve"> </v>
      </c>
      <c r="C130" s="99"/>
      <c r="D130" s="100"/>
      <c r="E130" s="101"/>
      <c r="F130" s="101"/>
      <c r="G130" s="100" t="str">
        <f>IFERROR(VLOOKUP(Tablo520[[#This Row],[ÜRÜN KODU]],YMKODLARI!$A$1:$K$373,3,0)," ")</f>
        <v xml:space="preserve"> </v>
      </c>
      <c r="H130" s="100" t="str">
        <f>IFERROR(VLOOKUP(Tablo520[[#This Row],[ÜRÜN KODU]],YMKODLARI!$A$1:$K$373,4,0)," ")</f>
        <v xml:space="preserve"> </v>
      </c>
      <c r="I130" s="100"/>
      <c r="J130" s="100" t="str">
        <f>IFERROR(VLOOKUP(Tablo520[[#This Row],[ÜRÜN KODU]],YMKODLARI!$A$1:$K$373,9,0)," ")</f>
        <v xml:space="preserve"> </v>
      </c>
      <c r="K130" s="100" t="str">
        <f>IFERROR(VLOOKUP(Tablo520[[#This Row],[BOYA KODU]],Tablo14[#All],4,0)," ")</f>
        <v xml:space="preserve"> </v>
      </c>
      <c r="L130" s="100" t="str">
        <f>IFERROR(VLOOKUP(Tablo520[[#This Row],[BOYA KODU]],Tablo14[#All],6,0)," ")</f>
        <v xml:space="preserve"> </v>
      </c>
      <c r="M130" s="100" t="str">
        <f t="shared" ref="M130:M193" si="14">IFERROR((I130*Q130)*L130," ")</f>
        <v xml:space="preserve"> </v>
      </c>
      <c r="N130" s="100" t="str">
        <f>IFERROR(VLOOKUP(Tablo520[[#This Row],[ÜRÜN KODU]],YMKODLARI!$A$1:$K$373,8,0)," ")</f>
        <v xml:space="preserve"> </v>
      </c>
      <c r="O130" s="100" t="str">
        <f>IFERROR(VLOOKUP(Tablo520[[#This Row],[HAMMADDE KODU]],Tablo1[#All],3,0)," ")</f>
        <v xml:space="preserve"> </v>
      </c>
      <c r="P130" s="100" t="str">
        <f>IFERROR(VLOOKUP(Tablo520[[#This Row],[HAMMADDE KODU]],Tablo1[#All],4,0)," ")</f>
        <v xml:space="preserve"> </v>
      </c>
      <c r="Q130" s="100" t="str">
        <f>IFERROR(VLOOKUP(Tablo520[[#This Row],[ÜRÜN KODU]],YMKODLARI!$A$1:$K$373,5,0)," ")</f>
        <v xml:space="preserve"> </v>
      </c>
      <c r="R130" s="100" t="str">
        <f>IFERROR(VLOOKUP(Tablo520[[#This Row],[ÜRÜN KODU]],YMKODLARI!$A$1:$K$373,6,0)," ")</f>
        <v xml:space="preserve"> </v>
      </c>
      <c r="S130" s="100" t="str">
        <f>IFERROR(Tablo520[[#This Row],[YOLLUK HARİÇ BASKI GRAMI]]/Tablo520[[#This Row],[KALIP GÖZ ADEDİ]]," ")</f>
        <v xml:space="preserve"> </v>
      </c>
      <c r="T130" s="100" t="str">
        <f t="shared" si="9"/>
        <v xml:space="preserve"> </v>
      </c>
      <c r="U130" s="100"/>
      <c r="V130" s="100" t="str">
        <f t="shared" ref="V130:V193" si="15">IFERROR(U130+(R130*I130) /1000," ")</f>
        <v xml:space="preserve"> </v>
      </c>
      <c r="W130" s="101">
        <f t="shared" si="10"/>
        <v>24</v>
      </c>
      <c r="X130" s="102">
        <f t="shared" si="11"/>
        <v>0</v>
      </c>
      <c r="Y130" s="100" t="str">
        <f t="shared" si="12"/>
        <v xml:space="preserve"> </v>
      </c>
      <c r="Z130" s="100" t="str">
        <f t="shared" si="13"/>
        <v xml:space="preserve"> </v>
      </c>
    </row>
    <row r="131" spans="1:26">
      <c r="A131" s="100"/>
      <c r="B131" s="100" t="str">
        <f>IFERROR(VLOOKUP(Tablo520[[#This Row],[ÜRÜN KODU]],YMKODLARI!$A$1:$K$373,2,0)," ")</f>
        <v xml:space="preserve"> </v>
      </c>
      <c r="C131" s="99"/>
      <c r="D131" s="100"/>
      <c r="E131" s="101"/>
      <c r="F131" s="101"/>
      <c r="G131" s="100" t="str">
        <f>IFERROR(VLOOKUP(Tablo520[[#This Row],[ÜRÜN KODU]],YMKODLARI!$A$1:$K$373,3,0)," ")</f>
        <v xml:space="preserve"> </v>
      </c>
      <c r="H131" s="100" t="str">
        <f>IFERROR(VLOOKUP(Tablo520[[#This Row],[ÜRÜN KODU]],YMKODLARI!$A$1:$K$373,4,0)," ")</f>
        <v xml:space="preserve"> </v>
      </c>
      <c r="I131" s="100"/>
      <c r="J131" s="100" t="str">
        <f>IFERROR(VLOOKUP(Tablo520[[#This Row],[ÜRÜN KODU]],YMKODLARI!$A$1:$K$373,9,0)," ")</f>
        <v xml:space="preserve"> </v>
      </c>
      <c r="K131" s="100" t="str">
        <f>IFERROR(VLOOKUP(Tablo520[[#This Row],[BOYA KODU]],Tablo14[#All],4,0)," ")</f>
        <v xml:space="preserve"> </v>
      </c>
      <c r="L131" s="100" t="str">
        <f>IFERROR(VLOOKUP(Tablo520[[#This Row],[BOYA KODU]],Tablo14[#All],6,0)," ")</f>
        <v xml:space="preserve"> </v>
      </c>
      <c r="M131" s="100" t="str">
        <f t="shared" si="14"/>
        <v xml:space="preserve"> </v>
      </c>
      <c r="N131" s="100" t="str">
        <f>IFERROR(VLOOKUP(Tablo520[[#This Row],[ÜRÜN KODU]],YMKODLARI!$A$1:$K$373,8,0)," ")</f>
        <v xml:space="preserve"> </v>
      </c>
      <c r="O131" s="100" t="str">
        <f>IFERROR(VLOOKUP(Tablo520[[#This Row],[HAMMADDE KODU]],Tablo1[#All],3,0)," ")</f>
        <v xml:space="preserve"> </v>
      </c>
      <c r="P131" s="100" t="str">
        <f>IFERROR(VLOOKUP(Tablo520[[#This Row],[HAMMADDE KODU]],Tablo1[#All],4,0)," ")</f>
        <v xml:space="preserve"> </v>
      </c>
      <c r="Q131" s="100" t="str">
        <f>IFERROR(VLOOKUP(Tablo520[[#This Row],[ÜRÜN KODU]],YMKODLARI!$A$1:$K$373,5,0)," ")</f>
        <v xml:space="preserve"> </v>
      </c>
      <c r="R131" s="100" t="str">
        <f>IFERROR(VLOOKUP(Tablo520[[#This Row],[ÜRÜN KODU]],YMKODLARI!$A$1:$K$373,6,0)," ")</f>
        <v xml:space="preserve"> </v>
      </c>
      <c r="S131" s="100" t="str">
        <f>IFERROR(Tablo520[[#This Row],[YOLLUK HARİÇ BASKI GRAMI]]/Tablo520[[#This Row],[KALIP GÖZ ADEDİ]]," ")</f>
        <v xml:space="preserve"> </v>
      </c>
      <c r="T131" s="100" t="str">
        <f t="shared" ref="T131:T194" si="16">IFERROR(Q131-R131," ")</f>
        <v xml:space="preserve"> </v>
      </c>
      <c r="U131" s="100"/>
      <c r="V131" s="100" t="str">
        <f t="shared" si="15"/>
        <v xml:space="preserve"> </v>
      </c>
      <c r="W131" s="101">
        <f t="shared" ref="W131:W194" si="17">IFERROR(24-(E131-F131)," ")</f>
        <v>24</v>
      </c>
      <c r="X131" s="102">
        <f t="shared" ref="X131:X194" si="18">IFERROR((W131-INT(W131))*24," ")</f>
        <v>0</v>
      </c>
      <c r="Y131" s="100" t="str">
        <f t="shared" ref="Y131:Y194" si="19">IFERROR(H131*I131/3600," ")</f>
        <v xml:space="preserve"> </v>
      </c>
      <c r="Z131" s="100" t="str">
        <f t="shared" ref="Z131:Z194" si="20">IFERROR(I131*G131," " )</f>
        <v xml:space="preserve"> </v>
      </c>
    </row>
    <row r="132" spans="1:26">
      <c r="A132" s="100"/>
      <c r="B132" s="100" t="str">
        <f>IFERROR(VLOOKUP(Tablo520[[#This Row],[ÜRÜN KODU]],YMKODLARI!$A$1:$K$373,2,0)," ")</f>
        <v xml:space="preserve"> </v>
      </c>
      <c r="C132" s="99"/>
      <c r="D132" s="100"/>
      <c r="E132" s="101"/>
      <c r="F132" s="101"/>
      <c r="G132" s="100" t="str">
        <f>IFERROR(VLOOKUP(Tablo520[[#This Row],[ÜRÜN KODU]],YMKODLARI!$A$1:$K$373,3,0)," ")</f>
        <v xml:space="preserve"> </v>
      </c>
      <c r="H132" s="100" t="str">
        <f>IFERROR(VLOOKUP(Tablo520[[#This Row],[ÜRÜN KODU]],YMKODLARI!$A$1:$K$373,4,0)," ")</f>
        <v xml:space="preserve"> </v>
      </c>
      <c r="I132" s="100"/>
      <c r="J132" s="100" t="str">
        <f>IFERROR(VLOOKUP(Tablo520[[#This Row],[ÜRÜN KODU]],YMKODLARI!$A$1:$K$373,9,0)," ")</f>
        <v xml:space="preserve"> </v>
      </c>
      <c r="K132" s="100" t="str">
        <f>IFERROR(VLOOKUP(Tablo520[[#This Row],[BOYA KODU]],Tablo14[#All],4,0)," ")</f>
        <v xml:space="preserve"> </v>
      </c>
      <c r="L132" s="100" t="str">
        <f>IFERROR(VLOOKUP(Tablo520[[#This Row],[BOYA KODU]],Tablo14[#All],6,0)," ")</f>
        <v xml:space="preserve"> </v>
      </c>
      <c r="M132" s="100" t="str">
        <f t="shared" si="14"/>
        <v xml:space="preserve"> </v>
      </c>
      <c r="N132" s="100" t="str">
        <f>IFERROR(VLOOKUP(Tablo520[[#This Row],[ÜRÜN KODU]],YMKODLARI!$A$1:$K$373,8,0)," ")</f>
        <v xml:space="preserve"> </v>
      </c>
      <c r="O132" s="100" t="str">
        <f>IFERROR(VLOOKUP(Tablo520[[#This Row],[HAMMADDE KODU]],Tablo1[#All],3,0)," ")</f>
        <v xml:space="preserve"> </v>
      </c>
      <c r="P132" s="100" t="str">
        <f>IFERROR(VLOOKUP(Tablo520[[#This Row],[HAMMADDE KODU]],Tablo1[#All],4,0)," ")</f>
        <v xml:space="preserve"> </v>
      </c>
      <c r="Q132" s="100" t="str">
        <f>IFERROR(VLOOKUP(Tablo520[[#This Row],[ÜRÜN KODU]],YMKODLARI!$A$1:$K$373,5,0)," ")</f>
        <v xml:space="preserve"> </v>
      </c>
      <c r="R132" s="100" t="str">
        <f>IFERROR(VLOOKUP(Tablo520[[#This Row],[ÜRÜN KODU]],YMKODLARI!$A$1:$K$373,6,0)," ")</f>
        <v xml:space="preserve"> </v>
      </c>
      <c r="S132" s="100" t="str">
        <f>IFERROR(Tablo520[[#This Row],[YOLLUK HARİÇ BASKI GRAMI]]/Tablo520[[#This Row],[KALIP GÖZ ADEDİ]]," ")</f>
        <v xml:space="preserve"> </v>
      </c>
      <c r="T132" s="100" t="str">
        <f t="shared" si="16"/>
        <v xml:space="preserve"> </v>
      </c>
      <c r="U132" s="100"/>
      <c r="V132" s="100" t="str">
        <f t="shared" si="15"/>
        <v xml:space="preserve"> </v>
      </c>
      <c r="W132" s="101">
        <f t="shared" si="17"/>
        <v>24</v>
      </c>
      <c r="X132" s="102">
        <f t="shared" si="18"/>
        <v>0</v>
      </c>
      <c r="Y132" s="100" t="str">
        <f t="shared" si="19"/>
        <v xml:space="preserve"> </v>
      </c>
      <c r="Z132" s="100" t="str">
        <f t="shared" si="20"/>
        <v xml:space="preserve"> </v>
      </c>
    </row>
    <row r="133" spans="1:26">
      <c r="A133" s="100"/>
      <c r="B133" s="100" t="str">
        <f>IFERROR(VLOOKUP(Tablo520[[#This Row],[ÜRÜN KODU]],YMKODLARI!$A$1:$K$373,2,0)," ")</f>
        <v xml:space="preserve"> </v>
      </c>
      <c r="C133" s="99"/>
      <c r="D133" s="100"/>
      <c r="E133" s="101"/>
      <c r="F133" s="101"/>
      <c r="G133" s="100" t="str">
        <f>IFERROR(VLOOKUP(Tablo520[[#This Row],[ÜRÜN KODU]],YMKODLARI!$A$1:$K$373,3,0)," ")</f>
        <v xml:space="preserve"> </v>
      </c>
      <c r="H133" s="100" t="str">
        <f>IFERROR(VLOOKUP(Tablo520[[#This Row],[ÜRÜN KODU]],YMKODLARI!$A$1:$K$373,4,0)," ")</f>
        <v xml:space="preserve"> </v>
      </c>
      <c r="I133" s="100"/>
      <c r="J133" s="100" t="str">
        <f>IFERROR(VLOOKUP(Tablo520[[#This Row],[ÜRÜN KODU]],YMKODLARI!$A$1:$K$373,9,0)," ")</f>
        <v xml:space="preserve"> </v>
      </c>
      <c r="K133" s="100" t="str">
        <f>IFERROR(VLOOKUP(Tablo520[[#This Row],[BOYA KODU]],Tablo14[#All],4,0)," ")</f>
        <v xml:space="preserve"> </v>
      </c>
      <c r="L133" s="100" t="str">
        <f>IFERROR(VLOOKUP(Tablo520[[#This Row],[BOYA KODU]],Tablo14[#All],6,0)," ")</f>
        <v xml:space="preserve"> </v>
      </c>
      <c r="M133" s="100" t="str">
        <f t="shared" si="14"/>
        <v xml:space="preserve"> </v>
      </c>
      <c r="N133" s="100" t="str">
        <f>IFERROR(VLOOKUP(Tablo520[[#This Row],[ÜRÜN KODU]],YMKODLARI!$A$1:$K$373,8,0)," ")</f>
        <v xml:space="preserve"> </v>
      </c>
      <c r="O133" s="100" t="str">
        <f>IFERROR(VLOOKUP(Tablo520[[#This Row],[HAMMADDE KODU]],Tablo1[#All],3,0)," ")</f>
        <v xml:space="preserve"> </v>
      </c>
      <c r="P133" s="100" t="str">
        <f>IFERROR(VLOOKUP(Tablo520[[#This Row],[HAMMADDE KODU]],Tablo1[#All],4,0)," ")</f>
        <v xml:space="preserve"> </v>
      </c>
      <c r="Q133" s="100" t="str">
        <f>IFERROR(VLOOKUP(Tablo520[[#This Row],[ÜRÜN KODU]],YMKODLARI!$A$1:$K$373,5,0)," ")</f>
        <v xml:space="preserve"> </v>
      </c>
      <c r="R133" s="100" t="str">
        <f>IFERROR(VLOOKUP(Tablo520[[#This Row],[ÜRÜN KODU]],YMKODLARI!$A$1:$K$373,6,0)," ")</f>
        <v xml:space="preserve"> </v>
      </c>
      <c r="S133" s="100" t="str">
        <f>IFERROR(Tablo520[[#This Row],[YOLLUK HARİÇ BASKI GRAMI]]/Tablo520[[#This Row],[KALIP GÖZ ADEDİ]]," ")</f>
        <v xml:space="preserve"> </v>
      </c>
      <c r="T133" s="100" t="str">
        <f t="shared" si="16"/>
        <v xml:space="preserve"> </v>
      </c>
      <c r="U133" s="100"/>
      <c r="V133" s="100" t="str">
        <f t="shared" si="15"/>
        <v xml:space="preserve"> </v>
      </c>
      <c r="W133" s="101">
        <f t="shared" si="17"/>
        <v>24</v>
      </c>
      <c r="X133" s="102">
        <f t="shared" si="18"/>
        <v>0</v>
      </c>
      <c r="Y133" s="100" t="str">
        <f t="shared" si="19"/>
        <v xml:space="preserve"> </v>
      </c>
      <c r="Z133" s="100" t="str">
        <f t="shared" si="20"/>
        <v xml:space="preserve"> </v>
      </c>
    </row>
    <row r="134" spans="1:26">
      <c r="A134" s="100"/>
      <c r="B134" s="100" t="str">
        <f>IFERROR(VLOOKUP(Tablo520[[#This Row],[ÜRÜN KODU]],YMKODLARI!$A$1:$K$373,2,0)," ")</f>
        <v xml:space="preserve"> </v>
      </c>
      <c r="C134" s="99"/>
      <c r="D134" s="100"/>
      <c r="E134" s="101"/>
      <c r="F134" s="101"/>
      <c r="G134" s="100" t="str">
        <f>IFERROR(VLOOKUP(Tablo520[[#This Row],[ÜRÜN KODU]],YMKODLARI!$A$1:$K$373,3,0)," ")</f>
        <v xml:space="preserve"> </v>
      </c>
      <c r="H134" s="100" t="str">
        <f>IFERROR(VLOOKUP(Tablo520[[#This Row],[ÜRÜN KODU]],YMKODLARI!$A$1:$K$373,4,0)," ")</f>
        <v xml:space="preserve"> </v>
      </c>
      <c r="I134" s="100"/>
      <c r="J134" s="100" t="str">
        <f>IFERROR(VLOOKUP(Tablo520[[#This Row],[ÜRÜN KODU]],YMKODLARI!$A$1:$K$373,9,0)," ")</f>
        <v xml:space="preserve"> </v>
      </c>
      <c r="K134" s="100" t="str">
        <f>IFERROR(VLOOKUP(Tablo520[[#This Row],[BOYA KODU]],Tablo14[#All],4,0)," ")</f>
        <v xml:space="preserve"> </v>
      </c>
      <c r="L134" s="100" t="str">
        <f>IFERROR(VLOOKUP(Tablo520[[#This Row],[BOYA KODU]],Tablo14[#All],6,0)," ")</f>
        <v xml:space="preserve"> </v>
      </c>
      <c r="M134" s="100" t="str">
        <f t="shared" si="14"/>
        <v xml:space="preserve"> </v>
      </c>
      <c r="N134" s="100" t="str">
        <f>IFERROR(VLOOKUP(Tablo520[[#This Row],[ÜRÜN KODU]],YMKODLARI!$A$1:$K$373,8,0)," ")</f>
        <v xml:space="preserve"> </v>
      </c>
      <c r="O134" s="100" t="str">
        <f>IFERROR(VLOOKUP(Tablo520[[#This Row],[HAMMADDE KODU]],Tablo1[#All],3,0)," ")</f>
        <v xml:space="preserve"> </v>
      </c>
      <c r="P134" s="100" t="str">
        <f>IFERROR(VLOOKUP(Tablo520[[#This Row],[HAMMADDE KODU]],Tablo1[#All],4,0)," ")</f>
        <v xml:space="preserve"> </v>
      </c>
      <c r="Q134" s="100" t="str">
        <f>IFERROR(VLOOKUP(Tablo520[[#This Row],[ÜRÜN KODU]],YMKODLARI!$A$1:$K$373,5,0)," ")</f>
        <v xml:space="preserve"> </v>
      </c>
      <c r="R134" s="100" t="str">
        <f>IFERROR(VLOOKUP(Tablo520[[#This Row],[ÜRÜN KODU]],YMKODLARI!$A$1:$K$373,6,0)," ")</f>
        <v xml:space="preserve"> </v>
      </c>
      <c r="S134" s="100" t="str">
        <f>IFERROR(Tablo520[[#This Row],[YOLLUK HARİÇ BASKI GRAMI]]/Tablo520[[#This Row],[KALIP GÖZ ADEDİ]]," ")</f>
        <v xml:space="preserve"> </v>
      </c>
      <c r="T134" s="100" t="str">
        <f t="shared" si="16"/>
        <v xml:space="preserve"> </v>
      </c>
      <c r="U134" s="100"/>
      <c r="V134" s="100" t="str">
        <f t="shared" si="15"/>
        <v xml:space="preserve"> </v>
      </c>
      <c r="W134" s="101">
        <f t="shared" si="17"/>
        <v>24</v>
      </c>
      <c r="X134" s="102">
        <f t="shared" si="18"/>
        <v>0</v>
      </c>
      <c r="Y134" s="100" t="str">
        <f t="shared" si="19"/>
        <v xml:space="preserve"> </v>
      </c>
      <c r="Z134" s="100" t="str">
        <f t="shared" si="20"/>
        <v xml:space="preserve"> </v>
      </c>
    </row>
    <row r="135" spans="1:26">
      <c r="A135" s="100"/>
      <c r="B135" s="100" t="str">
        <f>IFERROR(VLOOKUP(Tablo520[[#This Row],[ÜRÜN KODU]],YMKODLARI!$A$1:$K$373,2,0)," ")</f>
        <v xml:space="preserve"> </v>
      </c>
      <c r="C135" s="99"/>
      <c r="D135" s="100"/>
      <c r="E135" s="101"/>
      <c r="F135" s="101"/>
      <c r="G135" s="100" t="str">
        <f>IFERROR(VLOOKUP(Tablo520[[#This Row],[ÜRÜN KODU]],YMKODLARI!$A$1:$K$373,3,0)," ")</f>
        <v xml:space="preserve"> </v>
      </c>
      <c r="H135" s="100" t="str">
        <f>IFERROR(VLOOKUP(Tablo520[[#This Row],[ÜRÜN KODU]],YMKODLARI!$A$1:$K$373,4,0)," ")</f>
        <v xml:space="preserve"> </v>
      </c>
      <c r="I135" s="100"/>
      <c r="J135" s="100" t="str">
        <f>IFERROR(VLOOKUP(Tablo520[[#This Row],[ÜRÜN KODU]],YMKODLARI!$A$1:$K$373,9,0)," ")</f>
        <v xml:space="preserve"> </v>
      </c>
      <c r="K135" s="100" t="str">
        <f>IFERROR(VLOOKUP(Tablo520[[#This Row],[BOYA KODU]],Tablo14[#All],4,0)," ")</f>
        <v xml:space="preserve"> </v>
      </c>
      <c r="L135" s="100" t="str">
        <f>IFERROR(VLOOKUP(Tablo520[[#This Row],[BOYA KODU]],Tablo14[#All],6,0)," ")</f>
        <v xml:space="preserve"> </v>
      </c>
      <c r="M135" s="100" t="str">
        <f t="shared" si="14"/>
        <v xml:space="preserve"> </v>
      </c>
      <c r="N135" s="100" t="str">
        <f>IFERROR(VLOOKUP(Tablo520[[#This Row],[ÜRÜN KODU]],YMKODLARI!$A$1:$K$373,8,0)," ")</f>
        <v xml:space="preserve"> </v>
      </c>
      <c r="O135" s="100" t="str">
        <f>IFERROR(VLOOKUP(Tablo520[[#This Row],[HAMMADDE KODU]],Tablo1[#All],3,0)," ")</f>
        <v xml:space="preserve"> </v>
      </c>
      <c r="P135" s="100" t="str">
        <f>IFERROR(VLOOKUP(Tablo520[[#This Row],[HAMMADDE KODU]],Tablo1[#All],4,0)," ")</f>
        <v xml:space="preserve"> </v>
      </c>
      <c r="Q135" s="100" t="str">
        <f>IFERROR(VLOOKUP(Tablo520[[#This Row],[ÜRÜN KODU]],YMKODLARI!$A$1:$K$373,5,0)," ")</f>
        <v xml:space="preserve"> </v>
      </c>
      <c r="R135" s="100" t="str">
        <f>IFERROR(VLOOKUP(Tablo520[[#This Row],[ÜRÜN KODU]],YMKODLARI!$A$1:$K$373,6,0)," ")</f>
        <v xml:space="preserve"> </v>
      </c>
      <c r="S135" s="100" t="str">
        <f>IFERROR(Tablo520[[#This Row],[YOLLUK HARİÇ BASKI GRAMI]]/Tablo520[[#This Row],[KALIP GÖZ ADEDİ]]," ")</f>
        <v xml:space="preserve"> </v>
      </c>
      <c r="T135" s="100" t="str">
        <f t="shared" si="16"/>
        <v xml:space="preserve"> </v>
      </c>
      <c r="U135" s="100"/>
      <c r="V135" s="100" t="str">
        <f t="shared" si="15"/>
        <v xml:space="preserve"> </v>
      </c>
      <c r="W135" s="101">
        <f t="shared" si="17"/>
        <v>24</v>
      </c>
      <c r="X135" s="102">
        <f t="shared" si="18"/>
        <v>0</v>
      </c>
      <c r="Y135" s="100" t="str">
        <f t="shared" si="19"/>
        <v xml:space="preserve"> </v>
      </c>
      <c r="Z135" s="100" t="str">
        <f t="shared" si="20"/>
        <v xml:space="preserve"> </v>
      </c>
    </row>
    <row r="136" spans="1:26">
      <c r="A136" s="100"/>
      <c r="B136" s="100" t="str">
        <f>IFERROR(VLOOKUP(Tablo520[[#This Row],[ÜRÜN KODU]],YMKODLARI!$A$1:$K$373,2,0)," ")</f>
        <v xml:space="preserve"> </v>
      </c>
      <c r="C136" s="99"/>
      <c r="D136" s="100"/>
      <c r="E136" s="101"/>
      <c r="F136" s="101"/>
      <c r="G136" s="100" t="str">
        <f>IFERROR(VLOOKUP(Tablo520[[#This Row],[ÜRÜN KODU]],YMKODLARI!$A$1:$K$373,3,0)," ")</f>
        <v xml:space="preserve"> </v>
      </c>
      <c r="H136" s="100" t="str">
        <f>IFERROR(VLOOKUP(Tablo520[[#This Row],[ÜRÜN KODU]],YMKODLARI!$A$1:$K$373,4,0)," ")</f>
        <v xml:space="preserve"> </v>
      </c>
      <c r="I136" s="100"/>
      <c r="J136" s="100" t="str">
        <f>IFERROR(VLOOKUP(Tablo520[[#This Row],[ÜRÜN KODU]],YMKODLARI!$A$1:$K$373,9,0)," ")</f>
        <v xml:space="preserve"> </v>
      </c>
      <c r="K136" s="100" t="str">
        <f>IFERROR(VLOOKUP(Tablo520[[#This Row],[BOYA KODU]],Tablo14[#All],4,0)," ")</f>
        <v xml:space="preserve"> </v>
      </c>
      <c r="L136" s="100" t="str">
        <f>IFERROR(VLOOKUP(Tablo520[[#This Row],[BOYA KODU]],Tablo14[#All],6,0)," ")</f>
        <v xml:space="preserve"> </v>
      </c>
      <c r="M136" s="100" t="str">
        <f t="shared" si="14"/>
        <v xml:space="preserve"> </v>
      </c>
      <c r="N136" s="100" t="str">
        <f>IFERROR(VLOOKUP(Tablo520[[#This Row],[ÜRÜN KODU]],YMKODLARI!$A$1:$K$373,8,0)," ")</f>
        <v xml:space="preserve"> </v>
      </c>
      <c r="O136" s="100" t="str">
        <f>IFERROR(VLOOKUP(Tablo520[[#This Row],[HAMMADDE KODU]],Tablo1[#All],3,0)," ")</f>
        <v xml:space="preserve"> </v>
      </c>
      <c r="P136" s="100" t="str">
        <f>IFERROR(VLOOKUP(Tablo520[[#This Row],[HAMMADDE KODU]],Tablo1[#All],4,0)," ")</f>
        <v xml:space="preserve"> </v>
      </c>
      <c r="Q136" s="100" t="str">
        <f>IFERROR(VLOOKUP(Tablo520[[#This Row],[ÜRÜN KODU]],YMKODLARI!$A$1:$K$373,5,0)," ")</f>
        <v xml:space="preserve"> </v>
      </c>
      <c r="R136" s="100" t="str">
        <f>IFERROR(VLOOKUP(Tablo520[[#This Row],[ÜRÜN KODU]],YMKODLARI!$A$1:$K$373,6,0)," ")</f>
        <v xml:space="preserve"> </v>
      </c>
      <c r="S136" s="100" t="str">
        <f>IFERROR(Tablo520[[#This Row],[YOLLUK HARİÇ BASKI GRAMI]]/Tablo520[[#This Row],[KALIP GÖZ ADEDİ]]," ")</f>
        <v xml:space="preserve"> </v>
      </c>
      <c r="T136" s="100" t="str">
        <f t="shared" si="16"/>
        <v xml:space="preserve"> </v>
      </c>
      <c r="U136" s="100"/>
      <c r="V136" s="100" t="str">
        <f t="shared" si="15"/>
        <v xml:space="preserve"> </v>
      </c>
      <c r="W136" s="101">
        <f t="shared" si="17"/>
        <v>24</v>
      </c>
      <c r="X136" s="102">
        <f t="shared" si="18"/>
        <v>0</v>
      </c>
      <c r="Y136" s="100" t="str">
        <f t="shared" si="19"/>
        <v xml:space="preserve"> </v>
      </c>
      <c r="Z136" s="100" t="str">
        <f t="shared" si="20"/>
        <v xml:space="preserve"> </v>
      </c>
    </row>
    <row r="137" spans="1:26">
      <c r="A137" s="100"/>
      <c r="B137" s="100" t="str">
        <f>IFERROR(VLOOKUP(Tablo520[[#This Row],[ÜRÜN KODU]],YMKODLARI!$A$1:$K$373,2,0)," ")</f>
        <v xml:space="preserve"> </v>
      </c>
      <c r="C137" s="99"/>
      <c r="D137" s="100"/>
      <c r="E137" s="101"/>
      <c r="F137" s="101"/>
      <c r="G137" s="100" t="str">
        <f>IFERROR(VLOOKUP(Tablo520[[#This Row],[ÜRÜN KODU]],YMKODLARI!$A$1:$K$373,3,0)," ")</f>
        <v xml:space="preserve"> </v>
      </c>
      <c r="H137" s="100" t="str">
        <f>IFERROR(VLOOKUP(Tablo520[[#This Row],[ÜRÜN KODU]],YMKODLARI!$A$1:$K$373,4,0)," ")</f>
        <v xml:space="preserve"> </v>
      </c>
      <c r="I137" s="100"/>
      <c r="J137" s="100" t="str">
        <f>IFERROR(VLOOKUP(Tablo520[[#This Row],[ÜRÜN KODU]],YMKODLARI!$A$1:$K$373,9,0)," ")</f>
        <v xml:space="preserve"> </v>
      </c>
      <c r="K137" s="100" t="str">
        <f>IFERROR(VLOOKUP(Tablo520[[#This Row],[BOYA KODU]],Tablo14[#All],4,0)," ")</f>
        <v xml:space="preserve"> </v>
      </c>
      <c r="L137" s="100" t="str">
        <f>IFERROR(VLOOKUP(Tablo520[[#This Row],[BOYA KODU]],Tablo14[#All],6,0)," ")</f>
        <v xml:space="preserve"> </v>
      </c>
      <c r="M137" s="100" t="str">
        <f t="shared" si="14"/>
        <v xml:space="preserve"> </v>
      </c>
      <c r="N137" s="100" t="str">
        <f>IFERROR(VLOOKUP(Tablo520[[#This Row],[ÜRÜN KODU]],YMKODLARI!$A$1:$K$373,8,0)," ")</f>
        <v xml:space="preserve"> </v>
      </c>
      <c r="O137" s="100" t="str">
        <f>IFERROR(VLOOKUP(Tablo520[[#This Row],[HAMMADDE KODU]],Tablo1[#All],3,0)," ")</f>
        <v xml:space="preserve"> </v>
      </c>
      <c r="P137" s="100" t="str">
        <f>IFERROR(VLOOKUP(Tablo520[[#This Row],[HAMMADDE KODU]],Tablo1[#All],4,0)," ")</f>
        <v xml:space="preserve"> </v>
      </c>
      <c r="Q137" s="100" t="str">
        <f>IFERROR(VLOOKUP(Tablo520[[#This Row],[ÜRÜN KODU]],YMKODLARI!$A$1:$K$373,5,0)," ")</f>
        <v xml:space="preserve"> </v>
      </c>
      <c r="R137" s="100" t="str">
        <f>IFERROR(VLOOKUP(Tablo520[[#This Row],[ÜRÜN KODU]],YMKODLARI!$A$1:$K$373,6,0)," ")</f>
        <v xml:space="preserve"> </v>
      </c>
      <c r="S137" s="100" t="str">
        <f>IFERROR(Tablo520[[#This Row],[YOLLUK HARİÇ BASKI GRAMI]]/Tablo520[[#This Row],[KALIP GÖZ ADEDİ]]," ")</f>
        <v xml:space="preserve"> </v>
      </c>
      <c r="T137" s="100" t="str">
        <f t="shared" si="16"/>
        <v xml:space="preserve"> </v>
      </c>
      <c r="U137" s="100"/>
      <c r="V137" s="100" t="str">
        <f t="shared" si="15"/>
        <v xml:space="preserve"> </v>
      </c>
      <c r="W137" s="101">
        <f t="shared" si="17"/>
        <v>24</v>
      </c>
      <c r="X137" s="102">
        <f t="shared" si="18"/>
        <v>0</v>
      </c>
      <c r="Y137" s="100" t="str">
        <f t="shared" si="19"/>
        <v xml:space="preserve"> </v>
      </c>
      <c r="Z137" s="100" t="str">
        <f t="shared" si="20"/>
        <v xml:space="preserve"> </v>
      </c>
    </row>
    <row r="138" spans="1:26">
      <c r="A138" s="100"/>
      <c r="B138" s="100" t="str">
        <f>IFERROR(VLOOKUP(Tablo520[[#This Row],[ÜRÜN KODU]],YMKODLARI!$A$1:$K$373,2,0)," ")</f>
        <v xml:space="preserve"> </v>
      </c>
      <c r="C138" s="99"/>
      <c r="D138" s="100"/>
      <c r="E138" s="101"/>
      <c r="F138" s="101"/>
      <c r="G138" s="100" t="str">
        <f>IFERROR(VLOOKUP(Tablo520[[#This Row],[ÜRÜN KODU]],YMKODLARI!$A$1:$K$373,3,0)," ")</f>
        <v xml:space="preserve"> </v>
      </c>
      <c r="H138" s="100" t="str">
        <f>IFERROR(VLOOKUP(Tablo520[[#This Row],[ÜRÜN KODU]],YMKODLARI!$A$1:$K$373,4,0)," ")</f>
        <v xml:space="preserve"> </v>
      </c>
      <c r="I138" s="100"/>
      <c r="J138" s="100" t="str">
        <f>IFERROR(VLOOKUP(Tablo520[[#This Row],[ÜRÜN KODU]],YMKODLARI!$A$1:$K$373,9,0)," ")</f>
        <v xml:space="preserve"> </v>
      </c>
      <c r="K138" s="100" t="str">
        <f>IFERROR(VLOOKUP(Tablo520[[#This Row],[BOYA KODU]],Tablo14[#All],4,0)," ")</f>
        <v xml:space="preserve"> </v>
      </c>
      <c r="L138" s="100" t="str">
        <f>IFERROR(VLOOKUP(Tablo520[[#This Row],[BOYA KODU]],Tablo14[#All],6,0)," ")</f>
        <v xml:space="preserve"> </v>
      </c>
      <c r="M138" s="100" t="str">
        <f t="shared" si="14"/>
        <v xml:space="preserve"> </v>
      </c>
      <c r="N138" s="100" t="str">
        <f>IFERROR(VLOOKUP(Tablo520[[#This Row],[ÜRÜN KODU]],YMKODLARI!$A$1:$K$373,8,0)," ")</f>
        <v xml:space="preserve"> </v>
      </c>
      <c r="O138" s="100" t="str">
        <f>IFERROR(VLOOKUP(Tablo520[[#This Row],[HAMMADDE KODU]],Tablo1[#All],3,0)," ")</f>
        <v xml:space="preserve"> </v>
      </c>
      <c r="P138" s="100" t="str">
        <f>IFERROR(VLOOKUP(Tablo520[[#This Row],[HAMMADDE KODU]],Tablo1[#All],4,0)," ")</f>
        <v xml:space="preserve"> </v>
      </c>
      <c r="Q138" s="100" t="str">
        <f>IFERROR(VLOOKUP(Tablo520[[#This Row],[ÜRÜN KODU]],YMKODLARI!$A$1:$K$373,5,0)," ")</f>
        <v xml:space="preserve"> </v>
      </c>
      <c r="R138" s="100" t="str">
        <f>IFERROR(VLOOKUP(Tablo520[[#This Row],[ÜRÜN KODU]],YMKODLARI!$A$1:$K$373,6,0)," ")</f>
        <v xml:space="preserve"> </v>
      </c>
      <c r="S138" s="100" t="str">
        <f>IFERROR(Tablo520[[#This Row],[YOLLUK HARİÇ BASKI GRAMI]]/Tablo520[[#This Row],[KALIP GÖZ ADEDİ]]," ")</f>
        <v xml:space="preserve"> </v>
      </c>
      <c r="T138" s="100" t="str">
        <f t="shared" si="16"/>
        <v xml:space="preserve"> </v>
      </c>
      <c r="U138" s="100"/>
      <c r="V138" s="100" t="str">
        <f t="shared" si="15"/>
        <v xml:space="preserve"> </v>
      </c>
      <c r="W138" s="101">
        <f t="shared" si="17"/>
        <v>24</v>
      </c>
      <c r="X138" s="102">
        <f t="shared" si="18"/>
        <v>0</v>
      </c>
      <c r="Y138" s="100" t="str">
        <f t="shared" si="19"/>
        <v xml:space="preserve"> </v>
      </c>
      <c r="Z138" s="100" t="str">
        <f t="shared" si="20"/>
        <v xml:space="preserve"> </v>
      </c>
    </row>
    <row r="139" spans="1:26">
      <c r="A139" s="100"/>
      <c r="B139" s="100" t="str">
        <f>IFERROR(VLOOKUP(Tablo520[[#This Row],[ÜRÜN KODU]],YMKODLARI!$A$1:$K$373,2,0)," ")</f>
        <v xml:space="preserve"> </v>
      </c>
      <c r="C139" s="99"/>
      <c r="D139" s="100"/>
      <c r="E139" s="101"/>
      <c r="F139" s="101"/>
      <c r="G139" s="100" t="str">
        <f>IFERROR(VLOOKUP(Tablo520[[#This Row],[ÜRÜN KODU]],YMKODLARI!$A$1:$K$373,3,0)," ")</f>
        <v xml:space="preserve"> </v>
      </c>
      <c r="H139" s="100" t="str">
        <f>IFERROR(VLOOKUP(Tablo520[[#This Row],[ÜRÜN KODU]],YMKODLARI!$A$1:$K$373,4,0)," ")</f>
        <v xml:space="preserve"> </v>
      </c>
      <c r="I139" s="100"/>
      <c r="J139" s="100" t="str">
        <f>IFERROR(VLOOKUP(Tablo520[[#This Row],[ÜRÜN KODU]],YMKODLARI!$A$1:$K$373,9,0)," ")</f>
        <v xml:space="preserve"> </v>
      </c>
      <c r="K139" s="100" t="str">
        <f>IFERROR(VLOOKUP(Tablo520[[#This Row],[BOYA KODU]],Tablo14[#All],4,0)," ")</f>
        <v xml:space="preserve"> </v>
      </c>
      <c r="L139" s="100" t="str">
        <f>IFERROR(VLOOKUP(Tablo520[[#This Row],[BOYA KODU]],Tablo14[#All],6,0)," ")</f>
        <v xml:space="preserve"> </v>
      </c>
      <c r="M139" s="100" t="str">
        <f t="shared" si="14"/>
        <v xml:space="preserve"> </v>
      </c>
      <c r="N139" s="100" t="str">
        <f>IFERROR(VLOOKUP(Tablo520[[#This Row],[ÜRÜN KODU]],YMKODLARI!$A$1:$K$373,8,0)," ")</f>
        <v xml:space="preserve"> </v>
      </c>
      <c r="O139" s="100" t="str">
        <f>IFERROR(VLOOKUP(Tablo520[[#This Row],[HAMMADDE KODU]],Tablo1[#All],3,0)," ")</f>
        <v xml:space="preserve"> </v>
      </c>
      <c r="P139" s="100" t="str">
        <f>IFERROR(VLOOKUP(Tablo520[[#This Row],[HAMMADDE KODU]],Tablo1[#All],4,0)," ")</f>
        <v xml:space="preserve"> </v>
      </c>
      <c r="Q139" s="100" t="str">
        <f>IFERROR(VLOOKUP(Tablo520[[#This Row],[ÜRÜN KODU]],YMKODLARI!$A$1:$K$373,5,0)," ")</f>
        <v xml:space="preserve"> </v>
      </c>
      <c r="R139" s="100" t="str">
        <f>IFERROR(VLOOKUP(Tablo520[[#This Row],[ÜRÜN KODU]],YMKODLARI!$A$1:$K$373,6,0)," ")</f>
        <v xml:space="preserve"> </v>
      </c>
      <c r="S139" s="100" t="str">
        <f>IFERROR(Tablo520[[#This Row],[YOLLUK HARİÇ BASKI GRAMI]]/Tablo520[[#This Row],[KALIP GÖZ ADEDİ]]," ")</f>
        <v xml:space="preserve"> </v>
      </c>
      <c r="T139" s="100" t="str">
        <f t="shared" si="16"/>
        <v xml:space="preserve"> </v>
      </c>
      <c r="U139" s="100"/>
      <c r="V139" s="100" t="str">
        <f t="shared" si="15"/>
        <v xml:space="preserve"> </v>
      </c>
      <c r="W139" s="101">
        <f t="shared" si="17"/>
        <v>24</v>
      </c>
      <c r="X139" s="102">
        <f t="shared" si="18"/>
        <v>0</v>
      </c>
      <c r="Y139" s="100" t="str">
        <f t="shared" si="19"/>
        <v xml:space="preserve"> </v>
      </c>
      <c r="Z139" s="100" t="str">
        <f t="shared" si="20"/>
        <v xml:space="preserve"> </v>
      </c>
    </row>
    <row r="140" spans="1:26">
      <c r="A140" s="100"/>
      <c r="B140" s="100" t="str">
        <f>IFERROR(VLOOKUP(Tablo520[[#This Row],[ÜRÜN KODU]],YMKODLARI!$A$1:$K$373,2,0)," ")</f>
        <v xml:space="preserve"> </v>
      </c>
      <c r="C140" s="99"/>
      <c r="D140" s="100"/>
      <c r="E140" s="101"/>
      <c r="F140" s="101"/>
      <c r="G140" s="100" t="str">
        <f>IFERROR(VLOOKUP(Tablo520[[#This Row],[ÜRÜN KODU]],YMKODLARI!$A$1:$K$373,3,0)," ")</f>
        <v xml:space="preserve"> </v>
      </c>
      <c r="H140" s="100" t="str">
        <f>IFERROR(VLOOKUP(Tablo520[[#This Row],[ÜRÜN KODU]],YMKODLARI!$A$1:$K$373,4,0)," ")</f>
        <v xml:space="preserve"> </v>
      </c>
      <c r="I140" s="100"/>
      <c r="J140" s="100" t="str">
        <f>IFERROR(VLOOKUP(Tablo520[[#This Row],[ÜRÜN KODU]],YMKODLARI!$A$1:$K$373,9,0)," ")</f>
        <v xml:space="preserve"> </v>
      </c>
      <c r="K140" s="100" t="str">
        <f>IFERROR(VLOOKUP(Tablo520[[#This Row],[BOYA KODU]],Tablo14[#All],4,0)," ")</f>
        <v xml:space="preserve"> </v>
      </c>
      <c r="L140" s="100" t="str">
        <f>IFERROR(VLOOKUP(Tablo520[[#This Row],[BOYA KODU]],Tablo14[#All],6,0)," ")</f>
        <v xml:space="preserve"> </v>
      </c>
      <c r="M140" s="100" t="str">
        <f t="shared" si="14"/>
        <v xml:space="preserve"> </v>
      </c>
      <c r="N140" s="100" t="str">
        <f>IFERROR(VLOOKUP(Tablo520[[#This Row],[ÜRÜN KODU]],YMKODLARI!$A$1:$K$373,8,0)," ")</f>
        <v xml:space="preserve"> </v>
      </c>
      <c r="O140" s="100" t="str">
        <f>IFERROR(VLOOKUP(Tablo520[[#This Row],[HAMMADDE KODU]],Tablo1[#All],3,0)," ")</f>
        <v xml:space="preserve"> </v>
      </c>
      <c r="P140" s="100" t="str">
        <f>IFERROR(VLOOKUP(Tablo520[[#This Row],[HAMMADDE KODU]],Tablo1[#All],4,0)," ")</f>
        <v xml:space="preserve"> </v>
      </c>
      <c r="Q140" s="100" t="str">
        <f>IFERROR(VLOOKUP(Tablo520[[#This Row],[ÜRÜN KODU]],YMKODLARI!$A$1:$K$373,5,0)," ")</f>
        <v xml:space="preserve"> </v>
      </c>
      <c r="R140" s="100" t="str">
        <f>IFERROR(VLOOKUP(Tablo520[[#This Row],[ÜRÜN KODU]],YMKODLARI!$A$1:$K$373,6,0)," ")</f>
        <v xml:space="preserve"> </v>
      </c>
      <c r="S140" s="100" t="str">
        <f>IFERROR(Tablo520[[#This Row],[YOLLUK HARİÇ BASKI GRAMI]]/Tablo520[[#This Row],[KALIP GÖZ ADEDİ]]," ")</f>
        <v xml:space="preserve"> </v>
      </c>
      <c r="T140" s="100" t="str">
        <f t="shared" si="16"/>
        <v xml:space="preserve"> </v>
      </c>
      <c r="U140" s="100"/>
      <c r="V140" s="100" t="str">
        <f t="shared" si="15"/>
        <v xml:space="preserve"> </v>
      </c>
      <c r="W140" s="101">
        <f t="shared" si="17"/>
        <v>24</v>
      </c>
      <c r="X140" s="102">
        <f t="shared" si="18"/>
        <v>0</v>
      </c>
      <c r="Y140" s="100" t="str">
        <f t="shared" si="19"/>
        <v xml:space="preserve"> </v>
      </c>
      <c r="Z140" s="100" t="str">
        <f t="shared" si="20"/>
        <v xml:space="preserve"> </v>
      </c>
    </row>
    <row r="141" spans="1:26">
      <c r="A141" s="100"/>
      <c r="B141" s="100" t="str">
        <f>IFERROR(VLOOKUP(Tablo520[[#This Row],[ÜRÜN KODU]],YMKODLARI!$A$1:$K$373,2,0)," ")</f>
        <v xml:space="preserve"> </v>
      </c>
      <c r="C141" s="99"/>
      <c r="D141" s="100"/>
      <c r="E141" s="101"/>
      <c r="F141" s="101"/>
      <c r="G141" s="100" t="str">
        <f>IFERROR(VLOOKUP(Tablo520[[#This Row],[ÜRÜN KODU]],YMKODLARI!$A$1:$K$373,3,0)," ")</f>
        <v xml:space="preserve"> </v>
      </c>
      <c r="H141" s="100" t="str">
        <f>IFERROR(VLOOKUP(Tablo520[[#This Row],[ÜRÜN KODU]],YMKODLARI!$A$1:$K$373,4,0)," ")</f>
        <v xml:space="preserve"> </v>
      </c>
      <c r="I141" s="100"/>
      <c r="J141" s="100" t="str">
        <f>IFERROR(VLOOKUP(Tablo520[[#This Row],[ÜRÜN KODU]],YMKODLARI!$A$1:$K$373,9,0)," ")</f>
        <v xml:space="preserve"> </v>
      </c>
      <c r="K141" s="100" t="str">
        <f>IFERROR(VLOOKUP(Tablo520[[#This Row],[BOYA KODU]],Tablo14[#All],4,0)," ")</f>
        <v xml:space="preserve"> </v>
      </c>
      <c r="L141" s="100" t="str">
        <f>IFERROR(VLOOKUP(Tablo520[[#This Row],[BOYA KODU]],Tablo14[#All],6,0)," ")</f>
        <v xml:space="preserve"> </v>
      </c>
      <c r="M141" s="100" t="str">
        <f t="shared" si="14"/>
        <v xml:space="preserve"> </v>
      </c>
      <c r="N141" s="100" t="str">
        <f>IFERROR(VLOOKUP(Tablo520[[#This Row],[ÜRÜN KODU]],YMKODLARI!$A$1:$K$373,8,0)," ")</f>
        <v xml:space="preserve"> </v>
      </c>
      <c r="O141" s="100" t="str">
        <f>IFERROR(VLOOKUP(Tablo520[[#This Row],[HAMMADDE KODU]],Tablo1[#All],3,0)," ")</f>
        <v xml:space="preserve"> </v>
      </c>
      <c r="P141" s="100" t="str">
        <f>IFERROR(VLOOKUP(Tablo520[[#This Row],[HAMMADDE KODU]],Tablo1[#All],4,0)," ")</f>
        <v xml:space="preserve"> </v>
      </c>
      <c r="Q141" s="100" t="str">
        <f>IFERROR(VLOOKUP(Tablo520[[#This Row],[ÜRÜN KODU]],YMKODLARI!$A$1:$K$373,5,0)," ")</f>
        <v xml:space="preserve"> </v>
      </c>
      <c r="R141" s="100" t="str">
        <f>IFERROR(VLOOKUP(Tablo520[[#This Row],[ÜRÜN KODU]],YMKODLARI!$A$1:$K$373,6,0)," ")</f>
        <v xml:space="preserve"> </v>
      </c>
      <c r="S141" s="100" t="str">
        <f>IFERROR(Tablo520[[#This Row],[YOLLUK HARİÇ BASKI GRAMI]]/Tablo520[[#This Row],[KALIP GÖZ ADEDİ]]," ")</f>
        <v xml:space="preserve"> </v>
      </c>
      <c r="T141" s="100" t="str">
        <f t="shared" si="16"/>
        <v xml:space="preserve"> </v>
      </c>
      <c r="U141" s="100"/>
      <c r="V141" s="100" t="str">
        <f t="shared" si="15"/>
        <v xml:space="preserve"> </v>
      </c>
      <c r="W141" s="101">
        <f t="shared" si="17"/>
        <v>24</v>
      </c>
      <c r="X141" s="102">
        <f t="shared" si="18"/>
        <v>0</v>
      </c>
      <c r="Y141" s="100" t="str">
        <f t="shared" si="19"/>
        <v xml:space="preserve"> </v>
      </c>
      <c r="Z141" s="100" t="str">
        <f t="shared" si="20"/>
        <v xml:space="preserve"> </v>
      </c>
    </row>
    <row r="142" spans="1:26">
      <c r="A142" s="100"/>
      <c r="B142" s="100" t="str">
        <f>IFERROR(VLOOKUP(Tablo520[[#This Row],[ÜRÜN KODU]],YMKODLARI!$A$1:$K$373,2,0)," ")</f>
        <v xml:space="preserve"> </v>
      </c>
      <c r="C142" s="99"/>
      <c r="D142" s="100"/>
      <c r="E142" s="101"/>
      <c r="F142" s="101"/>
      <c r="G142" s="100" t="str">
        <f>IFERROR(VLOOKUP(Tablo520[[#This Row],[ÜRÜN KODU]],YMKODLARI!$A$1:$K$373,3,0)," ")</f>
        <v xml:space="preserve"> </v>
      </c>
      <c r="H142" s="100" t="str">
        <f>IFERROR(VLOOKUP(Tablo520[[#This Row],[ÜRÜN KODU]],YMKODLARI!$A$1:$K$373,4,0)," ")</f>
        <v xml:space="preserve"> </v>
      </c>
      <c r="I142" s="100"/>
      <c r="J142" s="100" t="str">
        <f>IFERROR(VLOOKUP(Tablo520[[#This Row],[ÜRÜN KODU]],YMKODLARI!$A$1:$K$373,9,0)," ")</f>
        <v xml:space="preserve"> </v>
      </c>
      <c r="K142" s="100" t="str">
        <f>IFERROR(VLOOKUP(Tablo520[[#This Row],[BOYA KODU]],Tablo14[#All],4,0)," ")</f>
        <v xml:space="preserve"> </v>
      </c>
      <c r="L142" s="100" t="str">
        <f>IFERROR(VLOOKUP(Tablo520[[#This Row],[BOYA KODU]],Tablo14[#All],6,0)," ")</f>
        <v xml:space="preserve"> </v>
      </c>
      <c r="M142" s="100" t="str">
        <f t="shared" si="14"/>
        <v xml:space="preserve"> </v>
      </c>
      <c r="N142" s="100" t="str">
        <f>IFERROR(VLOOKUP(Tablo520[[#This Row],[ÜRÜN KODU]],YMKODLARI!$A$1:$K$373,8,0)," ")</f>
        <v xml:space="preserve"> </v>
      </c>
      <c r="O142" s="100" t="str">
        <f>IFERROR(VLOOKUP(Tablo520[[#This Row],[HAMMADDE KODU]],Tablo1[#All],3,0)," ")</f>
        <v xml:space="preserve"> </v>
      </c>
      <c r="P142" s="100" t="str">
        <f>IFERROR(VLOOKUP(Tablo520[[#This Row],[HAMMADDE KODU]],Tablo1[#All],4,0)," ")</f>
        <v xml:space="preserve"> </v>
      </c>
      <c r="Q142" s="100" t="str">
        <f>IFERROR(VLOOKUP(Tablo520[[#This Row],[ÜRÜN KODU]],YMKODLARI!$A$1:$K$373,5,0)," ")</f>
        <v xml:space="preserve"> </v>
      </c>
      <c r="R142" s="100" t="str">
        <f>IFERROR(VLOOKUP(Tablo520[[#This Row],[ÜRÜN KODU]],YMKODLARI!$A$1:$K$373,6,0)," ")</f>
        <v xml:space="preserve"> </v>
      </c>
      <c r="S142" s="100" t="str">
        <f>IFERROR(Tablo520[[#This Row],[YOLLUK HARİÇ BASKI GRAMI]]/Tablo520[[#This Row],[KALIP GÖZ ADEDİ]]," ")</f>
        <v xml:space="preserve"> </v>
      </c>
      <c r="T142" s="100" t="str">
        <f t="shared" si="16"/>
        <v xml:space="preserve"> </v>
      </c>
      <c r="U142" s="100"/>
      <c r="V142" s="100" t="str">
        <f t="shared" si="15"/>
        <v xml:space="preserve"> </v>
      </c>
      <c r="W142" s="101">
        <f t="shared" si="17"/>
        <v>24</v>
      </c>
      <c r="X142" s="102">
        <f t="shared" si="18"/>
        <v>0</v>
      </c>
      <c r="Y142" s="100" t="str">
        <f t="shared" si="19"/>
        <v xml:space="preserve"> </v>
      </c>
      <c r="Z142" s="100" t="str">
        <f t="shared" si="20"/>
        <v xml:space="preserve"> </v>
      </c>
    </row>
    <row r="143" spans="1:26">
      <c r="A143" s="100"/>
      <c r="B143" s="100" t="str">
        <f>IFERROR(VLOOKUP(Tablo520[[#This Row],[ÜRÜN KODU]],YMKODLARI!$A$1:$K$373,2,0)," ")</f>
        <v xml:space="preserve"> </v>
      </c>
      <c r="C143" s="99"/>
      <c r="D143" s="100"/>
      <c r="E143" s="101"/>
      <c r="F143" s="101"/>
      <c r="G143" s="100" t="str">
        <f>IFERROR(VLOOKUP(Tablo520[[#This Row],[ÜRÜN KODU]],YMKODLARI!$A$1:$K$373,3,0)," ")</f>
        <v xml:space="preserve"> </v>
      </c>
      <c r="H143" s="100" t="str">
        <f>IFERROR(VLOOKUP(Tablo520[[#This Row],[ÜRÜN KODU]],YMKODLARI!$A$1:$K$373,4,0)," ")</f>
        <v xml:space="preserve"> </v>
      </c>
      <c r="I143" s="100"/>
      <c r="J143" s="100" t="str">
        <f>IFERROR(VLOOKUP(Tablo520[[#This Row],[ÜRÜN KODU]],YMKODLARI!$A$1:$K$373,9,0)," ")</f>
        <v xml:space="preserve"> </v>
      </c>
      <c r="K143" s="100" t="str">
        <f>IFERROR(VLOOKUP(Tablo520[[#This Row],[BOYA KODU]],Tablo14[#All],4,0)," ")</f>
        <v xml:space="preserve"> </v>
      </c>
      <c r="L143" s="100" t="str">
        <f>IFERROR(VLOOKUP(Tablo520[[#This Row],[BOYA KODU]],Tablo14[#All],6,0)," ")</f>
        <v xml:space="preserve"> </v>
      </c>
      <c r="M143" s="100" t="str">
        <f t="shared" si="14"/>
        <v xml:space="preserve"> </v>
      </c>
      <c r="N143" s="100" t="str">
        <f>IFERROR(VLOOKUP(Tablo520[[#This Row],[ÜRÜN KODU]],YMKODLARI!$A$1:$K$373,8,0)," ")</f>
        <v xml:space="preserve"> </v>
      </c>
      <c r="O143" s="100" t="str">
        <f>IFERROR(VLOOKUP(Tablo520[[#This Row],[HAMMADDE KODU]],Tablo1[#All],3,0)," ")</f>
        <v xml:space="preserve"> </v>
      </c>
      <c r="P143" s="100" t="str">
        <f>IFERROR(VLOOKUP(Tablo520[[#This Row],[HAMMADDE KODU]],Tablo1[#All],4,0)," ")</f>
        <v xml:space="preserve"> </v>
      </c>
      <c r="Q143" s="100" t="str">
        <f>IFERROR(VLOOKUP(Tablo520[[#This Row],[ÜRÜN KODU]],YMKODLARI!$A$1:$K$373,5,0)," ")</f>
        <v xml:space="preserve"> </v>
      </c>
      <c r="R143" s="100" t="str">
        <f>IFERROR(VLOOKUP(Tablo520[[#This Row],[ÜRÜN KODU]],YMKODLARI!$A$1:$K$373,6,0)," ")</f>
        <v xml:space="preserve"> </v>
      </c>
      <c r="S143" s="100" t="str">
        <f>IFERROR(Tablo520[[#This Row],[YOLLUK HARİÇ BASKI GRAMI]]/Tablo520[[#This Row],[KALIP GÖZ ADEDİ]]," ")</f>
        <v xml:space="preserve"> </v>
      </c>
      <c r="T143" s="100" t="str">
        <f t="shared" si="16"/>
        <v xml:space="preserve"> </v>
      </c>
      <c r="U143" s="100"/>
      <c r="V143" s="100" t="str">
        <f t="shared" si="15"/>
        <v xml:space="preserve"> </v>
      </c>
      <c r="W143" s="101">
        <f t="shared" si="17"/>
        <v>24</v>
      </c>
      <c r="X143" s="102">
        <f t="shared" si="18"/>
        <v>0</v>
      </c>
      <c r="Y143" s="100" t="str">
        <f t="shared" si="19"/>
        <v xml:space="preserve"> </v>
      </c>
      <c r="Z143" s="100" t="str">
        <f t="shared" si="20"/>
        <v xml:space="preserve"> </v>
      </c>
    </row>
    <row r="144" spans="1:26">
      <c r="A144" s="100"/>
      <c r="B144" s="100" t="str">
        <f>IFERROR(VLOOKUP(Tablo520[[#This Row],[ÜRÜN KODU]],YMKODLARI!$A$1:$K$373,2,0)," ")</f>
        <v xml:space="preserve"> </v>
      </c>
      <c r="C144" s="99"/>
      <c r="D144" s="100"/>
      <c r="E144" s="101"/>
      <c r="F144" s="101"/>
      <c r="G144" s="100" t="str">
        <f>IFERROR(VLOOKUP(Tablo520[[#This Row],[ÜRÜN KODU]],YMKODLARI!$A$1:$K$373,3,0)," ")</f>
        <v xml:space="preserve"> </v>
      </c>
      <c r="H144" s="100" t="str">
        <f>IFERROR(VLOOKUP(Tablo520[[#This Row],[ÜRÜN KODU]],YMKODLARI!$A$1:$K$373,4,0)," ")</f>
        <v xml:space="preserve"> </v>
      </c>
      <c r="I144" s="100"/>
      <c r="J144" s="100" t="str">
        <f>IFERROR(VLOOKUP(Tablo520[[#This Row],[ÜRÜN KODU]],YMKODLARI!$A$1:$K$373,9,0)," ")</f>
        <v xml:space="preserve"> </v>
      </c>
      <c r="K144" s="100" t="str">
        <f>IFERROR(VLOOKUP(Tablo520[[#This Row],[BOYA KODU]],Tablo14[#All],4,0)," ")</f>
        <v xml:space="preserve"> </v>
      </c>
      <c r="L144" s="100" t="str">
        <f>IFERROR(VLOOKUP(Tablo520[[#This Row],[BOYA KODU]],Tablo14[#All],6,0)," ")</f>
        <v xml:space="preserve"> </v>
      </c>
      <c r="M144" s="100" t="str">
        <f t="shared" si="14"/>
        <v xml:space="preserve"> </v>
      </c>
      <c r="N144" s="100" t="str">
        <f>IFERROR(VLOOKUP(Tablo520[[#This Row],[ÜRÜN KODU]],YMKODLARI!$A$1:$K$373,8,0)," ")</f>
        <v xml:space="preserve"> </v>
      </c>
      <c r="O144" s="100" t="str">
        <f>IFERROR(VLOOKUP(Tablo520[[#This Row],[HAMMADDE KODU]],Tablo1[#All],3,0)," ")</f>
        <v xml:space="preserve"> </v>
      </c>
      <c r="P144" s="100" t="str">
        <f>IFERROR(VLOOKUP(Tablo520[[#This Row],[HAMMADDE KODU]],Tablo1[#All],4,0)," ")</f>
        <v xml:space="preserve"> </v>
      </c>
      <c r="Q144" s="100" t="str">
        <f>IFERROR(VLOOKUP(Tablo520[[#This Row],[ÜRÜN KODU]],YMKODLARI!$A$1:$K$373,5,0)," ")</f>
        <v xml:space="preserve"> </v>
      </c>
      <c r="R144" s="100" t="str">
        <f>IFERROR(VLOOKUP(Tablo520[[#This Row],[ÜRÜN KODU]],YMKODLARI!$A$1:$K$373,6,0)," ")</f>
        <v xml:space="preserve"> </v>
      </c>
      <c r="S144" s="100" t="str">
        <f>IFERROR(Tablo520[[#This Row],[YOLLUK HARİÇ BASKI GRAMI]]/Tablo520[[#This Row],[KALIP GÖZ ADEDİ]]," ")</f>
        <v xml:space="preserve"> </v>
      </c>
      <c r="T144" s="100" t="str">
        <f t="shared" si="16"/>
        <v xml:space="preserve"> </v>
      </c>
      <c r="U144" s="100"/>
      <c r="V144" s="100" t="str">
        <f t="shared" si="15"/>
        <v xml:space="preserve"> </v>
      </c>
      <c r="W144" s="101">
        <f t="shared" si="17"/>
        <v>24</v>
      </c>
      <c r="X144" s="102">
        <f t="shared" si="18"/>
        <v>0</v>
      </c>
      <c r="Y144" s="100" t="str">
        <f t="shared" si="19"/>
        <v xml:space="preserve"> </v>
      </c>
      <c r="Z144" s="100" t="str">
        <f t="shared" si="20"/>
        <v xml:space="preserve"> </v>
      </c>
    </row>
    <row r="145" spans="1:26">
      <c r="A145" s="100"/>
      <c r="B145" s="100" t="str">
        <f>IFERROR(VLOOKUP(Tablo520[[#This Row],[ÜRÜN KODU]],YMKODLARI!$A$1:$K$373,2,0)," ")</f>
        <v xml:space="preserve"> </v>
      </c>
      <c r="C145" s="99"/>
      <c r="D145" s="100"/>
      <c r="E145" s="101"/>
      <c r="F145" s="101"/>
      <c r="G145" s="100" t="str">
        <f>IFERROR(VLOOKUP(Tablo520[[#This Row],[ÜRÜN KODU]],YMKODLARI!$A$1:$K$373,3,0)," ")</f>
        <v xml:space="preserve"> </v>
      </c>
      <c r="H145" s="100" t="str">
        <f>IFERROR(VLOOKUP(Tablo520[[#This Row],[ÜRÜN KODU]],YMKODLARI!$A$1:$K$373,4,0)," ")</f>
        <v xml:space="preserve"> </v>
      </c>
      <c r="I145" s="100"/>
      <c r="J145" s="100" t="str">
        <f>IFERROR(VLOOKUP(Tablo520[[#This Row],[ÜRÜN KODU]],YMKODLARI!$A$1:$K$373,9,0)," ")</f>
        <v xml:space="preserve"> </v>
      </c>
      <c r="K145" s="100" t="str">
        <f>IFERROR(VLOOKUP(Tablo520[[#This Row],[BOYA KODU]],Tablo14[#All],4,0)," ")</f>
        <v xml:space="preserve"> </v>
      </c>
      <c r="L145" s="100" t="str">
        <f>IFERROR(VLOOKUP(Tablo520[[#This Row],[BOYA KODU]],Tablo14[#All],6,0)," ")</f>
        <v xml:space="preserve"> </v>
      </c>
      <c r="M145" s="100" t="str">
        <f t="shared" si="14"/>
        <v xml:space="preserve"> </v>
      </c>
      <c r="N145" s="100" t="str">
        <f>IFERROR(VLOOKUP(Tablo520[[#This Row],[ÜRÜN KODU]],YMKODLARI!$A$1:$K$373,8,0)," ")</f>
        <v xml:space="preserve"> </v>
      </c>
      <c r="O145" s="100" t="str">
        <f>IFERROR(VLOOKUP(Tablo520[[#This Row],[HAMMADDE KODU]],Tablo1[#All],3,0)," ")</f>
        <v xml:space="preserve"> </v>
      </c>
      <c r="P145" s="100" t="str">
        <f>IFERROR(VLOOKUP(Tablo520[[#This Row],[HAMMADDE KODU]],Tablo1[#All],4,0)," ")</f>
        <v xml:space="preserve"> </v>
      </c>
      <c r="Q145" s="100" t="str">
        <f>IFERROR(VLOOKUP(Tablo520[[#This Row],[ÜRÜN KODU]],YMKODLARI!$A$1:$K$373,5,0)," ")</f>
        <v xml:space="preserve"> </v>
      </c>
      <c r="R145" s="100" t="str">
        <f>IFERROR(VLOOKUP(Tablo520[[#This Row],[ÜRÜN KODU]],YMKODLARI!$A$1:$K$373,6,0)," ")</f>
        <v xml:space="preserve"> </v>
      </c>
      <c r="S145" s="100" t="str">
        <f>IFERROR(Tablo520[[#This Row],[YOLLUK HARİÇ BASKI GRAMI]]/Tablo520[[#This Row],[KALIP GÖZ ADEDİ]]," ")</f>
        <v xml:space="preserve"> </v>
      </c>
      <c r="T145" s="100" t="str">
        <f t="shared" si="16"/>
        <v xml:space="preserve"> </v>
      </c>
      <c r="U145" s="100"/>
      <c r="V145" s="100" t="str">
        <f t="shared" si="15"/>
        <v xml:space="preserve"> </v>
      </c>
      <c r="W145" s="101">
        <f t="shared" si="17"/>
        <v>24</v>
      </c>
      <c r="X145" s="102">
        <f t="shared" si="18"/>
        <v>0</v>
      </c>
      <c r="Y145" s="100" t="str">
        <f t="shared" si="19"/>
        <v xml:space="preserve"> </v>
      </c>
      <c r="Z145" s="100" t="str">
        <f t="shared" si="20"/>
        <v xml:space="preserve"> </v>
      </c>
    </row>
    <row r="146" spans="1:26">
      <c r="A146" s="100"/>
      <c r="B146" s="100" t="str">
        <f>IFERROR(VLOOKUP(Tablo520[[#This Row],[ÜRÜN KODU]],YMKODLARI!$A$1:$K$373,2,0)," ")</f>
        <v xml:space="preserve"> </v>
      </c>
      <c r="C146" s="99"/>
      <c r="D146" s="100"/>
      <c r="E146" s="101"/>
      <c r="F146" s="101"/>
      <c r="G146" s="100" t="str">
        <f>IFERROR(VLOOKUP(Tablo520[[#This Row],[ÜRÜN KODU]],YMKODLARI!$A$1:$K$373,3,0)," ")</f>
        <v xml:space="preserve"> </v>
      </c>
      <c r="H146" s="100" t="str">
        <f>IFERROR(VLOOKUP(Tablo520[[#This Row],[ÜRÜN KODU]],YMKODLARI!$A$1:$K$373,4,0)," ")</f>
        <v xml:space="preserve"> </v>
      </c>
      <c r="I146" s="100"/>
      <c r="J146" s="100" t="str">
        <f>IFERROR(VLOOKUP(Tablo520[[#This Row],[ÜRÜN KODU]],YMKODLARI!$A$1:$K$373,9,0)," ")</f>
        <v xml:space="preserve"> </v>
      </c>
      <c r="K146" s="100" t="str">
        <f>IFERROR(VLOOKUP(Tablo520[[#This Row],[BOYA KODU]],Tablo14[#All],4,0)," ")</f>
        <v xml:space="preserve"> </v>
      </c>
      <c r="L146" s="100" t="str">
        <f>IFERROR(VLOOKUP(Tablo520[[#This Row],[BOYA KODU]],Tablo14[#All],6,0)," ")</f>
        <v xml:space="preserve"> </v>
      </c>
      <c r="M146" s="100" t="str">
        <f t="shared" si="14"/>
        <v xml:space="preserve"> </v>
      </c>
      <c r="N146" s="100" t="str">
        <f>IFERROR(VLOOKUP(Tablo520[[#This Row],[ÜRÜN KODU]],YMKODLARI!$A$1:$K$373,8,0)," ")</f>
        <v xml:space="preserve"> </v>
      </c>
      <c r="O146" s="100" t="str">
        <f>IFERROR(VLOOKUP(Tablo520[[#This Row],[HAMMADDE KODU]],Tablo1[#All],3,0)," ")</f>
        <v xml:space="preserve"> </v>
      </c>
      <c r="P146" s="100" t="str">
        <f>IFERROR(VLOOKUP(Tablo520[[#This Row],[HAMMADDE KODU]],Tablo1[#All],4,0)," ")</f>
        <v xml:space="preserve"> </v>
      </c>
      <c r="Q146" s="100" t="str">
        <f>IFERROR(VLOOKUP(Tablo520[[#This Row],[ÜRÜN KODU]],YMKODLARI!$A$1:$K$373,5,0)," ")</f>
        <v xml:space="preserve"> </v>
      </c>
      <c r="R146" s="100" t="str">
        <f>IFERROR(VLOOKUP(Tablo520[[#This Row],[ÜRÜN KODU]],YMKODLARI!$A$1:$K$373,6,0)," ")</f>
        <v xml:space="preserve"> </v>
      </c>
      <c r="S146" s="100" t="str">
        <f>IFERROR(Tablo520[[#This Row],[YOLLUK HARİÇ BASKI GRAMI]]/Tablo520[[#This Row],[KALIP GÖZ ADEDİ]]," ")</f>
        <v xml:space="preserve"> </v>
      </c>
      <c r="T146" s="100" t="str">
        <f t="shared" si="16"/>
        <v xml:space="preserve"> </v>
      </c>
      <c r="U146" s="100"/>
      <c r="V146" s="100" t="str">
        <f t="shared" si="15"/>
        <v xml:space="preserve"> </v>
      </c>
      <c r="W146" s="101">
        <f t="shared" si="17"/>
        <v>24</v>
      </c>
      <c r="X146" s="102">
        <f t="shared" si="18"/>
        <v>0</v>
      </c>
      <c r="Y146" s="100" t="str">
        <f t="shared" si="19"/>
        <v xml:space="preserve"> </v>
      </c>
      <c r="Z146" s="100" t="str">
        <f t="shared" si="20"/>
        <v xml:space="preserve"> </v>
      </c>
    </row>
    <row r="147" spans="1:26">
      <c r="A147" s="100"/>
      <c r="B147" s="100" t="str">
        <f>IFERROR(VLOOKUP(Tablo520[[#This Row],[ÜRÜN KODU]],YMKODLARI!$A$1:$K$373,2,0)," ")</f>
        <v xml:space="preserve"> </v>
      </c>
      <c r="C147" s="99"/>
      <c r="D147" s="100"/>
      <c r="E147" s="101"/>
      <c r="F147" s="101"/>
      <c r="G147" s="100" t="str">
        <f>IFERROR(VLOOKUP(Tablo520[[#This Row],[ÜRÜN KODU]],YMKODLARI!$A$1:$K$373,3,0)," ")</f>
        <v xml:space="preserve"> </v>
      </c>
      <c r="H147" s="100" t="str">
        <f>IFERROR(VLOOKUP(Tablo520[[#This Row],[ÜRÜN KODU]],YMKODLARI!$A$1:$K$373,4,0)," ")</f>
        <v xml:space="preserve"> </v>
      </c>
      <c r="I147" s="100"/>
      <c r="J147" s="100" t="str">
        <f>IFERROR(VLOOKUP(Tablo520[[#This Row],[ÜRÜN KODU]],YMKODLARI!$A$1:$K$373,9,0)," ")</f>
        <v xml:space="preserve"> </v>
      </c>
      <c r="K147" s="100" t="str">
        <f>IFERROR(VLOOKUP(Tablo520[[#This Row],[BOYA KODU]],Tablo14[#All],4,0)," ")</f>
        <v xml:space="preserve"> </v>
      </c>
      <c r="L147" s="100" t="str">
        <f>IFERROR(VLOOKUP(Tablo520[[#This Row],[BOYA KODU]],Tablo14[#All],6,0)," ")</f>
        <v xml:space="preserve"> </v>
      </c>
      <c r="M147" s="100" t="str">
        <f t="shared" si="14"/>
        <v xml:space="preserve"> </v>
      </c>
      <c r="N147" s="100" t="str">
        <f>IFERROR(VLOOKUP(Tablo520[[#This Row],[ÜRÜN KODU]],YMKODLARI!$A$1:$K$373,8,0)," ")</f>
        <v xml:space="preserve"> </v>
      </c>
      <c r="O147" s="100" t="str">
        <f>IFERROR(VLOOKUP(Tablo520[[#This Row],[HAMMADDE KODU]],Tablo1[#All],3,0)," ")</f>
        <v xml:space="preserve"> </v>
      </c>
      <c r="P147" s="100" t="str">
        <f>IFERROR(VLOOKUP(Tablo520[[#This Row],[HAMMADDE KODU]],Tablo1[#All],4,0)," ")</f>
        <v xml:space="preserve"> </v>
      </c>
      <c r="Q147" s="100" t="str">
        <f>IFERROR(VLOOKUP(Tablo520[[#This Row],[ÜRÜN KODU]],YMKODLARI!$A$1:$K$373,5,0)," ")</f>
        <v xml:space="preserve"> </v>
      </c>
      <c r="R147" s="100" t="str">
        <f>IFERROR(VLOOKUP(Tablo520[[#This Row],[ÜRÜN KODU]],YMKODLARI!$A$1:$K$373,6,0)," ")</f>
        <v xml:space="preserve"> </v>
      </c>
      <c r="S147" s="100" t="str">
        <f>IFERROR(Tablo520[[#This Row],[YOLLUK HARİÇ BASKI GRAMI]]/Tablo520[[#This Row],[KALIP GÖZ ADEDİ]]," ")</f>
        <v xml:space="preserve"> </v>
      </c>
      <c r="T147" s="100" t="str">
        <f t="shared" si="16"/>
        <v xml:space="preserve"> </v>
      </c>
      <c r="U147" s="100"/>
      <c r="V147" s="100" t="str">
        <f t="shared" si="15"/>
        <v xml:space="preserve"> </v>
      </c>
      <c r="W147" s="101">
        <f t="shared" si="17"/>
        <v>24</v>
      </c>
      <c r="X147" s="102">
        <f t="shared" si="18"/>
        <v>0</v>
      </c>
      <c r="Y147" s="100" t="str">
        <f t="shared" si="19"/>
        <v xml:space="preserve"> </v>
      </c>
      <c r="Z147" s="100" t="str">
        <f t="shared" si="20"/>
        <v xml:space="preserve"> </v>
      </c>
    </row>
    <row r="148" spans="1:26">
      <c r="A148" s="100"/>
      <c r="B148" s="100" t="str">
        <f>IFERROR(VLOOKUP(Tablo520[[#This Row],[ÜRÜN KODU]],YMKODLARI!$A$1:$K$373,2,0)," ")</f>
        <v xml:space="preserve"> </v>
      </c>
      <c r="C148" s="99"/>
      <c r="D148" s="100"/>
      <c r="E148" s="101"/>
      <c r="F148" s="101"/>
      <c r="G148" s="100" t="str">
        <f>IFERROR(VLOOKUP(Tablo520[[#This Row],[ÜRÜN KODU]],YMKODLARI!$A$1:$K$373,3,0)," ")</f>
        <v xml:space="preserve"> </v>
      </c>
      <c r="H148" s="100" t="str">
        <f>IFERROR(VLOOKUP(Tablo520[[#This Row],[ÜRÜN KODU]],YMKODLARI!$A$1:$K$373,4,0)," ")</f>
        <v xml:space="preserve"> </v>
      </c>
      <c r="I148" s="100"/>
      <c r="J148" s="100" t="str">
        <f>IFERROR(VLOOKUP(Tablo520[[#This Row],[ÜRÜN KODU]],YMKODLARI!$A$1:$K$373,9,0)," ")</f>
        <v xml:space="preserve"> </v>
      </c>
      <c r="K148" s="100" t="str">
        <f>IFERROR(VLOOKUP(Tablo520[[#This Row],[BOYA KODU]],Tablo14[#All],4,0)," ")</f>
        <v xml:space="preserve"> </v>
      </c>
      <c r="L148" s="100" t="str">
        <f>IFERROR(VLOOKUP(Tablo520[[#This Row],[BOYA KODU]],Tablo14[#All],6,0)," ")</f>
        <v xml:space="preserve"> </v>
      </c>
      <c r="M148" s="100" t="str">
        <f t="shared" si="14"/>
        <v xml:space="preserve"> </v>
      </c>
      <c r="N148" s="100" t="str">
        <f>IFERROR(VLOOKUP(Tablo520[[#This Row],[ÜRÜN KODU]],YMKODLARI!$A$1:$K$373,8,0)," ")</f>
        <v xml:space="preserve"> </v>
      </c>
      <c r="O148" s="100" t="str">
        <f>IFERROR(VLOOKUP(Tablo520[[#This Row],[HAMMADDE KODU]],Tablo1[#All],3,0)," ")</f>
        <v xml:space="preserve"> </v>
      </c>
      <c r="P148" s="100" t="str">
        <f>IFERROR(VLOOKUP(Tablo520[[#This Row],[HAMMADDE KODU]],Tablo1[#All],4,0)," ")</f>
        <v xml:space="preserve"> </v>
      </c>
      <c r="Q148" s="100" t="str">
        <f>IFERROR(VLOOKUP(Tablo520[[#This Row],[ÜRÜN KODU]],YMKODLARI!$A$1:$K$373,5,0)," ")</f>
        <v xml:space="preserve"> </v>
      </c>
      <c r="R148" s="100" t="str">
        <f>IFERROR(VLOOKUP(Tablo520[[#This Row],[ÜRÜN KODU]],YMKODLARI!$A$1:$K$373,6,0)," ")</f>
        <v xml:space="preserve"> </v>
      </c>
      <c r="S148" s="100" t="str">
        <f>IFERROR(Tablo520[[#This Row],[YOLLUK HARİÇ BASKI GRAMI]]/Tablo520[[#This Row],[KALIP GÖZ ADEDİ]]," ")</f>
        <v xml:space="preserve"> </v>
      </c>
      <c r="T148" s="100" t="str">
        <f t="shared" si="16"/>
        <v xml:space="preserve"> </v>
      </c>
      <c r="U148" s="100"/>
      <c r="V148" s="100" t="str">
        <f t="shared" si="15"/>
        <v xml:space="preserve"> </v>
      </c>
      <c r="W148" s="101">
        <f t="shared" si="17"/>
        <v>24</v>
      </c>
      <c r="X148" s="102">
        <f t="shared" si="18"/>
        <v>0</v>
      </c>
      <c r="Y148" s="100" t="str">
        <f t="shared" si="19"/>
        <v xml:space="preserve"> </v>
      </c>
      <c r="Z148" s="100" t="str">
        <f t="shared" si="20"/>
        <v xml:space="preserve"> </v>
      </c>
    </row>
    <row r="149" spans="1:26">
      <c r="A149" s="100"/>
      <c r="B149" s="100" t="str">
        <f>IFERROR(VLOOKUP(Tablo520[[#This Row],[ÜRÜN KODU]],YMKODLARI!$A$1:$K$373,2,0)," ")</f>
        <v xml:space="preserve"> </v>
      </c>
      <c r="C149" s="99"/>
      <c r="D149" s="100"/>
      <c r="E149" s="101"/>
      <c r="F149" s="101"/>
      <c r="G149" s="100" t="str">
        <f>IFERROR(VLOOKUP(Tablo520[[#This Row],[ÜRÜN KODU]],YMKODLARI!$A$1:$K$373,3,0)," ")</f>
        <v xml:space="preserve"> </v>
      </c>
      <c r="H149" s="100" t="str">
        <f>IFERROR(VLOOKUP(Tablo520[[#This Row],[ÜRÜN KODU]],YMKODLARI!$A$1:$K$373,4,0)," ")</f>
        <v xml:space="preserve"> </v>
      </c>
      <c r="I149" s="100"/>
      <c r="J149" s="100" t="str">
        <f>IFERROR(VLOOKUP(Tablo520[[#This Row],[ÜRÜN KODU]],YMKODLARI!$A$1:$K$373,9,0)," ")</f>
        <v xml:space="preserve"> </v>
      </c>
      <c r="K149" s="100" t="str">
        <f>IFERROR(VLOOKUP(Tablo520[[#This Row],[BOYA KODU]],Tablo14[#All],4,0)," ")</f>
        <v xml:space="preserve"> </v>
      </c>
      <c r="L149" s="100" t="str">
        <f>IFERROR(VLOOKUP(Tablo520[[#This Row],[BOYA KODU]],Tablo14[#All],6,0)," ")</f>
        <v xml:space="preserve"> </v>
      </c>
      <c r="M149" s="100" t="str">
        <f t="shared" si="14"/>
        <v xml:space="preserve"> </v>
      </c>
      <c r="N149" s="100" t="str">
        <f>IFERROR(VLOOKUP(Tablo520[[#This Row],[ÜRÜN KODU]],YMKODLARI!$A$1:$K$373,8,0)," ")</f>
        <v xml:space="preserve"> </v>
      </c>
      <c r="O149" s="100" t="str">
        <f>IFERROR(VLOOKUP(Tablo520[[#This Row],[HAMMADDE KODU]],Tablo1[#All],3,0)," ")</f>
        <v xml:space="preserve"> </v>
      </c>
      <c r="P149" s="100" t="str">
        <f>IFERROR(VLOOKUP(Tablo520[[#This Row],[HAMMADDE KODU]],Tablo1[#All],4,0)," ")</f>
        <v xml:space="preserve"> </v>
      </c>
      <c r="Q149" s="100" t="str">
        <f>IFERROR(VLOOKUP(Tablo520[[#This Row],[ÜRÜN KODU]],YMKODLARI!$A$1:$K$373,5,0)," ")</f>
        <v xml:space="preserve"> </v>
      </c>
      <c r="R149" s="100" t="str">
        <f>IFERROR(VLOOKUP(Tablo520[[#This Row],[ÜRÜN KODU]],YMKODLARI!$A$1:$K$373,6,0)," ")</f>
        <v xml:space="preserve"> </v>
      </c>
      <c r="S149" s="100" t="str">
        <f>IFERROR(Tablo520[[#This Row],[YOLLUK HARİÇ BASKI GRAMI]]/Tablo520[[#This Row],[KALIP GÖZ ADEDİ]]," ")</f>
        <v xml:space="preserve"> </v>
      </c>
      <c r="T149" s="100" t="str">
        <f t="shared" si="16"/>
        <v xml:space="preserve"> </v>
      </c>
      <c r="U149" s="100"/>
      <c r="V149" s="100" t="str">
        <f t="shared" si="15"/>
        <v xml:space="preserve"> </v>
      </c>
      <c r="W149" s="101">
        <f t="shared" si="17"/>
        <v>24</v>
      </c>
      <c r="X149" s="102">
        <f t="shared" si="18"/>
        <v>0</v>
      </c>
      <c r="Y149" s="100" t="str">
        <f t="shared" si="19"/>
        <v xml:space="preserve"> </v>
      </c>
      <c r="Z149" s="100" t="str">
        <f t="shared" si="20"/>
        <v xml:space="preserve"> </v>
      </c>
    </row>
    <row r="150" spans="1:26">
      <c r="A150" s="100"/>
      <c r="B150" s="100" t="str">
        <f>IFERROR(VLOOKUP(Tablo520[[#This Row],[ÜRÜN KODU]],YMKODLARI!$A$1:$K$373,2,0)," ")</f>
        <v xml:space="preserve"> </v>
      </c>
      <c r="C150" s="99"/>
      <c r="D150" s="100"/>
      <c r="E150" s="101"/>
      <c r="F150" s="101"/>
      <c r="G150" s="100" t="str">
        <f>IFERROR(VLOOKUP(Tablo520[[#This Row],[ÜRÜN KODU]],YMKODLARI!$A$1:$K$373,3,0)," ")</f>
        <v xml:space="preserve"> </v>
      </c>
      <c r="H150" s="100" t="str">
        <f>IFERROR(VLOOKUP(Tablo520[[#This Row],[ÜRÜN KODU]],YMKODLARI!$A$1:$K$373,4,0)," ")</f>
        <v xml:space="preserve"> </v>
      </c>
      <c r="I150" s="100"/>
      <c r="J150" s="100" t="str">
        <f>IFERROR(VLOOKUP(Tablo520[[#This Row],[ÜRÜN KODU]],YMKODLARI!$A$1:$K$373,9,0)," ")</f>
        <v xml:space="preserve"> </v>
      </c>
      <c r="K150" s="100" t="str">
        <f>IFERROR(VLOOKUP(Tablo520[[#This Row],[BOYA KODU]],Tablo14[#All],4,0)," ")</f>
        <v xml:space="preserve"> </v>
      </c>
      <c r="L150" s="100" t="str">
        <f>IFERROR(VLOOKUP(Tablo520[[#This Row],[BOYA KODU]],Tablo14[#All],6,0)," ")</f>
        <v xml:space="preserve"> </v>
      </c>
      <c r="M150" s="100" t="str">
        <f t="shared" si="14"/>
        <v xml:space="preserve"> </v>
      </c>
      <c r="N150" s="100" t="str">
        <f>IFERROR(VLOOKUP(Tablo520[[#This Row],[ÜRÜN KODU]],YMKODLARI!$A$1:$K$373,8,0)," ")</f>
        <v xml:space="preserve"> </v>
      </c>
      <c r="O150" s="100" t="str">
        <f>IFERROR(VLOOKUP(Tablo520[[#This Row],[HAMMADDE KODU]],Tablo1[#All],3,0)," ")</f>
        <v xml:space="preserve"> </v>
      </c>
      <c r="P150" s="100" t="str">
        <f>IFERROR(VLOOKUP(Tablo520[[#This Row],[HAMMADDE KODU]],Tablo1[#All],4,0)," ")</f>
        <v xml:space="preserve"> </v>
      </c>
      <c r="Q150" s="100" t="str">
        <f>IFERROR(VLOOKUP(Tablo520[[#This Row],[ÜRÜN KODU]],YMKODLARI!$A$1:$K$373,5,0)," ")</f>
        <v xml:space="preserve"> </v>
      </c>
      <c r="R150" s="100" t="str">
        <f>IFERROR(VLOOKUP(Tablo520[[#This Row],[ÜRÜN KODU]],YMKODLARI!$A$1:$K$373,6,0)," ")</f>
        <v xml:space="preserve"> </v>
      </c>
      <c r="S150" s="100" t="str">
        <f>IFERROR(Tablo520[[#This Row],[YOLLUK HARİÇ BASKI GRAMI]]/Tablo520[[#This Row],[KALIP GÖZ ADEDİ]]," ")</f>
        <v xml:space="preserve"> </v>
      </c>
      <c r="T150" s="100" t="str">
        <f t="shared" si="16"/>
        <v xml:space="preserve"> </v>
      </c>
      <c r="U150" s="100"/>
      <c r="V150" s="100" t="str">
        <f t="shared" si="15"/>
        <v xml:space="preserve"> </v>
      </c>
      <c r="W150" s="101">
        <f t="shared" si="17"/>
        <v>24</v>
      </c>
      <c r="X150" s="102">
        <f t="shared" si="18"/>
        <v>0</v>
      </c>
      <c r="Y150" s="100" t="str">
        <f t="shared" si="19"/>
        <v xml:space="preserve"> </v>
      </c>
      <c r="Z150" s="100" t="str">
        <f t="shared" si="20"/>
        <v xml:space="preserve"> </v>
      </c>
    </row>
    <row r="151" spans="1:26">
      <c r="A151" s="100"/>
      <c r="B151" s="100" t="str">
        <f>IFERROR(VLOOKUP(Tablo520[[#This Row],[ÜRÜN KODU]],YMKODLARI!$A$1:$K$373,2,0)," ")</f>
        <v xml:space="preserve"> </v>
      </c>
      <c r="C151" s="99"/>
      <c r="D151" s="100"/>
      <c r="E151" s="101"/>
      <c r="F151" s="101"/>
      <c r="G151" s="100" t="str">
        <f>IFERROR(VLOOKUP(Tablo520[[#This Row],[ÜRÜN KODU]],YMKODLARI!$A$1:$K$373,3,0)," ")</f>
        <v xml:space="preserve"> </v>
      </c>
      <c r="H151" s="100" t="str">
        <f>IFERROR(VLOOKUP(Tablo520[[#This Row],[ÜRÜN KODU]],YMKODLARI!$A$1:$K$373,4,0)," ")</f>
        <v xml:space="preserve"> </v>
      </c>
      <c r="I151" s="100"/>
      <c r="J151" s="100" t="str">
        <f>IFERROR(VLOOKUP(Tablo520[[#This Row],[ÜRÜN KODU]],YMKODLARI!$A$1:$K$373,9,0)," ")</f>
        <v xml:space="preserve"> </v>
      </c>
      <c r="K151" s="100" t="str">
        <f>IFERROR(VLOOKUP(Tablo520[[#This Row],[BOYA KODU]],Tablo14[#All],4,0)," ")</f>
        <v xml:space="preserve"> </v>
      </c>
      <c r="L151" s="100" t="str">
        <f>IFERROR(VLOOKUP(Tablo520[[#This Row],[BOYA KODU]],Tablo14[#All],6,0)," ")</f>
        <v xml:space="preserve"> </v>
      </c>
      <c r="M151" s="100" t="str">
        <f t="shared" si="14"/>
        <v xml:space="preserve"> </v>
      </c>
      <c r="N151" s="100" t="str">
        <f>IFERROR(VLOOKUP(Tablo520[[#This Row],[ÜRÜN KODU]],YMKODLARI!$A$1:$K$373,8,0)," ")</f>
        <v xml:space="preserve"> </v>
      </c>
      <c r="O151" s="100" t="str">
        <f>IFERROR(VLOOKUP(Tablo520[[#This Row],[HAMMADDE KODU]],Tablo1[#All],3,0)," ")</f>
        <v xml:space="preserve"> </v>
      </c>
      <c r="P151" s="100" t="str">
        <f>IFERROR(VLOOKUP(Tablo520[[#This Row],[HAMMADDE KODU]],Tablo1[#All],4,0)," ")</f>
        <v xml:space="preserve"> </v>
      </c>
      <c r="Q151" s="100" t="str">
        <f>IFERROR(VLOOKUP(Tablo520[[#This Row],[ÜRÜN KODU]],YMKODLARI!$A$1:$K$373,5,0)," ")</f>
        <v xml:space="preserve"> </v>
      </c>
      <c r="R151" s="100" t="str">
        <f>IFERROR(VLOOKUP(Tablo520[[#This Row],[ÜRÜN KODU]],YMKODLARI!$A$1:$K$373,6,0)," ")</f>
        <v xml:space="preserve"> </v>
      </c>
      <c r="S151" s="100" t="str">
        <f>IFERROR(Tablo520[[#This Row],[YOLLUK HARİÇ BASKI GRAMI]]/Tablo520[[#This Row],[KALIP GÖZ ADEDİ]]," ")</f>
        <v xml:space="preserve"> </v>
      </c>
      <c r="T151" s="100" t="str">
        <f t="shared" si="16"/>
        <v xml:space="preserve"> </v>
      </c>
      <c r="U151" s="100"/>
      <c r="V151" s="100" t="str">
        <f t="shared" si="15"/>
        <v xml:space="preserve"> </v>
      </c>
      <c r="W151" s="101">
        <f t="shared" si="17"/>
        <v>24</v>
      </c>
      <c r="X151" s="102">
        <f t="shared" si="18"/>
        <v>0</v>
      </c>
      <c r="Y151" s="100" t="str">
        <f t="shared" si="19"/>
        <v xml:space="preserve"> </v>
      </c>
      <c r="Z151" s="100" t="str">
        <f t="shared" si="20"/>
        <v xml:space="preserve"> </v>
      </c>
    </row>
    <row r="152" spans="1:26">
      <c r="A152" s="100"/>
      <c r="B152" s="100" t="str">
        <f>IFERROR(VLOOKUP(Tablo520[[#This Row],[ÜRÜN KODU]],YMKODLARI!$A$1:$K$373,2,0)," ")</f>
        <v xml:space="preserve"> </v>
      </c>
      <c r="C152" s="99"/>
      <c r="D152" s="100"/>
      <c r="E152" s="101"/>
      <c r="F152" s="101"/>
      <c r="G152" s="100" t="str">
        <f>IFERROR(VLOOKUP(Tablo520[[#This Row],[ÜRÜN KODU]],YMKODLARI!$A$1:$K$373,3,0)," ")</f>
        <v xml:space="preserve"> </v>
      </c>
      <c r="H152" s="100" t="str">
        <f>IFERROR(VLOOKUP(Tablo520[[#This Row],[ÜRÜN KODU]],YMKODLARI!$A$1:$K$373,4,0)," ")</f>
        <v xml:space="preserve"> </v>
      </c>
      <c r="I152" s="100"/>
      <c r="J152" s="100" t="str">
        <f>IFERROR(VLOOKUP(Tablo520[[#This Row],[ÜRÜN KODU]],YMKODLARI!$A$1:$K$373,9,0)," ")</f>
        <v xml:space="preserve"> </v>
      </c>
      <c r="K152" s="100" t="str">
        <f>IFERROR(VLOOKUP(Tablo520[[#This Row],[BOYA KODU]],Tablo14[#All],4,0)," ")</f>
        <v xml:space="preserve"> </v>
      </c>
      <c r="L152" s="100" t="str">
        <f>IFERROR(VLOOKUP(Tablo520[[#This Row],[BOYA KODU]],Tablo14[#All],6,0)," ")</f>
        <v xml:space="preserve"> </v>
      </c>
      <c r="M152" s="100" t="str">
        <f t="shared" si="14"/>
        <v xml:space="preserve"> </v>
      </c>
      <c r="N152" s="100" t="str">
        <f>IFERROR(VLOOKUP(Tablo520[[#This Row],[ÜRÜN KODU]],YMKODLARI!$A$1:$K$373,8,0)," ")</f>
        <v xml:space="preserve"> </v>
      </c>
      <c r="O152" s="100" t="str">
        <f>IFERROR(VLOOKUP(Tablo520[[#This Row],[HAMMADDE KODU]],Tablo1[#All],3,0)," ")</f>
        <v xml:space="preserve"> </v>
      </c>
      <c r="P152" s="100" t="str">
        <f>IFERROR(VLOOKUP(Tablo520[[#This Row],[HAMMADDE KODU]],Tablo1[#All],4,0)," ")</f>
        <v xml:space="preserve"> </v>
      </c>
      <c r="Q152" s="100" t="str">
        <f>IFERROR(VLOOKUP(Tablo520[[#This Row],[ÜRÜN KODU]],YMKODLARI!$A$1:$K$373,5,0)," ")</f>
        <v xml:space="preserve"> </v>
      </c>
      <c r="R152" s="100" t="str">
        <f>IFERROR(VLOOKUP(Tablo520[[#This Row],[ÜRÜN KODU]],YMKODLARI!$A$1:$K$373,6,0)," ")</f>
        <v xml:space="preserve"> </v>
      </c>
      <c r="S152" s="100" t="str">
        <f>IFERROR(Tablo520[[#This Row],[YOLLUK HARİÇ BASKI GRAMI]]/Tablo520[[#This Row],[KALIP GÖZ ADEDİ]]," ")</f>
        <v xml:space="preserve"> </v>
      </c>
      <c r="T152" s="100" t="str">
        <f t="shared" si="16"/>
        <v xml:space="preserve"> </v>
      </c>
      <c r="U152" s="100"/>
      <c r="V152" s="100" t="str">
        <f t="shared" si="15"/>
        <v xml:space="preserve"> </v>
      </c>
      <c r="W152" s="101">
        <f t="shared" si="17"/>
        <v>24</v>
      </c>
      <c r="X152" s="102">
        <f t="shared" si="18"/>
        <v>0</v>
      </c>
      <c r="Y152" s="100" t="str">
        <f t="shared" si="19"/>
        <v xml:space="preserve"> </v>
      </c>
      <c r="Z152" s="100" t="str">
        <f t="shared" si="20"/>
        <v xml:space="preserve"> </v>
      </c>
    </row>
    <row r="153" spans="1:26">
      <c r="A153" s="100"/>
      <c r="B153" s="100" t="str">
        <f>IFERROR(VLOOKUP(Tablo520[[#This Row],[ÜRÜN KODU]],YMKODLARI!$A$1:$K$373,2,0)," ")</f>
        <v xml:space="preserve"> </v>
      </c>
      <c r="C153" s="99"/>
      <c r="D153" s="100"/>
      <c r="E153" s="101"/>
      <c r="F153" s="101"/>
      <c r="G153" s="100" t="str">
        <f>IFERROR(VLOOKUP(Tablo520[[#This Row],[ÜRÜN KODU]],YMKODLARI!$A$1:$K$373,3,0)," ")</f>
        <v xml:space="preserve"> </v>
      </c>
      <c r="H153" s="100" t="str">
        <f>IFERROR(VLOOKUP(Tablo520[[#This Row],[ÜRÜN KODU]],YMKODLARI!$A$1:$K$373,4,0)," ")</f>
        <v xml:space="preserve"> </v>
      </c>
      <c r="I153" s="100"/>
      <c r="J153" s="100" t="str">
        <f>IFERROR(VLOOKUP(Tablo520[[#This Row],[ÜRÜN KODU]],YMKODLARI!$A$1:$K$373,9,0)," ")</f>
        <v xml:space="preserve"> </v>
      </c>
      <c r="K153" s="100" t="str">
        <f>IFERROR(VLOOKUP(Tablo520[[#This Row],[BOYA KODU]],Tablo14[#All],4,0)," ")</f>
        <v xml:space="preserve"> </v>
      </c>
      <c r="L153" s="100" t="str">
        <f>IFERROR(VLOOKUP(Tablo520[[#This Row],[BOYA KODU]],Tablo14[#All],6,0)," ")</f>
        <v xml:space="preserve"> </v>
      </c>
      <c r="M153" s="100" t="str">
        <f t="shared" si="14"/>
        <v xml:space="preserve"> </v>
      </c>
      <c r="N153" s="100" t="str">
        <f>IFERROR(VLOOKUP(Tablo520[[#This Row],[ÜRÜN KODU]],YMKODLARI!$A$1:$K$373,8,0)," ")</f>
        <v xml:space="preserve"> </v>
      </c>
      <c r="O153" s="100" t="str">
        <f>IFERROR(VLOOKUP(Tablo520[[#This Row],[HAMMADDE KODU]],Tablo1[#All],3,0)," ")</f>
        <v xml:space="preserve"> </v>
      </c>
      <c r="P153" s="100" t="str">
        <f>IFERROR(VLOOKUP(Tablo520[[#This Row],[HAMMADDE KODU]],Tablo1[#All],4,0)," ")</f>
        <v xml:space="preserve"> </v>
      </c>
      <c r="Q153" s="100" t="str">
        <f>IFERROR(VLOOKUP(Tablo520[[#This Row],[ÜRÜN KODU]],YMKODLARI!$A$1:$K$373,5,0)," ")</f>
        <v xml:space="preserve"> </v>
      </c>
      <c r="R153" s="100" t="str">
        <f>IFERROR(VLOOKUP(Tablo520[[#This Row],[ÜRÜN KODU]],YMKODLARI!$A$1:$K$373,6,0)," ")</f>
        <v xml:space="preserve"> </v>
      </c>
      <c r="S153" s="100" t="str">
        <f>IFERROR(Tablo520[[#This Row],[YOLLUK HARİÇ BASKI GRAMI]]/Tablo520[[#This Row],[KALIP GÖZ ADEDİ]]," ")</f>
        <v xml:space="preserve"> </v>
      </c>
      <c r="T153" s="100" t="str">
        <f t="shared" si="16"/>
        <v xml:space="preserve"> </v>
      </c>
      <c r="U153" s="100"/>
      <c r="V153" s="100" t="str">
        <f t="shared" si="15"/>
        <v xml:space="preserve"> </v>
      </c>
      <c r="W153" s="101">
        <f t="shared" si="17"/>
        <v>24</v>
      </c>
      <c r="X153" s="102">
        <f t="shared" si="18"/>
        <v>0</v>
      </c>
      <c r="Y153" s="100" t="str">
        <f t="shared" si="19"/>
        <v xml:space="preserve"> </v>
      </c>
      <c r="Z153" s="100" t="str">
        <f t="shared" si="20"/>
        <v xml:space="preserve"> </v>
      </c>
    </row>
    <row r="154" spans="1:26">
      <c r="A154" s="100"/>
      <c r="B154" s="100" t="str">
        <f>IFERROR(VLOOKUP(Tablo520[[#This Row],[ÜRÜN KODU]],YMKODLARI!$A$1:$K$373,2,0)," ")</f>
        <v xml:space="preserve"> </v>
      </c>
      <c r="C154" s="99"/>
      <c r="D154" s="100"/>
      <c r="E154" s="101"/>
      <c r="F154" s="101"/>
      <c r="G154" s="100" t="str">
        <f>IFERROR(VLOOKUP(Tablo520[[#This Row],[ÜRÜN KODU]],YMKODLARI!$A$1:$K$373,3,0)," ")</f>
        <v xml:space="preserve"> </v>
      </c>
      <c r="H154" s="100" t="str">
        <f>IFERROR(VLOOKUP(Tablo520[[#This Row],[ÜRÜN KODU]],YMKODLARI!$A$1:$K$373,4,0)," ")</f>
        <v xml:space="preserve"> </v>
      </c>
      <c r="I154" s="100"/>
      <c r="J154" s="100" t="str">
        <f>IFERROR(VLOOKUP(Tablo520[[#This Row],[ÜRÜN KODU]],YMKODLARI!$A$1:$K$373,9,0)," ")</f>
        <v xml:space="preserve"> </v>
      </c>
      <c r="K154" s="100" t="str">
        <f>IFERROR(VLOOKUP(Tablo520[[#This Row],[BOYA KODU]],Tablo14[#All],4,0)," ")</f>
        <v xml:space="preserve"> </v>
      </c>
      <c r="L154" s="100" t="str">
        <f>IFERROR(VLOOKUP(Tablo520[[#This Row],[BOYA KODU]],Tablo14[#All],6,0)," ")</f>
        <v xml:space="preserve"> </v>
      </c>
      <c r="M154" s="100" t="str">
        <f t="shared" si="14"/>
        <v xml:space="preserve"> </v>
      </c>
      <c r="N154" s="100" t="str">
        <f>IFERROR(VLOOKUP(Tablo520[[#This Row],[ÜRÜN KODU]],YMKODLARI!$A$1:$K$373,8,0)," ")</f>
        <v xml:space="preserve"> </v>
      </c>
      <c r="O154" s="100" t="str">
        <f>IFERROR(VLOOKUP(Tablo520[[#This Row],[HAMMADDE KODU]],Tablo1[#All],3,0)," ")</f>
        <v xml:space="preserve"> </v>
      </c>
      <c r="P154" s="100" t="str">
        <f>IFERROR(VLOOKUP(Tablo520[[#This Row],[HAMMADDE KODU]],Tablo1[#All],4,0)," ")</f>
        <v xml:space="preserve"> </v>
      </c>
      <c r="Q154" s="100" t="str">
        <f>IFERROR(VLOOKUP(Tablo520[[#This Row],[ÜRÜN KODU]],YMKODLARI!$A$1:$K$373,5,0)," ")</f>
        <v xml:space="preserve"> </v>
      </c>
      <c r="R154" s="100" t="str">
        <f>IFERROR(VLOOKUP(Tablo520[[#This Row],[ÜRÜN KODU]],YMKODLARI!$A$1:$K$373,6,0)," ")</f>
        <v xml:space="preserve"> </v>
      </c>
      <c r="S154" s="100" t="str">
        <f>IFERROR(Tablo520[[#This Row],[YOLLUK HARİÇ BASKI GRAMI]]/Tablo520[[#This Row],[KALIP GÖZ ADEDİ]]," ")</f>
        <v xml:space="preserve"> </v>
      </c>
      <c r="T154" s="100" t="str">
        <f t="shared" si="16"/>
        <v xml:space="preserve"> </v>
      </c>
      <c r="U154" s="100"/>
      <c r="V154" s="100" t="str">
        <f t="shared" si="15"/>
        <v xml:space="preserve"> </v>
      </c>
      <c r="W154" s="101">
        <f t="shared" si="17"/>
        <v>24</v>
      </c>
      <c r="X154" s="102">
        <f t="shared" si="18"/>
        <v>0</v>
      </c>
      <c r="Y154" s="100" t="str">
        <f t="shared" si="19"/>
        <v xml:space="preserve"> </v>
      </c>
      <c r="Z154" s="100" t="str">
        <f t="shared" si="20"/>
        <v xml:space="preserve"> </v>
      </c>
    </row>
    <row r="155" spans="1:26">
      <c r="A155" s="100"/>
      <c r="B155" s="100" t="str">
        <f>IFERROR(VLOOKUP(Tablo520[[#This Row],[ÜRÜN KODU]],YMKODLARI!$A$1:$K$373,2,0)," ")</f>
        <v xml:space="preserve"> </v>
      </c>
      <c r="C155" s="99"/>
      <c r="D155" s="100"/>
      <c r="E155" s="101"/>
      <c r="F155" s="101"/>
      <c r="G155" s="100" t="str">
        <f>IFERROR(VLOOKUP(Tablo520[[#This Row],[ÜRÜN KODU]],YMKODLARI!$A$1:$K$373,3,0)," ")</f>
        <v xml:space="preserve"> </v>
      </c>
      <c r="H155" s="100" t="str">
        <f>IFERROR(VLOOKUP(Tablo520[[#This Row],[ÜRÜN KODU]],YMKODLARI!$A$1:$K$373,4,0)," ")</f>
        <v xml:space="preserve"> </v>
      </c>
      <c r="I155" s="100"/>
      <c r="J155" s="100" t="str">
        <f>IFERROR(VLOOKUP(Tablo520[[#This Row],[ÜRÜN KODU]],YMKODLARI!$A$1:$K$373,9,0)," ")</f>
        <v xml:space="preserve"> </v>
      </c>
      <c r="K155" s="100" t="str">
        <f>IFERROR(VLOOKUP(Tablo520[[#This Row],[BOYA KODU]],Tablo14[#All],4,0)," ")</f>
        <v xml:space="preserve"> </v>
      </c>
      <c r="L155" s="100" t="str">
        <f>IFERROR(VLOOKUP(Tablo520[[#This Row],[BOYA KODU]],Tablo14[#All],6,0)," ")</f>
        <v xml:space="preserve"> </v>
      </c>
      <c r="M155" s="100" t="str">
        <f t="shared" si="14"/>
        <v xml:space="preserve"> </v>
      </c>
      <c r="N155" s="100" t="str">
        <f>IFERROR(VLOOKUP(Tablo520[[#This Row],[ÜRÜN KODU]],YMKODLARI!$A$1:$K$373,8,0)," ")</f>
        <v xml:space="preserve"> </v>
      </c>
      <c r="O155" s="100" t="str">
        <f>IFERROR(VLOOKUP(Tablo520[[#This Row],[HAMMADDE KODU]],Tablo1[#All],3,0)," ")</f>
        <v xml:space="preserve"> </v>
      </c>
      <c r="P155" s="100" t="str">
        <f>IFERROR(VLOOKUP(Tablo520[[#This Row],[HAMMADDE KODU]],Tablo1[#All],4,0)," ")</f>
        <v xml:space="preserve"> </v>
      </c>
      <c r="Q155" s="100" t="str">
        <f>IFERROR(VLOOKUP(Tablo520[[#This Row],[ÜRÜN KODU]],YMKODLARI!$A$1:$K$373,5,0)," ")</f>
        <v xml:space="preserve"> </v>
      </c>
      <c r="R155" s="100" t="str">
        <f>IFERROR(VLOOKUP(Tablo520[[#This Row],[ÜRÜN KODU]],YMKODLARI!$A$1:$K$373,6,0)," ")</f>
        <v xml:space="preserve"> </v>
      </c>
      <c r="S155" s="100" t="str">
        <f>IFERROR(Tablo520[[#This Row],[YOLLUK HARİÇ BASKI GRAMI]]/Tablo520[[#This Row],[KALIP GÖZ ADEDİ]]," ")</f>
        <v xml:space="preserve"> </v>
      </c>
      <c r="T155" s="100" t="str">
        <f t="shared" si="16"/>
        <v xml:space="preserve"> </v>
      </c>
      <c r="U155" s="100"/>
      <c r="V155" s="100" t="str">
        <f t="shared" si="15"/>
        <v xml:space="preserve"> </v>
      </c>
      <c r="W155" s="101">
        <f t="shared" si="17"/>
        <v>24</v>
      </c>
      <c r="X155" s="102">
        <f t="shared" si="18"/>
        <v>0</v>
      </c>
      <c r="Y155" s="100" t="str">
        <f t="shared" si="19"/>
        <v xml:space="preserve"> </v>
      </c>
      <c r="Z155" s="100" t="str">
        <f t="shared" si="20"/>
        <v xml:space="preserve"> </v>
      </c>
    </row>
    <row r="156" spans="1:26">
      <c r="A156" s="100"/>
      <c r="B156" s="100" t="str">
        <f>IFERROR(VLOOKUP(Tablo520[[#This Row],[ÜRÜN KODU]],YMKODLARI!$A$1:$K$373,2,0)," ")</f>
        <v xml:space="preserve"> </v>
      </c>
      <c r="C156" s="99"/>
      <c r="D156" s="100"/>
      <c r="E156" s="101"/>
      <c r="F156" s="101"/>
      <c r="G156" s="100" t="str">
        <f>IFERROR(VLOOKUP(Tablo520[[#This Row],[ÜRÜN KODU]],YMKODLARI!$A$1:$K$373,3,0)," ")</f>
        <v xml:space="preserve"> </v>
      </c>
      <c r="H156" s="100" t="str">
        <f>IFERROR(VLOOKUP(Tablo520[[#This Row],[ÜRÜN KODU]],YMKODLARI!$A$1:$K$373,4,0)," ")</f>
        <v xml:space="preserve"> </v>
      </c>
      <c r="I156" s="100"/>
      <c r="J156" s="100" t="str">
        <f>IFERROR(VLOOKUP(Tablo520[[#This Row],[ÜRÜN KODU]],YMKODLARI!$A$1:$K$373,9,0)," ")</f>
        <v xml:space="preserve"> </v>
      </c>
      <c r="K156" s="100" t="str">
        <f>IFERROR(VLOOKUP(Tablo520[[#This Row],[BOYA KODU]],Tablo14[#All],4,0)," ")</f>
        <v xml:space="preserve"> </v>
      </c>
      <c r="L156" s="100" t="str">
        <f>IFERROR(VLOOKUP(Tablo520[[#This Row],[BOYA KODU]],Tablo14[#All],6,0)," ")</f>
        <v xml:space="preserve"> </v>
      </c>
      <c r="M156" s="100" t="str">
        <f t="shared" si="14"/>
        <v xml:space="preserve"> </v>
      </c>
      <c r="N156" s="100" t="str">
        <f>IFERROR(VLOOKUP(Tablo520[[#This Row],[ÜRÜN KODU]],YMKODLARI!$A$1:$K$373,8,0)," ")</f>
        <v xml:space="preserve"> </v>
      </c>
      <c r="O156" s="100" t="str">
        <f>IFERROR(VLOOKUP(Tablo520[[#This Row],[HAMMADDE KODU]],Tablo1[#All],3,0)," ")</f>
        <v xml:space="preserve"> </v>
      </c>
      <c r="P156" s="100" t="str">
        <f>IFERROR(VLOOKUP(Tablo520[[#This Row],[HAMMADDE KODU]],Tablo1[#All],4,0)," ")</f>
        <v xml:space="preserve"> </v>
      </c>
      <c r="Q156" s="100" t="str">
        <f>IFERROR(VLOOKUP(Tablo520[[#This Row],[ÜRÜN KODU]],YMKODLARI!$A$1:$K$373,5,0)," ")</f>
        <v xml:space="preserve"> </v>
      </c>
      <c r="R156" s="100" t="str">
        <f>IFERROR(VLOOKUP(Tablo520[[#This Row],[ÜRÜN KODU]],YMKODLARI!$A$1:$K$373,6,0)," ")</f>
        <v xml:space="preserve"> </v>
      </c>
      <c r="S156" s="100" t="str">
        <f>IFERROR(Tablo520[[#This Row],[YOLLUK HARİÇ BASKI GRAMI]]/Tablo520[[#This Row],[KALIP GÖZ ADEDİ]]," ")</f>
        <v xml:space="preserve"> </v>
      </c>
      <c r="T156" s="100" t="str">
        <f t="shared" si="16"/>
        <v xml:space="preserve"> </v>
      </c>
      <c r="U156" s="100"/>
      <c r="V156" s="100" t="str">
        <f t="shared" si="15"/>
        <v xml:space="preserve"> </v>
      </c>
      <c r="W156" s="101">
        <f t="shared" si="17"/>
        <v>24</v>
      </c>
      <c r="X156" s="102">
        <f t="shared" si="18"/>
        <v>0</v>
      </c>
      <c r="Y156" s="100" t="str">
        <f t="shared" si="19"/>
        <v xml:space="preserve"> </v>
      </c>
      <c r="Z156" s="100" t="str">
        <f t="shared" si="20"/>
        <v xml:space="preserve"> </v>
      </c>
    </row>
    <row r="157" spans="1:26">
      <c r="A157" s="100"/>
      <c r="B157" s="100" t="str">
        <f>IFERROR(VLOOKUP(Tablo520[[#This Row],[ÜRÜN KODU]],YMKODLARI!$A$1:$K$373,2,0)," ")</f>
        <v xml:space="preserve"> </v>
      </c>
      <c r="C157" s="99"/>
      <c r="D157" s="100"/>
      <c r="E157" s="101"/>
      <c r="F157" s="101"/>
      <c r="G157" s="100" t="str">
        <f>IFERROR(VLOOKUP(Tablo520[[#This Row],[ÜRÜN KODU]],YMKODLARI!$A$1:$K$373,3,0)," ")</f>
        <v xml:space="preserve"> </v>
      </c>
      <c r="H157" s="100" t="str">
        <f>IFERROR(VLOOKUP(Tablo520[[#This Row],[ÜRÜN KODU]],YMKODLARI!$A$1:$K$373,4,0)," ")</f>
        <v xml:space="preserve"> </v>
      </c>
      <c r="I157" s="100"/>
      <c r="J157" s="100" t="str">
        <f>IFERROR(VLOOKUP(Tablo520[[#This Row],[ÜRÜN KODU]],YMKODLARI!$A$1:$K$373,9,0)," ")</f>
        <v xml:space="preserve"> </v>
      </c>
      <c r="K157" s="100" t="str">
        <f>IFERROR(VLOOKUP(Tablo520[[#This Row],[BOYA KODU]],Tablo14[#All],4,0)," ")</f>
        <v xml:space="preserve"> </v>
      </c>
      <c r="L157" s="100" t="str">
        <f>IFERROR(VLOOKUP(Tablo520[[#This Row],[BOYA KODU]],Tablo14[#All],6,0)," ")</f>
        <v xml:space="preserve"> </v>
      </c>
      <c r="M157" s="100" t="str">
        <f t="shared" si="14"/>
        <v xml:space="preserve"> </v>
      </c>
      <c r="N157" s="100" t="str">
        <f>IFERROR(VLOOKUP(Tablo520[[#This Row],[ÜRÜN KODU]],YMKODLARI!$A$1:$K$373,8,0)," ")</f>
        <v xml:space="preserve"> </v>
      </c>
      <c r="O157" s="100" t="str">
        <f>IFERROR(VLOOKUP(Tablo520[[#This Row],[HAMMADDE KODU]],Tablo1[#All],3,0)," ")</f>
        <v xml:space="preserve"> </v>
      </c>
      <c r="P157" s="100" t="str">
        <f>IFERROR(VLOOKUP(Tablo520[[#This Row],[HAMMADDE KODU]],Tablo1[#All],4,0)," ")</f>
        <v xml:space="preserve"> </v>
      </c>
      <c r="Q157" s="100" t="str">
        <f>IFERROR(VLOOKUP(Tablo520[[#This Row],[ÜRÜN KODU]],YMKODLARI!$A$1:$K$373,5,0)," ")</f>
        <v xml:space="preserve"> </v>
      </c>
      <c r="R157" s="100" t="str">
        <f>IFERROR(VLOOKUP(Tablo520[[#This Row],[ÜRÜN KODU]],YMKODLARI!$A$1:$K$373,6,0)," ")</f>
        <v xml:space="preserve"> </v>
      </c>
      <c r="S157" s="100" t="str">
        <f>IFERROR(Tablo520[[#This Row],[YOLLUK HARİÇ BASKI GRAMI]]/Tablo520[[#This Row],[KALIP GÖZ ADEDİ]]," ")</f>
        <v xml:space="preserve"> </v>
      </c>
      <c r="T157" s="100" t="str">
        <f t="shared" si="16"/>
        <v xml:space="preserve"> </v>
      </c>
      <c r="U157" s="100"/>
      <c r="V157" s="100" t="str">
        <f t="shared" si="15"/>
        <v xml:space="preserve"> </v>
      </c>
      <c r="W157" s="101">
        <f t="shared" si="17"/>
        <v>24</v>
      </c>
      <c r="X157" s="102">
        <f t="shared" si="18"/>
        <v>0</v>
      </c>
      <c r="Y157" s="100" t="str">
        <f t="shared" si="19"/>
        <v xml:space="preserve"> </v>
      </c>
      <c r="Z157" s="100" t="str">
        <f t="shared" si="20"/>
        <v xml:space="preserve"> </v>
      </c>
    </row>
    <row r="158" spans="1:26">
      <c r="A158" s="100"/>
      <c r="B158" s="100" t="str">
        <f>IFERROR(VLOOKUP(Tablo520[[#This Row],[ÜRÜN KODU]],YMKODLARI!$A$1:$K$373,2,0)," ")</f>
        <v xml:space="preserve"> </v>
      </c>
      <c r="C158" s="99"/>
      <c r="D158" s="100"/>
      <c r="E158" s="101"/>
      <c r="F158" s="101"/>
      <c r="G158" s="100" t="str">
        <f>IFERROR(VLOOKUP(Tablo520[[#This Row],[ÜRÜN KODU]],YMKODLARI!$A$1:$K$373,3,0)," ")</f>
        <v xml:space="preserve"> </v>
      </c>
      <c r="H158" s="100" t="str">
        <f>IFERROR(VLOOKUP(Tablo520[[#This Row],[ÜRÜN KODU]],YMKODLARI!$A$1:$K$373,4,0)," ")</f>
        <v xml:space="preserve"> </v>
      </c>
      <c r="I158" s="100"/>
      <c r="J158" s="100" t="str">
        <f>IFERROR(VLOOKUP(Tablo520[[#This Row],[ÜRÜN KODU]],YMKODLARI!$A$1:$K$373,9,0)," ")</f>
        <v xml:space="preserve"> </v>
      </c>
      <c r="K158" s="100" t="str">
        <f>IFERROR(VLOOKUP(Tablo520[[#This Row],[BOYA KODU]],Tablo14[#All],4,0)," ")</f>
        <v xml:space="preserve"> </v>
      </c>
      <c r="L158" s="100" t="str">
        <f>IFERROR(VLOOKUP(Tablo520[[#This Row],[BOYA KODU]],Tablo14[#All],6,0)," ")</f>
        <v xml:space="preserve"> </v>
      </c>
      <c r="M158" s="100" t="str">
        <f t="shared" si="14"/>
        <v xml:space="preserve"> </v>
      </c>
      <c r="N158" s="100" t="str">
        <f>IFERROR(VLOOKUP(Tablo520[[#This Row],[ÜRÜN KODU]],YMKODLARI!$A$1:$K$373,8,0)," ")</f>
        <v xml:space="preserve"> </v>
      </c>
      <c r="O158" s="100" t="str">
        <f>IFERROR(VLOOKUP(Tablo520[[#This Row],[HAMMADDE KODU]],Tablo1[#All],3,0)," ")</f>
        <v xml:space="preserve"> </v>
      </c>
      <c r="P158" s="100" t="str">
        <f>IFERROR(VLOOKUP(Tablo520[[#This Row],[HAMMADDE KODU]],Tablo1[#All],4,0)," ")</f>
        <v xml:space="preserve"> </v>
      </c>
      <c r="Q158" s="100" t="str">
        <f>IFERROR(VLOOKUP(Tablo520[[#This Row],[ÜRÜN KODU]],YMKODLARI!$A$1:$K$373,5,0)," ")</f>
        <v xml:space="preserve"> </v>
      </c>
      <c r="R158" s="100" t="str">
        <f>IFERROR(VLOOKUP(Tablo520[[#This Row],[ÜRÜN KODU]],YMKODLARI!$A$1:$K$373,6,0)," ")</f>
        <v xml:space="preserve"> </v>
      </c>
      <c r="S158" s="100" t="str">
        <f>IFERROR(Tablo520[[#This Row],[YOLLUK HARİÇ BASKI GRAMI]]/Tablo520[[#This Row],[KALIP GÖZ ADEDİ]]," ")</f>
        <v xml:space="preserve"> </v>
      </c>
      <c r="T158" s="100" t="str">
        <f t="shared" si="16"/>
        <v xml:space="preserve"> </v>
      </c>
      <c r="U158" s="100"/>
      <c r="V158" s="100" t="str">
        <f t="shared" si="15"/>
        <v xml:space="preserve"> </v>
      </c>
      <c r="W158" s="101">
        <f t="shared" si="17"/>
        <v>24</v>
      </c>
      <c r="X158" s="102">
        <f t="shared" si="18"/>
        <v>0</v>
      </c>
      <c r="Y158" s="100" t="str">
        <f t="shared" si="19"/>
        <v xml:space="preserve"> </v>
      </c>
      <c r="Z158" s="100" t="str">
        <f t="shared" si="20"/>
        <v xml:space="preserve"> </v>
      </c>
    </row>
    <row r="159" spans="1:26">
      <c r="A159" s="100"/>
      <c r="B159" s="100" t="str">
        <f>IFERROR(VLOOKUP(Tablo520[[#This Row],[ÜRÜN KODU]],YMKODLARI!$A$1:$K$373,2,0)," ")</f>
        <v xml:space="preserve"> </v>
      </c>
      <c r="C159" s="99"/>
      <c r="D159" s="100"/>
      <c r="E159" s="101"/>
      <c r="F159" s="101"/>
      <c r="G159" s="100" t="str">
        <f>IFERROR(VLOOKUP(Tablo520[[#This Row],[ÜRÜN KODU]],YMKODLARI!$A$1:$K$373,3,0)," ")</f>
        <v xml:space="preserve"> </v>
      </c>
      <c r="H159" s="100" t="str">
        <f>IFERROR(VLOOKUP(Tablo520[[#This Row],[ÜRÜN KODU]],YMKODLARI!$A$1:$K$373,4,0)," ")</f>
        <v xml:space="preserve"> </v>
      </c>
      <c r="I159" s="100"/>
      <c r="J159" s="100" t="str">
        <f>IFERROR(VLOOKUP(Tablo520[[#This Row],[ÜRÜN KODU]],YMKODLARI!$A$1:$K$373,9,0)," ")</f>
        <v xml:space="preserve"> </v>
      </c>
      <c r="K159" s="100" t="str">
        <f>IFERROR(VLOOKUP(Tablo520[[#This Row],[BOYA KODU]],Tablo14[#All],4,0)," ")</f>
        <v xml:space="preserve"> </v>
      </c>
      <c r="L159" s="100" t="str">
        <f>IFERROR(VLOOKUP(Tablo520[[#This Row],[BOYA KODU]],Tablo14[#All],6,0)," ")</f>
        <v xml:space="preserve"> </v>
      </c>
      <c r="M159" s="100" t="str">
        <f t="shared" si="14"/>
        <v xml:space="preserve"> </v>
      </c>
      <c r="N159" s="100" t="str">
        <f>IFERROR(VLOOKUP(Tablo520[[#This Row],[ÜRÜN KODU]],YMKODLARI!$A$1:$K$373,8,0)," ")</f>
        <v xml:space="preserve"> </v>
      </c>
      <c r="O159" s="100" t="str">
        <f>IFERROR(VLOOKUP(Tablo520[[#This Row],[HAMMADDE KODU]],Tablo1[#All],3,0)," ")</f>
        <v xml:space="preserve"> </v>
      </c>
      <c r="P159" s="100" t="str">
        <f>IFERROR(VLOOKUP(Tablo520[[#This Row],[HAMMADDE KODU]],Tablo1[#All],4,0)," ")</f>
        <v xml:space="preserve"> </v>
      </c>
      <c r="Q159" s="100" t="str">
        <f>IFERROR(VLOOKUP(Tablo520[[#This Row],[ÜRÜN KODU]],YMKODLARI!$A$1:$K$373,5,0)," ")</f>
        <v xml:space="preserve"> </v>
      </c>
      <c r="R159" s="100" t="str">
        <f>IFERROR(VLOOKUP(Tablo520[[#This Row],[ÜRÜN KODU]],YMKODLARI!$A$1:$K$373,6,0)," ")</f>
        <v xml:space="preserve"> </v>
      </c>
      <c r="S159" s="100" t="str">
        <f>IFERROR(Tablo520[[#This Row],[YOLLUK HARİÇ BASKI GRAMI]]/Tablo520[[#This Row],[KALIP GÖZ ADEDİ]]," ")</f>
        <v xml:space="preserve"> </v>
      </c>
      <c r="T159" s="100" t="str">
        <f t="shared" si="16"/>
        <v xml:space="preserve"> </v>
      </c>
      <c r="U159" s="100"/>
      <c r="V159" s="100" t="str">
        <f t="shared" si="15"/>
        <v xml:space="preserve"> </v>
      </c>
      <c r="W159" s="101">
        <f t="shared" si="17"/>
        <v>24</v>
      </c>
      <c r="X159" s="102">
        <f t="shared" si="18"/>
        <v>0</v>
      </c>
      <c r="Y159" s="100" t="str">
        <f t="shared" si="19"/>
        <v xml:space="preserve"> </v>
      </c>
      <c r="Z159" s="100" t="str">
        <f t="shared" si="20"/>
        <v xml:space="preserve"> </v>
      </c>
    </row>
    <row r="160" spans="1:26">
      <c r="A160" s="100"/>
      <c r="B160" s="100" t="str">
        <f>IFERROR(VLOOKUP(Tablo520[[#This Row],[ÜRÜN KODU]],YMKODLARI!$A$1:$K$373,2,0)," ")</f>
        <v xml:space="preserve"> </v>
      </c>
      <c r="C160" s="99"/>
      <c r="D160" s="100"/>
      <c r="E160" s="101"/>
      <c r="F160" s="101"/>
      <c r="G160" s="100" t="str">
        <f>IFERROR(VLOOKUP(Tablo520[[#This Row],[ÜRÜN KODU]],YMKODLARI!$A$1:$K$373,3,0)," ")</f>
        <v xml:space="preserve"> </v>
      </c>
      <c r="H160" s="100" t="str">
        <f>IFERROR(VLOOKUP(Tablo520[[#This Row],[ÜRÜN KODU]],YMKODLARI!$A$1:$K$373,4,0)," ")</f>
        <v xml:space="preserve"> </v>
      </c>
      <c r="I160" s="100"/>
      <c r="J160" s="100" t="str">
        <f>IFERROR(VLOOKUP(Tablo520[[#This Row],[ÜRÜN KODU]],YMKODLARI!$A$1:$K$373,9,0)," ")</f>
        <v xml:space="preserve"> </v>
      </c>
      <c r="K160" s="100" t="str">
        <f>IFERROR(VLOOKUP(Tablo520[[#This Row],[BOYA KODU]],Tablo14[#All],4,0)," ")</f>
        <v xml:space="preserve"> </v>
      </c>
      <c r="L160" s="100" t="str">
        <f>IFERROR(VLOOKUP(Tablo520[[#This Row],[BOYA KODU]],Tablo14[#All],6,0)," ")</f>
        <v xml:space="preserve"> </v>
      </c>
      <c r="M160" s="100" t="str">
        <f t="shared" si="14"/>
        <v xml:space="preserve"> </v>
      </c>
      <c r="N160" s="100" t="str">
        <f>IFERROR(VLOOKUP(Tablo520[[#This Row],[ÜRÜN KODU]],YMKODLARI!$A$1:$K$373,8,0)," ")</f>
        <v xml:space="preserve"> </v>
      </c>
      <c r="O160" s="100" t="str">
        <f>IFERROR(VLOOKUP(Tablo520[[#This Row],[HAMMADDE KODU]],Tablo1[#All],3,0)," ")</f>
        <v xml:space="preserve"> </v>
      </c>
      <c r="P160" s="100" t="str">
        <f>IFERROR(VLOOKUP(Tablo520[[#This Row],[HAMMADDE KODU]],Tablo1[#All],4,0)," ")</f>
        <v xml:space="preserve"> </v>
      </c>
      <c r="Q160" s="100" t="str">
        <f>IFERROR(VLOOKUP(Tablo520[[#This Row],[ÜRÜN KODU]],YMKODLARI!$A$1:$K$373,5,0)," ")</f>
        <v xml:space="preserve"> </v>
      </c>
      <c r="R160" s="100" t="str">
        <f>IFERROR(VLOOKUP(Tablo520[[#This Row],[ÜRÜN KODU]],YMKODLARI!$A$1:$K$373,6,0)," ")</f>
        <v xml:space="preserve"> </v>
      </c>
      <c r="S160" s="100" t="str">
        <f>IFERROR(Tablo520[[#This Row],[YOLLUK HARİÇ BASKI GRAMI]]/Tablo520[[#This Row],[KALIP GÖZ ADEDİ]]," ")</f>
        <v xml:space="preserve"> </v>
      </c>
      <c r="T160" s="100" t="str">
        <f t="shared" si="16"/>
        <v xml:space="preserve"> </v>
      </c>
      <c r="U160" s="100"/>
      <c r="V160" s="100" t="str">
        <f t="shared" si="15"/>
        <v xml:space="preserve"> </v>
      </c>
      <c r="W160" s="101">
        <f t="shared" si="17"/>
        <v>24</v>
      </c>
      <c r="X160" s="102">
        <f t="shared" si="18"/>
        <v>0</v>
      </c>
      <c r="Y160" s="100" t="str">
        <f t="shared" si="19"/>
        <v xml:space="preserve"> </v>
      </c>
      <c r="Z160" s="100" t="str">
        <f t="shared" si="20"/>
        <v xml:space="preserve"> </v>
      </c>
    </row>
    <row r="161" spans="1:26">
      <c r="A161" s="100"/>
      <c r="B161" s="100" t="str">
        <f>IFERROR(VLOOKUP(Tablo520[[#This Row],[ÜRÜN KODU]],YMKODLARI!$A$1:$K$373,2,0)," ")</f>
        <v xml:space="preserve"> </v>
      </c>
      <c r="C161" s="99"/>
      <c r="D161" s="100"/>
      <c r="E161" s="101"/>
      <c r="F161" s="101"/>
      <c r="G161" s="100" t="str">
        <f>IFERROR(VLOOKUP(Tablo520[[#This Row],[ÜRÜN KODU]],YMKODLARI!$A$1:$K$373,3,0)," ")</f>
        <v xml:space="preserve"> </v>
      </c>
      <c r="H161" s="100" t="str">
        <f>IFERROR(VLOOKUP(Tablo520[[#This Row],[ÜRÜN KODU]],YMKODLARI!$A$1:$K$373,4,0)," ")</f>
        <v xml:space="preserve"> </v>
      </c>
      <c r="I161" s="100"/>
      <c r="J161" s="100" t="str">
        <f>IFERROR(VLOOKUP(Tablo520[[#This Row],[ÜRÜN KODU]],YMKODLARI!$A$1:$K$373,9,0)," ")</f>
        <v xml:space="preserve"> </v>
      </c>
      <c r="K161" s="100" t="str">
        <f>IFERROR(VLOOKUP(Tablo520[[#This Row],[BOYA KODU]],Tablo14[#All],4,0)," ")</f>
        <v xml:space="preserve"> </v>
      </c>
      <c r="L161" s="100" t="str">
        <f>IFERROR(VLOOKUP(Tablo520[[#This Row],[BOYA KODU]],Tablo14[#All],6,0)," ")</f>
        <v xml:space="preserve"> </v>
      </c>
      <c r="M161" s="100" t="str">
        <f t="shared" si="14"/>
        <v xml:space="preserve"> </v>
      </c>
      <c r="N161" s="100" t="str">
        <f>IFERROR(VLOOKUP(Tablo520[[#This Row],[ÜRÜN KODU]],YMKODLARI!$A$1:$K$373,8,0)," ")</f>
        <v xml:space="preserve"> </v>
      </c>
      <c r="O161" s="100" t="str">
        <f>IFERROR(VLOOKUP(Tablo520[[#This Row],[HAMMADDE KODU]],Tablo1[#All],3,0)," ")</f>
        <v xml:space="preserve"> </v>
      </c>
      <c r="P161" s="100" t="str">
        <f>IFERROR(VLOOKUP(Tablo520[[#This Row],[HAMMADDE KODU]],Tablo1[#All],4,0)," ")</f>
        <v xml:space="preserve"> </v>
      </c>
      <c r="Q161" s="100" t="str">
        <f>IFERROR(VLOOKUP(Tablo520[[#This Row],[ÜRÜN KODU]],YMKODLARI!$A$1:$K$373,5,0)," ")</f>
        <v xml:space="preserve"> </v>
      </c>
      <c r="R161" s="100" t="str">
        <f>IFERROR(VLOOKUP(Tablo520[[#This Row],[ÜRÜN KODU]],YMKODLARI!$A$1:$K$373,6,0)," ")</f>
        <v xml:space="preserve"> </v>
      </c>
      <c r="S161" s="100" t="str">
        <f>IFERROR(Tablo520[[#This Row],[YOLLUK HARİÇ BASKI GRAMI]]/Tablo520[[#This Row],[KALIP GÖZ ADEDİ]]," ")</f>
        <v xml:space="preserve"> </v>
      </c>
      <c r="T161" s="100" t="str">
        <f t="shared" si="16"/>
        <v xml:space="preserve"> </v>
      </c>
      <c r="U161" s="100"/>
      <c r="V161" s="100" t="str">
        <f t="shared" si="15"/>
        <v xml:space="preserve"> </v>
      </c>
      <c r="W161" s="101">
        <f t="shared" si="17"/>
        <v>24</v>
      </c>
      <c r="X161" s="102">
        <f t="shared" si="18"/>
        <v>0</v>
      </c>
      <c r="Y161" s="100" t="str">
        <f t="shared" si="19"/>
        <v xml:space="preserve"> </v>
      </c>
      <c r="Z161" s="100" t="str">
        <f t="shared" si="20"/>
        <v xml:space="preserve"> </v>
      </c>
    </row>
    <row r="162" spans="1:26">
      <c r="A162" s="100"/>
      <c r="B162" s="100" t="str">
        <f>IFERROR(VLOOKUP(Tablo520[[#This Row],[ÜRÜN KODU]],YMKODLARI!$A$1:$K$373,2,0)," ")</f>
        <v xml:space="preserve"> </v>
      </c>
      <c r="C162" s="99"/>
      <c r="D162" s="100"/>
      <c r="E162" s="101"/>
      <c r="F162" s="101"/>
      <c r="G162" s="100" t="str">
        <f>IFERROR(VLOOKUP(Tablo520[[#This Row],[ÜRÜN KODU]],YMKODLARI!$A$1:$K$373,3,0)," ")</f>
        <v xml:space="preserve"> </v>
      </c>
      <c r="H162" s="100" t="str">
        <f>IFERROR(VLOOKUP(Tablo520[[#This Row],[ÜRÜN KODU]],YMKODLARI!$A$1:$K$373,4,0)," ")</f>
        <v xml:space="preserve"> </v>
      </c>
      <c r="I162" s="100"/>
      <c r="J162" s="100" t="str">
        <f>IFERROR(VLOOKUP(Tablo520[[#This Row],[ÜRÜN KODU]],YMKODLARI!$A$1:$K$373,9,0)," ")</f>
        <v xml:space="preserve"> </v>
      </c>
      <c r="K162" s="100" t="str">
        <f>IFERROR(VLOOKUP(Tablo520[[#This Row],[BOYA KODU]],Tablo14[#All],4,0)," ")</f>
        <v xml:space="preserve"> </v>
      </c>
      <c r="L162" s="100" t="str">
        <f>IFERROR(VLOOKUP(Tablo520[[#This Row],[BOYA KODU]],Tablo14[#All],6,0)," ")</f>
        <v xml:space="preserve"> </v>
      </c>
      <c r="M162" s="100" t="str">
        <f t="shared" si="14"/>
        <v xml:space="preserve"> </v>
      </c>
      <c r="N162" s="100" t="str">
        <f>IFERROR(VLOOKUP(Tablo520[[#This Row],[ÜRÜN KODU]],YMKODLARI!$A$1:$K$373,8,0)," ")</f>
        <v xml:space="preserve"> </v>
      </c>
      <c r="O162" s="100" t="str">
        <f>IFERROR(VLOOKUP(Tablo520[[#This Row],[HAMMADDE KODU]],Tablo1[#All],3,0)," ")</f>
        <v xml:space="preserve"> </v>
      </c>
      <c r="P162" s="100" t="str">
        <f>IFERROR(VLOOKUP(Tablo520[[#This Row],[HAMMADDE KODU]],Tablo1[#All],4,0)," ")</f>
        <v xml:space="preserve"> </v>
      </c>
      <c r="Q162" s="100" t="str">
        <f>IFERROR(VLOOKUP(Tablo520[[#This Row],[ÜRÜN KODU]],YMKODLARI!$A$1:$K$373,5,0)," ")</f>
        <v xml:space="preserve"> </v>
      </c>
      <c r="R162" s="100" t="str">
        <f>IFERROR(VLOOKUP(Tablo520[[#This Row],[ÜRÜN KODU]],YMKODLARI!$A$1:$K$373,6,0)," ")</f>
        <v xml:space="preserve"> </v>
      </c>
      <c r="S162" s="100" t="str">
        <f>IFERROR(Tablo520[[#This Row],[YOLLUK HARİÇ BASKI GRAMI]]/Tablo520[[#This Row],[KALIP GÖZ ADEDİ]]," ")</f>
        <v xml:space="preserve"> </v>
      </c>
      <c r="T162" s="100" t="str">
        <f t="shared" si="16"/>
        <v xml:space="preserve"> </v>
      </c>
      <c r="U162" s="100"/>
      <c r="V162" s="100" t="str">
        <f t="shared" si="15"/>
        <v xml:space="preserve"> </v>
      </c>
      <c r="W162" s="101">
        <f t="shared" si="17"/>
        <v>24</v>
      </c>
      <c r="X162" s="102">
        <f t="shared" si="18"/>
        <v>0</v>
      </c>
      <c r="Y162" s="100" t="str">
        <f t="shared" si="19"/>
        <v xml:space="preserve"> </v>
      </c>
      <c r="Z162" s="100" t="str">
        <f t="shared" si="20"/>
        <v xml:space="preserve"> </v>
      </c>
    </row>
    <row r="163" spans="1:26">
      <c r="A163" s="100"/>
      <c r="B163" s="100" t="str">
        <f>IFERROR(VLOOKUP(Tablo520[[#This Row],[ÜRÜN KODU]],YMKODLARI!$A$1:$K$373,2,0)," ")</f>
        <v xml:space="preserve"> </v>
      </c>
      <c r="C163" s="99"/>
      <c r="D163" s="100"/>
      <c r="E163" s="101"/>
      <c r="F163" s="101"/>
      <c r="G163" s="100" t="str">
        <f>IFERROR(VLOOKUP(Tablo520[[#This Row],[ÜRÜN KODU]],YMKODLARI!$A$1:$K$373,3,0)," ")</f>
        <v xml:space="preserve"> </v>
      </c>
      <c r="H163" s="100" t="str">
        <f>IFERROR(VLOOKUP(Tablo520[[#This Row],[ÜRÜN KODU]],YMKODLARI!$A$1:$K$373,4,0)," ")</f>
        <v xml:space="preserve"> </v>
      </c>
      <c r="I163" s="100"/>
      <c r="J163" s="100" t="str">
        <f>IFERROR(VLOOKUP(Tablo520[[#This Row],[ÜRÜN KODU]],YMKODLARI!$A$1:$K$373,9,0)," ")</f>
        <v xml:space="preserve"> </v>
      </c>
      <c r="K163" s="100" t="str">
        <f>IFERROR(VLOOKUP(Tablo520[[#This Row],[BOYA KODU]],Tablo14[#All],4,0)," ")</f>
        <v xml:space="preserve"> </v>
      </c>
      <c r="L163" s="100" t="str">
        <f>IFERROR(VLOOKUP(Tablo520[[#This Row],[BOYA KODU]],Tablo14[#All],6,0)," ")</f>
        <v xml:space="preserve"> </v>
      </c>
      <c r="M163" s="100" t="str">
        <f t="shared" si="14"/>
        <v xml:space="preserve"> </v>
      </c>
      <c r="N163" s="100" t="str">
        <f>IFERROR(VLOOKUP(Tablo520[[#This Row],[ÜRÜN KODU]],YMKODLARI!$A$1:$K$373,8,0)," ")</f>
        <v xml:space="preserve"> </v>
      </c>
      <c r="O163" s="100" t="str">
        <f>IFERROR(VLOOKUP(Tablo520[[#This Row],[HAMMADDE KODU]],Tablo1[#All],3,0)," ")</f>
        <v xml:space="preserve"> </v>
      </c>
      <c r="P163" s="100" t="str">
        <f>IFERROR(VLOOKUP(Tablo520[[#This Row],[HAMMADDE KODU]],Tablo1[#All],4,0)," ")</f>
        <v xml:space="preserve"> </v>
      </c>
      <c r="Q163" s="100" t="str">
        <f>IFERROR(VLOOKUP(Tablo520[[#This Row],[ÜRÜN KODU]],YMKODLARI!$A$1:$K$373,5,0)," ")</f>
        <v xml:space="preserve"> </v>
      </c>
      <c r="R163" s="100" t="str">
        <f>IFERROR(VLOOKUP(Tablo520[[#This Row],[ÜRÜN KODU]],YMKODLARI!$A$1:$K$373,6,0)," ")</f>
        <v xml:space="preserve"> </v>
      </c>
      <c r="S163" s="100" t="str">
        <f>IFERROR(Tablo520[[#This Row],[YOLLUK HARİÇ BASKI GRAMI]]/Tablo520[[#This Row],[KALIP GÖZ ADEDİ]]," ")</f>
        <v xml:space="preserve"> </v>
      </c>
      <c r="T163" s="100" t="str">
        <f t="shared" si="16"/>
        <v xml:space="preserve"> </v>
      </c>
      <c r="U163" s="100"/>
      <c r="V163" s="100" t="str">
        <f t="shared" si="15"/>
        <v xml:space="preserve"> </v>
      </c>
      <c r="W163" s="101">
        <f t="shared" si="17"/>
        <v>24</v>
      </c>
      <c r="X163" s="102">
        <f t="shared" si="18"/>
        <v>0</v>
      </c>
      <c r="Y163" s="100" t="str">
        <f t="shared" si="19"/>
        <v xml:space="preserve"> </v>
      </c>
      <c r="Z163" s="100" t="str">
        <f t="shared" si="20"/>
        <v xml:space="preserve"> </v>
      </c>
    </row>
    <row r="164" spans="1:26">
      <c r="A164" s="100"/>
      <c r="B164" s="100" t="str">
        <f>IFERROR(VLOOKUP(Tablo520[[#This Row],[ÜRÜN KODU]],YMKODLARI!$A$1:$K$373,2,0)," ")</f>
        <v xml:space="preserve"> </v>
      </c>
      <c r="C164" s="99"/>
      <c r="D164" s="100"/>
      <c r="E164" s="101"/>
      <c r="F164" s="101"/>
      <c r="G164" s="100" t="str">
        <f>IFERROR(VLOOKUP(Tablo520[[#This Row],[ÜRÜN KODU]],YMKODLARI!$A$1:$K$373,3,0)," ")</f>
        <v xml:space="preserve"> </v>
      </c>
      <c r="H164" s="100" t="str">
        <f>IFERROR(VLOOKUP(Tablo520[[#This Row],[ÜRÜN KODU]],YMKODLARI!$A$1:$K$373,4,0)," ")</f>
        <v xml:space="preserve"> </v>
      </c>
      <c r="I164" s="100"/>
      <c r="J164" s="100" t="str">
        <f>IFERROR(VLOOKUP(Tablo520[[#This Row],[ÜRÜN KODU]],YMKODLARI!$A$1:$K$373,9,0)," ")</f>
        <v xml:space="preserve"> </v>
      </c>
      <c r="K164" s="100" t="str">
        <f>IFERROR(VLOOKUP(Tablo520[[#This Row],[BOYA KODU]],Tablo14[#All],4,0)," ")</f>
        <v xml:space="preserve"> </v>
      </c>
      <c r="L164" s="100" t="str">
        <f>IFERROR(VLOOKUP(Tablo520[[#This Row],[BOYA KODU]],Tablo14[#All],6,0)," ")</f>
        <v xml:space="preserve"> </v>
      </c>
      <c r="M164" s="100" t="str">
        <f t="shared" si="14"/>
        <v xml:space="preserve"> </v>
      </c>
      <c r="N164" s="100" t="str">
        <f>IFERROR(VLOOKUP(Tablo520[[#This Row],[ÜRÜN KODU]],YMKODLARI!$A$1:$K$373,8,0)," ")</f>
        <v xml:space="preserve"> </v>
      </c>
      <c r="O164" s="100" t="str">
        <f>IFERROR(VLOOKUP(Tablo520[[#This Row],[HAMMADDE KODU]],Tablo1[#All],3,0)," ")</f>
        <v xml:space="preserve"> </v>
      </c>
      <c r="P164" s="100" t="str">
        <f>IFERROR(VLOOKUP(Tablo520[[#This Row],[HAMMADDE KODU]],Tablo1[#All],4,0)," ")</f>
        <v xml:space="preserve"> </v>
      </c>
      <c r="Q164" s="100" t="str">
        <f>IFERROR(VLOOKUP(Tablo520[[#This Row],[ÜRÜN KODU]],YMKODLARI!$A$1:$K$373,5,0)," ")</f>
        <v xml:space="preserve"> </v>
      </c>
      <c r="R164" s="100" t="str">
        <f>IFERROR(VLOOKUP(Tablo520[[#This Row],[ÜRÜN KODU]],YMKODLARI!$A$1:$K$373,6,0)," ")</f>
        <v xml:space="preserve"> </v>
      </c>
      <c r="S164" s="100" t="str">
        <f>IFERROR(Tablo520[[#This Row],[YOLLUK HARİÇ BASKI GRAMI]]/Tablo520[[#This Row],[KALIP GÖZ ADEDİ]]," ")</f>
        <v xml:space="preserve"> </v>
      </c>
      <c r="T164" s="100" t="str">
        <f t="shared" si="16"/>
        <v xml:space="preserve"> </v>
      </c>
      <c r="U164" s="100"/>
      <c r="V164" s="100" t="str">
        <f t="shared" si="15"/>
        <v xml:space="preserve"> </v>
      </c>
      <c r="W164" s="101">
        <f t="shared" si="17"/>
        <v>24</v>
      </c>
      <c r="X164" s="102">
        <f t="shared" si="18"/>
        <v>0</v>
      </c>
      <c r="Y164" s="100" t="str">
        <f t="shared" si="19"/>
        <v xml:space="preserve"> </v>
      </c>
      <c r="Z164" s="100" t="str">
        <f t="shared" si="20"/>
        <v xml:space="preserve"> </v>
      </c>
    </row>
    <row r="165" spans="1:26">
      <c r="A165" s="100"/>
      <c r="B165" s="100" t="str">
        <f>IFERROR(VLOOKUP(Tablo520[[#This Row],[ÜRÜN KODU]],YMKODLARI!$A$1:$K$373,2,0)," ")</f>
        <v xml:space="preserve"> </v>
      </c>
      <c r="C165" s="99"/>
      <c r="D165" s="100"/>
      <c r="E165" s="101"/>
      <c r="F165" s="101"/>
      <c r="G165" s="100" t="str">
        <f>IFERROR(VLOOKUP(Tablo520[[#This Row],[ÜRÜN KODU]],YMKODLARI!$A$1:$K$373,3,0)," ")</f>
        <v xml:space="preserve"> </v>
      </c>
      <c r="H165" s="100" t="str">
        <f>IFERROR(VLOOKUP(Tablo520[[#This Row],[ÜRÜN KODU]],YMKODLARI!$A$1:$K$373,4,0)," ")</f>
        <v xml:space="preserve"> </v>
      </c>
      <c r="I165" s="100"/>
      <c r="J165" s="100" t="str">
        <f>IFERROR(VLOOKUP(Tablo520[[#This Row],[ÜRÜN KODU]],YMKODLARI!$A$1:$K$373,9,0)," ")</f>
        <v xml:space="preserve"> </v>
      </c>
      <c r="K165" s="100" t="str">
        <f>IFERROR(VLOOKUP(Tablo520[[#This Row],[BOYA KODU]],Tablo14[#All],4,0)," ")</f>
        <v xml:space="preserve"> </v>
      </c>
      <c r="L165" s="100" t="str">
        <f>IFERROR(VLOOKUP(Tablo520[[#This Row],[BOYA KODU]],Tablo14[#All],6,0)," ")</f>
        <v xml:space="preserve"> </v>
      </c>
      <c r="M165" s="100" t="str">
        <f t="shared" si="14"/>
        <v xml:space="preserve"> </v>
      </c>
      <c r="N165" s="100" t="str">
        <f>IFERROR(VLOOKUP(Tablo520[[#This Row],[ÜRÜN KODU]],YMKODLARI!$A$1:$K$373,8,0)," ")</f>
        <v xml:space="preserve"> </v>
      </c>
      <c r="O165" s="100" t="str">
        <f>IFERROR(VLOOKUP(Tablo520[[#This Row],[HAMMADDE KODU]],Tablo1[#All],3,0)," ")</f>
        <v xml:space="preserve"> </v>
      </c>
      <c r="P165" s="100" t="str">
        <f>IFERROR(VLOOKUP(Tablo520[[#This Row],[HAMMADDE KODU]],Tablo1[#All],4,0)," ")</f>
        <v xml:space="preserve"> </v>
      </c>
      <c r="Q165" s="100" t="str">
        <f>IFERROR(VLOOKUP(Tablo520[[#This Row],[ÜRÜN KODU]],YMKODLARI!$A$1:$K$373,5,0)," ")</f>
        <v xml:space="preserve"> </v>
      </c>
      <c r="R165" s="100" t="str">
        <f>IFERROR(VLOOKUP(Tablo520[[#This Row],[ÜRÜN KODU]],YMKODLARI!$A$1:$K$373,6,0)," ")</f>
        <v xml:space="preserve"> </v>
      </c>
      <c r="S165" s="100" t="str">
        <f>IFERROR(Tablo520[[#This Row],[YOLLUK HARİÇ BASKI GRAMI]]/Tablo520[[#This Row],[KALIP GÖZ ADEDİ]]," ")</f>
        <v xml:space="preserve"> </v>
      </c>
      <c r="T165" s="100" t="str">
        <f t="shared" si="16"/>
        <v xml:space="preserve"> </v>
      </c>
      <c r="U165" s="100"/>
      <c r="V165" s="100" t="str">
        <f t="shared" si="15"/>
        <v xml:space="preserve"> </v>
      </c>
      <c r="W165" s="101">
        <f t="shared" si="17"/>
        <v>24</v>
      </c>
      <c r="X165" s="102">
        <f t="shared" si="18"/>
        <v>0</v>
      </c>
      <c r="Y165" s="100" t="str">
        <f t="shared" si="19"/>
        <v xml:space="preserve"> </v>
      </c>
      <c r="Z165" s="100" t="str">
        <f t="shared" si="20"/>
        <v xml:space="preserve"> </v>
      </c>
    </row>
    <row r="166" spans="1:26">
      <c r="A166" s="100"/>
      <c r="B166" s="100" t="str">
        <f>IFERROR(VLOOKUP(Tablo520[[#This Row],[ÜRÜN KODU]],YMKODLARI!$A$1:$K$373,2,0)," ")</f>
        <v xml:space="preserve"> </v>
      </c>
      <c r="C166" s="99"/>
      <c r="D166" s="100"/>
      <c r="E166" s="101"/>
      <c r="F166" s="101"/>
      <c r="G166" s="100" t="str">
        <f>IFERROR(VLOOKUP(Tablo520[[#This Row],[ÜRÜN KODU]],YMKODLARI!$A$1:$K$373,3,0)," ")</f>
        <v xml:space="preserve"> </v>
      </c>
      <c r="H166" s="100" t="str">
        <f>IFERROR(VLOOKUP(Tablo520[[#This Row],[ÜRÜN KODU]],YMKODLARI!$A$1:$K$373,4,0)," ")</f>
        <v xml:space="preserve"> </v>
      </c>
      <c r="I166" s="100"/>
      <c r="J166" s="100" t="str">
        <f>IFERROR(VLOOKUP(Tablo520[[#This Row],[ÜRÜN KODU]],YMKODLARI!$A$1:$K$373,9,0)," ")</f>
        <v xml:space="preserve"> </v>
      </c>
      <c r="K166" s="100" t="str">
        <f>IFERROR(VLOOKUP(Tablo520[[#This Row],[BOYA KODU]],Tablo14[#All],4,0)," ")</f>
        <v xml:space="preserve"> </v>
      </c>
      <c r="L166" s="100" t="str">
        <f>IFERROR(VLOOKUP(Tablo520[[#This Row],[BOYA KODU]],Tablo14[#All],6,0)," ")</f>
        <v xml:space="preserve"> </v>
      </c>
      <c r="M166" s="100" t="str">
        <f t="shared" si="14"/>
        <v xml:space="preserve"> </v>
      </c>
      <c r="N166" s="100" t="str">
        <f>IFERROR(VLOOKUP(Tablo520[[#This Row],[ÜRÜN KODU]],YMKODLARI!$A$1:$K$373,8,0)," ")</f>
        <v xml:space="preserve"> </v>
      </c>
      <c r="O166" s="100" t="str">
        <f>IFERROR(VLOOKUP(Tablo520[[#This Row],[HAMMADDE KODU]],Tablo1[#All],3,0)," ")</f>
        <v xml:space="preserve"> </v>
      </c>
      <c r="P166" s="100" t="str">
        <f>IFERROR(VLOOKUP(Tablo520[[#This Row],[HAMMADDE KODU]],Tablo1[#All],4,0)," ")</f>
        <v xml:space="preserve"> </v>
      </c>
      <c r="Q166" s="100" t="str">
        <f>IFERROR(VLOOKUP(Tablo520[[#This Row],[ÜRÜN KODU]],YMKODLARI!$A$1:$K$373,5,0)," ")</f>
        <v xml:space="preserve"> </v>
      </c>
      <c r="R166" s="100" t="str">
        <f>IFERROR(VLOOKUP(Tablo520[[#This Row],[ÜRÜN KODU]],YMKODLARI!$A$1:$K$373,6,0)," ")</f>
        <v xml:space="preserve"> </v>
      </c>
      <c r="S166" s="100" t="str">
        <f>IFERROR(Tablo520[[#This Row],[YOLLUK HARİÇ BASKI GRAMI]]/Tablo520[[#This Row],[KALIP GÖZ ADEDİ]]," ")</f>
        <v xml:space="preserve"> </v>
      </c>
      <c r="T166" s="100" t="str">
        <f t="shared" si="16"/>
        <v xml:space="preserve"> </v>
      </c>
      <c r="U166" s="100"/>
      <c r="V166" s="100" t="str">
        <f t="shared" si="15"/>
        <v xml:space="preserve"> </v>
      </c>
      <c r="W166" s="101">
        <f t="shared" si="17"/>
        <v>24</v>
      </c>
      <c r="X166" s="102">
        <f t="shared" si="18"/>
        <v>0</v>
      </c>
      <c r="Y166" s="100" t="str">
        <f t="shared" si="19"/>
        <v xml:space="preserve"> </v>
      </c>
      <c r="Z166" s="100" t="str">
        <f t="shared" si="20"/>
        <v xml:space="preserve"> </v>
      </c>
    </row>
    <row r="167" spans="1:26">
      <c r="A167" s="100"/>
      <c r="B167" s="100" t="str">
        <f>IFERROR(VLOOKUP(Tablo520[[#This Row],[ÜRÜN KODU]],YMKODLARI!$A$1:$K$373,2,0)," ")</f>
        <v xml:space="preserve"> </v>
      </c>
      <c r="C167" s="99"/>
      <c r="D167" s="100"/>
      <c r="E167" s="101"/>
      <c r="F167" s="101"/>
      <c r="G167" s="100" t="str">
        <f>IFERROR(VLOOKUP(Tablo520[[#This Row],[ÜRÜN KODU]],YMKODLARI!$A$1:$K$373,3,0)," ")</f>
        <v xml:space="preserve"> </v>
      </c>
      <c r="H167" s="100" t="str">
        <f>IFERROR(VLOOKUP(Tablo520[[#This Row],[ÜRÜN KODU]],YMKODLARI!$A$1:$K$373,4,0)," ")</f>
        <v xml:space="preserve"> </v>
      </c>
      <c r="I167" s="100"/>
      <c r="J167" s="100" t="str">
        <f>IFERROR(VLOOKUP(Tablo520[[#This Row],[ÜRÜN KODU]],YMKODLARI!$A$1:$K$373,9,0)," ")</f>
        <v xml:space="preserve"> </v>
      </c>
      <c r="K167" s="100" t="str">
        <f>IFERROR(VLOOKUP(Tablo520[[#This Row],[BOYA KODU]],Tablo14[#All],4,0)," ")</f>
        <v xml:space="preserve"> </v>
      </c>
      <c r="L167" s="100" t="str">
        <f>IFERROR(VLOOKUP(Tablo520[[#This Row],[BOYA KODU]],Tablo14[#All],6,0)," ")</f>
        <v xml:space="preserve"> </v>
      </c>
      <c r="M167" s="100" t="str">
        <f t="shared" si="14"/>
        <v xml:space="preserve"> </v>
      </c>
      <c r="N167" s="100" t="str">
        <f>IFERROR(VLOOKUP(Tablo520[[#This Row],[ÜRÜN KODU]],YMKODLARI!$A$1:$K$373,8,0)," ")</f>
        <v xml:space="preserve"> </v>
      </c>
      <c r="O167" s="100" t="str">
        <f>IFERROR(VLOOKUP(Tablo520[[#This Row],[HAMMADDE KODU]],Tablo1[#All],3,0)," ")</f>
        <v xml:space="preserve"> </v>
      </c>
      <c r="P167" s="100" t="str">
        <f>IFERROR(VLOOKUP(Tablo520[[#This Row],[HAMMADDE KODU]],Tablo1[#All],4,0)," ")</f>
        <v xml:space="preserve"> </v>
      </c>
      <c r="Q167" s="100" t="str">
        <f>IFERROR(VLOOKUP(Tablo520[[#This Row],[ÜRÜN KODU]],YMKODLARI!$A$1:$K$373,5,0)," ")</f>
        <v xml:space="preserve"> </v>
      </c>
      <c r="R167" s="100" t="str">
        <f>IFERROR(VLOOKUP(Tablo520[[#This Row],[ÜRÜN KODU]],YMKODLARI!$A$1:$K$373,6,0)," ")</f>
        <v xml:space="preserve"> </v>
      </c>
      <c r="S167" s="100" t="str">
        <f>IFERROR(Tablo520[[#This Row],[YOLLUK HARİÇ BASKI GRAMI]]/Tablo520[[#This Row],[KALIP GÖZ ADEDİ]]," ")</f>
        <v xml:space="preserve"> </v>
      </c>
      <c r="T167" s="100" t="str">
        <f t="shared" si="16"/>
        <v xml:space="preserve"> </v>
      </c>
      <c r="U167" s="100"/>
      <c r="V167" s="100" t="str">
        <f t="shared" si="15"/>
        <v xml:space="preserve"> </v>
      </c>
      <c r="W167" s="101">
        <f t="shared" si="17"/>
        <v>24</v>
      </c>
      <c r="X167" s="102">
        <f t="shared" si="18"/>
        <v>0</v>
      </c>
      <c r="Y167" s="100" t="str">
        <f t="shared" si="19"/>
        <v xml:space="preserve"> </v>
      </c>
      <c r="Z167" s="100" t="str">
        <f t="shared" si="20"/>
        <v xml:space="preserve"> </v>
      </c>
    </row>
    <row r="168" spans="1:26">
      <c r="A168" s="100"/>
      <c r="B168" s="100" t="str">
        <f>IFERROR(VLOOKUP(Tablo520[[#This Row],[ÜRÜN KODU]],YMKODLARI!$A$1:$K$373,2,0)," ")</f>
        <v xml:space="preserve"> </v>
      </c>
      <c r="C168" s="99"/>
      <c r="D168" s="100"/>
      <c r="E168" s="101"/>
      <c r="F168" s="101"/>
      <c r="G168" s="100" t="str">
        <f>IFERROR(VLOOKUP(Tablo520[[#This Row],[ÜRÜN KODU]],YMKODLARI!$A$1:$K$373,3,0)," ")</f>
        <v xml:space="preserve"> </v>
      </c>
      <c r="H168" s="100" t="str">
        <f>IFERROR(VLOOKUP(Tablo520[[#This Row],[ÜRÜN KODU]],YMKODLARI!$A$1:$K$373,4,0)," ")</f>
        <v xml:space="preserve"> </v>
      </c>
      <c r="I168" s="100"/>
      <c r="J168" s="100" t="str">
        <f>IFERROR(VLOOKUP(Tablo520[[#This Row],[ÜRÜN KODU]],YMKODLARI!$A$1:$K$373,9,0)," ")</f>
        <v xml:space="preserve"> </v>
      </c>
      <c r="K168" s="100" t="str">
        <f>IFERROR(VLOOKUP(Tablo520[[#This Row],[BOYA KODU]],Tablo14[#All],4,0)," ")</f>
        <v xml:space="preserve"> </v>
      </c>
      <c r="L168" s="100" t="str">
        <f>IFERROR(VLOOKUP(Tablo520[[#This Row],[BOYA KODU]],Tablo14[#All],6,0)," ")</f>
        <v xml:space="preserve"> </v>
      </c>
      <c r="M168" s="100" t="str">
        <f t="shared" si="14"/>
        <v xml:space="preserve"> </v>
      </c>
      <c r="N168" s="100" t="str">
        <f>IFERROR(VLOOKUP(Tablo520[[#This Row],[ÜRÜN KODU]],YMKODLARI!$A$1:$K$373,8,0)," ")</f>
        <v xml:space="preserve"> </v>
      </c>
      <c r="O168" s="100" t="str">
        <f>IFERROR(VLOOKUP(Tablo520[[#This Row],[HAMMADDE KODU]],Tablo1[#All],3,0)," ")</f>
        <v xml:space="preserve"> </v>
      </c>
      <c r="P168" s="100" t="str">
        <f>IFERROR(VLOOKUP(Tablo520[[#This Row],[HAMMADDE KODU]],Tablo1[#All],4,0)," ")</f>
        <v xml:space="preserve"> </v>
      </c>
      <c r="Q168" s="100" t="str">
        <f>IFERROR(VLOOKUP(Tablo520[[#This Row],[ÜRÜN KODU]],YMKODLARI!$A$1:$K$373,5,0)," ")</f>
        <v xml:space="preserve"> </v>
      </c>
      <c r="R168" s="100" t="str">
        <f>IFERROR(VLOOKUP(Tablo520[[#This Row],[ÜRÜN KODU]],YMKODLARI!$A$1:$K$373,6,0)," ")</f>
        <v xml:space="preserve"> </v>
      </c>
      <c r="S168" s="100" t="str">
        <f>IFERROR(Tablo520[[#This Row],[YOLLUK HARİÇ BASKI GRAMI]]/Tablo520[[#This Row],[KALIP GÖZ ADEDİ]]," ")</f>
        <v xml:space="preserve"> </v>
      </c>
      <c r="T168" s="100" t="str">
        <f t="shared" si="16"/>
        <v xml:space="preserve"> </v>
      </c>
      <c r="U168" s="100"/>
      <c r="V168" s="100" t="str">
        <f t="shared" si="15"/>
        <v xml:space="preserve"> </v>
      </c>
      <c r="W168" s="101">
        <f t="shared" si="17"/>
        <v>24</v>
      </c>
      <c r="X168" s="102">
        <f t="shared" si="18"/>
        <v>0</v>
      </c>
      <c r="Y168" s="100" t="str">
        <f t="shared" si="19"/>
        <v xml:space="preserve"> </v>
      </c>
      <c r="Z168" s="100" t="str">
        <f t="shared" si="20"/>
        <v xml:space="preserve"> </v>
      </c>
    </row>
    <row r="169" spans="1:26">
      <c r="A169" s="100"/>
      <c r="B169" s="100" t="str">
        <f>IFERROR(VLOOKUP(Tablo520[[#This Row],[ÜRÜN KODU]],YMKODLARI!$A$1:$K$373,2,0)," ")</f>
        <v xml:space="preserve"> </v>
      </c>
      <c r="C169" s="99"/>
      <c r="D169" s="100"/>
      <c r="E169" s="101"/>
      <c r="F169" s="101"/>
      <c r="G169" s="100" t="str">
        <f>IFERROR(VLOOKUP(Tablo520[[#This Row],[ÜRÜN KODU]],YMKODLARI!$A$1:$K$373,3,0)," ")</f>
        <v xml:space="preserve"> </v>
      </c>
      <c r="H169" s="100" t="str">
        <f>IFERROR(VLOOKUP(Tablo520[[#This Row],[ÜRÜN KODU]],YMKODLARI!$A$1:$K$373,4,0)," ")</f>
        <v xml:space="preserve"> </v>
      </c>
      <c r="I169" s="100"/>
      <c r="J169" s="100" t="str">
        <f>IFERROR(VLOOKUP(Tablo520[[#This Row],[ÜRÜN KODU]],YMKODLARI!$A$1:$K$373,9,0)," ")</f>
        <v xml:space="preserve"> </v>
      </c>
      <c r="K169" s="100" t="str">
        <f>IFERROR(VLOOKUP(Tablo520[[#This Row],[BOYA KODU]],Tablo14[#All],4,0)," ")</f>
        <v xml:space="preserve"> </v>
      </c>
      <c r="L169" s="100" t="str">
        <f>IFERROR(VLOOKUP(Tablo520[[#This Row],[BOYA KODU]],Tablo14[#All],6,0)," ")</f>
        <v xml:space="preserve"> </v>
      </c>
      <c r="M169" s="100" t="str">
        <f t="shared" si="14"/>
        <v xml:space="preserve"> </v>
      </c>
      <c r="N169" s="100" t="str">
        <f>IFERROR(VLOOKUP(Tablo520[[#This Row],[ÜRÜN KODU]],YMKODLARI!$A$1:$K$373,8,0)," ")</f>
        <v xml:space="preserve"> </v>
      </c>
      <c r="O169" s="100" t="str">
        <f>IFERROR(VLOOKUP(Tablo520[[#This Row],[HAMMADDE KODU]],Tablo1[#All],3,0)," ")</f>
        <v xml:space="preserve"> </v>
      </c>
      <c r="P169" s="100" t="str">
        <f>IFERROR(VLOOKUP(Tablo520[[#This Row],[HAMMADDE KODU]],Tablo1[#All],4,0)," ")</f>
        <v xml:space="preserve"> </v>
      </c>
      <c r="Q169" s="100" t="str">
        <f>IFERROR(VLOOKUP(Tablo520[[#This Row],[ÜRÜN KODU]],YMKODLARI!$A$1:$K$373,5,0)," ")</f>
        <v xml:space="preserve"> </v>
      </c>
      <c r="R169" s="100" t="str">
        <f>IFERROR(VLOOKUP(Tablo520[[#This Row],[ÜRÜN KODU]],YMKODLARI!$A$1:$K$373,6,0)," ")</f>
        <v xml:space="preserve"> </v>
      </c>
      <c r="S169" s="100" t="str">
        <f>IFERROR(Tablo520[[#This Row],[YOLLUK HARİÇ BASKI GRAMI]]/Tablo520[[#This Row],[KALIP GÖZ ADEDİ]]," ")</f>
        <v xml:space="preserve"> </v>
      </c>
      <c r="T169" s="100" t="str">
        <f t="shared" si="16"/>
        <v xml:space="preserve"> </v>
      </c>
      <c r="U169" s="100"/>
      <c r="V169" s="100" t="str">
        <f t="shared" si="15"/>
        <v xml:space="preserve"> </v>
      </c>
      <c r="W169" s="101">
        <f t="shared" si="17"/>
        <v>24</v>
      </c>
      <c r="X169" s="102">
        <f t="shared" si="18"/>
        <v>0</v>
      </c>
      <c r="Y169" s="100" t="str">
        <f t="shared" si="19"/>
        <v xml:space="preserve"> </v>
      </c>
      <c r="Z169" s="100" t="str">
        <f t="shared" si="20"/>
        <v xml:space="preserve"> </v>
      </c>
    </row>
    <row r="170" spans="1:26">
      <c r="A170" s="100"/>
      <c r="B170" s="100" t="str">
        <f>IFERROR(VLOOKUP(Tablo520[[#This Row],[ÜRÜN KODU]],YMKODLARI!$A$1:$K$373,2,0)," ")</f>
        <v xml:space="preserve"> </v>
      </c>
      <c r="C170" s="99"/>
      <c r="D170" s="100"/>
      <c r="E170" s="101"/>
      <c r="F170" s="101"/>
      <c r="G170" s="100" t="str">
        <f>IFERROR(VLOOKUP(Tablo520[[#This Row],[ÜRÜN KODU]],YMKODLARI!$A$1:$K$373,3,0)," ")</f>
        <v xml:space="preserve"> </v>
      </c>
      <c r="H170" s="100" t="str">
        <f>IFERROR(VLOOKUP(Tablo520[[#This Row],[ÜRÜN KODU]],YMKODLARI!$A$1:$K$373,4,0)," ")</f>
        <v xml:space="preserve"> </v>
      </c>
      <c r="I170" s="100"/>
      <c r="J170" s="100" t="str">
        <f>IFERROR(VLOOKUP(Tablo520[[#This Row],[ÜRÜN KODU]],YMKODLARI!$A$1:$K$373,9,0)," ")</f>
        <v xml:space="preserve"> </v>
      </c>
      <c r="K170" s="100" t="str">
        <f>IFERROR(VLOOKUP(Tablo520[[#This Row],[BOYA KODU]],Tablo14[#All],4,0)," ")</f>
        <v xml:space="preserve"> </v>
      </c>
      <c r="L170" s="100" t="str">
        <f>IFERROR(VLOOKUP(Tablo520[[#This Row],[BOYA KODU]],Tablo14[#All],6,0)," ")</f>
        <v xml:space="preserve"> </v>
      </c>
      <c r="M170" s="100" t="str">
        <f t="shared" si="14"/>
        <v xml:space="preserve"> </v>
      </c>
      <c r="N170" s="100" t="str">
        <f>IFERROR(VLOOKUP(Tablo520[[#This Row],[ÜRÜN KODU]],YMKODLARI!$A$1:$K$373,8,0)," ")</f>
        <v xml:space="preserve"> </v>
      </c>
      <c r="O170" s="100" t="str">
        <f>IFERROR(VLOOKUP(Tablo520[[#This Row],[HAMMADDE KODU]],Tablo1[#All],3,0)," ")</f>
        <v xml:space="preserve"> </v>
      </c>
      <c r="P170" s="100" t="str">
        <f>IFERROR(VLOOKUP(Tablo520[[#This Row],[HAMMADDE KODU]],Tablo1[#All],4,0)," ")</f>
        <v xml:space="preserve"> </v>
      </c>
      <c r="Q170" s="100" t="str">
        <f>IFERROR(VLOOKUP(Tablo520[[#This Row],[ÜRÜN KODU]],YMKODLARI!$A$1:$K$373,5,0)," ")</f>
        <v xml:space="preserve"> </v>
      </c>
      <c r="R170" s="100" t="str">
        <f>IFERROR(VLOOKUP(Tablo520[[#This Row],[ÜRÜN KODU]],YMKODLARI!$A$1:$K$373,6,0)," ")</f>
        <v xml:space="preserve"> </v>
      </c>
      <c r="S170" s="100" t="str">
        <f>IFERROR(Tablo520[[#This Row],[YOLLUK HARİÇ BASKI GRAMI]]/Tablo520[[#This Row],[KALIP GÖZ ADEDİ]]," ")</f>
        <v xml:space="preserve"> </v>
      </c>
      <c r="T170" s="100" t="str">
        <f t="shared" si="16"/>
        <v xml:space="preserve"> </v>
      </c>
      <c r="U170" s="100"/>
      <c r="V170" s="100" t="str">
        <f t="shared" si="15"/>
        <v xml:space="preserve"> </v>
      </c>
      <c r="W170" s="101">
        <f t="shared" si="17"/>
        <v>24</v>
      </c>
      <c r="X170" s="102">
        <f t="shared" si="18"/>
        <v>0</v>
      </c>
      <c r="Y170" s="100" t="str">
        <f t="shared" si="19"/>
        <v xml:space="preserve"> </v>
      </c>
      <c r="Z170" s="100" t="str">
        <f t="shared" si="20"/>
        <v xml:space="preserve"> </v>
      </c>
    </row>
    <row r="171" spans="1:26">
      <c r="A171" s="100"/>
      <c r="B171" s="100" t="str">
        <f>IFERROR(VLOOKUP(Tablo520[[#This Row],[ÜRÜN KODU]],YMKODLARI!$A$1:$K$373,2,0)," ")</f>
        <v xml:space="preserve"> </v>
      </c>
      <c r="C171" s="99"/>
      <c r="D171" s="100"/>
      <c r="E171" s="101"/>
      <c r="F171" s="101"/>
      <c r="G171" s="100" t="str">
        <f>IFERROR(VLOOKUP(Tablo520[[#This Row],[ÜRÜN KODU]],YMKODLARI!$A$1:$K$373,3,0)," ")</f>
        <v xml:space="preserve"> </v>
      </c>
      <c r="H171" s="100" t="str">
        <f>IFERROR(VLOOKUP(Tablo520[[#This Row],[ÜRÜN KODU]],YMKODLARI!$A$1:$K$373,4,0)," ")</f>
        <v xml:space="preserve"> </v>
      </c>
      <c r="I171" s="100"/>
      <c r="J171" s="100" t="str">
        <f>IFERROR(VLOOKUP(Tablo520[[#This Row],[ÜRÜN KODU]],YMKODLARI!$A$1:$K$373,9,0)," ")</f>
        <v xml:space="preserve"> </v>
      </c>
      <c r="K171" s="100" t="str">
        <f>IFERROR(VLOOKUP(Tablo520[[#This Row],[BOYA KODU]],Tablo14[#All],4,0)," ")</f>
        <v xml:space="preserve"> </v>
      </c>
      <c r="L171" s="100" t="str">
        <f>IFERROR(VLOOKUP(Tablo520[[#This Row],[BOYA KODU]],Tablo14[#All],6,0)," ")</f>
        <v xml:space="preserve"> </v>
      </c>
      <c r="M171" s="100" t="str">
        <f t="shared" si="14"/>
        <v xml:space="preserve"> </v>
      </c>
      <c r="N171" s="100" t="str">
        <f>IFERROR(VLOOKUP(Tablo520[[#This Row],[ÜRÜN KODU]],YMKODLARI!$A$1:$K$373,8,0)," ")</f>
        <v xml:space="preserve"> </v>
      </c>
      <c r="O171" s="100" t="str">
        <f>IFERROR(VLOOKUP(Tablo520[[#This Row],[HAMMADDE KODU]],Tablo1[#All],3,0)," ")</f>
        <v xml:space="preserve"> </v>
      </c>
      <c r="P171" s="100" t="str">
        <f>IFERROR(VLOOKUP(Tablo520[[#This Row],[HAMMADDE KODU]],Tablo1[#All],4,0)," ")</f>
        <v xml:space="preserve"> </v>
      </c>
      <c r="Q171" s="100" t="str">
        <f>IFERROR(VLOOKUP(Tablo520[[#This Row],[ÜRÜN KODU]],YMKODLARI!$A$1:$K$373,5,0)," ")</f>
        <v xml:space="preserve"> </v>
      </c>
      <c r="R171" s="100" t="str">
        <f>IFERROR(VLOOKUP(Tablo520[[#This Row],[ÜRÜN KODU]],YMKODLARI!$A$1:$K$373,6,0)," ")</f>
        <v xml:space="preserve"> </v>
      </c>
      <c r="S171" s="100" t="str">
        <f>IFERROR(Tablo520[[#This Row],[YOLLUK HARİÇ BASKI GRAMI]]/Tablo520[[#This Row],[KALIP GÖZ ADEDİ]]," ")</f>
        <v xml:space="preserve"> </v>
      </c>
      <c r="T171" s="100" t="str">
        <f t="shared" si="16"/>
        <v xml:space="preserve"> </v>
      </c>
      <c r="U171" s="100"/>
      <c r="V171" s="100" t="str">
        <f t="shared" si="15"/>
        <v xml:space="preserve"> </v>
      </c>
      <c r="W171" s="101">
        <f t="shared" si="17"/>
        <v>24</v>
      </c>
      <c r="X171" s="102">
        <f t="shared" si="18"/>
        <v>0</v>
      </c>
      <c r="Y171" s="100" t="str">
        <f t="shared" si="19"/>
        <v xml:space="preserve"> </v>
      </c>
      <c r="Z171" s="100" t="str">
        <f t="shared" si="20"/>
        <v xml:space="preserve"> </v>
      </c>
    </row>
    <row r="172" spans="1:26">
      <c r="A172" s="100"/>
      <c r="B172" s="100" t="str">
        <f>IFERROR(VLOOKUP(Tablo520[[#This Row],[ÜRÜN KODU]],YMKODLARI!$A$1:$K$373,2,0)," ")</f>
        <v xml:space="preserve"> </v>
      </c>
      <c r="C172" s="99"/>
      <c r="D172" s="100"/>
      <c r="E172" s="101"/>
      <c r="F172" s="101"/>
      <c r="G172" s="100" t="str">
        <f>IFERROR(VLOOKUP(Tablo520[[#This Row],[ÜRÜN KODU]],YMKODLARI!$A$1:$K$373,3,0)," ")</f>
        <v xml:space="preserve"> </v>
      </c>
      <c r="H172" s="100" t="str">
        <f>IFERROR(VLOOKUP(Tablo520[[#This Row],[ÜRÜN KODU]],YMKODLARI!$A$1:$K$373,4,0)," ")</f>
        <v xml:space="preserve"> </v>
      </c>
      <c r="I172" s="100"/>
      <c r="J172" s="100" t="str">
        <f>IFERROR(VLOOKUP(Tablo520[[#This Row],[ÜRÜN KODU]],YMKODLARI!$A$1:$K$373,9,0)," ")</f>
        <v xml:space="preserve"> </v>
      </c>
      <c r="K172" s="100" t="str">
        <f>IFERROR(VLOOKUP(Tablo520[[#This Row],[BOYA KODU]],Tablo14[#All],4,0)," ")</f>
        <v xml:space="preserve"> </v>
      </c>
      <c r="L172" s="100" t="str">
        <f>IFERROR(VLOOKUP(Tablo520[[#This Row],[BOYA KODU]],Tablo14[#All],6,0)," ")</f>
        <v xml:space="preserve"> </v>
      </c>
      <c r="M172" s="100" t="str">
        <f t="shared" si="14"/>
        <v xml:space="preserve"> </v>
      </c>
      <c r="N172" s="100" t="str">
        <f>IFERROR(VLOOKUP(Tablo520[[#This Row],[ÜRÜN KODU]],YMKODLARI!$A$1:$K$373,8,0)," ")</f>
        <v xml:space="preserve"> </v>
      </c>
      <c r="O172" s="100" t="str">
        <f>IFERROR(VLOOKUP(Tablo520[[#This Row],[HAMMADDE KODU]],Tablo1[#All],3,0)," ")</f>
        <v xml:space="preserve"> </v>
      </c>
      <c r="P172" s="100" t="str">
        <f>IFERROR(VLOOKUP(Tablo520[[#This Row],[HAMMADDE KODU]],Tablo1[#All],4,0)," ")</f>
        <v xml:space="preserve"> </v>
      </c>
      <c r="Q172" s="100" t="str">
        <f>IFERROR(VLOOKUP(Tablo520[[#This Row],[ÜRÜN KODU]],YMKODLARI!$A$1:$K$373,5,0)," ")</f>
        <v xml:space="preserve"> </v>
      </c>
      <c r="R172" s="100" t="str">
        <f>IFERROR(VLOOKUP(Tablo520[[#This Row],[ÜRÜN KODU]],YMKODLARI!$A$1:$K$373,6,0)," ")</f>
        <v xml:space="preserve"> </v>
      </c>
      <c r="S172" s="100" t="str">
        <f>IFERROR(Tablo520[[#This Row],[YOLLUK HARİÇ BASKI GRAMI]]/Tablo520[[#This Row],[KALIP GÖZ ADEDİ]]," ")</f>
        <v xml:space="preserve"> </v>
      </c>
      <c r="T172" s="100" t="str">
        <f t="shared" si="16"/>
        <v xml:space="preserve"> </v>
      </c>
      <c r="U172" s="100"/>
      <c r="V172" s="100" t="str">
        <f t="shared" si="15"/>
        <v xml:space="preserve"> </v>
      </c>
      <c r="W172" s="101">
        <f t="shared" si="17"/>
        <v>24</v>
      </c>
      <c r="X172" s="102">
        <f t="shared" si="18"/>
        <v>0</v>
      </c>
      <c r="Y172" s="100" t="str">
        <f t="shared" si="19"/>
        <v xml:space="preserve"> </v>
      </c>
      <c r="Z172" s="100" t="str">
        <f t="shared" si="20"/>
        <v xml:space="preserve"> </v>
      </c>
    </row>
    <row r="173" spans="1:26">
      <c r="A173" s="100"/>
      <c r="B173" s="100" t="str">
        <f>IFERROR(VLOOKUP(Tablo520[[#This Row],[ÜRÜN KODU]],YMKODLARI!$A$1:$K$373,2,0)," ")</f>
        <v xml:space="preserve"> </v>
      </c>
      <c r="C173" s="99"/>
      <c r="D173" s="100"/>
      <c r="E173" s="101"/>
      <c r="F173" s="101"/>
      <c r="G173" s="100" t="str">
        <f>IFERROR(VLOOKUP(Tablo520[[#This Row],[ÜRÜN KODU]],YMKODLARI!$A$1:$K$373,3,0)," ")</f>
        <v xml:space="preserve"> </v>
      </c>
      <c r="H173" s="100" t="str">
        <f>IFERROR(VLOOKUP(Tablo520[[#This Row],[ÜRÜN KODU]],YMKODLARI!$A$1:$K$373,4,0)," ")</f>
        <v xml:space="preserve"> </v>
      </c>
      <c r="I173" s="100"/>
      <c r="J173" s="100" t="str">
        <f>IFERROR(VLOOKUP(Tablo520[[#This Row],[ÜRÜN KODU]],YMKODLARI!$A$1:$K$373,9,0)," ")</f>
        <v xml:space="preserve"> </v>
      </c>
      <c r="K173" s="100" t="str">
        <f>IFERROR(VLOOKUP(Tablo520[[#This Row],[BOYA KODU]],Tablo14[#All],4,0)," ")</f>
        <v xml:space="preserve"> </v>
      </c>
      <c r="L173" s="100" t="str">
        <f>IFERROR(VLOOKUP(Tablo520[[#This Row],[BOYA KODU]],Tablo14[#All],6,0)," ")</f>
        <v xml:space="preserve"> </v>
      </c>
      <c r="M173" s="100" t="str">
        <f t="shared" si="14"/>
        <v xml:space="preserve"> </v>
      </c>
      <c r="N173" s="100" t="str">
        <f>IFERROR(VLOOKUP(Tablo520[[#This Row],[ÜRÜN KODU]],YMKODLARI!$A$1:$K$373,8,0)," ")</f>
        <v xml:space="preserve"> </v>
      </c>
      <c r="O173" s="100" t="str">
        <f>IFERROR(VLOOKUP(Tablo520[[#This Row],[HAMMADDE KODU]],Tablo1[#All],3,0)," ")</f>
        <v xml:space="preserve"> </v>
      </c>
      <c r="P173" s="100" t="str">
        <f>IFERROR(VLOOKUP(Tablo520[[#This Row],[HAMMADDE KODU]],Tablo1[#All],4,0)," ")</f>
        <v xml:space="preserve"> </v>
      </c>
      <c r="Q173" s="100" t="str">
        <f>IFERROR(VLOOKUP(Tablo520[[#This Row],[ÜRÜN KODU]],YMKODLARI!$A$1:$K$373,5,0)," ")</f>
        <v xml:space="preserve"> </v>
      </c>
      <c r="R173" s="100" t="str">
        <f>IFERROR(VLOOKUP(Tablo520[[#This Row],[ÜRÜN KODU]],YMKODLARI!$A$1:$K$373,6,0)," ")</f>
        <v xml:space="preserve"> </v>
      </c>
      <c r="S173" s="100" t="str">
        <f>IFERROR(Tablo520[[#This Row],[YOLLUK HARİÇ BASKI GRAMI]]/Tablo520[[#This Row],[KALIP GÖZ ADEDİ]]," ")</f>
        <v xml:space="preserve"> </v>
      </c>
      <c r="T173" s="100" t="str">
        <f t="shared" si="16"/>
        <v xml:space="preserve"> </v>
      </c>
      <c r="U173" s="100"/>
      <c r="V173" s="100" t="str">
        <f t="shared" si="15"/>
        <v xml:space="preserve"> </v>
      </c>
      <c r="W173" s="101">
        <f t="shared" si="17"/>
        <v>24</v>
      </c>
      <c r="X173" s="102">
        <f t="shared" si="18"/>
        <v>0</v>
      </c>
      <c r="Y173" s="100" t="str">
        <f t="shared" si="19"/>
        <v xml:space="preserve"> </v>
      </c>
      <c r="Z173" s="100" t="str">
        <f t="shared" si="20"/>
        <v xml:space="preserve"> </v>
      </c>
    </row>
    <row r="174" spans="1:26">
      <c r="A174" s="100"/>
      <c r="B174" s="100" t="str">
        <f>IFERROR(VLOOKUP(Tablo520[[#This Row],[ÜRÜN KODU]],YMKODLARI!$A$1:$K$373,2,0)," ")</f>
        <v xml:space="preserve"> </v>
      </c>
      <c r="C174" s="99"/>
      <c r="D174" s="100"/>
      <c r="E174" s="101"/>
      <c r="F174" s="101"/>
      <c r="G174" s="100" t="str">
        <f>IFERROR(VLOOKUP(Tablo520[[#This Row],[ÜRÜN KODU]],YMKODLARI!$A$1:$K$373,3,0)," ")</f>
        <v xml:space="preserve"> </v>
      </c>
      <c r="H174" s="100" t="str">
        <f>IFERROR(VLOOKUP(Tablo520[[#This Row],[ÜRÜN KODU]],YMKODLARI!$A$1:$K$373,4,0)," ")</f>
        <v xml:space="preserve"> </v>
      </c>
      <c r="I174" s="100"/>
      <c r="J174" s="100" t="str">
        <f>IFERROR(VLOOKUP(Tablo520[[#This Row],[ÜRÜN KODU]],YMKODLARI!$A$1:$K$373,9,0)," ")</f>
        <v xml:space="preserve"> </v>
      </c>
      <c r="K174" s="100" t="str">
        <f>IFERROR(VLOOKUP(Tablo520[[#This Row],[BOYA KODU]],Tablo14[#All],4,0)," ")</f>
        <v xml:space="preserve"> </v>
      </c>
      <c r="L174" s="100" t="str">
        <f>IFERROR(VLOOKUP(Tablo520[[#This Row],[BOYA KODU]],Tablo14[#All],6,0)," ")</f>
        <v xml:space="preserve"> </v>
      </c>
      <c r="M174" s="100" t="str">
        <f t="shared" si="14"/>
        <v xml:space="preserve"> </v>
      </c>
      <c r="N174" s="100" t="str">
        <f>IFERROR(VLOOKUP(Tablo520[[#This Row],[ÜRÜN KODU]],YMKODLARI!$A$1:$K$373,8,0)," ")</f>
        <v xml:space="preserve"> </v>
      </c>
      <c r="O174" s="100" t="str">
        <f>IFERROR(VLOOKUP(Tablo520[[#This Row],[HAMMADDE KODU]],Tablo1[#All],3,0)," ")</f>
        <v xml:space="preserve"> </v>
      </c>
      <c r="P174" s="100" t="str">
        <f>IFERROR(VLOOKUP(Tablo520[[#This Row],[HAMMADDE KODU]],Tablo1[#All],4,0)," ")</f>
        <v xml:space="preserve"> </v>
      </c>
      <c r="Q174" s="100" t="str">
        <f>IFERROR(VLOOKUP(Tablo520[[#This Row],[ÜRÜN KODU]],YMKODLARI!$A$1:$K$373,5,0)," ")</f>
        <v xml:space="preserve"> </v>
      </c>
      <c r="R174" s="100" t="str">
        <f>IFERROR(VLOOKUP(Tablo520[[#This Row],[ÜRÜN KODU]],YMKODLARI!$A$1:$K$373,6,0)," ")</f>
        <v xml:space="preserve"> </v>
      </c>
      <c r="S174" s="100" t="str">
        <f>IFERROR(Tablo520[[#This Row],[YOLLUK HARİÇ BASKI GRAMI]]/Tablo520[[#This Row],[KALIP GÖZ ADEDİ]]," ")</f>
        <v xml:space="preserve"> </v>
      </c>
      <c r="T174" s="100" t="str">
        <f t="shared" si="16"/>
        <v xml:space="preserve"> </v>
      </c>
      <c r="U174" s="100"/>
      <c r="V174" s="100" t="str">
        <f t="shared" si="15"/>
        <v xml:space="preserve"> </v>
      </c>
      <c r="W174" s="101">
        <f t="shared" si="17"/>
        <v>24</v>
      </c>
      <c r="X174" s="102">
        <f t="shared" si="18"/>
        <v>0</v>
      </c>
      <c r="Y174" s="100" t="str">
        <f t="shared" si="19"/>
        <v xml:space="preserve"> </v>
      </c>
      <c r="Z174" s="100" t="str">
        <f t="shared" si="20"/>
        <v xml:space="preserve"> </v>
      </c>
    </row>
    <row r="175" spans="1:26">
      <c r="A175" s="100"/>
      <c r="B175" s="100" t="str">
        <f>IFERROR(VLOOKUP(Tablo520[[#This Row],[ÜRÜN KODU]],YMKODLARI!$A$1:$K$373,2,0)," ")</f>
        <v xml:space="preserve"> </v>
      </c>
      <c r="C175" s="99"/>
      <c r="D175" s="100"/>
      <c r="E175" s="101"/>
      <c r="F175" s="101"/>
      <c r="G175" s="100" t="str">
        <f>IFERROR(VLOOKUP(Tablo520[[#This Row],[ÜRÜN KODU]],YMKODLARI!$A$1:$K$373,3,0)," ")</f>
        <v xml:space="preserve"> </v>
      </c>
      <c r="H175" s="100" t="str">
        <f>IFERROR(VLOOKUP(Tablo520[[#This Row],[ÜRÜN KODU]],YMKODLARI!$A$1:$K$373,4,0)," ")</f>
        <v xml:space="preserve"> </v>
      </c>
      <c r="I175" s="100"/>
      <c r="J175" s="100" t="str">
        <f>IFERROR(VLOOKUP(Tablo520[[#This Row],[ÜRÜN KODU]],YMKODLARI!$A$1:$K$373,9,0)," ")</f>
        <v xml:space="preserve"> </v>
      </c>
      <c r="K175" s="100" t="str">
        <f>IFERROR(VLOOKUP(Tablo520[[#This Row],[BOYA KODU]],Tablo14[#All],4,0)," ")</f>
        <v xml:space="preserve"> </v>
      </c>
      <c r="L175" s="100" t="str">
        <f>IFERROR(VLOOKUP(Tablo520[[#This Row],[BOYA KODU]],Tablo14[#All],6,0)," ")</f>
        <v xml:space="preserve"> </v>
      </c>
      <c r="M175" s="100" t="str">
        <f t="shared" si="14"/>
        <v xml:space="preserve"> </v>
      </c>
      <c r="N175" s="100" t="str">
        <f>IFERROR(VLOOKUP(Tablo520[[#This Row],[ÜRÜN KODU]],YMKODLARI!$A$1:$K$373,8,0)," ")</f>
        <v xml:space="preserve"> </v>
      </c>
      <c r="O175" s="100" t="str">
        <f>IFERROR(VLOOKUP(Tablo520[[#This Row],[HAMMADDE KODU]],Tablo1[#All],3,0)," ")</f>
        <v xml:space="preserve"> </v>
      </c>
      <c r="P175" s="100" t="str">
        <f>IFERROR(VLOOKUP(Tablo520[[#This Row],[HAMMADDE KODU]],Tablo1[#All],4,0)," ")</f>
        <v xml:space="preserve"> </v>
      </c>
      <c r="Q175" s="100" t="str">
        <f>IFERROR(VLOOKUP(Tablo520[[#This Row],[ÜRÜN KODU]],YMKODLARI!$A$1:$K$373,5,0)," ")</f>
        <v xml:space="preserve"> </v>
      </c>
      <c r="R175" s="100" t="str">
        <f>IFERROR(VLOOKUP(Tablo520[[#This Row],[ÜRÜN KODU]],YMKODLARI!$A$1:$K$373,6,0)," ")</f>
        <v xml:space="preserve"> </v>
      </c>
      <c r="S175" s="100" t="str">
        <f>IFERROR(Tablo520[[#This Row],[YOLLUK HARİÇ BASKI GRAMI]]/Tablo520[[#This Row],[KALIP GÖZ ADEDİ]]," ")</f>
        <v xml:space="preserve"> </v>
      </c>
      <c r="T175" s="100" t="str">
        <f t="shared" si="16"/>
        <v xml:space="preserve"> </v>
      </c>
      <c r="U175" s="100"/>
      <c r="V175" s="100" t="str">
        <f t="shared" si="15"/>
        <v xml:space="preserve"> </v>
      </c>
      <c r="W175" s="101">
        <f t="shared" si="17"/>
        <v>24</v>
      </c>
      <c r="X175" s="102">
        <f t="shared" si="18"/>
        <v>0</v>
      </c>
      <c r="Y175" s="100" t="str">
        <f t="shared" si="19"/>
        <v xml:space="preserve"> </v>
      </c>
      <c r="Z175" s="100" t="str">
        <f t="shared" si="20"/>
        <v xml:space="preserve"> </v>
      </c>
    </row>
    <row r="176" spans="1:26">
      <c r="A176" s="100"/>
      <c r="B176" s="100" t="str">
        <f>IFERROR(VLOOKUP(Tablo520[[#This Row],[ÜRÜN KODU]],YMKODLARI!$A$1:$K$373,2,0)," ")</f>
        <v xml:space="preserve"> </v>
      </c>
      <c r="C176" s="99"/>
      <c r="D176" s="100"/>
      <c r="E176" s="101"/>
      <c r="F176" s="101"/>
      <c r="G176" s="100" t="str">
        <f>IFERROR(VLOOKUP(Tablo520[[#This Row],[ÜRÜN KODU]],YMKODLARI!$A$1:$K$373,3,0)," ")</f>
        <v xml:space="preserve"> </v>
      </c>
      <c r="H176" s="100" t="str">
        <f>IFERROR(VLOOKUP(Tablo520[[#This Row],[ÜRÜN KODU]],YMKODLARI!$A$1:$K$373,4,0)," ")</f>
        <v xml:space="preserve"> </v>
      </c>
      <c r="I176" s="100"/>
      <c r="J176" s="100" t="str">
        <f>IFERROR(VLOOKUP(Tablo520[[#This Row],[ÜRÜN KODU]],YMKODLARI!$A$1:$K$373,9,0)," ")</f>
        <v xml:space="preserve"> </v>
      </c>
      <c r="K176" s="100" t="str">
        <f>IFERROR(VLOOKUP(Tablo520[[#This Row],[BOYA KODU]],Tablo14[#All],4,0)," ")</f>
        <v xml:space="preserve"> </v>
      </c>
      <c r="L176" s="100" t="str">
        <f>IFERROR(VLOOKUP(Tablo520[[#This Row],[BOYA KODU]],Tablo14[#All],6,0)," ")</f>
        <v xml:space="preserve"> </v>
      </c>
      <c r="M176" s="100" t="str">
        <f t="shared" si="14"/>
        <v xml:space="preserve"> </v>
      </c>
      <c r="N176" s="100" t="str">
        <f>IFERROR(VLOOKUP(Tablo520[[#This Row],[ÜRÜN KODU]],YMKODLARI!$A$1:$K$373,8,0)," ")</f>
        <v xml:space="preserve"> </v>
      </c>
      <c r="O176" s="100" t="str">
        <f>IFERROR(VLOOKUP(Tablo520[[#This Row],[HAMMADDE KODU]],Tablo1[#All],3,0)," ")</f>
        <v xml:space="preserve"> </v>
      </c>
      <c r="P176" s="100" t="str">
        <f>IFERROR(VLOOKUP(Tablo520[[#This Row],[HAMMADDE KODU]],Tablo1[#All],4,0)," ")</f>
        <v xml:space="preserve"> </v>
      </c>
      <c r="Q176" s="100" t="str">
        <f>IFERROR(VLOOKUP(Tablo520[[#This Row],[ÜRÜN KODU]],YMKODLARI!$A$1:$K$373,5,0)," ")</f>
        <v xml:space="preserve"> </v>
      </c>
      <c r="R176" s="100" t="str">
        <f>IFERROR(VLOOKUP(Tablo520[[#This Row],[ÜRÜN KODU]],YMKODLARI!$A$1:$K$373,6,0)," ")</f>
        <v xml:space="preserve"> </v>
      </c>
      <c r="S176" s="100" t="str">
        <f>IFERROR(Tablo520[[#This Row],[YOLLUK HARİÇ BASKI GRAMI]]/Tablo520[[#This Row],[KALIP GÖZ ADEDİ]]," ")</f>
        <v xml:space="preserve"> </v>
      </c>
      <c r="T176" s="100" t="str">
        <f t="shared" si="16"/>
        <v xml:space="preserve"> </v>
      </c>
      <c r="U176" s="100"/>
      <c r="V176" s="100" t="str">
        <f t="shared" si="15"/>
        <v xml:space="preserve"> </v>
      </c>
      <c r="W176" s="101">
        <f t="shared" si="17"/>
        <v>24</v>
      </c>
      <c r="X176" s="102">
        <f t="shared" si="18"/>
        <v>0</v>
      </c>
      <c r="Y176" s="100" t="str">
        <f t="shared" si="19"/>
        <v xml:space="preserve"> </v>
      </c>
      <c r="Z176" s="100" t="str">
        <f t="shared" si="20"/>
        <v xml:space="preserve"> </v>
      </c>
    </row>
    <row r="177" spans="1:26">
      <c r="A177" s="100"/>
      <c r="B177" s="100" t="str">
        <f>IFERROR(VLOOKUP(Tablo520[[#This Row],[ÜRÜN KODU]],YMKODLARI!$A$1:$K$373,2,0)," ")</f>
        <v xml:space="preserve"> </v>
      </c>
      <c r="C177" s="99"/>
      <c r="D177" s="100"/>
      <c r="E177" s="101"/>
      <c r="F177" s="101"/>
      <c r="G177" s="100" t="str">
        <f>IFERROR(VLOOKUP(Tablo520[[#This Row],[ÜRÜN KODU]],YMKODLARI!$A$1:$K$373,3,0)," ")</f>
        <v xml:space="preserve"> </v>
      </c>
      <c r="H177" s="100" t="str">
        <f>IFERROR(VLOOKUP(Tablo520[[#This Row],[ÜRÜN KODU]],YMKODLARI!$A$1:$K$373,4,0)," ")</f>
        <v xml:space="preserve"> </v>
      </c>
      <c r="I177" s="100"/>
      <c r="J177" s="100" t="str">
        <f>IFERROR(VLOOKUP(Tablo520[[#This Row],[ÜRÜN KODU]],YMKODLARI!$A$1:$K$373,9,0)," ")</f>
        <v xml:space="preserve"> </v>
      </c>
      <c r="K177" s="100" t="str">
        <f>IFERROR(VLOOKUP(Tablo520[[#This Row],[BOYA KODU]],Tablo14[#All],4,0)," ")</f>
        <v xml:space="preserve"> </v>
      </c>
      <c r="L177" s="100" t="str">
        <f>IFERROR(VLOOKUP(Tablo520[[#This Row],[BOYA KODU]],Tablo14[#All],6,0)," ")</f>
        <v xml:space="preserve"> </v>
      </c>
      <c r="M177" s="100" t="str">
        <f t="shared" si="14"/>
        <v xml:space="preserve"> </v>
      </c>
      <c r="N177" s="100" t="str">
        <f>IFERROR(VLOOKUP(Tablo520[[#This Row],[ÜRÜN KODU]],YMKODLARI!$A$1:$K$373,8,0)," ")</f>
        <v xml:space="preserve"> </v>
      </c>
      <c r="O177" s="100" t="str">
        <f>IFERROR(VLOOKUP(Tablo520[[#This Row],[HAMMADDE KODU]],Tablo1[#All],3,0)," ")</f>
        <v xml:space="preserve"> </v>
      </c>
      <c r="P177" s="100" t="str">
        <f>IFERROR(VLOOKUP(Tablo520[[#This Row],[HAMMADDE KODU]],Tablo1[#All],4,0)," ")</f>
        <v xml:space="preserve"> </v>
      </c>
      <c r="Q177" s="100" t="str">
        <f>IFERROR(VLOOKUP(Tablo520[[#This Row],[ÜRÜN KODU]],YMKODLARI!$A$1:$K$373,5,0)," ")</f>
        <v xml:space="preserve"> </v>
      </c>
      <c r="R177" s="100" t="str">
        <f>IFERROR(VLOOKUP(Tablo520[[#This Row],[ÜRÜN KODU]],YMKODLARI!$A$1:$K$373,6,0)," ")</f>
        <v xml:space="preserve"> </v>
      </c>
      <c r="S177" s="100" t="str">
        <f>IFERROR(Tablo520[[#This Row],[YOLLUK HARİÇ BASKI GRAMI]]/Tablo520[[#This Row],[KALIP GÖZ ADEDİ]]," ")</f>
        <v xml:space="preserve"> </v>
      </c>
      <c r="T177" s="100" t="str">
        <f t="shared" si="16"/>
        <v xml:space="preserve"> </v>
      </c>
      <c r="U177" s="100"/>
      <c r="V177" s="100" t="str">
        <f t="shared" si="15"/>
        <v xml:space="preserve"> </v>
      </c>
      <c r="W177" s="101">
        <f t="shared" si="17"/>
        <v>24</v>
      </c>
      <c r="X177" s="102">
        <f t="shared" si="18"/>
        <v>0</v>
      </c>
      <c r="Y177" s="100" t="str">
        <f t="shared" si="19"/>
        <v xml:space="preserve"> </v>
      </c>
      <c r="Z177" s="100" t="str">
        <f t="shared" si="20"/>
        <v xml:space="preserve"> </v>
      </c>
    </row>
    <row r="178" spans="1:26">
      <c r="A178" s="100"/>
      <c r="B178" s="100" t="str">
        <f>IFERROR(VLOOKUP(Tablo520[[#This Row],[ÜRÜN KODU]],YMKODLARI!$A$1:$K$373,2,0)," ")</f>
        <v xml:space="preserve"> </v>
      </c>
      <c r="C178" s="99"/>
      <c r="D178" s="100"/>
      <c r="E178" s="101"/>
      <c r="F178" s="101"/>
      <c r="G178" s="100" t="str">
        <f>IFERROR(VLOOKUP(Tablo520[[#This Row],[ÜRÜN KODU]],YMKODLARI!$A$1:$K$373,3,0)," ")</f>
        <v xml:space="preserve"> </v>
      </c>
      <c r="H178" s="100" t="str">
        <f>IFERROR(VLOOKUP(Tablo520[[#This Row],[ÜRÜN KODU]],YMKODLARI!$A$1:$K$373,4,0)," ")</f>
        <v xml:space="preserve"> </v>
      </c>
      <c r="I178" s="100"/>
      <c r="J178" s="100" t="str">
        <f>IFERROR(VLOOKUP(Tablo520[[#This Row],[ÜRÜN KODU]],YMKODLARI!$A$1:$K$373,9,0)," ")</f>
        <v xml:space="preserve"> </v>
      </c>
      <c r="K178" s="100" t="str">
        <f>IFERROR(VLOOKUP(Tablo520[[#This Row],[BOYA KODU]],Tablo14[#All],4,0)," ")</f>
        <v xml:space="preserve"> </v>
      </c>
      <c r="L178" s="100" t="str">
        <f>IFERROR(VLOOKUP(Tablo520[[#This Row],[BOYA KODU]],Tablo14[#All],6,0)," ")</f>
        <v xml:space="preserve"> </v>
      </c>
      <c r="M178" s="100" t="str">
        <f t="shared" si="14"/>
        <v xml:space="preserve"> </v>
      </c>
      <c r="N178" s="100" t="str">
        <f>IFERROR(VLOOKUP(Tablo520[[#This Row],[ÜRÜN KODU]],YMKODLARI!$A$1:$K$373,8,0)," ")</f>
        <v xml:space="preserve"> </v>
      </c>
      <c r="O178" s="100" t="str">
        <f>IFERROR(VLOOKUP(Tablo520[[#This Row],[HAMMADDE KODU]],Tablo1[#All],3,0)," ")</f>
        <v xml:space="preserve"> </v>
      </c>
      <c r="P178" s="100" t="str">
        <f>IFERROR(VLOOKUP(Tablo520[[#This Row],[HAMMADDE KODU]],Tablo1[#All],4,0)," ")</f>
        <v xml:space="preserve"> </v>
      </c>
      <c r="Q178" s="100" t="str">
        <f>IFERROR(VLOOKUP(Tablo520[[#This Row],[ÜRÜN KODU]],YMKODLARI!$A$1:$K$373,5,0)," ")</f>
        <v xml:space="preserve"> </v>
      </c>
      <c r="R178" s="100" t="str">
        <f>IFERROR(VLOOKUP(Tablo520[[#This Row],[ÜRÜN KODU]],YMKODLARI!$A$1:$K$373,6,0)," ")</f>
        <v xml:space="preserve"> </v>
      </c>
      <c r="S178" s="100" t="str">
        <f>IFERROR(Tablo520[[#This Row],[YOLLUK HARİÇ BASKI GRAMI]]/Tablo520[[#This Row],[KALIP GÖZ ADEDİ]]," ")</f>
        <v xml:space="preserve"> </v>
      </c>
      <c r="T178" s="100" t="str">
        <f t="shared" si="16"/>
        <v xml:space="preserve"> </v>
      </c>
      <c r="U178" s="100"/>
      <c r="V178" s="100" t="str">
        <f t="shared" si="15"/>
        <v xml:space="preserve"> </v>
      </c>
      <c r="W178" s="101">
        <f t="shared" si="17"/>
        <v>24</v>
      </c>
      <c r="X178" s="102">
        <f t="shared" si="18"/>
        <v>0</v>
      </c>
      <c r="Y178" s="100" t="str">
        <f t="shared" si="19"/>
        <v xml:space="preserve"> </v>
      </c>
      <c r="Z178" s="100" t="str">
        <f t="shared" si="20"/>
        <v xml:space="preserve"> </v>
      </c>
    </row>
    <row r="179" spans="1:26">
      <c r="A179" s="100"/>
      <c r="B179" s="100" t="str">
        <f>IFERROR(VLOOKUP(Tablo520[[#This Row],[ÜRÜN KODU]],YMKODLARI!$A$1:$K$373,2,0)," ")</f>
        <v xml:space="preserve"> </v>
      </c>
      <c r="C179" s="99"/>
      <c r="D179" s="100"/>
      <c r="E179" s="101"/>
      <c r="F179" s="101"/>
      <c r="G179" s="100" t="str">
        <f>IFERROR(VLOOKUP(Tablo520[[#This Row],[ÜRÜN KODU]],YMKODLARI!$A$1:$K$373,3,0)," ")</f>
        <v xml:space="preserve"> </v>
      </c>
      <c r="H179" s="100" t="str">
        <f>IFERROR(VLOOKUP(Tablo520[[#This Row],[ÜRÜN KODU]],YMKODLARI!$A$1:$K$373,4,0)," ")</f>
        <v xml:space="preserve"> </v>
      </c>
      <c r="I179" s="100"/>
      <c r="J179" s="100" t="str">
        <f>IFERROR(VLOOKUP(Tablo520[[#This Row],[ÜRÜN KODU]],YMKODLARI!$A$1:$K$373,9,0)," ")</f>
        <v xml:space="preserve"> </v>
      </c>
      <c r="K179" s="100" t="str">
        <f>IFERROR(VLOOKUP(Tablo520[[#This Row],[BOYA KODU]],Tablo14[#All],4,0)," ")</f>
        <v xml:space="preserve"> </v>
      </c>
      <c r="L179" s="100" t="str">
        <f>IFERROR(VLOOKUP(Tablo520[[#This Row],[BOYA KODU]],Tablo14[#All],6,0)," ")</f>
        <v xml:space="preserve"> </v>
      </c>
      <c r="M179" s="100" t="str">
        <f t="shared" si="14"/>
        <v xml:space="preserve"> </v>
      </c>
      <c r="N179" s="100" t="str">
        <f>IFERROR(VLOOKUP(Tablo520[[#This Row],[ÜRÜN KODU]],YMKODLARI!$A$1:$K$373,8,0)," ")</f>
        <v xml:space="preserve"> </v>
      </c>
      <c r="O179" s="100" t="str">
        <f>IFERROR(VLOOKUP(Tablo520[[#This Row],[HAMMADDE KODU]],Tablo1[#All],3,0)," ")</f>
        <v xml:space="preserve"> </v>
      </c>
      <c r="P179" s="100" t="str">
        <f>IFERROR(VLOOKUP(Tablo520[[#This Row],[HAMMADDE KODU]],Tablo1[#All],4,0)," ")</f>
        <v xml:space="preserve"> </v>
      </c>
      <c r="Q179" s="100" t="str">
        <f>IFERROR(VLOOKUP(Tablo520[[#This Row],[ÜRÜN KODU]],YMKODLARI!$A$1:$K$373,5,0)," ")</f>
        <v xml:space="preserve"> </v>
      </c>
      <c r="R179" s="100" t="str">
        <f>IFERROR(VLOOKUP(Tablo520[[#This Row],[ÜRÜN KODU]],YMKODLARI!$A$1:$K$373,6,0)," ")</f>
        <v xml:space="preserve"> </v>
      </c>
      <c r="S179" s="100" t="str">
        <f>IFERROR(Tablo520[[#This Row],[YOLLUK HARİÇ BASKI GRAMI]]/Tablo520[[#This Row],[KALIP GÖZ ADEDİ]]," ")</f>
        <v xml:space="preserve"> </v>
      </c>
      <c r="T179" s="100" t="str">
        <f t="shared" si="16"/>
        <v xml:space="preserve"> </v>
      </c>
      <c r="U179" s="100"/>
      <c r="V179" s="100" t="str">
        <f t="shared" si="15"/>
        <v xml:space="preserve"> </v>
      </c>
      <c r="W179" s="101">
        <f t="shared" si="17"/>
        <v>24</v>
      </c>
      <c r="X179" s="102">
        <f t="shared" si="18"/>
        <v>0</v>
      </c>
      <c r="Y179" s="100" t="str">
        <f t="shared" si="19"/>
        <v xml:space="preserve"> </v>
      </c>
      <c r="Z179" s="100" t="str">
        <f t="shared" si="20"/>
        <v xml:space="preserve"> </v>
      </c>
    </row>
    <row r="180" spans="1:26">
      <c r="A180" s="100"/>
      <c r="B180" s="100" t="str">
        <f>IFERROR(VLOOKUP(Tablo520[[#This Row],[ÜRÜN KODU]],YMKODLARI!$A$1:$K$373,2,0)," ")</f>
        <v xml:space="preserve"> </v>
      </c>
      <c r="C180" s="99"/>
      <c r="D180" s="100"/>
      <c r="E180" s="101"/>
      <c r="F180" s="101"/>
      <c r="G180" s="100" t="str">
        <f>IFERROR(VLOOKUP(Tablo520[[#This Row],[ÜRÜN KODU]],YMKODLARI!$A$1:$K$373,3,0)," ")</f>
        <v xml:space="preserve"> </v>
      </c>
      <c r="H180" s="100" t="str">
        <f>IFERROR(VLOOKUP(Tablo520[[#This Row],[ÜRÜN KODU]],YMKODLARI!$A$1:$K$373,4,0)," ")</f>
        <v xml:space="preserve"> </v>
      </c>
      <c r="I180" s="100"/>
      <c r="J180" s="100" t="str">
        <f>IFERROR(VLOOKUP(Tablo520[[#This Row],[ÜRÜN KODU]],YMKODLARI!$A$1:$K$373,9,0)," ")</f>
        <v xml:space="preserve"> </v>
      </c>
      <c r="K180" s="100" t="str">
        <f>IFERROR(VLOOKUP(Tablo520[[#This Row],[BOYA KODU]],Tablo14[#All],4,0)," ")</f>
        <v xml:space="preserve"> </v>
      </c>
      <c r="L180" s="100" t="str">
        <f>IFERROR(VLOOKUP(Tablo520[[#This Row],[BOYA KODU]],Tablo14[#All],6,0)," ")</f>
        <v xml:space="preserve"> </v>
      </c>
      <c r="M180" s="100" t="str">
        <f t="shared" si="14"/>
        <v xml:space="preserve"> </v>
      </c>
      <c r="N180" s="100" t="str">
        <f>IFERROR(VLOOKUP(Tablo520[[#This Row],[ÜRÜN KODU]],YMKODLARI!$A$1:$K$373,8,0)," ")</f>
        <v xml:space="preserve"> </v>
      </c>
      <c r="O180" s="100" t="str">
        <f>IFERROR(VLOOKUP(Tablo520[[#This Row],[HAMMADDE KODU]],Tablo1[#All],3,0)," ")</f>
        <v xml:space="preserve"> </v>
      </c>
      <c r="P180" s="100" t="str">
        <f>IFERROR(VLOOKUP(Tablo520[[#This Row],[HAMMADDE KODU]],Tablo1[#All],4,0)," ")</f>
        <v xml:space="preserve"> </v>
      </c>
      <c r="Q180" s="100" t="str">
        <f>IFERROR(VLOOKUP(Tablo520[[#This Row],[ÜRÜN KODU]],YMKODLARI!$A$1:$K$373,5,0)," ")</f>
        <v xml:space="preserve"> </v>
      </c>
      <c r="R180" s="100" t="str">
        <f>IFERROR(VLOOKUP(Tablo520[[#This Row],[ÜRÜN KODU]],YMKODLARI!$A$1:$K$373,6,0)," ")</f>
        <v xml:space="preserve"> </v>
      </c>
      <c r="S180" s="100" t="str">
        <f>IFERROR(Tablo520[[#This Row],[YOLLUK HARİÇ BASKI GRAMI]]/Tablo520[[#This Row],[KALIP GÖZ ADEDİ]]," ")</f>
        <v xml:space="preserve"> </v>
      </c>
      <c r="T180" s="100" t="str">
        <f t="shared" si="16"/>
        <v xml:space="preserve"> </v>
      </c>
      <c r="U180" s="100"/>
      <c r="V180" s="100" t="str">
        <f t="shared" si="15"/>
        <v xml:space="preserve"> </v>
      </c>
      <c r="W180" s="101">
        <f t="shared" si="17"/>
        <v>24</v>
      </c>
      <c r="X180" s="102">
        <f t="shared" si="18"/>
        <v>0</v>
      </c>
      <c r="Y180" s="100" t="str">
        <f t="shared" si="19"/>
        <v xml:space="preserve"> </v>
      </c>
      <c r="Z180" s="100" t="str">
        <f t="shared" si="20"/>
        <v xml:space="preserve"> </v>
      </c>
    </row>
    <row r="181" spans="1:26">
      <c r="A181" s="100"/>
      <c r="B181" s="100" t="str">
        <f>IFERROR(VLOOKUP(Tablo520[[#This Row],[ÜRÜN KODU]],YMKODLARI!$A$1:$K$373,2,0)," ")</f>
        <v xml:space="preserve"> </v>
      </c>
      <c r="C181" s="99"/>
      <c r="D181" s="100"/>
      <c r="E181" s="101"/>
      <c r="F181" s="101"/>
      <c r="G181" s="100" t="str">
        <f>IFERROR(VLOOKUP(Tablo520[[#This Row],[ÜRÜN KODU]],YMKODLARI!$A$1:$K$373,3,0)," ")</f>
        <v xml:space="preserve"> </v>
      </c>
      <c r="H181" s="100" t="str">
        <f>IFERROR(VLOOKUP(Tablo520[[#This Row],[ÜRÜN KODU]],YMKODLARI!$A$1:$K$373,4,0)," ")</f>
        <v xml:space="preserve"> </v>
      </c>
      <c r="I181" s="100"/>
      <c r="J181" s="100" t="str">
        <f>IFERROR(VLOOKUP(Tablo520[[#This Row],[ÜRÜN KODU]],YMKODLARI!$A$1:$K$373,9,0)," ")</f>
        <v xml:space="preserve"> </v>
      </c>
      <c r="K181" s="100" t="str">
        <f>IFERROR(VLOOKUP(Tablo520[[#This Row],[BOYA KODU]],Tablo14[#All],4,0)," ")</f>
        <v xml:space="preserve"> </v>
      </c>
      <c r="L181" s="100" t="str">
        <f>IFERROR(VLOOKUP(Tablo520[[#This Row],[BOYA KODU]],Tablo14[#All],6,0)," ")</f>
        <v xml:space="preserve"> </v>
      </c>
      <c r="M181" s="100" t="str">
        <f t="shared" si="14"/>
        <v xml:space="preserve"> </v>
      </c>
      <c r="N181" s="100" t="str">
        <f>IFERROR(VLOOKUP(Tablo520[[#This Row],[ÜRÜN KODU]],YMKODLARI!$A$1:$K$373,8,0)," ")</f>
        <v xml:space="preserve"> </v>
      </c>
      <c r="O181" s="100" t="str">
        <f>IFERROR(VLOOKUP(Tablo520[[#This Row],[HAMMADDE KODU]],Tablo1[#All],3,0)," ")</f>
        <v xml:space="preserve"> </v>
      </c>
      <c r="P181" s="100" t="str">
        <f>IFERROR(VLOOKUP(Tablo520[[#This Row],[HAMMADDE KODU]],Tablo1[#All],4,0)," ")</f>
        <v xml:space="preserve"> </v>
      </c>
      <c r="Q181" s="100" t="str">
        <f>IFERROR(VLOOKUP(Tablo520[[#This Row],[ÜRÜN KODU]],YMKODLARI!$A$1:$K$373,5,0)," ")</f>
        <v xml:space="preserve"> </v>
      </c>
      <c r="R181" s="100" t="str">
        <f>IFERROR(VLOOKUP(Tablo520[[#This Row],[ÜRÜN KODU]],YMKODLARI!$A$1:$K$373,6,0)," ")</f>
        <v xml:space="preserve"> </v>
      </c>
      <c r="S181" s="100" t="str">
        <f>IFERROR(Tablo520[[#This Row],[YOLLUK HARİÇ BASKI GRAMI]]/Tablo520[[#This Row],[KALIP GÖZ ADEDİ]]," ")</f>
        <v xml:space="preserve"> </v>
      </c>
      <c r="T181" s="100" t="str">
        <f t="shared" si="16"/>
        <v xml:space="preserve"> </v>
      </c>
      <c r="U181" s="100"/>
      <c r="V181" s="100" t="str">
        <f t="shared" si="15"/>
        <v xml:space="preserve"> </v>
      </c>
      <c r="W181" s="101">
        <f t="shared" si="17"/>
        <v>24</v>
      </c>
      <c r="X181" s="102">
        <f t="shared" si="18"/>
        <v>0</v>
      </c>
      <c r="Y181" s="100" t="str">
        <f t="shared" si="19"/>
        <v xml:space="preserve"> </v>
      </c>
      <c r="Z181" s="100" t="str">
        <f t="shared" si="20"/>
        <v xml:space="preserve"> </v>
      </c>
    </row>
    <row r="182" spans="1:26">
      <c r="A182" s="100"/>
      <c r="B182" s="100" t="str">
        <f>IFERROR(VLOOKUP(Tablo520[[#This Row],[ÜRÜN KODU]],YMKODLARI!$A$1:$K$373,2,0)," ")</f>
        <v xml:space="preserve"> </v>
      </c>
      <c r="C182" s="99"/>
      <c r="D182" s="100"/>
      <c r="E182" s="101"/>
      <c r="F182" s="101"/>
      <c r="G182" s="100" t="str">
        <f>IFERROR(VLOOKUP(Tablo520[[#This Row],[ÜRÜN KODU]],YMKODLARI!$A$1:$K$373,3,0)," ")</f>
        <v xml:space="preserve"> </v>
      </c>
      <c r="H182" s="100" t="str">
        <f>IFERROR(VLOOKUP(Tablo520[[#This Row],[ÜRÜN KODU]],YMKODLARI!$A$1:$K$373,4,0)," ")</f>
        <v xml:space="preserve"> </v>
      </c>
      <c r="I182" s="100"/>
      <c r="J182" s="100" t="str">
        <f>IFERROR(VLOOKUP(Tablo520[[#This Row],[ÜRÜN KODU]],YMKODLARI!$A$1:$K$373,9,0)," ")</f>
        <v xml:space="preserve"> </v>
      </c>
      <c r="K182" s="100" t="str">
        <f>IFERROR(VLOOKUP(Tablo520[[#This Row],[BOYA KODU]],Tablo14[#All],4,0)," ")</f>
        <v xml:space="preserve"> </v>
      </c>
      <c r="L182" s="100" t="str">
        <f>IFERROR(VLOOKUP(Tablo520[[#This Row],[BOYA KODU]],Tablo14[#All],6,0)," ")</f>
        <v xml:space="preserve"> </v>
      </c>
      <c r="M182" s="100" t="str">
        <f t="shared" si="14"/>
        <v xml:space="preserve"> </v>
      </c>
      <c r="N182" s="100" t="str">
        <f>IFERROR(VLOOKUP(Tablo520[[#This Row],[ÜRÜN KODU]],YMKODLARI!$A$1:$K$373,8,0)," ")</f>
        <v xml:space="preserve"> </v>
      </c>
      <c r="O182" s="100" t="str">
        <f>IFERROR(VLOOKUP(Tablo520[[#This Row],[HAMMADDE KODU]],Tablo1[#All],3,0)," ")</f>
        <v xml:space="preserve"> </v>
      </c>
      <c r="P182" s="100" t="str">
        <f>IFERROR(VLOOKUP(Tablo520[[#This Row],[HAMMADDE KODU]],Tablo1[#All],4,0)," ")</f>
        <v xml:space="preserve"> </v>
      </c>
      <c r="Q182" s="100" t="str">
        <f>IFERROR(VLOOKUP(Tablo520[[#This Row],[ÜRÜN KODU]],YMKODLARI!$A$1:$K$373,5,0)," ")</f>
        <v xml:space="preserve"> </v>
      </c>
      <c r="R182" s="100" t="str">
        <f>IFERROR(VLOOKUP(Tablo520[[#This Row],[ÜRÜN KODU]],YMKODLARI!$A$1:$K$373,6,0)," ")</f>
        <v xml:space="preserve"> </v>
      </c>
      <c r="S182" s="100" t="str">
        <f>IFERROR(Tablo520[[#This Row],[YOLLUK HARİÇ BASKI GRAMI]]/Tablo520[[#This Row],[KALIP GÖZ ADEDİ]]," ")</f>
        <v xml:space="preserve"> </v>
      </c>
      <c r="T182" s="100" t="str">
        <f t="shared" si="16"/>
        <v xml:space="preserve"> </v>
      </c>
      <c r="U182" s="100"/>
      <c r="V182" s="100" t="str">
        <f t="shared" si="15"/>
        <v xml:space="preserve"> </v>
      </c>
      <c r="W182" s="101">
        <f t="shared" si="17"/>
        <v>24</v>
      </c>
      <c r="X182" s="102">
        <f t="shared" si="18"/>
        <v>0</v>
      </c>
      <c r="Y182" s="100" t="str">
        <f t="shared" si="19"/>
        <v xml:space="preserve"> </v>
      </c>
      <c r="Z182" s="100" t="str">
        <f t="shared" si="20"/>
        <v xml:space="preserve"> </v>
      </c>
    </row>
    <row r="183" spans="1:26">
      <c r="A183" s="100"/>
      <c r="B183" s="100" t="str">
        <f>IFERROR(VLOOKUP(Tablo520[[#This Row],[ÜRÜN KODU]],YMKODLARI!$A$1:$K$373,2,0)," ")</f>
        <v xml:space="preserve"> </v>
      </c>
      <c r="C183" s="99"/>
      <c r="D183" s="100"/>
      <c r="E183" s="101"/>
      <c r="F183" s="101"/>
      <c r="G183" s="100" t="str">
        <f>IFERROR(VLOOKUP(Tablo520[[#This Row],[ÜRÜN KODU]],YMKODLARI!$A$1:$K$373,3,0)," ")</f>
        <v xml:space="preserve"> </v>
      </c>
      <c r="H183" s="100" t="str">
        <f>IFERROR(VLOOKUP(Tablo520[[#This Row],[ÜRÜN KODU]],YMKODLARI!$A$1:$K$373,4,0)," ")</f>
        <v xml:space="preserve"> </v>
      </c>
      <c r="I183" s="100"/>
      <c r="J183" s="100" t="str">
        <f>IFERROR(VLOOKUP(Tablo520[[#This Row],[ÜRÜN KODU]],YMKODLARI!$A$1:$K$373,9,0)," ")</f>
        <v xml:space="preserve"> </v>
      </c>
      <c r="K183" s="100" t="str">
        <f>IFERROR(VLOOKUP(Tablo520[[#This Row],[BOYA KODU]],Tablo14[#All],4,0)," ")</f>
        <v xml:space="preserve"> </v>
      </c>
      <c r="L183" s="100" t="str">
        <f>IFERROR(VLOOKUP(Tablo520[[#This Row],[BOYA KODU]],Tablo14[#All],6,0)," ")</f>
        <v xml:space="preserve"> </v>
      </c>
      <c r="M183" s="100" t="str">
        <f t="shared" si="14"/>
        <v xml:space="preserve"> </v>
      </c>
      <c r="N183" s="100" t="str">
        <f>IFERROR(VLOOKUP(Tablo520[[#This Row],[ÜRÜN KODU]],YMKODLARI!$A$1:$K$373,8,0)," ")</f>
        <v xml:space="preserve"> </v>
      </c>
      <c r="O183" s="100" t="str">
        <f>IFERROR(VLOOKUP(Tablo520[[#This Row],[HAMMADDE KODU]],Tablo1[#All],3,0)," ")</f>
        <v xml:space="preserve"> </v>
      </c>
      <c r="P183" s="100" t="str">
        <f>IFERROR(VLOOKUP(Tablo520[[#This Row],[HAMMADDE KODU]],Tablo1[#All],4,0)," ")</f>
        <v xml:space="preserve"> </v>
      </c>
      <c r="Q183" s="100" t="str">
        <f>IFERROR(VLOOKUP(Tablo520[[#This Row],[ÜRÜN KODU]],YMKODLARI!$A$1:$K$373,5,0)," ")</f>
        <v xml:space="preserve"> </v>
      </c>
      <c r="R183" s="100" t="str">
        <f>IFERROR(VLOOKUP(Tablo520[[#This Row],[ÜRÜN KODU]],YMKODLARI!$A$1:$K$373,6,0)," ")</f>
        <v xml:space="preserve"> </v>
      </c>
      <c r="S183" s="100" t="str">
        <f>IFERROR(Tablo520[[#This Row],[YOLLUK HARİÇ BASKI GRAMI]]/Tablo520[[#This Row],[KALIP GÖZ ADEDİ]]," ")</f>
        <v xml:space="preserve"> </v>
      </c>
      <c r="T183" s="100" t="str">
        <f t="shared" si="16"/>
        <v xml:space="preserve"> </v>
      </c>
      <c r="U183" s="100"/>
      <c r="V183" s="100" t="str">
        <f t="shared" si="15"/>
        <v xml:space="preserve"> </v>
      </c>
      <c r="W183" s="101">
        <f t="shared" si="17"/>
        <v>24</v>
      </c>
      <c r="X183" s="102">
        <f t="shared" si="18"/>
        <v>0</v>
      </c>
      <c r="Y183" s="100" t="str">
        <f t="shared" si="19"/>
        <v xml:space="preserve"> </v>
      </c>
      <c r="Z183" s="100" t="str">
        <f t="shared" si="20"/>
        <v xml:space="preserve"> </v>
      </c>
    </row>
    <row r="184" spans="1:26">
      <c r="A184" s="100"/>
      <c r="B184" s="100" t="str">
        <f>IFERROR(VLOOKUP(Tablo520[[#This Row],[ÜRÜN KODU]],YMKODLARI!$A$1:$K$373,2,0)," ")</f>
        <v xml:space="preserve"> </v>
      </c>
      <c r="C184" s="99"/>
      <c r="D184" s="100"/>
      <c r="E184" s="101"/>
      <c r="F184" s="101"/>
      <c r="G184" s="100" t="str">
        <f>IFERROR(VLOOKUP(Tablo520[[#This Row],[ÜRÜN KODU]],YMKODLARI!$A$1:$K$373,3,0)," ")</f>
        <v xml:space="preserve"> </v>
      </c>
      <c r="H184" s="100" t="str">
        <f>IFERROR(VLOOKUP(Tablo520[[#This Row],[ÜRÜN KODU]],YMKODLARI!$A$1:$K$373,4,0)," ")</f>
        <v xml:space="preserve"> </v>
      </c>
      <c r="I184" s="100"/>
      <c r="J184" s="100" t="str">
        <f>IFERROR(VLOOKUP(Tablo520[[#This Row],[ÜRÜN KODU]],YMKODLARI!$A$1:$K$373,9,0)," ")</f>
        <v xml:space="preserve"> </v>
      </c>
      <c r="K184" s="100" t="str">
        <f>IFERROR(VLOOKUP(Tablo520[[#This Row],[BOYA KODU]],Tablo14[#All],4,0)," ")</f>
        <v xml:space="preserve"> </v>
      </c>
      <c r="L184" s="100" t="str">
        <f>IFERROR(VLOOKUP(Tablo520[[#This Row],[BOYA KODU]],Tablo14[#All],6,0)," ")</f>
        <v xml:space="preserve"> </v>
      </c>
      <c r="M184" s="100" t="str">
        <f t="shared" si="14"/>
        <v xml:space="preserve"> </v>
      </c>
      <c r="N184" s="100" t="str">
        <f>IFERROR(VLOOKUP(Tablo520[[#This Row],[ÜRÜN KODU]],YMKODLARI!$A$1:$K$373,8,0)," ")</f>
        <v xml:space="preserve"> </v>
      </c>
      <c r="O184" s="100" t="str">
        <f>IFERROR(VLOOKUP(Tablo520[[#This Row],[HAMMADDE KODU]],Tablo1[#All],3,0)," ")</f>
        <v xml:space="preserve"> </v>
      </c>
      <c r="P184" s="100" t="str">
        <f>IFERROR(VLOOKUP(Tablo520[[#This Row],[HAMMADDE KODU]],Tablo1[#All],4,0)," ")</f>
        <v xml:space="preserve"> </v>
      </c>
      <c r="Q184" s="100" t="str">
        <f>IFERROR(VLOOKUP(Tablo520[[#This Row],[ÜRÜN KODU]],YMKODLARI!$A$1:$K$373,5,0)," ")</f>
        <v xml:space="preserve"> </v>
      </c>
      <c r="R184" s="100" t="str">
        <f>IFERROR(VLOOKUP(Tablo520[[#This Row],[ÜRÜN KODU]],YMKODLARI!$A$1:$K$373,6,0)," ")</f>
        <v xml:space="preserve"> </v>
      </c>
      <c r="S184" s="100" t="str">
        <f>IFERROR(Tablo520[[#This Row],[YOLLUK HARİÇ BASKI GRAMI]]/Tablo520[[#This Row],[KALIP GÖZ ADEDİ]]," ")</f>
        <v xml:space="preserve"> </v>
      </c>
      <c r="T184" s="100" t="str">
        <f t="shared" si="16"/>
        <v xml:space="preserve"> </v>
      </c>
      <c r="U184" s="100"/>
      <c r="V184" s="100" t="str">
        <f t="shared" si="15"/>
        <v xml:space="preserve"> </v>
      </c>
      <c r="W184" s="101">
        <f t="shared" si="17"/>
        <v>24</v>
      </c>
      <c r="X184" s="102">
        <f t="shared" si="18"/>
        <v>0</v>
      </c>
      <c r="Y184" s="100" t="str">
        <f t="shared" si="19"/>
        <v xml:space="preserve"> </v>
      </c>
      <c r="Z184" s="100" t="str">
        <f t="shared" si="20"/>
        <v xml:space="preserve"> </v>
      </c>
    </row>
    <row r="185" spans="1:26">
      <c r="A185" s="100"/>
      <c r="B185" s="100" t="str">
        <f>IFERROR(VLOOKUP(Tablo520[[#This Row],[ÜRÜN KODU]],YMKODLARI!$A$1:$K$373,2,0)," ")</f>
        <v xml:space="preserve"> </v>
      </c>
      <c r="C185" s="99"/>
      <c r="D185" s="100"/>
      <c r="E185" s="101"/>
      <c r="F185" s="101"/>
      <c r="G185" s="100" t="str">
        <f>IFERROR(VLOOKUP(Tablo520[[#This Row],[ÜRÜN KODU]],YMKODLARI!$A$1:$K$373,3,0)," ")</f>
        <v xml:space="preserve"> </v>
      </c>
      <c r="H185" s="100" t="str">
        <f>IFERROR(VLOOKUP(Tablo520[[#This Row],[ÜRÜN KODU]],YMKODLARI!$A$1:$K$373,4,0)," ")</f>
        <v xml:space="preserve"> </v>
      </c>
      <c r="I185" s="100"/>
      <c r="J185" s="100" t="str">
        <f>IFERROR(VLOOKUP(Tablo520[[#This Row],[ÜRÜN KODU]],YMKODLARI!$A$1:$K$373,9,0)," ")</f>
        <v xml:space="preserve"> </v>
      </c>
      <c r="K185" s="100" t="str">
        <f>IFERROR(VLOOKUP(Tablo520[[#This Row],[BOYA KODU]],Tablo14[#All],4,0)," ")</f>
        <v xml:space="preserve"> </v>
      </c>
      <c r="L185" s="100" t="str">
        <f>IFERROR(VLOOKUP(Tablo520[[#This Row],[BOYA KODU]],Tablo14[#All],6,0)," ")</f>
        <v xml:space="preserve"> </v>
      </c>
      <c r="M185" s="100" t="str">
        <f t="shared" si="14"/>
        <v xml:space="preserve"> </v>
      </c>
      <c r="N185" s="100" t="str">
        <f>IFERROR(VLOOKUP(Tablo520[[#This Row],[ÜRÜN KODU]],YMKODLARI!$A$1:$K$373,8,0)," ")</f>
        <v xml:space="preserve"> </v>
      </c>
      <c r="O185" s="100" t="str">
        <f>IFERROR(VLOOKUP(Tablo520[[#This Row],[HAMMADDE KODU]],Tablo1[#All],3,0)," ")</f>
        <v xml:space="preserve"> </v>
      </c>
      <c r="P185" s="100" t="str">
        <f>IFERROR(VLOOKUP(Tablo520[[#This Row],[HAMMADDE KODU]],Tablo1[#All],4,0)," ")</f>
        <v xml:space="preserve"> </v>
      </c>
      <c r="Q185" s="100" t="str">
        <f>IFERROR(VLOOKUP(Tablo520[[#This Row],[ÜRÜN KODU]],YMKODLARI!$A$1:$K$373,5,0)," ")</f>
        <v xml:space="preserve"> </v>
      </c>
      <c r="R185" s="100" t="str">
        <f>IFERROR(VLOOKUP(Tablo520[[#This Row],[ÜRÜN KODU]],YMKODLARI!$A$1:$K$373,6,0)," ")</f>
        <v xml:space="preserve"> </v>
      </c>
      <c r="S185" s="100" t="str">
        <f>IFERROR(Tablo520[[#This Row],[YOLLUK HARİÇ BASKI GRAMI]]/Tablo520[[#This Row],[KALIP GÖZ ADEDİ]]," ")</f>
        <v xml:space="preserve"> </v>
      </c>
      <c r="T185" s="100" t="str">
        <f t="shared" si="16"/>
        <v xml:space="preserve"> </v>
      </c>
      <c r="U185" s="100"/>
      <c r="V185" s="100" t="str">
        <f t="shared" si="15"/>
        <v xml:space="preserve"> </v>
      </c>
      <c r="W185" s="101">
        <f t="shared" si="17"/>
        <v>24</v>
      </c>
      <c r="X185" s="102">
        <f t="shared" si="18"/>
        <v>0</v>
      </c>
      <c r="Y185" s="100" t="str">
        <f t="shared" si="19"/>
        <v xml:space="preserve"> </v>
      </c>
      <c r="Z185" s="100" t="str">
        <f t="shared" si="20"/>
        <v xml:space="preserve"> </v>
      </c>
    </row>
    <row r="186" spans="1:26">
      <c r="A186" s="100"/>
      <c r="B186" s="100" t="str">
        <f>IFERROR(VLOOKUP(Tablo520[[#This Row],[ÜRÜN KODU]],YMKODLARI!$A$1:$K$373,2,0)," ")</f>
        <v xml:space="preserve"> </v>
      </c>
      <c r="C186" s="99"/>
      <c r="D186" s="100"/>
      <c r="E186" s="101"/>
      <c r="F186" s="101"/>
      <c r="G186" s="100" t="str">
        <f>IFERROR(VLOOKUP(Tablo520[[#This Row],[ÜRÜN KODU]],YMKODLARI!$A$1:$K$373,3,0)," ")</f>
        <v xml:space="preserve"> </v>
      </c>
      <c r="H186" s="100" t="str">
        <f>IFERROR(VLOOKUP(Tablo520[[#This Row],[ÜRÜN KODU]],YMKODLARI!$A$1:$K$373,4,0)," ")</f>
        <v xml:space="preserve"> </v>
      </c>
      <c r="I186" s="100"/>
      <c r="J186" s="100" t="str">
        <f>IFERROR(VLOOKUP(Tablo520[[#This Row],[ÜRÜN KODU]],YMKODLARI!$A$1:$K$373,9,0)," ")</f>
        <v xml:space="preserve"> </v>
      </c>
      <c r="K186" s="100" t="str">
        <f>IFERROR(VLOOKUP(Tablo520[[#This Row],[BOYA KODU]],Tablo14[#All],4,0)," ")</f>
        <v xml:space="preserve"> </v>
      </c>
      <c r="L186" s="100" t="str">
        <f>IFERROR(VLOOKUP(Tablo520[[#This Row],[BOYA KODU]],Tablo14[#All],6,0)," ")</f>
        <v xml:space="preserve"> </v>
      </c>
      <c r="M186" s="100" t="str">
        <f t="shared" si="14"/>
        <v xml:space="preserve"> </v>
      </c>
      <c r="N186" s="100" t="str">
        <f>IFERROR(VLOOKUP(Tablo520[[#This Row],[ÜRÜN KODU]],YMKODLARI!$A$1:$K$373,8,0)," ")</f>
        <v xml:space="preserve"> </v>
      </c>
      <c r="O186" s="100" t="str">
        <f>IFERROR(VLOOKUP(Tablo520[[#This Row],[HAMMADDE KODU]],Tablo1[#All],3,0)," ")</f>
        <v xml:space="preserve"> </v>
      </c>
      <c r="P186" s="100" t="str">
        <f>IFERROR(VLOOKUP(Tablo520[[#This Row],[HAMMADDE KODU]],Tablo1[#All],4,0)," ")</f>
        <v xml:space="preserve"> </v>
      </c>
      <c r="Q186" s="100" t="str">
        <f>IFERROR(VLOOKUP(Tablo520[[#This Row],[ÜRÜN KODU]],YMKODLARI!$A$1:$K$373,5,0)," ")</f>
        <v xml:space="preserve"> </v>
      </c>
      <c r="R186" s="100" t="str">
        <f>IFERROR(VLOOKUP(Tablo520[[#This Row],[ÜRÜN KODU]],YMKODLARI!$A$1:$K$373,6,0)," ")</f>
        <v xml:space="preserve"> </v>
      </c>
      <c r="S186" s="100" t="str">
        <f>IFERROR(Tablo520[[#This Row],[YOLLUK HARİÇ BASKI GRAMI]]/Tablo520[[#This Row],[KALIP GÖZ ADEDİ]]," ")</f>
        <v xml:space="preserve"> </v>
      </c>
      <c r="T186" s="100" t="str">
        <f t="shared" si="16"/>
        <v xml:space="preserve"> </v>
      </c>
      <c r="U186" s="100"/>
      <c r="V186" s="100" t="str">
        <f t="shared" si="15"/>
        <v xml:space="preserve"> </v>
      </c>
      <c r="W186" s="101">
        <f t="shared" si="17"/>
        <v>24</v>
      </c>
      <c r="X186" s="102">
        <f t="shared" si="18"/>
        <v>0</v>
      </c>
      <c r="Y186" s="100" t="str">
        <f t="shared" si="19"/>
        <v xml:space="preserve"> </v>
      </c>
      <c r="Z186" s="100" t="str">
        <f t="shared" si="20"/>
        <v xml:space="preserve"> </v>
      </c>
    </row>
    <row r="187" spans="1:26">
      <c r="A187" s="100"/>
      <c r="B187" s="100" t="str">
        <f>IFERROR(VLOOKUP(Tablo520[[#This Row],[ÜRÜN KODU]],YMKODLARI!$A$1:$K$373,2,0)," ")</f>
        <v xml:space="preserve"> </v>
      </c>
      <c r="C187" s="99"/>
      <c r="D187" s="100"/>
      <c r="E187" s="101"/>
      <c r="F187" s="101"/>
      <c r="G187" s="100" t="str">
        <f>IFERROR(VLOOKUP(Tablo520[[#This Row],[ÜRÜN KODU]],YMKODLARI!$A$1:$K$373,3,0)," ")</f>
        <v xml:space="preserve"> </v>
      </c>
      <c r="H187" s="100" t="str">
        <f>IFERROR(VLOOKUP(Tablo520[[#This Row],[ÜRÜN KODU]],YMKODLARI!$A$1:$K$373,4,0)," ")</f>
        <v xml:space="preserve"> </v>
      </c>
      <c r="I187" s="100"/>
      <c r="J187" s="100" t="str">
        <f>IFERROR(VLOOKUP(Tablo520[[#This Row],[ÜRÜN KODU]],YMKODLARI!$A$1:$K$373,9,0)," ")</f>
        <v xml:space="preserve"> </v>
      </c>
      <c r="K187" s="100" t="str">
        <f>IFERROR(VLOOKUP(Tablo520[[#This Row],[BOYA KODU]],Tablo14[#All],4,0)," ")</f>
        <v xml:space="preserve"> </v>
      </c>
      <c r="L187" s="100" t="str">
        <f>IFERROR(VLOOKUP(Tablo520[[#This Row],[BOYA KODU]],Tablo14[#All],6,0)," ")</f>
        <v xml:space="preserve"> </v>
      </c>
      <c r="M187" s="100" t="str">
        <f t="shared" si="14"/>
        <v xml:space="preserve"> </v>
      </c>
      <c r="N187" s="100" t="str">
        <f>IFERROR(VLOOKUP(Tablo520[[#This Row],[ÜRÜN KODU]],YMKODLARI!$A$1:$K$373,8,0)," ")</f>
        <v xml:space="preserve"> </v>
      </c>
      <c r="O187" s="100" t="str">
        <f>IFERROR(VLOOKUP(Tablo520[[#This Row],[HAMMADDE KODU]],Tablo1[#All],3,0)," ")</f>
        <v xml:space="preserve"> </v>
      </c>
      <c r="P187" s="100" t="str">
        <f>IFERROR(VLOOKUP(Tablo520[[#This Row],[HAMMADDE KODU]],Tablo1[#All],4,0)," ")</f>
        <v xml:space="preserve"> </v>
      </c>
      <c r="Q187" s="100" t="str">
        <f>IFERROR(VLOOKUP(Tablo520[[#This Row],[ÜRÜN KODU]],YMKODLARI!$A$1:$K$373,5,0)," ")</f>
        <v xml:space="preserve"> </v>
      </c>
      <c r="R187" s="100" t="str">
        <f>IFERROR(VLOOKUP(Tablo520[[#This Row],[ÜRÜN KODU]],YMKODLARI!$A$1:$K$373,6,0)," ")</f>
        <v xml:space="preserve"> </v>
      </c>
      <c r="S187" s="100" t="str">
        <f>IFERROR(Tablo520[[#This Row],[YOLLUK HARİÇ BASKI GRAMI]]/Tablo520[[#This Row],[KALIP GÖZ ADEDİ]]," ")</f>
        <v xml:space="preserve"> </v>
      </c>
      <c r="T187" s="100" t="str">
        <f t="shared" si="16"/>
        <v xml:space="preserve"> </v>
      </c>
      <c r="U187" s="100"/>
      <c r="V187" s="100" t="str">
        <f t="shared" si="15"/>
        <v xml:space="preserve"> </v>
      </c>
      <c r="W187" s="101">
        <f t="shared" si="17"/>
        <v>24</v>
      </c>
      <c r="X187" s="102">
        <f t="shared" si="18"/>
        <v>0</v>
      </c>
      <c r="Y187" s="100" t="str">
        <f t="shared" si="19"/>
        <v xml:space="preserve"> </v>
      </c>
      <c r="Z187" s="100" t="str">
        <f t="shared" si="20"/>
        <v xml:space="preserve"> </v>
      </c>
    </row>
    <row r="188" spans="1:26">
      <c r="A188" s="100"/>
      <c r="B188" s="100" t="str">
        <f>IFERROR(VLOOKUP(Tablo520[[#This Row],[ÜRÜN KODU]],YMKODLARI!$A$1:$K$373,2,0)," ")</f>
        <v xml:space="preserve"> </v>
      </c>
      <c r="C188" s="99"/>
      <c r="D188" s="100"/>
      <c r="E188" s="101"/>
      <c r="F188" s="101"/>
      <c r="G188" s="100" t="str">
        <f>IFERROR(VLOOKUP(Tablo520[[#This Row],[ÜRÜN KODU]],YMKODLARI!$A$1:$K$373,3,0)," ")</f>
        <v xml:space="preserve"> </v>
      </c>
      <c r="H188" s="100" t="str">
        <f>IFERROR(VLOOKUP(Tablo520[[#This Row],[ÜRÜN KODU]],YMKODLARI!$A$1:$K$373,4,0)," ")</f>
        <v xml:space="preserve"> </v>
      </c>
      <c r="I188" s="100"/>
      <c r="J188" s="100" t="str">
        <f>IFERROR(VLOOKUP(Tablo520[[#This Row],[ÜRÜN KODU]],YMKODLARI!$A$1:$K$373,9,0)," ")</f>
        <v xml:space="preserve"> </v>
      </c>
      <c r="K188" s="100" t="str">
        <f>IFERROR(VLOOKUP(Tablo520[[#This Row],[BOYA KODU]],Tablo14[#All],4,0)," ")</f>
        <v xml:space="preserve"> </v>
      </c>
      <c r="L188" s="100" t="str">
        <f>IFERROR(VLOOKUP(Tablo520[[#This Row],[BOYA KODU]],Tablo14[#All],6,0)," ")</f>
        <v xml:space="preserve"> </v>
      </c>
      <c r="M188" s="100" t="str">
        <f t="shared" si="14"/>
        <v xml:space="preserve"> </v>
      </c>
      <c r="N188" s="100" t="str">
        <f>IFERROR(VLOOKUP(Tablo520[[#This Row],[ÜRÜN KODU]],YMKODLARI!$A$1:$K$373,8,0)," ")</f>
        <v xml:space="preserve"> </v>
      </c>
      <c r="O188" s="100" t="str">
        <f>IFERROR(VLOOKUP(Tablo520[[#This Row],[HAMMADDE KODU]],Tablo1[#All],3,0)," ")</f>
        <v xml:space="preserve"> </v>
      </c>
      <c r="P188" s="100" t="str">
        <f>IFERROR(VLOOKUP(Tablo520[[#This Row],[HAMMADDE KODU]],Tablo1[#All],4,0)," ")</f>
        <v xml:space="preserve"> </v>
      </c>
      <c r="Q188" s="100" t="str">
        <f>IFERROR(VLOOKUP(Tablo520[[#This Row],[ÜRÜN KODU]],YMKODLARI!$A$1:$K$373,5,0)," ")</f>
        <v xml:space="preserve"> </v>
      </c>
      <c r="R188" s="100" t="str">
        <f>IFERROR(VLOOKUP(Tablo520[[#This Row],[ÜRÜN KODU]],YMKODLARI!$A$1:$K$373,6,0)," ")</f>
        <v xml:space="preserve"> </v>
      </c>
      <c r="S188" s="100" t="str">
        <f>IFERROR(Tablo520[[#This Row],[YOLLUK HARİÇ BASKI GRAMI]]/Tablo520[[#This Row],[KALIP GÖZ ADEDİ]]," ")</f>
        <v xml:space="preserve"> </v>
      </c>
      <c r="T188" s="100" t="str">
        <f t="shared" si="16"/>
        <v xml:space="preserve"> </v>
      </c>
      <c r="U188" s="100"/>
      <c r="V188" s="100" t="str">
        <f t="shared" si="15"/>
        <v xml:space="preserve"> </v>
      </c>
      <c r="W188" s="101">
        <f t="shared" si="17"/>
        <v>24</v>
      </c>
      <c r="X188" s="102">
        <f t="shared" si="18"/>
        <v>0</v>
      </c>
      <c r="Y188" s="100" t="str">
        <f t="shared" si="19"/>
        <v xml:space="preserve"> </v>
      </c>
      <c r="Z188" s="100" t="str">
        <f t="shared" si="20"/>
        <v xml:space="preserve"> </v>
      </c>
    </row>
    <row r="189" spans="1:26">
      <c r="A189" s="100"/>
      <c r="B189" s="100" t="str">
        <f>IFERROR(VLOOKUP(Tablo520[[#This Row],[ÜRÜN KODU]],YMKODLARI!$A$1:$K$373,2,0)," ")</f>
        <v xml:space="preserve"> </v>
      </c>
      <c r="C189" s="99"/>
      <c r="D189" s="100"/>
      <c r="E189" s="101"/>
      <c r="F189" s="101"/>
      <c r="G189" s="100" t="str">
        <f>IFERROR(VLOOKUP(Tablo520[[#This Row],[ÜRÜN KODU]],YMKODLARI!$A$1:$K$373,3,0)," ")</f>
        <v xml:space="preserve"> </v>
      </c>
      <c r="H189" s="100" t="str">
        <f>IFERROR(VLOOKUP(Tablo520[[#This Row],[ÜRÜN KODU]],YMKODLARI!$A$1:$K$373,4,0)," ")</f>
        <v xml:space="preserve"> </v>
      </c>
      <c r="I189" s="100"/>
      <c r="J189" s="100" t="str">
        <f>IFERROR(VLOOKUP(Tablo520[[#This Row],[ÜRÜN KODU]],YMKODLARI!$A$1:$K$373,9,0)," ")</f>
        <v xml:space="preserve"> </v>
      </c>
      <c r="K189" s="100" t="str">
        <f>IFERROR(VLOOKUP(Tablo520[[#This Row],[BOYA KODU]],Tablo14[#All],4,0)," ")</f>
        <v xml:space="preserve"> </v>
      </c>
      <c r="L189" s="100" t="str">
        <f>IFERROR(VLOOKUP(Tablo520[[#This Row],[BOYA KODU]],Tablo14[#All],6,0)," ")</f>
        <v xml:space="preserve"> </v>
      </c>
      <c r="M189" s="100" t="str">
        <f t="shared" si="14"/>
        <v xml:space="preserve"> </v>
      </c>
      <c r="N189" s="100" t="str">
        <f>IFERROR(VLOOKUP(Tablo520[[#This Row],[ÜRÜN KODU]],YMKODLARI!$A$1:$K$373,8,0)," ")</f>
        <v xml:space="preserve"> </v>
      </c>
      <c r="O189" s="100" t="str">
        <f>IFERROR(VLOOKUP(Tablo520[[#This Row],[HAMMADDE KODU]],Tablo1[#All],3,0)," ")</f>
        <v xml:space="preserve"> </v>
      </c>
      <c r="P189" s="100" t="str">
        <f>IFERROR(VLOOKUP(Tablo520[[#This Row],[HAMMADDE KODU]],Tablo1[#All],4,0)," ")</f>
        <v xml:space="preserve"> </v>
      </c>
      <c r="Q189" s="100" t="str">
        <f>IFERROR(VLOOKUP(Tablo520[[#This Row],[ÜRÜN KODU]],YMKODLARI!$A$1:$K$373,5,0)," ")</f>
        <v xml:space="preserve"> </v>
      </c>
      <c r="R189" s="100" t="str">
        <f>IFERROR(VLOOKUP(Tablo520[[#This Row],[ÜRÜN KODU]],YMKODLARI!$A$1:$K$373,6,0)," ")</f>
        <v xml:space="preserve"> </v>
      </c>
      <c r="S189" s="100" t="str">
        <f>IFERROR(Tablo520[[#This Row],[YOLLUK HARİÇ BASKI GRAMI]]/Tablo520[[#This Row],[KALIP GÖZ ADEDİ]]," ")</f>
        <v xml:space="preserve"> </v>
      </c>
      <c r="T189" s="100" t="str">
        <f t="shared" si="16"/>
        <v xml:space="preserve"> </v>
      </c>
      <c r="U189" s="100"/>
      <c r="V189" s="100" t="str">
        <f t="shared" si="15"/>
        <v xml:space="preserve"> </v>
      </c>
      <c r="W189" s="101">
        <f t="shared" si="17"/>
        <v>24</v>
      </c>
      <c r="X189" s="102">
        <f t="shared" si="18"/>
        <v>0</v>
      </c>
      <c r="Y189" s="100" t="str">
        <f t="shared" si="19"/>
        <v xml:space="preserve"> </v>
      </c>
      <c r="Z189" s="100" t="str">
        <f t="shared" si="20"/>
        <v xml:space="preserve"> </v>
      </c>
    </row>
    <row r="190" spans="1:26">
      <c r="A190" s="100"/>
      <c r="B190" s="100" t="str">
        <f>IFERROR(VLOOKUP(Tablo520[[#This Row],[ÜRÜN KODU]],YMKODLARI!$A$1:$K$373,2,0)," ")</f>
        <v xml:space="preserve"> </v>
      </c>
      <c r="C190" s="99"/>
      <c r="D190" s="100"/>
      <c r="E190" s="101"/>
      <c r="F190" s="101"/>
      <c r="G190" s="100" t="str">
        <f>IFERROR(VLOOKUP(Tablo520[[#This Row],[ÜRÜN KODU]],YMKODLARI!$A$1:$K$373,3,0)," ")</f>
        <v xml:space="preserve"> </v>
      </c>
      <c r="H190" s="100" t="str">
        <f>IFERROR(VLOOKUP(Tablo520[[#This Row],[ÜRÜN KODU]],YMKODLARI!$A$1:$K$373,4,0)," ")</f>
        <v xml:space="preserve"> </v>
      </c>
      <c r="I190" s="100"/>
      <c r="J190" s="100" t="str">
        <f>IFERROR(VLOOKUP(Tablo520[[#This Row],[ÜRÜN KODU]],YMKODLARI!$A$1:$K$373,9,0)," ")</f>
        <v xml:space="preserve"> </v>
      </c>
      <c r="K190" s="100" t="str">
        <f>IFERROR(VLOOKUP(Tablo520[[#This Row],[BOYA KODU]],Tablo14[#All],4,0)," ")</f>
        <v xml:space="preserve"> </v>
      </c>
      <c r="L190" s="100" t="str">
        <f>IFERROR(VLOOKUP(Tablo520[[#This Row],[BOYA KODU]],Tablo14[#All],6,0)," ")</f>
        <v xml:space="preserve"> </v>
      </c>
      <c r="M190" s="100" t="str">
        <f t="shared" si="14"/>
        <v xml:space="preserve"> </v>
      </c>
      <c r="N190" s="100" t="str">
        <f>IFERROR(VLOOKUP(Tablo520[[#This Row],[ÜRÜN KODU]],YMKODLARI!$A$1:$K$373,8,0)," ")</f>
        <v xml:space="preserve"> </v>
      </c>
      <c r="O190" s="100" t="str">
        <f>IFERROR(VLOOKUP(Tablo520[[#This Row],[HAMMADDE KODU]],Tablo1[#All],3,0)," ")</f>
        <v xml:space="preserve"> </v>
      </c>
      <c r="P190" s="100" t="str">
        <f>IFERROR(VLOOKUP(Tablo520[[#This Row],[HAMMADDE KODU]],Tablo1[#All],4,0)," ")</f>
        <v xml:space="preserve"> </v>
      </c>
      <c r="Q190" s="100" t="str">
        <f>IFERROR(VLOOKUP(Tablo520[[#This Row],[ÜRÜN KODU]],YMKODLARI!$A$1:$K$373,5,0)," ")</f>
        <v xml:space="preserve"> </v>
      </c>
      <c r="R190" s="100" t="str">
        <f>IFERROR(VLOOKUP(Tablo520[[#This Row],[ÜRÜN KODU]],YMKODLARI!$A$1:$K$373,6,0)," ")</f>
        <v xml:space="preserve"> </v>
      </c>
      <c r="S190" s="100" t="str">
        <f>IFERROR(Tablo520[[#This Row],[YOLLUK HARİÇ BASKI GRAMI]]/Tablo520[[#This Row],[KALIP GÖZ ADEDİ]]," ")</f>
        <v xml:space="preserve"> </v>
      </c>
      <c r="T190" s="100" t="str">
        <f t="shared" si="16"/>
        <v xml:space="preserve"> </v>
      </c>
      <c r="U190" s="100"/>
      <c r="V190" s="100" t="str">
        <f t="shared" si="15"/>
        <v xml:space="preserve"> </v>
      </c>
      <c r="W190" s="101">
        <f t="shared" si="17"/>
        <v>24</v>
      </c>
      <c r="X190" s="102">
        <f t="shared" si="18"/>
        <v>0</v>
      </c>
      <c r="Y190" s="100" t="str">
        <f t="shared" si="19"/>
        <v xml:space="preserve"> </v>
      </c>
      <c r="Z190" s="100" t="str">
        <f t="shared" si="20"/>
        <v xml:space="preserve"> </v>
      </c>
    </row>
    <row r="191" spans="1:26">
      <c r="A191" s="100"/>
      <c r="B191" s="100" t="str">
        <f>IFERROR(VLOOKUP(Tablo520[[#This Row],[ÜRÜN KODU]],YMKODLARI!$A$1:$K$373,2,0)," ")</f>
        <v xml:space="preserve"> </v>
      </c>
      <c r="C191" s="99"/>
      <c r="D191" s="100"/>
      <c r="E191" s="101"/>
      <c r="F191" s="101"/>
      <c r="G191" s="100" t="str">
        <f>IFERROR(VLOOKUP(Tablo520[[#This Row],[ÜRÜN KODU]],YMKODLARI!$A$1:$K$373,3,0)," ")</f>
        <v xml:space="preserve"> </v>
      </c>
      <c r="H191" s="100" t="str">
        <f>IFERROR(VLOOKUP(Tablo520[[#This Row],[ÜRÜN KODU]],YMKODLARI!$A$1:$K$373,4,0)," ")</f>
        <v xml:space="preserve"> </v>
      </c>
      <c r="I191" s="100"/>
      <c r="J191" s="100" t="str">
        <f>IFERROR(VLOOKUP(Tablo520[[#This Row],[ÜRÜN KODU]],YMKODLARI!$A$1:$K$373,9,0)," ")</f>
        <v xml:space="preserve"> </v>
      </c>
      <c r="K191" s="100" t="str">
        <f>IFERROR(VLOOKUP(Tablo520[[#This Row],[BOYA KODU]],Tablo14[#All],4,0)," ")</f>
        <v xml:space="preserve"> </v>
      </c>
      <c r="L191" s="100" t="str">
        <f>IFERROR(VLOOKUP(Tablo520[[#This Row],[BOYA KODU]],Tablo14[#All],6,0)," ")</f>
        <v xml:space="preserve"> </v>
      </c>
      <c r="M191" s="100" t="str">
        <f t="shared" si="14"/>
        <v xml:space="preserve"> </v>
      </c>
      <c r="N191" s="100" t="str">
        <f>IFERROR(VLOOKUP(Tablo520[[#This Row],[ÜRÜN KODU]],YMKODLARI!$A$1:$K$373,8,0)," ")</f>
        <v xml:space="preserve"> </v>
      </c>
      <c r="O191" s="100" t="str">
        <f>IFERROR(VLOOKUP(Tablo520[[#This Row],[HAMMADDE KODU]],Tablo1[#All],3,0)," ")</f>
        <v xml:space="preserve"> </v>
      </c>
      <c r="P191" s="100" t="str">
        <f>IFERROR(VLOOKUP(Tablo520[[#This Row],[HAMMADDE KODU]],Tablo1[#All],4,0)," ")</f>
        <v xml:space="preserve"> </v>
      </c>
      <c r="Q191" s="100" t="str">
        <f>IFERROR(VLOOKUP(Tablo520[[#This Row],[ÜRÜN KODU]],YMKODLARI!$A$1:$K$373,5,0)," ")</f>
        <v xml:space="preserve"> </v>
      </c>
      <c r="R191" s="100" t="str">
        <f>IFERROR(VLOOKUP(Tablo520[[#This Row],[ÜRÜN KODU]],YMKODLARI!$A$1:$K$373,6,0)," ")</f>
        <v xml:space="preserve"> </v>
      </c>
      <c r="S191" s="100" t="str">
        <f>IFERROR(Tablo520[[#This Row],[YOLLUK HARİÇ BASKI GRAMI]]/Tablo520[[#This Row],[KALIP GÖZ ADEDİ]]," ")</f>
        <v xml:space="preserve"> </v>
      </c>
      <c r="T191" s="100" t="str">
        <f t="shared" si="16"/>
        <v xml:space="preserve"> </v>
      </c>
      <c r="U191" s="100"/>
      <c r="V191" s="100" t="str">
        <f t="shared" si="15"/>
        <v xml:space="preserve"> </v>
      </c>
      <c r="W191" s="101">
        <f t="shared" si="17"/>
        <v>24</v>
      </c>
      <c r="X191" s="102">
        <f t="shared" si="18"/>
        <v>0</v>
      </c>
      <c r="Y191" s="100" t="str">
        <f t="shared" si="19"/>
        <v xml:space="preserve"> </v>
      </c>
      <c r="Z191" s="100" t="str">
        <f t="shared" si="20"/>
        <v xml:space="preserve"> </v>
      </c>
    </row>
    <row r="192" spans="1:26">
      <c r="A192" s="100"/>
      <c r="B192" s="100" t="str">
        <f>IFERROR(VLOOKUP(Tablo520[[#This Row],[ÜRÜN KODU]],YMKODLARI!$A$1:$K$373,2,0)," ")</f>
        <v xml:space="preserve"> </v>
      </c>
      <c r="C192" s="99"/>
      <c r="D192" s="100"/>
      <c r="E192" s="101"/>
      <c r="F192" s="101"/>
      <c r="G192" s="100" t="str">
        <f>IFERROR(VLOOKUP(Tablo520[[#This Row],[ÜRÜN KODU]],YMKODLARI!$A$1:$K$373,3,0)," ")</f>
        <v xml:space="preserve"> </v>
      </c>
      <c r="H192" s="100" t="str">
        <f>IFERROR(VLOOKUP(Tablo520[[#This Row],[ÜRÜN KODU]],YMKODLARI!$A$1:$K$373,4,0)," ")</f>
        <v xml:space="preserve"> </v>
      </c>
      <c r="I192" s="100"/>
      <c r="J192" s="100" t="str">
        <f>IFERROR(VLOOKUP(Tablo520[[#This Row],[ÜRÜN KODU]],YMKODLARI!$A$1:$K$373,9,0)," ")</f>
        <v xml:space="preserve"> </v>
      </c>
      <c r="K192" s="100" t="str">
        <f>IFERROR(VLOOKUP(Tablo520[[#This Row],[BOYA KODU]],Tablo14[#All],4,0)," ")</f>
        <v xml:space="preserve"> </v>
      </c>
      <c r="L192" s="100" t="str">
        <f>IFERROR(VLOOKUP(Tablo520[[#This Row],[BOYA KODU]],Tablo14[#All],6,0)," ")</f>
        <v xml:space="preserve"> </v>
      </c>
      <c r="M192" s="100" t="str">
        <f t="shared" si="14"/>
        <v xml:space="preserve"> </v>
      </c>
      <c r="N192" s="100" t="str">
        <f>IFERROR(VLOOKUP(Tablo520[[#This Row],[ÜRÜN KODU]],YMKODLARI!$A$1:$K$373,8,0)," ")</f>
        <v xml:space="preserve"> </v>
      </c>
      <c r="O192" s="100" t="str">
        <f>IFERROR(VLOOKUP(Tablo520[[#This Row],[HAMMADDE KODU]],Tablo1[#All],3,0)," ")</f>
        <v xml:space="preserve"> </v>
      </c>
      <c r="P192" s="100" t="str">
        <f>IFERROR(VLOOKUP(Tablo520[[#This Row],[HAMMADDE KODU]],Tablo1[#All],4,0)," ")</f>
        <v xml:space="preserve"> </v>
      </c>
      <c r="Q192" s="100" t="str">
        <f>IFERROR(VLOOKUP(Tablo520[[#This Row],[ÜRÜN KODU]],YMKODLARI!$A$1:$K$373,5,0)," ")</f>
        <v xml:space="preserve"> </v>
      </c>
      <c r="R192" s="100" t="str">
        <f>IFERROR(VLOOKUP(Tablo520[[#This Row],[ÜRÜN KODU]],YMKODLARI!$A$1:$K$373,6,0)," ")</f>
        <v xml:space="preserve"> </v>
      </c>
      <c r="S192" s="100" t="str">
        <f>IFERROR(Tablo520[[#This Row],[YOLLUK HARİÇ BASKI GRAMI]]/Tablo520[[#This Row],[KALIP GÖZ ADEDİ]]," ")</f>
        <v xml:space="preserve"> </v>
      </c>
      <c r="T192" s="100" t="str">
        <f t="shared" si="16"/>
        <v xml:space="preserve"> </v>
      </c>
      <c r="U192" s="100"/>
      <c r="V192" s="100" t="str">
        <f t="shared" si="15"/>
        <v xml:space="preserve"> </v>
      </c>
      <c r="W192" s="101">
        <f t="shared" si="17"/>
        <v>24</v>
      </c>
      <c r="X192" s="102">
        <f t="shared" si="18"/>
        <v>0</v>
      </c>
      <c r="Y192" s="100" t="str">
        <f t="shared" si="19"/>
        <v xml:space="preserve"> </v>
      </c>
      <c r="Z192" s="100" t="str">
        <f t="shared" si="20"/>
        <v xml:space="preserve"> </v>
      </c>
    </row>
    <row r="193" spans="1:26">
      <c r="A193" s="100"/>
      <c r="B193" s="100" t="str">
        <f>IFERROR(VLOOKUP(Tablo520[[#This Row],[ÜRÜN KODU]],YMKODLARI!$A$1:$K$373,2,0)," ")</f>
        <v xml:space="preserve"> </v>
      </c>
      <c r="C193" s="99"/>
      <c r="D193" s="100"/>
      <c r="E193" s="101"/>
      <c r="F193" s="101"/>
      <c r="G193" s="100" t="str">
        <f>IFERROR(VLOOKUP(Tablo520[[#This Row],[ÜRÜN KODU]],YMKODLARI!$A$1:$K$373,3,0)," ")</f>
        <v xml:space="preserve"> </v>
      </c>
      <c r="H193" s="100" t="str">
        <f>IFERROR(VLOOKUP(Tablo520[[#This Row],[ÜRÜN KODU]],YMKODLARI!$A$1:$K$373,4,0)," ")</f>
        <v xml:space="preserve"> </v>
      </c>
      <c r="I193" s="100"/>
      <c r="J193" s="100" t="str">
        <f>IFERROR(VLOOKUP(Tablo520[[#This Row],[ÜRÜN KODU]],YMKODLARI!$A$1:$K$373,9,0)," ")</f>
        <v xml:space="preserve"> </v>
      </c>
      <c r="K193" s="100" t="str">
        <f>IFERROR(VLOOKUP(Tablo520[[#This Row],[BOYA KODU]],Tablo14[#All],4,0)," ")</f>
        <v xml:space="preserve"> </v>
      </c>
      <c r="L193" s="100" t="str">
        <f>IFERROR(VLOOKUP(Tablo520[[#This Row],[BOYA KODU]],Tablo14[#All],6,0)," ")</f>
        <v xml:space="preserve"> </v>
      </c>
      <c r="M193" s="100" t="str">
        <f t="shared" si="14"/>
        <v xml:space="preserve"> </v>
      </c>
      <c r="N193" s="100" t="str">
        <f>IFERROR(VLOOKUP(Tablo520[[#This Row],[ÜRÜN KODU]],YMKODLARI!$A$1:$K$373,8,0)," ")</f>
        <v xml:space="preserve"> </v>
      </c>
      <c r="O193" s="100" t="str">
        <f>IFERROR(VLOOKUP(Tablo520[[#This Row],[HAMMADDE KODU]],Tablo1[#All],3,0)," ")</f>
        <v xml:space="preserve"> </v>
      </c>
      <c r="P193" s="100" t="str">
        <f>IFERROR(VLOOKUP(Tablo520[[#This Row],[HAMMADDE KODU]],Tablo1[#All],4,0)," ")</f>
        <v xml:space="preserve"> </v>
      </c>
      <c r="Q193" s="100" t="str">
        <f>IFERROR(VLOOKUP(Tablo520[[#This Row],[ÜRÜN KODU]],YMKODLARI!$A$1:$K$373,5,0)," ")</f>
        <v xml:space="preserve"> </v>
      </c>
      <c r="R193" s="100" t="str">
        <f>IFERROR(VLOOKUP(Tablo520[[#This Row],[ÜRÜN KODU]],YMKODLARI!$A$1:$K$373,6,0)," ")</f>
        <v xml:space="preserve"> </v>
      </c>
      <c r="S193" s="100" t="str">
        <f>IFERROR(Tablo520[[#This Row],[YOLLUK HARİÇ BASKI GRAMI]]/Tablo520[[#This Row],[KALIP GÖZ ADEDİ]]," ")</f>
        <v xml:space="preserve"> </v>
      </c>
      <c r="T193" s="100" t="str">
        <f t="shared" si="16"/>
        <v xml:space="preserve"> </v>
      </c>
      <c r="U193" s="100"/>
      <c r="V193" s="100" t="str">
        <f t="shared" si="15"/>
        <v xml:space="preserve"> </v>
      </c>
      <c r="W193" s="101">
        <f t="shared" si="17"/>
        <v>24</v>
      </c>
      <c r="X193" s="102">
        <f t="shared" si="18"/>
        <v>0</v>
      </c>
      <c r="Y193" s="100" t="str">
        <f t="shared" si="19"/>
        <v xml:space="preserve"> </v>
      </c>
      <c r="Z193" s="100" t="str">
        <f t="shared" si="20"/>
        <v xml:space="preserve"> </v>
      </c>
    </row>
    <row r="194" spans="1:26">
      <c r="A194" s="100"/>
      <c r="B194" s="100" t="str">
        <f>IFERROR(VLOOKUP(Tablo520[[#This Row],[ÜRÜN KODU]],YMKODLARI!$A$1:$K$373,2,0)," ")</f>
        <v xml:space="preserve"> </v>
      </c>
      <c r="C194" s="99"/>
      <c r="D194" s="100"/>
      <c r="E194" s="101"/>
      <c r="F194" s="101"/>
      <c r="G194" s="100" t="str">
        <f>IFERROR(VLOOKUP(Tablo520[[#This Row],[ÜRÜN KODU]],YMKODLARI!$A$1:$K$373,3,0)," ")</f>
        <v xml:space="preserve"> </v>
      </c>
      <c r="H194" s="100" t="str">
        <f>IFERROR(VLOOKUP(Tablo520[[#This Row],[ÜRÜN KODU]],YMKODLARI!$A$1:$K$373,4,0)," ")</f>
        <v xml:space="preserve"> </v>
      </c>
      <c r="I194" s="100"/>
      <c r="J194" s="100" t="str">
        <f>IFERROR(VLOOKUP(Tablo520[[#This Row],[ÜRÜN KODU]],YMKODLARI!$A$1:$K$373,9,0)," ")</f>
        <v xml:space="preserve"> </v>
      </c>
      <c r="K194" s="100" t="str">
        <f>IFERROR(VLOOKUP(Tablo520[[#This Row],[BOYA KODU]],Tablo14[#All],4,0)," ")</f>
        <v xml:space="preserve"> </v>
      </c>
      <c r="L194" s="100" t="str">
        <f>IFERROR(VLOOKUP(Tablo520[[#This Row],[BOYA KODU]],Tablo14[#All],6,0)," ")</f>
        <v xml:space="preserve"> </v>
      </c>
      <c r="M194" s="100" t="str">
        <f t="shared" ref="M194:M257" si="21">IFERROR((I194*Q194)*L194," ")</f>
        <v xml:space="preserve"> </v>
      </c>
      <c r="N194" s="100" t="str">
        <f>IFERROR(VLOOKUP(Tablo520[[#This Row],[ÜRÜN KODU]],YMKODLARI!$A$1:$K$373,8,0)," ")</f>
        <v xml:space="preserve"> </v>
      </c>
      <c r="O194" s="100" t="str">
        <f>IFERROR(VLOOKUP(Tablo520[[#This Row],[HAMMADDE KODU]],Tablo1[#All],3,0)," ")</f>
        <v xml:space="preserve"> </v>
      </c>
      <c r="P194" s="100" t="str">
        <f>IFERROR(VLOOKUP(Tablo520[[#This Row],[HAMMADDE KODU]],Tablo1[#All],4,0)," ")</f>
        <v xml:space="preserve"> </v>
      </c>
      <c r="Q194" s="100" t="str">
        <f>IFERROR(VLOOKUP(Tablo520[[#This Row],[ÜRÜN KODU]],YMKODLARI!$A$1:$K$373,5,0)," ")</f>
        <v xml:space="preserve"> </v>
      </c>
      <c r="R194" s="100" t="str">
        <f>IFERROR(VLOOKUP(Tablo520[[#This Row],[ÜRÜN KODU]],YMKODLARI!$A$1:$K$373,6,0)," ")</f>
        <v xml:space="preserve"> </v>
      </c>
      <c r="S194" s="100" t="str">
        <f>IFERROR(Tablo520[[#This Row],[YOLLUK HARİÇ BASKI GRAMI]]/Tablo520[[#This Row],[KALIP GÖZ ADEDİ]]," ")</f>
        <v xml:space="preserve"> </v>
      </c>
      <c r="T194" s="100" t="str">
        <f t="shared" si="16"/>
        <v xml:space="preserve"> </v>
      </c>
      <c r="U194" s="100"/>
      <c r="V194" s="100" t="str">
        <f t="shared" ref="V194:V257" si="22">IFERROR(U194+(R194*I194) /1000," ")</f>
        <v xml:space="preserve"> </v>
      </c>
      <c r="W194" s="101">
        <f t="shared" si="17"/>
        <v>24</v>
      </c>
      <c r="X194" s="102">
        <f t="shared" si="18"/>
        <v>0</v>
      </c>
      <c r="Y194" s="100" t="str">
        <f t="shared" si="19"/>
        <v xml:space="preserve"> </v>
      </c>
      <c r="Z194" s="100" t="str">
        <f t="shared" si="20"/>
        <v xml:space="preserve"> </v>
      </c>
    </row>
    <row r="195" spans="1:26">
      <c r="A195" s="100"/>
      <c r="B195" s="100" t="str">
        <f>IFERROR(VLOOKUP(Tablo520[[#This Row],[ÜRÜN KODU]],YMKODLARI!$A$1:$K$373,2,0)," ")</f>
        <v xml:space="preserve"> </v>
      </c>
      <c r="C195" s="99"/>
      <c r="D195" s="100"/>
      <c r="E195" s="101"/>
      <c r="F195" s="101"/>
      <c r="G195" s="100" t="str">
        <f>IFERROR(VLOOKUP(Tablo520[[#This Row],[ÜRÜN KODU]],YMKODLARI!$A$1:$K$373,3,0)," ")</f>
        <v xml:space="preserve"> </v>
      </c>
      <c r="H195" s="100" t="str">
        <f>IFERROR(VLOOKUP(Tablo520[[#This Row],[ÜRÜN KODU]],YMKODLARI!$A$1:$K$373,4,0)," ")</f>
        <v xml:space="preserve"> </v>
      </c>
      <c r="I195" s="100"/>
      <c r="J195" s="100" t="str">
        <f>IFERROR(VLOOKUP(Tablo520[[#This Row],[ÜRÜN KODU]],YMKODLARI!$A$1:$K$373,9,0)," ")</f>
        <v xml:space="preserve"> </v>
      </c>
      <c r="K195" s="100" t="str">
        <f>IFERROR(VLOOKUP(Tablo520[[#This Row],[BOYA KODU]],Tablo14[#All],4,0)," ")</f>
        <v xml:space="preserve"> </v>
      </c>
      <c r="L195" s="100" t="str">
        <f>IFERROR(VLOOKUP(Tablo520[[#This Row],[BOYA KODU]],Tablo14[#All],6,0)," ")</f>
        <v xml:space="preserve"> </v>
      </c>
      <c r="M195" s="100" t="str">
        <f t="shared" si="21"/>
        <v xml:space="preserve"> </v>
      </c>
      <c r="N195" s="100" t="str">
        <f>IFERROR(VLOOKUP(Tablo520[[#This Row],[ÜRÜN KODU]],YMKODLARI!$A$1:$K$373,8,0)," ")</f>
        <v xml:space="preserve"> </v>
      </c>
      <c r="O195" s="100" t="str">
        <f>IFERROR(VLOOKUP(Tablo520[[#This Row],[HAMMADDE KODU]],Tablo1[#All],3,0)," ")</f>
        <v xml:space="preserve"> </v>
      </c>
      <c r="P195" s="100" t="str">
        <f>IFERROR(VLOOKUP(Tablo520[[#This Row],[HAMMADDE KODU]],Tablo1[#All],4,0)," ")</f>
        <v xml:space="preserve"> </v>
      </c>
      <c r="Q195" s="100" t="str">
        <f>IFERROR(VLOOKUP(Tablo520[[#This Row],[ÜRÜN KODU]],YMKODLARI!$A$1:$K$373,5,0)," ")</f>
        <v xml:space="preserve"> </v>
      </c>
      <c r="R195" s="100" t="str">
        <f>IFERROR(VLOOKUP(Tablo520[[#This Row],[ÜRÜN KODU]],YMKODLARI!$A$1:$K$373,6,0)," ")</f>
        <v xml:space="preserve"> </v>
      </c>
      <c r="S195" s="100" t="str">
        <f>IFERROR(Tablo520[[#This Row],[YOLLUK HARİÇ BASKI GRAMI]]/Tablo520[[#This Row],[KALIP GÖZ ADEDİ]]," ")</f>
        <v xml:space="preserve"> </v>
      </c>
      <c r="T195" s="100" t="str">
        <f t="shared" ref="T195:T258" si="23">IFERROR(Q195-R195," ")</f>
        <v xml:space="preserve"> </v>
      </c>
      <c r="U195" s="100"/>
      <c r="V195" s="100" t="str">
        <f t="shared" si="22"/>
        <v xml:space="preserve"> </v>
      </c>
      <c r="W195" s="101">
        <f t="shared" ref="W195:W258" si="24">IFERROR(24-(E195-F195)," ")</f>
        <v>24</v>
      </c>
      <c r="X195" s="102">
        <f t="shared" ref="X195:X258" si="25">IFERROR((W195-INT(W195))*24," ")</f>
        <v>0</v>
      </c>
      <c r="Y195" s="100" t="str">
        <f t="shared" ref="Y195:Y258" si="26">IFERROR(H195*I195/3600," ")</f>
        <v xml:space="preserve"> </v>
      </c>
      <c r="Z195" s="100" t="str">
        <f t="shared" ref="Z195:Z258" si="27">IFERROR(I195*G195," " )</f>
        <v xml:space="preserve"> </v>
      </c>
    </row>
    <row r="196" spans="1:26">
      <c r="A196" s="100"/>
      <c r="B196" s="100" t="str">
        <f>IFERROR(VLOOKUP(Tablo520[[#This Row],[ÜRÜN KODU]],YMKODLARI!$A$1:$K$373,2,0)," ")</f>
        <v xml:space="preserve"> </v>
      </c>
      <c r="C196" s="99"/>
      <c r="D196" s="100"/>
      <c r="E196" s="101"/>
      <c r="F196" s="101"/>
      <c r="G196" s="100" t="str">
        <f>IFERROR(VLOOKUP(Tablo520[[#This Row],[ÜRÜN KODU]],YMKODLARI!$A$1:$K$373,3,0)," ")</f>
        <v xml:space="preserve"> </v>
      </c>
      <c r="H196" s="100" t="str">
        <f>IFERROR(VLOOKUP(Tablo520[[#This Row],[ÜRÜN KODU]],YMKODLARI!$A$1:$K$373,4,0)," ")</f>
        <v xml:space="preserve"> </v>
      </c>
      <c r="I196" s="100"/>
      <c r="J196" s="100" t="str">
        <f>IFERROR(VLOOKUP(Tablo520[[#This Row],[ÜRÜN KODU]],YMKODLARI!$A$1:$K$373,9,0)," ")</f>
        <v xml:space="preserve"> </v>
      </c>
      <c r="K196" s="100" t="str">
        <f>IFERROR(VLOOKUP(Tablo520[[#This Row],[BOYA KODU]],Tablo14[#All],4,0)," ")</f>
        <v xml:space="preserve"> </v>
      </c>
      <c r="L196" s="100" t="str">
        <f>IFERROR(VLOOKUP(Tablo520[[#This Row],[BOYA KODU]],Tablo14[#All],6,0)," ")</f>
        <v xml:space="preserve"> </v>
      </c>
      <c r="M196" s="100" t="str">
        <f t="shared" si="21"/>
        <v xml:space="preserve"> </v>
      </c>
      <c r="N196" s="100" t="str">
        <f>IFERROR(VLOOKUP(Tablo520[[#This Row],[ÜRÜN KODU]],YMKODLARI!$A$1:$K$373,8,0)," ")</f>
        <v xml:space="preserve"> </v>
      </c>
      <c r="O196" s="100" t="str">
        <f>IFERROR(VLOOKUP(Tablo520[[#This Row],[HAMMADDE KODU]],Tablo1[#All],3,0)," ")</f>
        <v xml:space="preserve"> </v>
      </c>
      <c r="P196" s="100" t="str">
        <f>IFERROR(VLOOKUP(Tablo520[[#This Row],[HAMMADDE KODU]],Tablo1[#All],4,0)," ")</f>
        <v xml:space="preserve"> </v>
      </c>
      <c r="Q196" s="100" t="str">
        <f>IFERROR(VLOOKUP(Tablo520[[#This Row],[ÜRÜN KODU]],YMKODLARI!$A$1:$K$373,5,0)," ")</f>
        <v xml:space="preserve"> </v>
      </c>
      <c r="R196" s="100" t="str">
        <f>IFERROR(VLOOKUP(Tablo520[[#This Row],[ÜRÜN KODU]],YMKODLARI!$A$1:$K$373,6,0)," ")</f>
        <v xml:space="preserve"> </v>
      </c>
      <c r="S196" s="100" t="str">
        <f>IFERROR(Tablo520[[#This Row],[YOLLUK HARİÇ BASKI GRAMI]]/Tablo520[[#This Row],[KALIP GÖZ ADEDİ]]," ")</f>
        <v xml:space="preserve"> </v>
      </c>
      <c r="T196" s="100" t="str">
        <f t="shared" si="23"/>
        <v xml:space="preserve"> </v>
      </c>
      <c r="U196" s="100"/>
      <c r="V196" s="100" t="str">
        <f t="shared" si="22"/>
        <v xml:space="preserve"> </v>
      </c>
      <c r="W196" s="101">
        <f t="shared" si="24"/>
        <v>24</v>
      </c>
      <c r="X196" s="102">
        <f t="shared" si="25"/>
        <v>0</v>
      </c>
      <c r="Y196" s="100" t="str">
        <f t="shared" si="26"/>
        <v xml:space="preserve"> </v>
      </c>
      <c r="Z196" s="100" t="str">
        <f t="shared" si="27"/>
        <v xml:space="preserve"> </v>
      </c>
    </row>
    <row r="197" spans="1:26">
      <c r="A197" s="100"/>
      <c r="B197" s="100" t="str">
        <f>IFERROR(VLOOKUP(Tablo520[[#This Row],[ÜRÜN KODU]],YMKODLARI!$A$1:$K$373,2,0)," ")</f>
        <v xml:space="preserve"> </v>
      </c>
      <c r="C197" s="99"/>
      <c r="D197" s="100"/>
      <c r="E197" s="101"/>
      <c r="F197" s="101"/>
      <c r="G197" s="100" t="str">
        <f>IFERROR(VLOOKUP(Tablo520[[#This Row],[ÜRÜN KODU]],YMKODLARI!$A$1:$K$373,3,0)," ")</f>
        <v xml:space="preserve"> </v>
      </c>
      <c r="H197" s="100" t="str">
        <f>IFERROR(VLOOKUP(Tablo520[[#This Row],[ÜRÜN KODU]],YMKODLARI!$A$1:$K$373,4,0)," ")</f>
        <v xml:space="preserve"> </v>
      </c>
      <c r="I197" s="100"/>
      <c r="J197" s="100" t="str">
        <f>IFERROR(VLOOKUP(Tablo520[[#This Row],[ÜRÜN KODU]],YMKODLARI!$A$1:$K$373,9,0)," ")</f>
        <v xml:space="preserve"> </v>
      </c>
      <c r="K197" s="100" t="str">
        <f>IFERROR(VLOOKUP(Tablo520[[#This Row],[BOYA KODU]],Tablo14[#All],4,0)," ")</f>
        <v xml:space="preserve"> </v>
      </c>
      <c r="L197" s="100" t="str">
        <f>IFERROR(VLOOKUP(Tablo520[[#This Row],[BOYA KODU]],Tablo14[#All],6,0)," ")</f>
        <v xml:space="preserve"> </v>
      </c>
      <c r="M197" s="100" t="str">
        <f t="shared" si="21"/>
        <v xml:space="preserve"> </v>
      </c>
      <c r="N197" s="100" t="str">
        <f>IFERROR(VLOOKUP(Tablo520[[#This Row],[ÜRÜN KODU]],YMKODLARI!$A$1:$K$373,8,0)," ")</f>
        <v xml:space="preserve"> </v>
      </c>
      <c r="O197" s="100" t="str">
        <f>IFERROR(VLOOKUP(Tablo520[[#This Row],[HAMMADDE KODU]],Tablo1[#All],3,0)," ")</f>
        <v xml:space="preserve"> </v>
      </c>
      <c r="P197" s="100" t="str">
        <f>IFERROR(VLOOKUP(Tablo520[[#This Row],[HAMMADDE KODU]],Tablo1[#All],4,0)," ")</f>
        <v xml:space="preserve"> </v>
      </c>
      <c r="Q197" s="100" t="str">
        <f>IFERROR(VLOOKUP(Tablo520[[#This Row],[ÜRÜN KODU]],YMKODLARI!$A$1:$K$373,5,0)," ")</f>
        <v xml:space="preserve"> </v>
      </c>
      <c r="R197" s="100" t="str">
        <f>IFERROR(VLOOKUP(Tablo520[[#This Row],[ÜRÜN KODU]],YMKODLARI!$A$1:$K$373,6,0)," ")</f>
        <v xml:space="preserve"> </v>
      </c>
      <c r="S197" s="100" t="str">
        <f>IFERROR(Tablo520[[#This Row],[YOLLUK HARİÇ BASKI GRAMI]]/Tablo520[[#This Row],[KALIP GÖZ ADEDİ]]," ")</f>
        <v xml:space="preserve"> </v>
      </c>
      <c r="T197" s="100" t="str">
        <f t="shared" si="23"/>
        <v xml:space="preserve"> </v>
      </c>
      <c r="U197" s="100"/>
      <c r="V197" s="100" t="str">
        <f t="shared" si="22"/>
        <v xml:space="preserve"> </v>
      </c>
      <c r="W197" s="101">
        <f t="shared" si="24"/>
        <v>24</v>
      </c>
      <c r="X197" s="102">
        <f t="shared" si="25"/>
        <v>0</v>
      </c>
      <c r="Y197" s="100" t="str">
        <f t="shared" si="26"/>
        <v xml:space="preserve"> </v>
      </c>
      <c r="Z197" s="100" t="str">
        <f t="shared" si="27"/>
        <v xml:space="preserve"> </v>
      </c>
    </row>
    <row r="198" spans="1:26">
      <c r="A198" s="100"/>
      <c r="B198" s="100" t="str">
        <f>IFERROR(VLOOKUP(Tablo520[[#This Row],[ÜRÜN KODU]],YMKODLARI!$A$1:$K$373,2,0)," ")</f>
        <v xml:space="preserve"> </v>
      </c>
      <c r="C198" s="99"/>
      <c r="D198" s="100"/>
      <c r="E198" s="101"/>
      <c r="F198" s="101"/>
      <c r="G198" s="100" t="str">
        <f>IFERROR(VLOOKUP(Tablo520[[#This Row],[ÜRÜN KODU]],YMKODLARI!$A$1:$K$373,3,0)," ")</f>
        <v xml:space="preserve"> </v>
      </c>
      <c r="H198" s="100" t="str">
        <f>IFERROR(VLOOKUP(Tablo520[[#This Row],[ÜRÜN KODU]],YMKODLARI!$A$1:$K$373,4,0)," ")</f>
        <v xml:space="preserve"> </v>
      </c>
      <c r="I198" s="100"/>
      <c r="J198" s="100" t="str">
        <f>IFERROR(VLOOKUP(Tablo520[[#This Row],[ÜRÜN KODU]],YMKODLARI!$A$1:$K$373,9,0)," ")</f>
        <v xml:space="preserve"> </v>
      </c>
      <c r="K198" s="100" t="str">
        <f>IFERROR(VLOOKUP(Tablo520[[#This Row],[BOYA KODU]],Tablo14[#All],4,0)," ")</f>
        <v xml:space="preserve"> </v>
      </c>
      <c r="L198" s="100" t="str">
        <f>IFERROR(VLOOKUP(Tablo520[[#This Row],[BOYA KODU]],Tablo14[#All],6,0)," ")</f>
        <v xml:space="preserve"> </v>
      </c>
      <c r="M198" s="100" t="str">
        <f t="shared" si="21"/>
        <v xml:space="preserve"> </v>
      </c>
      <c r="N198" s="100" t="str">
        <f>IFERROR(VLOOKUP(Tablo520[[#This Row],[ÜRÜN KODU]],YMKODLARI!$A$1:$K$373,8,0)," ")</f>
        <v xml:space="preserve"> </v>
      </c>
      <c r="O198" s="100" t="str">
        <f>IFERROR(VLOOKUP(Tablo520[[#This Row],[HAMMADDE KODU]],Tablo1[#All],3,0)," ")</f>
        <v xml:space="preserve"> </v>
      </c>
      <c r="P198" s="100" t="str">
        <f>IFERROR(VLOOKUP(Tablo520[[#This Row],[HAMMADDE KODU]],Tablo1[#All],4,0)," ")</f>
        <v xml:space="preserve"> </v>
      </c>
      <c r="Q198" s="100" t="str">
        <f>IFERROR(VLOOKUP(Tablo520[[#This Row],[ÜRÜN KODU]],YMKODLARI!$A$1:$K$373,5,0)," ")</f>
        <v xml:space="preserve"> </v>
      </c>
      <c r="R198" s="100" t="str">
        <f>IFERROR(VLOOKUP(Tablo520[[#This Row],[ÜRÜN KODU]],YMKODLARI!$A$1:$K$373,6,0)," ")</f>
        <v xml:space="preserve"> </v>
      </c>
      <c r="S198" s="100" t="str">
        <f>IFERROR(Tablo520[[#This Row],[YOLLUK HARİÇ BASKI GRAMI]]/Tablo520[[#This Row],[KALIP GÖZ ADEDİ]]," ")</f>
        <v xml:space="preserve"> </v>
      </c>
      <c r="T198" s="100" t="str">
        <f t="shared" si="23"/>
        <v xml:space="preserve"> </v>
      </c>
      <c r="U198" s="100"/>
      <c r="V198" s="100" t="str">
        <f t="shared" si="22"/>
        <v xml:space="preserve"> </v>
      </c>
      <c r="W198" s="101">
        <f t="shared" si="24"/>
        <v>24</v>
      </c>
      <c r="X198" s="102">
        <f t="shared" si="25"/>
        <v>0</v>
      </c>
      <c r="Y198" s="100" t="str">
        <f t="shared" si="26"/>
        <v xml:space="preserve"> </v>
      </c>
      <c r="Z198" s="100" t="str">
        <f t="shared" si="27"/>
        <v xml:space="preserve"> </v>
      </c>
    </row>
    <row r="199" spans="1:26">
      <c r="A199" s="100"/>
      <c r="B199" s="100" t="str">
        <f>IFERROR(VLOOKUP(Tablo520[[#This Row],[ÜRÜN KODU]],YMKODLARI!$A$1:$K$373,2,0)," ")</f>
        <v xml:space="preserve"> </v>
      </c>
      <c r="C199" s="99"/>
      <c r="D199" s="100"/>
      <c r="E199" s="101"/>
      <c r="F199" s="101"/>
      <c r="G199" s="100" t="str">
        <f>IFERROR(VLOOKUP(Tablo520[[#This Row],[ÜRÜN KODU]],YMKODLARI!$A$1:$K$373,3,0)," ")</f>
        <v xml:space="preserve"> </v>
      </c>
      <c r="H199" s="100" t="str">
        <f>IFERROR(VLOOKUP(Tablo520[[#This Row],[ÜRÜN KODU]],YMKODLARI!$A$1:$K$373,4,0)," ")</f>
        <v xml:space="preserve"> </v>
      </c>
      <c r="I199" s="100"/>
      <c r="J199" s="100" t="str">
        <f>IFERROR(VLOOKUP(Tablo520[[#This Row],[ÜRÜN KODU]],YMKODLARI!$A$1:$K$373,9,0)," ")</f>
        <v xml:space="preserve"> </v>
      </c>
      <c r="K199" s="100" t="str">
        <f>IFERROR(VLOOKUP(Tablo520[[#This Row],[BOYA KODU]],Tablo14[#All],4,0)," ")</f>
        <v xml:space="preserve"> </v>
      </c>
      <c r="L199" s="100" t="str">
        <f>IFERROR(VLOOKUP(Tablo520[[#This Row],[BOYA KODU]],Tablo14[#All],6,0)," ")</f>
        <v xml:space="preserve"> </v>
      </c>
      <c r="M199" s="100" t="str">
        <f t="shared" si="21"/>
        <v xml:space="preserve"> </v>
      </c>
      <c r="N199" s="100" t="str">
        <f>IFERROR(VLOOKUP(Tablo520[[#This Row],[ÜRÜN KODU]],YMKODLARI!$A$1:$K$373,8,0)," ")</f>
        <v xml:space="preserve"> </v>
      </c>
      <c r="O199" s="100" t="str">
        <f>IFERROR(VLOOKUP(Tablo520[[#This Row],[HAMMADDE KODU]],Tablo1[#All],3,0)," ")</f>
        <v xml:space="preserve"> </v>
      </c>
      <c r="P199" s="100" t="str">
        <f>IFERROR(VLOOKUP(Tablo520[[#This Row],[HAMMADDE KODU]],Tablo1[#All],4,0)," ")</f>
        <v xml:space="preserve"> </v>
      </c>
      <c r="Q199" s="100" t="str">
        <f>IFERROR(VLOOKUP(Tablo520[[#This Row],[ÜRÜN KODU]],YMKODLARI!$A$1:$K$373,5,0)," ")</f>
        <v xml:space="preserve"> </v>
      </c>
      <c r="R199" s="100" t="str">
        <f>IFERROR(VLOOKUP(Tablo520[[#This Row],[ÜRÜN KODU]],YMKODLARI!$A$1:$K$373,6,0)," ")</f>
        <v xml:space="preserve"> </v>
      </c>
      <c r="S199" s="100" t="str">
        <f>IFERROR(Tablo520[[#This Row],[YOLLUK HARİÇ BASKI GRAMI]]/Tablo520[[#This Row],[KALIP GÖZ ADEDİ]]," ")</f>
        <v xml:space="preserve"> </v>
      </c>
      <c r="T199" s="100" t="str">
        <f t="shared" si="23"/>
        <v xml:space="preserve"> </v>
      </c>
      <c r="U199" s="100"/>
      <c r="V199" s="100" t="str">
        <f t="shared" si="22"/>
        <v xml:space="preserve"> </v>
      </c>
      <c r="W199" s="101">
        <f t="shared" si="24"/>
        <v>24</v>
      </c>
      <c r="X199" s="102">
        <f t="shared" si="25"/>
        <v>0</v>
      </c>
      <c r="Y199" s="100" t="str">
        <f t="shared" si="26"/>
        <v xml:space="preserve"> </v>
      </c>
      <c r="Z199" s="100" t="str">
        <f t="shared" si="27"/>
        <v xml:space="preserve"> </v>
      </c>
    </row>
    <row r="200" spans="1:26">
      <c r="A200" s="100"/>
      <c r="B200" s="100" t="str">
        <f>IFERROR(VLOOKUP(Tablo520[[#This Row],[ÜRÜN KODU]],YMKODLARI!$A$1:$K$373,2,0)," ")</f>
        <v xml:space="preserve"> </v>
      </c>
      <c r="C200" s="99"/>
      <c r="D200" s="100"/>
      <c r="E200" s="101"/>
      <c r="F200" s="101"/>
      <c r="G200" s="100" t="str">
        <f>IFERROR(VLOOKUP(Tablo520[[#This Row],[ÜRÜN KODU]],YMKODLARI!$A$1:$K$373,3,0)," ")</f>
        <v xml:space="preserve"> </v>
      </c>
      <c r="H200" s="100" t="str">
        <f>IFERROR(VLOOKUP(Tablo520[[#This Row],[ÜRÜN KODU]],YMKODLARI!$A$1:$K$373,4,0)," ")</f>
        <v xml:space="preserve"> </v>
      </c>
      <c r="I200" s="100"/>
      <c r="J200" s="100" t="str">
        <f>IFERROR(VLOOKUP(Tablo520[[#This Row],[ÜRÜN KODU]],YMKODLARI!$A$1:$K$373,9,0)," ")</f>
        <v xml:space="preserve"> </v>
      </c>
      <c r="K200" s="100" t="str">
        <f>IFERROR(VLOOKUP(Tablo520[[#This Row],[BOYA KODU]],Tablo14[#All],4,0)," ")</f>
        <v xml:space="preserve"> </v>
      </c>
      <c r="L200" s="100" t="str">
        <f>IFERROR(VLOOKUP(Tablo520[[#This Row],[BOYA KODU]],Tablo14[#All],6,0)," ")</f>
        <v xml:space="preserve"> </v>
      </c>
      <c r="M200" s="100" t="str">
        <f t="shared" si="21"/>
        <v xml:space="preserve"> </v>
      </c>
      <c r="N200" s="100" t="str">
        <f>IFERROR(VLOOKUP(Tablo520[[#This Row],[ÜRÜN KODU]],YMKODLARI!$A$1:$K$373,8,0)," ")</f>
        <v xml:space="preserve"> </v>
      </c>
      <c r="O200" s="100" t="str">
        <f>IFERROR(VLOOKUP(Tablo520[[#This Row],[HAMMADDE KODU]],Tablo1[#All],3,0)," ")</f>
        <v xml:space="preserve"> </v>
      </c>
      <c r="P200" s="100" t="str">
        <f>IFERROR(VLOOKUP(Tablo520[[#This Row],[HAMMADDE KODU]],Tablo1[#All],4,0)," ")</f>
        <v xml:space="preserve"> </v>
      </c>
      <c r="Q200" s="100" t="str">
        <f>IFERROR(VLOOKUP(Tablo520[[#This Row],[ÜRÜN KODU]],YMKODLARI!$A$1:$K$373,5,0)," ")</f>
        <v xml:space="preserve"> </v>
      </c>
      <c r="R200" s="100" t="str">
        <f>IFERROR(VLOOKUP(Tablo520[[#This Row],[ÜRÜN KODU]],YMKODLARI!$A$1:$K$373,6,0)," ")</f>
        <v xml:space="preserve"> </v>
      </c>
      <c r="S200" s="100" t="str">
        <f>IFERROR(Tablo520[[#This Row],[YOLLUK HARİÇ BASKI GRAMI]]/Tablo520[[#This Row],[KALIP GÖZ ADEDİ]]," ")</f>
        <v xml:space="preserve"> </v>
      </c>
      <c r="T200" s="100" t="str">
        <f t="shared" si="23"/>
        <v xml:space="preserve"> </v>
      </c>
      <c r="U200" s="100"/>
      <c r="V200" s="100" t="str">
        <f t="shared" si="22"/>
        <v xml:space="preserve"> </v>
      </c>
      <c r="W200" s="101">
        <f t="shared" si="24"/>
        <v>24</v>
      </c>
      <c r="X200" s="102">
        <f t="shared" si="25"/>
        <v>0</v>
      </c>
      <c r="Y200" s="100" t="str">
        <f t="shared" si="26"/>
        <v xml:space="preserve"> </v>
      </c>
      <c r="Z200" s="100" t="str">
        <f t="shared" si="27"/>
        <v xml:space="preserve"> </v>
      </c>
    </row>
    <row r="201" spans="1:26">
      <c r="A201" s="100"/>
      <c r="B201" s="100" t="str">
        <f>IFERROR(VLOOKUP(Tablo520[[#This Row],[ÜRÜN KODU]],YMKODLARI!$A$1:$K$373,2,0)," ")</f>
        <v xml:space="preserve"> </v>
      </c>
      <c r="C201" s="99"/>
      <c r="D201" s="100"/>
      <c r="E201" s="101"/>
      <c r="F201" s="101"/>
      <c r="G201" s="100" t="str">
        <f>IFERROR(VLOOKUP(Tablo520[[#This Row],[ÜRÜN KODU]],YMKODLARI!$A$1:$K$373,3,0)," ")</f>
        <v xml:space="preserve"> </v>
      </c>
      <c r="H201" s="100" t="str">
        <f>IFERROR(VLOOKUP(Tablo520[[#This Row],[ÜRÜN KODU]],YMKODLARI!$A$1:$K$373,4,0)," ")</f>
        <v xml:space="preserve"> </v>
      </c>
      <c r="I201" s="100"/>
      <c r="J201" s="100" t="str">
        <f>IFERROR(VLOOKUP(Tablo520[[#This Row],[ÜRÜN KODU]],YMKODLARI!$A$1:$K$373,9,0)," ")</f>
        <v xml:space="preserve"> </v>
      </c>
      <c r="K201" s="100" t="str">
        <f>IFERROR(VLOOKUP(Tablo520[[#This Row],[BOYA KODU]],Tablo14[#All],4,0)," ")</f>
        <v xml:space="preserve"> </v>
      </c>
      <c r="L201" s="100" t="str">
        <f>IFERROR(VLOOKUP(Tablo520[[#This Row],[BOYA KODU]],Tablo14[#All],6,0)," ")</f>
        <v xml:space="preserve"> </v>
      </c>
      <c r="M201" s="100" t="str">
        <f t="shared" si="21"/>
        <v xml:space="preserve"> </v>
      </c>
      <c r="N201" s="100" t="str">
        <f>IFERROR(VLOOKUP(Tablo520[[#This Row],[ÜRÜN KODU]],YMKODLARI!$A$1:$K$373,8,0)," ")</f>
        <v xml:space="preserve"> </v>
      </c>
      <c r="O201" s="100" t="str">
        <f>IFERROR(VLOOKUP(Tablo520[[#This Row],[HAMMADDE KODU]],Tablo1[#All],3,0)," ")</f>
        <v xml:space="preserve"> </v>
      </c>
      <c r="P201" s="100" t="str">
        <f>IFERROR(VLOOKUP(Tablo520[[#This Row],[HAMMADDE KODU]],Tablo1[#All],4,0)," ")</f>
        <v xml:space="preserve"> </v>
      </c>
      <c r="Q201" s="100" t="str">
        <f>IFERROR(VLOOKUP(Tablo520[[#This Row],[ÜRÜN KODU]],YMKODLARI!$A$1:$K$373,5,0)," ")</f>
        <v xml:space="preserve"> </v>
      </c>
      <c r="R201" s="100" t="str">
        <f>IFERROR(VLOOKUP(Tablo520[[#This Row],[ÜRÜN KODU]],YMKODLARI!$A$1:$K$373,6,0)," ")</f>
        <v xml:space="preserve"> </v>
      </c>
      <c r="S201" s="100" t="str">
        <f>IFERROR(Tablo520[[#This Row],[YOLLUK HARİÇ BASKI GRAMI]]/Tablo520[[#This Row],[KALIP GÖZ ADEDİ]]," ")</f>
        <v xml:space="preserve"> </v>
      </c>
      <c r="T201" s="100" t="str">
        <f t="shared" si="23"/>
        <v xml:space="preserve"> </v>
      </c>
      <c r="U201" s="100"/>
      <c r="V201" s="100" t="str">
        <f t="shared" si="22"/>
        <v xml:space="preserve"> </v>
      </c>
      <c r="W201" s="101">
        <f t="shared" si="24"/>
        <v>24</v>
      </c>
      <c r="X201" s="102">
        <f t="shared" si="25"/>
        <v>0</v>
      </c>
      <c r="Y201" s="100" t="str">
        <f t="shared" si="26"/>
        <v xml:space="preserve"> </v>
      </c>
      <c r="Z201" s="100" t="str">
        <f t="shared" si="27"/>
        <v xml:space="preserve"> </v>
      </c>
    </row>
    <row r="202" spans="1:26">
      <c r="A202" s="100"/>
      <c r="B202" s="100" t="str">
        <f>IFERROR(VLOOKUP(Tablo520[[#This Row],[ÜRÜN KODU]],YMKODLARI!$A$1:$K$373,2,0)," ")</f>
        <v xml:space="preserve"> </v>
      </c>
      <c r="C202" s="99"/>
      <c r="D202" s="100"/>
      <c r="E202" s="101"/>
      <c r="F202" s="101"/>
      <c r="G202" s="100" t="str">
        <f>IFERROR(VLOOKUP(Tablo520[[#This Row],[ÜRÜN KODU]],YMKODLARI!$A$1:$K$373,3,0)," ")</f>
        <v xml:space="preserve"> </v>
      </c>
      <c r="H202" s="100" t="str">
        <f>IFERROR(VLOOKUP(Tablo520[[#This Row],[ÜRÜN KODU]],YMKODLARI!$A$1:$K$373,4,0)," ")</f>
        <v xml:space="preserve"> </v>
      </c>
      <c r="I202" s="100"/>
      <c r="J202" s="100" t="str">
        <f>IFERROR(VLOOKUP(Tablo520[[#This Row],[ÜRÜN KODU]],YMKODLARI!$A$1:$K$373,9,0)," ")</f>
        <v xml:space="preserve"> </v>
      </c>
      <c r="K202" s="100" t="str">
        <f>IFERROR(VLOOKUP(Tablo520[[#This Row],[BOYA KODU]],Tablo14[#All],4,0)," ")</f>
        <v xml:space="preserve"> </v>
      </c>
      <c r="L202" s="100" t="str">
        <f>IFERROR(VLOOKUP(Tablo520[[#This Row],[BOYA KODU]],Tablo14[#All],6,0)," ")</f>
        <v xml:space="preserve"> </v>
      </c>
      <c r="M202" s="100" t="str">
        <f t="shared" si="21"/>
        <v xml:space="preserve"> </v>
      </c>
      <c r="N202" s="100" t="str">
        <f>IFERROR(VLOOKUP(Tablo520[[#This Row],[ÜRÜN KODU]],YMKODLARI!$A$1:$K$373,8,0)," ")</f>
        <v xml:space="preserve"> </v>
      </c>
      <c r="O202" s="100" t="str">
        <f>IFERROR(VLOOKUP(Tablo520[[#This Row],[HAMMADDE KODU]],Tablo1[#All],3,0)," ")</f>
        <v xml:space="preserve"> </v>
      </c>
      <c r="P202" s="100" t="str">
        <f>IFERROR(VLOOKUP(Tablo520[[#This Row],[HAMMADDE KODU]],Tablo1[#All],4,0)," ")</f>
        <v xml:space="preserve"> </v>
      </c>
      <c r="Q202" s="100" t="str">
        <f>IFERROR(VLOOKUP(Tablo520[[#This Row],[ÜRÜN KODU]],YMKODLARI!$A$1:$K$373,5,0)," ")</f>
        <v xml:space="preserve"> </v>
      </c>
      <c r="R202" s="100" t="str">
        <f>IFERROR(VLOOKUP(Tablo520[[#This Row],[ÜRÜN KODU]],YMKODLARI!$A$1:$K$373,6,0)," ")</f>
        <v xml:space="preserve"> </v>
      </c>
      <c r="S202" s="100" t="str">
        <f>IFERROR(Tablo520[[#This Row],[YOLLUK HARİÇ BASKI GRAMI]]/Tablo520[[#This Row],[KALIP GÖZ ADEDİ]]," ")</f>
        <v xml:space="preserve"> </v>
      </c>
      <c r="T202" s="100" t="str">
        <f t="shared" si="23"/>
        <v xml:space="preserve"> </v>
      </c>
      <c r="U202" s="100"/>
      <c r="V202" s="100" t="str">
        <f t="shared" si="22"/>
        <v xml:space="preserve"> </v>
      </c>
      <c r="W202" s="101">
        <f t="shared" si="24"/>
        <v>24</v>
      </c>
      <c r="X202" s="102">
        <f t="shared" si="25"/>
        <v>0</v>
      </c>
      <c r="Y202" s="100" t="str">
        <f t="shared" si="26"/>
        <v xml:space="preserve"> </v>
      </c>
      <c r="Z202" s="100" t="str">
        <f t="shared" si="27"/>
        <v xml:space="preserve"> </v>
      </c>
    </row>
    <row r="203" spans="1:26">
      <c r="A203" s="100"/>
      <c r="B203" s="100" t="str">
        <f>IFERROR(VLOOKUP(Tablo520[[#This Row],[ÜRÜN KODU]],YMKODLARI!$A$1:$K$373,2,0)," ")</f>
        <v xml:space="preserve"> </v>
      </c>
      <c r="C203" s="99"/>
      <c r="D203" s="100"/>
      <c r="E203" s="101"/>
      <c r="F203" s="101"/>
      <c r="G203" s="100" t="str">
        <f>IFERROR(VLOOKUP(Tablo520[[#This Row],[ÜRÜN KODU]],YMKODLARI!$A$1:$K$373,3,0)," ")</f>
        <v xml:space="preserve"> </v>
      </c>
      <c r="H203" s="100" t="str">
        <f>IFERROR(VLOOKUP(Tablo520[[#This Row],[ÜRÜN KODU]],YMKODLARI!$A$1:$K$373,4,0)," ")</f>
        <v xml:space="preserve"> </v>
      </c>
      <c r="I203" s="100"/>
      <c r="J203" s="100" t="str">
        <f>IFERROR(VLOOKUP(Tablo520[[#This Row],[ÜRÜN KODU]],YMKODLARI!$A$1:$K$373,9,0)," ")</f>
        <v xml:space="preserve"> </v>
      </c>
      <c r="K203" s="100" t="str">
        <f>IFERROR(VLOOKUP(Tablo520[[#This Row],[BOYA KODU]],Tablo14[#All],4,0)," ")</f>
        <v xml:space="preserve"> </v>
      </c>
      <c r="L203" s="100" t="str">
        <f>IFERROR(VLOOKUP(Tablo520[[#This Row],[BOYA KODU]],Tablo14[#All],6,0)," ")</f>
        <v xml:space="preserve"> </v>
      </c>
      <c r="M203" s="100" t="str">
        <f t="shared" si="21"/>
        <v xml:space="preserve"> </v>
      </c>
      <c r="N203" s="100" t="str">
        <f>IFERROR(VLOOKUP(Tablo520[[#This Row],[ÜRÜN KODU]],YMKODLARI!$A$1:$K$373,8,0)," ")</f>
        <v xml:space="preserve"> </v>
      </c>
      <c r="O203" s="100" t="str">
        <f>IFERROR(VLOOKUP(Tablo520[[#This Row],[HAMMADDE KODU]],Tablo1[#All],3,0)," ")</f>
        <v xml:space="preserve"> </v>
      </c>
      <c r="P203" s="100" t="str">
        <f>IFERROR(VLOOKUP(Tablo520[[#This Row],[HAMMADDE KODU]],Tablo1[#All],4,0)," ")</f>
        <v xml:space="preserve"> </v>
      </c>
      <c r="Q203" s="100" t="str">
        <f>IFERROR(VLOOKUP(Tablo520[[#This Row],[ÜRÜN KODU]],YMKODLARI!$A$1:$K$373,5,0)," ")</f>
        <v xml:space="preserve"> </v>
      </c>
      <c r="R203" s="100" t="str">
        <f>IFERROR(VLOOKUP(Tablo520[[#This Row],[ÜRÜN KODU]],YMKODLARI!$A$1:$K$373,6,0)," ")</f>
        <v xml:space="preserve"> </v>
      </c>
      <c r="S203" s="100" t="str">
        <f>IFERROR(Tablo520[[#This Row],[YOLLUK HARİÇ BASKI GRAMI]]/Tablo520[[#This Row],[KALIP GÖZ ADEDİ]]," ")</f>
        <v xml:space="preserve"> </v>
      </c>
      <c r="T203" s="100" t="str">
        <f t="shared" si="23"/>
        <v xml:space="preserve"> </v>
      </c>
      <c r="U203" s="100"/>
      <c r="V203" s="100" t="str">
        <f t="shared" si="22"/>
        <v xml:space="preserve"> </v>
      </c>
      <c r="W203" s="101">
        <f t="shared" si="24"/>
        <v>24</v>
      </c>
      <c r="X203" s="102">
        <f t="shared" si="25"/>
        <v>0</v>
      </c>
      <c r="Y203" s="100" t="str">
        <f t="shared" si="26"/>
        <v xml:space="preserve"> </v>
      </c>
      <c r="Z203" s="100" t="str">
        <f t="shared" si="27"/>
        <v xml:space="preserve"> </v>
      </c>
    </row>
    <row r="204" spans="1:26">
      <c r="A204" s="100"/>
      <c r="B204" s="100" t="str">
        <f>IFERROR(VLOOKUP(Tablo520[[#This Row],[ÜRÜN KODU]],YMKODLARI!$A$1:$K$373,2,0)," ")</f>
        <v xml:space="preserve"> </v>
      </c>
      <c r="C204" s="99"/>
      <c r="D204" s="100"/>
      <c r="E204" s="101"/>
      <c r="F204" s="101"/>
      <c r="G204" s="100" t="str">
        <f>IFERROR(VLOOKUP(Tablo520[[#This Row],[ÜRÜN KODU]],YMKODLARI!$A$1:$K$373,3,0)," ")</f>
        <v xml:space="preserve"> </v>
      </c>
      <c r="H204" s="100" t="str">
        <f>IFERROR(VLOOKUP(Tablo520[[#This Row],[ÜRÜN KODU]],YMKODLARI!$A$1:$K$373,4,0)," ")</f>
        <v xml:space="preserve"> </v>
      </c>
      <c r="I204" s="100"/>
      <c r="J204" s="100" t="str">
        <f>IFERROR(VLOOKUP(Tablo520[[#This Row],[ÜRÜN KODU]],YMKODLARI!$A$1:$K$373,9,0)," ")</f>
        <v xml:space="preserve"> </v>
      </c>
      <c r="K204" s="100" t="str">
        <f>IFERROR(VLOOKUP(Tablo520[[#This Row],[BOYA KODU]],Tablo14[#All],4,0)," ")</f>
        <v xml:space="preserve"> </v>
      </c>
      <c r="L204" s="100" t="str">
        <f>IFERROR(VLOOKUP(Tablo520[[#This Row],[BOYA KODU]],Tablo14[#All],6,0)," ")</f>
        <v xml:space="preserve"> </v>
      </c>
      <c r="M204" s="100" t="str">
        <f t="shared" si="21"/>
        <v xml:space="preserve"> </v>
      </c>
      <c r="N204" s="100" t="str">
        <f>IFERROR(VLOOKUP(Tablo520[[#This Row],[ÜRÜN KODU]],YMKODLARI!$A$1:$K$373,8,0)," ")</f>
        <v xml:space="preserve"> </v>
      </c>
      <c r="O204" s="100" t="str">
        <f>IFERROR(VLOOKUP(Tablo520[[#This Row],[HAMMADDE KODU]],Tablo1[#All],3,0)," ")</f>
        <v xml:space="preserve"> </v>
      </c>
      <c r="P204" s="100" t="str">
        <f>IFERROR(VLOOKUP(Tablo520[[#This Row],[HAMMADDE KODU]],Tablo1[#All],4,0)," ")</f>
        <v xml:space="preserve"> </v>
      </c>
      <c r="Q204" s="100" t="str">
        <f>IFERROR(VLOOKUP(Tablo520[[#This Row],[ÜRÜN KODU]],YMKODLARI!$A$1:$K$373,5,0)," ")</f>
        <v xml:space="preserve"> </v>
      </c>
      <c r="R204" s="100" t="str">
        <f>IFERROR(VLOOKUP(Tablo520[[#This Row],[ÜRÜN KODU]],YMKODLARI!$A$1:$K$373,6,0)," ")</f>
        <v xml:space="preserve"> </v>
      </c>
      <c r="S204" s="100" t="str">
        <f>IFERROR(Tablo520[[#This Row],[YOLLUK HARİÇ BASKI GRAMI]]/Tablo520[[#This Row],[KALIP GÖZ ADEDİ]]," ")</f>
        <v xml:space="preserve"> </v>
      </c>
      <c r="T204" s="100" t="str">
        <f t="shared" si="23"/>
        <v xml:space="preserve"> </v>
      </c>
      <c r="U204" s="100"/>
      <c r="V204" s="100" t="str">
        <f t="shared" si="22"/>
        <v xml:space="preserve"> </v>
      </c>
      <c r="W204" s="101">
        <f t="shared" si="24"/>
        <v>24</v>
      </c>
      <c r="X204" s="102">
        <f t="shared" si="25"/>
        <v>0</v>
      </c>
      <c r="Y204" s="100" t="str">
        <f t="shared" si="26"/>
        <v xml:space="preserve"> </v>
      </c>
      <c r="Z204" s="100" t="str">
        <f t="shared" si="27"/>
        <v xml:space="preserve"> </v>
      </c>
    </row>
    <row r="205" spans="1:26">
      <c r="A205" s="100"/>
      <c r="B205" s="100" t="str">
        <f>IFERROR(VLOOKUP(Tablo520[[#This Row],[ÜRÜN KODU]],YMKODLARI!$A$1:$K$373,2,0)," ")</f>
        <v xml:space="preserve"> </v>
      </c>
      <c r="C205" s="99"/>
      <c r="D205" s="100"/>
      <c r="E205" s="101"/>
      <c r="F205" s="101"/>
      <c r="G205" s="100" t="str">
        <f>IFERROR(VLOOKUP(Tablo520[[#This Row],[ÜRÜN KODU]],YMKODLARI!$A$1:$K$373,3,0)," ")</f>
        <v xml:space="preserve"> </v>
      </c>
      <c r="H205" s="100" t="str">
        <f>IFERROR(VLOOKUP(Tablo520[[#This Row],[ÜRÜN KODU]],YMKODLARI!$A$1:$K$373,4,0)," ")</f>
        <v xml:space="preserve"> </v>
      </c>
      <c r="I205" s="100"/>
      <c r="J205" s="100" t="str">
        <f>IFERROR(VLOOKUP(Tablo520[[#This Row],[ÜRÜN KODU]],YMKODLARI!$A$1:$K$373,9,0)," ")</f>
        <v xml:space="preserve"> </v>
      </c>
      <c r="K205" s="100" t="str">
        <f>IFERROR(VLOOKUP(Tablo520[[#This Row],[BOYA KODU]],Tablo14[#All],4,0)," ")</f>
        <v xml:space="preserve"> </v>
      </c>
      <c r="L205" s="100" t="str">
        <f>IFERROR(VLOOKUP(Tablo520[[#This Row],[BOYA KODU]],Tablo14[#All],6,0)," ")</f>
        <v xml:space="preserve"> </v>
      </c>
      <c r="M205" s="100" t="str">
        <f t="shared" si="21"/>
        <v xml:space="preserve"> </v>
      </c>
      <c r="N205" s="100" t="str">
        <f>IFERROR(VLOOKUP(Tablo520[[#This Row],[ÜRÜN KODU]],YMKODLARI!$A$1:$K$373,8,0)," ")</f>
        <v xml:space="preserve"> </v>
      </c>
      <c r="O205" s="100" t="str">
        <f>IFERROR(VLOOKUP(Tablo520[[#This Row],[HAMMADDE KODU]],Tablo1[#All],3,0)," ")</f>
        <v xml:space="preserve"> </v>
      </c>
      <c r="P205" s="100" t="str">
        <f>IFERROR(VLOOKUP(Tablo520[[#This Row],[HAMMADDE KODU]],Tablo1[#All],4,0)," ")</f>
        <v xml:space="preserve"> </v>
      </c>
      <c r="Q205" s="100" t="str">
        <f>IFERROR(VLOOKUP(Tablo520[[#This Row],[ÜRÜN KODU]],YMKODLARI!$A$1:$K$373,5,0)," ")</f>
        <v xml:space="preserve"> </v>
      </c>
      <c r="R205" s="100" t="str">
        <f>IFERROR(VLOOKUP(Tablo520[[#This Row],[ÜRÜN KODU]],YMKODLARI!$A$1:$K$373,6,0)," ")</f>
        <v xml:space="preserve"> </v>
      </c>
      <c r="S205" s="100" t="str">
        <f>IFERROR(Tablo520[[#This Row],[YOLLUK HARİÇ BASKI GRAMI]]/Tablo520[[#This Row],[KALIP GÖZ ADEDİ]]," ")</f>
        <v xml:space="preserve"> </v>
      </c>
      <c r="T205" s="100" t="str">
        <f t="shared" si="23"/>
        <v xml:space="preserve"> </v>
      </c>
      <c r="U205" s="100"/>
      <c r="V205" s="100" t="str">
        <f t="shared" si="22"/>
        <v xml:space="preserve"> </v>
      </c>
      <c r="W205" s="101">
        <f t="shared" si="24"/>
        <v>24</v>
      </c>
      <c r="X205" s="102">
        <f t="shared" si="25"/>
        <v>0</v>
      </c>
      <c r="Y205" s="100" t="str">
        <f t="shared" si="26"/>
        <v xml:space="preserve"> </v>
      </c>
      <c r="Z205" s="100" t="str">
        <f t="shared" si="27"/>
        <v xml:space="preserve"> </v>
      </c>
    </row>
    <row r="206" spans="1:26">
      <c r="A206" s="100"/>
      <c r="B206" s="100" t="str">
        <f>IFERROR(VLOOKUP(Tablo520[[#This Row],[ÜRÜN KODU]],YMKODLARI!$A$1:$K$373,2,0)," ")</f>
        <v xml:space="preserve"> </v>
      </c>
      <c r="C206" s="99"/>
      <c r="D206" s="100"/>
      <c r="E206" s="101"/>
      <c r="F206" s="101"/>
      <c r="G206" s="100" t="str">
        <f>IFERROR(VLOOKUP(Tablo520[[#This Row],[ÜRÜN KODU]],YMKODLARI!$A$1:$K$373,3,0)," ")</f>
        <v xml:space="preserve"> </v>
      </c>
      <c r="H206" s="100" t="str">
        <f>IFERROR(VLOOKUP(Tablo520[[#This Row],[ÜRÜN KODU]],YMKODLARI!$A$1:$K$373,4,0)," ")</f>
        <v xml:space="preserve"> </v>
      </c>
      <c r="I206" s="100"/>
      <c r="J206" s="100" t="str">
        <f>IFERROR(VLOOKUP(Tablo520[[#This Row],[ÜRÜN KODU]],YMKODLARI!$A$1:$K$373,9,0)," ")</f>
        <v xml:space="preserve"> </v>
      </c>
      <c r="K206" s="100" t="str">
        <f>IFERROR(VLOOKUP(Tablo520[[#This Row],[BOYA KODU]],Tablo14[#All],4,0)," ")</f>
        <v xml:space="preserve"> </v>
      </c>
      <c r="L206" s="100" t="str">
        <f>IFERROR(VLOOKUP(Tablo520[[#This Row],[BOYA KODU]],Tablo14[#All],6,0)," ")</f>
        <v xml:space="preserve"> </v>
      </c>
      <c r="M206" s="100" t="str">
        <f t="shared" si="21"/>
        <v xml:space="preserve"> </v>
      </c>
      <c r="N206" s="100" t="str">
        <f>IFERROR(VLOOKUP(Tablo520[[#This Row],[ÜRÜN KODU]],YMKODLARI!$A$1:$K$373,8,0)," ")</f>
        <v xml:space="preserve"> </v>
      </c>
      <c r="O206" s="100" t="str">
        <f>IFERROR(VLOOKUP(Tablo520[[#This Row],[HAMMADDE KODU]],Tablo1[#All],3,0)," ")</f>
        <v xml:space="preserve"> </v>
      </c>
      <c r="P206" s="100" t="str">
        <f>IFERROR(VLOOKUP(Tablo520[[#This Row],[HAMMADDE KODU]],Tablo1[#All],4,0)," ")</f>
        <v xml:space="preserve"> </v>
      </c>
      <c r="Q206" s="100" t="str">
        <f>IFERROR(VLOOKUP(Tablo520[[#This Row],[ÜRÜN KODU]],YMKODLARI!$A$1:$K$373,5,0)," ")</f>
        <v xml:space="preserve"> </v>
      </c>
      <c r="R206" s="100" t="str">
        <f>IFERROR(VLOOKUP(Tablo520[[#This Row],[ÜRÜN KODU]],YMKODLARI!$A$1:$K$373,6,0)," ")</f>
        <v xml:space="preserve"> </v>
      </c>
      <c r="S206" s="100" t="str">
        <f>IFERROR(Tablo520[[#This Row],[YOLLUK HARİÇ BASKI GRAMI]]/Tablo520[[#This Row],[KALIP GÖZ ADEDİ]]," ")</f>
        <v xml:space="preserve"> </v>
      </c>
      <c r="T206" s="100" t="str">
        <f t="shared" si="23"/>
        <v xml:space="preserve"> </v>
      </c>
      <c r="U206" s="100"/>
      <c r="V206" s="100" t="str">
        <f t="shared" si="22"/>
        <v xml:space="preserve"> </v>
      </c>
      <c r="W206" s="101">
        <f t="shared" si="24"/>
        <v>24</v>
      </c>
      <c r="X206" s="102">
        <f t="shared" si="25"/>
        <v>0</v>
      </c>
      <c r="Y206" s="100" t="str">
        <f t="shared" si="26"/>
        <v xml:space="preserve"> </v>
      </c>
      <c r="Z206" s="100" t="str">
        <f t="shared" si="27"/>
        <v xml:space="preserve"> </v>
      </c>
    </row>
    <row r="207" spans="1:26">
      <c r="A207" s="100"/>
      <c r="B207" s="100" t="str">
        <f>IFERROR(VLOOKUP(Tablo520[[#This Row],[ÜRÜN KODU]],YMKODLARI!$A$1:$K$373,2,0)," ")</f>
        <v xml:space="preserve"> </v>
      </c>
      <c r="C207" s="99"/>
      <c r="D207" s="100"/>
      <c r="E207" s="101"/>
      <c r="F207" s="101"/>
      <c r="G207" s="100" t="str">
        <f>IFERROR(VLOOKUP(Tablo520[[#This Row],[ÜRÜN KODU]],YMKODLARI!$A$1:$K$373,3,0)," ")</f>
        <v xml:space="preserve"> </v>
      </c>
      <c r="H207" s="100" t="str">
        <f>IFERROR(VLOOKUP(Tablo520[[#This Row],[ÜRÜN KODU]],YMKODLARI!$A$1:$K$373,4,0)," ")</f>
        <v xml:space="preserve"> </v>
      </c>
      <c r="I207" s="100"/>
      <c r="J207" s="100" t="str">
        <f>IFERROR(VLOOKUP(Tablo520[[#This Row],[ÜRÜN KODU]],YMKODLARI!$A$1:$K$373,9,0)," ")</f>
        <v xml:space="preserve"> </v>
      </c>
      <c r="K207" s="100" t="str">
        <f>IFERROR(VLOOKUP(Tablo520[[#This Row],[BOYA KODU]],Tablo14[#All],4,0)," ")</f>
        <v xml:space="preserve"> </v>
      </c>
      <c r="L207" s="100" t="str">
        <f>IFERROR(VLOOKUP(Tablo520[[#This Row],[BOYA KODU]],Tablo14[#All],6,0)," ")</f>
        <v xml:space="preserve"> </v>
      </c>
      <c r="M207" s="100" t="str">
        <f t="shared" si="21"/>
        <v xml:space="preserve"> </v>
      </c>
      <c r="N207" s="100" t="str">
        <f>IFERROR(VLOOKUP(Tablo520[[#This Row],[ÜRÜN KODU]],YMKODLARI!$A$1:$K$373,8,0)," ")</f>
        <v xml:space="preserve"> </v>
      </c>
      <c r="O207" s="100" t="str">
        <f>IFERROR(VLOOKUP(Tablo520[[#This Row],[HAMMADDE KODU]],Tablo1[#All],3,0)," ")</f>
        <v xml:space="preserve"> </v>
      </c>
      <c r="P207" s="100" t="str">
        <f>IFERROR(VLOOKUP(Tablo520[[#This Row],[HAMMADDE KODU]],Tablo1[#All],4,0)," ")</f>
        <v xml:space="preserve"> </v>
      </c>
      <c r="Q207" s="100" t="str">
        <f>IFERROR(VLOOKUP(Tablo520[[#This Row],[ÜRÜN KODU]],YMKODLARI!$A$1:$K$373,5,0)," ")</f>
        <v xml:space="preserve"> </v>
      </c>
      <c r="R207" s="100" t="str">
        <f>IFERROR(VLOOKUP(Tablo520[[#This Row],[ÜRÜN KODU]],YMKODLARI!$A$1:$K$373,6,0)," ")</f>
        <v xml:space="preserve"> </v>
      </c>
      <c r="S207" s="100" t="str">
        <f>IFERROR(Tablo520[[#This Row],[YOLLUK HARİÇ BASKI GRAMI]]/Tablo520[[#This Row],[KALIP GÖZ ADEDİ]]," ")</f>
        <v xml:space="preserve"> </v>
      </c>
      <c r="T207" s="100" t="str">
        <f t="shared" si="23"/>
        <v xml:space="preserve"> </v>
      </c>
      <c r="U207" s="100"/>
      <c r="V207" s="100" t="str">
        <f t="shared" si="22"/>
        <v xml:space="preserve"> </v>
      </c>
      <c r="W207" s="101">
        <f t="shared" si="24"/>
        <v>24</v>
      </c>
      <c r="X207" s="102">
        <f t="shared" si="25"/>
        <v>0</v>
      </c>
      <c r="Y207" s="100" t="str">
        <f t="shared" si="26"/>
        <v xml:space="preserve"> </v>
      </c>
      <c r="Z207" s="100" t="str">
        <f t="shared" si="27"/>
        <v xml:space="preserve"> </v>
      </c>
    </row>
    <row r="208" spans="1:26">
      <c r="A208" s="100"/>
      <c r="B208" s="100" t="str">
        <f>IFERROR(VLOOKUP(Tablo520[[#This Row],[ÜRÜN KODU]],YMKODLARI!$A$1:$K$373,2,0)," ")</f>
        <v xml:space="preserve"> </v>
      </c>
      <c r="C208" s="99"/>
      <c r="D208" s="100"/>
      <c r="E208" s="101"/>
      <c r="F208" s="101"/>
      <c r="G208" s="100" t="str">
        <f>IFERROR(VLOOKUP(Tablo520[[#This Row],[ÜRÜN KODU]],YMKODLARI!$A$1:$K$373,3,0)," ")</f>
        <v xml:space="preserve"> </v>
      </c>
      <c r="H208" s="100" t="str">
        <f>IFERROR(VLOOKUP(Tablo520[[#This Row],[ÜRÜN KODU]],YMKODLARI!$A$1:$K$373,4,0)," ")</f>
        <v xml:space="preserve"> </v>
      </c>
      <c r="I208" s="100"/>
      <c r="J208" s="100" t="str">
        <f>IFERROR(VLOOKUP(Tablo520[[#This Row],[ÜRÜN KODU]],YMKODLARI!$A$1:$K$373,9,0)," ")</f>
        <v xml:space="preserve"> </v>
      </c>
      <c r="K208" s="100" t="str">
        <f>IFERROR(VLOOKUP(Tablo520[[#This Row],[BOYA KODU]],Tablo14[#All],4,0)," ")</f>
        <v xml:space="preserve"> </v>
      </c>
      <c r="L208" s="100" t="str">
        <f>IFERROR(VLOOKUP(Tablo520[[#This Row],[BOYA KODU]],Tablo14[#All],6,0)," ")</f>
        <v xml:space="preserve"> </v>
      </c>
      <c r="M208" s="100" t="str">
        <f t="shared" si="21"/>
        <v xml:space="preserve"> </v>
      </c>
      <c r="N208" s="100" t="str">
        <f>IFERROR(VLOOKUP(Tablo520[[#This Row],[ÜRÜN KODU]],YMKODLARI!$A$1:$K$373,8,0)," ")</f>
        <v xml:space="preserve"> </v>
      </c>
      <c r="O208" s="100" t="str">
        <f>IFERROR(VLOOKUP(Tablo520[[#This Row],[HAMMADDE KODU]],Tablo1[#All],3,0)," ")</f>
        <v xml:space="preserve"> </v>
      </c>
      <c r="P208" s="100" t="str">
        <f>IFERROR(VLOOKUP(Tablo520[[#This Row],[HAMMADDE KODU]],Tablo1[#All],4,0)," ")</f>
        <v xml:space="preserve"> </v>
      </c>
      <c r="Q208" s="100" t="str">
        <f>IFERROR(VLOOKUP(Tablo520[[#This Row],[ÜRÜN KODU]],YMKODLARI!$A$1:$K$373,5,0)," ")</f>
        <v xml:space="preserve"> </v>
      </c>
      <c r="R208" s="100" t="str">
        <f>IFERROR(VLOOKUP(Tablo520[[#This Row],[ÜRÜN KODU]],YMKODLARI!$A$1:$K$373,6,0)," ")</f>
        <v xml:space="preserve"> </v>
      </c>
      <c r="S208" s="100" t="str">
        <f>IFERROR(Tablo520[[#This Row],[YOLLUK HARİÇ BASKI GRAMI]]/Tablo520[[#This Row],[KALIP GÖZ ADEDİ]]," ")</f>
        <v xml:space="preserve"> </v>
      </c>
      <c r="T208" s="100" t="str">
        <f t="shared" si="23"/>
        <v xml:space="preserve"> </v>
      </c>
      <c r="U208" s="100"/>
      <c r="V208" s="100" t="str">
        <f t="shared" si="22"/>
        <v xml:space="preserve"> </v>
      </c>
      <c r="W208" s="101">
        <f t="shared" si="24"/>
        <v>24</v>
      </c>
      <c r="X208" s="102">
        <f t="shared" si="25"/>
        <v>0</v>
      </c>
      <c r="Y208" s="100" t="str">
        <f t="shared" si="26"/>
        <v xml:space="preserve"> </v>
      </c>
      <c r="Z208" s="100" t="str">
        <f t="shared" si="27"/>
        <v xml:space="preserve"> </v>
      </c>
    </row>
    <row r="209" spans="1:26">
      <c r="A209" s="100"/>
      <c r="B209" s="100" t="str">
        <f>IFERROR(VLOOKUP(Tablo520[[#This Row],[ÜRÜN KODU]],YMKODLARI!$A$1:$K$373,2,0)," ")</f>
        <v xml:space="preserve"> </v>
      </c>
      <c r="C209" s="99"/>
      <c r="D209" s="100"/>
      <c r="E209" s="101"/>
      <c r="F209" s="101"/>
      <c r="G209" s="100" t="str">
        <f>IFERROR(VLOOKUP(Tablo520[[#This Row],[ÜRÜN KODU]],YMKODLARI!$A$1:$K$373,3,0)," ")</f>
        <v xml:space="preserve"> </v>
      </c>
      <c r="H209" s="100" t="str">
        <f>IFERROR(VLOOKUP(Tablo520[[#This Row],[ÜRÜN KODU]],YMKODLARI!$A$1:$K$373,4,0)," ")</f>
        <v xml:space="preserve"> </v>
      </c>
      <c r="I209" s="100"/>
      <c r="J209" s="100" t="str">
        <f>IFERROR(VLOOKUP(Tablo520[[#This Row],[ÜRÜN KODU]],YMKODLARI!$A$1:$K$373,9,0)," ")</f>
        <v xml:space="preserve"> </v>
      </c>
      <c r="K209" s="100" t="str">
        <f>IFERROR(VLOOKUP(Tablo520[[#This Row],[BOYA KODU]],Tablo14[#All],4,0)," ")</f>
        <v xml:space="preserve"> </v>
      </c>
      <c r="L209" s="100" t="str">
        <f>IFERROR(VLOOKUP(Tablo520[[#This Row],[BOYA KODU]],Tablo14[#All],6,0)," ")</f>
        <v xml:space="preserve"> </v>
      </c>
      <c r="M209" s="100" t="str">
        <f t="shared" si="21"/>
        <v xml:space="preserve"> </v>
      </c>
      <c r="N209" s="100" t="str">
        <f>IFERROR(VLOOKUP(Tablo520[[#This Row],[ÜRÜN KODU]],YMKODLARI!$A$1:$K$373,8,0)," ")</f>
        <v xml:space="preserve"> </v>
      </c>
      <c r="O209" s="100" t="str">
        <f>IFERROR(VLOOKUP(Tablo520[[#This Row],[HAMMADDE KODU]],Tablo1[#All],3,0)," ")</f>
        <v xml:space="preserve"> </v>
      </c>
      <c r="P209" s="100" t="str">
        <f>IFERROR(VLOOKUP(Tablo520[[#This Row],[HAMMADDE KODU]],Tablo1[#All],4,0)," ")</f>
        <v xml:space="preserve"> </v>
      </c>
      <c r="Q209" s="100" t="str">
        <f>IFERROR(VLOOKUP(Tablo520[[#This Row],[ÜRÜN KODU]],YMKODLARI!$A$1:$K$373,5,0)," ")</f>
        <v xml:space="preserve"> </v>
      </c>
      <c r="R209" s="100" t="str">
        <f>IFERROR(VLOOKUP(Tablo520[[#This Row],[ÜRÜN KODU]],YMKODLARI!$A$1:$K$373,6,0)," ")</f>
        <v xml:space="preserve"> </v>
      </c>
      <c r="S209" s="100" t="str">
        <f>IFERROR(Tablo520[[#This Row],[YOLLUK HARİÇ BASKI GRAMI]]/Tablo520[[#This Row],[KALIP GÖZ ADEDİ]]," ")</f>
        <v xml:space="preserve"> </v>
      </c>
      <c r="T209" s="100" t="str">
        <f t="shared" si="23"/>
        <v xml:space="preserve"> </v>
      </c>
      <c r="U209" s="100"/>
      <c r="V209" s="100" t="str">
        <f t="shared" si="22"/>
        <v xml:space="preserve"> </v>
      </c>
      <c r="W209" s="101">
        <f t="shared" si="24"/>
        <v>24</v>
      </c>
      <c r="X209" s="102">
        <f t="shared" si="25"/>
        <v>0</v>
      </c>
      <c r="Y209" s="100" t="str">
        <f t="shared" si="26"/>
        <v xml:space="preserve"> </v>
      </c>
      <c r="Z209" s="100" t="str">
        <f t="shared" si="27"/>
        <v xml:space="preserve"> </v>
      </c>
    </row>
    <row r="210" spans="1:26">
      <c r="A210" s="100"/>
      <c r="B210" s="100" t="str">
        <f>IFERROR(VLOOKUP(Tablo520[[#This Row],[ÜRÜN KODU]],YMKODLARI!$A$1:$K$373,2,0)," ")</f>
        <v xml:space="preserve"> </v>
      </c>
      <c r="C210" s="99"/>
      <c r="D210" s="100"/>
      <c r="E210" s="101"/>
      <c r="F210" s="101"/>
      <c r="G210" s="100" t="str">
        <f>IFERROR(VLOOKUP(Tablo520[[#This Row],[ÜRÜN KODU]],YMKODLARI!$A$1:$K$373,3,0)," ")</f>
        <v xml:space="preserve"> </v>
      </c>
      <c r="H210" s="100" t="str">
        <f>IFERROR(VLOOKUP(Tablo520[[#This Row],[ÜRÜN KODU]],YMKODLARI!$A$1:$K$373,4,0)," ")</f>
        <v xml:space="preserve"> </v>
      </c>
      <c r="I210" s="100"/>
      <c r="J210" s="100" t="str">
        <f>IFERROR(VLOOKUP(Tablo520[[#This Row],[ÜRÜN KODU]],YMKODLARI!$A$1:$K$373,9,0)," ")</f>
        <v xml:space="preserve"> </v>
      </c>
      <c r="K210" s="100" t="str">
        <f>IFERROR(VLOOKUP(Tablo520[[#This Row],[BOYA KODU]],Tablo14[#All],4,0)," ")</f>
        <v xml:space="preserve"> </v>
      </c>
      <c r="L210" s="100" t="str">
        <f>IFERROR(VLOOKUP(Tablo520[[#This Row],[BOYA KODU]],Tablo14[#All],6,0)," ")</f>
        <v xml:space="preserve"> </v>
      </c>
      <c r="M210" s="100" t="str">
        <f t="shared" si="21"/>
        <v xml:space="preserve"> </v>
      </c>
      <c r="N210" s="100" t="str">
        <f>IFERROR(VLOOKUP(Tablo520[[#This Row],[ÜRÜN KODU]],YMKODLARI!$A$1:$K$373,8,0)," ")</f>
        <v xml:space="preserve"> </v>
      </c>
      <c r="O210" s="100" t="str">
        <f>IFERROR(VLOOKUP(Tablo520[[#This Row],[HAMMADDE KODU]],Tablo1[#All],3,0)," ")</f>
        <v xml:space="preserve"> </v>
      </c>
      <c r="P210" s="100" t="str">
        <f>IFERROR(VLOOKUP(Tablo520[[#This Row],[HAMMADDE KODU]],Tablo1[#All],4,0)," ")</f>
        <v xml:space="preserve"> </v>
      </c>
      <c r="Q210" s="100" t="str">
        <f>IFERROR(VLOOKUP(Tablo520[[#This Row],[ÜRÜN KODU]],YMKODLARI!$A$1:$K$373,5,0)," ")</f>
        <v xml:space="preserve"> </v>
      </c>
      <c r="R210" s="100" t="str">
        <f>IFERROR(VLOOKUP(Tablo520[[#This Row],[ÜRÜN KODU]],YMKODLARI!$A$1:$K$373,6,0)," ")</f>
        <v xml:space="preserve"> </v>
      </c>
      <c r="S210" s="100" t="str">
        <f>IFERROR(Tablo520[[#This Row],[YOLLUK HARİÇ BASKI GRAMI]]/Tablo520[[#This Row],[KALIP GÖZ ADEDİ]]," ")</f>
        <v xml:space="preserve"> </v>
      </c>
      <c r="T210" s="100" t="str">
        <f t="shared" si="23"/>
        <v xml:space="preserve"> </v>
      </c>
      <c r="U210" s="100"/>
      <c r="V210" s="100" t="str">
        <f t="shared" si="22"/>
        <v xml:space="preserve"> </v>
      </c>
      <c r="W210" s="101">
        <f t="shared" si="24"/>
        <v>24</v>
      </c>
      <c r="X210" s="102">
        <f t="shared" si="25"/>
        <v>0</v>
      </c>
      <c r="Y210" s="100" t="str">
        <f t="shared" si="26"/>
        <v xml:space="preserve"> </v>
      </c>
      <c r="Z210" s="100" t="str">
        <f t="shared" si="27"/>
        <v xml:space="preserve"> </v>
      </c>
    </row>
    <row r="211" spans="1:26">
      <c r="A211" s="100"/>
      <c r="B211" s="100" t="str">
        <f>IFERROR(VLOOKUP(Tablo520[[#This Row],[ÜRÜN KODU]],YMKODLARI!$A$1:$K$373,2,0)," ")</f>
        <v xml:space="preserve"> </v>
      </c>
      <c r="C211" s="99"/>
      <c r="D211" s="100"/>
      <c r="E211" s="101"/>
      <c r="F211" s="101"/>
      <c r="G211" s="100" t="str">
        <f>IFERROR(VLOOKUP(Tablo520[[#This Row],[ÜRÜN KODU]],YMKODLARI!$A$1:$K$373,3,0)," ")</f>
        <v xml:space="preserve"> </v>
      </c>
      <c r="H211" s="100" t="str">
        <f>IFERROR(VLOOKUP(Tablo520[[#This Row],[ÜRÜN KODU]],YMKODLARI!$A$1:$K$373,4,0)," ")</f>
        <v xml:space="preserve"> </v>
      </c>
      <c r="I211" s="100"/>
      <c r="J211" s="100" t="str">
        <f>IFERROR(VLOOKUP(Tablo520[[#This Row],[ÜRÜN KODU]],YMKODLARI!$A$1:$K$373,9,0)," ")</f>
        <v xml:space="preserve"> </v>
      </c>
      <c r="K211" s="100" t="str">
        <f>IFERROR(VLOOKUP(Tablo520[[#This Row],[BOYA KODU]],Tablo14[#All],4,0)," ")</f>
        <v xml:space="preserve"> </v>
      </c>
      <c r="L211" s="100" t="str">
        <f>IFERROR(VLOOKUP(Tablo520[[#This Row],[BOYA KODU]],Tablo14[#All],6,0)," ")</f>
        <v xml:space="preserve"> </v>
      </c>
      <c r="M211" s="100" t="str">
        <f t="shared" si="21"/>
        <v xml:space="preserve"> </v>
      </c>
      <c r="N211" s="100" t="str">
        <f>IFERROR(VLOOKUP(Tablo520[[#This Row],[ÜRÜN KODU]],YMKODLARI!$A$1:$K$373,8,0)," ")</f>
        <v xml:space="preserve"> </v>
      </c>
      <c r="O211" s="100" t="str">
        <f>IFERROR(VLOOKUP(Tablo520[[#This Row],[HAMMADDE KODU]],Tablo1[#All],3,0)," ")</f>
        <v xml:space="preserve"> </v>
      </c>
      <c r="P211" s="100" t="str">
        <f>IFERROR(VLOOKUP(Tablo520[[#This Row],[HAMMADDE KODU]],Tablo1[#All],4,0)," ")</f>
        <v xml:space="preserve"> </v>
      </c>
      <c r="Q211" s="100" t="str">
        <f>IFERROR(VLOOKUP(Tablo520[[#This Row],[ÜRÜN KODU]],YMKODLARI!$A$1:$K$373,5,0)," ")</f>
        <v xml:space="preserve"> </v>
      </c>
      <c r="R211" s="100" t="str">
        <f>IFERROR(VLOOKUP(Tablo520[[#This Row],[ÜRÜN KODU]],YMKODLARI!$A$1:$K$373,6,0)," ")</f>
        <v xml:space="preserve"> </v>
      </c>
      <c r="S211" s="100" t="str">
        <f>IFERROR(Tablo520[[#This Row],[YOLLUK HARİÇ BASKI GRAMI]]/Tablo520[[#This Row],[KALIP GÖZ ADEDİ]]," ")</f>
        <v xml:space="preserve"> </v>
      </c>
      <c r="T211" s="100" t="str">
        <f t="shared" si="23"/>
        <v xml:space="preserve"> </v>
      </c>
      <c r="U211" s="100"/>
      <c r="V211" s="100" t="str">
        <f t="shared" si="22"/>
        <v xml:space="preserve"> </v>
      </c>
      <c r="W211" s="101">
        <f t="shared" si="24"/>
        <v>24</v>
      </c>
      <c r="X211" s="102">
        <f t="shared" si="25"/>
        <v>0</v>
      </c>
      <c r="Y211" s="100" t="str">
        <f t="shared" si="26"/>
        <v xml:space="preserve"> </v>
      </c>
      <c r="Z211" s="100" t="str">
        <f t="shared" si="27"/>
        <v xml:space="preserve"> </v>
      </c>
    </row>
    <row r="212" spans="1:26">
      <c r="A212" s="100"/>
      <c r="B212" s="100" t="str">
        <f>IFERROR(VLOOKUP(Tablo520[[#This Row],[ÜRÜN KODU]],YMKODLARI!$A$1:$K$373,2,0)," ")</f>
        <v xml:space="preserve"> </v>
      </c>
      <c r="C212" s="99"/>
      <c r="D212" s="100"/>
      <c r="E212" s="101"/>
      <c r="F212" s="101"/>
      <c r="G212" s="100" t="str">
        <f>IFERROR(VLOOKUP(Tablo520[[#This Row],[ÜRÜN KODU]],YMKODLARI!$A$1:$K$373,3,0)," ")</f>
        <v xml:space="preserve"> </v>
      </c>
      <c r="H212" s="100" t="str">
        <f>IFERROR(VLOOKUP(Tablo520[[#This Row],[ÜRÜN KODU]],YMKODLARI!$A$1:$K$373,4,0)," ")</f>
        <v xml:space="preserve"> </v>
      </c>
      <c r="I212" s="100"/>
      <c r="J212" s="100" t="str">
        <f>IFERROR(VLOOKUP(Tablo520[[#This Row],[ÜRÜN KODU]],YMKODLARI!$A$1:$K$373,9,0)," ")</f>
        <v xml:space="preserve"> </v>
      </c>
      <c r="K212" s="100" t="str">
        <f>IFERROR(VLOOKUP(Tablo520[[#This Row],[BOYA KODU]],Tablo14[#All],4,0)," ")</f>
        <v xml:space="preserve"> </v>
      </c>
      <c r="L212" s="100" t="str">
        <f>IFERROR(VLOOKUP(Tablo520[[#This Row],[BOYA KODU]],Tablo14[#All],6,0)," ")</f>
        <v xml:space="preserve"> </v>
      </c>
      <c r="M212" s="100" t="str">
        <f t="shared" si="21"/>
        <v xml:space="preserve"> </v>
      </c>
      <c r="N212" s="100" t="str">
        <f>IFERROR(VLOOKUP(Tablo520[[#This Row],[ÜRÜN KODU]],YMKODLARI!$A$1:$K$373,8,0)," ")</f>
        <v xml:space="preserve"> </v>
      </c>
      <c r="O212" s="100" t="str">
        <f>IFERROR(VLOOKUP(Tablo520[[#This Row],[HAMMADDE KODU]],Tablo1[#All],3,0)," ")</f>
        <v xml:space="preserve"> </v>
      </c>
      <c r="P212" s="100" t="str">
        <f>IFERROR(VLOOKUP(Tablo520[[#This Row],[HAMMADDE KODU]],Tablo1[#All],4,0)," ")</f>
        <v xml:space="preserve"> </v>
      </c>
      <c r="Q212" s="100" t="str">
        <f>IFERROR(VLOOKUP(Tablo520[[#This Row],[ÜRÜN KODU]],YMKODLARI!$A$1:$K$373,5,0)," ")</f>
        <v xml:space="preserve"> </v>
      </c>
      <c r="R212" s="100" t="str">
        <f>IFERROR(VLOOKUP(Tablo520[[#This Row],[ÜRÜN KODU]],YMKODLARI!$A$1:$K$373,6,0)," ")</f>
        <v xml:space="preserve"> </v>
      </c>
      <c r="S212" s="100" t="str">
        <f>IFERROR(Tablo520[[#This Row],[YOLLUK HARİÇ BASKI GRAMI]]/Tablo520[[#This Row],[KALIP GÖZ ADEDİ]]," ")</f>
        <v xml:space="preserve"> </v>
      </c>
      <c r="T212" s="100" t="str">
        <f t="shared" si="23"/>
        <v xml:space="preserve"> </v>
      </c>
      <c r="U212" s="100"/>
      <c r="V212" s="100" t="str">
        <f t="shared" si="22"/>
        <v xml:space="preserve"> </v>
      </c>
      <c r="W212" s="101">
        <f t="shared" si="24"/>
        <v>24</v>
      </c>
      <c r="X212" s="102">
        <f t="shared" si="25"/>
        <v>0</v>
      </c>
      <c r="Y212" s="100" t="str">
        <f t="shared" si="26"/>
        <v xml:space="preserve"> </v>
      </c>
      <c r="Z212" s="100" t="str">
        <f t="shared" si="27"/>
        <v xml:space="preserve"> </v>
      </c>
    </row>
    <row r="213" spans="1:26">
      <c r="A213" s="100"/>
      <c r="B213" s="100" t="str">
        <f>IFERROR(VLOOKUP(Tablo520[[#This Row],[ÜRÜN KODU]],YMKODLARI!$A$1:$K$373,2,0)," ")</f>
        <v xml:space="preserve"> </v>
      </c>
      <c r="C213" s="99"/>
      <c r="D213" s="100"/>
      <c r="E213" s="101"/>
      <c r="F213" s="101"/>
      <c r="G213" s="100" t="str">
        <f>IFERROR(VLOOKUP(Tablo520[[#This Row],[ÜRÜN KODU]],YMKODLARI!$A$1:$K$373,3,0)," ")</f>
        <v xml:space="preserve"> </v>
      </c>
      <c r="H213" s="100" t="str">
        <f>IFERROR(VLOOKUP(Tablo520[[#This Row],[ÜRÜN KODU]],YMKODLARI!$A$1:$K$373,4,0)," ")</f>
        <v xml:space="preserve"> </v>
      </c>
      <c r="I213" s="100"/>
      <c r="J213" s="100" t="str">
        <f>IFERROR(VLOOKUP(Tablo520[[#This Row],[ÜRÜN KODU]],YMKODLARI!$A$1:$K$373,9,0)," ")</f>
        <v xml:space="preserve"> </v>
      </c>
      <c r="K213" s="100" t="str">
        <f>IFERROR(VLOOKUP(Tablo520[[#This Row],[BOYA KODU]],Tablo14[#All],4,0)," ")</f>
        <v xml:space="preserve"> </v>
      </c>
      <c r="L213" s="100" t="str">
        <f>IFERROR(VLOOKUP(Tablo520[[#This Row],[BOYA KODU]],Tablo14[#All],6,0)," ")</f>
        <v xml:space="preserve"> </v>
      </c>
      <c r="M213" s="100" t="str">
        <f t="shared" si="21"/>
        <v xml:space="preserve"> </v>
      </c>
      <c r="N213" s="100" t="str">
        <f>IFERROR(VLOOKUP(Tablo520[[#This Row],[ÜRÜN KODU]],YMKODLARI!$A$1:$K$373,8,0)," ")</f>
        <v xml:space="preserve"> </v>
      </c>
      <c r="O213" s="100" t="str">
        <f>IFERROR(VLOOKUP(Tablo520[[#This Row],[HAMMADDE KODU]],Tablo1[#All],3,0)," ")</f>
        <v xml:space="preserve"> </v>
      </c>
      <c r="P213" s="100" t="str">
        <f>IFERROR(VLOOKUP(Tablo520[[#This Row],[HAMMADDE KODU]],Tablo1[#All],4,0)," ")</f>
        <v xml:space="preserve"> </v>
      </c>
      <c r="Q213" s="100" t="str">
        <f>IFERROR(VLOOKUP(Tablo520[[#This Row],[ÜRÜN KODU]],YMKODLARI!$A$1:$K$373,5,0)," ")</f>
        <v xml:space="preserve"> </v>
      </c>
      <c r="R213" s="100" t="str">
        <f>IFERROR(VLOOKUP(Tablo520[[#This Row],[ÜRÜN KODU]],YMKODLARI!$A$1:$K$373,6,0)," ")</f>
        <v xml:space="preserve"> </v>
      </c>
      <c r="S213" s="100" t="str">
        <f>IFERROR(Tablo520[[#This Row],[YOLLUK HARİÇ BASKI GRAMI]]/Tablo520[[#This Row],[KALIP GÖZ ADEDİ]]," ")</f>
        <v xml:space="preserve"> </v>
      </c>
      <c r="T213" s="100" t="str">
        <f t="shared" si="23"/>
        <v xml:space="preserve"> </v>
      </c>
      <c r="U213" s="100"/>
      <c r="V213" s="100" t="str">
        <f t="shared" si="22"/>
        <v xml:space="preserve"> </v>
      </c>
      <c r="W213" s="101">
        <f t="shared" si="24"/>
        <v>24</v>
      </c>
      <c r="X213" s="102">
        <f t="shared" si="25"/>
        <v>0</v>
      </c>
      <c r="Y213" s="100" t="str">
        <f t="shared" si="26"/>
        <v xml:space="preserve"> </v>
      </c>
      <c r="Z213" s="100" t="str">
        <f t="shared" si="27"/>
        <v xml:space="preserve"> </v>
      </c>
    </row>
    <row r="214" spans="1:26">
      <c r="A214" s="100"/>
      <c r="B214" s="100" t="str">
        <f>IFERROR(VLOOKUP(Tablo520[[#This Row],[ÜRÜN KODU]],YMKODLARI!$A$1:$K$373,2,0)," ")</f>
        <v xml:space="preserve"> </v>
      </c>
      <c r="C214" s="99"/>
      <c r="D214" s="100"/>
      <c r="E214" s="101"/>
      <c r="F214" s="101"/>
      <c r="G214" s="100" t="str">
        <f>IFERROR(VLOOKUP(Tablo520[[#This Row],[ÜRÜN KODU]],YMKODLARI!$A$1:$K$373,3,0)," ")</f>
        <v xml:space="preserve"> </v>
      </c>
      <c r="H214" s="100" t="str">
        <f>IFERROR(VLOOKUP(Tablo520[[#This Row],[ÜRÜN KODU]],YMKODLARI!$A$1:$K$373,4,0)," ")</f>
        <v xml:space="preserve"> </v>
      </c>
      <c r="I214" s="100"/>
      <c r="J214" s="100" t="str">
        <f>IFERROR(VLOOKUP(Tablo520[[#This Row],[ÜRÜN KODU]],YMKODLARI!$A$1:$K$373,9,0)," ")</f>
        <v xml:space="preserve"> </v>
      </c>
      <c r="K214" s="100" t="str">
        <f>IFERROR(VLOOKUP(Tablo520[[#This Row],[BOYA KODU]],Tablo14[#All],4,0)," ")</f>
        <v xml:space="preserve"> </v>
      </c>
      <c r="L214" s="100" t="str">
        <f>IFERROR(VLOOKUP(Tablo520[[#This Row],[BOYA KODU]],Tablo14[#All],6,0)," ")</f>
        <v xml:space="preserve"> </v>
      </c>
      <c r="M214" s="100" t="str">
        <f t="shared" si="21"/>
        <v xml:space="preserve"> </v>
      </c>
      <c r="N214" s="100" t="str">
        <f>IFERROR(VLOOKUP(Tablo520[[#This Row],[ÜRÜN KODU]],YMKODLARI!$A$1:$K$373,8,0)," ")</f>
        <v xml:space="preserve"> </v>
      </c>
      <c r="O214" s="100" t="str">
        <f>IFERROR(VLOOKUP(Tablo520[[#This Row],[HAMMADDE KODU]],Tablo1[#All],3,0)," ")</f>
        <v xml:space="preserve"> </v>
      </c>
      <c r="P214" s="100" t="str">
        <f>IFERROR(VLOOKUP(Tablo520[[#This Row],[HAMMADDE KODU]],Tablo1[#All],4,0)," ")</f>
        <v xml:space="preserve"> </v>
      </c>
      <c r="Q214" s="100" t="str">
        <f>IFERROR(VLOOKUP(Tablo520[[#This Row],[ÜRÜN KODU]],YMKODLARI!$A$1:$K$373,5,0)," ")</f>
        <v xml:space="preserve"> </v>
      </c>
      <c r="R214" s="100" t="str">
        <f>IFERROR(VLOOKUP(Tablo520[[#This Row],[ÜRÜN KODU]],YMKODLARI!$A$1:$K$373,6,0)," ")</f>
        <v xml:space="preserve"> </v>
      </c>
      <c r="S214" s="100" t="str">
        <f>IFERROR(Tablo520[[#This Row],[YOLLUK HARİÇ BASKI GRAMI]]/Tablo520[[#This Row],[KALIP GÖZ ADEDİ]]," ")</f>
        <v xml:space="preserve"> </v>
      </c>
      <c r="T214" s="100" t="str">
        <f t="shared" si="23"/>
        <v xml:space="preserve"> </v>
      </c>
      <c r="U214" s="100"/>
      <c r="V214" s="100" t="str">
        <f t="shared" si="22"/>
        <v xml:space="preserve"> </v>
      </c>
      <c r="W214" s="101">
        <f t="shared" si="24"/>
        <v>24</v>
      </c>
      <c r="X214" s="102">
        <f t="shared" si="25"/>
        <v>0</v>
      </c>
      <c r="Y214" s="100" t="str">
        <f t="shared" si="26"/>
        <v xml:space="preserve"> </v>
      </c>
      <c r="Z214" s="100" t="str">
        <f t="shared" si="27"/>
        <v xml:space="preserve"> </v>
      </c>
    </row>
    <row r="215" spans="1:26">
      <c r="A215" s="100"/>
      <c r="B215" s="100" t="str">
        <f>IFERROR(VLOOKUP(Tablo520[[#This Row],[ÜRÜN KODU]],YMKODLARI!$A$1:$K$373,2,0)," ")</f>
        <v xml:space="preserve"> </v>
      </c>
      <c r="C215" s="99"/>
      <c r="D215" s="100"/>
      <c r="E215" s="101"/>
      <c r="F215" s="101"/>
      <c r="G215" s="100" t="str">
        <f>IFERROR(VLOOKUP(Tablo520[[#This Row],[ÜRÜN KODU]],YMKODLARI!$A$1:$K$373,3,0)," ")</f>
        <v xml:space="preserve"> </v>
      </c>
      <c r="H215" s="100" t="str">
        <f>IFERROR(VLOOKUP(Tablo520[[#This Row],[ÜRÜN KODU]],YMKODLARI!$A$1:$K$373,4,0)," ")</f>
        <v xml:space="preserve"> </v>
      </c>
      <c r="I215" s="100"/>
      <c r="J215" s="100" t="str">
        <f>IFERROR(VLOOKUP(Tablo520[[#This Row],[ÜRÜN KODU]],YMKODLARI!$A$1:$K$373,9,0)," ")</f>
        <v xml:space="preserve"> </v>
      </c>
      <c r="K215" s="100" t="str">
        <f>IFERROR(VLOOKUP(Tablo520[[#This Row],[BOYA KODU]],Tablo14[#All],4,0)," ")</f>
        <v xml:space="preserve"> </v>
      </c>
      <c r="L215" s="100" t="str">
        <f>IFERROR(VLOOKUP(Tablo520[[#This Row],[BOYA KODU]],Tablo14[#All],6,0)," ")</f>
        <v xml:space="preserve"> </v>
      </c>
      <c r="M215" s="100" t="str">
        <f t="shared" si="21"/>
        <v xml:space="preserve"> </v>
      </c>
      <c r="N215" s="100" t="str">
        <f>IFERROR(VLOOKUP(Tablo520[[#This Row],[ÜRÜN KODU]],YMKODLARI!$A$1:$K$373,8,0)," ")</f>
        <v xml:space="preserve"> </v>
      </c>
      <c r="O215" s="100" t="str">
        <f>IFERROR(VLOOKUP(Tablo520[[#This Row],[HAMMADDE KODU]],Tablo1[#All],3,0)," ")</f>
        <v xml:space="preserve"> </v>
      </c>
      <c r="P215" s="100" t="str">
        <f>IFERROR(VLOOKUP(Tablo520[[#This Row],[HAMMADDE KODU]],Tablo1[#All],4,0)," ")</f>
        <v xml:space="preserve"> </v>
      </c>
      <c r="Q215" s="100" t="str">
        <f>IFERROR(VLOOKUP(Tablo520[[#This Row],[ÜRÜN KODU]],YMKODLARI!$A$1:$K$373,5,0)," ")</f>
        <v xml:space="preserve"> </v>
      </c>
      <c r="R215" s="100" t="str">
        <f>IFERROR(VLOOKUP(Tablo520[[#This Row],[ÜRÜN KODU]],YMKODLARI!$A$1:$K$373,6,0)," ")</f>
        <v xml:space="preserve"> </v>
      </c>
      <c r="S215" s="100" t="str">
        <f>IFERROR(Tablo520[[#This Row],[YOLLUK HARİÇ BASKI GRAMI]]/Tablo520[[#This Row],[KALIP GÖZ ADEDİ]]," ")</f>
        <v xml:space="preserve"> </v>
      </c>
      <c r="T215" s="100" t="str">
        <f t="shared" si="23"/>
        <v xml:space="preserve"> </v>
      </c>
      <c r="U215" s="100"/>
      <c r="V215" s="100" t="str">
        <f t="shared" si="22"/>
        <v xml:space="preserve"> </v>
      </c>
      <c r="W215" s="101">
        <f t="shared" si="24"/>
        <v>24</v>
      </c>
      <c r="X215" s="102">
        <f t="shared" si="25"/>
        <v>0</v>
      </c>
      <c r="Y215" s="100" t="str">
        <f t="shared" si="26"/>
        <v xml:space="preserve"> </v>
      </c>
      <c r="Z215" s="100" t="str">
        <f t="shared" si="27"/>
        <v xml:space="preserve"> </v>
      </c>
    </row>
    <row r="216" spans="1:26">
      <c r="A216" s="100"/>
      <c r="B216" s="100" t="str">
        <f>IFERROR(VLOOKUP(Tablo520[[#This Row],[ÜRÜN KODU]],YMKODLARI!$A$1:$K$373,2,0)," ")</f>
        <v xml:space="preserve"> </v>
      </c>
      <c r="C216" s="99"/>
      <c r="D216" s="100"/>
      <c r="E216" s="101"/>
      <c r="F216" s="101"/>
      <c r="G216" s="100" t="str">
        <f>IFERROR(VLOOKUP(Tablo520[[#This Row],[ÜRÜN KODU]],YMKODLARI!$A$1:$K$373,3,0)," ")</f>
        <v xml:space="preserve"> </v>
      </c>
      <c r="H216" s="100" t="str">
        <f>IFERROR(VLOOKUP(Tablo520[[#This Row],[ÜRÜN KODU]],YMKODLARI!$A$1:$K$373,4,0)," ")</f>
        <v xml:space="preserve"> </v>
      </c>
      <c r="I216" s="100"/>
      <c r="J216" s="100" t="str">
        <f>IFERROR(VLOOKUP(Tablo520[[#This Row],[ÜRÜN KODU]],YMKODLARI!$A$1:$K$373,9,0)," ")</f>
        <v xml:space="preserve"> </v>
      </c>
      <c r="K216" s="100" t="str">
        <f>IFERROR(VLOOKUP(Tablo520[[#This Row],[BOYA KODU]],Tablo14[#All],4,0)," ")</f>
        <v xml:space="preserve"> </v>
      </c>
      <c r="L216" s="100" t="str">
        <f>IFERROR(VLOOKUP(Tablo520[[#This Row],[BOYA KODU]],Tablo14[#All],6,0)," ")</f>
        <v xml:space="preserve"> </v>
      </c>
      <c r="M216" s="100" t="str">
        <f t="shared" si="21"/>
        <v xml:space="preserve"> </v>
      </c>
      <c r="N216" s="100" t="str">
        <f>IFERROR(VLOOKUP(Tablo520[[#This Row],[ÜRÜN KODU]],YMKODLARI!$A$1:$K$373,8,0)," ")</f>
        <v xml:space="preserve"> </v>
      </c>
      <c r="O216" s="100" t="str">
        <f>IFERROR(VLOOKUP(Tablo520[[#This Row],[HAMMADDE KODU]],Tablo1[#All],3,0)," ")</f>
        <v xml:space="preserve"> </v>
      </c>
      <c r="P216" s="100" t="str">
        <f>IFERROR(VLOOKUP(Tablo520[[#This Row],[HAMMADDE KODU]],Tablo1[#All],4,0)," ")</f>
        <v xml:space="preserve"> </v>
      </c>
      <c r="Q216" s="100" t="str">
        <f>IFERROR(VLOOKUP(Tablo520[[#This Row],[ÜRÜN KODU]],YMKODLARI!$A$1:$K$373,5,0)," ")</f>
        <v xml:space="preserve"> </v>
      </c>
      <c r="R216" s="100" t="str">
        <f>IFERROR(VLOOKUP(Tablo520[[#This Row],[ÜRÜN KODU]],YMKODLARI!$A$1:$K$373,6,0)," ")</f>
        <v xml:space="preserve"> </v>
      </c>
      <c r="S216" s="100" t="str">
        <f>IFERROR(Tablo520[[#This Row],[YOLLUK HARİÇ BASKI GRAMI]]/Tablo520[[#This Row],[KALIP GÖZ ADEDİ]]," ")</f>
        <v xml:space="preserve"> </v>
      </c>
      <c r="T216" s="100" t="str">
        <f t="shared" si="23"/>
        <v xml:space="preserve"> </v>
      </c>
      <c r="U216" s="100"/>
      <c r="V216" s="100" t="str">
        <f t="shared" si="22"/>
        <v xml:space="preserve"> </v>
      </c>
      <c r="W216" s="101">
        <f t="shared" si="24"/>
        <v>24</v>
      </c>
      <c r="X216" s="102">
        <f t="shared" si="25"/>
        <v>0</v>
      </c>
      <c r="Y216" s="100" t="str">
        <f t="shared" si="26"/>
        <v xml:space="preserve"> </v>
      </c>
      <c r="Z216" s="100" t="str">
        <f t="shared" si="27"/>
        <v xml:space="preserve"> </v>
      </c>
    </row>
    <row r="217" spans="1:26">
      <c r="A217" s="100"/>
      <c r="B217" s="100" t="str">
        <f>IFERROR(VLOOKUP(Tablo520[[#This Row],[ÜRÜN KODU]],YMKODLARI!$A$1:$K$373,2,0)," ")</f>
        <v xml:space="preserve"> </v>
      </c>
      <c r="C217" s="99"/>
      <c r="D217" s="100"/>
      <c r="E217" s="101"/>
      <c r="F217" s="101"/>
      <c r="G217" s="100" t="str">
        <f>IFERROR(VLOOKUP(Tablo520[[#This Row],[ÜRÜN KODU]],YMKODLARI!$A$1:$K$373,3,0)," ")</f>
        <v xml:space="preserve"> </v>
      </c>
      <c r="H217" s="100" t="str">
        <f>IFERROR(VLOOKUP(Tablo520[[#This Row],[ÜRÜN KODU]],YMKODLARI!$A$1:$K$373,4,0)," ")</f>
        <v xml:space="preserve"> </v>
      </c>
      <c r="I217" s="100"/>
      <c r="J217" s="100" t="str">
        <f>IFERROR(VLOOKUP(Tablo520[[#This Row],[ÜRÜN KODU]],YMKODLARI!$A$1:$K$373,9,0)," ")</f>
        <v xml:space="preserve"> </v>
      </c>
      <c r="K217" s="100" t="str">
        <f>IFERROR(VLOOKUP(Tablo520[[#This Row],[BOYA KODU]],Tablo14[#All],4,0)," ")</f>
        <v xml:space="preserve"> </v>
      </c>
      <c r="L217" s="100" t="str">
        <f>IFERROR(VLOOKUP(Tablo520[[#This Row],[BOYA KODU]],Tablo14[#All],6,0)," ")</f>
        <v xml:space="preserve"> </v>
      </c>
      <c r="M217" s="100" t="str">
        <f t="shared" si="21"/>
        <v xml:space="preserve"> </v>
      </c>
      <c r="N217" s="100" t="str">
        <f>IFERROR(VLOOKUP(Tablo520[[#This Row],[ÜRÜN KODU]],YMKODLARI!$A$1:$K$373,8,0)," ")</f>
        <v xml:space="preserve"> </v>
      </c>
      <c r="O217" s="100" t="str">
        <f>IFERROR(VLOOKUP(Tablo520[[#This Row],[HAMMADDE KODU]],Tablo1[#All],3,0)," ")</f>
        <v xml:space="preserve"> </v>
      </c>
      <c r="P217" s="100" t="str">
        <f>IFERROR(VLOOKUP(Tablo520[[#This Row],[HAMMADDE KODU]],Tablo1[#All],4,0)," ")</f>
        <v xml:space="preserve"> </v>
      </c>
      <c r="Q217" s="100" t="str">
        <f>IFERROR(VLOOKUP(Tablo520[[#This Row],[ÜRÜN KODU]],YMKODLARI!$A$1:$K$373,5,0)," ")</f>
        <v xml:space="preserve"> </v>
      </c>
      <c r="R217" s="100" t="str">
        <f>IFERROR(VLOOKUP(Tablo520[[#This Row],[ÜRÜN KODU]],YMKODLARI!$A$1:$K$373,6,0)," ")</f>
        <v xml:space="preserve"> </v>
      </c>
      <c r="S217" s="100" t="str">
        <f>IFERROR(Tablo520[[#This Row],[YOLLUK HARİÇ BASKI GRAMI]]/Tablo520[[#This Row],[KALIP GÖZ ADEDİ]]," ")</f>
        <v xml:space="preserve"> </v>
      </c>
      <c r="T217" s="100" t="str">
        <f t="shared" si="23"/>
        <v xml:space="preserve"> </v>
      </c>
      <c r="U217" s="100"/>
      <c r="V217" s="100" t="str">
        <f t="shared" si="22"/>
        <v xml:space="preserve"> </v>
      </c>
      <c r="W217" s="101">
        <f t="shared" si="24"/>
        <v>24</v>
      </c>
      <c r="X217" s="102">
        <f t="shared" si="25"/>
        <v>0</v>
      </c>
      <c r="Y217" s="100" t="str">
        <f t="shared" si="26"/>
        <v xml:space="preserve"> </v>
      </c>
      <c r="Z217" s="100" t="str">
        <f t="shared" si="27"/>
        <v xml:space="preserve"> </v>
      </c>
    </row>
    <row r="218" spans="1:26">
      <c r="A218" s="100"/>
      <c r="B218" s="100" t="str">
        <f>IFERROR(VLOOKUP(Tablo520[[#This Row],[ÜRÜN KODU]],YMKODLARI!$A$1:$K$373,2,0)," ")</f>
        <v xml:space="preserve"> </v>
      </c>
      <c r="C218" s="99"/>
      <c r="D218" s="100"/>
      <c r="E218" s="101"/>
      <c r="F218" s="101"/>
      <c r="G218" s="100" t="str">
        <f>IFERROR(VLOOKUP(Tablo520[[#This Row],[ÜRÜN KODU]],YMKODLARI!$A$1:$K$373,3,0)," ")</f>
        <v xml:space="preserve"> </v>
      </c>
      <c r="H218" s="100" t="str">
        <f>IFERROR(VLOOKUP(Tablo520[[#This Row],[ÜRÜN KODU]],YMKODLARI!$A$1:$K$373,4,0)," ")</f>
        <v xml:space="preserve"> </v>
      </c>
      <c r="I218" s="100"/>
      <c r="J218" s="100" t="str">
        <f>IFERROR(VLOOKUP(Tablo520[[#This Row],[ÜRÜN KODU]],YMKODLARI!$A$1:$K$373,9,0)," ")</f>
        <v xml:space="preserve"> </v>
      </c>
      <c r="K218" s="100" t="str">
        <f>IFERROR(VLOOKUP(Tablo520[[#This Row],[BOYA KODU]],Tablo14[#All],4,0)," ")</f>
        <v xml:space="preserve"> </v>
      </c>
      <c r="L218" s="100" t="str">
        <f>IFERROR(VLOOKUP(Tablo520[[#This Row],[BOYA KODU]],Tablo14[#All],6,0)," ")</f>
        <v xml:space="preserve"> </v>
      </c>
      <c r="M218" s="100" t="str">
        <f t="shared" si="21"/>
        <v xml:space="preserve"> </v>
      </c>
      <c r="N218" s="100" t="str">
        <f>IFERROR(VLOOKUP(Tablo520[[#This Row],[ÜRÜN KODU]],YMKODLARI!$A$1:$K$373,8,0)," ")</f>
        <v xml:space="preserve"> </v>
      </c>
      <c r="O218" s="100" t="str">
        <f>IFERROR(VLOOKUP(Tablo520[[#This Row],[HAMMADDE KODU]],Tablo1[#All],3,0)," ")</f>
        <v xml:space="preserve"> </v>
      </c>
      <c r="P218" s="100" t="str">
        <f>IFERROR(VLOOKUP(Tablo520[[#This Row],[HAMMADDE KODU]],Tablo1[#All],4,0)," ")</f>
        <v xml:space="preserve"> </v>
      </c>
      <c r="Q218" s="100" t="str">
        <f>IFERROR(VLOOKUP(Tablo520[[#This Row],[ÜRÜN KODU]],YMKODLARI!$A$1:$K$373,5,0)," ")</f>
        <v xml:space="preserve"> </v>
      </c>
      <c r="R218" s="100" t="str">
        <f>IFERROR(VLOOKUP(Tablo520[[#This Row],[ÜRÜN KODU]],YMKODLARI!$A$1:$K$373,6,0)," ")</f>
        <v xml:space="preserve"> </v>
      </c>
      <c r="S218" s="100" t="str">
        <f>IFERROR(Tablo520[[#This Row],[YOLLUK HARİÇ BASKI GRAMI]]/Tablo520[[#This Row],[KALIP GÖZ ADEDİ]]," ")</f>
        <v xml:space="preserve"> </v>
      </c>
      <c r="T218" s="100" t="str">
        <f t="shared" si="23"/>
        <v xml:space="preserve"> </v>
      </c>
      <c r="U218" s="100"/>
      <c r="V218" s="100" t="str">
        <f t="shared" si="22"/>
        <v xml:space="preserve"> </v>
      </c>
      <c r="W218" s="101">
        <f t="shared" si="24"/>
        <v>24</v>
      </c>
      <c r="X218" s="102">
        <f t="shared" si="25"/>
        <v>0</v>
      </c>
      <c r="Y218" s="100" t="str">
        <f t="shared" si="26"/>
        <v xml:space="preserve"> </v>
      </c>
      <c r="Z218" s="100" t="str">
        <f t="shared" si="27"/>
        <v xml:space="preserve"> </v>
      </c>
    </row>
    <row r="219" spans="1:26">
      <c r="A219" s="100"/>
      <c r="B219" s="100" t="str">
        <f>IFERROR(VLOOKUP(Tablo520[[#This Row],[ÜRÜN KODU]],YMKODLARI!$A$1:$K$373,2,0)," ")</f>
        <v xml:space="preserve"> </v>
      </c>
      <c r="C219" s="99"/>
      <c r="D219" s="100"/>
      <c r="E219" s="101"/>
      <c r="F219" s="101"/>
      <c r="G219" s="100" t="str">
        <f>IFERROR(VLOOKUP(Tablo520[[#This Row],[ÜRÜN KODU]],YMKODLARI!$A$1:$K$373,3,0)," ")</f>
        <v xml:space="preserve"> </v>
      </c>
      <c r="H219" s="100" t="str">
        <f>IFERROR(VLOOKUP(Tablo520[[#This Row],[ÜRÜN KODU]],YMKODLARI!$A$1:$K$373,4,0)," ")</f>
        <v xml:space="preserve"> </v>
      </c>
      <c r="I219" s="100"/>
      <c r="J219" s="100" t="str">
        <f>IFERROR(VLOOKUP(Tablo520[[#This Row],[ÜRÜN KODU]],YMKODLARI!$A$1:$K$373,9,0)," ")</f>
        <v xml:space="preserve"> </v>
      </c>
      <c r="K219" s="100" t="str">
        <f>IFERROR(VLOOKUP(Tablo520[[#This Row],[BOYA KODU]],Tablo14[#All],4,0)," ")</f>
        <v xml:space="preserve"> </v>
      </c>
      <c r="L219" s="100" t="str">
        <f>IFERROR(VLOOKUP(Tablo520[[#This Row],[BOYA KODU]],Tablo14[#All],6,0)," ")</f>
        <v xml:space="preserve"> </v>
      </c>
      <c r="M219" s="100" t="str">
        <f t="shared" si="21"/>
        <v xml:space="preserve"> </v>
      </c>
      <c r="N219" s="100" t="str">
        <f>IFERROR(VLOOKUP(Tablo520[[#This Row],[ÜRÜN KODU]],YMKODLARI!$A$1:$K$373,8,0)," ")</f>
        <v xml:space="preserve"> </v>
      </c>
      <c r="O219" s="100" t="str">
        <f>IFERROR(VLOOKUP(Tablo520[[#This Row],[HAMMADDE KODU]],Tablo1[#All],3,0)," ")</f>
        <v xml:space="preserve"> </v>
      </c>
      <c r="P219" s="100" t="str">
        <f>IFERROR(VLOOKUP(Tablo520[[#This Row],[HAMMADDE KODU]],Tablo1[#All],4,0)," ")</f>
        <v xml:space="preserve"> </v>
      </c>
      <c r="Q219" s="100" t="str">
        <f>IFERROR(VLOOKUP(Tablo520[[#This Row],[ÜRÜN KODU]],YMKODLARI!$A$1:$K$373,5,0)," ")</f>
        <v xml:space="preserve"> </v>
      </c>
      <c r="R219" s="100" t="str">
        <f>IFERROR(VLOOKUP(Tablo520[[#This Row],[ÜRÜN KODU]],YMKODLARI!$A$1:$K$373,6,0)," ")</f>
        <v xml:space="preserve"> </v>
      </c>
      <c r="S219" s="100" t="str">
        <f>IFERROR(Tablo520[[#This Row],[YOLLUK HARİÇ BASKI GRAMI]]/Tablo520[[#This Row],[KALIP GÖZ ADEDİ]]," ")</f>
        <v xml:space="preserve"> </v>
      </c>
      <c r="T219" s="100" t="str">
        <f t="shared" si="23"/>
        <v xml:space="preserve"> </v>
      </c>
      <c r="U219" s="100"/>
      <c r="V219" s="100" t="str">
        <f t="shared" si="22"/>
        <v xml:space="preserve"> </v>
      </c>
      <c r="W219" s="101">
        <f t="shared" si="24"/>
        <v>24</v>
      </c>
      <c r="X219" s="102">
        <f t="shared" si="25"/>
        <v>0</v>
      </c>
      <c r="Y219" s="100" t="str">
        <f t="shared" si="26"/>
        <v xml:space="preserve"> </v>
      </c>
      <c r="Z219" s="100" t="str">
        <f t="shared" si="27"/>
        <v xml:space="preserve"> </v>
      </c>
    </row>
    <row r="220" spans="1:26">
      <c r="A220" s="100"/>
      <c r="B220" s="100" t="str">
        <f>IFERROR(VLOOKUP(Tablo520[[#This Row],[ÜRÜN KODU]],YMKODLARI!$A$1:$K$373,2,0)," ")</f>
        <v xml:space="preserve"> </v>
      </c>
      <c r="C220" s="99"/>
      <c r="D220" s="100"/>
      <c r="E220" s="101"/>
      <c r="F220" s="101"/>
      <c r="G220" s="100" t="str">
        <f>IFERROR(VLOOKUP(Tablo520[[#This Row],[ÜRÜN KODU]],YMKODLARI!$A$1:$K$373,3,0)," ")</f>
        <v xml:space="preserve"> </v>
      </c>
      <c r="H220" s="100" t="str">
        <f>IFERROR(VLOOKUP(Tablo520[[#This Row],[ÜRÜN KODU]],YMKODLARI!$A$1:$K$373,4,0)," ")</f>
        <v xml:space="preserve"> </v>
      </c>
      <c r="I220" s="100"/>
      <c r="J220" s="100" t="str">
        <f>IFERROR(VLOOKUP(Tablo520[[#This Row],[ÜRÜN KODU]],YMKODLARI!$A$1:$K$373,9,0)," ")</f>
        <v xml:space="preserve"> </v>
      </c>
      <c r="K220" s="100" t="str">
        <f>IFERROR(VLOOKUP(Tablo520[[#This Row],[BOYA KODU]],Tablo14[#All],4,0)," ")</f>
        <v xml:space="preserve"> </v>
      </c>
      <c r="L220" s="100" t="str">
        <f>IFERROR(VLOOKUP(Tablo520[[#This Row],[BOYA KODU]],Tablo14[#All],6,0)," ")</f>
        <v xml:space="preserve"> </v>
      </c>
      <c r="M220" s="100" t="str">
        <f t="shared" si="21"/>
        <v xml:space="preserve"> </v>
      </c>
      <c r="N220" s="100" t="str">
        <f>IFERROR(VLOOKUP(Tablo520[[#This Row],[ÜRÜN KODU]],YMKODLARI!$A$1:$K$373,8,0)," ")</f>
        <v xml:space="preserve"> </v>
      </c>
      <c r="O220" s="100" t="str">
        <f>IFERROR(VLOOKUP(Tablo520[[#This Row],[HAMMADDE KODU]],Tablo1[#All],3,0)," ")</f>
        <v xml:space="preserve"> </v>
      </c>
      <c r="P220" s="100" t="str">
        <f>IFERROR(VLOOKUP(Tablo520[[#This Row],[HAMMADDE KODU]],Tablo1[#All],4,0)," ")</f>
        <v xml:space="preserve"> </v>
      </c>
      <c r="Q220" s="100" t="str">
        <f>IFERROR(VLOOKUP(Tablo520[[#This Row],[ÜRÜN KODU]],YMKODLARI!$A$1:$K$373,5,0)," ")</f>
        <v xml:space="preserve"> </v>
      </c>
      <c r="R220" s="100" t="str">
        <f>IFERROR(VLOOKUP(Tablo520[[#This Row],[ÜRÜN KODU]],YMKODLARI!$A$1:$K$373,6,0)," ")</f>
        <v xml:space="preserve"> </v>
      </c>
      <c r="S220" s="100" t="str">
        <f>IFERROR(Tablo520[[#This Row],[YOLLUK HARİÇ BASKI GRAMI]]/Tablo520[[#This Row],[KALIP GÖZ ADEDİ]]," ")</f>
        <v xml:space="preserve"> </v>
      </c>
      <c r="T220" s="100" t="str">
        <f t="shared" si="23"/>
        <v xml:space="preserve"> </v>
      </c>
      <c r="U220" s="100"/>
      <c r="V220" s="100" t="str">
        <f t="shared" si="22"/>
        <v xml:space="preserve"> </v>
      </c>
      <c r="W220" s="101">
        <f t="shared" si="24"/>
        <v>24</v>
      </c>
      <c r="X220" s="102">
        <f t="shared" si="25"/>
        <v>0</v>
      </c>
      <c r="Y220" s="100" t="str">
        <f t="shared" si="26"/>
        <v xml:space="preserve"> </v>
      </c>
      <c r="Z220" s="100" t="str">
        <f t="shared" si="27"/>
        <v xml:space="preserve"> </v>
      </c>
    </row>
    <row r="221" spans="1:26">
      <c r="A221" s="100"/>
      <c r="B221" s="100" t="str">
        <f>IFERROR(VLOOKUP(Tablo520[[#This Row],[ÜRÜN KODU]],YMKODLARI!$A$1:$K$373,2,0)," ")</f>
        <v xml:space="preserve"> </v>
      </c>
      <c r="C221" s="99"/>
      <c r="D221" s="100"/>
      <c r="E221" s="101"/>
      <c r="F221" s="101"/>
      <c r="G221" s="100" t="str">
        <f>IFERROR(VLOOKUP(Tablo520[[#This Row],[ÜRÜN KODU]],YMKODLARI!$A$1:$K$373,3,0)," ")</f>
        <v xml:space="preserve"> </v>
      </c>
      <c r="H221" s="100" t="str">
        <f>IFERROR(VLOOKUP(Tablo520[[#This Row],[ÜRÜN KODU]],YMKODLARI!$A$1:$K$373,4,0)," ")</f>
        <v xml:space="preserve"> </v>
      </c>
      <c r="I221" s="100"/>
      <c r="J221" s="100" t="str">
        <f>IFERROR(VLOOKUP(Tablo520[[#This Row],[ÜRÜN KODU]],YMKODLARI!$A$1:$K$373,9,0)," ")</f>
        <v xml:space="preserve"> </v>
      </c>
      <c r="K221" s="100" t="str">
        <f>IFERROR(VLOOKUP(Tablo520[[#This Row],[BOYA KODU]],Tablo14[#All],4,0)," ")</f>
        <v xml:space="preserve"> </v>
      </c>
      <c r="L221" s="100" t="str">
        <f>IFERROR(VLOOKUP(Tablo520[[#This Row],[BOYA KODU]],Tablo14[#All],6,0)," ")</f>
        <v xml:space="preserve"> </v>
      </c>
      <c r="M221" s="100" t="str">
        <f t="shared" si="21"/>
        <v xml:space="preserve"> </v>
      </c>
      <c r="N221" s="100" t="str">
        <f>IFERROR(VLOOKUP(Tablo520[[#This Row],[ÜRÜN KODU]],YMKODLARI!$A$1:$K$373,8,0)," ")</f>
        <v xml:space="preserve"> </v>
      </c>
      <c r="O221" s="100" t="str">
        <f>IFERROR(VLOOKUP(Tablo520[[#This Row],[HAMMADDE KODU]],Tablo1[#All],3,0)," ")</f>
        <v xml:space="preserve"> </v>
      </c>
      <c r="P221" s="100" t="str">
        <f>IFERROR(VLOOKUP(Tablo520[[#This Row],[HAMMADDE KODU]],Tablo1[#All],4,0)," ")</f>
        <v xml:space="preserve"> </v>
      </c>
      <c r="Q221" s="100" t="str">
        <f>IFERROR(VLOOKUP(Tablo520[[#This Row],[ÜRÜN KODU]],YMKODLARI!$A$1:$K$373,5,0)," ")</f>
        <v xml:space="preserve"> </v>
      </c>
      <c r="R221" s="100" t="str">
        <f>IFERROR(VLOOKUP(Tablo520[[#This Row],[ÜRÜN KODU]],YMKODLARI!$A$1:$K$373,6,0)," ")</f>
        <v xml:space="preserve"> </v>
      </c>
      <c r="S221" s="100" t="str">
        <f>IFERROR(Tablo520[[#This Row],[YOLLUK HARİÇ BASKI GRAMI]]/Tablo520[[#This Row],[KALIP GÖZ ADEDİ]]," ")</f>
        <v xml:space="preserve"> </v>
      </c>
      <c r="T221" s="100" t="str">
        <f t="shared" si="23"/>
        <v xml:space="preserve"> </v>
      </c>
      <c r="U221" s="100"/>
      <c r="V221" s="100" t="str">
        <f t="shared" si="22"/>
        <v xml:space="preserve"> </v>
      </c>
      <c r="W221" s="101">
        <f t="shared" si="24"/>
        <v>24</v>
      </c>
      <c r="X221" s="102">
        <f t="shared" si="25"/>
        <v>0</v>
      </c>
      <c r="Y221" s="100" t="str">
        <f t="shared" si="26"/>
        <v xml:space="preserve"> </v>
      </c>
      <c r="Z221" s="100" t="str">
        <f t="shared" si="27"/>
        <v xml:space="preserve"> </v>
      </c>
    </row>
    <row r="222" spans="1:26">
      <c r="A222" s="100"/>
      <c r="B222" s="100" t="str">
        <f>IFERROR(VLOOKUP(Tablo520[[#This Row],[ÜRÜN KODU]],YMKODLARI!$A$1:$K$373,2,0)," ")</f>
        <v xml:space="preserve"> </v>
      </c>
      <c r="C222" s="99"/>
      <c r="D222" s="100"/>
      <c r="E222" s="101"/>
      <c r="F222" s="101"/>
      <c r="G222" s="100" t="str">
        <f>IFERROR(VLOOKUP(Tablo520[[#This Row],[ÜRÜN KODU]],YMKODLARI!$A$1:$K$373,3,0)," ")</f>
        <v xml:space="preserve"> </v>
      </c>
      <c r="H222" s="100" t="str">
        <f>IFERROR(VLOOKUP(Tablo520[[#This Row],[ÜRÜN KODU]],YMKODLARI!$A$1:$K$373,4,0)," ")</f>
        <v xml:space="preserve"> </v>
      </c>
      <c r="I222" s="100"/>
      <c r="J222" s="100" t="str">
        <f>IFERROR(VLOOKUP(Tablo520[[#This Row],[ÜRÜN KODU]],YMKODLARI!$A$1:$K$373,9,0)," ")</f>
        <v xml:space="preserve"> </v>
      </c>
      <c r="K222" s="100" t="str">
        <f>IFERROR(VLOOKUP(Tablo520[[#This Row],[BOYA KODU]],Tablo14[#All],4,0)," ")</f>
        <v xml:space="preserve"> </v>
      </c>
      <c r="L222" s="100" t="str">
        <f>IFERROR(VLOOKUP(Tablo520[[#This Row],[BOYA KODU]],Tablo14[#All],6,0)," ")</f>
        <v xml:space="preserve"> </v>
      </c>
      <c r="M222" s="100" t="str">
        <f t="shared" si="21"/>
        <v xml:space="preserve"> </v>
      </c>
      <c r="N222" s="100" t="str">
        <f>IFERROR(VLOOKUP(Tablo520[[#This Row],[ÜRÜN KODU]],YMKODLARI!$A$1:$K$373,8,0)," ")</f>
        <v xml:space="preserve"> </v>
      </c>
      <c r="O222" s="100" t="str">
        <f>IFERROR(VLOOKUP(Tablo520[[#This Row],[HAMMADDE KODU]],Tablo1[#All],3,0)," ")</f>
        <v xml:space="preserve"> </v>
      </c>
      <c r="P222" s="100" t="str">
        <f>IFERROR(VLOOKUP(Tablo520[[#This Row],[HAMMADDE KODU]],Tablo1[#All],4,0)," ")</f>
        <v xml:space="preserve"> </v>
      </c>
      <c r="Q222" s="100" t="str">
        <f>IFERROR(VLOOKUP(Tablo520[[#This Row],[ÜRÜN KODU]],YMKODLARI!$A$1:$K$373,5,0)," ")</f>
        <v xml:space="preserve"> </v>
      </c>
      <c r="R222" s="100" t="str">
        <f>IFERROR(VLOOKUP(Tablo520[[#This Row],[ÜRÜN KODU]],YMKODLARI!$A$1:$K$373,6,0)," ")</f>
        <v xml:space="preserve"> </v>
      </c>
      <c r="S222" s="100" t="str">
        <f>IFERROR(Tablo520[[#This Row],[YOLLUK HARİÇ BASKI GRAMI]]/Tablo520[[#This Row],[KALIP GÖZ ADEDİ]]," ")</f>
        <v xml:space="preserve"> </v>
      </c>
      <c r="T222" s="100" t="str">
        <f t="shared" si="23"/>
        <v xml:space="preserve"> </v>
      </c>
      <c r="U222" s="100"/>
      <c r="V222" s="100" t="str">
        <f t="shared" si="22"/>
        <v xml:space="preserve"> </v>
      </c>
      <c r="W222" s="101">
        <f t="shared" si="24"/>
        <v>24</v>
      </c>
      <c r="X222" s="102">
        <f t="shared" si="25"/>
        <v>0</v>
      </c>
      <c r="Y222" s="100" t="str">
        <f t="shared" si="26"/>
        <v xml:space="preserve"> </v>
      </c>
      <c r="Z222" s="100" t="str">
        <f t="shared" si="27"/>
        <v xml:space="preserve"> </v>
      </c>
    </row>
    <row r="223" spans="1:26">
      <c r="A223" s="100"/>
      <c r="B223" s="100" t="str">
        <f>IFERROR(VLOOKUP(Tablo520[[#This Row],[ÜRÜN KODU]],YMKODLARI!$A$1:$K$373,2,0)," ")</f>
        <v xml:space="preserve"> </v>
      </c>
      <c r="C223" s="99"/>
      <c r="D223" s="100"/>
      <c r="E223" s="101"/>
      <c r="F223" s="101"/>
      <c r="G223" s="100" t="str">
        <f>IFERROR(VLOOKUP(Tablo520[[#This Row],[ÜRÜN KODU]],YMKODLARI!$A$1:$K$373,3,0)," ")</f>
        <v xml:space="preserve"> </v>
      </c>
      <c r="H223" s="100" t="str">
        <f>IFERROR(VLOOKUP(Tablo520[[#This Row],[ÜRÜN KODU]],YMKODLARI!$A$1:$K$373,4,0)," ")</f>
        <v xml:space="preserve"> </v>
      </c>
      <c r="I223" s="100"/>
      <c r="J223" s="100" t="str">
        <f>IFERROR(VLOOKUP(Tablo520[[#This Row],[ÜRÜN KODU]],YMKODLARI!$A$1:$K$373,9,0)," ")</f>
        <v xml:space="preserve"> </v>
      </c>
      <c r="K223" s="100" t="str">
        <f>IFERROR(VLOOKUP(Tablo520[[#This Row],[BOYA KODU]],Tablo14[#All],4,0)," ")</f>
        <v xml:space="preserve"> </v>
      </c>
      <c r="L223" s="100" t="str">
        <f>IFERROR(VLOOKUP(Tablo520[[#This Row],[BOYA KODU]],Tablo14[#All],6,0)," ")</f>
        <v xml:space="preserve"> </v>
      </c>
      <c r="M223" s="100" t="str">
        <f t="shared" si="21"/>
        <v xml:space="preserve"> </v>
      </c>
      <c r="N223" s="100" t="str">
        <f>IFERROR(VLOOKUP(Tablo520[[#This Row],[ÜRÜN KODU]],YMKODLARI!$A$1:$K$373,8,0)," ")</f>
        <v xml:space="preserve"> </v>
      </c>
      <c r="O223" s="100" t="str">
        <f>IFERROR(VLOOKUP(Tablo520[[#This Row],[HAMMADDE KODU]],Tablo1[#All],3,0)," ")</f>
        <v xml:space="preserve"> </v>
      </c>
      <c r="P223" s="100" t="str">
        <f>IFERROR(VLOOKUP(Tablo520[[#This Row],[HAMMADDE KODU]],Tablo1[#All],4,0)," ")</f>
        <v xml:space="preserve"> </v>
      </c>
      <c r="Q223" s="100" t="str">
        <f>IFERROR(VLOOKUP(Tablo520[[#This Row],[ÜRÜN KODU]],YMKODLARI!$A$1:$K$373,5,0)," ")</f>
        <v xml:space="preserve"> </v>
      </c>
      <c r="R223" s="100" t="str">
        <f>IFERROR(VLOOKUP(Tablo520[[#This Row],[ÜRÜN KODU]],YMKODLARI!$A$1:$K$373,6,0)," ")</f>
        <v xml:space="preserve"> </v>
      </c>
      <c r="S223" s="100" t="str">
        <f>IFERROR(Tablo520[[#This Row],[YOLLUK HARİÇ BASKI GRAMI]]/Tablo520[[#This Row],[KALIP GÖZ ADEDİ]]," ")</f>
        <v xml:space="preserve"> </v>
      </c>
      <c r="T223" s="100" t="str">
        <f t="shared" si="23"/>
        <v xml:space="preserve"> </v>
      </c>
      <c r="U223" s="100"/>
      <c r="V223" s="100" t="str">
        <f t="shared" si="22"/>
        <v xml:space="preserve"> </v>
      </c>
      <c r="W223" s="101">
        <f t="shared" si="24"/>
        <v>24</v>
      </c>
      <c r="X223" s="102">
        <f t="shared" si="25"/>
        <v>0</v>
      </c>
      <c r="Y223" s="100" t="str">
        <f t="shared" si="26"/>
        <v xml:space="preserve"> </v>
      </c>
      <c r="Z223" s="100" t="str">
        <f t="shared" si="27"/>
        <v xml:space="preserve"> </v>
      </c>
    </row>
    <row r="224" spans="1:26">
      <c r="A224" s="100"/>
      <c r="B224" s="100" t="str">
        <f>IFERROR(VLOOKUP(Tablo520[[#This Row],[ÜRÜN KODU]],YMKODLARI!$A$1:$K$373,2,0)," ")</f>
        <v xml:space="preserve"> </v>
      </c>
      <c r="C224" s="99"/>
      <c r="D224" s="100"/>
      <c r="E224" s="101"/>
      <c r="F224" s="101"/>
      <c r="G224" s="100" t="str">
        <f>IFERROR(VLOOKUP(Tablo520[[#This Row],[ÜRÜN KODU]],YMKODLARI!$A$1:$K$373,3,0)," ")</f>
        <v xml:space="preserve"> </v>
      </c>
      <c r="H224" s="100" t="str">
        <f>IFERROR(VLOOKUP(Tablo520[[#This Row],[ÜRÜN KODU]],YMKODLARI!$A$1:$K$373,4,0)," ")</f>
        <v xml:space="preserve"> </v>
      </c>
      <c r="I224" s="100"/>
      <c r="J224" s="100" t="str">
        <f>IFERROR(VLOOKUP(Tablo520[[#This Row],[ÜRÜN KODU]],YMKODLARI!$A$1:$K$373,9,0)," ")</f>
        <v xml:space="preserve"> </v>
      </c>
      <c r="K224" s="100" t="str">
        <f>IFERROR(VLOOKUP(Tablo520[[#This Row],[BOYA KODU]],Tablo14[#All],4,0)," ")</f>
        <v xml:space="preserve"> </v>
      </c>
      <c r="L224" s="100" t="str">
        <f>IFERROR(VLOOKUP(Tablo520[[#This Row],[BOYA KODU]],Tablo14[#All],6,0)," ")</f>
        <v xml:space="preserve"> </v>
      </c>
      <c r="M224" s="100" t="str">
        <f t="shared" si="21"/>
        <v xml:space="preserve"> </v>
      </c>
      <c r="N224" s="100" t="str">
        <f>IFERROR(VLOOKUP(Tablo520[[#This Row],[ÜRÜN KODU]],YMKODLARI!$A$1:$K$373,8,0)," ")</f>
        <v xml:space="preserve"> </v>
      </c>
      <c r="O224" s="100" t="str">
        <f>IFERROR(VLOOKUP(Tablo520[[#This Row],[HAMMADDE KODU]],Tablo1[#All],3,0)," ")</f>
        <v xml:space="preserve"> </v>
      </c>
      <c r="P224" s="100" t="str">
        <f>IFERROR(VLOOKUP(Tablo520[[#This Row],[HAMMADDE KODU]],Tablo1[#All],4,0)," ")</f>
        <v xml:space="preserve"> </v>
      </c>
      <c r="Q224" s="100" t="str">
        <f>IFERROR(VLOOKUP(Tablo520[[#This Row],[ÜRÜN KODU]],YMKODLARI!$A$1:$K$373,5,0)," ")</f>
        <v xml:space="preserve"> </v>
      </c>
      <c r="R224" s="100" t="str">
        <f>IFERROR(VLOOKUP(Tablo520[[#This Row],[ÜRÜN KODU]],YMKODLARI!$A$1:$K$373,6,0)," ")</f>
        <v xml:space="preserve"> </v>
      </c>
      <c r="S224" s="100" t="str">
        <f>IFERROR(Tablo520[[#This Row],[YOLLUK HARİÇ BASKI GRAMI]]/Tablo520[[#This Row],[KALIP GÖZ ADEDİ]]," ")</f>
        <v xml:space="preserve"> </v>
      </c>
      <c r="T224" s="100" t="str">
        <f t="shared" si="23"/>
        <v xml:space="preserve"> </v>
      </c>
      <c r="U224" s="100"/>
      <c r="V224" s="100" t="str">
        <f t="shared" si="22"/>
        <v xml:space="preserve"> </v>
      </c>
      <c r="W224" s="101">
        <f t="shared" si="24"/>
        <v>24</v>
      </c>
      <c r="X224" s="102">
        <f t="shared" si="25"/>
        <v>0</v>
      </c>
      <c r="Y224" s="100" t="str">
        <f t="shared" si="26"/>
        <v xml:space="preserve"> </v>
      </c>
      <c r="Z224" s="100" t="str">
        <f t="shared" si="27"/>
        <v xml:space="preserve"> </v>
      </c>
    </row>
    <row r="225" spans="1:26">
      <c r="A225" s="100"/>
      <c r="B225" s="100" t="str">
        <f>IFERROR(VLOOKUP(Tablo520[[#This Row],[ÜRÜN KODU]],YMKODLARI!$A$1:$K$373,2,0)," ")</f>
        <v xml:space="preserve"> </v>
      </c>
      <c r="C225" s="99"/>
      <c r="D225" s="100"/>
      <c r="E225" s="101"/>
      <c r="F225" s="101"/>
      <c r="G225" s="100" t="str">
        <f>IFERROR(VLOOKUP(Tablo520[[#This Row],[ÜRÜN KODU]],YMKODLARI!$A$1:$K$373,3,0)," ")</f>
        <v xml:space="preserve"> </v>
      </c>
      <c r="H225" s="100" t="str">
        <f>IFERROR(VLOOKUP(Tablo520[[#This Row],[ÜRÜN KODU]],YMKODLARI!$A$1:$K$373,4,0)," ")</f>
        <v xml:space="preserve"> </v>
      </c>
      <c r="I225" s="100"/>
      <c r="J225" s="100" t="str">
        <f>IFERROR(VLOOKUP(Tablo520[[#This Row],[ÜRÜN KODU]],YMKODLARI!$A$1:$K$373,9,0)," ")</f>
        <v xml:space="preserve"> </v>
      </c>
      <c r="K225" s="100" t="str">
        <f>IFERROR(VLOOKUP(Tablo520[[#This Row],[BOYA KODU]],Tablo14[#All],4,0)," ")</f>
        <v xml:space="preserve"> </v>
      </c>
      <c r="L225" s="100" t="str">
        <f>IFERROR(VLOOKUP(Tablo520[[#This Row],[BOYA KODU]],Tablo14[#All],6,0)," ")</f>
        <v xml:space="preserve"> </v>
      </c>
      <c r="M225" s="100" t="str">
        <f t="shared" si="21"/>
        <v xml:space="preserve"> </v>
      </c>
      <c r="N225" s="100" t="str">
        <f>IFERROR(VLOOKUP(Tablo520[[#This Row],[ÜRÜN KODU]],YMKODLARI!$A$1:$K$373,8,0)," ")</f>
        <v xml:space="preserve"> </v>
      </c>
      <c r="O225" s="100" t="str">
        <f>IFERROR(VLOOKUP(Tablo520[[#This Row],[HAMMADDE KODU]],Tablo1[#All],3,0)," ")</f>
        <v xml:space="preserve"> </v>
      </c>
      <c r="P225" s="100" t="str">
        <f>IFERROR(VLOOKUP(Tablo520[[#This Row],[HAMMADDE KODU]],Tablo1[#All],4,0)," ")</f>
        <v xml:space="preserve"> </v>
      </c>
      <c r="Q225" s="100" t="str">
        <f>IFERROR(VLOOKUP(Tablo520[[#This Row],[ÜRÜN KODU]],YMKODLARI!$A$1:$K$373,5,0)," ")</f>
        <v xml:space="preserve"> </v>
      </c>
      <c r="R225" s="100" t="str">
        <f>IFERROR(VLOOKUP(Tablo520[[#This Row],[ÜRÜN KODU]],YMKODLARI!$A$1:$K$373,6,0)," ")</f>
        <v xml:space="preserve"> </v>
      </c>
      <c r="S225" s="100" t="str">
        <f>IFERROR(Tablo520[[#This Row],[YOLLUK HARİÇ BASKI GRAMI]]/Tablo520[[#This Row],[KALIP GÖZ ADEDİ]]," ")</f>
        <v xml:space="preserve"> </v>
      </c>
      <c r="T225" s="100" t="str">
        <f t="shared" si="23"/>
        <v xml:space="preserve"> </v>
      </c>
      <c r="U225" s="100"/>
      <c r="V225" s="100" t="str">
        <f t="shared" si="22"/>
        <v xml:space="preserve"> </v>
      </c>
      <c r="W225" s="101">
        <f t="shared" si="24"/>
        <v>24</v>
      </c>
      <c r="X225" s="102">
        <f t="shared" si="25"/>
        <v>0</v>
      </c>
      <c r="Y225" s="100" t="str">
        <f t="shared" si="26"/>
        <v xml:space="preserve"> </v>
      </c>
      <c r="Z225" s="100" t="str">
        <f t="shared" si="27"/>
        <v xml:space="preserve"> </v>
      </c>
    </row>
    <row r="226" spans="1:26">
      <c r="A226" s="100"/>
      <c r="B226" s="100" t="str">
        <f>IFERROR(VLOOKUP(Tablo520[[#This Row],[ÜRÜN KODU]],YMKODLARI!$A$1:$K$373,2,0)," ")</f>
        <v xml:space="preserve"> </v>
      </c>
      <c r="C226" s="99"/>
      <c r="D226" s="100"/>
      <c r="E226" s="101"/>
      <c r="F226" s="101"/>
      <c r="G226" s="100" t="str">
        <f>IFERROR(VLOOKUP(Tablo520[[#This Row],[ÜRÜN KODU]],YMKODLARI!$A$1:$K$373,3,0)," ")</f>
        <v xml:space="preserve"> </v>
      </c>
      <c r="H226" s="100" t="str">
        <f>IFERROR(VLOOKUP(Tablo520[[#This Row],[ÜRÜN KODU]],YMKODLARI!$A$1:$K$373,4,0)," ")</f>
        <v xml:space="preserve"> </v>
      </c>
      <c r="I226" s="100"/>
      <c r="J226" s="100" t="str">
        <f>IFERROR(VLOOKUP(Tablo520[[#This Row],[ÜRÜN KODU]],YMKODLARI!$A$1:$K$373,9,0)," ")</f>
        <v xml:space="preserve"> </v>
      </c>
      <c r="K226" s="100" t="str">
        <f>IFERROR(VLOOKUP(Tablo520[[#This Row],[BOYA KODU]],Tablo14[#All],4,0)," ")</f>
        <v xml:space="preserve"> </v>
      </c>
      <c r="L226" s="100" t="str">
        <f>IFERROR(VLOOKUP(Tablo520[[#This Row],[BOYA KODU]],Tablo14[#All],6,0)," ")</f>
        <v xml:space="preserve"> </v>
      </c>
      <c r="M226" s="100" t="str">
        <f t="shared" si="21"/>
        <v xml:space="preserve"> </v>
      </c>
      <c r="N226" s="100" t="str">
        <f>IFERROR(VLOOKUP(Tablo520[[#This Row],[ÜRÜN KODU]],YMKODLARI!$A$1:$K$373,8,0)," ")</f>
        <v xml:space="preserve"> </v>
      </c>
      <c r="O226" s="100" t="str">
        <f>IFERROR(VLOOKUP(Tablo520[[#This Row],[HAMMADDE KODU]],Tablo1[#All],3,0)," ")</f>
        <v xml:space="preserve"> </v>
      </c>
      <c r="P226" s="100" t="str">
        <f>IFERROR(VLOOKUP(Tablo520[[#This Row],[HAMMADDE KODU]],Tablo1[#All],4,0)," ")</f>
        <v xml:space="preserve"> </v>
      </c>
      <c r="Q226" s="100" t="str">
        <f>IFERROR(VLOOKUP(Tablo520[[#This Row],[ÜRÜN KODU]],YMKODLARI!$A$1:$K$373,5,0)," ")</f>
        <v xml:space="preserve"> </v>
      </c>
      <c r="R226" s="100" t="str">
        <f>IFERROR(VLOOKUP(Tablo520[[#This Row],[ÜRÜN KODU]],YMKODLARI!$A$1:$K$373,6,0)," ")</f>
        <v xml:space="preserve"> </v>
      </c>
      <c r="S226" s="100" t="str">
        <f>IFERROR(Tablo520[[#This Row],[YOLLUK HARİÇ BASKI GRAMI]]/Tablo520[[#This Row],[KALIP GÖZ ADEDİ]]," ")</f>
        <v xml:space="preserve"> </v>
      </c>
      <c r="T226" s="100" t="str">
        <f t="shared" si="23"/>
        <v xml:space="preserve"> </v>
      </c>
      <c r="U226" s="100"/>
      <c r="V226" s="100" t="str">
        <f t="shared" si="22"/>
        <v xml:space="preserve"> </v>
      </c>
      <c r="W226" s="101">
        <f t="shared" si="24"/>
        <v>24</v>
      </c>
      <c r="X226" s="102">
        <f t="shared" si="25"/>
        <v>0</v>
      </c>
      <c r="Y226" s="100" t="str">
        <f t="shared" si="26"/>
        <v xml:space="preserve"> </v>
      </c>
      <c r="Z226" s="100" t="str">
        <f t="shared" si="27"/>
        <v xml:space="preserve"> </v>
      </c>
    </row>
    <row r="227" spans="1:26">
      <c r="A227" s="100"/>
      <c r="B227" s="100" t="str">
        <f>IFERROR(VLOOKUP(Tablo520[[#This Row],[ÜRÜN KODU]],YMKODLARI!$A$1:$K$373,2,0)," ")</f>
        <v xml:space="preserve"> </v>
      </c>
      <c r="C227" s="99"/>
      <c r="D227" s="100"/>
      <c r="E227" s="101"/>
      <c r="F227" s="101"/>
      <c r="G227" s="100" t="str">
        <f>IFERROR(VLOOKUP(Tablo520[[#This Row],[ÜRÜN KODU]],YMKODLARI!$A$1:$K$373,3,0)," ")</f>
        <v xml:space="preserve"> </v>
      </c>
      <c r="H227" s="100" t="str">
        <f>IFERROR(VLOOKUP(Tablo520[[#This Row],[ÜRÜN KODU]],YMKODLARI!$A$1:$K$373,4,0)," ")</f>
        <v xml:space="preserve"> </v>
      </c>
      <c r="I227" s="100"/>
      <c r="J227" s="100" t="str">
        <f>IFERROR(VLOOKUP(Tablo520[[#This Row],[ÜRÜN KODU]],YMKODLARI!$A$1:$K$373,9,0)," ")</f>
        <v xml:space="preserve"> </v>
      </c>
      <c r="K227" s="100" t="str">
        <f>IFERROR(VLOOKUP(Tablo520[[#This Row],[BOYA KODU]],Tablo14[#All],4,0)," ")</f>
        <v xml:space="preserve"> </v>
      </c>
      <c r="L227" s="100" t="str">
        <f>IFERROR(VLOOKUP(Tablo520[[#This Row],[BOYA KODU]],Tablo14[#All],6,0)," ")</f>
        <v xml:space="preserve"> </v>
      </c>
      <c r="M227" s="100" t="str">
        <f t="shared" si="21"/>
        <v xml:space="preserve"> </v>
      </c>
      <c r="N227" s="100" t="str">
        <f>IFERROR(VLOOKUP(Tablo520[[#This Row],[ÜRÜN KODU]],YMKODLARI!$A$1:$K$373,8,0)," ")</f>
        <v xml:space="preserve"> </v>
      </c>
      <c r="O227" s="100" t="str">
        <f>IFERROR(VLOOKUP(Tablo520[[#This Row],[HAMMADDE KODU]],Tablo1[#All],3,0)," ")</f>
        <v xml:space="preserve"> </v>
      </c>
      <c r="P227" s="100" t="str">
        <f>IFERROR(VLOOKUP(Tablo520[[#This Row],[HAMMADDE KODU]],Tablo1[#All],4,0)," ")</f>
        <v xml:space="preserve"> </v>
      </c>
      <c r="Q227" s="100" t="str">
        <f>IFERROR(VLOOKUP(Tablo520[[#This Row],[ÜRÜN KODU]],YMKODLARI!$A$1:$K$373,5,0)," ")</f>
        <v xml:space="preserve"> </v>
      </c>
      <c r="R227" s="100" t="str">
        <f>IFERROR(VLOOKUP(Tablo520[[#This Row],[ÜRÜN KODU]],YMKODLARI!$A$1:$K$373,6,0)," ")</f>
        <v xml:space="preserve"> </v>
      </c>
      <c r="S227" s="100" t="str">
        <f>IFERROR(Tablo520[[#This Row],[YOLLUK HARİÇ BASKI GRAMI]]/Tablo520[[#This Row],[KALIP GÖZ ADEDİ]]," ")</f>
        <v xml:space="preserve"> </v>
      </c>
      <c r="T227" s="100" t="str">
        <f t="shared" si="23"/>
        <v xml:space="preserve"> </v>
      </c>
      <c r="U227" s="100"/>
      <c r="V227" s="100" t="str">
        <f t="shared" si="22"/>
        <v xml:space="preserve"> </v>
      </c>
      <c r="W227" s="101">
        <f t="shared" si="24"/>
        <v>24</v>
      </c>
      <c r="X227" s="102">
        <f t="shared" si="25"/>
        <v>0</v>
      </c>
      <c r="Y227" s="100" t="str">
        <f t="shared" si="26"/>
        <v xml:space="preserve"> </v>
      </c>
      <c r="Z227" s="100" t="str">
        <f t="shared" si="27"/>
        <v xml:space="preserve"> </v>
      </c>
    </row>
    <row r="228" spans="1:26">
      <c r="A228" s="100"/>
      <c r="B228" s="100" t="str">
        <f>IFERROR(VLOOKUP(Tablo520[[#This Row],[ÜRÜN KODU]],YMKODLARI!$A$1:$K$373,2,0)," ")</f>
        <v xml:space="preserve"> </v>
      </c>
      <c r="C228" s="99"/>
      <c r="D228" s="100"/>
      <c r="E228" s="101"/>
      <c r="F228" s="101"/>
      <c r="G228" s="100" t="str">
        <f>IFERROR(VLOOKUP(Tablo520[[#This Row],[ÜRÜN KODU]],YMKODLARI!$A$1:$K$373,3,0)," ")</f>
        <v xml:space="preserve"> </v>
      </c>
      <c r="H228" s="100" t="str">
        <f>IFERROR(VLOOKUP(Tablo520[[#This Row],[ÜRÜN KODU]],YMKODLARI!$A$1:$K$373,4,0)," ")</f>
        <v xml:space="preserve"> </v>
      </c>
      <c r="I228" s="100"/>
      <c r="J228" s="100" t="str">
        <f>IFERROR(VLOOKUP(Tablo520[[#This Row],[ÜRÜN KODU]],YMKODLARI!$A$1:$K$373,9,0)," ")</f>
        <v xml:space="preserve"> </v>
      </c>
      <c r="K228" s="100" t="str">
        <f>IFERROR(VLOOKUP(Tablo520[[#This Row],[BOYA KODU]],Tablo14[#All],4,0)," ")</f>
        <v xml:space="preserve"> </v>
      </c>
      <c r="L228" s="100" t="str">
        <f>IFERROR(VLOOKUP(Tablo520[[#This Row],[BOYA KODU]],Tablo14[#All],6,0)," ")</f>
        <v xml:space="preserve"> </v>
      </c>
      <c r="M228" s="100" t="str">
        <f t="shared" si="21"/>
        <v xml:space="preserve"> </v>
      </c>
      <c r="N228" s="100" t="str">
        <f>IFERROR(VLOOKUP(Tablo520[[#This Row],[ÜRÜN KODU]],YMKODLARI!$A$1:$K$373,8,0)," ")</f>
        <v xml:space="preserve"> </v>
      </c>
      <c r="O228" s="100" t="str">
        <f>IFERROR(VLOOKUP(Tablo520[[#This Row],[HAMMADDE KODU]],Tablo1[#All],3,0)," ")</f>
        <v xml:space="preserve"> </v>
      </c>
      <c r="P228" s="100" t="str">
        <f>IFERROR(VLOOKUP(Tablo520[[#This Row],[HAMMADDE KODU]],Tablo1[#All],4,0)," ")</f>
        <v xml:space="preserve"> </v>
      </c>
      <c r="Q228" s="100" t="str">
        <f>IFERROR(VLOOKUP(Tablo520[[#This Row],[ÜRÜN KODU]],YMKODLARI!$A$1:$K$373,5,0)," ")</f>
        <v xml:space="preserve"> </v>
      </c>
      <c r="R228" s="100" t="str">
        <f>IFERROR(VLOOKUP(Tablo520[[#This Row],[ÜRÜN KODU]],YMKODLARI!$A$1:$K$373,6,0)," ")</f>
        <v xml:space="preserve"> </v>
      </c>
      <c r="S228" s="100" t="str">
        <f>IFERROR(Tablo520[[#This Row],[YOLLUK HARİÇ BASKI GRAMI]]/Tablo520[[#This Row],[KALIP GÖZ ADEDİ]]," ")</f>
        <v xml:space="preserve"> </v>
      </c>
      <c r="T228" s="100" t="str">
        <f t="shared" si="23"/>
        <v xml:space="preserve"> </v>
      </c>
      <c r="U228" s="100"/>
      <c r="V228" s="100" t="str">
        <f t="shared" si="22"/>
        <v xml:space="preserve"> </v>
      </c>
      <c r="W228" s="101">
        <f t="shared" si="24"/>
        <v>24</v>
      </c>
      <c r="X228" s="102">
        <f t="shared" si="25"/>
        <v>0</v>
      </c>
      <c r="Y228" s="100" t="str">
        <f t="shared" si="26"/>
        <v xml:space="preserve"> </v>
      </c>
      <c r="Z228" s="100" t="str">
        <f t="shared" si="27"/>
        <v xml:space="preserve"> </v>
      </c>
    </row>
    <row r="229" spans="1:26">
      <c r="A229" s="100"/>
      <c r="B229" s="100" t="str">
        <f>IFERROR(VLOOKUP(Tablo520[[#This Row],[ÜRÜN KODU]],YMKODLARI!$A$1:$K$373,2,0)," ")</f>
        <v xml:space="preserve"> </v>
      </c>
      <c r="C229" s="99"/>
      <c r="D229" s="100"/>
      <c r="E229" s="101"/>
      <c r="F229" s="101"/>
      <c r="G229" s="100" t="str">
        <f>IFERROR(VLOOKUP(Tablo520[[#This Row],[ÜRÜN KODU]],YMKODLARI!$A$1:$K$373,3,0)," ")</f>
        <v xml:space="preserve"> </v>
      </c>
      <c r="H229" s="100" t="str">
        <f>IFERROR(VLOOKUP(Tablo520[[#This Row],[ÜRÜN KODU]],YMKODLARI!$A$1:$K$373,4,0)," ")</f>
        <v xml:space="preserve"> </v>
      </c>
      <c r="I229" s="100"/>
      <c r="J229" s="100" t="str">
        <f>IFERROR(VLOOKUP(Tablo520[[#This Row],[ÜRÜN KODU]],YMKODLARI!$A$1:$K$373,9,0)," ")</f>
        <v xml:space="preserve"> </v>
      </c>
      <c r="K229" s="100" t="str">
        <f>IFERROR(VLOOKUP(Tablo520[[#This Row],[BOYA KODU]],Tablo14[#All],4,0)," ")</f>
        <v xml:space="preserve"> </v>
      </c>
      <c r="L229" s="100" t="str">
        <f>IFERROR(VLOOKUP(Tablo520[[#This Row],[BOYA KODU]],Tablo14[#All],6,0)," ")</f>
        <v xml:space="preserve"> </v>
      </c>
      <c r="M229" s="100" t="str">
        <f t="shared" si="21"/>
        <v xml:space="preserve"> </v>
      </c>
      <c r="N229" s="100" t="str">
        <f>IFERROR(VLOOKUP(Tablo520[[#This Row],[ÜRÜN KODU]],YMKODLARI!$A$1:$K$373,8,0)," ")</f>
        <v xml:space="preserve"> </v>
      </c>
      <c r="O229" s="100" t="str">
        <f>IFERROR(VLOOKUP(Tablo520[[#This Row],[HAMMADDE KODU]],Tablo1[#All],3,0)," ")</f>
        <v xml:space="preserve"> </v>
      </c>
      <c r="P229" s="100" t="str">
        <f>IFERROR(VLOOKUP(Tablo520[[#This Row],[HAMMADDE KODU]],Tablo1[#All],4,0)," ")</f>
        <v xml:space="preserve"> </v>
      </c>
      <c r="Q229" s="100" t="str">
        <f>IFERROR(VLOOKUP(Tablo520[[#This Row],[ÜRÜN KODU]],YMKODLARI!$A$1:$K$373,5,0)," ")</f>
        <v xml:space="preserve"> </v>
      </c>
      <c r="R229" s="100" t="str">
        <f>IFERROR(VLOOKUP(Tablo520[[#This Row],[ÜRÜN KODU]],YMKODLARI!$A$1:$K$373,6,0)," ")</f>
        <v xml:space="preserve"> </v>
      </c>
      <c r="S229" s="100" t="str">
        <f>IFERROR(Tablo520[[#This Row],[YOLLUK HARİÇ BASKI GRAMI]]/Tablo520[[#This Row],[KALIP GÖZ ADEDİ]]," ")</f>
        <v xml:space="preserve"> </v>
      </c>
      <c r="T229" s="100" t="str">
        <f t="shared" si="23"/>
        <v xml:space="preserve"> </v>
      </c>
      <c r="U229" s="100"/>
      <c r="V229" s="100" t="str">
        <f t="shared" si="22"/>
        <v xml:space="preserve"> </v>
      </c>
      <c r="W229" s="101">
        <f t="shared" si="24"/>
        <v>24</v>
      </c>
      <c r="X229" s="102">
        <f t="shared" si="25"/>
        <v>0</v>
      </c>
      <c r="Y229" s="100" t="str">
        <f t="shared" si="26"/>
        <v xml:space="preserve"> </v>
      </c>
      <c r="Z229" s="100" t="str">
        <f t="shared" si="27"/>
        <v xml:space="preserve"> </v>
      </c>
    </row>
    <row r="230" spans="1:26">
      <c r="A230" s="100"/>
      <c r="B230" s="100" t="str">
        <f>IFERROR(VLOOKUP(Tablo520[[#This Row],[ÜRÜN KODU]],YMKODLARI!$A$1:$K$373,2,0)," ")</f>
        <v xml:space="preserve"> </v>
      </c>
      <c r="C230" s="99"/>
      <c r="D230" s="100"/>
      <c r="E230" s="101"/>
      <c r="F230" s="101"/>
      <c r="G230" s="100" t="str">
        <f>IFERROR(VLOOKUP(Tablo520[[#This Row],[ÜRÜN KODU]],YMKODLARI!$A$1:$K$373,3,0)," ")</f>
        <v xml:space="preserve"> </v>
      </c>
      <c r="H230" s="100" t="str">
        <f>IFERROR(VLOOKUP(Tablo520[[#This Row],[ÜRÜN KODU]],YMKODLARI!$A$1:$K$373,4,0)," ")</f>
        <v xml:space="preserve"> </v>
      </c>
      <c r="I230" s="100"/>
      <c r="J230" s="100" t="str">
        <f>IFERROR(VLOOKUP(Tablo520[[#This Row],[ÜRÜN KODU]],YMKODLARI!$A$1:$K$373,9,0)," ")</f>
        <v xml:space="preserve"> </v>
      </c>
      <c r="K230" s="100" t="str">
        <f>IFERROR(VLOOKUP(Tablo520[[#This Row],[BOYA KODU]],Tablo14[#All],4,0)," ")</f>
        <v xml:space="preserve"> </v>
      </c>
      <c r="L230" s="100" t="str">
        <f>IFERROR(VLOOKUP(Tablo520[[#This Row],[BOYA KODU]],Tablo14[#All],6,0)," ")</f>
        <v xml:space="preserve"> </v>
      </c>
      <c r="M230" s="100" t="str">
        <f t="shared" si="21"/>
        <v xml:space="preserve"> </v>
      </c>
      <c r="N230" s="100" t="str">
        <f>IFERROR(VLOOKUP(Tablo520[[#This Row],[ÜRÜN KODU]],YMKODLARI!$A$1:$K$373,8,0)," ")</f>
        <v xml:space="preserve"> </v>
      </c>
      <c r="O230" s="100" t="str">
        <f>IFERROR(VLOOKUP(Tablo520[[#This Row],[HAMMADDE KODU]],Tablo1[#All],3,0)," ")</f>
        <v xml:space="preserve"> </v>
      </c>
      <c r="P230" s="100" t="str">
        <f>IFERROR(VLOOKUP(Tablo520[[#This Row],[HAMMADDE KODU]],Tablo1[#All],4,0)," ")</f>
        <v xml:space="preserve"> </v>
      </c>
      <c r="Q230" s="100" t="str">
        <f>IFERROR(VLOOKUP(Tablo520[[#This Row],[ÜRÜN KODU]],YMKODLARI!$A$1:$K$373,5,0)," ")</f>
        <v xml:space="preserve"> </v>
      </c>
      <c r="R230" s="100" t="str">
        <f>IFERROR(VLOOKUP(Tablo520[[#This Row],[ÜRÜN KODU]],YMKODLARI!$A$1:$K$373,6,0)," ")</f>
        <v xml:space="preserve"> </v>
      </c>
      <c r="S230" s="100" t="str">
        <f>IFERROR(Tablo520[[#This Row],[YOLLUK HARİÇ BASKI GRAMI]]/Tablo520[[#This Row],[KALIP GÖZ ADEDİ]]," ")</f>
        <v xml:space="preserve"> </v>
      </c>
      <c r="T230" s="100" t="str">
        <f t="shared" si="23"/>
        <v xml:space="preserve"> </v>
      </c>
      <c r="U230" s="100"/>
      <c r="V230" s="100" t="str">
        <f t="shared" si="22"/>
        <v xml:space="preserve"> </v>
      </c>
      <c r="W230" s="101">
        <f t="shared" si="24"/>
        <v>24</v>
      </c>
      <c r="X230" s="102">
        <f t="shared" si="25"/>
        <v>0</v>
      </c>
      <c r="Y230" s="100" t="str">
        <f t="shared" si="26"/>
        <v xml:space="preserve"> </v>
      </c>
      <c r="Z230" s="100" t="str">
        <f t="shared" si="27"/>
        <v xml:space="preserve"> </v>
      </c>
    </row>
    <row r="231" spans="1:26">
      <c r="A231" s="100"/>
      <c r="B231" s="100" t="str">
        <f>IFERROR(VLOOKUP(Tablo520[[#This Row],[ÜRÜN KODU]],YMKODLARI!$A$1:$K$373,2,0)," ")</f>
        <v xml:space="preserve"> </v>
      </c>
      <c r="C231" s="99"/>
      <c r="D231" s="100"/>
      <c r="E231" s="101"/>
      <c r="F231" s="101"/>
      <c r="G231" s="100" t="str">
        <f>IFERROR(VLOOKUP(Tablo520[[#This Row],[ÜRÜN KODU]],YMKODLARI!$A$1:$K$373,3,0)," ")</f>
        <v xml:space="preserve"> </v>
      </c>
      <c r="H231" s="100" t="str">
        <f>IFERROR(VLOOKUP(Tablo520[[#This Row],[ÜRÜN KODU]],YMKODLARI!$A$1:$K$373,4,0)," ")</f>
        <v xml:space="preserve"> </v>
      </c>
      <c r="I231" s="100"/>
      <c r="J231" s="100" t="str">
        <f>IFERROR(VLOOKUP(Tablo520[[#This Row],[ÜRÜN KODU]],YMKODLARI!$A$1:$K$373,9,0)," ")</f>
        <v xml:space="preserve"> </v>
      </c>
      <c r="K231" s="100" t="str">
        <f>IFERROR(VLOOKUP(Tablo520[[#This Row],[BOYA KODU]],Tablo14[#All],4,0)," ")</f>
        <v xml:space="preserve"> </v>
      </c>
      <c r="L231" s="100" t="str">
        <f>IFERROR(VLOOKUP(Tablo520[[#This Row],[BOYA KODU]],Tablo14[#All],6,0)," ")</f>
        <v xml:space="preserve"> </v>
      </c>
      <c r="M231" s="100" t="str">
        <f t="shared" si="21"/>
        <v xml:space="preserve"> </v>
      </c>
      <c r="N231" s="100" t="str">
        <f>IFERROR(VLOOKUP(Tablo520[[#This Row],[ÜRÜN KODU]],YMKODLARI!$A$1:$K$373,8,0)," ")</f>
        <v xml:space="preserve"> </v>
      </c>
      <c r="O231" s="100" t="str">
        <f>IFERROR(VLOOKUP(Tablo520[[#This Row],[HAMMADDE KODU]],Tablo1[#All],3,0)," ")</f>
        <v xml:space="preserve"> </v>
      </c>
      <c r="P231" s="100" t="str">
        <f>IFERROR(VLOOKUP(Tablo520[[#This Row],[HAMMADDE KODU]],Tablo1[#All],4,0)," ")</f>
        <v xml:space="preserve"> </v>
      </c>
      <c r="Q231" s="100" t="str">
        <f>IFERROR(VLOOKUP(Tablo520[[#This Row],[ÜRÜN KODU]],YMKODLARI!$A$1:$K$373,5,0)," ")</f>
        <v xml:space="preserve"> </v>
      </c>
      <c r="R231" s="100" t="str">
        <f>IFERROR(VLOOKUP(Tablo520[[#This Row],[ÜRÜN KODU]],YMKODLARI!$A$1:$K$373,6,0)," ")</f>
        <v xml:space="preserve"> </v>
      </c>
      <c r="S231" s="100" t="str">
        <f>IFERROR(Tablo520[[#This Row],[YOLLUK HARİÇ BASKI GRAMI]]/Tablo520[[#This Row],[KALIP GÖZ ADEDİ]]," ")</f>
        <v xml:space="preserve"> </v>
      </c>
      <c r="T231" s="100" t="str">
        <f t="shared" si="23"/>
        <v xml:space="preserve"> </v>
      </c>
      <c r="U231" s="100"/>
      <c r="V231" s="100" t="str">
        <f t="shared" si="22"/>
        <v xml:space="preserve"> </v>
      </c>
      <c r="W231" s="101">
        <f t="shared" si="24"/>
        <v>24</v>
      </c>
      <c r="X231" s="102">
        <f t="shared" si="25"/>
        <v>0</v>
      </c>
      <c r="Y231" s="100" t="str">
        <f t="shared" si="26"/>
        <v xml:space="preserve"> </v>
      </c>
      <c r="Z231" s="100" t="str">
        <f t="shared" si="27"/>
        <v xml:space="preserve"> </v>
      </c>
    </row>
    <row r="232" spans="1:26">
      <c r="A232" s="100"/>
      <c r="B232" s="100" t="str">
        <f>IFERROR(VLOOKUP(Tablo520[[#This Row],[ÜRÜN KODU]],YMKODLARI!$A$1:$K$373,2,0)," ")</f>
        <v xml:space="preserve"> </v>
      </c>
      <c r="C232" s="99"/>
      <c r="D232" s="100"/>
      <c r="E232" s="101"/>
      <c r="F232" s="101"/>
      <c r="G232" s="100" t="str">
        <f>IFERROR(VLOOKUP(Tablo520[[#This Row],[ÜRÜN KODU]],YMKODLARI!$A$1:$K$373,3,0)," ")</f>
        <v xml:space="preserve"> </v>
      </c>
      <c r="H232" s="100" t="str">
        <f>IFERROR(VLOOKUP(Tablo520[[#This Row],[ÜRÜN KODU]],YMKODLARI!$A$1:$K$373,4,0)," ")</f>
        <v xml:space="preserve"> </v>
      </c>
      <c r="I232" s="100"/>
      <c r="J232" s="100" t="str">
        <f>IFERROR(VLOOKUP(Tablo520[[#This Row],[ÜRÜN KODU]],YMKODLARI!$A$1:$K$373,9,0)," ")</f>
        <v xml:space="preserve"> </v>
      </c>
      <c r="K232" s="100" t="str">
        <f>IFERROR(VLOOKUP(Tablo520[[#This Row],[BOYA KODU]],Tablo14[#All],4,0)," ")</f>
        <v xml:space="preserve"> </v>
      </c>
      <c r="L232" s="100" t="str">
        <f>IFERROR(VLOOKUP(Tablo520[[#This Row],[BOYA KODU]],Tablo14[#All],6,0)," ")</f>
        <v xml:space="preserve"> </v>
      </c>
      <c r="M232" s="100" t="str">
        <f t="shared" si="21"/>
        <v xml:space="preserve"> </v>
      </c>
      <c r="N232" s="100" t="str">
        <f>IFERROR(VLOOKUP(Tablo520[[#This Row],[ÜRÜN KODU]],YMKODLARI!$A$1:$K$373,8,0)," ")</f>
        <v xml:space="preserve"> </v>
      </c>
      <c r="O232" s="100" t="str">
        <f>IFERROR(VLOOKUP(Tablo520[[#This Row],[HAMMADDE KODU]],Tablo1[#All],3,0)," ")</f>
        <v xml:space="preserve"> </v>
      </c>
      <c r="P232" s="100" t="str">
        <f>IFERROR(VLOOKUP(Tablo520[[#This Row],[HAMMADDE KODU]],Tablo1[#All],4,0)," ")</f>
        <v xml:space="preserve"> </v>
      </c>
      <c r="Q232" s="100" t="str">
        <f>IFERROR(VLOOKUP(Tablo520[[#This Row],[ÜRÜN KODU]],YMKODLARI!$A$1:$K$373,5,0)," ")</f>
        <v xml:space="preserve"> </v>
      </c>
      <c r="R232" s="100" t="str">
        <f>IFERROR(VLOOKUP(Tablo520[[#This Row],[ÜRÜN KODU]],YMKODLARI!$A$1:$K$373,6,0)," ")</f>
        <v xml:space="preserve"> </v>
      </c>
      <c r="S232" s="100" t="str">
        <f>IFERROR(Tablo520[[#This Row],[YOLLUK HARİÇ BASKI GRAMI]]/Tablo520[[#This Row],[KALIP GÖZ ADEDİ]]," ")</f>
        <v xml:space="preserve"> </v>
      </c>
      <c r="T232" s="100" t="str">
        <f t="shared" si="23"/>
        <v xml:space="preserve"> </v>
      </c>
      <c r="U232" s="100"/>
      <c r="V232" s="100" t="str">
        <f t="shared" si="22"/>
        <v xml:space="preserve"> </v>
      </c>
      <c r="W232" s="101">
        <f t="shared" si="24"/>
        <v>24</v>
      </c>
      <c r="X232" s="102">
        <f t="shared" si="25"/>
        <v>0</v>
      </c>
      <c r="Y232" s="100" t="str">
        <f t="shared" si="26"/>
        <v xml:space="preserve"> </v>
      </c>
      <c r="Z232" s="100" t="str">
        <f t="shared" si="27"/>
        <v xml:space="preserve"> </v>
      </c>
    </row>
    <row r="233" spans="1:26">
      <c r="A233" s="100"/>
      <c r="B233" s="100" t="str">
        <f>IFERROR(VLOOKUP(Tablo520[[#This Row],[ÜRÜN KODU]],YMKODLARI!$A$1:$K$373,2,0)," ")</f>
        <v xml:space="preserve"> </v>
      </c>
      <c r="C233" s="99"/>
      <c r="D233" s="100"/>
      <c r="E233" s="101"/>
      <c r="F233" s="101"/>
      <c r="G233" s="100" t="str">
        <f>IFERROR(VLOOKUP(Tablo520[[#This Row],[ÜRÜN KODU]],YMKODLARI!$A$1:$K$373,3,0)," ")</f>
        <v xml:space="preserve"> </v>
      </c>
      <c r="H233" s="100" t="str">
        <f>IFERROR(VLOOKUP(Tablo520[[#This Row],[ÜRÜN KODU]],YMKODLARI!$A$1:$K$373,4,0)," ")</f>
        <v xml:space="preserve"> </v>
      </c>
      <c r="I233" s="100"/>
      <c r="J233" s="100" t="str">
        <f>IFERROR(VLOOKUP(Tablo520[[#This Row],[ÜRÜN KODU]],YMKODLARI!$A$1:$K$373,9,0)," ")</f>
        <v xml:space="preserve"> </v>
      </c>
      <c r="K233" s="100" t="str">
        <f>IFERROR(VLOOKUP(Tablo520[[#This Row],[BOYA KODU]],Tablo14[#All],4,0)," ")</f>
        <v xml:space="preserve"> </v>
      </c>
      <c r="L233" s="100" t="str">
        <f>IFERROR(VLOOKUP(Tablo520[[#This Row],[BOYA KODU]],Tablo14[#All],6,0)," ")</f>
        <v xml:space="preserve"> </v>
      </c>
      <c r="M233" s="100" t="str">
        <f t="shared" si="21"/>
        <v xml:space="preserve"> </v>
      </c>
      <c r="N233" s="100" t="str">
        <f>IFERROR(VLOOKUP(Tablo520[[#This Row],[ÜRÜN KODU]],YMKODLARI!$A$1:$K$373,8,0)," ")</f>
        <v xml:space="preserve"> </v>
      </c>
      <c r="O233" s="100" t="str">
        <f>IFERROR(VLOOKUP(Tablo520[[#This Row],[HAMMADDE KODU]],Tablo1[#All],3,0)," ")</f>
        <v xml:space="preserve"> </v>
      </c>
      <c r="P233" s="100" t="str">
        <f>IFERROR(VLOOKUP(Tablo520[[#This Row],[HAMMADDE KODU]],Tablo1[#All],4,0)," ")</f>
        <v xml:space="preserve"> </v>
      </c>
      <c r="Q233" s="100" t="str">
        <f>IFERROR(VLOOKUP(Tablo520[[#This Row],[ÜRÜN KODU]],YMKODLARI!$A$1:$K$373,5,0)," ")</f>
        <v xml:space="preserve"> </v>
      </c>
      <c r="R233" s="100" t="str">
        <f>IFERROR(VLOOKUP(Tablo520[[#This Row],[ÜRÜN KODU]],YMKODLARI!$A$1:$K$373,6,0)," ")</f>
        <v xml:space="preserve"> </v>
      </c>
      <c r="S233" s="100" t="str">
        <f>IFERROR(Tablo520[[#This Row],[YOLLUK HARİÇ BASKI GRAMI]]/Tablo520[[#This Row],[KALIP GÖZ ADEDİ]]," ")</f>
        <v xml:space="preserve"> </v>
      </c>
      <c r="T233" s="100" t="str">
        <f t="shared" si="23"/>
        <v xml:space="preserve"> </v>
      </c>
      <c r="U233" s="100"/>
      <c r="V233" s="100" t="str">
        <f t="shared" si="22"/>
        <v xml:space="preserve"> </v>
      </c>
      <c r="W233" s="101">
        <f t="shared" si="24"/>
        <v>24</v>
      </c>
      <c r="X233" s="102">
        <f t="shared" si="25"/>
        <v>0</v>
      </c>
      <c r="Y233" s="100" t="str">
        <f t="shared" si="26"/>
        <v xml:space="preserve"> </v>
      </c>
      <c r="Z233" s="100" t="str">
        <f t="shared" si="27"/>
        <v xml:space="preserve"> </v>
      </c>
    </row>
    <row r="234" spans="1:26">
      <c r="A234" s="100"/>
      <c r="B234" s="100" t="str">
        <f>IFERROR(VLOOKUP(Tablo520[[#This Row],[ÜRÜN KODU]],YMKODLARI!$A$1:$K$373,2,0)," ")</f>
        <v xml:space="preserve"> </v>
      </c>
      <c r="C234" s="99"/>
      <c r="D234" s="100"/>
      <c r="E234" s="101"/>
      <c r="F234" s="101"/>
      <c r="G234" s="100" t="str">
        <f>IFERROR(VLOOKUP(Tablo520[[#This Row],[ÜRÜN KODU]],YMKODLARI!$A$1:$K$373,3,0)," ")</f>
        <v xml:space="preserve"> </v>
      </c>
      <c r="H234" s="100" t="str">
        <f>IFERROR(VLOOKUP(Tablo520[[#This Row],[ÜRÜN KODU]],YMKODLARI!$A$1:$K$373,4,0)," ")</f>
        <v xml:space="preserve"> </v>
      </c>
      <c r="I234" s="100"/>
      <c r="J234" s="100" t="str">
        <f>IFERROR(VLOOKUP(Tablo520[[#This Row],[ÜRÜN KODU]],YMKODLARI!$A$1:$K$373,9,0)," ")</f>
        <v xml:space="preserve"> </v>
      </c>
      <c r="K234" s="100" t="str">
        <f>IFERROR(VLOOKUP(Tablo520[[#This Row],[BOYA KODU]],Tablo14[#All],4,0)," ")</f>
        <v xml:space="preserve"> </v>
      </c>
      <c r="L234" s="100" t="str">
        <f>IFERROR(VLOOKUP(Tablo520[[#This Row],[BOYA KODU]],Tablo14[#All],6,0)," ")</f>
        <v xml:space="preserve"> </v>
      </c>
      <c r="M234" s="100" t="str">
        <f t="shared" si="21"/>
        <v xml:space="preserve"> </v>
      </c>
      <c r="N234" s="100" t="str">
        <f>IFERROR(VLOOKUP(Tablo520[[#This Row],[ÜRÜN KODU]],YMKODLARI!$A$1:$K$373,8,0)," ")</f>
        <v xml:space="preserve"> </v>
      </c>
      <c r="O234" s="100" t="str">
        <f>IFERROR(VLOOKUP(Tablo520[[#This Row],[HAMMADDE KODU]],Tablo1[#All],3,0)," ")</f>
        <v xml:space="preserve"> </v>
      </c>
      <c r="P234" s="100" t="str">
        <f>IFERROR(VLOOKUP(Tablo520[[#This Row],[HAMMADDE KODU]],Tablo1[#All],4,0)," ")</f>
        <v xml:space="preserve"> </v>
      </c>
      <c r="Q234" s="100" t="str">
        <f>IFERROR(VLOOKUP(Tablo520[[#This Row],[ÜRÜN KODU]],YMKODLARI!$A$1:$K$373,5,0)," ")</f>
        <v xml:space="preserve"> </v>
      </c>
      <c r="R234" s="100" t="str">
        <f>IFERROR(VLOOKUP(Tablo520[[#This Row],[ÜRÜN KODU]],YMKODLARI!$A$1:$K$373,6,0)," ")</f>
        <v xml:space="preserve"> </v>
      </c>
      <c r="S234" s="100" t="str">
        <f>IFERROR(Tablo520[[#This Row],[YOLLUK HARİÇ BASKI GRAMI]]/Tablo520[[#This Row],[KALIP GÖZ ADEDİ]]," ")</f>
        <v xml:space="preserve"> </v>
      </c>
      <c r="T234" s="100" t="str">
        <f t="shared" si="23"/>
        <v xml:space="preserve"> </v>
      </c>
      <c r="U234" s="100"/>
      <c r="V234" s="100" t="str">
        <f t="shared" si="22"/>
        <v xml:space="preserve"> </v>
      </c>
      <c r="W234" s="101">
        <f t="shared" si="24"/>
        <v>24</v>
      </c>
      <c r="X234" s="102">
        <f t="shared" si="25"/>
        <v>0</v>
      </c>
      <c r="Y234" s="100" t="str">
        <f t="shared" si="26"/>
        <v xml:space="preserve"> </v>
      </c>
      <c r="Z234" s="100" t="str">
        <f t="shared" si="27"/>
        <v xml:space="preserve"> </v>
      </c>
    </row>
    <row r="235" spans="1:26">
      <c r="A235" s="100"/>
      <c r="B235" s="100" t="str">
        <f>IFERROR(VLOOKUP(Tablo520[[#This Row],[ÜRÜN KODU]],YMKODLARI!$A$1:$K$373,2,0)," ")</f>
        <v xml:space="preserve"> </v>
      </c>
      <c r="C235" s="99"/>
      <c r="D235" s="100"/>
      <c r="E235" s="101"/>
      <c r="F235" s="101"/>
      <c r="G235" s="100" t="str">
        <f>IFERROR(VLOOKUP(Tablo520[[#This Row],[ÜRÜN KODU]],YMKODLARI!$A$1:$K$373,3,0)," ")</f>
        <v xml:space="preserve"> </v>
      </c>
      <c r="H235" s="100" t="str">
        <f>IFERROR(VLOOKUP(Tablo520[[#This Row],[ÜRÜN KODU]],YMKODLARI!$A$1:$K$373,4,0)," ")</f>
        <v xml:space="preserve"> </v>
      </c>
      <c r="I235" s="100"/>
      <c r="J235" s="100" t="str">
        <f>IFERROR(VLOOKUP(Tablo520[[#This Row],[ÜRÜN KODU]],YMKODLARI!$A$1:$K$373,9,0)," ")</f>
        <v xml:space="preserve"> </v>
      </c>
      <c r="K235" s="100" t="str">
        <f>IFERROR(VLOOKUP(Tablo520[[#This Row],[BOYA KODU]],Tablo14[#All],4,0)," ")</f>
        <v xml:space="preserve"> </v>
      </c>
      <c r="L235" s="100" t="str">
        <f>IFERROR(VLOOKUP(Tablo520[[#This Row],[BOYA KODU]],Tablo14[#All],6,0)," ")</f>
        <v xml:space="preserve"> </v>
      </c>
      <c r="M235" s="100" t="str">
        <f t="shared" si="21"/>
        <v xml:space="preserve"> </v>
      </c>
      <c r="N235" s="100" t="str">
        <f>IFERROR(VLOOKUP(Tablo520[[#This Row],[ÜRÜN KODU]],YMKODLARI!$A$1:$K$373,8,0)," ")</f>
        <v xml:space="preserve"> </v>
      </c>
      <c r="O235" s="100" t="str">
        <f>IFERROR(VLOOKUP(Tablo520[[#This Row],[HAMMADDE KODU]],Tablo1[#All],3,0)," ")</f>
        <v xml:space="preserve"> </v>
      </c>
      <c r="P235" s="100" t="str">
        <f>IFERROR(VLOOKUP(Tablo520[[#This Row],[HAMMADDE KODU]],Tablo1[#All],4,0)," ")</f>
        <v xml:space="preserve"> </v>
      </c>
      <c r="Q235" s="100" t="str">
        <f>IFERROR(VLOOKUP(Tablo520[[#This Row],[ÜRÜN KODU]],YMKODLARI!$A$1:$K$373,5,0)," ")</f>
        <v xml:space="preserve"> </v>
      </c>
      <c r="R235" s="100" t="str">
        <f>IFERROR(VLOOKUP(Tablo520[[#This Row],[ÜRÜN KODU]],YMKODLARI!$A$1:$K$373,6,0)," ")</f>
        <v xml:space="preserve"> </v>
      </c>
      <c r="S235" s="100" t="str">
        <f>IFERROR(Tablo520[[#This Row],[YOLLUK HARİÇ BASKI GRAMI]]/Tablo520[[#This Row],[KALIP GÖZ ADEDİ]]," ")</f>
        <v xml:space="preserve"> </v>
      </c>
      <c r="T235" s="100" t="str">
        <f t="shared" si="23"/>
        <v xml:space="preserve"> </v>
      </c>
      <c r="U235" s="100"/>
      <c r="V235" s="100" t="str">
        <f t="shared" si="22"/>
        <v xml:space="preserve"> </v>
      </c>
      <c r="W235" s="101">
        <f t="shared" si="24"/>
        <v>24</v>
      </c>
      <c r="X235" s="102">
        <f t="shared" si="25"/>
        <v>0</v>
      </c>
      <c r="Y235" s="100" t="str">
        <f t="shared" si="26"/>
        <v xml:space="preserve"> </v>
      </c>
      <c r="Z235" s="100" t="str">
        <f t="shared" si="27"/>
        <v xml:space="preserve"> </v>
      </c>
    </row>
    <row r="236" spans="1:26">
      <c r="A236" s="100"/>
      <c r="B236" s="100" t="str">
        <f>IFERROR(VLOOKUP(Tablo520[[#This Row],[ÜRÜN KODU]],YMKODLARI!$A$1:$K$373,2,0)," ")</f>
        <v xml:space="preserve"> </v>
      </c>
      <c r="C236" s="99"/>
      <c r="D236" s="100"/>
      <c r="E236" s="101"/>
      <c r="F236" s="101"/>
      <c r="G236" s="100" t="str">
        <f>IFERROR(VLOOKUP(Tablo520[[#This Row],[ÜRÜN KODU]],YMKODLARI!$A$1:$K$373,3,0)," ")</f>
        <v xml:space="preserve"> </v>
      </c>
      <c r="H236" s="100" t="str">
        <f>IFERROR(VLOOKUP(Tablo520[[#This Row],[ÜRÜN KODU]],YMKODLARI!$A$1:$K$373,4,0)," ")</f>
        <v xml:space="preserve"> </v>
      </c>
      <c r="I236" s="100"/>
      <c r="J236" s="100" t="str">
        <f>IFERROR(VLOOKUP(Tablo520[[#This Row],[ÜRÜN KODU]],YMKODLARI!$A$1:$K$373,9,0)," ")</f>
        <v xml:space="preserve"> </v>
      </c>
      <c r="K236" s="100" t="str">
        <f>IFERROR(VLOOKUP(Tablo520[[#This Row],[BOYA KODU]],Tablo14[#All],4,0)," ")</f>
        <v xml:space="preserve"> </v>
      </c>
      <c r="L236" s="100" t="str">
        <f>IFERROR(VLOOKUP(Tablo520[[#This Row],[BOYA KODU]],Tablo14[#All],6,0)," ")</f>
        <v xml:space="preserve"> </v>
      </c>
      <c r="M236" s="100" t="str">
        <f t="shared" si="21"/>
        <v xml:space="preserve"> </v>
      </c>
      <c r="N236" s="100" t="str">
        <f>IFERROR(VLOOKUP(Tablo520[[#This Row],[ÜRÜN KODU]],YMKODLARI!$A$1:$K$373,8,0)," ")</f>
        <v xml:space="preserve"> </v>
      </c>
      <c r="O236" s="100" t="str">
        <f>IFERROR(VLOOKUP(Tablo520[[#This Row],[HAMMADDE KODU]],Tablo1[#All],3,0)," ")</f>
        <v xml:space="preserve"> </v>
      </c>
      <c r="P236" s="100" t="str">
        <f>IFERROR(VLOOKUP(Tablo520[[#This Row],[HAMMADDE KODU]],Tablo1[#All],4,0)," ")</f>
        <v xml:space="preserve"> </v>
      </c>
      <c r="Q236" s="100" t="str">
        <f>IFERROR(VLOOKUP(Tablo520[[#This Row],[ÜRÜN KODU]],YMKODLARI!$A$1:$K$373,5,0)," ")</f>
        <v xml:space="preserve"> </v>
      </c>
      <c r="R236" s="100" t="str">
        <f>IFERROR(VLOOKUP(Tablo520[[#This Row],[ÜRÜN KODU]],YMKODLARI!$A$1:$K$373,6,0)," ")</f>
        <v xml:space="preserve"> </v>
      </c>
      <c r="S236" s="100" t="str">
        <f>IFERROR(Tablo520[[#This Row],[YOLLUK HARİÇ BASKI GRAMI]]/Tablo520[[#This Row],[KALIP GÖZ ADEDİ]]," ")</f>
        <v xml:space="preserve"> </v>
      </c>
      <c r="T236" s="100" t="str">
        <f t="shared" si="23"/>
        <v xml:space="preserve"> </v>
      </c>
      <c r="U236" s="100"/>
      <c r="V236" s="100" t="str">
        <f t="shared" si="22"/>
        <v xml:space="preserve"> </v>
      </c>
      <c r="W236" s="101">
        <f t="shared" si="24"/>
        <v>24</v>
      </c>
      <c r="X236" s="102">
        <f t="shared" si="25"/>
        <v>0</v>
      </c>
      <c r="Y236" s="100" t="str">
        <f t="shared" si="26"/>
        <v xml:space="preserve"> </v>
      </c>
      <c r="Z236" s="100" t="str">
        <f t="shared" si="27"/>
        <v xml:space="preserve"> </v>
      </c>
    </row>
    <row r="237" spans="1:26">
      <c r="A237" s="100"/>
      <c r="B237" s="100" t="str">
        <f>IFERROR(VLOOKUP(Tablo520[[#This Row],[ÜRÜN KODU]],YMKODLARI!$A$1:$K$373,2,0)," ")</f>
        <v xml:space="preserve"> </v>
      </c>
      <c r="C237" s="99"/>
      <c r="D237" s="100"/>
      <c r="E237" s="101"/>
      <c r="F237" s="101"/>
      <c r="G237" s="100" t="str">
        <f>IFERROR(VLOOKUP(Tablo520[[#This Row],[ÜRÜN KODU]],YMKODLARI!$A$1:$K$373,3,0)," ")</f>
        <v xml:space="preserve"> </v>
      </c>
      <c r="H237" s="100" t="str">
        <f>IFERROR(VLOOKUP(Tablo520[[#This Row],[ÜRÜN KODU]],YMKODLARI!$A$1:$K$373,4,0)," ")</f>
        <v xml:space="preserve"> </v>
      </c>
      <c r="I237" s="100"/>
      <c r="J237" s="100" t="str">
        <f>IFERROR(VLOOKUP(Tablo520[[#This Row],[ÜRÜN KODU]],YMKODLARI!$A$1:$K$373,9,0)," ")</f>
        <v xml:space="preserve"> </v>
      </c>
      <c r="K237" s="100" t="str">
        <f>IFERROR(VLOOKUP(Tablo520[[#This Row],[BOYA KODU]],Tablo14[#All],4,0)," ")</f>
        <v xml:space="preserve"> </v>
      </c>
      <c r="L237" s="100" t="str">
        <f>IFERROR(VLOOKUP(Tablo520[[#This Row],[BOYA KODU]],Tablo14[#All],6,0)," ")</f>
        <v xml:space="preserve"> </v>
      </c>
      <c r="M237" s="100" t="str">
        <f t="shared" si="21"/>
        <v xml:space="preserve"> </v>
      </c>
      <c r="N237" s="100" t="str">
        <f>IFERROR(VLOOKUP(Tablo520[[#This Row],[ÜRÜN KODU]],YMKODLARI!$A$1:$K$373,8,0)," ")</f>
        <v xml:space="preserve"> </v>
      </c>
      <c r="O237" s="100" t="str">
        <f>IFERROR(VLOOKUP(Tablo520[[#This Row],[HAMMADDE KODU]],Tablo1[#All],3,0)," ")</f>
        <v xml:space="preserve"> </v>
      </c>
      <c r="P237" s="100" t="str">
        <f>IFERROR(VLOOKUP(Tablo520[[#This Row],[HAMMADDE KODU]],Tablo1[#All],4,0)," ")</f>
        <v xml:space="preserve"> </v>
      </c>
      <c r="Q237" s="100" t="str">
        <f>IFERROR(VLOOKUP(Tablo520[[#This Row],[ÜRÜN KODU]],YMKODLARI!$A$1:$K$373,5,0)," ")</f>
        <v xml:space="preserve"> </v>
      </c>
      <c r="R237" s="100" t="str">
        <f>IFERROR(VLOOKUP(Tablo520[[#This Row],[ÜRÜN KODU]],YMKODLARI!$A$1:$K$373,6,0)," ")</f>
        <v xml:space="preserve"> </v>
      </c>
      <c r="S237" s="100" t="str">
        <f>IFERROR(Tablo520[[#This Row],[YOLLUK HARİÇ BASKI GRAMI]]/Tablo520[[#This Row],[KALIP GÖZ ADEDİ]]," ")</f>
        <v xml:space="preserve"> </v>
      </c>
      <c r="T237" s="100" t="str">
        <f t="shared" si="23"/>
        <v xml:space="preserve"> </v>
      </c>
      <c r="U237" s="100"/>
      <c r="V237" s="100" t="str">
        <f t="shared" si="22"/>
        <v xml:space="preserve"> </v>
      </c>
      <c r="W237" s="101">
        <f t="shared" si="24"/>
        <v>24</v>
      </c>
      <c r="X237" s="102">
        <f t="shared" si="25"/>
        <v>0</v>
      </c>
      <c r="Y237" s="100" t="str">
        <f t="shared" si="26"/>
        <v xml:space="preserve"> </v>
      </c>
      <c r="Z237" s="100" t="str">
        <f t="shared" si="27"/>
        <v xml:space="preserve"> </v>
      </c>
    </row>
    <row r="238" spans="1:26">
      <c r="A238" s="100"/>
      <c r="B238" s="100" t="str">
        <f>IFERROR(VLOOKUP(Tablo520[[#This Row],[ÜRÜN KODU]],YMKODLARI!$A$1:$K$373,2,0)," ")</f>
        <v xml:space="preserve"> </v>
      </c>
      <c r="C238" s="99"/>
      <c r="D238" s="100"/>
      <c r="E238" s="101"/>
      <c r="F238" s="101"/>
      <c r="G238" s="100" t="str">
        <f>IFERROR(VLOOKUP(Tablo520[[#This Row],[ÜRÜN KODU]],YMKODLARI!$A$1:$K$373,3,0)," ")</f>
        <v xml:space="preserve"> </v>
      </c>
      <c r="H238" s="100" t="str">
        <f>IFERROR(VLOOKUP(Tablo520[[#This Row],[ÜRÜN KODU]],YMKODLARI!$A$1:$K$373,4,0)," ")</f>
        <v xml:space="preserve"> </v>
      </c>
      <c r="I238" s="100"/>
      <c r="J238" s="100" t="str">
        <f>IFERROR(VLOOKUP(Tablo520[[#This Row],[ÜRÜN KODU]],YMKODLARI!$A$1:$K$373,9,0)," ")</f>
        <v xml:space="preserve"> </v>
      </c>
      <c r="K238" s="100" t="str">
        <f>IFERROR(VLOOKUP(Tablo520[[#This Row],[BOYA KODU]],Tablo14[#All],4,0)," ")</f>
        <v xml:space="preserve"> </v>
      </c>
      <c r="L238" s="100" t="str">
        <f>IFERROR(VLOOKUP(Tablo520[[#This Row],[BOYA KODU]],Tablo14[#All],6,0)," ")</f>
        <v xml:space="preserve"> </v>
      </c>
      <c r="M238" s="100" t="str">
        <f t="shared" si="21"/>
        <v xml:space="preserve"> </v>
      </c>
      <c r="N238" s="100" t="str">
        <f>IFERROR(VLOOKUP(Tablo520[[#This Row],[ÜRÜN KODU]],YMKODLARI!$A$1:$K$373,8,0)," ")</f>
        <v xml:space="preserve"> </v>
      </c>
      <c r="O238" s="100" t="str">
        <f>IFERROR(VLOOKUP(Tablo520[[#This Row],[HAMMADDE KODU]],Tablo1[#All],3,0)," ")</f>
        <v xml:space="preserve"> </v>
      </c>
      <c r="P238" s="100" t="str">
        <f>IFERROR(VLOOKUP(Tablo520[[#This Row],[HAMMADDE KODU]],Tablo1[#All],4,0)," ")</f>
        <v xml:space="preserve"> </v>
      </c>
      <c r="Q238" s="100" t="str">
        <f>IFERROR(VLOOKUP(Tablo520[[#This Row],[ÜRÜN KODU]],YMKODLARI!$A$1:$K$373,5,0)," ")</f>
        <v xml:space="preserve"> </v>
      </c>
      <c r="R238" s="100" t="str">
        <f>IFERROR(VLOOKUP(Tablo520[[#This Row],[ÜRÜN KODU]],YMKODLARI!$A$1:$K$373,6,0)," ")</f>
        <v xml:space="preserve"> </v>
      </c>
      <c r="S238" s="100" t="str">
        <f>IFERROR(Tablo520[[#This Row],[YOLLUK HARİÇ BASKI GRAMI]]/Tablo520[[#This Row],[KALIP GÖZ ADEDİ]]," ")</f>
        <v xml:space="preserve"> </v>
      </c>
      <c r="T238" s="100" t="str">
        <f t="shared" si="23"/>
        <v xml:space="preserve"> </v>
      </c>
      <c r="U238" s="100"/>
      <c r="V238" s="100" t="str">
        <f t="shared" si="22"/>
        <v xml:space="preserve"> </v>
      </c>
      <c r="W238" s="101">
        <f t="shared" si="24"/>
        <v>24</v>
      </c>
      <c r="X238" s="102">
        <f t="shared" si="25"/>
        <v>0</v>
      </c>
      <c r="Y238" s="100" t="str">
        <f t="shared" si="26"/>
        <v xml:space="preserve"> </v>
      </c>
      <c r="Z238" s="100" t="str">
        <f t="shared" si="27"/>
        <v xml:space="preserve"> </v>
      </c>
    </row>
    <row r="239" spans="1:26">
      <c r="A239" s="100"/>
      <c r="B239" s="100" t="str">
        <f>IFERROR(VLOOKUP(Tablo520[[#This Row],[ÜRÜN KODU]],YMKODLARI!$A$1:$K$373,2,0)," ")</f>
        <v xml:space="preserve"> </v>
      </c>
      <c r="C239" s="99"/>
      <c r="D239" s="100"/>
      <c r="E239" s="101"/>
      <c r="F239" s="101"/>
      <c r="G239" s="100" t="str">
        <f>IFERROR(VLOOKUP(Tablo520[[#This Row],[ÜRÜN KODU]],YMKODLARI!$A$1:$K$373,3,0)," ")</f>
        <v xml:space="preserve"> </v>
      </c>
      <c r="H239" s="100" t="str">
        <f>IFERROR(VLOOKUP(Tablo520[[#This Row],[ÜRÜN KODU]],YMKODLARI!$A$1:$K$373,4,0)," ")</f>
        <v xml:space="preserve"> </v>
      </c>
      <c r="I239" s="100"/>
      <c r="J239" s="100" t="str">
        <f>IFERROR(VLOOKUP(Tablo520[[#This Row],[ÜRÜN KODU]],YMKODLARI!$A$1:$K$373,9,0)," ")</f>
        <v xml:space="preserve"> </v>
      </c>
      <c r="K239" s="100" t="str">
        <f>IFERROR(VLOOKUP(Tablo520[[#This Row],[BOYA KODU]],Tablo14[#All],4,0)," ")</f>
        <v xml:space="preserve"> </v>
      </c>
      <c r="L239" s="100" t="str">
        <f>IFERROR(VLOOKUP(Tablo520[[#This Row],[BOYA KODU]],Tablo14[#All],6,0)," ")</f>
        <v xml:space="preserve"> </v>
      </c>
      <c r="M239" s="100" t="str">
        <f t="shared" si="21"/>
        <v xml:space="preserve"> </v>
      </c>
      <c r="N239" s="100" t="str">
        <f>IFERROR(VLOOKUP(Tablo520[[#This Row],[ÜRÜN KODU]],YMKODLARI!$A$1:$K$373,8,0)," ")</f>
        <v xml:space="preserve"> </v>
      </c>
      <c r="O239" s="100" t="str">
        <f>IFERROR(VLOOKUP(Tablo520[[#This Row],[HAMMADDE KODU]],Tablo1[#All],3,0)," ")</f>
        <v xml:space="preserve"> </v>
      </c>
      <c r="P239" s="100" t="str">
        <f>IFERROR(VLOOKUP(Tablo520[[#This Row],[HAMMADDE KODU]],Tablo1[#All],4,0)," ")</f>
        <v xml:space="preserve"> </v>
      </c>
      <c r="Q239" s="100" t="str">
        <f>IFERROR(VLOOKUP(Tablo520[[#This Row],[ÜRÜN KODU]],YMKODLARI!$A$1:$K$373,5,0)," ")</f>
        <v xml:space="preserve"> </v>
      </c>
      <c r="R239" s="100" t="str">
        <f>IFERROR(VLOOKUP(Tablo520[[#This Row],[ÜRÜN KODU]],YMKODLARI!$A$1:$K$373,6,0)," ")</f>
        <v xml:space="preserve"> </v>
      </c>
      <c r="S239" s="100" t="str">
        <f>IFERROR(Tablo520[[#This Row],[YOLLUK HARİÇ BASKI GRAMI]]/Tablo520[[#This Row],[KALIP GÖZ ADEDİ]]," ")</f>
        <v xml:space="preserve"> </v>
      </c>
      <c r="T239" s="100" t="str">
        <f t="shared" si="23"/>
        <v xml:space="preserve"> </v>
      </c>
      <c r="U239" s="100"/>
      <c r="V239" s="100" t="str">
        <f t="shared" si="22"/>
        <v xml:space="preserve"> </v>
      </c>
      <c r="W239" s="101">
        <f t="shared" si="24"/>
        <v>24</v>
      </c>
      <c r="X239" s="102">
        <f t="shared" si="25"/>
        <v>0</v>
      </c>
      <c r="Y239" s="100" t="str">
        <f t="shared" si="26"/>
        <v xml:space="preserve"> </v>
      </c>
      <c r="Z239" s="100" t="str">
        <f t="shared" si="27"/>
        <v xml:space="preserve"> </v>
      </c>
    </row>
    <row r="240" spans="1:26">
      <c r="A240" s="100"/>
      <c r="B240" s="100" t="str">
        <f>IFERROR(VLOOKUP(Tablo520[[#This Row],[ÜRÜN KODU]],YMKODLARI!$A$1:$K$373,2,0)," ")</f>
        <v xml:space="preserve"> </v>
      </c>
      <c r="C240" s="99"/>
      <c r="D240" s="100"/>
      <c r="E240" s="101"/>
      <c r="F240" s="101"/>
      <c r="G240" s="100" t="str">
        <f>IFERROR(VLOOKUP(Tablo520[[#This Row],[ÜRÜN KODU]],YMKODLARI!$A$1:$K$373,3,0)," ")</f>
        <v xml:space="preserve"> </v>
      </c>
      <c r="H240" s="100" t="str">
        <f>IFERROR(VLOOKUP(Tablo520[[#This Row],[ÜRÜN KODU]],YMKODLARI!$A$1:$K$373,4,0)," ")</f>
        <v xml:space="preserve"> </v>
      </c>
      <c r="I240" s="100"/>
      <c r="J240" s="100" t="str">
        <f>IFERROR(VLOOKUP(Tablo520[[#This Row],[ÜRÜN KODU]],YMKODLARI!$A$1:$K$373,9,0)," ")</f>
        <v xml:space="preserve"> </v>
      </c>
      <c r="K240" s="100" t="str">
        <f>IFERROR(VLOOKUP(Tablo520[[#This Row],[BOYA KODU]],Tablo14[#All],4,0)," ")</f>
        <v xml:space="preserve"> </v>
      </c>
      <c r="L240" s="100" t="str">
        <f>IFERROR(VLOOKUP(Tablo520[[#This Row],[BOYA KODU]],Tablo14[#All],6,0)," ")</f>
        <v xml:space="preserve"> </v>
      </c>
      <c r="M240" s="100" t="str">
        <f t="shared" si="21"/>
        <v xml:space="preserve"> </v>
      </c>
      <c r="N240" s="100" t="str">
        <f>IFERROR(VLOOKUP(Tablo520[[#This Row],[ÜRÜN KODU]],YMKODLARI!$A$1:$K$373,8,0)," ")</f>
        <v xml:space="preserve"> </v>
      </c>
      <c r="O240" s="100" t="str">
        <f>IFERROR(VLOOKUP(Tablo520[[#This Row],[HAMMADDE KODU]],Tablo1[#All],3,0)," ")</f>
        <v xml:space="preserve"> </v>
      </c>
      <c r="P240" s="100" t="str">
        <f>IFERROR(VLOOKUP(Tablo520[[#This Row],[HAMMADDE KODU]],Tablo1[#All],4,0)," ")</f>
        <v xml:space="preserve"> </v>
      </c>
      <c r="Q240" s="100" t="str">
        <f>IFERROR(VLOOKUP(Tablo520[[#This Row],[ÜRÜN KODU]],YMKODLARI!$A$1:$K$373,5,0)," ")</f>
        <v xml:space="preserve"> </v>
      </c>
      <c r="R240" s="100" t="str">
        <f>IFERROR(VLOOKUP(Tablo520[[#This Row],[ÜRÜN KODU]],YMKODLARI!$A$1:$K$373,6,0)," ")</f>
        <v xml:space="preserve"> </v>
      </c>
      <c r="S240" s="100" t="str">
        <f>IFERROR(Tablo520[[#This Row],[YOLLUK HARİÇ BASKI GRAMI]]/Tablo520[[#This Row],[KALIP GÖZ ADEDİ]]," ")</f>
        <v xml:space="preserve"> </v>
      </c>
      <c r="T240" s="100" t="str">
        <f t="shared" si="23"/>
        <v xml:space="preserve"> </v>
      </c>
      <c r="U240" s="100"/>
      <c r="V240" s="100" t="str">
        <f t="shared" si="22"/>
        <v xml:space="preserve"> </v>
      </c>
      <c r="W240" s="101">
        <f t="shared" si="24"/>
        <v>24</v>
      </c>
      <c r="X240" s="102">
        <f t="shared" si="25"/>
        <v>0</v>
      </c>
      <c r="Y240" s="100" t="str">
        <f t="shared" si="26"/>
        <v xml:space="preserve"> </v>
      </c>
      <c r="Z240" s="100" t="str">
        <f t="shared" si="27"/>
        <v xml:space="preserve"> </v>
      </c>
    </row>
    <row r="241" spans="1:26">
      <c r="A241" s="100"/>
      <c r="B241" s="100" t="str">
        <f>IFERROR(VLOOKUP(Tablo520[[#This Row],[ÜRÜN KODU]],YMKODLARI!$A$1:$K$373,2,0)," ")</f>
        <v xml:space="preserve"> </v>
      </c>
      <c r="C241" s="99"/>
      <c r="D241" s="100"/>
      <c r="E241" s="101"/>
      <c r="F241" s="101"/>
      <c r="G241" s="100" t="str">
        <f>IFERROR(VLOOKUP(Tablo520[[#This Row],[ÜRÜN KODU]],YMKODLARI!$A$1:$K$373,3,0)," ")</f>
        <v xml:space="preserve"> </v>
      </c>
      <c r="H241" s="100" t="str">
        <f>IFERROR(VLOOKUP(Tablo520[[#This Row],[ÜRÜN KODU]],YMKODLARI!$A$1:$K$373,4,0)," ")</f>
        <v xml:space="preserve"> </v>
      </c>
      <c r="I241" s="100"/>
      <c r="J241" s="100" t="str">
        <f>IFERROR(VLOOKUP(Tablo520[[#This Row],[ÜRÜN KODU]],YMKODLARI!$A$1:$K$373,9,0)," ")</f>
        <v xml:space="preserve"> </v>
      </c>
      <c r="K241" s="100" t="str">
        <f>IFERROR(VLOOKUP(Tablo520[[#This Row],[BOYA KODU]],Tablo14[#All],4,0)," ")</f>
        <v xml:space="preserve"> </v>
      </c>
      <c r="L241" s="100" t="str">
        <f>IFERROR(VLOOKUP(Tablo520[[#This Row],[BOYA KODU]],Tablo14[#All],6,0)," ")</f>
        <v xml:space="preserve"> </v>
      </c>
      <c r="M241" s="100" t="str">
        <f t="shared" si="21"/>
        <v xml:space="preserve"> </v>
      </c>
      <c r="N241" s="100" t="str">
        <f>IFERROR(VLOOKUP(Tablo520[[#This Row],[ÜRÜN KODU]],YMKODLARI!$A$1:$K$373,8,0)," ")</f>
        <v xml:space="preserve"> </v>
      </c>
      <c r="O241" s="100" t="str">
        <f>IFERROR(VLOOKUP(Tablo520[[#This Row],[HAMMADDE KODU]],Tablo1[#All],3,0)," ")</f>
        <v xml:space="preserve"> </v>
      </c>
      <c r="P241" s="100" t="str">
        <f>IFERROR(VLOOKUP(Tablo520[[#This Row],[HAMMADDE KODU]],Tablo1[#All],4,0)," ")</f>
        <v xml:space="preserve"> </v>
      </c>
      <c r="Q241" s="100" t="str">
        <f>IFERROR(VLOOKUP(Tablo520[[#This Row],[ÜRÜN KODU]],YMKODLARI!$A$1:$K$373,5,0)," ")</f>
        <v xml:space="preserve"> </v>
      </c>
      <c r="R241" s="100" t="str">
        <f>IFERROR(VLOOKUP(Tablo520[[#This Row],[ÜRÜN KODU]],YMKODLARI!$A$1:$K$373,6,0)," ")</f>
        <v xml:space="preserve"> </v>
      </c>
      <c r="S241" s="100" t="str">
        <f>IFERROR(Tablo520[[#This Row],[YOLLUK HARİÇ BASKI GRAMI]]/Tablo520[[#This Row],[KALIP GÖZ ADEDİ]]," ")</f>
        <v xml:space="preserve"> </v>
      </c>
      <c r="T241" s="100" t="str">
        <f t="shared" si="23"/>
        <v xml:space="preserve"> </v>
      </c>
      <c r="U241" s="100"/>
      <c r="V241" s="100" t="str">
        <f t="shared" si="22"/>
        <v xml:space="preserve"> </v>
      </c>
      <c r="W241" s="101">
        <f t="shared" si="24"/>
        <v>24</v>
      </c>
      <c r="X241" s="102">
        <f t="shared" si="25"/>
        <v>0</v>
      </c>
      <c r="Y241" s="100" t="str">
        <f t="shared" si="26"/>
        <v xml:space="preserve"> </v>
      </c>
      <c r="Z241" s="100" t="str">
        <f t="shared" si="27"/>
        <v xml:space="preserve"> </v>
      </c>
    </row>
    <row r="242" spans="1:26">
      <c r="A242" s="100"/>
      <c r="B242" s="100" t="str">
        <f>IFERROR(VLOOKUP(Tablo520[[#This Row],[ÜRÜN KODU]],YMKODLARI!$A$1:$K$373,2,0)," ")</f>
        <v xml:space="preserve"> </v>
      </c>
      <c r="C242" s="99"/>
      <c r="D242" s="100"/>
      <c r="E242" s="101"/>
      <c r="F242" s="101"/>
      <c r="G242" s="100" t="str">
        <f>IFERROR(VLOOKUP(Tablo520[[#This Row],[ÜRÜN KODU]],YMKODLARI!$A$1:$K$373,3,0)," ")</f>
        <v xml:space="preserve"> </v>
      </c>
      <c r="H242" s="100" t="str">
        <f>IFERROR(VLOOKUP(Tablo520[[#This Row],[ÜRÜN KODU]],YMKODLARI!$A$1:$K$373,4,0)," ")</f>
        <v xml:space="preserve"> </v>
      </c>
      <c r="I242" s="100"/>
      <c r="J242" s="100" t="str">
        <f>IFERROR(VLOOKUP(Tablo520[[#This Row],[ÜRÜN KODU]],YMKODLARI!$A$1:$K$373,9,0)," ")</f>
        <v xml:space="preserve"> </v>
      </c>
      <c r="K242" s="100" t="str">
        <f>IFERROR(VLOOKUP(Tablo520[[#This Row],[BOYA KODU]],Tablo14[#All],4,0)," ")</f>
        <v xml:space="preserve"> </v>
      </c>
      <c r="L242" s="100" t="str">
        <f>IFERROR(VLOOKUP(Tablo520[[#This Row],[BOYA KODU]],Tablo14[#All],6,0)," ")</f>
        <v xml:space="preserve"> </v>
      </c>
      <c r="M242" s="100" t="str">
        <f t="shared" si="21"/>
        <v xml:space="preserve"> </v>
      </c>
      <c r="N242" s="100" t="str">
        <f>IFERROR(VLOOKUP(Tablo520[[#This Row],[ÜRÜN KODU]],YMKODLARI!$A$1:$K$373,8,0)," ")</f>
        <v xml:space="preserve"> </v>
      </c>
      <c r="O242" s="100" t="str">
        <f>IFERROR(VLOOKUP(Tablo520[[#This Row],[HAMMADDE KODU]],Tablo1[#All],3,0)," ")</f>
        <v xml:space="preserve"> </v>
      </c>
      <c r="P242" s="100" t="str">
        <f>IFERROR(VLOOKUP(Tablo520[[#This Row],[HAMMADDE KODU]],Tablo1[#All],4,0)," ")</f>
        <v xml:space="preserve"> </v>
      </c>
      <c r="Q242" s="100" t="str">
        <f>IFERROR(VLOOKUP(Tablo520[[#This Row],[ÜRÜN KODU]],YMKODLARI!$A$1:$K$373,5,0)," ")</f>
        <v xml:space="preserve"> </v>
      </c>
      <c r="R242" s="100" t="str">
        <f>IFERROR(VLOOKUP(Tablo520[[#This Row],[ÜRÜN KODU]],YMKODLARI!$A$1:$K$373,6,0)," ")</f>
        <v xml:space="preserve"> </v>
      </c>
      <c r="S242" s="100" t="str">
        <f>IFERROR(Tablo520[[#This Row],[YOLLUK HARİÇ BASKI GRAMI]]/Tablo520[[#This Row],[KALIP GÖZ ADEDİ]]," ")</f>
        <v xml:space="preserve"> </v>
      </c>
      <c r="T242" s="100" t="str">
        <f t="shared" si="23"/>
        <v xml:space="preserve"> </v>
      </c>
      <c r="U242" s="100"/>
      <c r="V242" s="100" t="str">
        <f t="shared" si="22"/>
        <v xml:space="preserve"> </v>
      </c>
      <c r="W242" s="101">
        <f t="shared" si="24"/>
        <v>24</v>
      </c>
      <c r="X242" s="102">
        <f t="shared" si="25"/>
        <v>0</v>
      </c>
      <c r="Y242" s="100" t="str">
        <f t="shared" si="26"/>
        <v xml:space="preserve"> </v>
      </c>
      <c r="Z242" s="100" t="str">
        <f t="shared" si="27"/>
        <v xml:space="preserve"> </v>
      </c>
    </row>
    <row r="243" spans="1:26">
      <c r="A243" s="100"/>
      <c r="B243" s="100" t="str">
        <f>IFERROR(VLOOKUP(Tablo520[[#This Row],[ÜRÜN KODU]],YMKODLARI!$A$1:$K$373,2,0)," ")</f>
        <v xml:space="preserve"> </v>
      </c>
      <c r="C243" s="99"/>
      <c r="D243" s="100"/>
      <c r="E243" s="101"/>
      <c r="F243" s="101"/>
      <c r="G243" s="100" t="str">
        <f>IFERROR(VLOOKUP(Tablo520[[#This Row],[ÜRÜN KODU]],YMKODLARI!$A$1:$K$373,3,0)," ")</f>
        <v xml:space="preserve"> </v>
      </c>
      <c r="H243" s="100" t="str">
        <f>IFERROR(VLOOKUP(Tablo520[[#This Row],[ÜRÜN KODU]],YMKODLARI!$A$1:$K$373,4,0)," ")</f>
        <v xml:space="preserve"> </v>
      </c>
      <c r="I243" s="100"/>
      <c r="J243" s="100" t="str">
        <f>IFERROR(VLOOKUP(Tablo520[[#This Row],[ÜRÜN KODU]],YMKODLARI!$A$1:$K$373,9,0)," ")</f>
        <v xml:space="preserve"> </v>
      </c>
      <c r="K243" s="100" t="str">
        <f>IFERROR(VLOOKUP(Tablo520[[#This Row],[BOYA KODU]],Tablo14[#All],4,0)," ")</f>
        <v xml:space="preserve"> </v>
      </c>
      <c r="L243" s="100" t="str">
        <f>IFERROR(VLOOKUP(Tablo520[[#This Row],[BOYA KODU]],Tablo14[#All],6,0)," ")</f>
        <v xml:space="preserve"> </v>
      </c>
      <c r="M243" s="100" t="str">
        <f t="shared" si="21"/>
        <v xml:space="preserve"> </v>
      </c>
      <c r="N243" s="100" t="str">
        <f>IFERROR(VLOOKUP(Tablo520[[#This Row],[ÜRÜN KODU]],YMKODLARI!$A$1:$K$373,8,0)," ")</f>
        <v xml:space="preserve"> </v>
      </c>
      <c r="O243" s="100" t="str">
        <f>IFERROR(VLOOKUP(Tablo520[[#This Row],[HAMMADDE KODU]],Tablo1[#All],3,0)," ")</f>
        <v xml:space="preserve"> </v>
      </c>
      <c r="P243" s="100" t="str">
        <f>IFERROR(VLOOKUP(Tablo520[[#This Row],[HAMMADDE KODU]],Tablo1[#All],4,0)," ")</f>
        <v xml:space="preserve"> </v>
      </c>
      <c r="Q243" s="100" t="str">
        <f>IFERROR(VLOOKUP(Tablo520[[#This Row],[ÜRÜN KODU]],YMKODLARI!$A$1:$K$373,5,0)," ")</f>
        <v xml:space="preserve"> </v>
      </c>
      <c r="R243" s="100" t="str">
        <f>IFERROR(VLOOKUP(Tablo520[[#This Row],[ÜRÜN KODU]],YMKODLARI!$A$1:$K$373,6,0)," ")</f>
        <v xml:space="preserve"> </v>
      </c>
      <c r="S243" s="100" t="str">
        <f>IFERROR(Tablo520[[#This Row],[YOLLUK HARİÇ BASKI GRAMI]]/Tablo520[[#This Row],[KALIP GÖZ ADEDİ]]," ")</f>
        <v xml:space="preserve"> </v>
      </c>
      <c r="T243" s="100" t="str">
        <f t="shared" si="23"/>
        <v xml:space="preserve"> </v>
      </c>
      <c r="U243" s="100"/>
      <c r="V243" s="100" t="str">
        <f t="shared" si="22"/>
        <v xml:space="preserve"> </v>
      </c>
      <c r="W243" s="101">
        <f t="shared" si="24"/>
        <v>24</v>
      </c>
      <c r="X243" s="102">
        <f t="shared" si="25"/>
        <v>0</v>
      </c>
      <c r="Y243" s="100" t="str">
        <f t="shared" si="26"/>
        <v xml:space="preserve"> </v>
      </c>
      <c r="Z243" s="100" t="str">
        <f t="shared" si="27"/>
        <v xml:space="preserve"> </v>
      </c>
    </row>
    <row r="244" spans="1:26">
      <c r="A244" s="100"/>
      <c r="B244" s="100" t="str">
        <f>IFERROR(VLOOKUP(Tablo520[[#This Row],[ÜRÜN KODU]],YMKODLARI!$A$1:$K$373,2,0)," ")</f>
        <v xml:space="preserve"> </v>
      </c>
      <c r="C244" s="99"/>
      <c r="D244" s="100"/>
      <c r="E244" s="101"/>
      <c r="F244" s="101"/>
      <c r="G244" s="100" t="str">
        <f>IFERROR(VLOOKUP(Tablo520[[#This Row],[ÜRÜN KODU]],YMKODLARI!$A$1:$K$373,3,0)," ")</f>
        <v xml:space="preserve"> </v>
      </c>
      <c r="H244" s="100" t="str">
        <f>IFERROR(VLOOKUP(Tablo520[[#This Row],[ÜRÜN KODU]],YMKODLARI!$A$1:$K$373,4,0)," ")</f>
        <v xml:space="preserve"> </v>
      </c>
      <c r="I244" s="100"/>
      <c r="J244" s="100" t="str">
        <f>IFERROR(VLOOKUP(Tablo520[[#This Row],[ÜRÜN KODU]],YMKODLARI!$A$1:$K$373,9,0)," ")</f>
        <v xml:space="preserve"> </v>
      </c>
      <c r="K244" s="100" t="str">
        <f>IFERROR(VLOOKUP(Tablo520[[#This Row],[BOYA KODU]],Tablo14[#All],4,0)," ")</f>
        <v xml:space="preserve"> </v>
      </c>
      <c r="L244" s="100" t="str">
        <f>IFERROR(VLOOKUP(Tablo520[[#This Row],[BOYA KODU]],Tablo14[#All],6,0)," ")</f>
        <v xml:space="preserve"> </v>
      </c>
      <c r="M244" s="100" t="str">
        <f t="shared" si="21"/>
        <v xml:space="preserve"> </v>
      </c>
      <c r="N244" s="100" t="str">
        <f>IFERROR(VLOOKUP(Tablo520[[#This Row],[ÜRÜN KODU]],YMKODLARI!$A$1:$K$373,8,0)," ")</f>
        <v xml:space="preserve"> </v>
      </c>
      <c r="O244" s="100" t="str">
        <f>IFERROR(VLOOKUP(Tablo520[[#This Row],[HAMMADDE KODU]],Tablo1[#All],3,0)," ")</f>
        <v xml:space="preserve"> </v>
      </c>
      <c r="P244" s="100" t="str">
        <f>IFERROR(VLOOKUP(Tablo520[[#This Row],[HAMMADDE KODU]],Tablo1[#All],4,0)," ")</f>
        <v xml:space="preserve"> </v>
      </c>
      <c r="Q244" s="100" t="str">
        <f>IFERROR(VLOOKUP(Tablo520[[#This Row],[ÜRÜN KODU]],YMKODLARI!$A$1:$K$373,5,0)," ")</f>
        <v xml:space="preserve"> </v>
      </c>
      <c r="R244" s="100" t="str">
        <f>IFERROR(VLOOKUP(Tablo520[[#This Row],[ÜRÜN KODU]],YMKODLARI!$A$1:$K$373,6,0)," ")</f>
        <v xml:space="preserve"> </v>
      </c>
      <c r="S244" s="100" t="str">
        <f>IFERROR(Tablo520[[#This Row],[YOLLUK HARİÇ BASKI GRAMI]]/Tablo520[[#This Row],[KALIP GÖZ ADEDİ]]," ")</f>
        <v xml:space="preserve"> </v>
      </c>
      <c r="T244" s="100" t="str">
        <f t="shared" si="23"/>
        <v xml:space="preserve"> </v>
      </c>
      <c r="U244" s="100"/>
      <c r="V244" s="100" t="str">
        <f t="shared" si="22"/>
        <v xml:space="preserve"> </v>
      </c>
      <c r="W244" s="101">
        <f t="shared" si="24"/>
        <v>24</v>
      </c>
      <c r="X244" s="102">
        <f t="shared" si="25"/>
        <v>0</v>
      </c>
      <c r="Y244" s="100" t="str">
        <f t="shared" si="26"/>
        <v xml:space="preserve"> </v>
      </c>
      <c r="Z244" s="100" t="str">
        <f t="shared" si="27"/>
        <v xml:space="preserve"> </v>
      </c>
    </row>
    <row r="245" spans="1:26">
      <c r="A245" s="100"/>
      <c r="B245" s="100" t="str">
        <f>IFERROR(VLOOKUP(Tablo520[[#This Row],[ÜRÜN KODU]],YMKODLARI!$A$1:$K$373,2,0)," ")</f>
        <v xml:space="preserve"> </v>
      </c>
      <c r="C245" s="99"/>
      <c r="D245" s="100"/>
      <c r="E245" s="101"/>
      <c r="F245" s="101"/>
      <c r="G245" s="100" t="str">
        <f>IFERROR(VLOOKUP(Tablo520[[#This Row],[ÜRÜN KODU]],YMKODLARI!$A$1:$K$373,3,0)," ")</f>
        <v xml:space="preserve"> </v>
      </c>
      <c r="H245" s="100" t="str">
        <f>IFERROR(VLOOKUP(Tablo520[[#This Row],[ÜRÜN KODU]],YMKODLARI!$A$1:$K$373,4,0)," ")</f>
        <v xml:space="preserve"> </v>
      </c>
      <c r="I245" s="100"/>
      <c r="J245" s="100" t="str">
        <f>IFERROR(VLOOKUP(Tablo520[[#This Row],[ÜRÜN KODU]],YMKODLARI!$A$1:$K$373,9,0)," ")</f>
        <v xml:space="preserve"> </v>
      </c>
      <c r="K245" s="100" t="str">
        <f>IFERROR(VLOOKUP(Tablo520[[#This Row],[BOYA KODU]],Tablo14[#All],4,0)," ")</f>
        <v xml:space="preserve"> </v>
      </c>
      <c r="L245" s="100" t="str">
        <f>IFERROR(VLOOKUP(Tablo520[[#This Row],[BOYA KODU]],Tablo14[#All],6,0)," ")</f>
        <v xml:space="preserve"> </v>
      </c>
      <c r="M245" s="100" t="str">
        <f t="shared" si="21"/>
        <v xml:space="preserve"> </v>
      </c>
      <c r="N245" s="100" t="str">
        <f>IFERROR(VLOOKUP(Tablo520[[#This Row],[ÜRÜN KODU]],YMKODLARI!$A$1:$K$373,8,0)," ")</f>
        <v xml:space="preserve"> </v>
      </c>
      <c r="O245" s="100" t="str">
        <f>IFERROR(VLOOKUP(Tablo520[[#This Row],[HAMMADDE KODU]],Tablo1[#All],3,0)," ")</f>
        <v xml:space="preserve"> </v>
      </c>
      <c r="P245" s="100" t="str">
        <f>IFERROR(VLOOKUP(Tablo520[[#This Row],[HAMMADDE KODU]],Tablo1[#All],4,0)," ")</f>
        <v xml:space="preserve"> </v>
      </c>
      <c r="Q245" s="100" t="str">
        <f>IFERROR(VLOOKUP(Tablo520[[#This Row],[ÜRÜN KODU]],YMKODLARI!$A$1:$K$373,5,0)," ")</f>
        <v xml:space="preserve"> </v>
      </c>
      <c r="R245" s="100" t="str">
        <f>IFERROR(VLOOKUP(Tablo520[[#This Row],[ÜRÜN KODU]],YMKODLARI!$A$1:$K$373,6,0)," ")</f>
        <v xml:space="preserve"> </v>
      </c>
      <c r="S245" s="100" t="str">
        <f>IFERROR(Tablo520[[#This Row],[YOLLUK HARİÇ BASKI GRAMI]]/Tablo520[[#This Row],[KALIP GÖZ ADEDİ]]," ")</f>
        <v xml:space="preserve"> </v>
      </c>
      <c r="T245" s="100" t="str">
        <f t="shared" si="23"/>
        <v xml:space="preserve"> </v>
      </c>
      <c r="U245" s="100"/>
      <c r="V245" s="100" t="str">
        <f t="shared" si="22"/>
        <v xml:space="preserve"> </v>
      </c>
      <c r="W245" s="101">
        <f t="shared" si="24"/>
        <v>24</v>
      </c>
      <c r="X245" s="102">
        <f t="shared" si="25"/>
        <v>0</v>
      </c>
      <c r="Y245" s="100" t="str">
        <f t="shared" si="26"/>
        <v xml:space="preserve"> </v>
      </c>
      <c r="Z245" s="100" t="str">
        <f t="shared" si="27"/>
        <v xml:space="preserve"> </v>
      </c>
    </row>
    <row r="246" spans="1:26">
      <c r="A246" s="100"/>
      <c r="B246" s="100" t="str">
        <f>IFERROR(VLOOKUP(Tablo520[[#This Row],[ÜRÜN KODU]],YMKODLARI!$A$1:$K$373,2,0)," ")</f>
        <v xml:space="preserve"> </v>
      </c>
      <c r="C246" s="99"/>
      <c r="D246" s="100"/>
      <c r="E246" s="101"/>
      <c r="F246" s="101"/>
      <c r="G246" s="100" t="str">
        <f>IFERROR(VLOOKUP(Tablo520[[#This Row],[ÜRÜN KODU]],YMKODLARI!$A$1:$K$373,3,0)," ")</f>
        <v xml:space="preserve"> </v>
      </c>
      <c r="H246" s="100" t="str">
        <f>IFERROR(VLOOKUP(Tablo520[[#This Row],[ÜRÜN KODU]],YMKODLARI!$A$1:$K$373,4,0)," ")</f>
        <v xml:space="preserve"> </v>
      </c>
      <c r="I246" s="100"/>
      <c r="J246" s="100" t="str">
        <f>IFERROR(VLOOKUP(Tablo520[[#This Row],[ÜRÜN KODU]],YMKODLARI!$A$1:$K$373,9,0)," ")</f>
        <v xml:space="preserve"> </v>
      </c>
      <c r="K246" s="100" t="str">
        <f>IFERROR(VLOOKUP(Tablo520[[#This Row],[BOYA KODU]],Tablo14[#All],4,0)," ")</f>
        <v xml:space="preserve"> </v>
      </c>
      <c r="L246" s="100" t="str">
        <f>IFERROR(VLOOKUP(Tablo520[[#This Row],[BOYA KODU]],Tablo14[#All],6,0)," ")</f>
        <v xml:space="preserve"> </v>
      </c>
      <c r="M246" s="100" t="str">
        <f t="shared" si="21"/>
        <v xml:space="preserve"> </v>
      </c>
      <c r="N246" s="100" t="str">
        <f>IFERROR(VLOOKUP(Tablo520[[#This Row],[ÜRÜN KODU]],YMKODLARI!$A$1:$K$373,8,0)," ")</f>
        <v xml:space="preserve"> </v>
      </c>
      <c r="O246" s="100" t="str">
        <f>IFERROR(VLOOKUP(Tablo520[[#This Row],[HAMMADDE KODU]],Tablo1[#All],3,0)," ")</f>
        <v xml:space="preserve"> </v>
      </c>
      <c r="P246" s="100" t="str">
        <f>IFERROR(VLOOKUP(Tablo520[[#This Row],[HAMMADDE KODU]],Tablo1[#All],4,0)," ")</f>
        <v xml:space="preserve"> </v>
      </c>
      <c r="Q246" s="100" t="str">
        <f>IFERROR(VLOOKUP(Tablo520[[#This Row],[ÜRÜN KODU]],YMKODLARI!$A$1:$K$373,5,0)," ")</f>
        <v xml:space="preserve"> </v>
      </c>
      <c r="R246" s="100" t="str">
        <f>IFERROR(VLOOKUP(Tablo520[[#This Row],[ÜRÜN KODU]],YMKODLARI!$A$1:$K$373,6,0)," ")</f>
        <v xml:space="preserve"> </v>
      </c>
      <c r="S246" s="100" t="str">
        <f>IFERROR(Tablo520[[#This Row],[YOLLUK HARİÇ BASKI GRAMI]]/Tablo520[[#This Row],[KALIP GÖZ ADEDİ]]," ")</f>
        <v xml:space="preserve"> </v>
      </c>
      <c r="T246" s="100" t="str">
        <f t="shared" si="23"/>
        <v xml:space="preserve"> </v>
      </c>
      <c r="U246" s="100"/>
      <c r="V246" s="100" t="str">
        <f t="shared" si="22"/>
        <v xml:space="preserve"> </v>
      </c>
      <c r="W246" s="101">
        <f t="shared" si="24"/>
        <v>24</v>
      </c>
      <c r="X246" s="102">
        <f t="shared" si="25"/>
        <v>0</v>
      </c>
      <c r="Y246" s="100" t="str">
        <f t="shared" si="26"/>
        <v xml:space="preserve"> </v>
      </c>
      <c r="Z246" s="100" t="str">
        <f t="shared" si="27"/>
        <v xml:space="preserve"> </v>
      </c>
    </row>
    <row r="247" spans="1:26">
      <c r="A247" s="100"/>
      <c r="B247" s="100" t="str">
        <f>IFERROR(VLOOKUP(Tablo520[[#This Row],[ÜRÜN KODU]],YMKODLARI!$A$1:$K$373,2,0)," ")</f>
        <v xml:space="preserve"> </v>
      </c>
      <c r="C247" s="99"/>
      <c r="D247" s="100"/>
      <c r="E247" s="101"/>
      <c r="F247" s="101"/>
      <c r="G247" s="100" t="str">
        <f>IFERROR(VLOOKUP(Tablo520[[#This Row],[ÜRÜN KODU]],YMKODLARI!$A$1:$K$373,3,0)," ")</f>
        <v xml:space="preserve"> </v>
      </c>
      <c r="H247" s="100" t="str">
        <f>IFERROR(VLOOKUP(Tablo520[[#This Row],[ÜRÜN KODU]],YMKODLARI!$A$1:$K$373,4,0)," ")</f>
        <v xml:space="preserve"> </v>
      </c>
      <c r="I247" s="100"/>
      <c r="J247" s="100" t="str">
        <f>IFERROR(VLOOKUP(Tablo520[[#This Row],[ÜRÜN KODU]],YMKODLARI!$A$1:$K$373,9,0)," ")</f>
        <v xml:space="preserve"> </v>
      </c>
      <c r="K247" s="100" t="str">
        <f>IFERROR(VLOOKUP(Tablo520[[#This Row],[BOYA KODU]],Tablo14[#All],4,0)," ")</f>
        <v xml:space="preserve"> </v>
      </c>
      <c r="L247" s="100" t="str">
        <f>IFERROR(VLOOKUP(Tablo520[[#This Row],[BOYA KODU]],Tablo14[#All],6,0)," ")</f>
        <v xml:space="preserve"> </v>
      </c>
      <c r="M247" s="100" t="str">
        <f t="shared" si="21"/>
        <v xml:space="preserve"> </v>
      </c>
      <c r="N247" s="100" t="str">
        <f>IFERROR(VLOOKUP(Tablo520[[#This Row],[ÜRÜN KODU]],YMKODLARI!$A$1:$K$373,8,0)," ")</f>
        <v xml:space="preserve"> </v>
      </c>
      <c r="O247" s="100" t="str">
        <f>IFERROR(VLOOKUP(Tablo520[[#This Row],[HAMMADDE KODU]],Tablo1[#All],3,0)," ")</f>
        <v xml:space="preserve"> </v>
      </c>
      <c r="P247" s="100" t="str">
        <f>IFERROR(VLOOKUP(Tablo520[[#This Row],[HAMMADDE KODU]],Tablo1[#All],4,0)," ")</f>
        <v xml:space="preserve"> </v>
      </c>
      <c r="Q247" s="100" t="str">
        <f>IFERROR(VLOOKUP(Tablo520[[#This Row],[ÜRÜN KODU]],YMKODLARI!$A$1:$K$373,5,0)," ")</f>
        <v xml:space="preserve"> </v>
      </c>
      <c r="R247" s="100" t="str">
        <f>IFERROR(VLOOKUP(Tablo520[[#This Row],[ÜRÜN KODU]],YMKODLARI!$A$1:$K$373,6,0)," ")</f>
        <v xml:space="preserve"> </v>
      </c>
      <c r="S247" s="100" t="str">
        <f>IFERROR(Tablo520[[#This Row],[YOLLUK HARİÇ BASKI GRAMI]]/Tablo520[[#This Row],[KALIP GÖZ ADEDİ]]," ")</f>
        <v xml:space="preserve"> </v>
      </c>
      <c r="T247" s="100" t="str">
        <f t="shared" si="23"/>
        <v xml:space="preserve"> </v>
      </c>
      <c r="U247" s="100"/>
      <c r="V247" s="100" t="str">
        <f t="shared" si="22"/>
        <v xml:space="preserve"> </v>
      </c>
      <c r="W247" s="101">
        <f t="shared" si="24"/>
        <v>24</v>
      </c>
      <c r="X247" s="102">
        <f t="shared" si="25"/>
        <v>0</v>
      </c>
      <c r="Y247" s="100" t="str">
        <f t="shared" si="26"/>
        <v xml:space="preserve"> </v>
      </c>
      <c r="Z247" s="100" t="str">
        <f t="shared" si="27"/>
        <v xml:space="preserve"> </v>
      </c>
    </row>
    <row r="248" spans="1:26">
      <c r="A248" s="100"/>
      <c r="B248" s="100" t="str">
        <f>IFERROR(VLOOKUP(Tablo520[[#This Row],[ÜRÜN KODU]],YMKODLARI!$A$1:$K$373,2,0)," ")</f>
        <v xml:space="preserve"> </v>
      </c>
      <c r="C248" s="99"/>
      <c r="D248" s="100"/>
      <c r="E248" s="101"/>
      <c r="F248" s="101"/>
      <c r="G248" s="100" t="str">
        <f>IFERROR(VLOOKUP(Tablo520[[#This Row],[ÜRÜN KODU]],YMKODLARI!$A$1:$K$373,3,0)," ")</f>
        <v xml:space="preserve"> </v>
      </c>
      <c r="H248" s="100" t="str">
        <f>IFERROR(VLOOKUP(Tablo520[[#This Row],[ÜRÜN KODU]],YMKODLARI!$A$1:$K$373,4,0)," ")</f>
        <v xml:space="preserve"> </v>
      </c>
      <c r="I248" s="100"/>
      <c r="J248" s="100" t="str">
        <f>IFERROR(VLOOKUP(Tablo520[[#This Row],[ÜRÜN KODU]],YMKODLARI!$A$1:$K$373,9,0)," ")</f>
        <v xml:space="preserve"> </v>
      </c>
      <c r="K248" s="100" t="str">
        <f>IFERROR(VLOOKUP(Tablo520[[#This Row],[BOYA KODU]],Tablo14[#All],4,0)," ")</f>
        <v xml:space="preserve"> </v>
      </c>
      <c r="L248" s="100" t="str">
        <f>IFERROR(VLOOKUP(Tablo520[[#This Row],[BOYA KODU]],Tablo14[#All],6,0)," ")</f>
        <v xml:space="preserve"> </v>
      </c>
      <c r="M248" s="100" t="str">
        <f t="shared" si="21"/>
        <v xml:space="preserve"> </v>
      </c>
      <c r="N248" s="100" t="str">
        <f>IFERROR(VLOOKUP(Tablo520[[#This Row],[ÜRÜN KODU]],YMKODLARI!$A$1:$K$373,8,0)," ")</f>
        <v xml:space="preserve"> </v>
      </c>
      <c r="O248" s="100" t="str">
        <f>IFERROR(VLOOKUP(Tablo520[[#This Row],[HAMMADDE KODU]],Tablo1[#All],3,0)," ")</f>
        <v xml:space="preserve"> </v>
      </c>
      <c r="P248" s="100" t="str">
        <f>IFERROR(VLOOKUP(Tablo520[[#This Row],[HAMMADDE KODU]],Tablo1[#All],4,0)," ")</f>
        <v xml:space="preserve"> </v>
      </c>
      <c r="Q248" s="100" t="str">
        <f>IFERROR(VLOOKUP(Tablo520[[#This Row],[ÜRÜN KODU]],YMKODLARI!$A$1:$K$373,5,0)," ")</f>
        <v xml:space="preserve"> </v>
      </c>
      <c r="R248" s="100" t="str">
        <f>IFERROR(VLOOKUP(Tablo520[[#This Row],[ÜRÜN KODU]],YMKODLARI!$A$1:$K$373,6,0)," ")</f>
        <v xml:space="preserve"> </v>
      </c>
      <c r="S248" s="100" t="str">
        <f>IFERROR(Tablo520[[#This Row],[YOLLUK HARİÇ BASKI GRAMI]]/Tablo520[[#This Row],[KALIP GÖZ ADEDİ]]," ")</f>
        <v xml:space="preserve"> </v>
      </c>
      <c r="T248" s="100" t="str">
        <f t="shared" si="23"/>
        <v xml:space="preserve"> </v>
      </c>
      <c r="U248" s="100"/>
      <c r="V248" s="100" t="str">
        <f t="shared" si="22"/>
        <v xml:space="preserve"> </v>
      </c>
      <c r="W248" s="101">
        <f t="shared" si="24"/>
        <v>24</v>
      </c>
      <c r="X248" s="102">
        <f t="shared" si="25"/>
        <v>0</v>
      </c>
      <c r="Y248" s="100" t="str">
        <f t="shared" si="26"/>
        <v xml:space="preserve"> </v>
      </c>
      <c r="Z248" s="100" t="str">
        <f t="shared" si="27"/>
        <v xml:space="preserve"> </v>
      </c>
    </row>
    <row r="249" spans="1:26">
      <c r="A249" s="100"/>
      <c r="B249" s="100" t="str">
        <f>IFERROR(VLOOKUP(Tablo520[[#This Row],[ÜRÜN KODU]],YMKODLARI!$A$1:$K$373,2,0)," ")</f>
        <v xml:space="preserve"> </v>
      </c>
      <c r="C249" s="99"/>
      <c r="D249" s="100"/>
      <c r="E249" s="101"/>
      <c r="F249" s="101"/>
      <c r="G249" s="100" t="str">
        <f>IFERROR(VLOOKUP(Tablo520[[#This Row],[ÜRÜN KODU]],YMKODLARI!$A$1:$K$373,3,0)," ")</f>
        <v xml:space="preserve"> </v>
      </c>
      <c r="H249" s="100" t="str">
        <f>IFERROR(VLOOKUP(Tablo520[[#This Row],[ÜRÜN KODU]],YMKODLARI!$A$1:$K$373,4,0)," ")</f>
        <v xml:space="preserve"> </v>
      </c>
      <c r="I249" s="100"/>
      <c r="J249" s="100" t="str">
        <f>IFERROR(VLOOKUP(Tablo520[[#This Row],[ÜRÜN KODU]],YMKODLARI!$A$1:$K$373,9,0)," ")</f>
        <v xml:space="preserve"> </v>
      </c>
      <c r="K249" s="100" t="str">
        <f>IFERROR(VLOOKUP(Tablo520[[#This Row],[BOYA KODU]],Tablo14[#All],4,0)," ")</f>
        <v xml:space="preserve"> </v>
      </c>
      <c r="L249" s="100" t="str">
        <f>IFERROR(VLOOKUP(Tablo520[[#This Row],[BOYA KODU]],Tablo14[#All],6,0)," ")</f>
        <v xml:space="preserve"> </v>
      </c>
      <c r="M249" s="100" t="str">
        <f t="shared" si="21"/>
        <v xml:space="preserve"> </v>
      </c>
      <c r="N249" s="100" t="str">
        <f>IFERROR(VLOOKUP(Tablo520[[#This Row],[ÜRÜN KODU]],YMKODLARI!$A$1:$K$373,8,0)," ")</f>
        <v xml:space="preserve"> </v>
      </c>
      <c r="O249" s="100" t="str">
        <f>IFERROR(VLOOKUP(Tablo520[[#This Row],[HAMMADDE KODU]],Tablo1[#All],3,0)," ")</f>
        <v xml:space="preserve"> </v>
      </c>
      <c r="P249" s="100" t="str">
        <f>IFERROR(VLOOKUP(Tablo520[[#This Row],[HAMMADDE KODU]],Tablo1[#All],4,0)," ")</f>
        <v xml:space="preserve"> </v>
      </c>
      <c r="Q249" s="100" t="str">
        <f>IFERROR(VLOOKUP(Tablo520[[#This Row],[ÜRÜN KODU]],YMKODLARI!$A$1:$K$373,5,0)," ")</f>
        <v xml:space="preserve"> </v>
      </c>
      <c r="R249" s="100" t="str">
        <f>IFERROR(VLOOKUP(Tablo520[[#This Row],[ÜRÜN KODU]],YMKODLARI!$A$1:$K$373,6,0)," ")</f>
        <v xml:space="preserve"> </v>
      </c>
      <c r="S249" s="100" t="str">
        <f>IFERROR(Tablo520[[#This Row],[YOLLUK HARİÇ BASKI GRAMI]]/Tablo520[[#This Row],[KALIP GÖZ ADEDİ]]," ")</f>
        <v xml:space="preserve"> </v>
      </c>
      <c r="T249" s="100" t="str">
        <f t="shared" si="23"/>
        <v xml:space="preserve"> </v>
      </c>
      <c r="U249" s="100"/>
      <c r="V249" s="100" t="str">
        <f t="shared" si="22"/>
        <v xml:space="preserve"> </v>
      </c>
      <c r="W249" s="101">
        <f t="shared" si="24"/>
        <v>24</v>
      </c>
      <c r="X249" s="102">
        <f t="shared" si="25"/>
        <v>0</v>
      </c>
      <c r="Y249" s="100" t="str">
        <f t="shared" si="26"/>
        <v xml:space="preserve"> </v>
      </c>
      <c r="Z249" s="100" t="str">
        <f t="shared" si="27"/>
        <v xml:space="preserve"> </v>
      </c>
    </row>
    <row r="250" spans="1:26">
      <c r="A250" s="100"/>
      <c r="B250" s="100" t="str">
        <f>IFERROR(VLOOKUP(Tablo520[[#This Row],[ÜRÜN KODU]],YMKODLARI!$A$1:$K$373,2,0)," ")</f>
        <v xml:space="preserve"> </v>
      </c>
      <c r="C250" s="99"/>
      <c r="D250" s="100"/>
      <c r="E250" s="101"/>
      <c r="F250" s="101"/>
      <c r="G250" s="100" t="str">
        <f>IFERROR(VLOOKUP(Tablo520[[#This Row],[ÜRÜN KODU]],YMKODLARI!$A$1:$K$373,3,0)," ")</f>
        <v xml:space="preserve"> </v>
      </c>
      <c r="H250" s="100" t="str">
        <f>IFERROR(VLOOKUP(Tablo520[[#This Row],[ÜRÜN KODU]],YMKODLARI!$A$1:$K$373,4,0)," ")</f>
        <v xml:space="preserve"> </v>
      </c>
      <c r="I250" s="100"/>
      <c r="J250" s="100" t="str">
        <f>IFERROR(VLOOKUP(Tablo520[[#This Row],[ÜRÜN KODU]],YMKODLARI!$A$1:$K$373,9,0)," ")</f>
        <v xml:space="preserve"> </v>
      </c>
      <c r="K250" s="100" t="str">
        <f>IFERROR(VLOOKUP(Tablo520[[#This Row],[BOYA KODU]],Tablo14[#All],4,0)," ")</f>
        <v xml:space="preserve"> </v>
      </c>
      <c r="L250" s="100" t="str">
        <f>IFERROR(VLOOKUP(Tablo520[[#This Row],[BOYA KODU]],Tablo14[#All],6,0)," ")</f>
        <v xml:space="preserve"> </v>
      </c>
      <c r="M250" s="100" t="str">
        <f t="shared" si="21"/>
        <v xml:space="preserve"> </v>
      </c>
      <c r="N250" s="100" t="str">
        <f>IFERROR(VLOOKUP(Tablo520[[#This Row],[ÜRÜN KODU]],YMKODLARI!$A$1:$K$373,8,0)," ")</f>
        <v xml:space="preserve"> </v>
      </c>
      <c r="O250" s="100" t="str">
        <f>IFERROR(VLOOKUP(Tablo520[[#This Row],[HAMMADDE KODU]],Tablo1[#All],3,0)," ")</f>
        <v xml:space="preserve"> </v>
      </c>
      <c r="P250" s="100" t="str">
        <f>IFERROR(VLOOKUP(Tablo520[[#This Row],[HAMMADDE KODU]],Tablo1[#All],4,0)," ")</f>
        <v xml:space="preserve"> </v>
      </c>
      <c r="Q250" s="100" t="str">
        <f>IFERROR(VLOOKUP(Tablo520[[#This Row],[ÜRÜN KODU]],YMKODLARI!$A$1:$K$373,5,0)," ")</f>
        <v xml:space="preserve"> </v>
      </c>
      <c r="R250" s="100" t="str">
        <f>IFERROR(VLOOKUP(Tablo520[[#This Row],[ÜRÜN KODU]],YMKODLARI!$A$1:$K$373,6,0)," ")</f>
        <v xml:space="preserve"> </v>
      </c>
      <c r="S250" s="100" t="str">
        <f>IFERROR(Tablo520[[#This Row],[YOLLUK HARİÇ BASKI GRAMI]]/Tablo520[[#This Row],[KALIP GÖZ ADEDİ]]," ")</f>
        <v xml:space="preserve"> </v>
      </c>
      <c r="T250" s="100" t="str">
        <f t="shared" si="23"/>
        <v xml:space="preserve"> </v>
      </c>
      <c r="U250" s="100"/>
      <c r="V250" s="100" t="str">
        <f t="shared" si="22"/>
        <v xml:space="preserve"> </v>
      </c>
      <c r="W250" s="101">
        <f t="shared" si="24"/>
        <v>24</v>
      </c>
      <c r="X250" s="102">
        <f t="shared" si="25"/>
        <v>0</v>
      </c>
      <c r="Y250" s="100" t="str">
        <f t="shared" si="26"/>
        <v xml:space="preserve"> </v>
      </c>
      <c r="Z250" s="100" t="str">
        <f t="shared" si="27"/>
        <v xml:space="preserve"> </v>
      </c>
    </row>
    <row r="251" spans="1:26">
      <c r="A251" s="100"/>
      <c r="B251" s="100" t="str">
        <f>IFERROR(VLOOKUP(Tablo520[[#This Row],[ÜRÜN KODU]],YMKODLARI!$A$1:$K$373,2,0)," ")</f>
        <v xml:space="preserve"> </v>
      </c>
      <c r="C251" s="99"/>
      <c r="D251" s="100"/>
      <c r="E251" s="101"/>
      <c r="F251" s="101"/>
      <c r="G251" s="100" t="str">
        <f>IFERROR(VLOOKUP(Tablo520[[#This Row],[ÜRÜN KODU]],YMKODLARI!$A$1:$K$373,3,0)," ")</f>
        <v xml:space="preserve"> </v>
      </c>
      <c r="H251" s="100" t="str">
        <f>IFERROR(VLOOKUP(Tablo520[[#This Row],[ÜRÜN KODU]],YMKODLARI!$A$1:$K$373,4,0)," ")</f>
        <v xml:space="preserve"> </v>
      </c>
      <c r="I251" s="100"/>
      <c r="J251" s="100" t="str">
        <f>IFERROR(VLOOKUP(Tablo520[[#This Row],[ÜRÜN KODU]],YMKODLARI!$A$1:$K$373,9,0)," ")</f>
        <v xml:space="preserve"> </v>
      </c>
      <c r="K251" s="100" t="str">
        <f>IFERROR(VLOOKUP(Tablo520[[#This Row],[BOYA KODU]],Tablo14[#All],4,0)," ")</f>
        <v xml:space="preserve"> </v>
      </c>
      <c r="L251" s="100" t="str">
        <f>IFERROR(VLOOKUP(Tablo520[[#This Row],[BOYA KODU]],Tablo14[#All],6,0)," ")</f>
        <v xml:space="preserve"> </v>
      </c>
      <c r="M251" s="100" t="str">
        <f t="shared" si="21"/>
        <v xml:space="preserve"> </v>
      </c>
      <c r="N251" s="100" t="str">
        <f>IFERROR(VLOOKUP(Tablo520[[#This Row],[ÜRÜN KODU]],YMKODLARI!$A$1:$K$373,8,0)," ")</f>
        <v xml:space="preserve"> </v>
      </c>
      <c r="O251" s="100" t="str">
        <f>IFERROR(VLOOKUP(Tablo520[[#This Row],[HAMMADDE KODU]],Tablo1[#All],3,0)," ")</f>
        <v xml:space="preserve"> </v>
      </c>
      <c r="P251" s="100" t="str">
        <f>IFERROR(VLOOKUP(Tablo520[[#This Row],[HAMMADDE KODU]],Tablo1[#All],4,0)," ")</f>
        <v xml:space="preserve"> </v>
      </c>
      <c r="Q251" s="100" t="str">
        <f>IFERROR(VLOOKUP(Tablo520[[#This Row],[ÜRÜN KODU]],YMKODLARI!$A$1:$K$373,5,0)," ")</f>
        <v xml:space="preserve"> </v>
      </c>
      <c r="R251" s="100" t="str">
        <f>IFERROR(VLOOKUP(Tablo520[[#This Row],[ÜRÜN KODU]],YMKODLARI!$A$1:$K$373,6,0)," ")</f>
        <v xml:space="preserve"> </v>
      </c>
      <c r="S251" s="100" t="str">
        <f>IFERROR(Tablo520[[#This Row],[YOLLUK HARİÇ BASKI GRAMI]]/Tablo520[[#This Row],[KALIP GÖZ ADEDİ]]," ")</f>
        <v xml:space="preserve"> </v>
      </c>
      <c r="T251" s="100" t="str">
        <f t="shared" si="23"/>
        <v xml:space="preserve"> </v>
      </c>
      <c r="U251" s="100"/>
      <c r="V251" s="100" t="str">
        <f t="shared" si="22"/>
        <v xml:space="preserve"> </v>
      </c>
      <c r="W251" s="101">
        <f t="shared" si="24"/>
        <v>24</v>
      </c>
      <c r="X251" s="102">
        <f t="shared" si="25"/>
        <v>0</v>
      </c>
      <c r="Y251" s="100" t="str">
        <f t="shared" si="26"/>
        <v xml:space="preserve"> </v>
      </c>
      <c r="Z251" s="100" t="str">
        <f t="shared" si="27"/>
        <v xml:space="preserve"> </v>
      </c>
    </row>
    <row r="252" spans="1:26">
      <c r="A252" s="100"/>
      <c r="B252" s="100" t="str">
        <f>IFERROR(VLOOKUP(Tablo520[[#This Row],[ÜRÜN KODU]],YMKODLARI!$A$1:$K$373,2,0)," ")</f>
        <v xml:space="preserve"> </v>
      </c>
      <c r="C252" s="99"/>
      <c r="D252" s="100"/>
      <c r="E252" s="101"/>
      <c r="F252" s="101"/>
      <c r="G252" s="100" t="str">
        <f>IFERROR(VLOOKUP(Tablo520[[#This Row],[ÜRÜN KODU]],YMKODLARI!$A$1:$K$373,3,0)," ")</f>
        <v xml:space="preserve"> </v>
      </c>
      <c r="H252" s="100" t="str">
        <f>IFERROR(VLOOKUP(Tablo520[[#This Row],[ÜRÜN KODU]],YMKODLARI!$A$1:$K$373,4,0)," ")</f>
        <v xml:space="preserve"> </v>
      </c>
      <c r="I252" s="100"/>
      <c r="J252" s="100" t="str">
        <f>IFERROR(VLOOKUP(Tablo520[[#This Row],[ÜRÜN KODU]],YMKODLARI!$A$1:$K$373,9,0)," ")</f>
        <v xml:space="preserve"> </v>
      </c>
      <c r="K252" s="100" t="str">
        <f>IFERROR(VLOOKUP(Tablo520[[#This Row],[BOYA KODU]],Tablo14[#All],4,0)," ")</f>
        <v xml:space="preserve"> </v>
      </c>
      <c r="L252" s="100" t="str">
        <f>IFERROR(VLOOKUP(Tablo520[[#This Row],[BOYA KODU]],Tablo14[#All],6,0)," ")</f>
        <v xml:space="preserve"> </v>
      </c>
      <c r="M252" s="100" t="str">
        <f t="shared" si="21"/>
        <v xml:space="preserve"> </v>
      </c>
      <c r="N252" s="100" t="str">
        <f>IFERROR(VLOOKUP(Tablo520[[#This Row],[ÜRÜN KODU]],YMKODLARI!$A$1:$K$373,8,0)," ")</f>
        <v xml:space="preserve"> </v>
      </c>
      <c r="O252" s="100" t="str">
        <f>IFERROR(VLOOKUP(Tablo520[[#This Row],[HAMMADDE KODU]],Tablo1[#All],3,0)," ")</f>
        <v xml:space="preserve"> </v>
      </c>
      <c r="P252" s="100" t="str">
        <f>IFERROR(VLOOKUP(Tablo520[[#This Row],[HAMMADDE KODU]],Tablo1[#All],4,0)," ")</f>
        <v xml:space="preserve"> </v>
      </c>
      <c r="Q252" s="100" t="str">
        <f>IFERROR(VLOOKUP(Tablo520[[#This Row],[ÜRÜN KODU]],YMKODLARI!$A$1:$K$373,5,0)," ")</f>
        <v xml:space="preserve"> </v>
      </c>
      <c r="R252" s="100" t="str">
        <f>IFERROR(VLOOKUP(Tablo520[[#This Row],[ÜRÜN KODU]],YMKODLARI!$A$1:$K$373,6,0)," ")</f>
        <v xml:space="preserve"> </v>
      </c>
      <c r="S252" s="100" t="str">
        <f>IFERROR(Tablo520[[#This Row],[YOLLUK HARİÇ BASKI GRAMI]]/Tablo520[[#This Row],[KALIP GÖZ ADEDİ]]," ")</f>
        <v xml:space="preserve"> </v>
      </c>
      <c r="T252" s="100" t="str">
        <f t="shared" si="23"/>
        <v xml:space="preserve"> </v>
      </c>
      <c r="U252" s="100"/>
      <c r="V252" s="100" t="str">
        <f t="shared" si="22"/>
        <v xml:space="preserve"> </v>
      </c>
      <c r="W252" s="101">
        <f t="shared" si="24"/>
        <v>24</v>
      </c>
      <c r="X252" s="102">
        <f t="shared" si="25"/>
        <v>0</v>
      </c>
      <c r="Y252" s="100" t="str">
        <f t="shared" si="26"/>
        <v xml:space="preserve"> </v>
      </c>
      <c r="Z252" s="100" t="str">
        <f t="shared" si="27"/>
        <v xml:space="preserve"> </v>
      </c>
    </row>
    <row r="253" spans="1:26">
      <c r="A253" s="100"/>
      <c r="B253" s="100" t="str">
        <f>IFERROR(VLOOKUP(Tablo520[[#This Row],[ÜRÜN KODU]],YMKODLARI!$A$1:$K$373,2,0)," ")</f>
        <v xml:space="preserve"> </v>
      </c>
      <c r="C253" s="99"/>
      <c r="D253" s="100"/>
      <c r="E253" s="101"/>
      <c r="F253" s="101"/>
      <c r="G253" s="100" t="str">
        <f>IFERROR(VLOOKUP(Tablo520[[#This Row],[ÜRÜN KODU]],YMKODLARI!$A$1:$K$373,3,0)," ")</f>
        <v xml:space="preserve"> </v>
      </c>
      <c r="H253" s="100" t="str">
        <f>IFERROR(VLOOKUP(Tablo520[[#This Row],[ÜRÜN KODU]],YMKODLARI!$A$1:$K$373,4,0)," ")</f>
        <v xml:space="preserve"> </v>
      </c>
      <c r="I253" s="100"/>
      <c r="J253" s="100" t="str">
        <f>IFERROR(VLOOKUP(Tablo520[[#This Row],[ÜRÜN KODU]],YMKODLARI!$A$1:$K$373,9,0)," ")</f>
        <v xml:space="preserve"> </v>
      </c>
      <c r="K253" s="100" t="str">
        <f>IFERROR(VLOOKUP(Tablo520[[#This Row],[BOYA KODU]],Tablo14[#All],4,0)," ")</f>
        <v xml:space="preserve"> </v>
      </c>
      <c r="L253" s="100" t="str">
        <f>IFERROR(VLOOKUP(Tablo520[[#This Row],[BOYA KODU]],Tablo14[#All],6,0)," ")</f>
        <v xml:space="preserve"> </v>
      </c>
      <c r="M253" s="100" t="str">
        <f t="shared" si="21"/>
        <v xml:space="preserve"> </v>
      </c>
      <c r="N253" s="100" t="str">
        <f>IFERROR(VLOOKUP(Tablo520[[#This Row],[ÜRÜN KODU]],YMKODLARI!$A$1:$K$373,8,0)," ")</f>
        <v xml:space="preserve"> </v>
      </c>
      <c r="O253" s="100" t="str">
        <f>IFERROR(VLOOKUP(Tablo520[[#This Row],[HAMMADDE KODU]],Tablo1[#All],3,0)," ")</f>
        <v xml:space="preserve"> </v>
      </c>
      <c r="P253" s="100" t="str">
        <f>IFERROR(VLOOKUP(Tablo520[[#This Row],[HAMMADDE KODU]],Tablo1[#All],4,0)," ")</f>
        <v xml:space="preserve"> </v>
      </c>
      <c r="Q253" s="100" t="str">
        <f>IFERROR(VLOOKUP(Tablo520[[#This Row],[ÜRÜN KODU]],YMKODLARI!$A$1:$K$373,5,0)," ")</f>
        <v xml:space="preserve"> </v>
      </c>
      <c r="R253" s="100" t="str">
        <f>IFERROR(VLOOKUP(Tablo520[[#This Row],[ÜRÜN KODU]],YMKODLARI!$A$1:$K$373,6,0)," ")</f>
        <v xml:space="preserve"> </v>
      </c>
      <c r="S253" s="100" t="str">
        <f>IFERROR(Tablo520[[#This Row],[YOLLUK HARİÇ BASKI GRAMI]]/Tablo520[[#This Row],[KALIP GÖZ ADEDİ]]," ")</f>
        <v xml:space="preserve"> </v>
      </c>
      <c r="T253" s="100" t="str">
        <f t="shared" si="23"/>
        <v xml:space="preserve"> </v>
      </c>
      <c r="U253" s="100"/>
      <c r="V253" s="100" t="str">
        <f t="shared" si="22"/>
        <v xml:space="preserve"> </v>
      </c>
      <c r="W253" s="101">
        <f t="shared" si="24"/>
        <v>24</v>
      </c>
      <c r="X253" s="102">
        <f t="shared" si="25"/>
        <v>0</v>
      </c>
      <c r="Y253" s="100" t="str">
        <f t="shared" si="26"/>
        <v xml:space="preserve"> </v>
      </c>
      <c r="Z253" s="100" t="str">
        <f t="shared" si="27"/>
        <v xml:space="preserve"> </v>
      </c>
    </row>
    <row r="254" spans="1:26">
      <c r="A254" s="100"/>
      <c r="B254" s="100" t="str">
        <f>IFERROR(VLOOKUP(Tablo520[[#This Row],[ÜRÜN KODU]],YMKODLARI!$A$1:$K$373,2,0)," ")</f>
        <v xml:space="preserve"> </v>
      </c>
      <c r="C254" s="99"/>
      <c r="D254" s="100"/>
      <c r="E254" s="101"/>
      <c r="F254" s="101"/>
      <c r="G254" s="100" t="str">
        <f>IFERROR(VLOOKUP(Tablo520[[#This Row],[ÜRÜN KODU]],YMKODLARI!$A$1:$K$373,3,0)," ")</f>
        <v xml:space="preserve"> </v>
      </c>
      <c r="H254" s="100" t="str">
        <f>IFERROR(VLOOKUP(Tablo520[[#This Row],[ÜRÜN KODU]],YMKODLARI!$A$1:$K$373,4,0)," ")</f>
        <v xml:space="preserve"> </v>
      </c>
      <c r="I254" s="100"/>
      <c r="J254" s="100" t="str">
        <f>IFERROR(VLOOKUP(Tablo520[[#This Row],[ÜRÜN KODU]],YMKODLARI!$A$1:$K$373,9,0)," ")</f>
        <v xml:space="preserve"> </v>
      </c>
      <c r="K254" s="100" t="str">
        <f>IFERROR(VLOOKUP(Tablo520[[#This Row],[BOYA KODU]],Tablo14[#All],4,0)," ")</f>
        <v xml:space="preserve"> </v>
      </c>
      <c r="L254" s="100" t="str">
        <f>IFERROR(VLOOKUP(Tablo520[[#This Row],[BOYA KODU]],Tablo14[#All],6,0)," ")</f>
        <v xml:space="preserve"> </v>
      </c>
      <c r="M254" s="100" t="str">
        <f t="shared" si="21"/>
        <v xml:space="preserve"> </v>
      </c>
      <c r="N254" s="100" t="str">
        <f>IFERROR(VLOOKUP(Tablo520[[#This Row],[ÜRÜN KODU]],YMKODLARI!$A$1:$K$373,8,0)," ")</f>
        <v xml:space="preserve"> </v>
      </c>
      <c r="O254" s="100" t="str">
        <f>IFERROR(VLOOKUP(Tablo520[[#This Row],[HAMMADDE KODU]],Tablo1[#All],3,0)," ")</f>
        <v xml:space="preserve"> </v>
      </c>
      <c r="P254" s="100" t="str">
        <f>IFERROR(VLOOKUP(Tablo520[[#This Row],[HAMMADDE KODU]],Tablo1[#All],4,0)," ")</f>
        <v xml:space="preserve"> </v>
      </c>
      <c r="Q254" s="100" t="str">
        <f>IFERROR(VLOOKUP(Tablo520[[#This Row],[ÜRÜN KODU]],YMKODLARI!$A$1:$K$373,5,0)," ")</f>
        <v xml:space="preserve"> </v>
      </c>
      <c r="R254" s="100" t="str">
        <f>IFERROR(VLOOKUP(Tablo520[[#This Row],[ÜRÜN KODU]],YMKODLARI!$A$1:$K$373,6,0)," ")</f>
        <v xml:space="preserve"> </v>
      </c>
      <c r="S254" s="100" t="str">
        <f>IFERROR(Tablo520[[#This Row],[YOLLUK HARİÇ BASKI GRAMI]]/Tablo520[[#This Row],[KALIP GÖZ ADEDİ]]," ")</f>
        <v xml:space="preserve"> </v>
      </c>
      <c r="T254" s="100" t="str">
        <f t="shared" si="23"/>
        <v xml:space="preserve"> </v>
      </c>
      <c r="U254" s="100"/>
      <c r="V254" s="100" t="str">
        <f t="shared" si="22"/>
        <v xml:space="preserve"> </v>
      </c>
      <c r="W254" s="101">
        <f t="shared" si="24"/>
        <v>24</v>
      </c>
      <c r="X254" s="102">
        <f t="shared" si="25"/>
        <v>0</v>
      </c>
      <c r="Y254" s="100" t="str">
        <f t="shared" si="26"/>
        <v xml:space="preserve"> </v>
      </c>
      <c r="Z254" s="100" t="str">
        <f t="shared" si="27"/>
        <v xml:space="preserve"> </v>
      </c>
    </row>
    <row r="255" spans="1:26">
      <c r="A255" s="100"/>
      <c r="B255" s="100" t="str">
        <f>IFERROR(VLOOKUP(Tablo520[[#This Row],[ÜRÜN KODU]],YMKODLARI!$A$1:$K$373,2,0)," ")</f>
        <v xml:space="preserve"> </v>
      </c>
      <c r="C255" s="99"/>
      <c r="D255" s="100"/>
      <c r="E255" s="101"/>
      <c r="F255" s="101"/>
      <c r="G255" s="100" t="str">
        <f>IFERROR(VLOOKUP(Tablo520[[#This Row],[ÜRÜN KODU]],YMKODLARI!$A$1:$K$373,3,0)," ")</f>
        <v xml:space="preserve"> </v>
      </c>
      <c r="H255" s="100" t="str">
        <f>IFERROR(VLOOKUP(Tablo520[[#This Row],[ÜRÜN KODU]],YMKODLARI!$A$1:$K$373,4,0)," ")</f>
        <v xml:space="preserve"> </v>
      </c>
      <c r="I255" s="100"/>
      <c r="J255" s="100" t="str">
        <f>IFERROR(VLOOKUP(Tablo520[[#This Row],[ÜRÜN KODU]],YMKODLARI!$A$1:$K$373,9,0)," ")</f>
        <v xml:space="preserve"> </v>
      </c>
      <c r="K255" s="100" t="str">
        <f>IFERROR(VLOOKUP(Tablo520[[#This Row],[BOYA KODU]],Tablo14[#All],4,0)," ")</f>
        <v xml:space="preserve"> </v>
      </c>
      <c r="L255" s="100" t="str">
        <f>IFERROR(VLOOKUP(Tablo520[[#This Row],[BOYA KODU]],Tablo14[#All],6,0)," ")</f>
        <v xml:space="preserve"> </v>
      </c>
      <c r="M255" s="100" t="str">
        <f t="shared" si="21"/>
        <v xml:space="preserve"> </v>
      </c>
      <c r="N255" s="100" t="str">
        <f>IFERROR(VLOOKUP(Tablo520[[#This Row],[ÜRÜN KODU]],YMKODLARI!$A$1:$K$373,8,0)," ")</f>
        <v xml:space="preserve"> </v>
      </c>
      <c r="O255" s="100" t="str">
        <f>IFERROR(VLOOKUP(Tablo520[[#This Row],[HAMMADDE KODU]],Tablo1[#All],3,0)," ")</f>
        <v xml:space="preserve"> </v>
      </c>
      <c r="P255" s="100" t="str">
        <f>IFERROR(VLOOKUP(Tablo520[[#This Row],[HAMMADDE KODU]],Tablo1[#All],4,0)," ")</f>
        <v xml:space="preserve"> </v>
      </c>
      <c r="Q255" s="100" t="str">
        <f>IFERROR(VLOOKUP(Tablo520[[#This Row],[ÜRÜN KODU]],YMKODLARI!$A$1:$K$373,5,0)," ")</f>
        <v xml:space="preserve"> </v>
      </c>
      <c r="R255" s="100" t="str">
        <f>IFERROR(VLOOKUP(Tablo520[[#This Row],[ÜRÜN KODU]],YMKODLARI!$A$1:$K$373,6,0)," ")</f>
        <v xml:space="preserve"> </v>
      </c>
      <c r="S255" s="100" t="str">
        <f>IFERROR(Tablo520[[#This Row],[YOLLUK HARİÇ BASKI GRAMI]]/Tablo520[[#This Row],[KALIP GÖZ ADEDİ]]," ")</f>
        <v xml:space="preserve"> </v>
      </c>
      <c r="T255" s="100" t="str">
        <f t="shared" si="23"/>
        <v xml:space="preserve"> </v>
      </c>
      <c r="U255" s="100"/>
      <c r="V255" s="100" t="str">
        <f t="shared" si="22"/>
        <v xml:space="preserve"> </v>
      </c>
      <c r="W255" s="101">
        <f t="shared" si="24"/>
        <v>24</v>
      </c>
      <c r="X255" s="102">
        <f t="shared" si="25"/>
        <v>0</v>
      </c>
      <c r="Y255" s="100" t="str">
        <f t="shared" si="26"/>
        <v xml:space="preserve"> </v>
      </c>
      <c r="Z255" s="100" t="str">
        <f t="shared" si="27"/>
        <v xml:space="preserve"> </v>
      </c>
    </row>
    <row r="256" spans="1:26">
      <c r="A256" s="100"/>
      <c r="B256" s="100" t="str">
        <f>IFERROR(VLOOKUP(Tablo520[[#This Row],[ÜRÜN KODU]],YMKODLARI!$A$1:$K$373,2,0)," ")</f>
        <v xml:space="preserve"> </v>
      </c>
      <c r="C256" s="99"/>
      <c r="D256" s="100"/>
      <c r="E256" s="101"/>
      <c r="F256" s="101"/>
      <c r="G256" s="100" t="str">
        <f>IFERROR(VLOOKUP(Tablo520[[#This Row],[ÜRÜN KODU]],YMKODLARI!$A$1:$K$373,3,0)," ")</f>
        <v xml:space="preserve"> </v>
      </c>
      <c r="H256" s="100" t="str">
        <f>IFERROR(VLOOKUP(Tablo520[[#This Row],[ÜRÜN KODU]],YMKODLARI!$A$1:$K$373,4,0)," ")</f>
        <v xml:space="preserve"> </v>
      </c>
      <c r="I256" s="100"/>
      <c r="J256" s="100" t="str">
        <f>IFERROR(VLOOKUP(Tablo520[[#This Row],[ÜRÜN KODU]],YMKODLARI!$A$1:$K$373,9,0)," ")</f>
        <v xml:space="preserve"> </v>
      </c>
      <c r="K256" s="100" t="str">
        <f>IFERROR(VLOOKUP(Tablo520[[#This Row],[BOYA KODU]],Tablo14[#All],4,0)," ")</f>
        <v xml:space="preserve"> </v>
      </c>
      <c r="L256" s="100" t="str">
        <f>IFERROR(VLOOKUP(Tablo520[[#This Row],[BOYA KODU]],Tablo14[#All],6,0)," ")</f>
        <v xml:space="preserve"> </v>
      </c>
      <c r="M256" s="100" t="str">
        <f t="shared" si="21"/>
        <v xml:space="preserve"> </v>
      </c>
      <c r="N256" s="100" t="str">
        <f>IFERROR(VLOOKUP(Tablo520[[#This Row],[ÜRÜN KODU]],YMKODLARI!$A$1:$K$373,8,0)," ")</f>
        <v xml:space="preserve"> </v>
      </c>
      <c r="O256" s="100" t="str">
        <f>IFERROR(VLOOKUP(Tablo520[[#This Row],[HAMMADDE KODU]],Tablo1[#All],3,0)," ")</f>
        <v xml:space="preserve"> </v>
      </c>
      <c r="P256" s="100" t="str">
        <f>IFERROR(VLOOKUP(Tablo520[[#This Row],[HAMMADDE KODU]],Tablo1[#All],4,0)," ")</f>
        <v xml:space="preserve"> </v>
      </c>
      <c r="Q256" s="100" t="str">
        <f>IFERROR(VLOOKUP(Tablo520[[#This Row],[ÜRÜN KODU]],YMKODLARI!$A$1:$K$373,5,0)," ")</f>
        <v xml:space="preserve"> </v>
      </c>
      <c r="R256" s="100" t="str">
        <f>IFERROR(VLOOKUP(Tablo520[[#This Row],[ÜRÜN KODU]],YMKODLARI!$A$1:$K$373,6,0)," ")</f>
        <v xml:space="preserve"> </v>
      </c>
      <c r="S256" s="100" t="str">
        <f>IFERROR(Tablo520[[#This Row],[YOLLUK HARİÇ BASKI GRAMI]]/Tablo520[[#This Row],[KALIP GÖZ ADEDİ]]," ")</f>
        <v xml:space="preserve"> </v>
      </c>
      <c r="T256" s="100" t="str">
        <f t="shared" si="23"/>
        <v xml:space="preserve"> </v>
      </c>
      <c r="U256" s="100"/>
      <c r="V256" s="100" t="str">
        <f t="shared" si="22"/>
        <v xml:space="preserve"> </v>
      </c>
      <c r="W256" s="101">
        <f t="shared" si="24"/>
        <v>24</v>
      </c>
      <c r="X256" s="102">
        <f t="shared" si="25"/>
        <v>0</v>
      </c>
      <c r="Y256" s="100" t="str">
        <f t="shared" si="26"/>
        <v xml:space="preserve"> </v>
      </c>
      <c r="Z256" s="100" t="str">
        <f t="shared" si="27"/>
        <v xml:space="preserve"> </v>
      </c>
    </row>
    <row r="257" spans="1:26">
      <c r="A257" s="100"/>
      <c r="B257" s="100" t="str">
        <f>IFERROR(VLOOKUP(Tablo520[[#This Row],[ÜRÜN KODU]],YMKODLARI!$A$1:$K$373,2,0)," ")</f>
        <v xml:space="preserve"> </v>
      </c>
      <c r="C257" s="99"/>
      <c r="D257" s="100"/>
      <c r="E257" s="101"/>
      <c r="F257" s="101"/>
      <c r="G257" s="100" t="str">
        <f>IFERROR(VLOOKUP(Tablo520[[#This Row],[ÜRÜN KODU]],YMKODLARI!$A$1:$K$373,3,0)," ")</f>
        <v xml:space="preserve"> </v>
      </c>
      <c r="H257" s="100" t="str">
        <f>IFERROR(VLOOKUP(Tablo520[[#This Row],[ÜRÜN KODU]],YMKODLARI!$A$1:$K$373,4,0)," ")</f>
        <v xml:space="preserve"> </v>
      </c>
      <c r="I257" s="100"/>
      <c r="J257" s="100" t="str">
        <f>IFERROR(VLOOKUP(Tablo520[[#This Row],[ÜRÜN KODU]],YMKODLARI!$A$1:$K$373,9,0)," ")</f>
        <v xml:space="preserve"> </v>
      </c>
      <c r="K257" s="100" t="str">
        <f>IFERROR(VLOOKUP(Tablo520[[#This Row],[BOYA KODU]],Tablo14[#All],4,0)," ")</f>
        <v xml:space="preserve"> </v>
      </c>
      <c r="L257" s="100" t="str">
        <f>IFERROR(VLOOKUP(Tablo520[[#This Row],[BOYA KODU]],Tablo14[#All],6,0)," ")</f>
        <v xml:space="preserve"> </v>
      </c>
      <c r="M257" s="100" t="str">
        <f t="shared" si="21"/>
        <v xml:space="preserve"> </v>
      </c>
      <c r="N257" s="100" t="str">
        <f>IFERROR(VLOOKUP(Tablo520[[#This Row],[ÜRÜN KODU]],YMKODLARI!$A$1:$K$373,8,0)," ")</f>
        <v xml:space="preserve"> </v>
      </c>
      <c r="O257" s="100" t="str">
        <f>IFERROR(VLOOKUP(Tablo520[[#This Row],[HAMMADDE KODU]],Tablo1[#All],3,0)," ")</f>
        <v xml:space="preserve"> </v>
      </c>
      <c r="P257" s="100" t="str">
        <f>IFERROR(VLOOKUP(Tablo520[[#This Row],[HAMMADDE KODU]],Tablo1[#All],4,0)," ")</f>
        <v xml:space="preserve"> </v>
      </c>
      <c r="Q257" s="100" t="str">
        <f>IFERROR(VLOOKUP(Tablo520[[#This Row],[ÜRÜN KODU]],YMKODLARI!$A$1:$K$373,5,0)," ")</f>
        <v xml:space="preserve"> </v>
      </c>
      <c r="R257" s="100" t="str">
        <f>IFERROR(VLOOKUP(Tablo520[[#This Row],[ÜRÜN KODU]],YMKODLARI!$A$1:$K$373,6,0)," ")</f>
        <v xml:space="preserve"> </v>
      </c>
      <c r="S257" s="100" t="str">
        <f>IFERROR(Tablo520[[#This Row],[YOLLUK HARİÇ BASKI GRAMI]]/Tablo520[[#This Row],[KALIP GÖZ ADEDİ]]," ")</f>
        <v xml:space="preserve"> </v>
      </c>
      <c r="T257" s="100" t="str">
        <f t="shared" si="23"/>
        <v xml:space="preserve"> </v>
      </c>
      <c r="U257" s="100"/>
      <c r="V257" s="100" t="str">
        <f t="shared" si="22"/>
        <v xml:space="preserve"> </v>
      </c>
      <c r="W257" s="101">
        <f t="shared" si="24"/>
        <v>24</v>
      </c>
      <c r="X257" s="102">
        <f t="shared" si="25"/>
        <v>0</v>
      </c>
      <c r="Y257" s="100" t="str">
        <f t="shared" si="26"/>
        <v xml:space="preserve"> </v>
      </c>
      <c r="Z257" s="100" t="str">
        <f t="shared" si="27"/>
        <v xml:space="preserve"> </v>
      </c>
    </row>
    <row r="258" spans="1:26">
      <c r="A258" s="100"/>
      <c r="B258" s="100" t="str">
        <f>IFERROR(VLOOKUP(Tablo520[[#This Row],[ÜRÜN KODU]],YMKODLARI!$A$1:$K$373,2,0)," ")</f>
        <v xml:space="preserve"> </v>
      </c>
      <c r="C258" s="99"/>
      <c r="D258" s="100"/>
      <c r="E258" s="101"/>
      <c r="F258" s="101"/>
      <c r="G258" s="100" t="str">
        <f>IFERROR(VLOOKUP(Tablo520[[#This Row],[ÜRÜN KODU]],YMKODLARI!$A$1:$K$373,3,0)," ")</f>
        <v xml:space="preserve"> </v>
      </c>
      <c r="H258" s="100" t="str">
        <f>IFERROR(VLOOKUP(Tablo520[[#This Row],[ÜRÜN KODU]],YMKODLARI!$A$1:$K$373,4,0)," ")</f>
        <v xml:space="preserve"> </v>
      </c>
      <c r="I258" s="100"/>
      <c r="J258" s="100" t="str">
        <f>IFERROR(VLOOKUP(Tablo520[[#This Row],[ÜRÜN KODU]],YMKODLARI!$A$1:$K$373,9,0)," ")</f>
        <v xml:space="preserve"> </v>
      </c>
      <c r="K258" s="100" t="str">
        <f>IFERROR(VLOOKUP(Tablo520[[#This Row],[BOYA KODU]],Tablo14[#All],4,0)," ")</f>
        <v xml:space="preserve"> </v>
      </c>
      <c r="L258" s="100" t="str">
        <f>IFERROR(VLOOKUP(Tablo520[[#This Row],[BOYA KODU]],Tablo14[#All],6,0)," ")</f>
        <v xml:space="preserve"> </v>
      </c>
      <c r="M258" s="100" t="str">
        <f t="shared" ref="M258:M321" si="28">IFERROR((I258*Q258)*L258," ")</f>
        <v xml:space="preserve"> </v>
      </c>
      <c r="N258" s="100" t="str">
        <f>IFERROR(VLOOKUP(Tablo520[[#This Row],[ÜRÜN KODU]],YMKODLARI!$A$1:$K$373,8,0)," ")</f>
        <v xml:space="preserve"> </v>
      </c>
      <c r="O258" s="100" t="str">
        <f>IFERROR(VLOOKUP(Tablo520[[#This Row],[HAMMADDE KODU]],Tablo1[#All],3,0)," ")</f>
        <v xml:space="preserve"> </v>
      </c>
      <c r="P258" s="100" t="str">
        <f>IFERROR(VLOOKUP(Tablo520[[#This Row],[HAMMADDE KODU]],Tablo1[#All],4,0)," ")</f>
        <v xml:space="preserve"> </v>
      </c>
      <c r="Q258" s="100" t="str">
        <f>IFERROR(VLOOKUP(Tablo520[[#This Row],[ÜRÜN KODU]],YMKODLARI!$A$1:$K$373,5,0)," ")</f>
        <v xml:space="preserve"> </v>
      </c>
      <c r="R258" s="100" t="str">
        <f>IFERROR(VLOOKUP(Tablo520[[#This Row],[ÜRÜN KODU]],YMKODLARI!$A$1:$K$373,6,0)," ")</f>
        <v xml:space="preserve"> </v>
      </c>
      <c r="S258" s="100" t="str">
        <f>IFERROR(Tablo520[[#This Row],[YOLLUK HARİÇ BASKI GRAMI]]/Tablo520[[#This Row],[KALIP GÖZ ADEDİ]]," ")</f>
        <v xml:space="preserve"> </v>
      </c>
      <c r="T258" s="100" t="str">
        <f t="shared" si="23"/>
        <v xml:space="preserve"> </v>
      </c>
      <c r="U258" s="100"/>
      <c r="V258" s="100" t="str">
        <f t="shared" ref="V258:V321" si="29">IFERROR(U258+(R258*I258) /1000," ")</f>
        <v xml:space="preserve"> </v>
      </c>
      <c r="W258" s="101">
        <f t="shared" si="24"/>
        <v>24</v>
      </c>
      <c r="X258" s="102">
        <f t="shared" si="25"/>
        <v>0</v>
      </c>
      <c r="Y258" s="100" t="str">
        <f t="shared" si="26"/>
        <v xml:space="preserve"> </v>
      </c>
      <c r="Z258" s="100" t="str">
        <f t="shared" si="27"/>
        <v xml:space="preserve"> </v>
      </c>
    </row>
    <row r="259" spans="1:26">
      <c r="A259" s="100"/>
      <c r="B259" s="100" t="str">
        <f>IFERROR(VLOOKUP(Tablo520[[#This Row],[ÜRÜN KODU]],YMKODLARI!$A$1:$K$373,2,0)," ")</f>
        <v xml:space="preserve"> </v>
      </c>
      <c r="C259" s="99"/>
      <c r="D259" s="100"/>
      <c r="E259" s="101"/>
      <c r="F259" s="101"/>
      <c r="G259" s="100" t="str">
        <f>IFERROR(VLOOKUP(Tablo520[[#This Row],[ÜRÜN KODU]],YMKODLARI!$A$1:$K$373,3,0)," ")</f>
        <v xml:space="preserve"> </v>
      </c>
      <c r="H259" s="100" t="str">
        <f>IFERROR(VLOOKUP(Tablo520[[#This Row],[ÜRÜN KODU]],YMKODLARI!$A$1:$K$373,4,0)," ")</f>
        <v xml:space="preserve"> </v>
      </c>
      <c r="I259" s="100"/>
      <c r="J259" s="100" t="str">
        <f>IFERROR(VLOOKUP(Tablo520[[#This Row],[ÜRÜN KODU]],YMKODLARI!$A$1:$K$373,9,0)," ")</f>
        <v xml:space="preserve"> </v>
      </c>
      <c r="K259" s="100" t="str">
        <f>IFERROR(VLOOKUP(Tablo520[[#This Row],[BOYA KODU]],Tablo14[#All],4,0)," ")</f>
        <v xml:space="preserve"> </v>
      </c>
      <c r="L259" s="100" t="str">
        <f>IFERROR(VLOOKUP(Tablo520[[#This Row],[BOYA KODU]],Tablo14[#All],6,0)," ")</f>
        <v xml:space="preserve"> </v>
      </c>
      <c r="M259" s="100" t="str">
        <f t="shared" si="28"/>
        <v xml:space="preserve"> </v>
      </c>
      <c r="N259" s="100" t="str">
        <f>IFERROR(VLOOKUP(Tablo520[[#This Row],[ÜRÜN KODU]],YMKODLARI!$A$1:$K$373,8,0)," ")</f>
        <v xml:space="preserve"> </v>
      </c>
      <c r="O259" s="100" t="str">
        <f>IFERROR(VLOOKUP(Tablo520[[#This Row],[HAMMADDE KODU]],Tablo1[#All],3,0)," ")</f>
        <v xml:space="preserve"> </v>
      </c>
      <c r="P259" s="100" t="str">
        <f>IFERROR(VLOOKUP(Tablo520[[#This Row],[HAMMADDE KODU]],Tablo1[#All],4,0)," ")</f>
        <v xml:space="preserve"> </v>
      </c>
      <c r="Q259" s="100" t="str">
        <f>IFERROR(VLOOKUP(Tablo520[[#This Row],[ÜRÜN KODU]],YMKODLARI!$A$1:$K$373,5,0)," ")</f>
        <v xml:space="preserve"> </v>
      </c>
      <c r="R259" s="100" t="str">
        <f>IFERROR(VLOOKUP(Tablo520[[#This Row],[ÜRÜN KODU]],YMKODLARI!$A$1:$K$373,6,0)," ")</f>
        <v xml:space="preserve"> </v>
      </c>
      <c r="S259" s="100" t="str">
        <f>IFERROR(Tablo520[[#This Row],[YOLLUK HARİÇ BASKI GRAMI]]/Tablo520[[#This Row],[KALIP GÖZ ADEDİ]]," ")</f>
        <v xml:space="preserve"> </v>
      </c>
      <c r="T259" s="100" t="str">
        <f t="shared" ref="T259:T322" si="30">IFERROR(Q259-R259," ")</f>
        <v xml:space="preserve"> </v>
      </c>
      <c r="U259" s="100"/>
      <c r="V259" s="100" t="str">
        <f t="shared" si="29"/>
        <v xml:space="preserve"> </v>
      </c>
      <c r="W259" s="101">
        <f t="shared" ref="W259:W322" si="31">IFERROR(24-(E259-F259)," ")</f>
        <v>24</v>
      </c>
      <c r="X259" s="102">
        <f t="shared" ref="X259:X322" si="32">IFERROR((W259-INT(W259))*24," ")</f>
        <v>0</v>
      </c>
      <c r="Y259" s="100" t="str">
        <f t="shared" ref="Y259:Y322" si="33">IFERROR(H259*I259/3600," ")</f>
        <v xml:space="preserve"> </v>
      </c>
      <c r="Z259" s="100" t="str">
        <f t="shared" ref="Z259:Z322" si="34">IFERROR(I259*G259," " )</f>
        <v xml:space="preserve"> </v>
      </c>
    </row>
    <row r="260" spans="1:26">
      <c r="A260" s="100"/>
      <c r="B260" s="100" t="str">
        <f>IFERROR(VLOOKUP(Tablo520[[#This Row],[ÜRÜN KODU]],YMKODLARI!$A$1:$K$373,2,0)," ")</f>
        <v xml:space="preserve"> </v>
      </c>
      <c r="C260" s="99"/>
      <c r="D260" s="100"/>
      <c r="E260" s="101"/>
      <c r="F260" s="101"/>
      <c r="G260" s="100" t="str">
        <f>IFERROR(VLOOKUP(Tablo520[[#This Row],[ÜRÜN KODU]],YMKODLARI!$A$1:$K$373,3,0)," ")</f>
        <v xml:space="preserve"> </v>
      </c>
      <c r="H260" s="100" t="str">
        <f>IFERROR(VLOOKUP(Tablo520[[#This Row],[ÜRÜN KODU]],YMKODLARI!$A$1:$K$373,4,0)," ")</f>
        <v xml:space="preserve"> </v>
      </c>
      <c r="I260" s="100"/>
      <c r="J260" s="100" t="str">
        <f>IFERROR(VLOOKUP(Tablo520[[#This Row],[ÜRÜN KODU]],YMKODLARI!$A$1:$K$373,9,0)," ")</f>
        <v xml:space="preserve"> </v>
      </c>
      <c r="K260" s="100" t="str">
        <f>IFERROR(VLOOKUP(Tablo520[[#This Row],[BOYA KODU]],Tablo14[#All],4,0)," ")</f>
        <v xml:space="preserve"> </v>
      </c>
      <c r="L260" s="100" t="str">
        <f>IFERROR(VLOOKUP(Tablo520[[#This Row],[BOYA KODU]],Tablo14[#All],6,0)," ")</f>
        <v xml:space="preserve"> </v>
      </c>
      <c r="M260" s="100" t="str">
        <f t="shared" si="28"/>
        <v xml:space="preserve"> </v>
      </c>
      <c r="N260" s="100" t="str">
        <f>IFERROR(VLOOKUP(Tablo520[[#This Row],[ÜRÜN KODU]],YMKODLARI!$A$1:$K$373,8,0)," ")</f>
        <v xml:space="preserve"> </v>
      </c>
      <c r="O260" s="100" t="str">
        <f>IFERROR(VLOOKUP(Tablo520[[#This Row],[HAMMADDE KODU]],Tablo1[#All],3,0)," ")</f>
        <v xml:space="preserve"> </v>
      </c>
      <c r="P260" s="100" t="str">
        <f>IFERROR(VLOOKUP(Tablo520[[#This Row],[HAMMADDE KODU]],Tablo1[#All],4,0)," ")</f>
        <v xml:space="preserve"> </v>
      </c>
      <c r="Q260" s="100" t="str">
        <f>IFERROR(VLOOKUP(Tablo520[[#This Row],[ÜRÜN KODU]],YMKODLARI!$A$1:$K$373,5,0)," ")</f>
        <v xml:space="preserve"> </v>
      </c>
      <c r="R260" s="100" t="str">
        <f>IFERROR(VLOOKUP(Tablo520[[#This Row],[ÜRÜN KODU]],YMKODLARI!$A$1:$K$373,6,0)," ")</f>
        <v xml:space="preserve"> </v>
      </c>
      <c r="S260" s="100" t="str">
        <f>IFERROR(Tablo520[[#This Row],[YOLLUK HARİÇ BASKI GRAMI]]/Tablo520[[#This Row],[KALIP GÖZ ADEDİ]]," ")</f>
        <v xml:space="preserve"> </v>
      </c>
      <c r="T260" s="100" t="str">
        <f t="shared" si="30"/>
        <v xml:space="preserve"> </v>
      </c>
      <c r="U260" s="100"/>
      <c r="V260" s="100" t="str">
        <f t="shared" si="29"/>
        <v xml:space="preserve"> </v>
      </c>
      <c r="W260" s="101">
        <f t="shared" si="31"/>
        <v>24</v>
      </c>
      <c r="X260" s="102">
        <f t="shared" si="32"/>
        <v>0</v>
      </c>
      <c r="Y260" s="100" t="str">
        <f t="shared" si="33"/>
        <v xml:space="preserve"> </v>
      </c>
      <c r="Z260" s="100" t="str">
        <f t="shared" si="34"/>
        <v xml:space="preserve"> </v>
      </c>
    </row>
    <row r="261" spans="1:26">
      <c r="A261" s="100"/>
      <c r="B261" s="100" t="str">
        <f>IFERROR(VLOOKUP(Tablo520[[#This Row],[ÜRÜN KODU]],YMKODLARI!$A$1:$K$373,2,0)," ")</f>
        <v xml:space="preserve"> </v>
      </c>
      <c r="C261" s="99"/>
      <c r="D261" s="100"/>
      <c r="E261" s="101"/>
      <c r="F261" s="101"/>
      <c r="G261" s="100" t="str">
        <f>IFERROR(VLOOKUP(Tablo520[[#This Row],[ÜRÜN KODU]],YMKODLARI!$A$1:$K$373,3,0)," ")</f>
        <v xml:space="preserve"> </v>
      </c>
      <c r="H261" s="100" t="str">
        <f>IFERROR(VLOOKUP(Tablo520[[#This Row],[ÜRÜN KODU]],YMKODLARI!$A$1:$K$373,4,0)," ")</f>
        <v xml:space="preserve"> </v>
      </c>
      <c r="I261" s="100"/>
      <c r="J261" s="100" t="str">
        <f>IFERROR(VLOOKUP(Tablo520[[#This Row],[ÜRÜN KODU]],YMKODLARI!$A$1:$K$373,9,0)," ")</f>
        <v xml:space="preserve"> </v>
      </c>
      <c r="K261" s="100" t="str">
        <f>IFERROR(VLOOKUP(Tablo520[[#This Row],[BOYA KODU]],Tablo14[#All],4,0)," ")</f>
        <v xml:space="preserve"> </v>
      </c>
      <c r="L261" s="100" t="str">
        <f>IFERROR(VLOOKUP(Tablo520[[#This Row],[BOYA KODU]],Tablo14[#All],6,0)," ")</f>
        <v xml:space="preserve"> </v>
      </c>
      <c r="M261" s="100" t="str">
        <f t="shared" si="28"/>
        <v xml:space="preserve"> </v>
      </c>
      <c r="N261" s="100" t="str">
        <f>IFERROR(VLOOKUP(Tablo520[[#This Row],[ÜRÜN KODU]],YMKODLARI!$A$1:$K$373,8,0)," ")</f>
        <v xml:space="preserve"> </v>
      </c>
      <c r="O261" s="100" t="str">
        <f>IFERROR(VLOOKUP(Tablo520[[#This Row],[HAMMADDE KODU]],Tablo1[#All],3,0)," ")</f>
        <v xml:space="preserve"> </v>
      </c>
      <c r="P261" s="100" t="str">
        <f>IFERROR(VLOOKUP(Tablo520[[#This Row],[HAMMADDE KODU]],Tablo1[#All],4,0)," ")</f>
        <v xml:space="preserve"> </v>
      </c>
      <c r="Q261" s="100" t="str">
        <f>IFERROR(VLOOKUP(Tablo520[[#This Row],[ÜRÜN KODU]],YMKODLARI!$A$1:$K$373,5,0)," ")</f>
        <v xml:space="preserve"> </v>
      </c>
      <c r="R261" s="100" t="str">
        <f>IFERROR(VLOOKUP(Tablo520[[#This Row],[ÜRÜN KODU]],YMKODLARI!$A$1:$K$373,6,0)," ")</f>
        <v xml:space="preserve"> </v>
      </c>
      <c r="S261" s="100" t="str">
        <f>IFERROR(Tablo520[[#This Row],[YOLLUK HARİÇ BASKI GRAMI]]/Tablo520[[#This Row],[KALIP GÖZ ADEDİ]]," ")</f>
        <v xml:space="preserve"> </v>
      </c>
      <c r="T261" s="100" t="str">
        <f t="shared" si="30"/>
        <v xml:space="preserve"> </v>
      </c>
      <c r="U261" s="100"/>
      <c r="V261" s="100" t="str">
        <f t="shared" si="29"/>
        <v xml:space="preserve"> </v>
      </c>
      <c r="W261" s="101">
        <f t="shared" si="31"/>
        <v>24</v>
      </c>
      <c r="X261" s="102">
        <f t="shared" si="32"/>
        <v>0</v>
      </c>
      <c r="Y261" s="100" t="str">
        <f t="shared" si="33"/>
        <v xml:space="preserve"> </v>
      </c>
      <c r="Z261" s="100" t="str">
        <f t="shared" si="34"/>
        <v xml:space="preserve"> </v>
      </c>
    </row>
    <row r="262" spans="1:26">
      <c r="A262" s="100"/>
      <c r="B262" s="100" t="str">
        <f>IFERROR(VLOOKUP(Tablo520[[#This Row],[ÜRÜN KODU]],YMKODLARI!$A$1:$K$373,2,0)," ")</f>
        <v xml:space="preserve"> </v>
      </c>
      <c r="C262" s="99"/>
      <c r="D262" s="100"/>
      <c r="E262" s="101"/>
      <c r="F262" s="101"/>
      <c r="G262" s="100" t="str">
        <f>IFERROR(VLOOKUP(Tablo520[[#This Row],[ÜRÜN KODU]],YMKODLARI!$A$1:$K$373,3,0)," ")</f>
        <v xml:space="preserve"> </v>
      </c>
      <c r="H262" s="100" t="str">
        <f>IFERROR(VLOOKUP(Tablo520[[#This Row],[ÜRÜN KODU]],YMKODLARI!$A$1:$K$373,4,0)," ")</f>
        <v xml:space="preserve"> </v>
      </c>
      <c r="I262" s="100"/>
      <c r="J262" s="100" t="str">
        <f>IFERROR(VLOOKUP(Tablo520[[#This Row],[ÜRÜN KODU]],YMKODLARI!$A$1:$K$373,9,0)," ")</f>
        <v xml:space="preserve"> </v>
      </c>
      <c r="K262" s="100" t="str">
        <f>IFERROR(VLOOKUP(Tablo520[[#This Row],[BOYA KODU]],Tablo14[#All],4,0)," ")</f>
        <v xml:space="preserve"> </v>
      </c>
      <c r="L262" s="100" t="str">
        <f>IFERROR(VLOOKUP(Tablo520[[#This Row],[BOYA KODU]],Tablo14[#All],6,0)," ")</f>
        <v xml:space="preserve"> </v>
      </c>
      <c r="M262" s="100" t="str">
        <f t="shared" si="28"/>
        <v xml:space="preserve"> </v>
      </c>
      <c r="N262" s="100" t="str">
        <f>IFERROR(VLOOKUP(Tablo520[[#This Row],[ÜRÜN KODU]],YMKODLARI!$A$1:$K$373,8,0)," ")</f>
        <v xml:space="preserve"> </v>
      </c>
      <c r="O262" s="100" t="str">
        <f>IFERROR(VLOOKUP(Tablo520[[#This Row],[HAMMADDE KODU]],Tablo1[#All],3,0)," ")</f>
        <v xml:space="preserve"> </v>
      </c>
      <c r="P262" s="100" t="str">
        <f>IFERROR(VLOOKUP(Tablo520[[#This Row],[HAMMADDE KODU]],Tablo1[#All],4,0)," ")</f>
        <v xml:space="preserve"> </v>
      </c>
      <c r="Q262" s="100" t="str">
        <f>IFERROR(VLOOKUP(Tablo520[[#This Row],[ÜRÜN KODU]],YMKODLARI!$A$1:$K$373,5,0)," ")</f>
        <v xml:space="preserve"> </v>
      </c>
      <c r="R262" s="100" t="str">
        <f>IFERROR(VLOOKUP(Tablo520[[#This Row],[ÜRÜN KODU]],YMKODLARI!$A$1:$K$373,6,0)," ")</f>
        <v xml:space="preserve"> </v>
      </c>
      <c r="S262" s="100" t="str">
        <f>IFERROR(Tablo520[[#This Row],[YOLLUK HARİÇ BASKI GRAMI]]/Tablo520[[#This Row],[KALIP GÖZ ADEDİ]]," ")</f>
        <v xml:space="preserve"> </v>
      </c>
      <c r="T262" s="100" t="str">
        <f t="shared" si="30"/>
        <v xml:space="preserve"> </v>
      </c>
      <c r="U262" s="100"/>
      <c r="V262" s="100" t="str">
        <f t="shared" si="29"/>
        <v xml:space="preserve"> </v>
      </c>
      <c r="W262" s="101">
        <f t="shared" si="31"/>
        <v>24</v>
      </c>
      <c r="X262" s="102">
        <f t="shared" si="32"/>
        <v>0</v>
      </c>
      <c r="Y262" s="100" t="str">
        <f t="shared" si="33"/>
        <v xml:space="preserve"> </v>
      </c>
      <c r="Z262" s="100" t="str">
        <f t="shared" si="34"/>
        <v xml:space="preserve"> </v>
      </c>
    </row>
    <row r="263" spans="1:26">
      <c r="A263" s="100"/>
      <c r="B263" s="100" t="str">
        <f>IFERROR(VLOOKUP(Tablo520[[#This Row],[ÜRÜN KODU]],YMKODLARI!$A$1:$K$373,2,0)," ")</f>
        <v xml:space="preserve"> </v>
      </c>
      <c r="C263" s="99"/>
      <c r="D263" s="100"/>
      <c r="E263" s="101"/>
      <c r="F263" s="101"/>
      <c r="G263" s="100" t="str">
        <f>IFERROR(VLOOKUP(Tablo520[[#This Row],[ÜRÜN KODU]],YMKODLARI!$A$1:$K$373,3,0)," ")</f>
        <v xml:space="preserve"> </v>
      </c>
      <c r="H263" s="100" t="str">
        <f>IFERROR(VLOOKUP(Tablo520[[#This Row],[ÜRÜN KODU]],YMKODLARI!$A$1:$K$373,4,0)," ")</f>
        <v xml:space="preserve"> </v>
      </c>
      <c r="I263" s="100"/>
      <c r="J263" s="100" t="str">
        <f>IFERROR(VLOOKUP(Tablo520[[#This Row],[ÜRÜN KODU]],YMKODLARI!$A$1:$K$373,9,0)," ")</f>
        <v xml:space="preserve"> </v>
      </c>
      <c r="K263" s="100" t="str">
        <f>IFERROR(VLOOKUP(Tablo520[[#This Row],[BOYA KODU]],Tablo14[#All],4,0)," ")</f>
        <v xml:space="preserve"> </v>
      </c>
      <c r="L263" s="100" t="str">
        <f>IFERROR(VLOOKUP(Tablo520[[#This Row],[BOYA KODU]],Tablo14[#All],6,0)," ")</f>
        <v xml:space="preserve"> </v>
      </c>
      <c r="M263" s="100" t="str">
        <f t="shared" si="28"/>
        <v xml:space="preserve"> </v>
      </c>
      <c r="N263" s="100" t="str">
        <f>IFERROR(VLOOKUP(Tablo520[[#This Row],[ÜRÜN KODU]],YMKODLARI!$A$1:$K$373,8,0)," ")</f>
        <v xml:space="preserve"> </v>
      </c>
      <c r="O263" s="100" t="str">
        <f>IFERROR(VLOOKUP(Tablo520[[#This Row],[HAMMADDE KODU]],Tablo1[#All],3,0)," ")</f>
        <v xml:space="preserve"> </v>
      </c>
      <c r="P263" s="100" t="str">
        <f>IFERROR(VLOOKUP(Tablo520[[#This Row],[HAMMADDE KODU]],Tablo1[#All],4,0)," ")</f>
        <v xml:space="preserve"> </v>
      </c>
      <c r="Q263" s="100" t="str">
        <f>IFERROR(VLOOKUP(Tablo520[[#This Row],[ÜRÜN KODU]],YMKODLARI!$A$1:$K$373,5,0)," ")</f>
        <v xml:space="preserve"> </v>
      </c>
      <c r="R263" s="100" t="str">
        <f>IFERROR(VLOOKUP(Tablo520[[#This Row],[ÜRÜN KODU]],YMKODLARI!$A$1:$K$373,6,0)," ")</f>
        <v xml:space="preserve"> </v>
      </c>
      <c r="S263" s="100" t="str">
        <f>IFERROR(Tablo520[[#This Row],[YOLLUK HARİÇ BASKI GRAMI]]/Tablo520[[#This Row],[KALIP GÖZ ADEDİ]]," ")</f>
        <v xml:space="preserve"> </v>
      </c>
      <c r="T263" s="100" t="str">
        <f t="shared" si="30"/>
        <v xml:space="preserve"> </v>
      </c>
      <c r="U263" s="100"/>
      <c r="V263" s="100" t="str">
        <f t="shared" si="29"/>
        <v xml:space="preserve"> </v>
      </c>
      <c r="W263" s="101">
        <f t="shared" si="31"/>
        <v>24</v>
      </c>
      <c r="X263" s="102">
        <f t="shared" si="32"/>
        <v>0</v>
      </c>
      <c r="Y263" s="100" t="str">
        <f t="shared" si="33"/>
        <v xml:space="preserve"> </v>
      </c>
      <c r="Z263" s="100" t="str">
        <f t="shared" si="34"/>
        <v xml:space="preserve"> </v>
      </c>
    </row>
    <row r="264" spans="1:26">
      <c r="A264" s="100"/>
      <c r="B264" s="100" t="str">
        <f>IFERROR(VLOOKUP(Tablo520[[#This Row],[ÜRÜN KODU]],YMKODLARI!$A$1:$K$373,2,0)," ")</f>
        <v xml:space="preserve"> </v>
      </c>
      <c r="C264" s="99"/>
      <c r="D264" s="100"/>
      <c r="E264" s="101"/>
      <c r="F264" s="101"/>
      <c r="G264" s="100" t="str">
        <f>IFERROR(VLOOKUP(Tablo520[[#This Row],[ÜRÜN KODU]],YMKODLARI!$A$1:$K$373,3,0)," ")</f>
        <v xml:space="preserve"> </v>
      </c>
      <c r="H264" s="100" t="str">
        <f>IFERROR(VLOOKUP(Tablo520[[#This Row],[ÜRÜN KODU]],YMKODLARI!$A$1:$K$373,4,0)," ")</f>
        <v xml:space="preserve"> </v>
      </c>
      <c r="I264" s="100"/>
      <c r="J264" s="100" t="str">
        <f>IFERROR(VLOOKUP(Tablo520[[#This Row],[ÜRÜN KODU]],YMKODLARI!$A$1:$K$373,9,0)," ")</f>
        <v xml:space="preserve"> </v>
      </c>
      <c r="K264" s="100" t="str">
        <f>IFERROR(VLOOKUP(Tablo520[[#This Row],[BOYA KODU]],Tablo14[#All],4,0)," ")</f>
        <v xml:space="preserve"> </v>
      </c>
      <c r="L264" s="100" t="str">
        <f>IFERROR(VLOOKUP(Tablo520[[#This Row],[BOYA KODU]],Tablo14[#All],6,0)," ")</f>
        <v xml:space="preserve"> </v>
      </c>
      <c r="M264" s="100" t="str">
        <f t="shared" si="28"/>
        <v xml:space="preserve"> </v>
      </c>
      <c r="N264" s="100" t="str">
        <f>IFERROR(VLOOKUP(Tablo520[[#This Row],[ÜRÜN KODU]],YMKODLARI!$A$1:$K$373,8,0)," ")</f>
        <v xml:space="preserve"> </v>
      </c>
      <c r="O264" s="100" t="str">
        <f>IFERROR(VLOOKUP(Tablo520[[#This Row],[HAMMADDE KODU]],Tablo1[#All],3,0)," ")</f>
        <v xml:space="preserve"> </v>
      </c>
      <c r="P264" s="100" t="str">
        <f>IFERROR(VLOOKUP(Tablo520[[#This Row],[HAMMADDE KODU]],Tablo1[#All],4,0)," ")</f>
        <v xml:space="preserve"> </v>
      </c>
      <c r="Q264" s="100" t="str">
        <f>IFERROR(VLOOKUP(Tablo520[[#This Row],[ÜRÜN KODU]],YMKODLARI!$A$1:$K$373,5,0)," ")</f>
        <v xml:space="preserve"> </v>
      </c>
      <c r="R264" s="100" t="str">
        <f>IFERROR(VLOOKUP(Tablo520[[#This Row],[ÜRÜN KODU]],YMKODLARI!$A$1:$K$373,6,0)," ")</f>
        <v xml:space="preserve"> </v>
      </c>
      <c r="S264" s="100" t="str">
        <f>IFERROR(Tablo520[[#This Row],[YOLLUK HARİÇ BASKI GRAMI]]/Tablo520[[#This Row],[KALIP GÖZ ADEDİ]]," ")</f>
        <v xml:space="preserve"> </v>
      </c>
      <c r="T264" s="100" t="str">
        <f t="shared" si="30"/>
        <v xml:space="preserve"> </v>
      </c>
      <c r="U264" s="100"/>
      <c r="V264" s="100" t="str">
        <f t="shared" si="29"/>
        <v xml:space="preserve"> </v>
      </c>
      <c r="W264" s="101">
        <f t="shared" si="31"/>
        <v>24</v>
      </c>
      <c r="X264" s="102">
        <f t="shared" si="32"/>
        <v>0</v>
      </c>
      <c r="Y264" s="100" t="str">
        <f t="shared" si="33"/>
        <v xml:space="preserve"> </v>
      </c>
      <c r="Z264" s="100" t="str">
        <f t="shared" si="34"/>
        <v xml:space="preserve"> </v>
      </c>
    </row>
    <row r="265" spans="1:26">
      <c r="A265" s="100"/>
      <c r="B265" s="100" t="str">
        <f>IFERROR(VLOOKUP(Tablo520[[#This Row],[ÜRÜN KODU]],YMKODLARI!$A$1:$K$373,2,0)," ")</f>
        <v xml:space="preserve"> </v>
      </c>
      <c r="C265" s="99"/>
      <c r="D265" s="100"/>
      <c r="E265" s="101"/>
      <c r="F265" s="101"/>
      <c r="G265" s="100" t="str">
        <f>IFERROR(VLOOKUP(Tablo520[[#This Row],[ÜRÜN KODU]],YMKODLARI!$A$1:$K$373,3,0)," ")</f>
        <v xml:space="preserve"> </v>
      </c>
      <c r="H265" s="100" t="str">
        <f>IFERROR(VLOOKUP(Tablo520[[#This Row],[ÜRÜN KODU]],YMKODLARI!$A$1:$K$373,4,0)," ")</f>
        <v xml:space="preserve"> </v>
      </c>
      <c r="I265" s="100"/>
      <c r="J265" s="100" t="str">
        <f>IFERROR(VLOOKUP(Tablo520[[#This Row],[ÜRÜN KODU]],YMKODLARI!$A$1:$K$373,9,0)," ")</f>
        <v xml:space="preserve"> </v>
      </c>
      <c r="K265" s="100" t="str">
        <f>IFERROR(VLOOKUP(Tablo520[[#This Row],[BOYA KODU]],Tablo14[#All],4,0)," ")</f>
        <v xml:space="preserve"> </v>
      </c>
      <c r="L265" s="100" t="str">
        <f>IFERROR(VLOOKUP(Tablo520[[#This Row],[BOYA KODU]],Tablo14[#All],6,0)," ")</f>
        <v xml:space="preserve"> </v>
      </c>
      <c r="M265" s="100" t="str">
        <f t="shared" si="28"/>
        <v xml:space="preserve"> </v>
      </c>
      <c r="N265" s="100" t="str">
        <f>IFERROR(VLOOKUP(Tablo520[[#This Row],[ÜRÜN KODU]],YMKODLARI!$A$1:$K$373,8,0)," ")</f>
        <v xml:space="preserve"> </v>
      </c>
      <c r="O265" s="100" t="str">
        <f>IFERROR(VLOOKUP(Tablo520[[#This Row],[HAMMADDE KODU]],Tablo1[#All],3,0)," ")</f>
        <v xml:space="preserve"> </v>
      </c>
      <c r="P265" s="100" t="str">
        <f>IFERROR(VLOOKUP(Tablo520[[#This Row],[HAMMADDE KODU]],Tablo1[#All],4,0)," ")</f>
        <v xml:space="preserve"> </v>
      </c>
      <c r="Q265" s="100" t="str">
        <f>IFERROR(VLOOKUP(Tablo520[[#This Row],[ÜRÜN KODU]],YMKODLARI!$A$1:$K$373,5,0)," ")</f>
        <v xml:space="preserve"> </v>
      </c>
      <c r="R265" s="100" t="str">
        <f>IFERROR(VLOOKUP(Tablo520[[#This Row],[ÜRÜN KODU]],YMKODLARI!$A$1:$K$373,6,0)," ")</f>
        <v xml:space="preserve"> </v>
      </c>
      <c r="S265" s="100" t="str">
        <f>IFERROR(Tablo520[[#This Row],[YOLLUK HARİÇ BASKI GRAMI]]/Tablo520[[#This Row],[KALIP GÖZ ADEDİ]]," ")</f>
        <v xml:space="preserve"> </v>
      </c>
      <c r="T265" s="100" t="str">
        <f t="shared" si="30"/>
        <v xml:space="preserve"> </v>
      </c>
      <c r="U265" s="100"/>
      <c r="V265" s="100" t="str">
        <f t="shared" si="29"/>
        <v xml:space="preserve"> </v>
      </c>
      <c r="W265" s="101">
        <f t="shared" si="31"/>
        <v>24</v>
      </c>
      <c r="X265" s="102">
        <f t="shared" si="32"/>
        <v>0</v>
      </c>
      <c r="Y265" s="100" t="str">
        <f t="shared" si="33"/>
        <v xml:space="preserve"> </v>
      </c>
      <c r="Z265" s="100" t="str">
        <f t="shared" si="34"/>
        <v xml:space="preserve"> </v>
      </c>
    </row>
    <row r="266" spans="1:26">
      <c r="A266" s="100"/>
      <c r="B266" s="100" t="str">
        <f>IFERROR(VLOOKUP(Tablo520[[#This Row],[ÜRÜN KODU]],YMKODLARI!$A$1:$K$373,2,0)," ")</f>
        <v xml:space="preserve"> </v>
      </c>
      <c r="C266" s="99"/>
      <c r="D266" s="100"/>
      <c r="E266" s="101"/>
      <c r="F266" s="101"/>
      <c r="G266" s="100" t="str">
        <f>IFERROR(VLOOKUP(Tablo520[[#This Row],[ÜRÜN KODU]],YMKODLARI!$A$1:$K$373,3,0)," ")</f>
        <v xml:space="preserve"> </v>
      </c>
      <c r="H266" s="100" t="str">
        <f>IFERROR(VLOOKUP(Tablo520[[#This Row],[ÜRÜN KODU]],YMKODLARI!$A$1:$K$373,4,0)," ")</f>
        <v xml:space="preserve"> </v>
      </c>
      <c r="I266" s="100"/>
      <c r="J266" s="100" t="str">
        <f>IFERROR(VLOOKUP(Tablo520[[#This Row],[ÜRÜN KODU]],YMKODLARI!$A$1:$K$373,9,0)," ")</f>
        <v xml:space="preserve"> </v>
      </c>
      <c r="K266" s="100" t="str">
        <f>IFERROR(VLOOKUP(Tablo520[[#This Row],[BOYA KODU]],Tablo14[#All],4,0)," ")</f>
        <v xml:space="preserve"> </v>
      </c>
      <c r="L266" s="100" t="str">
        <f>IFERROR(VLOOKUP(Tablo520[[#This Row],[BOYA KODU]],Tablo14[#All],6,0)," ")</f>
        <v xml:space="preserve"> </v>
      </c>
      <c r="M266" s="100" t="str">
        <f t="shared" si="28"/>
        <v xml:space="preserve"> </v>
      </c>
      <c r="N266" s="100" t="str">
        <f>IFERROR(VLOOKUP(Tablo520[[#This Row],[ÜRÜN KODU]],YMKODLARI!$A$1:$K$373,8,0)," ")</f>
        <v xml:space="preserve"> </v>
      </c>
      <c r="O266" s="100" t="str">
        <f>IFERROR(VLOOKUP(Tablo520[[#This Row],[HAMMADDE KODU]],Tablo1[#All],3,0)," ")</f>
        <v xml:space="preserve"> </v>
      </c>
      <c r="P266" s="100" t="str">
        <f>IFERROR(VLOOKUP(Tablo520[[#This Row],[HAMMADDE KODU]],Tablo1[#All],4,0)," ")</f>
        <v xml:space="preserve"> </v>
      </c>
      <c r="Q266" s="100" t="str">
        <f>IFERROR(VLOOKUP(Tablo520[[#This Row],[ÜRÜN KODU]],YMKODLARI!$A$1:$K$373,5,0)," ")</f>
        <v xml:space="preserve"> </v>
      </c>
      <c r="R266" s="100" t="str">
        <f>IFERROR(VLOOKUP(Tablo520[[#This Row],[ÜRÜN KODU]],YMKODLARI!$A$1:$K$373,6,0)," ")</f>
        <v xml:space="preserve"> </v>
      </c>
      <c r="S266" s="100" t="str">
        <f>IFERROR(Tablo520[[#This Row],[YOLLUK HARİÇ BASKI GRAMI]]/Tablo520[[#This Row],[KALIP GÖZ ADEDİ]]," ")</f>
        <v xml:space="preserve"> </v>
      </c>
      <c r="T266" s="100" t="str">
        <f t="shared" si="30"/>
        <v xml:space="preserve"> </v>
      </c>
      <c r="U266" s="100"/>
      <c r="V266" s="100" t="str">
        <f t="shared" si="29"/>
        <v xml:space="preserve"> </v>
      </c>
      <c r="W266" s="101">
        <f t="shared" si="31"/>
        <v>24</v>
      </c>
      <c r="X266" s="102">
        <f t="shared" si="32"/>
        <v>0</v>
      </c>
      <c r="Y266" s="100" t="str">
        <f t="shared" si="33"/>
        <v xml:space="preserve"> </v>
      </c>
      <c r="Z266" s="100" t="str">
        <f t="shared" si="34"/>
        <v xml:space="preserve"> </v>
      </c>
    </row>
    <row r="267" spans="1:26">
      <c r="A267" s="100"/>
      <c r="B267" s="100" t="str">
        <f>IFERROR(VLOOKUP(Tablo520[[#This Row],[ÜRÜN KODU]],YMKODLARI!$A$1:$K$373,2,0)," ")</f>
        <v xml:space="preserve"> </v>
      </c>
      <c r="C267" s="99"/>
      <c r="D267" s="100"/>
      <c r="E267" s="101"/>
      <c r="F267" s="101"/>
      <c r="G267" s="100" t="str">
        <f>IFERROR(VLOOKUP(Tablo520[[#This Row],[ÜRÜN KODU]],YMKODLARI!$A$1:$K$373,3,0)," ")</f>
        <v xml:space="preserve"> </v>
      </c>
      <c r="H267" s="100" t="str">
        <f>IFERROR(VLOOKUP(Tablo520[[#This Row],[ÜRÜN KODU]],YMKODLARI!$A$1:$K$373,4,0)," ")</f>
        <v xml:space="preserve"> </v>
      </c>
      <c r="I267" s="100"/>
      <c r="J267" s="100" t="str">
        <f>IFERROR(VLOOKUP(Tablo520[[#This Row],[ÜRÜN KODU]],YMKODLARI!$A$1:$K$373,9,0)," ")</f>
        <v xml:space="preserve"> </v>
      </c>
      <c r="K267" s="100" t="str">
        <f>IFERROR(VLOOKUP(Tablo520[[#This Row],[BOYA KODU]],Tablo14[#All],4,0)," ")</f>
        <v xml:space="preserve"> </v>
      </c>
      <c r="L267" s="100" t="str">
        <f>IFERROR(VLOOKUP(Tablo520[[#This Row],[BOYA KODU]],Tablo14[#All],6,0)," ")</f>
        <v xml:space="preserve"> </v>
      </c>
      <c r="M267" s="100" t="str">
        <f t="shared" si="28"/>
        <v xml:space="preserve"> </v>
      </c>
      <c r="N267" s="100" t="str">
        <f>IFERROR(VLOOKUP(Tablo520[[#This Row],[ÜRÜN KODU]],YMKODLARI!$A$1:$K$373,8,0)," ")</f>
        <v xml:space="preserve"> </v>
      </c>
      <c r="O267" s="100" t="str">
        <f>IFERROR(VLOOKUP(Tablo520[[#This Row],[HAMMADDE KODU]],Tablo1[#All],3,0)," ")</f>
        <v xml:space="preserve"> </v>
      </c>
      <c r="P267" s="100" t="str">
        <f>IFERROR(VLOOKUP(Tablo520[[#This Row],[HAMMADDE KODU]],Tablo1[#All],4,0)," ")</f>
        <v xml:space="preserve"> </v>
      </c>
      <c r="Q267" s="100" t="str">
        <f>IFERROR(VLOOKUP(Tablo520[[#This Row],[ÜRÜN KODU]],YMKODLARI!$A$1:$K$373,5,0)," ")</f>
        <v xml:space="preserve"> </v>
      </c>
      <c r="R267" s="100" t="str">
        <f>IFERROR(VLOOKUP(Tablo520[[#This Row],[ÜRÜN KODU]],YMKODLARI!$A$1:$K$373,6,0)," ")</f>
        <v xml:space="preserve"> </v>
      </c>
      <c r="S267" s="100" t="str">
        <f>IFERROR(Tablo520[[#This Row],[YOLLUK HARİÇ BASKI GRAMI]]/Tablo520[[#This Row],[KALIP GÖZ ADEDİ]]," ")</f>
        <v xml:space="preserve"> </v>
      </c>
      <c r="T267" s="100" t="str">
        <f t="shared" si="30"/>
        <v xml:space="preserve"> </v>
      </c>
      <c r="U267" s="100"/>
      <c r="V267" s="100" t="str">
        <f t="shared" si="29"/>
        <v xml:space="preserve"> </v>
      </c>
      <c r="W267" s="101">
        <f t="shared" si="31"/>
        <v>24</v>
      </c>
      <c r="X267" s="102">
        <f t="shared" si="32"/>
        <v>0</v>
      </c>
      <c r="Y267" s="100" t="str">
        <f t="shared" si="33"/>
        <v xml:space="preserve"> </v>
      </c>
      <c r="Z267" s="100" t="str">
        <f t="shared" si="34"/>
        <v xml:space="preserve"> </v>
      </c>
    </row>
    <row r="268" spans="1:26">
      <c r="A268" s="100"/>
      <c r="B268" s="100" t="str">
        <f>IFERROR(VLOOKUP(Tablo520[[#This Row],[ÜRÜN KODU]],YMKODLARI!$A$1:$K$373,2,0)," ")</f>
        <v xml:space="preserve"> </v>
      </c>
      <c r="C268" s="99"/>
      <c r="D268" s="100"/>
      <c r="E268" s="101"/>
      <c r="F268" s="101"/>
      <c r="G268" s="100" t="str">
        <f>IFERROR(VLOOKUP(Tablo520[[#This Row],[ÜRÜN KODU]],YMKODLARI!$A$1:$K$373,3,0)," ")</f>
        <v xml:space="preserve"> </v>
      </c>
      <c r="H268" s="100" t="str">
        <f>IFERROR(VLOOKUP(Tablo520[[#This Row],[ÜRÜN KODU]],YMKODLARI!$A$1:$K$373,4,0)," ")</f>
        <v xml:space="preserve"> </v>
      </c>
      <c r="I268" s="100"/>
      <c r="J268" s="100" t="str">
        <f>IFERROR(VLOOKUP(Tablo520[[#This Row],[ÜRÜN KODU]],YMKODLARI!$A$1:$K$373,9,0)," ")</f>
        <v xml:space="preserve"> </v>
      </c>
      <c r="K268" s="100" t="str">
        <f>IFERROR(VLOOKUP(Tablo520[[#This Row],[BOYA KODU]],Tablo14[#All],4,0)," ")</f>
        <v xml:space="preserve"> </v>
      </c>
      <c r="L268" s="100" t="str">
        <f>IFERROR(VLOOKUP(Tablo520[[#This Row],[BOYA KODU]],Tablo14[#All],6,0)," ")</f>
        <v xml:space="preserve"> </v>
      </c>
      <c r="M268" s="100" t="str">
        <f t="shared" si="28"/>
        <v xml:space="preserve"> </v>
      </c>
      <c r="N268" s="100" t="str">
        <f>IFERROR(VLOOKUP(Tablo520[[#This Row],[ÜRÜN KODU]],YMKODLARI!$A$1:$K$373,8,0)," ")</f>
        <v xml:space="preserve"> </v>
      </c>
      <c r="O268" s="100" t="str">
        <f>IFERROR(VLOOKUP(Tablo520[[#This Row],[HAMMADDE KODU]],Tablo1[#All],3,0)," ")</f>
        <v xml:space="preserve"> </v>
      </c>
      <c r="P268" s="100" t="str">
        <f>IFERROR(VLOOKUP(Tablo520[[#This Row],[HAMMADDE KODU]],Tablo1[#All],4,0)," ")</f>
        <v xml:space="preserve"> </v>
      </c>
      <c r="Q268" s="100" t="str">
        <f>IFERROR(VLOOKUP(Tablo520[[#This Row],[ÜRÜN KODU]],YMKODLARI!$A$1:$K$373,5,0)," ")</f>
        <v xml:space="preserve"> </v>
      </c>
      <c r="R268" s="100" t="str">
        <f>IFERROR(VLOOKUP(Tablo520[[#This Row],[ÜRÜN KODU]],YMKODLARI!$A$1:$K$373,6,0)," ")</f>
        <v xml:space="preserve"> </v>
      </c>
      <c r="S268" s="100" t="str">
        <f>IFERROR(Tablo520[[#This Row],[YOLLUK HARİÇ BASKI GRAMI]]/Tablo520[[#This Row],[KALIP GÖZ ADEDİ]]," ")</f>
        <v xml:space="preserve"> </v>
      </c>
      <c r="T268" s="100" t="str">
        <f t="shared" si="30"/>
        <v xml:space="preserve"> </v>
      </c>
      <c r="U268" s="100"/>
      <c r="V268" s="100" t="str">
        <f t="shared" si="29"/>
        <v xml:space="preserve"> </v>
      </c>
      <c r="W268" s="101">
        <f t="shared" si="31"/>
        <v>24</v>
      </c>
      <c r="X268" s="102">
        <f t="shared" si="32"/>
        <v>0</v>
      </c>
      <c r="Y268" s="100" t="str">
        <f t="shared" si="33"/>
        <v xml:space="preserve"> </v>
      </c>
      <c r="Z268" s="100" t="str">
        <f t="shared" si="34"/>
        <v xml:space="preserve"> </v>
      </c>
    </row>
    <row r="269" spans="1:26">
      <c r="A269" s="100"/>
      <c r="B269" s="100" t="str">
        <f>IFERROR(VLOOKUP(Tablo520[[#This Row],[ÜRÜN KODU]],YMKODLARI!$A$1:$K$373,2,0)," ")</f>
        <v xml:space="preserve"> </v>
      </c>
      <c r="C269" s="99"/>
      <c r="D269" s="100"/>
      <c r="E269" s="101"/>
      <c r="F269" s="101"/>
      <c r="G269" s="100" t="str">
        <f>IFERROR(VLOOKUP(Tablo520[[#This Row],[ÜRÜN KODU]],YMKODLARI!$A$1:$K$373,3,0)," ")</f>
        <v xml:space="preserve"> </v>
      </c>
      <c r="H269" s="100" t="str">
        <f>IFERROR(VLOOKUP(Tablo520[[#This Row],[ÜRÜN KODU]],YMKODLARI!$A$1:$K$373,4,0)," ")</f>
        <v xml:space="preserve"> </v>
      </c>
      <c r="I269" s="100"/>
      <c r="J269" s="100" t="str">
        <f>IFERROR(VLOOKUP(Tablo520[[#This Row],[ÜRÜN KODU]],YMKODLARI!$A$1:$K$373,9,0)," ")</f>
        <v xml:space="preserve"> </v>
      </c>
      <c r="K269" s="100" t="str">
        <f>IFERROR(VLOOKUP(Tablo520[[#This Row],[BOYA KODU]],Tablo14[#All],4,0)," ")</f>
        <v xml:space="preserve"> </v>
      </c>
      <c r="L269" s="100" t="str">
        <f>IFERROR(VLOOKUP(Tablo520[[#This Row],[BOYA KODU]],Tablo14[#All],6,0)," ")</f>
        <v xml:space="preserve"> </v>
      </c>
      <c r="M269" s="100" t="str">
        <f t="shared" si="28"/>
        <v xml:space="preserve"> </v>
      </c>
      <c r="N269" s="100" t="str">
        <f>IFERROR(VLOOKUP(Tablo520[[#This Row],[ÜRÜN KODU]],YMKODLARI!$A$1:$K$373,8,0)," ")</f>
        <v xml:space="preserve"> </v>
      </c>
      <c r="O269" s="100" t="str">
        <f>IFERROR(VLOOKUP(Tablo520[[#This Row],[HAMMADDE KODU]],Tablo1[#All],3,0)," ")</f>
        <v xml:space="preserve"> </v>
      </c>
      <c r="P269" s="100" t="str">
        <f>IFERROR(VLOOKUP(Tablo520[[#This Row],[HAMMADDE KODU]],Tablo1[#All],4,0)," ")</f>
        <v xml:space="preserve"> </v>
      </c>
      <c r="Q269" s="100" t="str">
        <f>IFERROR(VLOOKUP(Tablo520[[#This Row],[ÜRÜN KODU]],YMKODLARI!$A$1:$K$373,5,0)," ")</f>
        <v xml:space="preserve"> </v>
      </c>
      <c r="R269" s="100" t="str">
        <f>IFERROR(VLOOKUP(Tablo520[[#This Row],[ÜRÜN KODU]],YMKODLARI!$A$1:$K$373,6,0)," ")</f>
        <v xml:space="preserve"> </v>
      </c>
      <c r="S269" s="100" t="str">
        <f>IFERROR(Tablo520[[#This Row],[YOLLUK HARİÇ BASKI GRAMI]]/Tablo520[[#This Row],[KALIP GÖZ ADEDİ]]," ")</f>
        <v xml:space="preserve"> </v>
      </c>
      <c r="T269" s="100" t="str">
        <f t="shared" si="30"/>
        <v xml:space="preserve"> </v>
      </c>
      <c r="U269" s="100"/>
      <c r="V269" s="100" t="str">
        <f t="shared" si="29"/>
        <v xml:space="preserve"> </v>
      </c>
      <c r="W269" s="101">
        <f t="shared" si="31"/>
        <v>24</v>
      </c>
      <c r="X269" s="102">
        <f t="shared" si="32"/>
        <v>0</v>
      </c>
      <c r="Y269" s="100" t="str">
        <f t="shared" si="33"/>
        <v xml:space="preserve"> </v>
      </c>
      <c r="Z269" s="100" t="str">
        <f t="shared" si="34"/>
        <v xml:space="preserve"> </v>
      </c>
    </row>
    <row r="270" spans="1:26">
      <c r="A270" s="100"/>
      <c r="B270" s="100" t="str">
        <f>IFERROR(VLOOKUP(Tablo520[[#This Row],[ÜRÜN KODU]],YMKODLARI!$A$1:$K$373,2,0)," ")</f>
        <v xml:space="preserve"> </v>
      </c>
      <c r="C270" s="99"/>
      <c r="D270" s="100"/>
      <c r="E270" s="101"/>
      <c r="F270" s="101"/>
      <c r="G270" s="100" t="str">
        <f>IFERROR(VLOOKUP(Tablo520[[#This Row],[ÜRÜN KODU]],YMKODLARI!$A$1:$K$373,3,0)," ")</f>
        <v xml:space="preserve"> </v>
      </c>
      <c r="H270" s="100" t="str">
        <f>IFERROR(VLOOKUP(Tablo520[[#This Row],[ÜRÜN KODU]],YMKODLARI!$A$1:$K$373,4,0)," ")</f>
        <v xml:space="preserve"> </v>
      </c>
      <c r="I270" s="100"/>
      <c r="J270" s="100" t="str">
        <f>IFERROR(VLOOKUP(Tablo520[[#This Row],[ÜRÜN KODU]],YMKODLARI!$A$1:$K$373,9,0)," ")</f>
        <v xml:space="preserve"> </v>
      </c>
      <c r="K270" s="100" t="str">
        <f>IFERROR(VLOOKUP(Tablo520[[#This Row],[BOYA KODU]],Tablo14[#All],4,0)," ")</f>
        <v xml:space="preserve"> </v>
      </c>
      <c r="L270" s="100" t="str">
        <f>IFERROR(VLOOKUP(Tablo520[[#This Row],[BOYA KODU]],Tablo14[#All],6,0)," ")</f>
        <v xml:space="preserve"> </v>
      </c>
      <c r="M270" s="100" t="str">
        <f t="shared" si="28"/>
        <v xml:space="preserve"> </v>
      </c>
      <c r="N270" s="100" t="str">
        <f>IFERROR(VLOOKUP(Tablo520[[#This Row],[ÜRÜN KODU]],YMKODLARI!$A$1:$K$373,8,0)," ")</f>
        <v xml:space="preserve"> </v>
      </c>
      <c r="O270" s="100" t="str">
        <f>IFERROR(VLOOKUP(Tablo520[[#This Row],[HAMMADDE KODU]],Tablo1[#All],3,0)," ")</f>
        <v xml:space="preserve"> </v>
      </c>
      <c r="P270" s="100" t="str">
        <f>IFERROR(VLOOKUP(Tablo520[[#This Row],[HAMMADDE KODU]],Tablo1[#All],4,0)," ")</f>
        <v xml:space="preserve"> </v>
      </c>
      <c r="Q270" s="100" t="str">
        <f>IFERROR(VLOOKUP(Tablo520[[#This Row],[ÜRÜN KODU]],YMKODLARI!$A$1:$K$373,5,0)," ")</f>
        <v xml:space="preserve"> </v>
      </c>
      <c r="R270" s="100" t="str">
        <f>IFERROR(VLOOKUP(Tablo520[[#This Row],[ÜRÜN KODU]],YMKODLARI!$A$1:$K$373,6,0)," ")</f>
        <v xml:space="preserve"> </v>
      </c>
      <c r="S270" s="100" t="str">
        <f>IFERROR(Tablo520[[#This Row],[YOLLUK HARİÇ BASKI GRAMI]]/Tablo520[[#This Row],[KALIP GÖZ ADEDİ]]," ")</f>
        <v xml:space="preserve"> </v>
      </c>
      <c r="T270" s="100" t="str">
        <f t="shared" si="30"/>
        <v xml:space="preserve"> </v>
      </c>
      <c r="U270" s="100"/>
      <c r="V270" s="100" t="str">
        <f t="shared" si="29"/>
        <v xml:space="preserve"> </v>
      </c>
      <c r="W270" s="101">
        <f t="shared" si="31"/>
        <v>24</v>
      </c>
      <c r="X270" s="102">
        <f t="shared" si="32"/>
        <v>0</v>
      </c>
      <c r="Y270" s="100" t="str">
        <f t="shared" si="33"/>
        <v xml:space="preserve"> </v>
      </c>
      <c r="Z270" s="100" t="str">
        <f t="shared" si="34"/>
        <v xml:space="preserve"> </v>
      </c>
    </row>
    <row r="271" spans="1:26">
      <c r="A271" s="100"/>
      <c r="B271" s="100" t="str">
        <f>IFERROR(VLOOKUP(Tablo520[[#This Row],[ÜRÜN KODU]],YMKODLARI!$A$1:$K$373,2,0)," ")</f>
        <v xml:space="preserve"> </v>
      </c>
      <c r="C271" s="99"/>
      <c r="D271" s="100"/>
      <c r="E271" s="101"/>
      <c r="F271" s="101"/>
      <c r="G271" s="100" t="str">
        <f>IFERROR(VLOOKUP(Tablo520[[#This Row],[ÜRÜN KODU]],YMKODLARI!$A$1:$K$373,3,0)," ")</f>
        <v xml:space="preserve"> </v>
      </c>
      <c r="H271" s="100" t="str">
        <f>IFERROR(VLOOKUP(Tablo520[[#This Row],[ÜRÜN KODU]],YMKODLARI!$A$1:$K$373,4,0)," ")</f>
        <v xml:space="preserve"> </v>
      </c>
      <c r="I271" s="100"/>
      <c r="J271" s="100" t="str">
        <f>IFERROR(VLOOKUP(Tablo520[[#This Row],[ÜRÜN KODU]],YMKODLARI!$A$1:$K$373,9,0)," ")</f>
        <v xml:space="preserve"> </v>
      </c>
      <c r="K271" s="100" t="str">
        <f>IFERROR(VLOOKUP(Tablo520[[#This Row],[BOYA KODU]],Tablo14[#All],4,0)," ")</f>
        <v xml:space="preserve"> </v>
      </c>
      <c r="L271" s="100" t="str">
        <f>IFERROR(VLOOKUP(Tablo520[[#This Row],[BOYA KODU]],Tablo14[#All],6,0)," ")</f>
        <v xml:space="preserve"> </v>
      </c>
      <c r="M271" s="100" t="str">
        <f t="shared" si="28"/>
        <v xml:space="preserve"> </v>
      </c>
      <c r="N271" s="100" t="str">
        <f>IFERROR(VLOOKUP(Tablo520[[#This Row],[ÜRÜN KODU]],YMKODLARI!$A$1:$K$373,8,0)," ")</f>
        <v xml:space="preserve"> </v>
      </c>
      <c r="O271" s="100" t="str">
        <f>IFERROR(VLOOKUP(Tablo520[[#This Row],[HAMMADDE KODU]],Tablo1[#All],3,0)," ")</f>
        <v xml:space="preserve"> </v>
      </c>
      <c r="P271" s="100" t="str">
        <f>IFERROR(VLOOKUP(Tablo520[[#This Row],[HAMMADDE KODU]],Tablo1[#All],4,0)," ")</f>
        <v xml:space="preserve"> </v>
      </c>
      <c r="Q271" s="100" t="str">
        <f>IFERROR(VLOOKUP(Tablo520[[#This Row],[ÜRÜN KODU]],YMKODLARI!$A$1:$K$373,5,0)," ")</f>
        <v xml:space="preserve"> </v>
      </c>
      <c r="R271" s="100" t="str">
        <f>IFERROR(VLOOKUP(Tablo520[[#This Row],[ÜRÜN KODU]],YMKODLARI!$A$1:$K$373,6,0)," ")</f>
        <v xml:space="preserve"> </v>
      </c>
      <c r="S271" s="100" t="str">
        <f>IFERROR(Tablo520[[#This Row],[YOLLUK HARİÇ BASKI GRAMI]]/Tablo520[[#This Row],[KALIP GÖZ ADEDİ]]," ")</f>
        <v xml:space="preserve"> </v>
      </c>
      <c r="T271" s="100" t="str">
        <f t="shared" si="30"/>
        <v xml:space="preserve"> </v>
      </c>
      <c r="U271" s="100"/>
      <c r="V271" s="100" t="str">
        <f t="shared" si="29"/>
        <v xml:space="preserve"> </v>
      </c>
      <c r="W271" s="101">
        <f t="shared" si="31"/>
        <v>24</v>
      </c>
      <c r="X271" s="102">
        <f t="shared" si="32"/>
        <v>0</v>
      </c>
      <c r="Y271" s="100" t="str">
        <f t="shared" si="33"/>
        <v xml:space="preserve"> </v>
      </c>
      <c r="Z271" s="100" t="str">
        <f t="shared" si="34"/>
        <v xml:space="preserve"> </v>
      </c>
    </row>
    <row r="272" spans="1:26">
      <c r="A272" s="100"/>
      <c r="B272" s="100" t="str">
        <f>IFERROR(VLOOKUP(Tablo520[[#This Row],[ÜRÜN KODU]],YMKODLARI!$A$1:$K$373,2,0)," ")</f>
        <v xml:space="preserve"> </v>
      </c>
      <c r="C272" s="99"/>
      <c r="D272" s="100"/>
      <c r="E272" s="101"/>
      <c r="F272" s="101"/>
      <c r="G272" s="100" t="str">
        <f>IFERROR(VLOOKUP(Tablo520[[#This Row],[ÜRÜN KODU]],YMKODLARI!$A$1:$K$373,3,0)," ")</f>
        <v xml:space="preserve"> </v>
      </c>
      <c r="H272" s="100" t="str">
        <f>IFERROR(VLOOKUP(Tablo520[[#This Row],[ÜRÜN KODU]],YMKODLARI!$A$1:$K$373,4,0)," ")</f>
        <v xml:space="preserve"> </v>
      </c>
      <c r="I272" s="100"/>
      <c r="J272" s="100" t="str">
        <f>IFERROR(VLOOKUP(Tablo520[[#This Row],[ÜRÜN KODU]],YMKODLARI!$A$1:$K$373,9,0)," ")</f>
        <v xml:space="preserve"> </v>
      </c>
      <c r="K272" s="100" t="str">
        <f>IFERROR(VLOOKUP(Tablo520[[#This Row],[BOYA KODU]],Tablo14[#All],4,0)," ")</f>
        <v xml:space="preserve"> </v>
      </c>
      <c r="L272" s="100" t="str">
        <f>IFERROR(VLOOKUP(Tablo520[[#This Row],[BOYA KODU]],Tablo14[#All],6,0)," ")</f>
        <v xml:space="preserve"> </v>
      </c>
      <c r="M272" s="100" t="str">
        <f t="shared" si="28"/>
        <v xml:space="preserve"> </v>
      </c>
      <c r="N272" s="100" t="str">
        <f>IFERROR(VLOOKUP(Tablo520[[#This Row],[ÜRÜN KODU]],YMKODLARI!$A$1:$K$373,8,0)," ")</f>
        <v xml:space="preserve"> </v>
      </c>
      <c r="O272" s="100" t="str">
        <f>IFERROR(VLOOKUP(Tablo520[[#This Row],[HAMMADDE KODU]],Tablo1[#All],3,0)," ")</f>
        <v xml:space="preserve"> </v>
      </c>
      <c r="P272" s="100" t="str">
        <f>IFERROR(VLOOKUP(Tablo520[[#This Row],[HAMMADDE KODU]],Tablo1[#All],4,0)," ")</f>
        <v xml:space="preserve"> </v>
      </c>
      <c r="Q272" s="100" t="str">
        <f>IFERROR(VLOOKUP(Tablo520[[#This Row],[ÜRÜN KODU]],YMKODLARI!$A$1:$K$373,5,0)," ")</f>
        <v xml:space="preserve"> </v>
      </c>
      <c r="R272" s="100" t="str">
        <f>IFERROR(VLOOKUP(Tablo520[[#This Row],[ÜRÜN KODU]],YMKODLARI!$A$1:$K$373,6,0)," ")</f>
        <v xml:space="preserve"> </v>
      </c>
      <c r="S272" s="100" t="str">
        <f>IFERROR(Tablo520[[#This Row],[YOLLUK HARİÇ BASKI GRAMI]]/Tablo520[[#This Row],[KALIP GÖZ ADEDİ]]," ")</f>
        <v xml:space="preserve"> </v>
      </c>
      <c r="T272" s="100" t="str">
        <f t="shared" si="30"/>
        <v xml:space="preserve"> </v>
      </c>
      <c r="U272" s="100"/>
      <c r="V272" s="100" t="str">
        <f t="shared" si="29"/>
        <v xml:space="preserve"> </v>
      </c>
      <c r="W272" s="101">
        <f t="shared" si="31"/>
        <v>24</v>
      </c>
      <c r="X272" s="102">
        <f t="shared" si="32"/>
        <v>0</v>
      </c>
      <c r="Y272" s="100" t="str">
        <f t="shared" si="33"/>
        <v xml:space="preserve"> </v>
      </c>
      <c r="Z272" s="100" t="str">
        <f t="shared" si="34"/>
        <v xml:space="preserve"> </v>
      </c>
    </row>
    <row r="273" spans="1:26">
      <c r="A273" s="100"/>
      <c r="B273" s="100" t="str">
        <f>IFERROR(VLOOKUP(Tablo520[[#This Row],[ÜRÜN KODU]],YMKODLARI!$A$1:$K$373,2,0)," ")</f>
        <v xml:space="preserve"> </v>
      </c>
      <c r="C273" s="99"/>
      <c r="D273" s="100"/>
      <c r="E273" s="101"/>
      <c r="F273" s="101"/>
      <c r="G273" s="100" t="str">
        <f>IFERROR(VLOOKUP(Tablo520[[#This Row],[ÜRÜN KODU]],YMKODLARI!$A$1:$K$373,3,0)," ")</f>
        <v xml:space="preserve"> </v>
      </c>
      <c r="H273" s="100" t="str">
        <f>IFERROR(VLOOKUP(Tablo520[[#This Row],[ÜRÜN KODU]],YMKODLARI!$A$1:$K$373,4,0)," ")</f>
        <v xml:space="preserve"> </v>
      </c>
      <c r="I273" s="100"/>
      <c r="J273" s="100" t="str">
        <f>IFERROR(VLOOKUP(Tablo520[[#This Row],[ÜRÜN KODU]],YMKODLARI!$A$1:$K$373,9,0)," ")</f>
        <v xml:space="preserve"> </v>
      </c>
      <c r="K273" s="100" t="str">
        <f>IFERROR(VLOOKUP(Tablo520[[#This Row],[BOYA KODU]],Tablo14[#All],4,0)," ")</f>
        <v xml:space="preserve"> </v>
      </c>
      <c r="L273" s="100" t="str">
        <f>IFERROR(VLOOKUP(Tablo520[[#This Row],[BOYA KODU]],Tablo14[#All],6,0)," ")</f>
        <v xml:space="preserve"> </v>
      </c>
      <c r="M273" s="100" t="str">
        <f t="shared" si="28"/>
        <v xml:space="preserve"> </v>
      </c>
      <c r="N273" s="100" t="str">
        <f>IFERROR(VLOOKUP(Tablo520[[#This Row],[ÜRÜN KODU]],YMKODLARI!$A$1:$K$373,8,0)," ")</f>
        <v xml:space="preserve"> </v>
      </c>
      <c r="O273" s="100" t="str">
        <f>IFERROR(VLOOKUP(Tablo520[[#This Row],[HAMMADDE KODU]],Tablo1[#All],3,0)," ")</f>
        <v xml:space="preserve"> </v>
      </c>
      <c r="P273" s="100" t="str">
        <f>IFERROR(VLOOKUP(Tablo520[[#This Row],[HAMMADDE KODU]],Tablo1[#All],4,0)," ")</f>
        <v xml:space="preserve"> </v>
      </c>
      <c r="Q273" s="100" t="str">
        <f>IFERROR(VLOOKUP(Tablo520[[#This Row],[ÜRÜN KODU]],YMKODLARI!$A$1:$K$373,5,0)," ")</f>
        <v xml:space="preserve"> </v>
      </c>
      <c r="R273" s="100" t="str">
        <f>IFERROR(VLOOKUP(Tablo520[[#This Row],[ÜRÜN KODU]],YMKODLARI!$A$1:$K$373,6,0)," ")</f>
        <v xml:space="preserve"> </v>
      </c>
      <c r="S273" s="100" t="str">
        <f>IFERROR(Tablo520[[#This Row],[YOLLUK HARİÇ BASKI GRAMI]]/Tablo520[[#This Row],[KALIP GÖZ ADEDİ]]," ")</f>
        <v xml:space="preserve"> </v>
      </c>
      <c r="T273" s="100" t="str">
        <f t="shared" si="30"/>
        <v xml:space="preserve"> </v>
      </c>
      <c r="U273" s="100"/>
      <c r="V273" s="100" t="str">
        <f t="shared" si="29"/>
        <v xml:space="preserve"> </v>
      </c>
      <c r="W273" s="101">
        <f t="shared" si="31"/>
        <v>24</v>
      </c>
      <c r="X273" s="102">
        <f t="shared" si="32"/>
        <v>0</v>
      </c>
      <c r="Y273" s="100" t="str">
        <f t="shared" si="33"/>
        <v xml:space="preserve"> </v>
      </c>
      <c r="Z273" s="100" t="str">
        <f t="shared" si="34"/>
        <v xml:space="preserve"> </v>
      </c>
    </row>
    <row r="274" spans="1:26">
      <c r="A274" s="100"/>
      <c r="B274" s="100" t="str">
        <f>IFERROR(VLOOKUP(Tablo520[[#This Row],[ÜRÜN KODU]],YMKODLARI!$A$1:$K$373,2,0)," ")</f>
        <v xml:space="preserve"> </v>
      </c>
      <c r="C274" s="99"/>
      <c r="D274" s="100"/>
      <c r="E274" s="101"/>
      <c r="F274" s="101"/>
      <c r="G274" s="100" t="str">
        <f>IFERROR(VLOOKUP(Tablo520[[#This Row],[ÜRÜN KODU]],YMKODLARI!$A$1:$K$373,3,0)," ")</f>
        <v xml:space="preserve"> </v>
      </c>
      <c r="H274" s="100" t="str">
        <f>IFERROR(VLOOKUP(Tablo520[[#This Row],[ÜRÜN KODU]],YMKODLARI!$A$1:$K$373,4,0)," ")</f>
        <v xml:space="preserve"> </v>
      </c>
      <c r="I274" s="100"/>
      <c r="J274" s="100" t="str">
        <f>IFERROR(VLOOKUP(Tablo520[[#This Row],[ÜRÜN KODU]],YMKODLARI!$A$1:$K$373,9,0)," ")</f>
        <v xml:space="preserve"> </v>
      </c>
      <c r="K274" s="100" t="str">
        <f>IFERROR(VLOOKUP(Tablo520[[#This Row],[BOYA KODU]],Tablo14[#All],4,0)," ")</f>
        <v xml:space="preserve"> </v>
      </c>
      <c r="L274" s="100" t="str">
        <f>IFERROR(VLOOKUP(Tablo520[[#This Row],[BOYA KODU]],Tablo14[#All],6,0)," ")</f>
        <v xml:space="preserve"> </v>
      </c>
      <c r="M274" s="100" t="str">
        <f t="shared" si="28"/>
        <v xml:space="preserve"> </v>
      </c>
      <c r="N274" s="100" t="str">
        <f>IFERROR(VLOOKUP(Tablo520[[#This Row],[ÜRÜN KODU]],YMKODLARI!$A$1:$K$373,8,0)," ")</f>
        <v xml:space="preserve"> </v>
      </c>
      <c r="O274" s="100" t="str">
        <f>IFERROR(VLOOKUP(Tablo520[[#This Row],[HAMMADDE KODU]],Tablo1[#All],3,0)," ")</f>
        <v xml:space="preserve"> </v>
      </c>
      <c r="P274" s="100" t="str">
        <f>IFERROR(VLOOKUP(Tablo520[[#This Row],[HAMMADDE KODU]],Tablo1[#All],4,0)," ")</f>
        <v xml:space="preserve"> </v>
      </c>
      <c r="Q274" s="100" t="str">
        <f>IFERROR(VLOOKUP(Tablo520[[#This Row],[ÜRÜN KODU]],YMKODLARI!$A$1:$K$373,5,0)," ")</f>
        <v xml:space="preserve"> </v>
      </c>
      <c r="R274" s="100" t="str">
        <f>IFERROR(VLOOKUP(Tablo520[[#This Row],[ÜRÜN KODU]],YMKODLARI!$A$1:$K$373,6,0)," ")</f>
        <v xml:space="preserve"> </v>
      </c>
      <c r="S274" s="100" t="str">
        <f>IFERROR(Tablo520[[#This Row],[YOLLUK HARİÇ BASKI GRAMI]]/Tablo520[[#This Row],[KALIP GÖZ ADEDİ]]," ")</f>
        <v xml:space="preserve"> </v>
      </c>
      <c r="T274" s="100" t="str">
        <f t="shared" si="30"/>
        <v xml:space="preserve"> </v>
      </c>
      <c r="U274" s="100"/>
      <c r="V274" s="100" t="str">
        <f t="shared" si="29"/>
        <v xml:space="preserve"> </v>
      </c>
      <c r="W274" s="101">
        <f t="shared" si="31"/>
        <v>24</v>
      </c>
      <c r="X274" s="102">
        <f t="shared" si="32"/>
        <v>0</v>
      </c>
      <c r="Y274" s="100" t="str">
        <f t="shared" si="33"/>
        <v xml:space="preserve"> </v>
      </c>
      <c r="Z274" s="100" t="str">
        <f t="shared" si="34"/>
        <v xml:space="preserve"> </v>
      </c>
    </row>
    <row r="275" spans="1:26">
      <c r="A275" s="100"/>
      <c r="B275" s="100" t="str">
        <f>IFERROR(VLOOKUP(Tablo520[[#This Row],[ÜRÜN KODU]],YMKODLARI!$A$1:$K$373,2,0)," ")</f>
        <v xml:space="preserve"> </v>
      </c>
      <c r="C275" s="99"/>
      <c r="D275" s="100"/>
      <c r="E275" s="101"/>
      <c r="F275" s="101"/>
      <c r="G275" s="100" t="str">
        <f>IFERROR(VLOOKUP(Tablo520[[#This Row],[ÜRÜN KODU]],YMKODLARI!$A$1:$K$373,3,0)," ")</f>
        <v xml:space="preserve"> </v>
      </c>
      <c r="H275" s="100" t="str">
        <f>IFERROR(VLOOKUP(Tablo520[[#This Row],[ÜRÜN KODU]],YMKODLARI!$A$1:$K$373,4,0)," ")</f>
        <v xml:space="preserve"> </v>
      </c>
      <c r="I275" s="100"/>
      <c r="J275" s="100" t="str">
        <f>IFERROR(VLOOKUP(Tablo520[[#This Row],[ÜRÜN KODU]],YMKODLARI!$A$1:$K$373,9,0)," ")</f>
        <v xml:space="preserve"> </v>
      </c>
      <c r="K275" s="100" t="str">
        <f>IFERROR(VLOOKUP(Tablo520[[#This Row],[BOYA KODU]],Tablo14[#All],4,0)," ")</f>
        <v xml:space="preserve"> </v>
      </c>
      <c r="L275" s="100" t="str">
        <f>IFERROR(VLOOKUP(Tablo520[[#This Row],[BOYA KODU]],Tablo14[#All],6,0)," ")</f>
        <v xml:space="preserve"> </v>
      </c>
      <c r="M275" s="100" t="str">
        <f t="shared" si="28"/>
        <v xml:space="preserve"> </v>
      </c>
      <c r="N275" s="100" t="str">
        <f>IFERROR(VLOOKUP(Tablo520[[#This Row],[ÜRÜN KODU]],YMKODLARI!$A$1:$K$373,8,0)," ")</f>
        <v xml:space="preserve"> </v>
      </c>
      <c r="O275" s="100" t="str">
        <f>IFERROR(VLOOKUP(Tablo520[[#This Row],[HAMMADDE KODU]],Tablo1[#All],3,0)," ")</f>
        <v xml:space="preserve"> </v>
      </c>
      <c r="P275" s="100" t="str">
        <f>IFERROR(VLOOKUP(Tablo520[[#This Row],[HAMMADDE KODU]],Tablo1[#All],4,0)," ")</f>
        <v xml:space="preserve"> </v>
      </c>
      <c r="Q275" s="100" t="str">
        <f>IFERROR(VLOOKUP(Tablo520[[#This Row],[ÜRÜN KODU]],YMKODLARI!$A$1:$K$373,5,0)," ")</f>
        <v xml:space="preserve"> </v>
      </c>
      <c r="R275" s="100" t="str">
        <f>IFERROR(VLOOKUP(Tablo520[[#This Row],[ÜRÜN KODU]],YMKODLARI!$A$1:$K$373,6,0)," ")</f>
        <v xml:space="preserve"> </v>
      </c>
      <c r="S275" s="100" t="str">
        <f>IFERROR(Tablo520[[#This Row],[YOLLUK HARİÇ BASKI GRAMI]]/Tablo520[[#This Row],[KALIP GÖZ ADEDİ]]," ")</f>
        <v xml:space="preserve"> </v>
      </c>
      <c r="T275" s="100" t="str">
        <f t="shared" si="30"/>
        <v xml:space="preserve"> </v>
      </c>
      <c r="U275" s="100"/>
      <c r="V275" s="100" t="str">
        <f t="shared" si="29"/>
        <v xml:space="preserve"> </v>
      </c>
      <c r="W275" s="101">
        <f t="shared" si="31"/>
        <v>24</v>
      </c>
      <c r="X275" s="102">
        <f t="shared" si="32"/>
        <v>0</v>
      </c>
      <c r="Y275" s="100" t="str">
        <f t="shared" si="33"/>
        <v xml:space="preserve"> </v>
      </c>
      <c r="Z275" s="100" t="str">
        <f t="shared" si="34"/>
        <v xml:space="preserve"> </v>
      </c>
    </row>
    <row r="276" spans="1:26">
      <c r="A276" s="100"/>
      <c r="B276" s="100" t="str">
        <f>IFERROR(VLOOKUP(Tablo520[[#This Row],[ÜRÜN KODU]],YMKODLARI!$A$1:$K$373,2,0)," ")</f>
        <v xml:space="preserve"> </v>
      </c>
      <c r="C276" s="99"/>
      <c r="D276" s="100"/>
      <c r="E276" s="101"/>
      <c r="F276" s="101"/>
      <c r="G276" s="100" t="str">
        <f>IFERROR(VLOOKUP(Tablo520[[#This Row],[ÜRÜN KODU]],YMKODLARI!$A$1:$K$373,3,0)," ")</f>
        <v xml:space="preserve"> </v>
      </c>
      <c r="H276" s="100" t="str">
        <f>IFERROR(VLOOKUP(Tablo520[[#This Row],[ÜRÜN KODU]],YMKODLARI!$A$1:$K$373,4,0)," ")</f>
        <v xml:space="preserve"> </v>
      </c>
      <c r="I276" s="100"/>
      <c r="J276" s="100" t="str">
        <f>IFERROR(VLOOKUP(Tablo520[[#This Row],[ÜRÜN KODU]],YMKODLARI!$A$1:$K$373,9,0)," ")</f>
        <v xml:space="preserve"> </v>
      </c>
      <c r="K276" s="100" t="str">
        <f>IFERROR(VLOOKUP(Tablo520[[#This Row],[BOYA KODU]],Tablo14[#All],4,0)," ")</f>
        <v xml:space="preserve"> </v>
      </c>
      <c r="L276" s="100" t="str">
        <f>IFERROR(VLOOKUP(Tablo520[[#This Row],[BOYA KODU]],Tablo14[#All],6,0)," ")</f>
        <v xml:space="preserve"> </v>
      </c>
      <c r="M276" s="100" t="str">
        <f t="shared" si="28"/>
        <v xml:space="preserve"> </v>
      </c>
      <c r="N276" s="100" t="str">
        <f>IFERROR(VLOOKUP(Tablo520[[#This Row],[ÜRÜN KODU]],YMKODLARI!$A$1:$K$373,8,0)," ")</f>
        <v xml:space="preserve"> </v>
      </c>
      <c r="O276" s="100" t="str">
        <f>IFERROR(VLOOKUP(Tablo520[[#This Row],[HAMMADDE KODU]],Tablo1[#All],3,0)," ")</f>
        <v xml:space="preserve"> </v>
      </c>
      <c r="P276" s="100" t="str">
        <f>IFERROR(VLOOKUP(Tablo520[[#This Row],[HAMMADDE KODU]],Tablo1[#All],4,0)," ")</f>
        <v xml:space="preserve"> </v>
      </c>
      <c r="Q276" s="100" t="str">
        <f>IFERROR(VLOOKUP(Tablo520[[#This Row],[ÜRÜN KODU]],YMKODLARI!$A$1:$K$373,5,0)," ")</f>
        <v xml:space="preserve"> </v>
      </c>
      <c r="R276" s="100" t="str">
        <f>IFERROR(VLOOKUP(Tablo520[[#This Row],[ÜRÜN KODU]],YMKODLARI!$A$1:$K$373,6,0)," ")</f>
        <v xml:space="preserve"> </v>
      </c>
      <c r="S276" s="100" t="str">
        <f>IFERROR(Tablo520[[#This Row],[YOLLUK HARİÇ BASKI GRAMI]]/Tablo520[[#This Row],[KALIP GÖZ ADEDİ]]," ")</f>
        <v xml:space="preserve"> </v>
      </c>
      <c r="T276" s="100" t="str">
        <f t="shared" si="30"/>
        <v xml:space="preserve"> </v>
      </c>
      <c r="U276" s="100"/>
      <c r="V276" s="100" t="str">
        <f t="shared" si="29"/>
        <v xml:space="preserve"> </v>
      </c>
      <c r="W276" s="101">
        <f t="shared" si="31"/>
        <v>24</v>
      </c>
      <c r="X276" s="102">
        <f t="shared" si="32"/>
        <v>0</v>
      </c>
      <c r="Y276" s="100" t="str">
        <f t="shared" si="33"/>
        <v xml:space="preserve"> </v>
      </c>
      <c r="Z276" s="100" t="str">
        <f t="shared" si="34"/>
        <v xml:space="preserve"> </v>
      </c>
    </row>
    <row r="277" spans="1:26">
      <c r="A277" s="100"/>
      <c r="B277" s="100" t="str">
        <f>IFERROR(VLOOKUP(Tablo520[[#This Row],[ÜRÜN KODU]],YMKODLARI!$A$1:$K$373,2,0)," ")</f>
        <v xml:space="preserve"> </v>
      </c>
      <c r="C277" s="99"/>
      <c r="D277" s="100"/>
      <c r="E277" s="101"/>
      <c r="F277" s="101"/>
      <c r="G277" s="100" t="str">
        <f>IFERROR(VLOOKUP(Tablo520[[#This Row],[ÜRÜN KODU]],YMKODLARI!$A$1:$K$373,3,0)," ")</f>
        <v xml:space="preserve"> </v>
      </c>
      <c r="H277" s="100" t="str">
        <f>IFERROR(VLOOKUP(Tablo520[[#This Row],[ÜRÜN KODU]],YMKODLARI!$A$1:$K$373,4,0)," ")</f>
        <v xml:space="preserve"> </v>
      </c>
      <c r="I277" s="100"/>
      <c r="J277" s="100" t="str">
        <f>IFERROR(VLOOKUP(Tablo520[[#This Row],[ÜRÜN KODU]],YMKODLARI!$A$1:$K$373,9,0)," ")</f>
        <v xml:space="preserve"> </v>
      </c>
      <c r="K277" s="100" t="str">
        <f>IFERROR(VLOOKUP(Tablo520[[#This Row],[BOYA KODU]],Tablo14[#All],4,0)," ")</f>
        <v xml:space="preserve"> </v>
      </c>
      <c r="L277" s="100" t="str">
        <f>IFERROR(VLOOKUP(Tablo520[[#This Row],[BOYA KODU]],Tablo14[#All],6,0)," ")</f>
        <v xml:space="preserve"> </v>
      </c>
      <c r="M277" s="100" t="str">
        <f t="shared" si="28"/>
        <v xml:space="preserve"> </v>
      </c>
      <c r="N277" s="100" t="str">
        <f>IFERROR(VLOOKUP(Tablo520[[#This Row],[ÜRÜN KODU]],YMKODLARI!$A$1:$K$373,8,0)," ")</f>
        <v xml:space="preserve"> </v>
      </c>
      <c r="O277" s="100" t="str">
        <f>IFERROR(VLOOKUP(Tablo520[[#This Row],[HAMMADDE KODU]],Tablo1[#All],3,0)," ")</f>
        <v xml:space="preserve"> </v>
      </c>
      <c r="P277" s="100" t="str">
        <f>IFERROR(VLOOKUP(Tablo520[[#This Row],[HAMMADDE KODU]],Tablo1[#All],4,0)," ")</f>
        <v xml:space="preserve"> </v>
      </c>
      <c r="Q277" s="100" t="str">
        <f>IFERROR(VLOOKUP(Tablo520[[#This Row],[ÜRÜN KODU]],YMKODLARI!$A$1:$K$373,5,0)," ")</f>
        <v xml:space="preserve"> </v>
      </c>
      <c r="R277" s="100" t="str">
        <f>IFERROR(VLOOKUP(Tablo520[[#This Row],[ÜRÜN KODU]],YMKODLARI!$A$1:$K$373,6,0)," ")</f>
        <v xml:space="preserve"> </v>
      </c>
      <c r="S277" s="100" t="str">
        <f>IFERROR(Tablo520[[#This Row],[YOLLUK HARİÇ BASKI GRAMI]]/Tablo520[[#This Row],[KALIP GÖZ ADEDİ]]," ")</f>
        <v xml:space="preserve"> </v>
      </c>
      <c r="T277" s="100" t="str">
        <f t="shared" si="30"/>
        <v xml:space="preserve"> </v>
      </c>
      <c r="U277" s="100"/>
      <c r="V277" s="100" t="str">
        <f t="shared" si="29"/>
        <v xml:space="preserve"> </v>
      </c>
      <c r="W277" s="101">
        <f t="shared" si="31"/>
        <v>24</v>
      </c>
      <c r="X277" s="102">
        <f t="shared" si="32"/>
        <v>0</v>
      </c>
      <c r="Y277" s="100" t="str">
        <f t="shared" si="33"/>
        <v xml:space="preserve"> </v>
      </c>
      <c r="Z277" s="100" t="str">
        <f t="shared" si="34"/>
        <v xml:space="preserve"> </v>
      </c>
    </row>
    <row r="278" spans="1:26">
      <c r="A278" s="100"/>
      <c r="B278" s="100" t="str">
        <f>IFERROR(VLOOKUP(Tablo520[[#This Row],[ÜRÜN KODU]],YMKODLARI!$A$1:$K$373,2,0)," ")</f>
        <v xml:space="preserve"> </v>
      </c>
      <c r="C278" s="99"/>
      <c r="D278" s="100"/>
      <c r="E278" s="101"/>
      <c r="F278" s="101"/>
      <c r="G278" s="100" t="str">
        <f>IFERROR(VLOOKUP(Tablo520[[#This Row],[ÜRÜN KODU]],YMKODLARI!$A$1:$K$373,3,0)," ")</f>
        <v xml:space="preserve"> </v>
      </c>
      <c r="H278" s="100" t="str">
        <f>IFERROR(VLOOKUP(Tablo520[[#This Row],[ÜRÜN KODU]],YMKODLARI!$A$1:$K$373,4,0)," ")</f>
        <v xml:space="preserve"> </v>
      </c>
      <c r="I278" s="100"/>
      <c r="J278" s="100" t="str">
        <f>IFERROR(VLOOKUP(Tablo520[[#This Row],[ÜRÜN KODU]],YMKODLARI!$A$1:$K$373,9,0)," ")</f>
        <v xml:space="preserve"> </v>
      </c>
      <c r="K278" s="100" t="str">
        <f>IFERROR(VLOOKUP(Tablo520[[#This Row],[BOYA KODU]],Tablo14[#All],4,0)," ")</f>
        <v xml:space="preserve"> </v>
      </c>
      <c r="L278" s="100" t="str">
        <f>IFERROR(VLOOKUP(Tablo520[[#This Row],[BOYA KODU]],Tablo14[#All],6,0)," ")</f>
        <v xml:space="preserve"> </v>
      </c>
      <c r="M278" s="100" t="str">
        <f t="shared" si="28"/>
        <v xml:space="preserve"> </v>
      </c>
      <c r="N278" s="100" t="str">
        <f>IFERROR(VLOOKUP(Tablo520[[#This Row],[ÜRÜN KODU]],YMKODLARI!$A$1:$K$373,8,0)," ")</f>
        <v xml:space="preserve"> </v>
      </c>
      <c r="O278" s="100" t="str">
        <f>IFERROR(VLOOKUP(Tablo520[[#This Row],[HAMMADDE KODU]],Tablo1[#All],3,0)," ")</f>
        <v xml:space="preserve"> </v>
      </c>
      <c r="P278" s="100" t="str">
        <f>IFERROR(VLOOKUP(Tablo520[[#This Row],[HAMMADDE KODU]],Tablo1[#All],4,0)," ")</f>
        <v xml:space="preserve"> </v>
      </c>
      <c r="Q278" s="100" t="str">
        <f>IFERROR(VLOOKUP(Tablo520[[#This Row],[ÜRÜN KODU]],YMKODLARI!$A$1:$K$373,5,0)," ")</f>
        <v xml:space="preserve"> </v>
      </c>
      <c r="R278" s="100" t="str">
        <f>IFERROR(VLOOKUP(Tablo520[[#This Row],[ÜRÜN KODU]],YMKODLARI!$A$1:$K$373,6,0)," ")</f>
        <v xml:space="preserve"> </v>
      </c>
      <c r="S278" s="100" t="str">
        <f>IFERROR(Tablo520[[#This Row],[YOLLUK HARİÇ BASKI GRAMI]]/Tablo520[[#This Row],[KALIP GÖZ ADEDİ]]," ")</f>
        <v xml:space="preserve"> </v>
      </c>
      <c r="T278" s="100" t="str">
        <f t="shared" si="30"/>
        <v xml:space="preserve"> </v>
      </c>
      <c r="U278" s="100"/>
      <c r="V278" s="100" t="str">
        <f t="shared" si="29"/>
        <v xml:space="preserve"> </v>
      </c>
      <c r="W278" s="101">
        <f t="shared" si="31"/>
        <v>24</v>
      </c>
      <c r="X278" s="102">
        <f t="shared" si="32"/>
        <v>0</v>
      </c>
      <c r="Y278" s="100" t="str">
        <f t="shared" si="33"/>
        <v xml:space="preserve"> </v>
      </c>
      <c r="Z278" s="100" t="str">
        <f t="shared" si="34"/>
        <v xml:space="preserve"> </v>
      </c>
    </row>
    <row r="279" spans="1:26">
      <c r="A279" s="100"/>
      <c r="B279" s="100" t="str">
        <f>IFERROR(VLOOKUP(Tablo520[[#This Row],[ÜRÜN KODU]],YMKODLARI!$A$1:$K$373,2,0)," ")</f>
        <v xml:space="preserve"> </v>
      </c>
      <c r="C279" s="99"/>
      <c r="D279" s="100"/>
      <c r="E279" s="101"/>
      <c r="F279" s="101"/>
      <c r="G279" s="100" t="str">
        <f>IFERROR(VLOOKUP(Tablo520[[#This Row],[ÜRÜN KODU]],YMKODLARI!$A$1:$K$373,3,0)," ")</f>
        <v xml:space="preserve"> </v>
      </c>
      <c r="H279" s="100" t="str">
        <f>IFERROR(VLOOKUP(Tablo520[[#This Row],[ÜRÜN KODU]],YMKODLARI!$A$1:$K$373,4,0)," ")</f>
        <v xml:space="preserve"> </v>
      </c>
      <c r="I279" s="100"/>
      <c r="J279" s="100" t="str">
        <f>IFERROR(VLOOKUP(Tablo520[[#This Row],[ÜRÜN KODU]],YMKODLARI!$A$1:$K$373,9,0)," ")</f>
        <v xml:space="preserve"> </v>
      </c>
      <c r="K279" s="100" t="str">
        <f>IFERROR(VLOOKUP(Tablo520[[#This Row],[BOYA KODU]],Tablo14[#All],4,0)," ")</f>
        <v xml:space="preserve"> </v>
      </c>
      <c r="L279" s="100" t="str">
        <f>IFERROR(VLOOKUP(Tablo520[[#This Row],[BOYA KODU]],Tablo14[#All],6,0)," ")</f>
        <v xml:space="preserve"> </v>
      </c>
      <c r="M279" s="100" t="str">
        <f t="shared" si="28"/>
        <v xml:space="preserve"> </v>
      </c>
      <c r="N279" s="100" t="str">
        <f>IFERROR(VLOOKUP(Tablo520[[#This Row],[ÜRÜN KODU]],YMKODLARI!$A$1:$K$373,8,0)," ")</f>
        <v xml:space="preserve"> </v>
      </c>
      <c r="O279" s="100" t="str">
        <f>IFERROR(VLOOKUP(Tablo520[[#This Row],[HAMMADDE KODU]],Tablo1[#All],3,0)," ")</f>
        <v xml:space="preserve"> </v>
      </c>
      <c r="P279" s="100" t="str">
        <f>IFERROR(VLOOKUP(Tablo520[[#This Row],[HAMMADDE KODU]],Tablo1[#All],4,0)," ")</f>
        <v xml:space="preserve"> </v>
      </c>
      <c r="Q279" s="100" t="str">
        <f>IFERROR(VLOOKUP(Tablo520[[#This Row],[ÜRÜN KODU]],YMKODLARI!$A$1:$K$373,5,0)," ")</f>
        <v xml:space="preserve"> </v>
      </c>
      <c r="R279" s="100" t="str">
        <f>IFERROR(VLOOKUP(Tablo520[[#This Row],[ÜRÜN KODU]],YMKODLARI!$A$1:$K$373,6,0)," ")</f>
        <v xml:space="preserve"> </v>
      </c>
      <c r="S279" s="100" t="str">
        <f>IFERROR(Tablo520[[#This Row],[YOLLUK HARİÇ BASKI GRAMI]]/Tablo520[[#This Row],[KALIP GÖZ ADEDİ]]," ")</f>
        <v xml:space="preserve"> </v>
      </c>
      <c r="T279" s="100" t="str">
        <f t="shared" si="30"/>
        <v xml:space="preserve"> </v>
      </c>
      <c r="U279" s="100"/>
      <c r="V279" s="100" t="str">
        <f t="shared" si="29"/>
        <v xml:space="preserve"> </v>
      </c>
      <c r="W279" s="101">
        <f t="shared" si="31"/>
        <v>24</v>
      </c>
      <c r="X279" s="102">
        <f t="shared" si="32"/>
        <v>0</v>
      </c>
      <c r="Y279" s="100" t="str">
        <f t="shared" si="33"/>
        <v xml:space="preserve"> </v>
      </c>
      <c r="Z279" s="100" t="str">
        <f t="shared" si="34"/>
        <v xml:space="preserve"> </v>
      </c>
    </row>
    <row r="280" spans="1:26">
      <c r="A280" s="100"/>
      <c r="B280" s="100" t="str">
        <f>IFERROR(VLOOKUP(Tablo520[[#This Row],[ÜRÜN KODU]],YMKODLARI!$A$1:$K$373,2,0)," ")</f>
        <v xml:space="preserve"> </v>
      </c>
      <c r="C280" s="99"/>
      <c r="D280" s="100"/>
      <c r="E280" s="101"/>
      <c r="F280" s="101"/>
      <c r="G280" s="100" t="str">
        <f>IFERROR(VLOOKUP(Tablo520[[#This Row],[ÜRÜN KODU]],YMKODLARI!$A$1:$K$373,3,0)," ")</f>
        <v xml:space="preserve"> </v>
      </c>
      <c r="H280" s="100" t="str">
        <f>IFERROR(VLOOKUP(Tablo520[[#This Row],[ÜRÜN KODU]],YMKODLARI!$A$1:$K$373,4,0)," ")</f>
        <v xml:space="preserve"> </v>
      </c>
      <c r="I280" s="100"/>
      <c r="J280" s="100" t="str">
        <f>IFERROR(VLOOKUP(Tablo520[[#This Row],[ÜRÜN KODU]],YMKODLARI!$A$1:$K$373,9,0)," ")</f>
        <v xml:space="preserve"> </v>
      </c>
      <c r="K280" s="100" t="str">
        <f>IFERROR(VLOOKUP(Tablo520[[#This Row],[BOYA KODU]],Tablo14[#All],4,0)," ")</f>
        <v xml:space="preserve"> </v>
      </c>
      <c r="L280" s="100" t="str">
        <f>IFERROR(VLOOKUP(Tablo520[[#This Row],[BOYA KODU]],Tablo14[#All],6,0)," ")</f>
        <v xml:space="preserve"> </v>
      </c>
      <c r="M280" s="100" t="str">
        <f t="shared" si="28"/>
        <v xml:space="preserve"> </v>
      </c>
      <c r="N280" s="100" t="str">
        <f>IFERROR(VLOOKUP(Tablo520[[#This Row],[ÜRÜN KODU]],YMKODLARI!$A$1:$K$373,8,0)," ")</f>
        <v xml:space="preserve"> </v>
      </c>
      <c r="O280" s="100" t="str">
        <f>IFERROR(VLOOKUP(Tablo520[[#This Row],[HAMMADDE KODU]],Tablo1[#All],3,0)," ")</f>
        <v xml:space="preserve"> </v>
      </c>
      <c r="P280" s="100" t="str">
        <f>IFERROR(VLOOKUP(Tablo520[[#This Row],[HAMMADDE KODU]],Tablo1[#All],4,0)," ")</f>
        <v xml:space="preserve"> </v>
      </c>
      <c r="Q280" s="100" t="str">
        <f>IFERROR(VLOOKUP(Tablo520[[#This Row],[ÜRÜN KODU]],YMKODLARI!$A$1:$K$373,5,0)," ")</f>
        <v xml:space="preserve"> </v>
      </c>
      <c r="R280" s="100" t="str">
        <f>IFERROR(VLOOKUP(Tablo520[[#This Row],[ÜRÜN KODU]],YMKODLARI!$A$1:$K$373,6,0)," ")</f>
        <v xml:space="preserve"> </v>
      </c>
      <c r="S280" s="100" t="str">
        <f>IFERROR(Tablo520[[#This Row],[YOLLUK HARİÇ BASKI GRAMI]]/Tablo520[[#This Row],[KALIP GÖZ ADEDİ]]," ")</f>
        <v xml:space="preserve"> </v>
      </c>
      <c r="T280" s="100" t="str">
        <f t="shared" si="30"/>
        <v xml:space="preserve"> </v>
      </c>
      <c r="U280" s="100"/>
      <c r="V280" s="100" t="str">
        <f t="shared" si="29"/>
        <v xml:space="preserve"> </v>
      </c>
      <c r="W280" s="101">
        <f t="shared" si="31"/>
        <v>24</v>
      </c>
      <c r="X280" s="102">
        <f t="shared" si="32"/>
        <v>0</v>
      </c>
      <c r="Y280" s="100" t="str">
        <f t="shared" si="33"/>
        <v xml:space="preserve"> </v>
      </c>
      <c r="Z280" s="100" t="str">
        <f t="shared" si="34"/>
        <v xml:space="preserve"> </v>
      </c>
    </row>
    <row r="281" spans="1:26">
      <c r="A281" s="100"/>
      <c r="B281" s="100" t="str">
        <f>IFERROR(VLOOKUP(Tablo520[[#This Row],[ÜRÜN KODU]],YMKODLARI!$A$1:$K$373,2,0)," ")</f>
        <v xml:space="preserve"> </v>
      </c>
      <c r="C281" s="99"/>
      <c r="D281" s="100"/>
      <c r="E281" s="101"/>
      <c r="F281" s="101"/>
      <c r="G281" s="100" t="str">
        <f>IFERROR(VLOOKUP(Tablo520[[#This Row],[ÜRÜN KODU]],YMKODLARI!$A$1:$K$373,3,0)," ")</f>
        <v xml:space="preserve"> </v>
      </c>
      <c r="H281" s="100" t="str">
        <f>IFERROR(VLOOKUP(Tablo520[[#This Row],[ÜRÜN KODU]],YMKODLARI!$A$1:$K$373,4,0)," ")</f>
        <v xml:space="preserve"> </v>
      </c>
      <c r="I281" s="100"/>
      <c r="J281" s="100" t="str">
        <f>IFERROR(VLOOKUP(Tablo520[[#This Row],[ÜRÜN KODU]],YMKODLARI!$A$1:$K$373,9,0)," ")</f>
        <v xml:space="preserve"> </v>
      </c>
      <c r="K281" s="100" t="str">
        <f>IFERROR(VLOOKUP(Tablo520[[#This Row],[BOYA KODU]],Tablo14[#All],4,0)," ")</f>
        <v xml:space="preserve"> </v>
      </c>
      <c r="L281" s="100" t="str">
        <f>IFERROR(VLOOKUP(Tablo520[[#This Row],[BOYA KODU]],Tablo14[#All],6,0)," ")</f>
        <v xml:space="preserve"> </v>
      </c>
      <c r="M281" s="100" t="str">
        <f t="shared" si="28"/>
        <v xml:space="preserve"> </v>
      </c>
      <c r="N281" s="100" t="str">
        <f>IFERROR(VLOOKUP(Tablo520[[#This Row],[ÜRÜN KODU]],YMKODLARI!$A$1:$K$373,8,0)," ")</f>
        <v xml:space="preserve"> </v>
      </c>
      <c r="O281" s="100" t="str">
        <f>IFERROR(VLOOKUP(Tablo520[[#This Row],[HAMMADDE KODU]],Tablo1[#All],3,0)," ")</f>
        <v xml:space="preserve"> </v>
      </c>
      <c r="P281" s="100" t="str">
        <f>IFERROR(VLOOKUP(Tablo520[[#This Row],[HAMMADDE KODU]],Tablo1[#All],4,0)," ")</f>
        <v xml:space="preserve"> </v>
      </c>
      <c r="Q281" s="100" t="str">
        <f>IFERROR(VLOOKUP(Tablo520[[#This Row],[ÜRÜN KODU]],YMKODLARI!$A$1:$K$373,5,0)," ")</f>
        <v xml:space="preserve"> </v>
      </c>
      <c r="R281" s="100" t="str">
        <f>IFERROR(VLOOKUP(Tablo520[[#This Row],[ÜRÜN KODU]],YMKODLARI!$A$1:$K$373,6,0)," ")</f>
        <v xml:space="preserve"> </v>
      </c>
      <c r="S281" s="100" t="str">
        <f>IFERROR(Tablo520[[#This Row],[YOLLUK HARİÇ BASKI GRAMI]]/Tablo520[[#This Row],[KALIP GÖZ ADEDİ]]," ")</f>
        <v xml:space="preserve"> </v>
      </c>
      <c r="T281" s="100" t="str">
        <f t="shared" si="30"/>
        <v xml:space="preserve"> </v>
      </c>
      <c r="U281" s="100"/>
      <c r="V281" s="100" t="str">
        <f t="shared" si="29"/>
        <v xml:space="preserve"> </v>
      </c>
      <c r="W281" s="101">
        <f t="shared" si="31"/>
        <v>24</v>
      </c>
      <c r="X281" s="102">
        <f t="shared" si="32"/>
        <v>0</v>
      </c>
      <c r="Y281" s="100" t="str">
        <f t="shared" si="33"/>
        <v xml:space="preserve"> </v>
      </c>
      <c r="Z281" s="100" t="str">
        <f t="shared" si="34"/>
        <v xml:space="preserve"> </v>
      </c>
    </row>
    <row r="282" spans="1:26">
      <c r="A282" s="100"/>
      <c r="B282" s="100" t="str">
        <f>IFERROR(VLOOKUP(Tablo520[[#This Row],[ÜRÜN KODU]],YMKODLARI!$A$1:$K$373,2,0)," ")</f>
        <v xml:space="preserve"> </v>
      </c>
      <c r="C282" s="99"/>
      <c r="D282" s="100"/>
      <c r="E282" s="101"/>
      <c r="F282" s="101"/>
      <c r="G282" s="100" t="str">
        <f>IFERROR(VLOOKUP(Tablo520[[#This Row],[ÜRÜN KODU]],YMKODLARI!$A$1:$K$373,3,0)," ")</f>
        <v xml:space="preserve"> </v>
      </c>
      <c r="H282" s="100" t="str">
        <f>IFERROR(VLOOKUP(Tablo520[[#This Row],[ÜRÜN KODU]],YMKODLARI!$A$1:$K$373,4,0)," ")</f>
        <v xml:space="preserve"> </v>
      </c>
      <c r="I282" s="100"/>
      <c r="J282" s="100" t="str">
        <f>IFERROR(VLOOKUP(Tablo520[[#This Row],[ÜRÜN KODU]],YMKODLARI!$A$1:$K$373,9,0)," ")</f>
        <v xml:space="preserve"> </v>
      </c>
      <c r="K282" s="100" t="str">
        <f>IFERROR(VLOOKUP(Tablo520[[#This Row],[BOYA KODU]],Tablo14[#All],4,0)," ")</f>
        <v xml:space="preserve"> </v>
      </c>
      <c r="L282" s="100" t="str">
        <f>IFERROR(VLOOKUP(Tablo520[[#This Row],[BOYA KODU]],Tablo14[#All],6,0)," ")</f>
        <v xml:space="preserve"> </v>
      </c>
      <c r="M282" s="100" t="str">
        <f t="shared" si="28"/>
        <v xml:space="preserve"> </v>
      </c>
      <c r="N282" s="100" t="str">
        <f>IFERROR(VLOOKUP(Tablo520[[#This Row],[ÜRÜN KODU]],YMKODLARI!$A$1:$K$373,8,0)," ")</f>
        <v xml:space="preserve"> </v>
      </c>
      <c r="O282" s="100" t="str">
        <f>IFERROR(VLOOKUP(Tablo520[[#This Row],[HAMMADDE KODU]],Tablo1[#All],3,0)," ")</f>
        <v xml:space="preserve"> </v>
      </c>
      <c r="P282" s="100" t="str">
        <f>IFERROR(VLOOKUP(Tablo520[[#This Row],[HAMMADDE KODU]],Tablo1[#All],4,0)," ")</f>
        <v xml:space="preserve"> </v>
      </c>
      <c r="Q282" s="100" t="str">
        <f>IFERROR(VLOOKUP(Tablo520[[#This Row],[ÜRÜN KODU]],YMKODLARI!$A$1:$K$373,5,0)," ")</f>
        <v xml:space="preserve"> </v>
      </c>
      <c r="R282" s="100" t="str">
        <f>IFERROR(VLOOKUP(Tablo520[[#This Row],[ÜRÜN KODU]],YMKODLARI!$A$1:$K$373,6,0)," ")</f>
        <v xml:space="preserve"> </v>
      </c>
      <c r="S282" s="100" t="str">
        <f>IFERROR(Tablo520[[#This Row],[YOLLUK HARİÇ BASKI GRAMI]]/Tablo520[[#This Row],[KALIP GÖZ ADEDİ]]," ")</f>
        <v xml:space="preserve"> </v>
      </c>
      <c r="T282" s="100" t="str">
        <f t="shared" si="30"/>
        <v xml:space="preserve"> </v>
      </c>
      <c r="U282" s="100"/>
      <c r="V282" s="100" t="str">
        <f t="shared" si="29"/>
        <v xml:space="preserve"> </v>
      </c>
      <c r="W282" s="101">
        <f t="shared" si="31"/>
        <v>24</v>
      </c>
      <c r="X282" s="102">
        <f t="shared" si="32"/>
        <v>0</v>
      </c>
      <c r="Y282" s="100" t="str">
        <f t="shared" si="33"/>
        <v xml:space="preserve"> </v>
      </c>
      <c r="Z282" s="100" t="str">
        <f t="shared" si="34"/>
        <v xml:space="preserve"> </v>
      </c>
    </row>
    <row r="283" spans="1:26">
      <c r="A283" s="100"/>
      <c r="B283" s="100" t="str">
        <f>IFERROR(VLOOKUP(Tablo520[[#This Row],[ÜRÜN KODU]],YMKODLARI!$A$1:$K$373,2,0)," ")</f>
        <v xml:space="preserve"> </v>
      </c>
      <c r="C283" s="99"/>
      <c r="D283" s="100"/>
      <c r="E283" s="101"/>
      <c r="F283" s="101"/>
      <c r="G283" s="100" t="str">
        <f>IFERROR(VLOOKUP(Tablo520[[#This Row],[ÜRÜN KODU]],YMKODLARI!$A$1:$K$373,3,0)," ")</f>
        <v xml:space="preserve"> </v>
      </c>
      <c r="H283" s="100" t="str">
        <f>IFERROR(VLOOKUP(Tablo520[[#This Row],[ÜRÜN KODU]],YMKODLARI!$A$1:$K$373,4,0)," ")</f>
        <v xml:space="preserve"> </v>
      </c>
      <c r="I283" s="100"/>
      <c r="J283" s="100" t="str">
        <f>IFERROR(VLOOKUP(Tablo520[[#This Row],[ÜRÜN KODU]],YMKODLARI!$A$1:$K$373,9,0)," ")</f>
        <v xml:space="preserve"> </v>
      </c>
      <c r="K283" s="100" t="str">
        <f>IFERROR(VLOOKUP(Tablo520[[#This Row],[BOYA KODU]],Tablo14[#All],4,0)," ")</f>
        <v xml:space="preserve"> </v>
      </c>
      <c r="L283" s="100" t="str">
        <f>IFERROR(VLOOKUP(Tablo520[[#This Row],[BOYA KODU]],Tablo14[#All],6,0)," ")</f>
        <v xml:space="preserve"> </v>
      </c>
      <c r="M283" s="100" t="str">
        <f t="shared" si="28"/>
        <v xml:space="preserve"> </v>
      </c>
      <c r="N283" s="100" t="str">
        <f>IFERROR(VLOOKUP(Tablo520[[#This Row],[ÜRÜN KODU]],YMKODLARI!$A$1:$K$373,8,0)," ")</f>
        <v xml:space="preserve"> </v>
      </c>
      <c r="O283" s="100" t="str">
        <f>IFERROR(VLOOKUP(Tablo520[[#This Row],[HAMMADDE KODU]],Tablo1[#All],3,0)," ")</f>
        <v xml:space="preserve"> </v>
      </c>
      <c r="P283" s="100" t="str">
        <f>IFERROR(VLOOKUP(Tablo520[[#This Row],[HAMMADDE KODU]],Tablo1[#All],4,0)," ")</f>
        <v xml:space="preserve"> </v>
      </c>
      <c r="Q283" s="100" t="str">
        <f>IFERROR(VLOOKUP(Tablo520[[#This Row],[ÜRÜN KODU]],YMKODLARI!$A$1:$K$373,5,0)," ")</f>
        <v xml:space="preserve"> </v>
      </c>
      <c r="R283" s="100" t="str">
        <f>IFERROR(VLOOKUP(Tablo520[[#This Row],[ÜRÜN KODU]],YMKODLARI!$A$1:$K$373,6,0)," ")</f>
        <v xml:space="preserve"> </v>
      </c>
      <c r="S283" s="100" t="str">
        <f>IFERROR(Tablo520[[#This Row],[YOLLUK HARİÇ BASKI GRAMI]]/Tablo520[[#This Row],[KALIP GÖZ ADEDİ]]," ")</f>
        <v xml:space="preserve"> </v>
      </c>
      <c r="T283" s="100" t="str">
        <f t="shared" si="30"/>
        <v xml:space="preserve"> </v>
      </c>
      <c r="U283" s="100"/>
      <c r="V283" s="100" t="str">
        <f t="shared" si="29"/>
        <v xml:space="preserve"> </v>
      </c>
      <c r="W283" s="101">
        <f t="shared" si="31"/>
        <v>24</v>
      </c>
      <c r="X283" s="102">
        <f t="shared" si="32"/>
        <v>0</v>
      </c>
      <c r="Y283" s="100" t="str">
        <f t="shared" si="33"/>
        <v xml:space="preserve"> </v>
      </c>
      <c r="Z283" s="100" t="str">
        <f t="shared" si="34"/>
        <v xml:space="preserve"> </v>
      </c>
    </row>
    <row r="284" spans="1:26">
      <c r="A284" s="100"/>
      <c r="B284" s="100" t="str">
        <f>IFERROR(VLOOKUP(Tablo520[[#This Row],[ÜRÜN KODU]],YMKODLARI!$A$1:$K$373,2,0)," ")</f>
        <v xml:space="preserve"> </v>
      </c>
      <c r="C284" s="99"/>
      <c r="D284" s="100"/>
      <c r="E284" s="101"/>
      <c r="F284" s="101"/>
      <c r="G284" s="100" t="str">
        <f>IFERROR(VLOOKUP(Tablo520[[#This Row],[ÜRÜN KODU]],YMKODLARI!$A$1:$K$373,3,0)," ")</f>
        <v xml:space="preserve"> </v>
      </c>
      <c r="H284" s="100" t="str">
        <f>IFERROR(VLOOKUP(Tablo520[[#This Row],[ÜRÜN KODU]],YMKODLARI!$A$1:$K$373,4,0)," ")</f>
        <v xml:space="preserve"> </v>
      </c>
      <c r="I284" s="100"/>
      <c r="J284" s="100" t="str">
        <f>IFERROR(VLOOKUP(Tablo520[[#This Row],[ÜRÜN KODU]],YMKODLARI!$A$1:$K$373,9,0)," ")</f>
        <v xml:space="preserve"> </v>
      </c>
      <c r="K284" s="100" t="str">
        <f>IFERROR(VLOOKUP(Tablo520[[#This Row],[BOYA KODU]],Tablo14[#All],4,0)," ")</f>
        <v xml:space="preserve"> </v>
      </c>
      <c r="L284" s="100" t="str">
        <f>IFERROR(VLOOKUP(Tablo520[[#This Row],[BOYA KODU]],Tablo14[#All],6,0)," ")</f>
        <v xml:space="preserve"> </v>
      </c>
      <c r="M284" s="100" t="str">
        <f t="shared" si="28"/>
        <v xml:space="preserve"> </v>
      </c>
      <c r="N284" s="100" t="str">
        <f>IFERROR(VLOOKUP(Tablo520[[#This Row],[ÜRÜN KODU]],YMKODLARI!$A$1:$K$373,8,0)," ")</f>
        <v xml:space="preserve"> </v>
      </c>
      <c r="O284" s="100" t="str">
        <f>IFERROR(VLOOKUP(Tablo520[[#This Row],[HAMMADDE KODU]],Tablo1[#All],3,0)," ")</f>
        <v xml:space="preserve"> </v>
      </c>
      <c r="P284" s="100" t="str">
        <f>IFERROR(VLOOKUP(Tablo520[[#This Row],[HAMMADDE KODU]],Tablo1[#All],4,0)," ")</f>
        <v xml:space="preserve"> </v>
      </c>
      <c r="Q284" s="100" t="str">
        <f>IFERROR(VLOOKUP(Tablo520[[#This Row],[ÜRÜN KODU]],YMKODLARI!$A$1:$K$373,5,0)," ")</f>
        <v xml:space="preserve"> </v>
      </c>
      <c r="R284" s="100" t="str">
        <f>IFERROR(VLOOKUP(Tablo520[[#This Row],[ÜRÜN KODU]],YMKODLARI!$A$1:$K$373,6,0)," ")</f>
        <v xml:space="preserve"> </v>
      </c>
      <c r="S284" s="100" t="str">
        <f>IFERROR(Tablo520[[#This Row],[YOLLUK HARİÇ BASKI GRAMI]]/Tablo520[[#This Row],[KALIP GÖZ ADEDİ]]," ")</f>
        <v xml:space="preserve"> </v>
      </c>
      <c r="T284" s="100" t="str">
        <f t="shared" si="30"/>
        <v xml:space="preserve"> </v>
      </c>
      <c r="U284" s="100"/>
      <c r="V284" s="100" t="str">
        <f t="shared" si="29"/>
        <v xml:space="preserve"> </v>
      </c>
      <c r="W284" s="101">
        <f t="shared" si="31"/>
        <v>24</v>
      </c>
      <c r="X284" s="102">
        <f t="shared" si="32"/>
        <v>0</v>
      </c>
      <c r="Y284" s="100" t="str">
        <f t="shared" si="33"/>
        <v xml:space="preserve"> </v>
      </c>
      <c r="Z284" s="100" t="str">
        <f t="shared" si="34"/>
        <v xml:space="preserve"> </v>
      </c>
    </row>
    <row r="285" spans="1:26">
      <c r="A285" s="100"/>
      <c r="B285" s="100" t="str">
        <f>IFERROR(VLOOKUP(Tablo520[[#This Row],[ÜRÜN KODU]],YMKODLARI!$A$1:$K$373,2,0)," ")</f>
        <v xml:space="preserve"> </v>
      </c>
      <c r="C285" s="99"/>
      <c r="D285" s="100"/>
      <c r="E285" s="101"/>
      <c r="F285" s="101"/>
      <c r="G285" s="100" t="str">
        <f>IFERROR(VLOOKUP(Tablo520[[#This Row],[ÜRÜN KODU]],YMKODLARI!$A$1:$K$373,3,0)," ")</f>
        <v xml:space="preserve"> </v>
      </c>
      <c r="H285" s="100" t="str">
        <f>IFERROR(VLOOKUP(Tablo520[[#This Row],[ÜRÜN KODU]],YMKODLARI!$A$1:$K$373,4,0)," ")</f>
        <v xml:space="preserve"> </v>
      </c>
      <c r="I285" s="100"/>
      <c r="J285" s="100" t="str">
        <f>IFERROR(VLOOKUP(Tablo520[[#This Row],[ÜRÜN KODU]],YMKODLARI!$A$1:$K$373,9,0)," ")</f>
        <v xml:space="preserve"> </v>
      </c>
      <c r="K285" s="100" t="str">
        <f>IFERROR(VLOOKUP(Tablo520[[#This Row],[BOYA KODU]],Tablo14[#All],4,0)," ")</f>
        <v xml:space="preserve"> </v>
      </c>
      <c r="L285" s="100" t="str">
        <f>IFERROR(VLOOKUP(Tablo520[[#This Row],[BOYA KODU]],Tablo14[#All],6,0)," ")</f>
        <v xml:space="preserve"> </v>
      </c>
      <c r="M285" s="100" t="str">
        <f t="shared" si="28"/>
        <v xml:space="preserve"> </v>
      </c>
      <c r="N285" s="100" t="str">
        <f>IFERROR(VLOOKUP(Tablo520[[#This Row],[ÜRÜN KODU]],YMKODLARI!$A$1:$K$373,8,0)," ")</f>
        <v xml:space="preserve"> </v>
      </c>
      <c r="O285" s="100" t="str">
        <f>IFERROR(VLOOKUP(Tablo520[[#This Row],[HAMMADDE KODU]],Tablo1[#All],3,0)," ")</f>
        <v xml:space="preserve"> </v>
      </c>
      <c r="P285" s="100" t="str">
        <f>IFERROR(VLOOKUP(Tablo520[[#This Row],[HAMMADDE KODU]],Tablo1[#All],4,0)," ")</f>
        <v xml:space="preserve"> </v>
      </c>
      <c r="Q285" s="100" t="str">
        <f>IFERROR(VLOOKUP(Tablo520[[#This Row],[ÜRÜN KODU]],YMKODLARI!$A$1:$K$373,5,0)," ")</f>
        <v xml:space="preserve"> </v>
      </c>
      <c r="R285" s="100" t="str">
        <f>IFERROR(VLOOKUP(Tablo520[[#This Row],[ÜRÜN KODU]],YMKODLARI!$A$1:$K$373,6,0)," ")</f>
        <v xml:space="preserve"> </v>
      </c>
      <c r="S285" s="100" t="str">
        <f>IFERROR(Tablo520[[#This Row],[YOLLUK HARİÇ BASKI GRAMI]]/Tablo520[[#This Row],[KALIP GÖZ ADEDİ]]," ")</f>
        <v xml:space="preserve"> </v>
      </c>
      <c r="T285" s="100" t="str">
        <f t="shared" si="30"/>
        <v xml:space="preserve"> </v>
      </c>
      <c r="U285" s="100"/>
      <c r="V285" s="100" t="str">
        <f t="shared" si="29"/>
        <v xml:space="preserve"> </v>
      </c>
      <c r="W285" s="101">
        <f t="shared" si="31"/>
        <v>24</v>
      </c>
      <c r="X285" s="102">
        <f t="shared" si="32"/>
        <v>0</v>
      </c>
      <c r="Y285" s="100" t="str">
        <f t="shared" si="33"/>
        <v xml:space="preserve"> </v>
      </c>
      <c r="Z285" s="100" t="str">
        <f t="shared" si="34"/>
        <v xml:space="preserve"> </v>
      </c>
    </row>
    <row r="286" spans="1:26">
      <c r="A286" s="100"/>
      <c r="B286" s="100" t="str">
        <f>IFERROR(VLOOKUP(Tablo520[[#This Row],[ÜRÜN KODU]],YMKODLARI!$A$1:$K$373,2,0)," ")</f>
        <v xml:space="preserve"> </v>
      </c>
      <c r="C286" s="99"/>
      <c r="D286" s="100"/>
      <c r="E286" s="101"/>
      <c r="F286" s="101"/>
      <c r="G286" s="100" t="str">
        <f>IFERROR(VLOOKUP(Tablo520[[#This Row],[ÜRÜN KODU]],YMKODLARI!$A$1:$K$373,3,0)," ")</f>
        <v xml:space="preserve"> </v>
      </c>
      <c r="H286" s="100" t="str">
        <f>IFERROR(VLOOKUP(Tablo520[[#This Row],[ÜRÜN KODU]],YMKODLARI!$A$1:$K$373,4,0)," ")</f>
        <v xml:space="preserve"> </v>
      </c>
      <c r="I286" s="100"/>
      <c r="J286" s="100" t="str">
        <f>IFERROR(VLOOKUP(Tablo520[[#This Row],[ÜRÜN KODU]],YMKODLARI!$A$1:$K$373,9,0)," ")</f>
        <v xml:space="preserve"> </v>
      </c>
      <c r="K286" s="100" t="str">
        <f>IFERROR(VLOOKUP(Tablo520[[#This Row],[BOYA KODU]],Tablo14[#All],4,0)," ")</f>
        <v xml:space="preserve"> </v>
      </c>
      <c r="L286" s="100" t="str">
        <f>IFERROR(VLOOKUP(Tablo520[[#This Row],[BOYA KODU]],Tablo14[#All],6,0)," ")</f>
        <v xml:space="preserve"> </v>
      </c>
      <c r="M286" s="100" t="str">
        <f t="shared" si="28"/>
        <v xml:space="preserve"> </v>
      </c>
      <c r="N286" s="100" t="str">
        <f>IFERROR(VLOOKUP(Tablo520[[#This Row],[ÜRÜN KODU]],YMKODLARI!$A$1:$K$373,8,0)," ")</f>
        <v xml:space="preserve"> </v>
      </c>
      <c r="O286" s="100" t="str">
        <f>IFERROR(VLOOKUP(Tablo520[[#This Row],[HAMMADDE KODU]],Tablo1[#All],3,0)," ")</f>
        <v xml:space="preserve"> </v>
      </c>
      <c r="P286" s="100" t="str">
        <f>IFERROR(VLOOKUP(Tablo520[[#This Row],[HAMMADDE KODU]],Tablo1[#All],4,0)," ")</f>
        <v xml:space="preserve"> </v>
      </c>
      <c r="Q286" s="100" t="str">
        <f>IFERROR(VLOOKUP(Tablo520[[#This Row],[ÜRÜN KODU]],YMKODLARI!$A$1:$K$373,5,0)," ")</f>
        <v xml:space="preserve"> </v>
      </c>
      <c r="R286" s="100" t="str">
        <f>IFERROR(VLOOKUP(Tablo520[[#This Row],[ÜRÜN KODU]],YMKODLARI!$A$1:$K$373,6,0)," ")</f>
        <v xml:space="preserve"> </v>
      </c>
      <c r="S286" s="100" t="str">
        <f>IFERROR(Tablo520[[#This Row],[YOLLUK HARİÇ BASKI GRAMI]]/Tablo520[[#This Row],[KALIP GÖZ ADEDİ]]," ")</f>
        <v xml:space="preserve"> </v>
      </c>
      <c r="T286" s="100" t="str">
        <f t="shared" si="30"/>
        <v xml:space="preserve"> </v>
      </c>
      <c r="U286" s="100"/>
      <c r="V286" s="100" t="str">
        <f t="shared" si="29"/>
        <v xml:space="preserve"> </v>
      </c>
      <c r="W286" s="101">
        <f t="shared" si="31"/>
        <v>24</v>
      </c>
      <c r="X286" s="102">
        <f t="shared" si="32"/>
        <v>0</v>
      </c>
      <c r="Y286" s="100" t="str">
        <f t="shared" si="33"/>
        <v xml:space="preserve"> </v>
      </c>
      <c r="Z286" s="100" t="str">
        <f t="shared" si="34"/>
        <v xml:space="preserve"> </v>
      </c>
    </row>
    <row r="287" spans="1:26">
      <c r="A287" s="100"/>
      <c r="B287" s="100" t="str">
        <f>IFERROR(VLOOKUP(Tablo520[[#This Row],[ÜRÜN KODU]],YMKODLARI!$A$1:$K$373,2,0)," ")</f>
        <v xml:space="preserve"> </v>
      </c>
      <c r="C287" s="99"/>
      <c r="D287" s="100"/>
      <c r="E287" s="101"/>
      <c r="F287" s="101"/>
      <c r="G287" s="100" t="str">
        <f>IFERROR(VLOOKUP(Tablo520[[#This Row],[ÜRÜN KODU]],YMKODLARI!$A$1:$K$373,3,0)," ")</f>
        <v xml:space="preserve"> </v>
      </c>
      <c r="H287" s="100" t="str">
        <f>IFERROR(VLOOKUP(Tablo520[[#This Row],[ÜRÜN KODU]],YMKODLARI!$A$1:$K$373,4,0)," ")</f>
        <v xml:space="preserve"> </v>
      </c>
      <c r="I287" s="100"/>
      <c r="J287" s="100" t="str">
        <f>IFERROR(VLOOKUP(Tablo520[[#This Row],[ÜRÜN KODU]],YMKODLARI!$A$1:$K$373,9,0)," ")</f>
        <v xml:space="preserve"> </v>
      </c>
      <c r="K287" s="100" t="str">
        <f>IFERROR(VLOOKUP(Tablo520[[#This Row],[BOYA KODU]],Tablo14[#All],4,0)," ")</f>
        <v xml:space="preserve"> </v>
      </c>
      <c r="L287" s="100" t="str">
        <f>IFERROR(VLOOKUP(Tablo520[[#This Row],[BOYA KODU]],Tablo14[#All],6,0)," ")</f>
        <v xml:space="preserve"> </v>
      </c>
      <c r="M287" s="100" t="str">
        <f t="shared" si="28"/>
        <v xml:space="preserve"> </v>
      </c>
      <c r="N287" s="100" t="str">
        <f>IFERROR(VLOOKUP(Tablo520[[#This Row],[ÜRÜN KODU]],YMKODLARI!$A$1:$K$373,8,0)," ")</f>
        <v xml:space="preserve"> </v>
      </c>
      <c r="O287" s="100" t="str">
        <f>IFERROR(VLOOKUP(Tablo520[[#This Row],[HAMMADDE KODU]],Tablo1[#All],3,0)," ")</f>
        <v xml:space="preserve"> </v>
      </c>
      <c r="P287" s="100" t="str">
        <f>IFERROR(VLOOKUP(Tablo520[[#This Row],[HAMMADDE KODU]],Tablo1[#All],4,0)," ")</f>
        <v xml:space="preserve"> </v>
      </c>
      <c r="Q287" s="100" t="str">
        <f>IFERROR(VLOOKUP(Tablo520[[#This Row],[ÜRÜN KODU]],YMKODLARI!$A$1:$K$373,5,0)," ")</f>
        <v xml:space="preserve"> </v>
      </c>
      <c r="R287" s="100" t="str">
        <f>IFERROR(VLOOKUP(Tablo520[[#This Row],[ÜRÜN KODU]],YMKODLARI!$A$1:$K$373,6,0)," ")</f>
        <v xml:space="preserve"> </v>
      </c>
      <c r="S287" s="100" t="str">
        <f>IFERROR(Tablo520[[#This Row],[YOLLUK HARİÇ BASKI GRAMI]]/Tablo520[[#This Row],[KALIP GÖZ ADEDİ]]," ")</f>
        <v xml:space="preserve"> </v>
      </c>
      <c r="T287" s="100" t="str">
        <f t="shared" si="30"/>
        <v xml:space="preserve"> </v>
      </c>
      <c r="U287" s="100"/>
      <c r="V287" s="100" t="str">
        <f t="shared" si="29"/>
        <v xml:space="preserve"> </v>
      </c>
      <c r="W287" s="101">
        <f t="shared" si="31"/>
        <v>24</v>
      </c>
      <c r="X287" s="102">
        <f t="shared" si="32"/>
        <v>0</v>
      </c>
      <c r="Y287" s="100" t="str">
        <f t="shared" si="33"/>
        <v xml:space="preserve"> </v>
      </c>
      <c r="Z287" s="100" t="str">
        <f t="shared" si="34"/>
        <v xml:space="preserve"> </v>
      </c>
    </row>
    <row r="288" spans="1:26">
      <c r="A288" s="100"/>
      <c r="B288" s="100" t="str">
        <f>IFERROR(VLOOKUP(Tablo520[[#This Row],[ÜRÜN KODU]],YMKODLARI!$A$1:$K$373,2,0)," ")</f>
        <v xml:space="preserve"> </v>
      </c>
      <c r="C288" s="99"/>
      <c r="D288" s="100"/>
      <c r="E288" s="101"/>
      <c r="F288" s="101"/>
      <c r="G288" s="100" t="str">
        <f>IFERROR(VLOOKUP(Tablo520[[#This Row],[ÜRÜN KODU]],YMKODLARI!$A$1:$K$373,3,0)," ")</f>
        <v xml:space="preserve"> </v>
      </c>
      <c r="H288" s="100" t="str">
        <f>IFERROR(VLOOKUP(Tablo520[[#This Row],[ÜRÜN KODU]],YMKODLARI!$A$1:$K$373,4,0)," ")</f>
        <v xml:space="preserve"> </v>
      </c>
      <c r="I288" s="100"/>
      <c r="J288" s="100" t="str">
        <f>IFERROR(VLOOKUP(Tablo520[[#This Row],[ÜRÜN KODU]],YMKODLARI!$A$1:$K$373,9,0)," ")</f>
        <v xml:space="preserve"> </v>
      </c>
      <c r="K288" s="100" t="str">
        <f>IFERROR(VLOOKUP(Tablo520[[#This Row],[BOYA KODU]],Tablo14[#All],4,0)," ")</f>
        <v xml:space="preserve"> </v>
      </c>
      <c r="L288" s="100" t="str">
        <f>IFERROR(VLOOKUP(Tablo520[[#This Row],[BOYA KODU]],Tablo14[#All],6,0)," ")</f>
        <v xml:space="preserve"> </v>
      </c>
      <c r="M288" s="100" t="str">
        <f t="shared" si="28"/>
        <v xml:space="preserve"> </v>
      </c>
      <c r="N288" s="100" t="str">
        <f>IFERROR(VLOOKUP(Tablo520[[#This Row],[ÜRÜN KODU]],YMKODLARI!$A$1:$K$373,8,0)," ")</f>
        <v xml:space="preserve"> </v>
      </c>
      <c r="O288" s="100" t="str">
        <f>IFERROR(VLOOKUP(Tablo520[[#This Row],[HAMMADDE KODU]],Tablo1[#All],3,0)," ")</f>
        <v xml:space="preserve"> </v>
      </c>
      <c r="P288" s="100" t="str">
        <f>IFERROR(VLOOKUP(Tablo520[[#This Row],[HAMMADDE KODU]],Tablo1[#All],4,0)," ")</f>
        <v xml:space="preserve"> </v>
      </c>
      <c r="Q288" s="100" t="str">
        <f>IFERROR(VLOOKUP(Tablo520[[#This Row],[ÜRÜN KODU]],YMKODLARI!$A$1:$K$373,5,0)," ")</f>
        <v xml:space="preserve"> </v>
      </c>
      <c r="R288" s="100" t="str">
        <f>IFERROR(VLOOKUP(Tablo520[[#This Row],[ÜRÜN KODU]],YMKODLARI!$A$1:$K$373,6,0)," ")</f>
        <v xml:space="preserve"> </v>
      </c>
      <c r="S288" s="100" t="str">
        <f>IFERROR(Tablo520[[#This Row],[YOLLUK HARİÇ BASKI GRAMI]]/Tablo520[[#This Row],[KALIP GÖZ ADEDİ]]," ")</f>
        <v xml:space="preserve"> </v>
      </c>
      <c r="T288" s="100" t="str">
        <f t="shared" si="30"/>
        <v xml:space="preserve"> </v>
      </c>
      <c r="U288" s="100"/>
      <c r="V288" s="100" t="str">
        <f t="shared" si="29"/>
        <v xml:space="preserve"> </v>
      </c>
      <c r="W288" s="101">
        <f t="shared" si="31"/>
        <v>24</v>
      </c>
      <c r="X288" s="102">
        <f t="shared" si="32"/>
        <v>0</v>
      </c>
      <c r="Y288" s="100" t="str">
        <f t="shared" si="33"/>
        <v xml:space="preserve"> </v>
      </c>
      <c r="Z288" s="100" t="str">
        <f t="shared" si="34"/>
        <v xml:space="preserve"> </v>
      </c>
    </row>
    <row r="289" spans="1:26">
      <c r="A289" s="100"/>
      <c r="B289" s="100" t="str">
        <f>IFERROR(VLOOKUP(Tablo520[[#This Row],[ÜRÜN KODU]],YMKODLARI!$A$1:$K$373,2,0)," ")</f>
        <v xml:space="preserve"> </v>
      </c>
      <c r="C289" s="99"/>
      <c r="D289" s="100"/>
      <c r="E289" s="101"/>
      <c r="F289" s="101"/>
      <c r="G289" s="100" t="str">
        <f>IFERROR(VLOOKUP(Tablo520[[#This Row],[ÜRÜN KODU]],YMKODLARI!$A$1:$K$373,3,0)," ")</f>
        <v xml:space="preserve"> </v>
      </c>
      <c r="H289" s="100" t="str">
        <f>IFERROR(VLOOKUP(Tablo520[[#This Row],[ÜRÜN KODU]],YMKODLARI!$A$1:$K$373,4,0)," ")</f>
        <v xml:space="preserve"> </v>
      </c>
      <c r="I289" s="100"/>
      <c r="J289" s="100" t="str">
        <f>IFERROR(VLOOKUP(Tablo520[[#This Row],[ÜRÜN KODU]],YMKODLARI!$A$1:$K$373,9,0)," ")</f>
        <v xml:space="preserve"> </v>
      </c>
      <c r="K289" s="100" t="str">
        <f>IFERROR(VLOOKUP(Tablo520[[#This Row],[BOYA KODU]],Tablo14[#All],4,0)," ")</f>
        <v xml:space="preserve"> </v>
      </c>
      <c r="L289" s="100" t="str">
        <f>IFERROR(VLOOKUP(Tablo520[[#This Row],[BOYA KODU]],Tablo14[#All],6,0)," ")</f>
        <v xml:space="preserve"> </v>
      </c>
      <c r="M289" s="100" t="str">
        <f t="shared" si="28"/>
        <v xml:space="preserve"> </v>
      </c>
      <c r="N289" s="100" t="str">
        <f>IFERROR(VLOOKUP(Tablo520[[#This Row],[ÜRÜN KODU]],YMKODLARI!$A$1:$K$373,8,0)," ")</f>
        <v xml:space="preserve"> </v>
      </c>
      <c r="O289" s="100" t="str">
        <f>IFERROR(VLOOKUP(Tablo520[[#This Row],[HAMMADDE KODU]],Tablo1[#All],3,0)," ")</f>
        <v xml:space="preserve"> </v>
      </c>
      <c r="P289" s="100" t="str">
        <f>IFERROR(VLOOKUP(Tablo520[[#This Row],[HAMMADDE KODU]],Tablo1[#All],4,0)," ")</f>
        <v xml:space="preserve"> </v>
      </c>
      <c r="Q289" s="100" t="str">
        <f>IFERROR(VLOOKUP(Tablo520[[#This Row],[ÜRÜN KODU]],YMKODLARI!$A$1:$K$373,5,0)," ")</f>
        <v xml:space="preserve"> </v>
      </c>
      <c r="R289" s="100" t="str">
        <f>IFERROR(VLOOKUP(Tablo520[[#This Row],[ÜRÜN KODU]],YMKODLARI!$A$1:$K$373,6,0)," ")</f>
        <v xml:space="preserve"> </v>
      </c>
      <c r="S289" s="100" t="str">
        <f>IFERROR(Tablo520[[#This Row],[YOLLUK HARİÇ BASKI GRAMI]]/Tablo520[[#This Row],[KALIP GÖZ ADEDİ]]," ")</f>
        <v xml:space="preserve"> </v>
      </c>
      <c r="T289" s="100" t="str">
        <f t="shared" si="30"/>
        <v xml:space="preserve"> </v>
      </c>
      <c r="U289" s="100"/>
      <c r="V289" s="100" t="str">
        <f t="shared" si="29"/>
        <v xml:space="preserve"> </v>
      </c>
      <c r="W289" s="101">
        <f t="shared" si="31"/>
        <v>24</v>
      </c>
      <c r="X289" s="102">
        <f t="shared" si="32"/>
        <v>0</v>
      </c>
      <c r="Y289" s="100" t="str">
        <f t="shared" si="33"/>
        <v xml:space="preserve"> </v>
      </c>
      <c r="Z289" s="100" t="str">
        <f t="shared" si="34"/>
        <v xml:space="preserve"> </v>
      </c>
    </row>
    <row r="290" spans="1:26">
      <c r="A290" s="100"/>
      <c r="B290" s="100" t="str">
        <f>IFERROR(VLOOKUP(Tablo520[[#This Row],[ÜRÜN KODU]],YMKODLARI!$A$1:$K$373,2,0)," ")</f>
        <v xml:space="preserve"> </v>
      </c>
      <c r="C290" s="99"/>
      <c r="D290" s="100"/>
      <c r="E290" s="101"/>
      <c r="F290" s="101"/>
      <c r="G290" s="100" t="str">
        <f>IFERROR(VLOOKUP(Tablo520[[#This Row],[ÜRÜN KODU]],YMKODLARI!$A$1:$K$373,3,0)," ")</f>
        <v xml:space="preserve"> </v>
      </c>
      <c r="H290" s="100" t="str">
        <f>IFERROR(VLOOKUP(Tablo520[[#This Row],[ÜRÜN KODU]],YMKODLARI!$A$1:$K$373,4,0)," ")</f>
        <v xml:space="preserve"> </v>
      </c>
      <c r="I290" s="100"/>
      <c r="J290" s="100" t="str">
        <f>IFERROR(VLOOKUP(Tablo520[[#This Row],[ÜRÜN KODU]],YMKODLARI!$A$1:$K$373,9,0)," ")</f>
        <v xml:space="preserve"> </v>
      </c>
      <c r="K290" s="100" t="str">
        <f>IFERROR(VLOOKUP(Tablo520[[#This Row],[BOYA KODU]],Tablo14[#All],4,0)," ")</f>
        <v xml:space="preserve"> </v>
      </c>
      <c r="L290" s="100" t="str">
        <f>IFERROR(VLOOKUP(Tablo520[[#This Row],[BOYA KODU]],Tablo14[#All],6,0)," ")</f>
        <v xml:space="preserve"> </v>
      </c>
      <c r="M290" s="100" t="str">
        <f t="shared" si="28"/>
        <v xml:space="preserve"> </v>
      </c>
      <c r="N290" s="100" t="str">
        <f>IFERROR(VLOOKUP(Tablo520[[#This Row],[ÜRÜN KODU]],YMKODLARI!$A$1:$K$373,8,0)," ")</f>
        <v xml:space="preserve"> </v>
      </c>
      <c r="O290" s="100" t="str">
        <f>IFERROR(VLOOKUP(Tablo520[[#This Row],[HAMMADDE KODU]],Tablo1[#All],3,0)," ")</f>
        <v xml:space="preserve"> </v>
      </c>
      <c r="P290" s="100" t="str">
        <f>IFERROR(VLOOKUP(Tablo520[[#This Row],[HAMMADDE KODU]],Tablo1[#All],4,0)," ")</f>
        <v xml:space="preserve"> </v>
      </c>
      <c r="Q290" s="100" t="str">
        <f>IFERROR(VLOOKUP(Tablo520[[#This Row],[ÜRÜN KODU]],YMKODLARI!$A$1:$K$373,5,0)," ")</f>
        <v xml:space="preserve"> </v>
      </c>
      <c r="R290" s="100" t="str">
        <f>IFERROR(VLOOKUP(Tablo520[[#This Row],[ÜRÜN KODU]],YMKODLARI!$A$1:$K$373,6,0)," ")</f>
        <v xml:space="preserve"> </v>
      </c>
      <c r="S290" s="100" t="str">
        <f>IFERROR(Tablo520[[#This Row],[YOLLUK HARİÇ BASKI GRAMI]]/Tablo520[[#This Row],[KALIP GÖZ ADEDİ]]," ")</f>
        <v xml:space="preserve"> </v>
      </c>
      <c r="T290" s="100" t="str">
        <f t="shared" si="30"/>
        <v xml:space="preserve"> </v>
      </c>
      <c r="U290" s="100"/>
      <c r="V290" s="100" t="str">
        <f t="shared" si="29"/>
        <v xml:space="preserve"> </v>
      </c>
      <c r="W290" s="101">
        <f t="shared" si="31"/>
        <v>24</v>
      </c>
      <c r="X290" s="102">
        <f t="shared" si="32"/>
        <v>0</v>
      </c>
      <c r="Y290" s="100" t="str">
        <f t="shared" si="33"/>
        <v xml:space="preserve"> </v>
      </c>
      <c r="Z290" s="100" t="str">
        <f t="shared" si="34"/>
        <v xml:space="preserve"> </v>
      </c>
    </row>
    <row r="291" spans="1:26">
      <c r="A291" s="100"/>
      <c r="B291" s="100" t="str">
        <f>IFERROR(VLOOKUP(Tablo520[[#This Row],[ÜRÜN KODU]],YMKODLARI!$A$1:$K$373,2,0)," ")</f>
        <v xml:space="preserve"> </v>
      </c>
      <c r="C291" s="99"/>
      <c r="D291" s="100"/>
      <c r="E291" s="101"/>
      <c r="F291" s="101"/>
      <c r="G291" s="100" t="str">
        <f>IFERROR(VLOOKUP(Tablo520[[#This Row],[ÜRÜN KODU]],YMKODLARI!$A$1:$K$373,3,0)," ")</f>
        <v xml:space="preserve"> </v>
      </c>
      <c r="H291" s="100" t="str">
        <f>IFERROR(VLOOKUP(Tablo520[[#This Row],[ÜRÜN KODU]],YMKODLARI!$A$1:$K$373,4,0)," ")</f>
        <v xml:space="preserve"> </v>
      </c>
      <c r="I291" s="100"/>
      <c r="J291" s="100" t="str">
        <f>IFERROR(VLOOKUP(Tablo520[[#This Row],[ÜRÜN KODU]],YMKODLARI!$A$1:$K$373,9,0)," ")</f>
        <v xml:space="preserve"> </v>
      </c>
      <c r="K291" s="100" t="str">
        <f>IFERROR(VLOOKUP(Tablo520[[#This Row],[BOYA KODU]],Tablo14[#All],4,0)," ")</f>
        <v xml:space="preserve"> </v>
      </c>
      <c r="L291" s="100" t="str">
        <f>IFERROR(VLOOKUP(Tablo520[[#This Row],[BOYA KODU]],Tablo14[#All],6,0)," ")</f>
        <v xml:space="preserve"> </v>
      </c>
      <c r="M291" s="100" t="str">
        <f t="shared" si="28"/>
        <v xml:space="preserve"> </v>
      </c>
      <c r="N291" s="100" t="str">
        <f>IFERROR(VLOOKUP(Tablo520[[#This Row],[ÜRÜN KODU]],YMKODLARI!$A$1:$K$373,8,0)," ")</f>
        <v xml:space="preserve"> </v>
      </c>
      <c r="O291" s="100" t="str">
        <f>IFERROR(VLOOKUP(Tablo520[[#This Row],[HAMMADDE KODU]],Tablo1[#All],3,0)," ")</f>
        <v xml:space="preserve"> </v>
      </c>
      <c r="P291" s="100" t="str">
        <f>IFERROR(VLOOKUP(Tablo520[[#This Row],[HAMMADDE KODU]],Tablo1[#All],4,0)," ")</f>
        <v xml:space="preserve"> </v>
      </c>
      <c r="Q291" s="100" t="str">
        <f>IFERROR(VLOOKUP(Tablo520[[#This Row],[ÜRÜN KODU]],YMKODLARI!$A$1:$K$373,5,0)," ")</f>
        <v xml:space="preserve"> </v>
      </c>
      <c r="R291" s="100" t="str">
        <f>IFERROR(VLOOKUP(Tablo520[[#This Row],[ÜRÜN KODU]],YMKODLARI!$A$1:$K$373,6,0)," ")</f>
        <v xml:space="preserve"> </v>
      </c>
      <c r="S291" s="100" t="str">
        <f>IFERROR(Tablo520[[#This Row],[YOLLUK HARİÇ BASKI GRAMI]]/Tablo520[[#This Row],[KALIP GÖZ ADEDİ]]," ")</f>
        <v xml:space="preserve"> </v>
      </c>
      <c r="T291" s="100" t="str">
        <f t="shared" si="30"/>
        <v xml:space="preserve"> </v>
      </c>
      <c r="U291" s="100"/>
      <c r="V291" s="100" t="str">
        <f t="shared" si="29"/>
        <v xml:space="preserve"> </v>
      </c>
      <c r="W291" s="101">
        <f t="shared" si="31"/>
        <v>24</v>
      </c>
      <c r="X291" s="102">
        <f t="shared" si="32"/>
        <v>0</v>
      </c>
      <c r="Y291" s="100" t="str">
        <f t="shared" si="33"/>
        <v xml:space="preserve"> </v>
      </c>
      <c r="Z291" s="100" t="str">
        <f t="shared" si="34"/>
        <v xml:space="preserve"> </v>
      </c>
    </row>
    <row r="292" spans="1:26">
      <c r="A292" s="100"/>
      <c r="B292" s="100" t="str">
        <f>IFERROR(VLOOKUP(Tablo520[[#This Row],[ÜRÜN KODU]],YMKODLARI!$A$1:$K$373,2,0)," ")</f>
        <v xml:space="preserve"> </v>
      </c>
      <c r="C292" s="99"/>
      <c r="D292" s="100"/>
      <c r="E292" s="101"/>
      <c r="F292" s="101"/>
      <c r="G292" s="100" t="str">
        <f>IFERROR(VLOOKUP(Tablo520[[#This Row],[ÜRÜN KODU]],YMKODLARI!$A$1:$K$373,3,0)," ")</f>
        <v xml:space="preserve"> </v>
      </c>
      <c r="H292" s="100" t="str">
        <f>IFERROR(VLOOKUP(Tablo520[[#This Row],[ÜRÜN KODU]],YMKODLARI!$A$1:$K$373,4,0)," ")</f>
        <v xml:space="preserve"> </v>
      </c>
      <c r="I292" s="100"/>
      <c r="J292" s="100" t="str">
        <f>IFERROR(VLOOKUP(Tablo520[[#This Row],[ÜRÜN KODU]],YMKODLARI!$A$1:$K$373,9,0)," ")</f>
        <v xml:space="preserve"> </v>
      </c>
      <c r="K292" s="100" t="str">
        <f>IFERROR(VLOOKUP(Tablo520[[#This Row],[BOYA KODU]],Tablo14[#All],4,0)," ")</f>
        <v xml:space="preserve"> </v>
      </c>
      <c r="L292" s="100" t="str">
        <f>IFERROR(VLOOKUP(Tablo520[[#This Row],[BOYA KODU]],Tablo14[#All],6,0)," ")</f>
        <v xml:space="preserve"> </v>
      </c>
      <c r="M292" s="100" t="str">
        <f t="shared" si="28"/>
        <v xml:space="preserve"> </v>
      </c>
      <c r="N292" s="100" t="str">
        <f>IFERROR(VLOOKUP(Tablo520[[#This Row],[ÜRÜN KODU]],YMKODLARI!$A$1:$K$373,8,0)," ")</f>
        <v xml:space="preserve"> </v>
      </c>
      <c r="O292" s="100" t="str">
        <f>IFERROR(VLOOKUP(Tablo520[[#This Row],[HAMMADDE KODU]],Tablo1[#All],3,0)," ")</f>
        <v xml:space="preserve"> </v>
      </c>
      <c r="P292" s="100" t="str">
        <f>IFERROR(VLOOKUP(Tablo520[[#This Row],[HAMMADDE KODU]],Tablo1[#All],4,0)," ")</f>
        <v xml:space="preserve"> </v>
      </c>
      <c r="Q292" s="100" t="str">
        <f>IFERROR(VLOOKUP(Tablo520[[#This Row],[ÜRÜN KODU]],YMKODLARI!$A$1:$K$373,5,0)," ")</f>
        <v xml:space="preserve"> </v>
      </c>
      <c r="R292" s="100" t="str">
        <f>IFERROR(VLOOKUP(Tablo520[[#This Row],[ÜRÜN KODU]],YMKODLARI!$A$1:$K$373,6,0)," ")</f>
        <v xml:space="preserve"> </v>
      </c>
      <c r="S292" s="100" t="str">
        <f>IFERROR(Tablo520[[#This Row],[YOLLUK HARİÇ BASKI GRAMI]]/Tablo520[[#This Row],[KALIP GÖZ ADEDİ]]," ")</f>
        <v xml:space="preserve"> </v>
      </c>
      <c r="T292" s="100" t="str">
        <f t="shared" si="30"/>
        <v xml:space="preserve"> </v>
      </c>
      <c r="U292" s="100"/>
      <c r="V292" s="100" t="str">
        <f t="shared" si="29"/>
        <v xml:space="preserve"> </v>
      </c>
      <c r="W292" s="101">
        <f t="shared" si="31"/>
        <v>24</v>
      </c>
      <c r="X292" s="102">
        <f t="shared" si="32"/>
        <v>0</v>
      </c>
      <c r="Y292" s="100" t="str">
        <f t="shared" si="33"/>
        <v xml:space="preserve"> </v>
      </c>
      <c r="Z292" s="100" t="str">
        <f t="shared" si="34"/>
        <v xml:space="preserve"> </v>
      </c>
    </row>
    <row r="293" spans="1:26">
      <c r="A293" s="100"/>
      <c r="B293" s="100" t="str">
        <f>IFERROR(VLOOKUP(Tablo520[[#This Row],[ÜRÜN KODU]],YMKODLARI!$A$1:$K$373,2,0)," ")</f>
        <v xml:space="preserve"> </v>
      </c>
      <c r="C293" s="99"/>
      <c r="D293" s="100"/>
      <c r="E293" s="101"/>
      <c r="F293" s="101"/>
      <c r="G293" s="100" t="str">
        <f>IFERROR(VLOOKUP(Tablo520[[#This Row],[ÜRÜN KODU]],YMKODLARI!$A$1:$K$373,3,0)," ")</f>
        <v xml:space="preserve"> </v>
      </c>
      <c r="H293" s="100" t="str">
        <f>IFERROR(VLOOKUP(Tablo520[[#This Row],[ÜRÜN KODU]],YMKODLARI!$A$1:$K$373,4,0)," ")</f>
        <v xml:space="preserve"> </v>
      </c>
      <c r="I293" s="100"/>
      <c r="J293" s="100" t="str">
        <f>IFERROR(VLOOKUP(Tablo520[[#This Row],[ÜRÜN KODU]],YMKODLARI!$A$1:$K$373,9,0)," ")</f>
        <v xml:space="preserve"> </v>
      </c>
      <c r="K293" s="100" t="str">
        <f>IFERROR(VLOOKUP(Tablo520[[#This Row],[BOYA KODU]],Tablo14[#All],4,0)," ")</f>
        <v xml:space="preserve"> </v>
      </c>
      <c r="L293" s="100" t="str">
        <f>IFERROR(VLOOKUP(Tablo520[[#This Row],[BOYA KODU]],Tablo14[#All],6,0)," ")</f>
        <v xml:space="preserve"> </v>
      </c>
      <c r="M293" s="100" t="str">
        <f t="shared" si="28"/>
        <v xml:space="preserve"> </v>
      </c>
      <c r="N293" s="100" t="str">
        <f>IFERROR(VLOOKUP(Tablo520[[#This Row],[ÜRÜN KODU]],YMKODLARI!$A$1:$K$373,8,0)," ")</f>
        <v xml:space="preserve"> </v>
      </c>
      <c r="O293" s="100" t="str">
        <f>IFERROR(VLOOKUP(Tablo520[[#This Row],[HAMMADDE KODU]],Tablo1[#All],3,0)," ")</f>
        <v xml:space="preserve"> </v>
      </c>
      <c r="P293" s="100" t="str">
        <f>IFERROR(VLOOKUP(Tablo520[[#This Row],[HAMMADDE KODU]],Tablo1[#All],4,0)," ")</f>
        <v xml:space="preserve"> </v>
      </c>
      <c r="Q293" s="100" t="str">
        <f>IFERROR(VLOOKUP(Tablo520[[#This Row],[ÜRÜN KODU]],YMKODLARI!$A$1:$K$373,5,0)," ")</f>
        <v xml:space="preserve"> </v>
      </c>
      <c r="R293" s="100" t="str">
        <f>IFERROR(VLOOKUP(Tablo520[[#This Row],[ÜRÜN KODU]],YMKODLARI!$A$1:$K$373,6,0)," ")</f>
        <v xml:space="preserve"> </v>
      </c>
      <c r="S293" s="100" t="str">
        <f>IFERROR(Tablo520[[#This Row],[YOLLUK HARİÇ BASKI GRAMI]]/Tablo520[[#This Row],[KALIP GÖZ ADEDİ]]," ")</f>
        <v xml:space="preserve"> </v>
      </c>
      <c r="T293" s="100" t="str">
        <f t="shared" si="30"/>
        <v xml:space="preserve"> </v>
      </c>
      <c r="U293" s="100"/>
      <c r="V293" s="100" t="str">
        <f t="shared" si="29"/>
        <v xml:space="preserve"> </v>
      </c>
      <c r="W293" s="101">
        <f t="shared" si="31"/>
        <v>24</v>
      </c>
      <c r="X293" s="102">
        <f t="shared" si="32"/>
        <v>0</v>
      </c>
      <c r="Y293" s="100" t="str">
        <f t="shared" si="33"/>
        <v xml:space="preserve"> </v>
      </c>
      <c r="Z293" s="100" t="str">
        <f t="shared" si="34"/>
        <v xml:space="preserve"> </v>
      </c>
    </row>
    <row r="294" spans="1:26">
      <c r="A294" s="100"/>
      <c r="B294" s="100" t="str">
        <f>IFERROR(VLOOKUP(Tablo520[[#This Row],[ÜRÜN KODU]],YMKODLARI!$A$1:$K$373,2,0)," ")</f>
        <v xml:space="preserve"> </v>
      </c>
      <c r="C294" s="99"/>
      <c r="D294" s="100"/>
      <c r="E294" s="101"/>
      <c r="F294" s="101"/>
      <c r="G294" s="100" t="str">
        <f>IFERROR(VLOOKUP(Tablo520[[#This Row],[ÜRÜN KODU]],YMKODLARI!$A$1:$K$373,3,0)," ")</f>
        <v xml:space="preserve"> </v>
      </c>
      <c r="H294" s="100" t="str">
        <f>IFERROR(VLOOKUP(Tablo520[[#This Row],[ÜRÜN KODU]],YMKODLARI!$A$1:$K$373,4,0)," ")</f>
        <v xml:space="preserve"> </v>
      </c>
      <c r="I294" s="100"/>
      <c r="J294" s="100" t="str">
        <f>IFERROR(VLOOKUP(Tablo520[[#This Row],[ÜRÜN KODU]],YMKODLARI!$A$1:$K$373,9,0)," ")</f>
        <v xml:space="preserve"> </v>
      </c>
      <c r="K294" s="100" t="str">
        <f>IFERROR(VLOOKUP(Tablo520[[#This Row],[BOYA KODU]],Tablo14[#All],4,0)," ")</f>
        <v xml:space="preserve"> </v>
      </c>
      <c r="L294" s="100" t="str">
        <f>IFERROR(VLOOKUP(Tablo520[[#This Row],[BOYA KODU]],Tablo14[#All],6,0)," ")</f>
        <v xml:space="preserve"> </v>
      </c>
      <c r="M294" s="100" t="str">
        <f t="shared" si="28"/>
        <v xml:space="preserve"> </v>
      </c>
      <c r="N294" s="100" t="str">
        <f>IFERROR(VLOOKUP(Tablo520[[#This Row],[ÜRÜN KODU]],YMKODLARI!$A$1:$K$373,8,0)," ")</f>
        <v xml:space="preserve"> </v>
      </c>
      <c r="O294" s="100" t="str">
        <f>IFERROR(VLOOKUP(Tablo520[[#This Row],[HAMMADDE KODU]],Tablo1[#All],3,0)," ")</f>
        <v xml:space="preserve"> </v>
      </c>
      <c r="P294" s="100" t="str">
        <f>IFERROR(VLOOKUP(Tablo520[[#This Row],[HAMMADDE KODU]],Tablo1[#All],4,0)," ")</f>
        <v xml:space="preserve"> </v>
      </c>
      <c r="Q294" s="100" t="str">
        <f>IFERROR(VLOOKUP(Tablo520[[#This Row],[ÜRÜN KODU]],YMKODLARI!$A$1:$K$373,5,0)," ")</f>
        <v xml:space="preserve"> </v>
      </c>
      <c r="R294" s="100" t="str">
        <f>IFERROR(VLOOKUP(Tablo520[[#This Row],[ÜRÜN KODU]],YMKODLARI!$A$1:$K$373,6,0)," ")</f>
        <v xml:space="preserve"> </v>
      </c>
      <c r="S294" s="100" t="str">
        <f>IFERROR(Tablo520[[#This Row],[YOLLUK HARİÇ BASKI GRAMI]]/Tablo520[[#This Row],[KALIP GÖZ ADEDİ]]," ")</f>
        <v xml:space="preserve"> </v>
      </c>
      <c r="T294" s="100" t="str">
        <f t="shared" si="30"/>
        <v xml:space="preserve"> </v>
      </c>
      <c r="U294" s="100"/>
      <c r="V294" s="100" t="str">
        <f t="shared" si="29"/>
        <v xml:space="preserve"> </v>
      </c>
      <c r="W294" s="101">
        <f t="shared" si="31"/>
        <v>24</v>
      </c>
      <c r="X294" s="102">
        <f t="shared" si="32"/>
        <v>0</v>
      </c>
      <c r="Y294" s="100" t="str">
        <f t="shared" si="33"/>
        <v xml:space="preserve"> </v>
      </c>
      <c r="Z294" s="100" t="str">
        <f t="shared" si="34"/>
        <v xml:space="preserve"> </v>
      </c>
    </row>
    <row r="295" spans="1:26">
      <c r="A295" s="100"/>
      <c r="B295" s="100" t="str">
        <f>IFERROR(VLOOKUP(Tablo520[[#This Row],[ÜRÜN KODU]],YMKODLARI!$A$1:$K$373,2,0)," ")</f>
        <v xml:space="preserve"> </v>
      </c>
      <c r="C295" s="99"/>
      <c r="D295" s="100"/>
      <c r="E295" s="101"/>
      <c r="F295" s="101"/>
      <c r="G295" s="100" t="str">
        <f>IFERROR(VLOOKUP(Tablo520[[#This Row],[ÜRÜN KODU]],YMKODLARI!$A$1:$K$373,3,0)," ")</f>
        <v xml:space="preserve"> </v>
      </c>
      <c r="H295" s="100" t="str">
        <f>IFERROR(VLOOKUP(Tablo520[[#This Row],[ÜRÜN KODU]],YMKODLARI!$A$1:$K$373,4,0)," ")</f>
        <v xml:space="preserve"> </v>
      </c>
      <c r="I295" s="100"/>
      <c r="J295" s="100" t="str">
        <f>IFERROR(VLOOKUP(Tablo520[[#This Row],[ÜRÜN KODU]],YMKODLARI!$A$1:$K$373,9,0)," ")</f>
        <v xml:space="preserve"> </v>
      </c>
      <c r="K295" s="100" t="str">
        <f>IFERROR(VLOOKUP(Tablo520[[#This Row],[BOYA KODU]],Tablo14[#All],4,0)," ")</f>
        <v xml:space="preserve"> </v>
      </c>
      <c r="L295" s="100" t="str">
        <f>IFERROR(VLOOKUP(Tablo520[[#This Row],[BOYA KODU]],Tablo14[#All],6,0)," ")</f>
        <v xml:space="preserve"> </v>
      </c>
      <c r="M295" s="100" t="str">
        <f t="shared" si="28"/>
        <v xml:space="preserve"> </v>
      </c>
      <c r="N295" s="100" t="str">
        <f>IFERROR(VLOOKUP(Tablo520[[#This Row],[ÜRÜN KODU]],YMKODLARI!$A$1:$K$373,8,0)," ")</f>
        <v xml:space="preserve"> </v>
      </c>
      <c r="O295" s="100" t="str">
        <f>IFERROR(VLOOKUP(Tablo520[[#This Row],[HAMMADDE KODU]],Tablo1[#All],3,0)," ")</f>
        <v xml:space="preserve"> </v>
      </c>
      <c r="P295" s="100" t="str">
        <f>IFERROR(VLOOKUP(Tablo520[[#This Row],[HAMMADDE KODU]],Tablo1[#All],4,0)," ")</f>
        <v xml:space="preserve"> </v>
      </c>
      <c r="Q295" s="100" t="str">
        <f>IFERROR(VLOOKUP(Tablo520[[#This Row],[ÜRÜN KODU]],YMKODLARI!$A$1:$K$373,5,0)," ")</f>
        <v xml:space="preserve"> </v>
      </c>
      <c r="R295" s="100" t="str">
        <f>IFERROR(VLOOKUP(Tablo520[[#This Row],[ÜRÜN KODU]],YMKODLARI!$A$1:$K$373,6,0)," ")</f>
        <v xml:space="preserve"> </v>
      </c>
      <c r="S295" s="100" t="str">
        <f>IFERROR(Tablo520[[#This Row],[YOLLUK HARİÇ BASKI GRAMI]]/Tablo520[[#This Row],[KALIP GÖZ ADEDİ]]," ")</f>
        <v xml:space="preserve"> </v>
      </c>
      <c r="T295" s="100" t="str">
        <f t="shared" si="30"/>
        <v xml:space="preserve"> </v>
      </c>
      <c r="U295" s="100"/>
      <c r="V295" s="100" t="str">
        <f t="shared" si="29"/>
        <v xml:space="preserve"> </v>
      </c>
      <c r="W295" s="101">
        <f t="shared" si="31"/>
        <v>24</v>
      </c>
      <c r="X295" s="102">
        <f t="shared" si="32"/>
        <v>0</v>
      </c>
      <c r="Y295" s="100" t="str">
        <f t="shared" si="33"/>
        <v xml:space="preserve"> </v>
      </c>
      <c r="Z295" s="100" t="str">
        <f t="shared" si="34"/>
        <v xml:space="preserve"> </v>
      </c>
    </row>
    <row r="296" spans="1:26">
      <c r="A296" s="100"/>
      <c r="B296" s="100" t="str">
        <f>IFERROR(VLOOKUP(Tablo520[[#This Row],[ÜRÜN KODU]],YMKODLARI!$A$1:$K$373,2,0)," ")</f>
        <v xml:space="preserve"> </v>
      </c>
      <c r="C296" s="99"/>
      <c r="D296" s="100"/>
      <c r="E296" s="101"/>
      <c r="F296" s="101"/>
      <c r="G296" s="100" t="str">
        <f>IFERROR(VLOOKUP(Tablo520[[#This Row],[ÜRÜN KODU]],YMKODLARI!$A$1:$K$373,3,0)," ")</f>
        <v xml:space="preserve"> </v>
      </c>
      <c r="H296" s="100" t="str">
        <f>IFERROR(VLOOKUP(Tablo520[[#This Row],[ÜRÜN KODU]],YMKODLARI!$A$1:$K$373,4,0)," ")</f>
        <v xml:space="preserve"> </v>
      </c>
      <c r="I296" s="100"/>
      <c r="J296" s="100" t="str">
        <f>IFERROR(VLOOKUP(Tablo520[[#This Row],[ÜRÜN KODU]],YMKODLARI!$A$1:$K$373,9,0)," ")</f>
        <v xml:space="preserve"> </v>
      </c>
      <c r="K296" s="100" t="str">
        <f>IFERROR(VLOOKUP(Tablo520[[#This Row],[BOYA KODU]],Tablo14[#All],4,0)," ")</f>
        <v xml:space="preserve"> </v>
      </c>
      <c r="L296" s="100" t="str">
        <f>IFERROR(VLOOKUP(Tablo520[[#This Row],[BOYA KODU]],Tablo14[#All],6,0)," ")</f>
        <v xml:space="preserve"> </v>
      </c>
      <c r="M296" s="100" t="str">
        <f t="shared" si="28"/>
        <v xml:space="preserve"> </v>
      </c>
      <c r="N296" s="100" t="str">
        <f>IFERROR(VLOOKUP(Tablo520[[#This Row],[ÜRÜN KODU]],YMKODLARI!$A$1:$K$373,8,0)," ")</f>
        <v xml:space="preserve"> </v>
      </c>
      <c r="O296" s="100" t="str">
        <f>IFERROR(VLOOKUP(Tablo520[[#This Row],[HAMMADDE KODU]],Tablo1[#All],3,0)," ")</f>
        <v xml:space="preserve"> </v>
      </c>
      <c r="P296" s="100" t="str">
        <f>IFERROR(VLOOKUP(Tablo520[[#This Row],[HAMMADDE KODU]],Tablo1[#All],4,0)," ")</f>
        <v xml:space="preserve"> </v>
      </c>
      <c r="Q296" s="100" t="str">
        <f>IFERROR(VLOOKUP(Tablo520[[#This Row],[ÜRÜN KODU]],YMKODLARI!$A$1:$K$373,5,0)," ")</f>
        <v xml:space="preserve"> </v>
      </c>
      <c r="R296" s="100" t="str">
        <f>IFERROR(VLOOKUP(Tablo520[[#This Row],[ÜRÜN KODU]],YMKODLARI!$A$1:$K$373,6,0)," ")</f>
        <v xml:space="preserve"> </v>
      </c>
      <c r="S296" s="100" t="str">
        <f>IFERROR(Tablo520[[#This Row],[YOLLUK HARİÇ BASKI GRAMI]]/Tablo520[[#This Row],[KALIP GÖZ ADEDİ]]," ")</f>
        <v xml:space="preserve"> </v>
      </c>
      <c r="T296" s="100" t="str">
        <f t="shared" si="30"/>
        <v xml:space="preserve"> </v>
      </c>
      <c r="U296" s="100"/>
      <c r="V296" s="100" t="str">
        <f t="shared" si="29"/>
        <v xml:space="preserve"> </v>
      </c>
      <c r="W296" s="101">
        <f t="shared" si="31"/>
        <v>24</v>
      </c>
      <c r="X296" s="102">
        <f t="shared" si="32"/>
        <v>0</v>
      </c>
      <c r="Y296" s="100" t="str">
        <f t="shared" si="33"/>
        <v xml:space="preserve"> </v>
      </c>
      <c r="Z296" s="100" t="str">
        <f t="shared" si="34"/>
        <v xml:space="preserve"> </v>
      </c>
    </row>
    <row r="297" spans="1:26">
      <c r="A297" s="100"/>
      <c r="B297" s="100" t="str">
        <f>IFERROR(VLOOKUP(Tablo520[[#This Row],[ÜRÜN KODU]],YMKODLARI!$A$1:$K$373,2,0)," ")</f>
        <v xml:space="preserve"> </v>
      </c>
      <c r="C297" s="99"/>
      <c r="D297" s="100"/>
      <c r="E297" s="101"/>
      <c r="F297" s="101"/>
      <c r="G297" s="100" t="str">
        <f>IFERROR(VLOOKUP(Tablo520[[#This Row],[ÜRÜN KODU]],YMKODLARI!$A$1:$K$373,3,0)," ")</f>
        <v xml:space="preserve"> </v>
      </c>
      <c r="H297" s="100" t="str">
        <f>IFERROR(VLOOKUP(Tablo520[[#This Row],[ÜRÜN KODU]],YMKODLARI!$A$1:$K$373,4,0)," ")</f>
        <v xml:space="preserve"> </v>
      </c>
      <c r="I297" s="100"/>
      <c r="J297" s="100" t="str">
        <f>IFERROR(VLOOKUP(Tablo520[[#This Row],[ÜRÜN KODU]],YMKODLARI!$A$1:$K$373,9,0)," ")</f>
        <v xml:space="preserve"> </v>
      </c>
      <c r="K297" s="100" t="str">
        <f>IFERROR(VLOOKUP(Tablo520[[#This Row],[BOYA KODU]],Tablo14[#All],4,0)," ")</f>
        <v xml:space="preserve"> </v>
      </c>
      <c r="L297" s="100" t="str">
        <f>IFERROR(VLOOKUP(Tablo520[[#This Row],[BOYA KODU]],Tablo14[#All],6,0)," ")</f>
        <v xml:space="preserve"> </v>
      </c>
      <c r="M297" s="100" t="str">
        <f t="shared" si="28"/>
        <v xml:space="preserve"> </v>
      </c>
      <c r="N297" s="100" t="str">
        <f>IFERROR(VLOOKUP(Tablo520[[#This Row],[ÜRÜN KODU]],YMKODLARI!$A$1:$K$373,8,0)," ")</f>
        <v xml:space="preserve"> </v>
      </c>
      <c r="O297" s="100" t="str">
        <f>IFERROR(VLOOKUP(Tablo520[[#This Row],[HAMMADDE KODU]],Tablo1[#All],3,0)," ")</f>
        <v xml:space="preserve"> </v>
      </c>
      <c r="P297" s="100" t="str">
        <f>IFERROR(VLOOKUP(Tablo520[[#This Row],[HAMMADDE KODU]],Tablo1[#All],4,0)," ")</f>
        <v xml:space="preserve"> </v>
      </c>
      <c r="Q297" s="100" t="str">
        <f>IFERROR(VLOOKUP(Tablo520[[#This Row],[ÜRÜN KODU]],YMKODLARI!$A$1:$K$373,5,0)," ")</f>
        <v xml:space="preserve"> </v>
      </c>
      <c r="R297" s="100" t="str">
        <f>IFERROR(VLOOKUP(Tablo520[[#This Row],[ÜRÜN KODU]],YMKODLARI!$A$1:$K$373,6,0)," ")</f>
        <v xml:space="preserve"> </v>
      </c>
      <c r="S297" s="100" t="str">
        <f>IFERROR(Tablo520[[#This Row],[YOLLUK HARİÇ BASKI GRAMI]]/Tablo520[[#This Row],[KALIP GÖZ ADEDİ]]," ")</f>
        <v xml:space="preserve"> </v>
      </c>
      <c r="T297" s="100" t="str">
        <f t="shared" si="30"/>
        <v xml:space="preserve"> </v>
      </c>
      <c r="U297" s="100"/>
      <c r="V297" s="100" t="str">
        <f t="shared" si="29"/>
        <v xml:space="preserve"> </v>
      </c>
      <c r="W297" s="101">
        <f t="shared" si="31"/>
        <v>24</v>
      </c>
      <c r="X297" s="102">
        <f t="shared" si="32"/>
        <v>0</v>
      </c>
      <c r="Y297" s="100" t="str">
        <f t="shared" si="33"/>
        <v xml:space="preserve"> </v>
      </c>
      <c r="Z297" s="100" t="str">
        <f t="shared" si="34"/>
        <v xml:space="preserve"> </v>
      </c>
    </row>
    <row r="298" spans="1:26">
      <c r="A298" s="100"/>
      <c r="B298" s="100" t="str">
        <f>IFERROR(VLOOKUP(Tablo520[[#This Row],[ÜRÜN KODU]],YMKODLARI!$A$1:$K$373,2,0)," ")</f>
        <v xml:space="preserve"> </v>
      </c>
      <c r="C298" s="99"/>
      <c r="D298" s="100"/>
      <c r="E298" s="101"/>
      <c r="F298" s="101"/>
      <c r="G298" s="100" t="str">
        <f>IFERROR(VLOOKUP(Tablo520[[#This Row],[ÜRÜN KODU]],YMKODLARI!$A$1:$K$373,3,0)," ")</f>
        <v xml:space="preserve"> </v>
      </c>
      <c r="H298" s="100" t="str">
        <f>IFERROR(VLOOKUP(Tablo520[[#This Row],[ÜRÜN KODU]],YMKODLARI!$A$1:$K$373,4,0)," ")</f>
        <v xml:space="preserve"> </v>
      </c>
      <c r="I298" s="100"/>
      <c r="J298" s="100" t="str">
        <f>IFERROR(VLOOKUP(Tablo520[[#This Row],[ÜRÜN KODU]],YMKODLARI!$A$1:$K$373,9,0)," ")</f>
        <v xml:space="preserve"> </v>
      </c>
      <c r="K298" s="100" t="str">
        <f>IFERROR(VLOOKUP(Tablo520[[#This Row],[BOYA KODU]],Tablo14[#All],4,0)," ")</f>
        <v xml:space="preserve"> </v>
      </c>
      <c r="L298" s="100" t="str">
        <f>IFERROR(VLOOKUP(Tablo520[[#This Row],[BOYA KODU]],Tablo14[#All],6,0)," ")</f>
        <v xml:space="preserve"> </v>
      </c>
      <c r="M298" s="100" t="str">
        <f t="shared" si="28"/>
        <v xml:space="preserve"> </v>
      </c>
      <c r="N298" s="100" t="str">
        <f>IFERROR(VLOOKUP(Tablo520[[#This Row],[ÜRÜN KODU]],YMKODLARI!$A$1:$K$373,8,0)," ")</f>
        <v xml:space="preserve"> </v>
      </c>
      <c r="O298" s="100" t="str">
        <f>IFERROR(VLOOKUP(Tablo520[[#This Row],[HAMMADDE KODU]],Tablo1[#All],3,0)," ")</f>
        <v xml:space="preserve"> </v>
      </c>
      <c r="P298" s="100" t="str">
        <f>IFERROR(VLOOKUP(Tablo520[[#This Row],[HAMMADDE KODU]],Tablo1[#All],4,0)," ")</f>
        <v xml:space="preserve"> </v>
      </c>
      <c r="Q298" s="100" t="str">
        <f>IFERROR(VLOOKUP(Tablo520[[#This Row],[ÜRÜN KODU]],YMKODLARI!$A$1:$K$373,5,0)," ")</f>
        <v xml:space="preserve"> </v>
      </c>
      <c r="R298" s="100" t="str">
        <f>IFERROR(VLOOKUP(Tablo520[[#This Row],[ÜRÜN KODU]],YMKODLARI!$A$1:$K$373,6,0)," ")</f>
        <v xml:space="preserve"> </v>
      </c>
      <c r="S298" s="100" t="str">
        <f>IFERROR(Tablo520[[#This Row],[YOLLUK HARİÇ BASKI GRAMI]]/Tablo520[[#This Row],[KALIP GÖZ ADEDİ]]," ")</f>
        <v xml:space="preserve"> </v>
      </c>
      <c r="T298" s="100" t="str">
        <f t="shared" si="30"/>
        <v xml:space="preserve"> </v>
      </c>
      <c r="U298" s="100"/>
      <c r="V298" s="100" t="str">
        <f t="shared" si="29"/>
        <v xml:space="preserve"> </v>
      </c>
      <c r="W298" s="101">
        <f t="shared" si="31"/>
        <v>24</v>
      </c>
      <c r="X298" s="102">
        <f t="shared" si="32"/>
        <v>0</v>
      </c>
      <c r="Y298" s="100" t="str">
        <f t="shared" si="33"/>
        <v xml:space="preserve"> </v>
      </c>
      <c r="Z298" s="100" t="str">
        <f t="shared" si="34"/>
        <v xml:space="preserve"> </v>
      </c>
    </row>
    <row r="299" spans="1:26">
      <c r="A299" s="100"/>
      <c r="B299" s="100" t="str">
        <f>IFERROR(VLOOKUP(Tablo520[[#This Row],[ÜRÜN KODU]],YMKODLARI!$A$1:$K$373,2,0)," ")</f>
        <v xml:space="preserve"> </v>
      </c>
      <c r="C299" s="99"/>
      <c r="D299" s="100"/>
      <c r="E299" s="101"/>
      <c r="F299" s="101"/>
      <c r="G299" s="100" t="str">
        <f>IFERROR(VLOOKUP(Tablo520[[#This Row],[ÜRÜN KODU]],YMKODLARI!$A$1:$K$373,3,0)," ")</f>
        <v xml:space="preserve"> </v>
      </c>
      <c r="H299" s="100" t="str">
        <f>IFERROR(VLOOKUP(Tablo520[[#This Row],[ÜRÜN KODU]],YMKODLARI!$A$1:$K$373,4,0)," ")</f>
        <v xml:space="preserve"> </v>
      </c>
      <c r="I299" s="100"/>
      <c r="J299" s="100" t="str">
        <f>IFERROR(VLOOKUP(Tablo520[[#This Row],[ÜRÜN KODU]],YMKODLARI!$A$1:$K$373,9,0)," ")</f>
        <v xml:space="preserve"> </v>
      </c>
      <c r="K299" s="100" t="str">
        <f>IFERROR(VLOOKUP(Tablo520[[#This Row],[BOYA KODU]],Tablo14[#All],4,0)," ")</f>
        <v xml:space="preserve"> </v>
      </c>
      <c r="L299" s="100" t="str">
        <f>IFERROR(VLOOKUP(Tablo520[[#This Row],[BOYA KODU]],Tablo14[#All],6,0)," ")</f>
        <v xml:space="preserve"> </v>
      </c>
      <c r="M299" s="100" t="str">
        <f t="shared" si="28"/>
        <v xml:space="preserve"> </v>
      </c>
      <c r="N299" s="100" t="str">
        <f>IFERROR(VLOOKUP(Tablo520[[#This Row],[ÜRÜN KODU]],YMKODLARI!$A$1:$K$373,8,0)," ")</f>
        <v xml:space="preserve"> </v>
      </c>
      <c r="O299" s="100" t="str">
        <f>IFERROR(VLOOKUP(Tablo520[[#This Row],[HAMMADDE KODU]],Tablo1[#All],3,0)," ")</f>
        <v xml:space="preserve"> </v>
      </c>
      <c r="P299" s="100" t="str">
        <f>IFERROR(VLOOKUP(Tablo520[[#This Row],[HAMMADDE KODU]],Tablo1[#All],4,0)," ")</f>
        <v xml:space="preserve"> </v>
      </c>
      <c r="Q299" s="100" t="str">
        <f>IFERROR(VLOOKUP(Tablo520[[#This Row],[ÜRÜN KODU]],YMKODLARI!$A$1:$K$373,5,0)," ")</f>
        <v xml:space="preserve"> </v>
      </c>
      <c r="R299" s="100" t="str">
        <f>IFERROR(VLOOKUP(Tablo520[[#This Row],[ÜRÜN KODU]],YMKODLARI!$A$1:$K$373,6,0)," ")</f>
        <v xml:space="preserve"> </v>
      </c>
      <c r="S299" s="100" t="str">
        <f>IFERROR(Tablo520[[#This Row],[YOLLUK HARİÇ BASKI GRAMI]]/Tablo520[[#This Row],[KALIP GÖZ ADEDİ]]," ")</f>
        <v xml:space="preserve"> </v>
      </c>
      <c r="T299" s="100" t="str">
        <f t="shared" si="30"/>
        <v xml:space="preserve"> </v>
      </c>
      <c r="U299" s="100"/>
      <c r="V299" s="100" t="str">
        <f t="shared" si="29"/>
        <v xml:space="preserve"> </v>
      </c>
      <c r="W299" s="101">
        <f t="shared" si="31"/>
        <v>24</v>
      </c>
      <c r="X299" s="102">
        <f t="shared" si="32"/>
        <v>0</v>
      </c>
      <c r="Y299" s="100" t="str">
        <f t="shared" si="33"/>
        <v xml:space="preserve"> </v>
      </c>
      <c r="Z299" s="100" t="str">
        <f t="shared" si="34"/>
        <v xml:space="preserve"> </v>
      </c>
    </row>
    <row r="300" spans="1:26">
      <c r="A300" s="100"/>
      <c r="B300" s="100" t="str">
        <f>IFERROR(VLOOKUP(Tablo520[[#This Row],[ÜRÜN KODU]],YMKODLARI!$A$1:$K$373,2,0)," ")</f>
        <v xml:space="preserve"> </v>
      </c>
      <c r="C300" s="99"/>
      <c r="D300" s="100"/>
      <c r="E300" s="101"/>
      <c r="F300" s="101"/>
      <c r="G300" s="100" t="str">
        <f>IFERROR(VLOOKUP(Tablo520[[#This Row],[ÜRÜN KODU]],YMKODLARI!$A$1:$K$373,3,0)," ")</f>
        <v xml:space="preserve"> </v>
      </c>
      <c r="H300" s="100" t="str">
        <f>IFERROR(VLOOKUP(Tablo520[[#This Row],[ÜRÜN KODU]],YMKODLARI!$A$1:$K$373,4,0)," ")</f>
        <v xml:space="preserve"> </v>
      </c>
      <c r="I300" s="100"/>
      <c r="J300" s="100" t="str">
        <f>IFERROR(VLOOKUP(Tablo520[[#This Row],[ÜRÜN KODU]],YMKODLARI!$A$1:$K$373,9,0)," ")</f>
        <v xml:space="preserve"> </v>
      </c>
      <c r="K300" s="100" t="str">
        <f>IFERROR(VLOOKUP(Tablo520[[#This Row],[BOYA KODU]],Tablo14[#All],4,0)," ")</f>
        <v xml:space="preserve"> </v>
      </c>
      <c r="L300" s="100" t="str">
        <f>IFERROR(VLOOKUP(Tablo520[[#This Row],[BOYA KODU]],Tablo14[#All],6,0)," ")</f>
        <v xml:space="preserve"> </v>
      </c>
      <c r="M300" s="100" t="str">
        <f t="shared" si="28"/>
        <v xml:space="preserve"> </v>
      </c>
      <c r="N300" s="100" t="str">
        <f>IFERROR(VLOOKUP(Tablo520[[#This Row],[ÜRÜN KODU]],YMKODLARI!$A$1:$K$373,8,0)," ")</f>
        <v xml:space="preserve"> </v>
      </c>
      <c r="O300" s="100" t="str">
        <f>IFERROR(VLOOKUP(Tablo520[[#This Row],[HAMMADDE KODU]],Tablo1[#All],3,0)," ")</f>
        <v xml:space="preserve"> </v>
      </c>
      <c r="P300" s="100" t="str">
        <f>IFERROR(VLOOKUP(Tablo520[[#This Row],[HAMMADDE KODU]],Tablo1[#All],4,0)," ")</f>
        <v xml:space="preserve"> </v>
      </c>
      <c r="Q300" s="100" t="str">
        <f>IFERROR(VLOOKUP(Tablo520[[#This Row],[ÜRÜN KODU]],YMKODLARI!$A$1:$K$373,5,0)," ")</f>
        <v xml:space="preserve"> </v>
      </c>
      <c r="R300" s="100" t="str">
        <f>IFERROR(VLOOKUP(Tablo520[[#This Row],[ÜRÜN KODU]],YMKODLARI!$A$1:$K$373,6,0)," ")</f>
        <v xml:space="preserve"> </v>
      </c>
      <c r="S300" s="100" t="str">
        <f>IFERROR(Tablo520[[#This Row],[YOLLUK HARİÇ BASKI GRAMI]]/Tablo520[[#This Row],[KALIP GÖZ ADEDİ]]," ")</f>
        <v xml:space="preserve"> </v>
      </c>
      <c r="T300" s="100" t="str">
        <f t="shared" si="30"/>
        <v xml:space="preserve"> </v>
      </c>
      <c r="U300" s="100"/>
      <c r="V300" s="100" t="str">
        <f t="shared" si="29"/>
        <v xml:space="preserve"> </v>
      </c>
      <c r="W300" s="101">
        <f t="shared" si="31"/>
        <v>24</v>
      </c>
      <c r="X300" s="102">
        <f t="shared" si="32"/>
        <v>0</v>
      </c>
      <c r="Y300" s="100" t="str">
        <f t="shared" si="33"/>
        <v xml:space="preserve"> </v>
      </c>
      <c r="Z300" s="100" t="str">
        <f t="shared" si="34"/>
        <v xml:space="preserve"> </v>
      </c>
    </row>
    <row r="301" spans="1:26">
      <c r="A301" s="100"/>
      <c r="B301" s="100" t="str">
        <f>IFERROR(VLOOKUP(Tablo520[[#This Row],[ÜRÜN KODU]],YMKODLARI!$A$1:$K$373,2,0)," ")</f>
        <v xml:space="preserve"> </v>
      </c>
      <c r="C301" s="99"/>
      <c r="D301" s="100"/>
      <c r="E301" s="101"/>
      <c r="F301" s="101"/>
      <c r="G301" s="100" t="str">
        <f>IFERROR(VLOOKUP(Tablo520[[#This Row],[ÜRÜN KODU]],YMKODLARI!$A$1:$K$373,3,0)," ")</f>
        <v xml:space="preserve"> </v>
      </c>
      <c r="H301" s="100" t="str">
        <f>IFERROR(VLOOKUP(Tablo520[[#This Row],[ÜRÜN KODU]],YMKODLARI!$A$1:$K$373,4,0)," ")</f>
        <v xml:space="preserve"> </v>
      </c>
      <c r="I301" s="100"/>
      <c r="J301" s="100" t="str">
        <f>IFERROR(VLOOKUP(Tablo520[[#This Row],[ÜRÜN KODU]],YMKODLARI!$A$1:$K$373,9,0)," ")</f>
        <v xml:space="preserve"> </v>
      </c>
      <c r="K301" s="100" t="str">
        <f>IFERROR(VLOOKUP(Tablo520[[#This Row],[BOYA KODU]],Tablo14[#All],4,0)," ")</f>
        <v xml:space="preserve"> </v>
      </c>
      <c r="L301" s="100" t="str">
        <f>IFERROR(VLOOKUP(Tablo520[[#This Row],[BOYA KODU]],Tablo14[#All],6,0)," ")</f>
        <v xml:space="preserve"> </v>
      </c>
      <c r="M301" s="100" t="str">
        <f t="shared" si="28"/>
        <v xml:space="preserve"> </v>
      </c>
      <c r="N301" s="100" t="str">
        <f>IFERROR(VLOOKUP(Tablo520[[#This Row],[ÜRÜN KODU]],YMKODLARI!$A$1:$K$373,8,0)," ")</f>
        <v xml:space="preserve"> </v>
      </c>
      <c r="O301" s="100" t="str">
        <f>IFERROR(VLOOKUP(Tablo520[[#This Row],[HAMMADDE KODU]],Tablo1[#All],3,0)," ")</f>
        <v xml:space="preserve"> </v>
      </c>
      <c r="P301" s="100" t="str">
        <f>IFERROR(VLOOKUP(Tablo520[[#This Row],[HAMMADDE KODU]],Tablo1[#All],4,0)," ")</f>
        <v xml:space="preserve"> </v>
      </c>
      <c r="Q301" s="100" t="str">
        <f>IFERROR(VLOOKUP(Tablo520[[#This Row],[ÜRÜN KODU]],YMKODLARI!$A$1:$K$373,5,0)," ")</f>
        <v xml:space="preserve"> </v>
      </c>
      <c r="R301" s="100" t="str">
        <f>IFERROR(VLOOKUP(Tablo520[[#This Row],[ÜRÜN KODU]],YMKODLARI!$A$1:$K$373,6,0)," ")</f>
        <v xml:space="preserve"> </v>
      </c>
      <c r="S301" s="100" t="str">
        <f>IFERROR(Tablo520[[#This Row],[YOLLUK HARİÇ BASKI GRAMI]]/Tablo520[[#This Row],[KALIP GÖZ ADEDİ]]," ")</f>
        <v xml:space="preserve"> </v>
      </c>
      <c r="T301" s="100" t="str">
        <f t="shared" si="30"/>
        <v xml:space="preserve"> </v>
      </c>
      <c r="U301" s="100"/>
      <c r="V301" s="100" t="str">
        <f t="shared" si="29"/>
        <v xml:space="preserve"> </v>
      </c>
      <c r="W301" s="101">
        <f t="shared" si="31"/>
        <v>24</v>
      </c>
      <c r="X301" s="102">
        <f t="shared" si="32"/>
        <v>0</v>
      </c>
      <c r="Y301" s="100" t="str">
        <f t="shared" si="33"/>
        <v xml:space="preserve"> </v>
      </c>
      <c r="Z301" s="100" t="str">
        <f t="shared" si="34"/>
        <v xml:space="preserve"> </v>
      </c>
    </row>
    <row r="302" spans="1:26">
      <c r="A302" s="100"/>
      <c r="B302" s="100" t="str">
        <f>IFERROR(VLOOKUP(Tablo520[[#This Row],[ÜRÜN KODU]],YMKODLARI!$A$1:$K$373,2,0)," ")</f>
        <v xml:space="preserve"> </v>
      </c>
      <c r="C302" s="99"/>
      <c r="D302" s="100"/>
      <c r="E302" s="101"/>
      <c r="F302" s="101"/>
      <c r="G302" s="100" t="str">
        <f>IFERROR(VLOOKUP(Tablo520[[#This Row],[ÜRÜN KODU]],YMKODLARI!$A$1:$K$373,3,0)," ")</f>
        <v xml:space="preserve"> </v>
      </c>
      <c r="H302" s="100" t="str">
        <f>IFERROR(VLOOKUP(Tablo520[[#This Row],[ÜRÜN KODU]],YMKODLARI!$A$1:$K$373,4,0)," ")</f>
        <v xml:space="preserve"> </v>
      </c>
      <c r="I302" s="100"/>
      <c r="J302" s="100" t="str">
        <f>IFERROR(VLOOKUP(Tablo520[[#This Row],[ÜRÜN KODU]],YMKODLARI!$A$1:$K$373,9,0)," ")</f>
        <v xml:space="preserve"> </v>
      </c>
      <c r="K302" s="100" t="str">
        <f>IFERROR(VLOOKUP(Tablo520[[#This Row],[BOYA KODU]],Tablo14[#All],4,0)," ")</f>
        <v xml:space="preserve"> </v>
      </c>
      <c r="L302" s="100" t="str">
        <f>IFERROR(VLOOKUP(Tablo520[[#This Row],[BOYA KODU]],Tablo14[#All],6,0)," ")</f>
        <v xml:space="preserve"> </v>
      </c>
      <c r="M302" s="100" t="str">
        <f t="shared" si="28"/>
        <v xml:space="preserve"> </v>
      </c>
      <c r="N302" s="100" t="str">
        <f>IFERROR(VLOOKUP(Tablo520[[#This Row],[ÜRÜN KODU]],YMKODLARI!$A$1:$K$373,8,0)," ")</f>
        <v xml:space="preserve"> </v>
      </c>
      <c r="O302" s="100" t="str">
        <f>IFERROR(VLOOKUP(Tablo520[[#This Row],[HAMMADDE KODU]],Tablo1[#All],3,0)," ")</f>
        <v xml:space="preserve"> </v>
      </c>
      <c r="P302" s="100" t="str">
        <f>IFERROR(VLOOKUP(Tablo520[[#This Row],[HAMMADDE KODU]],Tablo1[#All],4,0)," ")</f>
        <v xml:space="preserve"> </v>
      </c>
      <c r="Q302" s="100" t="str">
        <f>IFERROR(VLOOKUP(Tablo520[[#This Row],[ÜRÜN KODU]],YMKODLARI!$A$1:$K$373,5,0)," ")</f>
        <v xml:space="preserve"> </v>
      </c>
      <c r="R302" s="100" t="str">
        <f>IFERROR(VLOOKUP(Tablo520[[#This Row],[ÜRÜN KODU]],YMKODLARI!$A$1:$K$373,6,0)," ")</f>
        <v xml:space="preserve"> </v>
      </c>
      <c r="S302" s="100" t="str">
        <f>IFERROR(Tablo520[[#This Row],[YOLLUK HARİÇ BASKI GRAMI]]/Tablo520[[#This Row],[KALIP GÖZ ADEDİ]]," ")</f>
        <v xml:space="preserve"> </v>
      </c>
      <c r="T302" s="100" t="str">
        <f t="shared" si="30"/>
        <v xml:space="preserve"> </v>
      </c>
      <c r="U302" s="100"/>
      <c r="V302" s="100" t="str">
        <f t="shared" si="29"/>
        <v xml:space="preserve"> </v>
      </c>
      <c r="W302" s="101">
        <f t="shared" si="31"/>
        <v>24</v>
      </c>
      <c r="X302" s="102">
        <f t="shared" si="32"/>
        <v>0</v>
      </c>
      <c r="Y302" s="100" t="str">
        <f t="shared" si="33"/>
        <v xml:space="preserve"> </v>
      </c>
      <c r="Z302" s="100" t="str">
        <f t="shared" si="34"/>
        <v xml:space="preserve"> </v>
      </c>
    </row>
    <row r="303" spans="1:26">
      <c r="A303" s="100"/>
      <c r="B303" s="100" t="str">
        <f>IFERROR(VLOOKUP(Tablo520[[#This Row],[ÜRÜN KODU]],YMKODLARI!$A$1:$K$373,2,0)," ")</f>
        <v xml:space="preserve"> </v>
      </c>
      <c r="C303" s="99"/>
      <c r="D303" s="100"/>
      <c r="E303" s="101"/>
      <c r="F303" s="101"/>
      <c r="G303" s="100" t="str">
        <f>IFERROR(VLOOKUP(Tablo520[[#This Row],[ÜRÜN KODU]],YMKODLARI!$A$1:$K$373,3,0)," ")</f>
        <v xml:space="preserve"> </v>
      </c>
      <c r="H303" s="100" t="str">
        <f>IFERROR(VLOOKUP(Tablo520[[#This Row],[ÜRÜN KODU]],YMKODLARI!$A$1:$K$373,4,0)," ")</f>
        <v xml:space="preserve"> </v>
      </c>
      <c r="I303" s="100"/>
      <c r="J303" s="100" t="str">
        <f>IFERROR(VLOOKUP(Tablo520[[#This Row],[ÜRÜN KODU]],YMKODLARI!$A$1:$K$373,9,0)," ")</f>
        <v xml:space="preserve"> </v>
      </c>
      <c r="K303" s="100" t="str">
        <f>IFERROR(VLOOKUP(Tablo520[[#This Row],[BOYA KODU]],Tablo14[#All],4,0)," ")</f>
        <v xml:space="preserve"> </v>
      </c>
      <c r="L303" s="100" t="str">
        <f>IFERROR(VLOOKUP(Tablo520[[#This Row],[BOYA KODU]],Tablo14[#All],6,0)," ")</f>
        <v xml:space="preserve"> </v>
      </c>
      <c r="M303" s="100" t="str">
        <f t="shared" si="28"/>
        <v xml:space="preserve"> </v>
      </c>
      <c r="N303" s="100" t="str">
        <f>IFERROR(VLOOKUP(Tablo520[[#This Row],[ÜRÜN KODU]],YMKODLARI!$A$1:$K$373,8,0)," ")</f>
        <v xml:space="preserve"> </v>
      </c>
      <c r="O303" s="100" t="str">
        <f>IFERROR(VLOOKUP(Tablo520[[#This Row],[HAMMADDE KODU]],Tablo1[#All],3,0)," ")</f>
        <v xml:space="preserve"> </v>
      </c>
      <c r="P303" s="100" t="str">
        <f>IFERROR(VLOOKUP(Tablo520[[#This Row],[HAMMADDE KODU]],Tablo1[#All],4,0)," ")</f>
        <v xml:space="preserve"> </v>
      </c>
      <c r="Q303" s="100" t="str">
        <f>IFERROR(VLOOKUP(Tablo520[[#This Row],[ÜRÜN KODU]],YMKODLARI!$A$1:$K$373,5,0)," ")</f>
        <v xml:space="preserve"> </v>
      </c>
      <c r="R303" s="100" t="str">
        <f>IFERROR(VLOOKUP(Tablo520[[#This Row],[ÜRÜN KODU]],YMKODLARI!$A$1:$K$373,6,0)," ")</f>
        <v xml:space="preserve"> </v>
      </c>
      <c r="S303" s="100" t="str">
        <f>IFERROR(Tablo520[[#This Row],[YOLLUK HARİÇ BASKI GRAMI]]/Tablo520[[#This Row],[KALIP GÖZ ADEDİ]]," ")</f>
        <v xml:space="preserve"> </v>
      </c>
      <c r="T303" s="100" t="str">
        <f t="shared" si="30"/>
        <v xml:space="preserve"> </v>
      </c>
      <c r="U303" s="100"/>
      <c r="V303" s="100" t="str">
        <f t="shared" si="29"/>
        <v xml:space="preserve"> </v>
      </c>
      <c r="W303" s="101">
        <f t="shared" si="31"/>
        <v>24</v>
      </c>
      <c r="X303" s="102">
        <f t="shared" si="32"/>
        <v>0</v>
      </c>
      <c r="Y303" s="100" t="str">
        <f t="shared" si="33"/>
        <v xml:space="preserve"> </v>
      </c>
      <c r="Z303" s="100" t="str">
        <f t="shared" si="34"/>
        <v xml:space="preserve"> </v>
      </c>
    </row>
    <row r="304" spans="1:26">
      <c r="A304" s="100"/>
      <c r="B304" s="100" t="str">
        <f>IFERROR(VLOOKUP(Tablo520[[#This Row],[ÜRÜN KODU]],YMKODLARI!$A$1:$K$373,2,0)," ")</f>
        <v xml:space="preserve"> </v>
      </c>
      <c r="C304" s="99"/>
      <c r="D304" s="100"/>
      <c r="E304" s="101"/>
      <c r="F304" s="101"/>
      <c r="G304" s="100" t="str">
        <f>IFERROR(VLOOKUP(Tablo520[[#This Row],[ÜRÜN KODU]],YMKODLARI!$A$1:$K$373,3,0)," ")</f>
        <v xml:space="preserve"> </v>
      </c>
      <c r="H304" s="100" t="str">
        <f>IFERROR(VLOOKUP(Tablo520[[#This Row],[ÜRÜN KODU]],YMKODLARI!$A$1:$K$373,4,0)," ")</f>
        <v xml:space="preserve"> </v>
      </c>
      <c r="I304" s="100"/>
      <c r="J304" s="100" t="str">
        <f>IFERROR(VLOOKUP(Tablo520[[#This Row],[ÜRÜN KODU]],YMKODLARI!$A$1:$K$373,9,0)," ")</f>
        <v xml:space="preserve"> </v>
      </c>
      <c r="K304" s="100" t="str">
        <f>IFERROR(VLOOKUP(Tablo520[[#This Row],[BOYA KODU]],Tablo14[#All],4,0)," ")</f>
        <v xml:space="preserve"> </v>
      </c>
      <c r="L304" s="100" t="str">
        <f>IFERROR(VLOOKUP(Tablo520[[#This Row],[BOYA KODU]],Tablo14[#All],6,0)," ")</f>
        <v xml:space="preserve"> </v>
      </c>
      <c r="M304" s="100" t="str">
        <f t="shared" si="28"/>
        <v xml:space="preserve"> </v>
      </c>
      <c r="N304" s="100" t="str">
        <f>IFERROR(VLOOKUP(Tablo520[[#This Row],[ÜRÜN KODU]],YMKODLARI!$A$1:$K$373,8,0)," ")</f>
        <v xml:space="preserve"> </v>
      </c>
      <c r="O304" s="100" t="str">
        <f>IFERROR(VLOOKUP(Tablo520[[#This Row],[HAMMADDE KODU]],Tablo1[#All],3,0)," ")</f>
        <v xml:space="preserve"> </v>
      </c>
      <c r="P304" s="100" t="str">
        <f>IFERROR(VLOOKUP(Tablo520[[#This Row],[HAMMADDE KODU]],Tablo1[#All],4,0)," ")</f>
        <v xml:space="preserve"> </v>
      </c>
      <c r="Q304" s="100" t="str">
        <f>IFERROR(VLOOKUP(Tablo520[[#This Row],[ÜRÜN KODU]],YMKODLARI!$A$1:$K$373,5,0)," ")</f>
        <v xml:space="preserve"> </v>
      </c>
      <c r="R304" s="100" t="str">
        <f>IFERROR(VLOOKUP(Tablo520[[#This Row],[ÜRÜN KODU]],YMKODLARI!$A$1:$K$373,6,0)," ")</f>
        <v xml:space="preserve"> </v>
      </c>
      <c r="S304" s="100" t="str">
        <f>IFERROR(Tablo520[[#This Row],[YOLLUK HARİÇ BASKI GRAMI]]/Tablo520[[#This Row],[KALIP GÖZ ADEDİ]]," ")</f>
        <v xml:space="preserve"> </v>
      </c>
      <c r="T304" s="100" t="str">
        <f t="shared" si="30"/>
        <v xml:space="preserve"> </v>
      </c>
      <c r="U304" s="100"/>
      <c r="V304" s="100" t="str">
        <f t="shared" si="29"/>
        <v xml:space="preserve"> </v>
      </c>
      <c r="W304" s="101">
        <f t="shared" si="31"/>
        <v>24</v>
      </c>
      <c r="X304" s="102">
        <f t="shared" si="32"/>
        <v>0</v>
      </c>
      <c r="Y304" s="100" t="str">
        <f t="shared" si="33"/>
        <v xml:space="preserve"> </v>
      </c>
      <c r="Z304" s="100" t="str">
        <f t="shared" si="34"/>
        <v xml:space="preserve"> </v>
      </c>
    </row>
    <row r="305" spans="1:26">
      <c r="A305" s="100"/>
      <c r="B305" s="100" t="str">
        <f>IFERROR(VLOOKUP(Tablo520[[#This Row],[ÜRÜN KODU]],YMKODLARI!$A$1:$K$373,2,0)," ")</f>
        <v xml:space="preserve"> </v>
      </c>
      <c r="C305" s="99"/>
      <c r="D305" s="100"/>
      <c r="E305" s="101"/>
      <c r="F305" s="101"/>
      <c r="G305" s="100" t="str">
        <f>IFERROR(VLOOKUP(Tablo520[[#This Row],[ÜRÜN KODU]],YMKODLARI!$A$1:$K$373,3,0)," ")</f>
        <v xml:space="preserve"> </v>
      </c>
      <c r="H305" s="100" t="str">
        <f>IFERROR(VLOOKUP(Tablo520[[#This Row],[ÜRÜN KODU]],YMKODLARI!$A$1:$K$373,4,0)," ")</f>
        <v xml:space="preserve"> </v>
      </c>
      <c r="I305" s="100"/>
      <c r="J305" s="100" t="str">
        <f>IFERROR(VLOOKUP(Tablo520[[#This Row],[ÜRÜN KODU]],YMKODLARI!$A$1:$K$373,9,0)," ")</f>
        <v xml:space="preserve"> </v>
      </c>
      <c r="K305" s="100" t="str">
        <f>IFERROR(VLOOKUP(Tablo520[[#This Row],[BOYA KODU]],Tablo14[#All],4,0)," ")</f>
        <v xml:space="preserve"> </v>
      </c>
      <c r="L305" s="100" t="str">
        <f>IFERROR(VLOOKUP(Tablo520[[#This Row],[BOYA KODU]],Tablo14[#All],6,0)," ")</f>
        <v xml:space="preserve"> </v>
      </c>
      <c r="M305" s="100" t="str">
        <f t="shared" si="28"/>
        <v xml:space="preserve"> </v>
      </c>
      <c r="N305" s="100" t="str">
        <f>IFERROR(VLOOKUP(Tablo520[[#This Row],[ÜRÜN KODU]],YMKODLARI!$A$1:$K$373,8,0)," ")</f>
        <v xml:space="preserve"> </v>
      </c>
      <c r="O305" s="100" t="str">
        <f>IFERROR(VLOOKUP(Tablo520[[#This Row],[HAMMADDE KODU]],Tablo1[#All],3,0)," ")</f>
        <v xml:space="preserve"> </v>
      </c>
      <c r="P305" s="100" t="str">
        <f>IFERROR(VLOOKUP(Tablo520[[#This Row],[HAMMADDE KODU]],Tablo1[#All],4,0)," ")</f>
        <v xml:space="preserve"> </v>
      </c>
      <c r="Q305" s="100" t="str">
        <f>IFERROR(VLOOKUP(Tablo520[[#This Row],[ÜRÜN KODU]],YMKODLARI!$A$1:$K$373,5,0)," ")</f>
        <v xml:space="preserve"> </v>
      </c>
      <c r="R305" s="100" t="str">
        <f>IFERROR(VLOOKUP(Tablo520[[#This Row],[ÜRÜN KODU]],YMKODLARI!$A$1:$K$373,6,0)," ")</f>
        <v xml:space="preserve"> </v>
      </c>
      <c r="S305" s="100" t="str">
        <f>IFERROR(Tablo520[[#This Row],[YOLLUK HARİÇ BASKI GRAMI]]/Tablo520[[#This Row],[KALIP GÖZ ADEDİ]]," ")</f>
        <v xml:space="preserve"> </v>
      </c>
      <c r="T305" s="100" t="str">
        <f t="shared" si="30"/>
        <v xml:space="preserve"> </v>
      </c>
      <c r="U305" s="100"/>
      <c r="V305" s="100" t="str">
        <f t="shared" si="29"/>
        <v xml:space="preserve"> </v>
      </c>
      <c r="W305" s="101">
        <f t="shared" si="31"/>
        <v>24</v>
      </c>
      <c r="X305" s="102">
        <f t="shared" si="32"/>
        <v>0</v>
      </c>
      <c r="Y305" s="100" t="str">
        <f t="shared" si="33"/>
        <v xml:space="preserve"> </v>
      </c>
      <c r="Z305" s="100" t="str">
        <f t="shared" si="34"/>
        <v xml:space="preserve"> </v>
      </c>
    </row>
    <row r="306" spans="1:26">
      <c r="A306" s="100"/>
      <c r="B306" s="100" t="str">
        <f>IFERROR(VLOOKUP(Tablo520[[#This Row],[ÜRÜN KODU]],YMKODLARI!$A$1:$K$373,2,0)," ")</f>
        <v xml:space="preserve"> </v>
      </c>
      <c r="C306" s="99"/>
      <c r="D306" s="100"/>
      <c r="E306" s="101"/>
      <c r="F306" s="101"/>
      <c r="G306" s="100" t="str">
        <f>IFERROR(VLOOKUP(Tablo520[[#This Row],[ÜRÜN KODU]],YMKODLARI!$A$1:$K$373,3,0)," ")</f>
        <v xml:space="preserve"> </v>
      </c>
      <c r="H306" s="100" t="str">
        <f>IFERROR(VLOOKUP(Tablo520[[#This Row],[ÜRÜN KODU]],YMKODLARI!$A$1:$K$373,4,0)," ")</f>
        <v xml:space="preserve"> </v>
      </c>
      <c r="I306" s="100"/>
      <c r="J306" s="100" t="str">
        <f>IFERROR(VLOOKUP(Tablo520[[#This Row],[ÜRÜN KODU]],YMKODLARI!$A$1:$K$373,9,0)," ")</f>
        <v xml:space="preserve"> </v>
      </c>
      <c r="K306" s="100" t="str">
        <f>IFERROR(VLOOKUP(Tablo520[[#This Row],[BOYA KODU]],Tablo14[#All],4,0)," ")</f>
        <v xml:space="preserve"> </v>
      </c>
      <c r="L306" s="100" t="str">
        <f>IFERROR(VLOOKUP(Tablo520[[#This Row],[BOYA KODU]],Tablo14[#All],6,0)," ")</f>
        <v xml:space="preserve"> </v>
      </c>
      <c r="M306" s="100" t="str">
        <f t="shared" si="28"/>
        <v xml:space="preserve"> </v>
      </c>
      <c r="N306" s="100" t="str">
        <f>IFERROR(VLOOKUP(Tablo520[[#This Row],[ÜRÜN KODU]],YMKODLARI!$A$1:$K$373,8,0)," ")</f>
        <v xml:space="preserve"> </v>
      </c>
      <c r="O306" s="100" t="str">
        <f>IFERROR(VLOOKUP(Tablo520[[#This Row],[HAMMADDE KODU]],Tablo1[#All],3,0)," ")</f>
        <v xml:space="preserve"> </v>
      </c>
      <c r="P306" s="100" t="str">
        <f>IFERROR(VLOOKUP(Tablo520[[#This Row],[HAMMADDE KODU]],Tablo1[#All],4,0)," ")</f>
        <v xml:space="preserve"> </v>
      </c>
      <c r="Q306" s="100" t="str">
        <f>IFERROR(VLOOKUP(Tablo520[[#This Row],[ÜRÜN KODU]],YMKODLARI!$A$1:$K$373,5,0)," ")</f>
        <v xml:space="preserve"> </v>
      </c>
      <c r="R306" s="100" t="str">
        <f>IFERROR(VLOOKUP(Tablo520[[#This Row],[ÜRÜN KODU]],YMKODLARI!$A$1:$K$373,6,0)," ")</f>
        <v xml:space="preserve"> </v>
      </c>
      <c r="S306" s="100" t="str">
        <f>IFERROR(Tablo520[[#This Row],[YOLLUK HARİÇ BASKI GRAMI]]/Tablo520[[#This Row],[KALIP GÖZ ADEDİ]]," ")</f>
        <v xml:space="preserve"> </v>
      </c>
      <c r="T306" s="100" t="str">
        <f t="shared" si="30"/>
        <v xml:space="preserve"> </v>
      </c>
      <c r="U306" s="100"/>
      <c r="V306" s="100" t="str">
        <f t="shared" si="29"/>
        <v xml:space="preserve"> </v>
      </c>
      <c r="W306" s="101">
        <f t="shared" si="31"/>
        <v>24</v>
      </c>
      <c r="X306" s="102">
        <f t="shared" si="32"/>
        <v>0</v>
      </c>
      <c r="Y306" s="100" t="str">
        <f t="shared" si="33"/>
        <v xml:space="preserve"> </v>
      </c>
      <c r="Z306" s="100" t="str">
        <f t="shared" si="34"/>
        <v xml:space="preserve"> </v>
      </c>
    </row>
    <row r="307" spans="1:26">
      <c r="A307" s="100"/>
      <c r="B307" s="100" t="str">
        <f>IFERROR(VLOOKUP(Tablo520[[#This Row],[ÜRÜN KODU]],YMKODLARI!$A$1:$K$373,2,0)," ")</f>
        <v xml:space="preserve"> </v>
      </c>
      <c r="C307" s="99"/>
      <c r="D307" s="100"/>
      <c r="E307" s="101"/>
      <c r="F307" s="101"/>
      <c r="G307" s="100" t="str">
        <f>IFERROR(VLOOKUP(Tablo520[[#This Row],[ÜRÜN KODU]],YMKODLARI!$A$1:$K$373,3,0)," ")</f>
        <v xml:space="preserve"> </v>
      </c>
      <c r="H307" s="100" t="str">
        <f>IFERROR(VLOOKUP(Tablo520[[#This Row],[ÜRÜN KODU]],YMKODLARI!$A$1:$K$373,4,0)," ")</f>
        <v xml:space="preserve"> </v>
      </c>
      <c r="I307" s="100"/>
      <c r="J307" s="100" t="str">
        <f>IFERROR(VLOOKUP(Tablo520[[#This Row],[ÜRÜN KODU]],YMKODLARI!$A$1:$K$373,9,0)," ")</f>
        <v xml:space="preserve"> </v>
      </c>
      <c r="K307" s="100" t="str">
        <f>IFERROR(VLOOKUP(Tablo520[[#This Row],[BOYA KODU]],Tablo14[#All],4,0)," ")</f>
        <v xml:space="preserve"> </v>
      </c>
      <c r="L307" s="100" t="str">
        <f>IFERROR(VLOOKUP(Tablo520[[#This Row],[BOYA KODU]],Tablo14[#All],6,0)," ")</f>
        <v xml:space="preserve"> </v>
      </c>
      <c r="M307" s="100" t="str">
        <f t="shared" si="28"/>
        <v xml:space="preserve"> </v>
      </c>
      <c r="N307" s="100" t="str">
        <f>IFERROR(VLOOKUP(Tablo520[[#This Row],[ÜRÜN KODU]],YMKODLARI!$A$1:$K$373,8,0)," ")</f>
        <v xml:space="preserve"> </v>
      </c>
      <c r="O307" s="100" t="str">
        <f>IFERROR(VLOOKUP(Tablo520[[#This Row],[HAMMADDE KODU]],Tablo1[#All],3,0)," ")</f>
        <v xml:space="preserve"> </v>
      </c>
      <c r="P307" s="100" t="str">
        <f>IFERROR(VLOOKUP(Tablo520[[#This Row],[HAMMADDE KODU]],Tablo1[#All],4,0)," ")</f>
        <v xml:space="preserve"> </v>
      </c>
      <c r="Q307" s="100" t="str">
        <f>IFERROR(VLOOKUP(Tablo520[[#This Row],[ÜRÜN KODU]],YMKODLARI!$A$1:$K$373,5,0)," ")</f>
        <v xml:space="preserve"> </v>
      </c>
      <c r="R307" s="100" t="str">
        <f>IFERROR(VLOOKUP(Tablo520[[#This Row],[ÜRÜN KODU]],YMKODLARI!$A$1:$K$373,6,0)," ")</f>
        <v xml:space="preserve"> </v>
      </c>
      <c r="S307" s="100" t="str">
        <f>IFERROR(Tablo520[[#This Row],[YOLLUK HARİÇ BASKI GRAMI]]/Tablo520[[#This Row],[KALIP GÖZ ADEDİ]]," ")</f>
        <v xml:space="preserve"> </v>
      </c>
      <c r="T307" s="100" t="str">
        <f t="shared" si="30"/>
        <v xml:space="preserve"> </v>
      </c>
      <c r="U307" s="100"/>
      <c r="V307" s="100" t="str">
        <f t="shared" si="29"/>
        <v xml:space="preserve"> </v>
      </c>
      <c r="W307" s="101">
        <f t="shared" si="31"/>
        <v>24</v>
      </c>
      <c r="X307" s="102">
        <f t="shared" si="32"/>
        <v>0</v>
      </c>
      <c r="Y307" s="100" t="str">
        <f t="shared" si="33"/>
        <v xml:space="preserve"> </v>
      </c>
      <c r="Z307" s="100" t="str">
        <f t="shared" si="34"/>
        <v xml:space="preserve"> </v>
      </c>
    </row>
    <row r="308" spans="1:26">
      <c r="A308" s="100"/>
      <c r="B308" s="100" t="str">
        <f>IFERROR(VLOOKUP(Tablo520[[#This Row],[ÜRÜN KODU]],YMKODLARI!$A$1:$K$373,2,0)," ")</f>
        <v xml:space="preserve"> </v>
      </c>
      <c r="C308" s="99"/>
      <c r="D308" s="100"/>
      <c r="E308" s="101"/>
      <c r="F308" s="101"/>
      <c r="G308" s="100" t="str">
        <f>IFERROR(VLOOKUP(Tablo520[[#This Row],[ÜRÜN KODU]],YMKODLARI!$A$1:$K$373,3,0)," ")</f>
        <v xml:space="preserve"> </v>
      </c>
      <c r="H308" s="100" t="str">
        <f>IFERROR(VLOOKUP(Tablo520[[#This Row],[ÜRÜN KODU]],YMKODLARI!$A$1:$K$373,4,0)," ")</f>
        <v xml:space="preserve"> </v>
      </c>
      <c r="I308" s="100"/>
      <c r="J308" s="100" t="str">
        <f>IFERROR(VLOOKUP(Tablo520[[#This Row],[ÜRÜN KODU]],YMKODLARI!$A$1:$K$373,9,0)," ")</f>
        <v xml:space="preserve"> </v>
      </c>
      <c r="K308" s="100" t="str">
        <f>IFERROR(VLOOKUP(Tablo520[[#This Row],[BOYA KODU]],Tablo14[#All],4,0)," ")</f>
        <v xml:space="preserve"> </v>
      </c>
      <c r="L308" s="100" t="str">
        <f>IFERROR(VLOOKUP(Tablo520[[#This Row],[BOYA KODU]],Tablo14[#All],6,0)," ")</f>
        <v xml:space="preserve"> </v>
      </c>
      <c r="M308" s="100" t="str">
        <f t="shared" si="28"/>
        <v xml:space="preserve"> </v>
      </c>
      <c r="N308" s="100" t="str">
        <f>IFERROR(VLOOKUP(Tablo520[[#This Row],[ÜRÜN KODU]],YMKODLARI!$A$1:$K$373,8,0)," ")</f>
        <v xml:space="preserve"> </v>
      </c>
      <c r="O308" s="100" t="str">
        <f>IFERROR(VLOOKUP(Tablo520[[#This Row],[HAMMADDE KODU]],Tablo1[#All],3,0)," ")</f>
        <v xml:space="preserve"> </v>
      </c>
      <c r="P308" s="100" t="str">
        <f>IFERROR(VLOOKUP(Tablo520[[#This Row],[HAMMADDE KODU]],Tablo1[#All],4,0)," ")</f>
        <v xml:space="preserve"> </v>
      </c>
      <c r="Q308" s="100" t="str">
        <f>IFERROR(VLOOKUP(Tablo520[[#This Row],[ÜRÜN KODU]],YMKODLARI!$A$1:$K$373,5,0)," ")</f>
        <v xml:space="preserve"> </v>
      </c>
      <c r="R308" s="100" t="str">
        <f>IFERROR(VLOOKUP(Tablo520[[#This Row],[ÜRÜN KODU]],YMKODLARI!$A$1:$K$373,6,0)," ")</f>
        <v xml:space="preserve"> </v>
      </c>
      <c r="S308" s="100" t="str">
        <f>IFERROR(Tablo520[[#This Row],[YOLLUK HARİÇ BASKI GRAMI]]/Tablo520[[#This Row],[KALIP GÖZ ADEDİ]]," ")</f>
        <v xml:space="preserve"> </v>
      </c>
      <c r="T308" s="100" t="str">
        <f t="shared" si="30"/>
        <v xml:space="preserve"> </v>
      </c>
      <c r="U308" s="100"/>
      <c r="V308" s="100" t="str">
        <f t="shared" si="29"/>
        <v xml:space="preserve"> </v>
      </c>
      <c r="W308" s="101">
        <f t="shared" si="31"/>
        <v>24</v>
      </c>
      <c r="X308" s="102">
        <f t="shared" si="32"/>
        <v>0</v>
      </c>
      <c r="Y308" s="100" t="str">
        <f t="shared" si="33"/>
        <v xml:space="preserve"> </v>
      </c>
      <c r="Z308" s="100" t="str">
        <f t="shared" si="34"/>
        <v xml:space="preserve"> </v>
      </c>
    </row>
    <row r="309" spans="1:26">
      <c r="A309" s="100"/>
      <c r="B309" s="100" t="str">
        <f>IFERROR(VLOOKUP(Tablo520[[#This Row],[ÜRÜN KODU]],YMKODLARI!$A$1:$K$373,2,0)," ")</f>
        <v xml:space="preserve"> </v>
      </c>
      <c r="C309" s="99"/>
      <c r="D309" s="100"/>
      <c r="E309" s="101"/>
      <c r="F309" s="101"/>
      <c r="G309" s="100" t="str">
        <f>IFERROR(VLOOKUP(Tablo520[[#This Row],[ÜRÜN KODU]],YMKODLARI!$A$1:$K$373,3,0)," ")</f>
        <v xml:space="preserve"> </v>
      </c>
      <c r="H309" s="100" t="str">
        <f>IFERROR(VLOOKUP(Tablo520[[#This Row],[ÜRÜN KODU]],YMKODLARI!$A$1:$K$373,4,0)," ")</f>
        <v xml:space="preserve"> </v>
      </c>
      <c r="I309" s="100"/>
      <c r="J309" s="100" t="str">
        <f>IFERROR(VLOOKUP(Tablo520[[#This Row],[ÜRÜN KODU]],YMKODLARI!$A$1:$K$373,9,0)," ")</f>
        <v xml:space="preserve"> </v>
      </c>
      <c r="K309" s="100" t="str">
        <f>IFERROR(VLOOKUP(Tablo520[[#This Row],[BOYA KODU]],Tablo14[#All],4,0)," ")</f>
        <v xml:space="preserve"> </v>
      </c>
      <c r="L309" s="100" t="str">
        <f>IFERROR(VLOOKUP(Tablo520[[#This Row],[BOYA KODU]],Tablo14[#All],6,0)," ")</f>
        <v xml:space="preserve"> </v>
      </c>
      <c r="M309" s="100" t="str">
        <f t="shared" si="28"/>
        <v xml:space="preserve"> </v>
      </c>
      <c r="N309" s="100" t="str">
        <f>IFERROR(VLOOKUP(Tablo520[[#This Row],[ÜRÜN KODU]],YMKODLARI!$A$1:$K$373,8,0)," ")</f>
        <v xml:space="preserve"> </v>
      </c>
      <c r="O309" s="100" t="str">
        <f>IFERROR(VLOOKUP(Tablo520[[#This Row],[HAMMADDE KODU]],Tablo1[#All],3,0)," ")</f>
        <v xml:space="preserve"> </v>
      </c>
      <c r="P309" s="100" t="str">
        <f>IFERROR(VLOOKUP(Tablo520[[#This Row],[HAMMADDE KODU]],Tablo1[#All],4,0)," ")</f>
        <v xml:space="preserve"> </v>
      </c>
      <c r="Q309" s="100" t="str">
        <f>IFERROR(VLOOKUP(Tablo520[[#This Row],[ÜRÜN KODU]],YMKODLARI!$A$1:$K$373,5,0)," ")</f>
        <v xml:space="preserve"> </v>
      </c>
      <c r="R309" s="100" t="str">
        <f>IFERROR(VLOOKUP(Tablo520[[#This Row],[ÜRÜN KODU]],YMKODLARI!$A$1:$K$373,6,0)," ")</f>
        <v xml:space="preserve"> </v>
      </c>
      <c r="S309" s="100" t="str">
        <f>IFERROR(Tablo520[[#This Row],[YOLLUK HARİÇ BASKI GRAMI]]/Tablo520[[#This Row],[KALIP GÖZ ADEDİ]]," ")</f>
        <v xml:space="preserve"> </v>
      </c>
      <c r="T309" s="100" t="str">
        <f t="shared" si="30"/>
        <v xml:space="preserve"> </v>
      </c>
      <c r="U309" s="100"/>
      <c r="V309" s="100" t="str">
        <f t="shared" si="29"/>
        <v xml:space="preserve"> </v>
      </c>
      <c r="W309" s="101">
        <f t="shared" si="31"/>
        <v>24</v>
      </c>
      <c r="X309" s="102">
        <f t="shared" si="32"/>
        <v>0</v>
      </c>
      <c r="Y309" s="100" t="str">
        <f t="shared" si="33"/>
        <v xml:space="preserve"> </v>
      </c>
      <c r="Z309" s="100" t="str">
        <f t="shared" si="34"/>
        <v xml:space="preserve"> </v>
      </c>
    </row>
    <row r="310" spans="1:26">
      <c r="A310" s="100"/>
      <c r="B310" s="100" t="str">
        <f>IFERROR(VLOOKUP(Tablo520[[#This Row],[ÜRÜN KODU]],YMKODLARI!$A$1:$K$373,2,0)," ")</f>
        <v xml:space="preserve"> </v>
      </c>
      <c r="C310" s="99"/>
      <c r="D310" s="100"/>
      <c r="E310" s="101"/>
      <c r="F310" s="101"/>
      <c r="G310" s="100" t="str">
        <f>IFERROR(VLOOKUP(Tablo520[[#This Row],[ÜRÜN KODU]],YMKODLARI!$A$1:$K$373,3,0)," ")</f>
        <v xml:space="preserve"> </v>
      </c>
      <c r="H310" s="100" t="str">
        <f>IFERROR(VLOOKUP(Tablo520[[#This Row],[ÜRÜN KODU]],YMKODLARI!$A$1:$K$373,4,0)," ")</f>
        <v xml:space="preserve"> </v>
      </c>
      <c r="I310" s="100"/>
      <c r="J310" s="100" t="str">
        <f>IFERROR(VLOOKUP(Tablo520[[#This Row],[ÜRÜN KODU]],YMKODLARI!$A$1:$K$373,9,0)," ")</f>
        <v xml:space="preserve"> </v>
      </c>
      <c r="K310" s="100" t="str">
        <f>IFERROR(VLOOKUP(Tablo520[[#This Row],[BOYA KODU]],Tablo14[#All],4,0)," ")</f>
        <v xml:space="preserve"> </v>
      </c>
      <c r="L310" s="100" t="str">
        <f>IFERROR(VLOOKUP(Tablo520[[#This Row],[BOYA KODU]],Tablo14[#All],6,0)," ")</f>
        <v xml:space="preserve"> </v>
      </c>
      <c r="M310" s="100" t="str">
        <f t="shared" si="28"/>
        <v xml:space="preserve"> </v>
      </c>
      <c r="N310" s="100" t="str">
        <f>IFERROR(VLOOKUP(Tablo520[[#This Row],[ÜRÜN KODU]],YMKODLARI!$A$1:$K$373,8,0)," ")</f>
        <v xml:space="preserve"> </v>
      </c>
      <c r="O310" s="100" t="str">
        <f>IFERROR(VLOOKUP(Tablo520[[#This Row],[HAMMADDE KODU]],Tablo1[#All],3,0)," ")</f>
        <v xml:space="preserve"> </v>
      </c>
      <c r="P310" s="100" t="str">
        <f>IFERROR(VLOOKUP(Tablo520[[#This Row],[HAMMADDE KODU]],Tablo1[#All],4,0)," ")</f>
        <v xml:space="preserve"> </v>
      </c>
      <c r="Q310" s="100" t="str">
        <f>IFERROR(VLOOKUP(Tablo520[[#This Row],[ÜRÜN KODU]],YMKODLARI!$A$1:$K$373,5,0)," ")</f>
        <v xml:space="preserve"> </v>
      </c>
      <c r="R310" s="100" t="str">
        <f>IFERROR(VLOOKUP(Tablo520[[#This Row],[ÜRÜN KODU]],YMKODLARI!$A$1:$K$373,6,0)," ")</f>
        <v xml:space="preserve"> </v>
      </c>
      <c r="S310" s="100" t="str">
        <f>IFERROR(Tablo520[[#This Row],[YOLLUK HARİÇ BASKI GRAMI]]/Tablo520[[#This Row],[KALIP GÖZ ADEDİ]]," ")</f>
        <v xml:space="preserve"> </v>
      </c>
      <c r="T310" s="100" t="str">
        <f t="shared" si="30"/>
        <v xml:space="preserve"> </v>
      </c>
      <c r="U310" s="100"/>
      <c r="V310" s="100" t="str">
        <f t="shared" si="29"/>
        <v xml:space="preserve"> </v>
      </c>
      <c r="W310" s="101">
        <f t="shared" si="31"/>
        <v>24</v>
      </c>
      <c r="X310" s="102">
        <f t="shared" si="32"/>
        <v>0</v>
      </c>
      <c r="Y310" s="100" t="str">
        <f t="shared" si="33"/>
        <v xml:space="preserve"> </v>
      </c>
      <c r="Z310" s="100" t="str">
        <f t="shared" si="34"/>
        <v xml:space="preserve"> </v>
      </c>
    </row>
    <row r="311" spans="1:26">
      <c r="A311" s="100"/>
      <c r="B311" s="100" t="str">
        <f>IFERROR(VLOOKUP(Tablo520[[#This Row],[ÜRÜN KODU]],YMKODLARI!$A$1:$K$373,2,0)," ")</f>
        <v xml:space="preserve"> </v>
      </c>
      <c r="C311" s="99"/>
      <c r="D311" s="100"/>
      <c r="E311" s="101"/>
      <c r="F311" s="101"/>
      <c r="G311" s="100" t="str">
        <f>IFERROR(VLOOKUP(Tablo520[[#This Row],[ÜRÜN KODU]],YMKODLARI!$A$1:$K$373,3,0)," ")</f>
        <v xml:space="preserve"> </v>
      </c>
      <c r="H311" s="100" t="str">
        <f>IFERROR(VLOOKUP(Tablo520[[#This Row],[ÜRÜN KODU]],YMKODLARI!$A$1:$K$373,4,0)," ")</f>
        <v xml:space="preserve"> </v>
      </c>
      <c r="I311" s="100"/>
      <c r="J311" s="100" t="str">
        <f>IFERROR(VLOOKUP(Tablo520[[#This Row],[ÜRÜN KODU]],YMKODLARI!$A$1:$K$373,9,0)," ")</f>
        <v xml:space="preserve"> </v>
      </c>
      <c r="K311" s="100" t="str">
        <f>IFERROR(VLOOKUP(Tablo520[[#This Row],[BOYA KODU]],Tablo14[#All],4,0)," ")</f>
        <v xml:space="preserve"> </v>
      </c>
      <c r="L311" s="100" t="str">
        <f>IFERROR(VLOOKUP(Tablo520[[#This Row],[BOYA KODU]],Tablo14[#All],6,0)," ")</f>
        <v xml:space="preserve"> </v>
      </c>
      <c r="M311" s="100" t="str">
        <f t="shared" si="28"/>
        <v xml:space="preserve"> </v>
      </c>
      <c r="N311" s="100" t="str">
        <f>IFERROR(VLOOKUP(Tablo520[[#This Row],[ÜRÜN KODU]],YMKODLARI!$A$1:$K$373,8,0)," ")</f>
        <v xml:space="preserve"> </v>
      </c>
      <c r="O311" s="100" t="str">
        <f>IFERROR(VLOOKUP(Tablo520[[#This Row],[HAMMADDE KODU]],Tablo1[#All],3,0)," ")</f>
        <v xml:space="preserve"> </v>
      </c>
      <c r="P311" s="100" t="str">
        <f>IFERROR(VLOOKUP(Tablo520[[#This Row],[HAMMADDE KODU]],Tablo1[#All],4,0)," ")</f>
        <v xml:space="preserve"> </v>
      </c>
      <c r="Q311" s="100" t="str">
        <f>IFERROR(VLOOKUP(Tablo520[[#This Row],[ÜRÜN KODU]],YMKODLARI!$A$1:$K$373,5,0)," ")</f>
        <v xml:space="preserve"> </v>
      </c>
      <c r="R311" s="100" t="str">
        <f>IFERROR(VLOOKUP(Tablo520[[#This Row],[ÜRÜN KODU]],YMKODLARI!$A$1:$K$373,6,0)," ")</f>
        <v xml:space="preserve"> </v>
      </c>
      <c r="S311" s="100" t="str">
        <f>IFERROR(Tablo520[[#This Row],[YOLLUK HARİÇ BASKI GRAMI]]/Tablo520[[#This Row],[KALIP GÖZ ADEDİ]]," ")</f>
        <v xml:space="preserve"> </v>
      </c>
      <c r="T311" s="100" t="str">
        <f t="shared" si="30"/>
        <v xml:space="preserve"> </v>
      </c>
      <c r="U311" s="100"/>
      <c r="V311" s="100" t="str">
        <f t="shared" si="29"/>
        <v xml:space="preserve"> </v>
      </c>
      <c r="W311" s="101">
        <f t="shared" si="31"/>
        <v>24</v>
      </c>
      <c r="X311" s="102">
        <f t="shared" si="32"/>
        <v>0</v>
      </c>
      <c r="Y311" s="100" t="str">
        <f t="shared" si="33"/>
        <v xml:space="preserve"> </v>
      </c>
      <c r="Z311" s="100" t="str">
        <f t="shared" si="34"/>
        <v xml:space="preserve"> </v>
      </c>
    </row>
    <row r="312" spans="1:26">
      <c r="A312" s="100"/>
      <c r="B312" s="100" t="str">
        <f>IFERROR(VLOOKUP(Tablo520[[#This Row],[ÜRÜN KODU]],YMKODLARI!$A$1:$K$373,2,0)," ")</f>
        <v xml:space="preserve"> </v>
      </c>
      <c r="C312" s="99"/>
      <c r="D312" s="100"/>
      <c r="E312" s="101"/>
      <c r="F312" s="101"/>
      <c r="G312" s="100" t="str">
        <f>IFERROR(VLOOKUP(Tablo520[[#This Row],[ÜRÜN KODU]],YMKODLARI!$A$1:$K$373,3,0)," ")</f>
        <v xml:space="preserve"> </v>
      </c>
      <c r="H312" s="100" t="str">
        <f>IFERROR(VLOOKUP(Tablo520[[#This Row],[ÜRÜN KODU]],YMKODLARI!$A$1:$K$373,4,0)," ")</f>
        <v xml:space="preserve"> </v>
      </c>
      <c r="I312" s="100"/>
      <c r="J312" s="100" t="str">
        <f>IFERROR(VLOOKUP(Tablo520[[#This Row],[ÜRÜN KODU]],YMKODLARI!$A$1:$K$373,9,0)," ")</f>
        <v xml:space="preserve"> </v>
      </c>
      <c r="K312" s="100" t="str">
        <f>IFERROR(VLOOKUP(Tablo520[[#This Row],[BOYA KODU]],Tablo14[#All],4,0)," ")</f>
        <v xml:space="preserve"> </v>
      </c>
      <c r="L312" s="100" t="str">
        <f>IFERROR(VLOOKUP(Tablo520[[#This Row],[BOYA KODU]],Tablo14[#All],6,0)," ")</f>
        <v xml:space="preserve"> </v>
      </c>
      <c r="M312" s="100" t="str">
        <f t="shared" si="28"/>
        <v xml:space="preserve"> </v>
      </c>
      <c r="N312" s="100" t="str">
        <f>IFERROR(VLOOKUP(Tablo520[[#This Row],[ÜRÜN KODU]],YMKODLARI!$A$1:$K$373,8,0)," ")</f>
        <v xml:space="preserve"> </v>
      </c>
      <c r="O312" s="100" t="str">
        <f>IFERROR(VLOOKUP(Tablo520[[#This Row],[HAMMADDE KODU]],Tablo1[#All],3,0)," ")</f>
        <v xml:space="preserve"> </v>
      </c>
      <c r="P312" s="100" t="str">
        <f>IFERROR(VLOOKUP(Tablo520[[#This Row],[HAMMADDE KODU]],Tablo1[#All],4,0)," ")</f>
        <v xml:space="preserve"> </v>
      </c>
      <c r="Q312" s="100" t="str">
        <f>IFERROR(VLOOKUP(Tablo520[[#This Row],[ÜRÜN KODU]],YMKODLARI!$A$1:$K$373,5,0)," ")</f>
        <v xml:space="preserve"> </v>
      </c>
      <c r="R312" s="100" t="str">
        <f>IFERROR(VLOOKUP(Tablo520[[#This Row],[ÜRÜN KODU]],YMKODLARI!$A$1:$K$373,6,0)," ")</f>
        <v xml:space="preserve"> </v>
      </c>
      <c r="S312" s="100" t="str">
        <f>IFERROR(Tablo520[[#This Row],[YOLLUK HARİÇ BASKI GRAMI]]/Tablo520[[#This Row],[KALIP GÖZ ADEDİ]]," ")</f>
        <v xml:space="preserve"> </v>
      </c>
      <c r="T312" s="100" t="str">
        <f t="shared" si="30"/>
        <v xml:space="preserve"> </v>
      </c>
      <c r="U312" s="100"/>
      <c r="V312" s="100" t="str">
        <f t="shared" si="29"/>
        <v xml:space="preserve"> </v>
      </c>
      <c r="W312" s="101">
        <f t="shared" si="31"/>
        <v>24</v>
      </c>
      <c r="X312" s="102">
        <f t="shared" si="32"/>
        <v>0</v>
      </c>
      <c r="Y312" s="100" t="str">
        <f t="shared" si="33"/>
        <v xml:space="preserve"> </v>
      </c>
      <c r="Z312" s="100" t="str">
        <f t="shared" si="34"/>
        <v xml:space="preserve"> </v>
      </c>
    </row>
    <row r="313" spans="1:26">
      <c r="A313" s="100"/>
      <c r="B313" s="100" t="str">
        <f>IFERROR(VLOOKUP(Tablo520[[#This Row],[ÜRÜN KODU]],YMKODLARI!$A$1:$K$373,2,0)," ")</f>
        <v xml:space="preserve"> </v>
      </c>
      <c r="C313" s="99"/>
      <c r="D313" s="100"/>
      <c r="E313" s="101"/>
      <c r="F313" s="101"/>
      <c r="G313" s="100" t="str">
        <f>IFERROR(VLOOKUP(Tablo520[[#This Row],[ÜRÜN KODU]],YMKODLARI!$A$1:$K$373,3,0)," ")</f>
        <v xml:space="preserve"> </v>
      </c>
      <c r="H313" s="100" t="str">
        <f>IFERROR(VLOOKUP(Tablo520[[#This Row],[ÜRÜN KODU]],YMKODLARI!$A$1:$K$373,4,0)," ")</f>
        <v xml:space="preserve"> </v>
      </c>
      <c r="I313" s="100"/>
      <c r="J313" s="100" t="str">
        <f>IFERROR(VLOOKUP(Tablo520[[#This Row],[ÜRÜN KODU]],YMKODLARI!$A$1:$K$373,9,0)," ")</f>
        <v xml:space="preserve"> </v>
      </c>
      <c r="K313" s="100" t="str">
        <f>IFERROR(VLOOKUP(Tablo520[[#This Row],[BOYA KODU]],Tablo14[#All],4,0)," ")</f>
        <v xml:space="preserve"> </v>
      </c>
      <c r="L313" s="100" t="str">
        <f>IFERROR(VLOOKUP(Tablo520[[#This Row],[BOYA KODU]],Tablo14[#All],6,0)," ")</f>
        <v xml:space="preserve"> </v>
      </c>
      <c r="M313" s="100" t="str">
        <f t="shared" si="28"/>
        <v xml:space="preserve"> </v>
      </c>
      <c r="N313" s="100" t="str">
        <f>IFERROR(VLOOKUP(Tablo520[[#This Row],[ÜRÜN KODU]],YMKODLARI!$A$1:$K$373,8,0)," ")</f>
        <v xml:space="preserve"> </v>
      </c>
      <c r="O313" s="100" t="str">
        <f>IFERROR(VLOOKUP(Tablo520[[#This Row],[HAMMADDE KODU]],Tablo1[#All],3,0)," ")</f>
        <v xml:space="preserve"> </v>
      </c>
      <c r="P313" s="100" t="str">
        <f>IFERROR(VLOOKUP(Tablo520[[#This Row],[HAMMADDE KODU]],Tablo1[#All],4,0)," ")</f>
        <v xml:space="preserve"> </v>
      </c>
      <c r="Q313" s="100" t="str">
        <f>IFERROR(VLOOKUP(Tablo520[[#This Row],[ÜRÜN KODU]],YMKODLARI!$A$1:$K$373,5,0)," ")</f>
        <v xml:space="preserve"> </v>
      </c>
      <c r="R313" s="100" t="str">
        <f>IFERROR(VLOOKUP(Tablo520[[#This Row],[ÜRÜN KODU]],YMKODLARI!$A$1:$K$373,6,0)," ")</f>
        <v xml:space="preserve"> </v>
      </c>
      <c r="S313" s="100" t="str">
        <f>IFERROR(Tablo520[[#This Row],[YOLLUK HARİÇ BASKI GRAMI]]/Tablo520[[#This Row],[KALIP GÖZ ADEDİ]]," ")</f>
        <v xml:space="preserve"> </v>
      </c>
      <c r="T313" s="100" t="str">
        <f t="shared" si="30"/>
        <v xml:space="preserve"> </v>
      </c>
      <c r="U313" s="100"/>
      <c r="V313" s="100" t="str">
        <f t="shared" si="29"/>
        <v xml:space="preserve"> </v>
      </c>
      <c r="W313" s="101">
        <f t="shared" si="31"/>
        <v>24</v>
      </c>
      <c r="X313" s="102">
        <f t="shared" si="32"/>
        <v>0</v>
      </c>
      <c r="Y313" s="100" t="str">
        <f t="shared" si="33"/>
        <v xml:space="preserve"> </v>
      </c>
      <c r="Z313" s="100" t="str">
        <f t="shared" si="34"/>
        <v xml:space="preserve"> </v>
      </c>
    </row>
    <row r="314" spans="1:26">
      <c r="A314" s="100"/>
      <c r="B314" s="100" t="str">
        <f>IFERROR(VLOOKUP(Tablo520[[#This Row],[ÜRÜN KODU]],YMKODLARI!$A$1:$K$373,2,0)," ")</f>
        <v xml:space="preserve"> </v>
      </c>
      <c r="C314" s="99"/>
      <c r="D314" s="100"/>
      <c r="E314" s="101"/>
      <c r="F314" s="101"/>
      <c r="G314" s="100" t="str">
        <f>IFERROR(VLOOKUP(Tablo520[[#This Row],[ÜRÜN KODU]],YMKODLARI!$A$1:$K$373,3,0)," ")</f>
        <v xml:space="preserve"> </v>
      </c>
      <c r="H314" s="100" t="str">
        <f>IFERROR(VLOOKUP(Tablo520[[#This Row],[ÜRÜN KODU]],YMKODLARI!$A$1:$K$373,4,0)," ")</f>
        <v xml:space="preserve"> </v>
      </c>
      <c r="I314" s="100"/>
      <c r="J314" s="100" t="str">
        <f>IFERROR(VLOOKUP(Tablo520[[#This Row],[ÜRÜN KODU]],YMKODLARI!$A$1:$K$373,9,0)," ")</f>
        <v xml:space="preserve"> </v>
      </c>
      <c r="K314" s="100" t="str">
        <f>IFERROR(VLOOKUP(Tablo520[[#This Row],[BOYA KODU]],Tablo14[#All],4,0)," ")</f>
        <v xml:space="preserve"> </v>
      </c>
      <c r="L314" s="100" t="str">
        <f>IFERROR(VLOOKUP(Tablo520[[#This Row],[BOYA KODU]],Tablo14[#All],6,0)," ")</f>
        <v xml:space="preserve"> </v>
      </c>
      <c r="M314" s="100" t="str">
        <f t="shared" si="28"/>
        <v xml:space="preserve"> </v>
      </c>
      <c r="N314" s="100" t="str">
        <f>IFERROR(VLOOKUP(Tablo520[[#This Row],[ÜRÜN KODU]],YMKODLARI!$A$1:$K$373,8,0)," ")</f>
        <v xml:space="preserve"> </v>
      </c>
      <c r="O314" s="100" t="str">
        <f>IFERROR(VLOOKUP(Tablo520[[#This Row],[HAMMADDE KODU]],Tablo1[#All],3,0)," ")</f>
        <v xml:space="preserve"> </v>
      </c>
      <c r="P314" s="100" t="str">
        <f>IFERROR(VLOOKUP(Tablo520[[#This Row],[HAMMADDE KODU]],Tablo1[#All],4,0)," ")</f>
        <v xml:space="preserve"> </v>
      </c>
      <c r="Q314" s="100" t="str">
        <f>IFERROR(VLOOKUP(Tablo520[[#This Row],[ÜRÜN KODU]],YMKODLARI!$A$1:$K$373,5,0)," ")</f>
        <v xml:space="preserve"> </v>
      </c>
      <c r="R314" s="100" t="str">
        <f>IFERROR(VLOOKUP(Tablo520[[#This Row],[ÜRÜN KODU]],YMKODLARI!$A$1:$K$373,6,0)," ")</f>
        <v xml:space="preserve"> </v>
      </c>
      <c r="S314" s="100" t="str">
        <f>IFERROR(Tablo520[[#This Row],[YOLLUK HARİÇ BASKI GRAMI]]/Tablo520[[#This Row],[KALIP GÖZ ADEDİ]]," ")</f>
        <v xml:space="preserve"> </v>
      </c>
      <c r="T314" s="100" t="str">
        <f t="shared" si="30"/>
        <v xml:space="preserve"> </v>
      </c>
      <c r="U314" s="100"/>
      <c r="V314" s="100" t="str">
        <f t="shared" si="29"/>
        <v xml:space="preserve"> </v>
      </c>
      <c r="W314" s="101">
        <f t="shared" si="31"/>
        <v>24</v>
      </c>
      <c r="X314" s="102">
        <f t="shared" si="32"/>
        <v>0</v>
      </c>
      <c r="Y314" s="100" t="str">
        <f t="shared" si="33"/>
        <v xml:space="preserve"> </v>
      </c>
      <c r="Z314" s="100" t="str">
        <f t="shared" si="34"/>
        <v xml:space="preserve"> </v>
      </c>
    </row>
    <row r="315" spans="1:26">
      <c r="A315" s="100"/>
      <c r="B315" s="100" t="str">
        <f>IFERROR(VLOOKUP(Tablo520[[#This Row],[ÜRÜN KODU]],YMKODLARI!$A$1:$K$373,2,0)," ")</f>
        <v xml:space="preserve"> </v>
      </c>
      <c r="C315" s="99"/>
      <c r="D315" s="100"/>
      <c r="E315" s="101"/>
      <c r="F315" s="101"/>
      <c r="G315" s="100" t="str">
        <f>IFERROR(VLOOKUP(Tablo520[[#This Row],[ÜRÜN KODU]],YMKODLARI!$A$1:$K$373,3,0)," ")</f>
        <v xml:space="preserve"> </v>
      </c>
      <c r="H315" s="100" t="str">
        <f>IFERROR(VLOOKUP(Tablo520[[#This Row],[ÜRÜN KODU]],YMKODLARI!$A$1:$K$373,4,0)," ")</f>
        <v xml:space="preserve"> </v>
      </c>
      <c r="I315" s="100"/>
      <c r="J315" s="100" t="str">
        <f>IFERROR(VLOOKUP(Tablo520[[#This Row],[ÜRÜN KODU]],YMKODLARI!$A$1:$K$373,9,0)," ")</f>
        <v xml:space="preserve"> </v>
      </c>
      <c r="K315" s="100" t="str">
        <f>IFERROR(VLOOKUP(Tablo520[[#This Row],[BOYA KODU]],Tablo14[#All],4,0)," ")</f>
        <v xml:space="preserve"> </v>
      </c>
      <c r="L315" s="100" t="str">
        <f>IFERROR(VLOOKUP(Tablo520[[#This Row],[BOYA KODU]],Tablo14[#All],6,0)," ")</f>
        <v xml:space="preserve"> </v>
      </c>
      <c r="M315" s="100" t="str">
        <f t="shared" si="28"/>
        <v xml:space="preserve"> </v>
      </c>
      <c r="N315" s="100" t="str">
        <f>IFERROR(VLOOKUP(Tablo520[[#This Row],[ÜRÜN KODU]],YMKODLARI!$A$1:$K$373,8,0)," ")</f>
        <v xml:space="preserve"> </v>
      </c>
      <c r="O315" s="100" t="str">
        <f>IFERROR(VLOOKUP(Tablo520[[#This Row],[HAMMADDE KODU]],Tablo1[#All],3,0)," ")</f>
        <v xml:space="preserve"> </v>
      </c>
      <c r="P315" s="100" t="str">
        <f>IFERROR(VLOOKUP(Tablo520[[#This Row],[HAMMADDE KODU]],Tablo1[#All],4,0)," ")</f>
        <v xml:space="preserve"> </v>
      </c>
      <c r="Q315" s="100" t="str">
        <f>IFERROR(VLOOKUP(Tablo520[[#This Row],[ÜRÜN KODU]],YMKODLARI!$A$1:$K$373,5,0)," ")</f>
        <v xml:space="preserve"> </v>
      </c>
      <c r="R315" s="100" t="str">
        <f>IFERROR(VLOOKUP(Tablo520[[#This Row],[ÜRÜN KODU]],YMKODLARI!$A$1:$K$373,6,0)," ")</f>
        <v xml:space="preserve"> </v>
      </c>
      <c r="S315" s="100" t="str">
        <f>IFERROR(Tablo520[[#This Row],[YOLLUK HARİÇ BASKI GRAMI]]/Tablo520[[#This Row],[KALIP GÖZ ADEDİ]]," ")</f>
        <v xml:space="preserve"> </v>
      </c>
      <c r="T315" s="100" t="str">
        <f t="shared" si="30"/>
        <v xml:space="preserve"> </v>
      </c>
      <c r="U315" s="100"/>
      <c r="V315" s="100" t="str">
        <f t="shared" si="29"/>
        <v xml:space="preserve"> </v>
      </c>
      <c r="W315" s="101">
        <f t="shared" si="31"/>
        <v>24</v>
      </c>
      <c r="X315" s="102">
        <f t="shared" si="32"/>
        <v>0</v>
      </c>
      <c r="Y315" s="100" t="str">
        <f t="shared" si="33"/>
        <v xml:space="preserve"> </v>
      </c>
      <c r="Z315" s="100" t="str">
        <f t="shared" si="34"/>
        <v xml:space="preserve"> </v>
      </c>
    </row>
    <row r="316" spans="1:26">
      <c r="A316" s="100"/>
      <c r="B316" s="100" t="str">
        <f>IFERROR(VLOOKUP(Tablo520[[#This Row],[ÜRÜN KODU]],YMKODLARI!$A$1:$K$373,2,0)," ")</f>
        <v xml:space="preserve"> </v>
      </c>
      <c r="C316" s="99"/>
      <c r="D316" s="100"/>
      <c r="E316" s="101"/>
      <c r="F316" s="101"/>
      <c r="G316" s="100" t="str">
        <f>IFERROR(VLOOKUP(Tablo520[[#This Row],[ÜRÜN KODU]],YMKODLARI!$A$1:$K$373,3,0)," ")</f>
        <v xml:space="preserve"> </v>
      </c>
      <c r="H316" s="100" t="str">
        <f>IFERROR(VLOOKUP(Tablo520[[#This Row],[ÜRÜN KODU]],YMKODLARI!$A$1:$K$373,4,0)," ")</f>
        <v xml:space="preserve"> </v>
      </c>
      <c r="I316" s="100"/>
      <c r="J316" s="100" t="str">
        <f>IFERROR(VLOOKUP(Tablo520[[#This Row],[ÜRÜN KODU]],YMKODLARI!$A$1:$K$373,9,0)," ")</f>
        <v xml:space="preserve"> </v>
      </c>
      <c r="K316" s="100" t="str">
        <f>IFERROR(VLOOKUP(Tablo520[[#This Row],[BOYA KODU]],Tablo14[#All],4,0)," ")</f>
        <v xml:space="preserve"> </v>
      </c>
      <c r="L316" s="100" t="str">
        <f>IFERROR(VLOOKUP(Tablo520[[#This Row],[BOYA KODU]],Tablo14[#All],6,0)," ")</f>
        <v xml:space="preserve"> </v>
      </c>
      <c r="M316" s="100" t="str">
        <f t="shared" si="28"/>
        <v xml:space="preserve"> </v>
      </c>
      <c r="N316" s="100" t="str">
        <f>IFERROR(VLOOKUP(Tablo520[[#This Row],[ÜRÜN KODU]],YMKODLARI!$A$1:$K$373,8,0)," ")</f>
        <v xml:space="preserve"> </v>
      </c>
      <c r="O316" s="100" t="str">
        <f>IFERROR(VLOOKUP(Tablo520[[#This Row],[HAMMADDE KODU]],Tablo1[#All],3,0)," ")</f>
        <v xml:space="preserve"> </v>
      </c>
      <c r="P316" s="100" t="str">
        <f>IFERROR(VLOOKUP(Tablo520[[#This Row],[HAMMADDE KODU]],Tablo1[#All],4,0)," ")</f>
        <v xml:space="preserve"> </v>
      </c>
      <c r="Q316" s="100" t="str">
        <f>IFERROR(VLOOKUP(Tablo520[[#This Row],[ÜRÜN KODU]],YMKODLARI!$A$1:$K$373,5,0)," ")</f>
        <v xml:space="preserve"> </v>
      </c>
      <c r="R316" s="100" t="str">
        <f>IFERROR(VLOOKUP(Tablo520[[#This Row],[ÜRÜN KODU]],YMKODLARI!$A$1:$K$373,6,0)," ")</f>
        <v xml:space="preserve"> </v>
      </c>
      <c r="S316" s="100" t="str">
        <f>IFERROR(Tablo520[[#This Row],[YOLLUK HARİÇ BASKI GRAMI]]/Tablo520[[#This Row],[KALIP GÖZ ADEDİ]]," ")</f>
        <v xml:space="preserve"> </v>
      </c>
      <c r="T316" s="100" t="str">
        <f t="shared" si="30"/>
        <v xml:space="preserve"> </v>
      </c>
      <c r="U316" s="100"/>
      <c r="V316" s="100" t="str">
        <f t="shared" si="29"/>
        <v xml:space="preserve"> </v>
      </c>
      <c r="W316" s="101">
        <f t="shared" si="31"/>
        <v>24</v>
      </c>
      <c r="X316" s="102">
        <f t="shared" si="32"/>
        <v>0</v>
      </c>
      <c r="Y316" s="100" t="str">
        <f t="shared" si="33"/>
        <v xml:space="preserve"> </v>
      </c>
      <c r="Z316" s="100" t="str">
        <f t="shared" si="34"/>
        <v xml:space="preserve"> </v>
      </c>
    </row>
    <row r="317" spans="1:26">
      <c r="A317" s="100"/>
      <c r="B317" s="100" t="str">
        <f>IFERROR(VLOOKUP(Tablo520[[#This Row],[ÜRÜN KODU]],YMKODLARI!$A$1:$K$373,2,0)," ")</f>
        <v xml:space="preserve"> </v>
      </c>
      <c r="C317" s="99"/>
      <c r="D317" s="100"/>
      <c r="E317" s="101"/>
      <c r="F317" s="101"/>
      <c r="G317" s="100" t="str">
        <f>IFERROR(VLOOKUP(Tablo520[[#This Row],[ÜRÜN KODU]],YMKODLARI!$A$1:$K$373,3,0)," ")</f>
        <v xml:space="preserve"> </v>
      </c>
      <c r="H317" s="100" t="str">
        <f>IFERROR(VLOOKUP(Tablo520[[#This Row],[ÜRÜN KODU]],YMKODLARI!$A$1:$K$373,4,0)," ")</f>
        <v xml:space="preserve"> </v>
      </c>
      <c r="I317" s="100"/>
      <c r="J317" s="100" t="str">
        <f>IFERROR(VLOOKUP(Tablo520[[#This Row],[ÜRÜN KODU]],YMKODLARI!$A$1:$K$373,9,0)," ")</f>
        <v xml:space="preserve"> </v>
      </c>
      <c r="K317" s="100" t="str">
        <f>IFERROR(VLOOKUP(Tablo520[[#This Row],[BOYA KODU]],Tablo14[#All],4,0)," ")</f>
        <v xml:space="preserve"> </v>
      </c>
      <c r="L317" s="100" t="str">
        <f>IFERROR(VLOOKUP(Tablo520[[#This Row],[BOYA KODU]],Tablo14[#All],6,0)," ")</f>
        <v xml:space="preserve"> </v>
      </c>
      <c r="M317" s="100" t="str">
        <f t="shared" si="28"/>
        <v xml:space="preserve"> </v>
      </c>
      <c r="N317" s="100" t="str">
        <f>IFERROR(VLOOKUP(Tablo520[[#This Row],[ÜRÜN KODU]],YMKODLARI!$A$1:$K$373,8,0)," ")</f>
        <v xml:space="preserve"> </v>
      </c>
      <c r="O317" s="100" t="str">
        <f>IFERROR(VLOOKUP(Tablo520[[#This Row],[HAMMADDE KODU]],Tablo1[#All],3,0)," ")</f>
        <v xml:space="preserve"> </v>
      </c>
      <c r="P317" s="100" t="str">
        <f>IFERROR(VLOOKUP(Tablo520[[#This Row],[HAMMADDE KODU]],Tablo1[#All],4,0)," ")</f>
        <v xml:space="preserve"> </v>
      </c>
      <c r="Q317" s="100" t="str">
        <f>IFERROR(VLOOKUP(Tablo520[[#This Row],[ÜRÜN KODU]],YMKODLARI!$A$1:$K$373,5,0)," ")</f>
        <v xml:space="preserve"> </v>
      </c>
      <c r="R317" s="100" t="str">
        <f>IFERROR(VLOOKUP(Tablo520[[#This Row],[ÜRÜN KODU]],YMKODLARI!$A$1:$K$373,6,0)," ")</f>
        <v xml:space="preserve"> </v>
      </c>
      <c r="S317" s="100" t="str">
        <f>IFERROR(Tablo520[[#This Row],[YOLLUK HARİÇ BASKI GRAMI]]/Tablo520[[#This Row],[KALIP GÖZ ADEDİ]]," ")</f>
        <v xml:space="preserve"> </v>
      </c>
      <c r="T317" s="100" t="str">
        <f t="shared" si="30"/>
        <v xml:space="preserve"> </v>
      </c>
      <c r="U317" s="100"/>
      <c r="V317" s="100" t="str">
        <f t="shared" si="29"/>
        <v xml:space="preserve"> </v>
      </c>
      <c r="W317" s="101">
        <f t="shared" si="31"/>
        <v>24</v>
      </c>
      <c r="X317" s="102">
        <f t="shared" si="32"/>
        <v>0</v>
      </c>
      <c r="Y317" s="100" t="str">
        <f t="shared" si="33"/>
        <v xml:space="preserve"> </v>
      </c>
      <c r="Z317" s="100" t="str">
        <f t="shared" si="34"/>
        <v xml:space="preserve"> </v>
      </c>
    </row>
    <row r="318" spans="1:26">
      <c r="A318" s="100"/>
      <c r="B318" s="100" t="str">
        <f>IFERROR(VLOOKUP(Tablo520[[#This Row],[ÜRÜN KODU]],YMKODLARI!$A$1:$K$373,2,0)," ")</f>
        <v xml:space="preserve"> </v>
      </c>
      <c r="C318" s="99"/>
      <c r="D318" s="100"/>
      <c r="E318" s="101"/>
      <c r="F318" s="101"/>
      <c r="G318" s="100" t="str">
        <f>IFERROR(VLOOKUP(Tablo520[[#This Row],[ÜRÜN KODU]],YMKODLARI!$A$1:$K$373,3,0)," ")</f>
        <v xml:space="preserve"> </v>
      </c>
      <c r="H318" s="100" t="str">
        <f>IFERROR(VLOOKUP(Tablo520[[#This Row],[ÜRÜN KODU]],YMKODLARI!$A$1:$K$373,4,0)," ")</f>
        <v xml:space="preserve"> </v>
      </c>
      <c r="I318" s="100"/>
      <c r="J318" s="100" t="str">
        <f>IFERROR(VLOOKUP(Tablo520[[#This Row],[ÜRÜN KODU]],YMKODLARI!$A$1:$K$373,9,0)," ")</f>
        <v xml:space="preserve"> </v>
      </c>
      <c r="K318" s="100" t="str">
        <f>IFERROR(VLOOKUP(Tablo520[[#This Row],[BOYA KODU]],Tablo14[#All],4,0)," ")</f>
        <v xml:space="preserve"> </v>
      </c>
      <c r="L318" s="100" t="str">
        <f>IFERROR(VLOOKUP(Tablo520[[#This Row],[BOYA KODU]],Tablo14[#All],6,0)," ")</f>
        <v xml:space="preserve"> </v>
      </c>
      <c r="M318" s="100" t="str">
        <f t="shared" si="28"/>
        <v xml:space="preserve"> </v>
      </c>
      <c r="N318" s="100" t="str">
        <f>IFERROR(VLOOKUP(Tablo520[[#This Row],[ÜRÜN KODU]],YMKODLARI!$A$1:$K$373,8,0)," ")</f>
        <v xml:space="preserve"> </v>
      </c>
      <c r="O318" s="100" t="str">
        <f>IFERROR(VLOOKUP(Tablo520[[#This Row],[HAMMADDE KODU]],Tablo1[#All],3,0)," ")</f>
        <v xml:space="preserve"> </v>
      </c>
      <c r="P318" s="100" t="str">
        <f>IFERROR(VLOOKUP(Tablo520[[#This Row],[HAMMADDE KODU]],Tablo1[#All],4,0)," ")</f>
        <v xml:space="preserve"> </v>
      </c>
      <c r="Q318" s="100" t="str">
        <f>IFERROR(VLOOKUP(Tablo520[[#This Row],[ÜRÜN KODU]],YMKODLARI!$A$1:$K$373,5,0)," ")</f>
        <v xml:space="preserve"> </v>
      </c>
      <c r="R318" s="100" t="str">
        <f>IFERROR(VLOOKUP(Tablo520[[#This Row],[ÜRÜN KODU]],YMKODLARI!$A$1:$K$373,6,0)," ")</f>
        <v xml:space="preserve"> </v>
      </c>
      <c r="S318" s="100" t="str">
        <f>IFERROR(Tablo520[[#This Row],[YOLLUK HARİÇ BASKI GRAMI]]/Tablo520[[#This Row],[KALIP GÖZ ADEDİ]]," ")</f>
        <v xml:space="preserve"> </v>
      </c>
      <c r="T318" s="100" t="str">
        <f t="shared" si="30"/>
        <v xml:space="preserve"> </v>
      </c>
      <c r="U318" s="100"/>
      <c r="V318" s="100" t="str">
        <f t="shared" si="29"/>
        <v xml:space="preserve"> </v>
      </c>
      <c r="W318" s="101">
        <f t="shared" si="31"/>
        <v>24</v>
      </c>
      <c r="X318" s="102">
        <f t="shared" si="32"/>
        <v>0</v>
      </c>
      <c r="Y318" s="100" t="str">
        <f t="shared" si="33"/>
        <v xml:space="preserve"> </v>
      </c>
      <c r="Z318" s="100" t="str">
        <f t="shared" si="34"/>
        <v xml:space="preserve"> </v>
      </c>
    </row>
    <row r="319" spans="1:26">
      <c r="A319" s="100"/>
      <c r="B319" s="100" t="str">
        <f>IFERROR(VLOOKUP(Tablo520[[#This Row],[ÜRÜN KODU]],YMKODLARI!$A$1:$K$373,2,0)," ")</f>
        <v xml:space="preserve"> </v>
      </c>
      <c r="C319" s="99"/>
      <c r="D319" s="100"/>
      <c r="E319" s="101"/>
      <c r="F319" s="101"/>
      <c r="G319" s="100" t="str">
        <f>IFERROR(VLOOKUP(Tablo520[[#This Row],[ÜRÜN KODU]],YMKODLARI!$A$1:$K$373,3,0)," ")</f>
        <v xml:space="preserve"> </v>
      </c>
      <c r="H319" s="100" t="str">
        <f>IFERROR(VLOOKUP(Tablo520[[#This Row],[ÜRÜN KODU]],YMKODLARI!$A$1:$K$373,4,0)," ")</f>
        <v xml:space="preserve"> </v>
      </c>
      <c r="I319" s="100"/>
      <c r="J319" s="100" t="str">
        <f>IFERROR(VLOOKUP(Tablo520[[#This Row],[ÜRÜN KODU]],YMKODLARI!$A$1:$K$373,9,0)," ")</f>
        <v xml:space="preserve"> </v>
      </c>
      <c r="K319" s="100" t="str">
        <f>IFERROR(VLOOKUP(Tablo520[[#This Row],[BOYA KODU]],Tablo14[#All],4,0)," ")</f>
        <v xml:space="preserve"> </v>
      </c>
      <c r="L319" s="100" t="str">
        <f>IFERROR(VLOOKUP(Tablo520[[#This Row],[BOYA KODU]],Tablo14[#All],6,0)," ")</f>
        <v xml:space="preserve"> </v>
      </c>
      <c r="M319" s="100" t="str">
        <f t="shared" si="28"/>
        <v xml:space="preserve"> </v>
      </c>
      <c r="N319" s="100" t="str">
        <f>IFERROR(VLOOKUP(Tablo520[[#This Row],[ÜRÜN KODU]],YMKODLARI!$A$1:$K$373,8,0)," ")</f>
        <v xml:space="preserve"> </v>
      </c>
      <c r="O319" s="100" t="str">
        <f>IFERROR(VLOOKUP(Tablo520[[#This Row],[HAMMADDE KODU]],Tablo1[#All],3,0)," ")</f>
        <v xml:space="preserve"> </v>
      </c>
      <c r="P319" s="100" t="str">
        <f>IFERROR(VLOOKUP(Tablo520[[#This Row],[HAMMADDE KODU]],Tablo1[#All],4,0)," ")</f>
        <v xml:space="preserve"> </v>
      </c>
      <c r="Q319" s="100" t="str">
        <f>IFERROR(VLOOKUP(Tablo520[[#This Row],[ÜRÜN KODU]],YMKODLARI!$A$1:$K$373,5,0)," ")</f>
        <v xml:space="preserve"> </v>
      </c>
      <c r="R319" s="100" t="str">
        <f>IFERROR(VLOOKUP(Tablo520[[#This Row],[ÜRÜN KODU]],YMKODLARI!$A$1:$K$373,6,0)," ")</f>
        <v xml:space="preserve"> </v>
      </c>
      <c r="S319" s="100" t="str">
        <f>IFERROR(Tablo520[[#This Row],[YOLLUK HARİÇ BASKI GRAMI]]/Tablo520[[#This Row],[KALIP GÖZ ADEDİ]]," ")</f>
        <v xml:space="preserve"> </v>
      </c>
      <c r="T319" s="100" t="str">
        <f t="shared" si="30"/>
        <v xml:space="preserve"> </v>
      </c>
      <c r="U319" s="100"/>
      <c r="V319" s="100" t="str">
        <f t="shared" si="29"/>
        <v xml:space="preserve"> </v>
      </c>
      <c r="W319" s="101">
        <f t="shared" si="31"/>
        <v>24</v>
      </c>
      <c r="X319" s="102">
        <f t="shared" si="32"/>
        <v>0</v>
      </c>
      <c r="Y319" s="100" t="str">
        <f t="shared" si="33"/>
        <v xml:space="preserve"> </v>
      </c>
      <c r="Z319" s="100" t="str">
        <f t="shared" si="34"/>
        <v xml:space="preserve"> </v>
      </c>
    </row>
    <row r="320" spans="1:26">
      <c r="A320" s="100"/>
      <c r="B320" s="100" t="str">
        <f>IFERROR(VLOOKUP(Tablo520[[#This Row],[ÜRÜN KODU]],YMKODLARI!$A$1:$K$373,2,0)," ")</f>
        <v xml:space="preserve"> </v>
      </c>
      <c r="C320" s="99"/>
      <c r="D320" s="100"/>
      <c r="E320" s="101"/>
      <c r="F320" s="101"/>
      <c r="G320" s="100" t="str">
        <f>IFERROR(VLOOKUP(Tablo520[[#This Row],[ÜRÜN KODU]],YMKODLARI!$A$1:$K$373,3,0)," ")</f>
        <v xml:space="preserve"> </v>
      </c>
      <c r="H320" s="100" t="str">
        <f>IFERROR(VLOOKUP(Tablo520[[#This Row],[ÜRÜN KODU]],YMKODLARI!$A$1:$K$373,4,0)," ")</f>
        <v xml:space="preserve"> </v>
      </c>
      <c r="I320" s="100"/>
      <c r="J320" s="100" t="str">
        <f>IFERROR(VLOOKUP(Tablo520[[#This Row],[ÜRÜN KODU]],YMKODLARI!$A$1:$K$373,9,0)," ")</f>
        <v xml:space="preserve"> </v>
      </c>
      <c r="K320" s="100" t="str">
        <f>IFERROR(VLOOKUP(Tablo520[[#This Row],[BOYA KODU]],Tablo14[#All],4,0)," ")</f>
        <v xml:space="preserve"> </v>
      </c>
      <c r="L320" s="100" t="str">
        <f>IFERROR(VLOOKUP(Tablo520[[#This Row],[BOYA KODU]],Tablo14[#All],6,0)," ")</f>
        <v xml:space="preserve"> </v>
      </c>
      <c r="M320" s="100" t="str">
        <f t="shared" si="28"/>
        <v xml:space="preserve"> </v>
      </c>
      <c r="N320" s="100" t="str">
        <f>IFERROR(VLOOKUP(Tablo520[[#This Row],[ÜRÜN KODU]],YMKODLARI!$A$1:$K$373,8,0)," ")</f>
        <v xml:space="preserve"> </v>
      </c>
      <c r="O320" s="100" t="str">
        <f>IFERROR(VLOOKUP(Tablo520[[#This Row],[HAMMADDE KODU]],Tablo1[#All],3,0)," ")</f>
        <v xml:space="preserve"> </v>
      </c>
      <c r="P320" s="100" t="str">
        <f>IFERROR(VLOOKUP(Tablo520[[#This Row],[HAMMADDE KODU]],Tablo1[#All],4,0)," ")</f>
        <v xml:space="preserve"> </v>
      </c>
      <c r="Q320" s="100" t="str">
        <f>IFERROR(VLOOKUP(Tablo520[[#This Row],[ÜRÜN KODU]],YMKODLARI!$A$1:$K$373,5,0)," ")</f>
        <v xml:space="preserve"> </v>
      </c>
      <c r="R320" s="100" t="str">
        <f>IFERROR(VLOOKUP(Tablo520[[#This Row],[ÜRÜN KODU]],YMKODLARI!$A$1:$K$373,6,0)," ")</f>
        <v xml:space="preserve"> </v>
      </c>
      <c r="S320" s="100" t="str">
        <f>IFERROR(Tablo520[[#This Row],[YOLLUK HARİÇ BASKI GRAMI]]/Tablo520[[#This Row],[KALIP GÖZ ADEDİ]]," ")</f>
        <v xml:space="preserve"> </v>
      </c>
      <c r="T320" s="100" t="str">
        <f t="shared" si="30"/>
        <v xml:space="preserve"> </v>
      </c>
      <c r="U320" s="100"/>
      <c r="V320" s="100" t="str">
        <f t="shared" si="29"/>
        <v xml:space="preserve"> </v>
      </c>
      <c r="W320" s="101">
        <f t="shared" si="31"/>
        <v>24</v>
      </c>
      <c r="X320" s="102">
        <f t="shared" si="32"/>
        <v>0</v>
      </c>
      <c r="Y320" s="100" t="str">
        <f t="shared" si="33"/>
        <v xml:space="preserve"> </v>
      </c>
      <c r="Z320" s="100" t="str">
        <f t="shared" si="34"/>
        <v xml:space="preserve"> </v>
      </c>
    </row>
    <row r="321" spans="1:26">
      <c r="A321" s="100"/>
      <c r="B321" s="100" t="str">
        <f>IFERROR(VLOOKUP(Tablo520[[#This Row],[ÜRÜN KODU]],YMKODLARI!$A$1:$K$373,2,0)," ")</f>
        <v xml:space="preserve"> </v>
      </c>
      <c r="C321" s="99"/>
      <c r="D321" s="100"/>
      <c r="E321" s="101"/>
      <c r="F321" s="101"/>
      <c r="G321" s="100" t="str">
        <f>IFERROR(VLOOKUP(Tablo520[[#This Row],[ÜRÜN KODU]],YMKODLARI!$A$1:$K$373,3,0)," ")</f>
        <v xml:space="preserve"> </v>
      </c>
      <c r="H321" s="100" t="str">
        <f>IFERROR(VLOOKUP(Tablo520[[#This Row],[ÜRÜN KODU]],YMKODLARI!$A$1:$K$373,4,0)," ")</f>
        <v xml:space="preserve"> </v>
      </c>
      <c r="I321" s="100"/>
      <c r="J321" s="100" t="str">
        <f>IFERROR(VLOOKUP(Tablo520[[#This Row],[ÜRÜN KODU]],YMKODLARI!$A$1:$K$373,9,0)," ")</f>
        <v xml:space="preserve"> </v>
      </c>
      <c r="K321" s="100" t="str">
        <f>IFERROR(VLOOKUP(Tablo520[[#This Row],[BOYA KODU]],Tablo14[#All],4,0)," ")</f>
        <v xml:space="preserve"> </v>
      </c>
      <c r="L321" s="100" t="str">
        <f>IFERROR(VLOOKUP(Tablo520[[#This Row],[BOYA KODU]],Tablo14[#All],6,0)," ")</f>
        <v xml:space="preserve"> </v>
      </c>
      <c r="M321" s="100" t="str">
        <f t="shared" si="28"/>
        <v xml:space="preserve"> </v>
      </c>
      <c r="N321" s="100" t="str">
        <f>IFERROR(VLOOKUP(Tablo520[[#This Row],[ÜRÜN KODU]],YMKODLARI!$A$1:$K$373,8,0)," ")</f>
        <v xml:space="preserve"> </v>
      </c>
      <c r="O321" s="100" t="str">
        <f>IFERROR(VLOOKUP(Tablo520[[#This Row],[HAMMADDE KODU]],Tablo1[#All],3,0)," ")</f>
        <v xml:space="preserve"> </v>
      </c>
      <c r="P321" s="100" t="str">
        <f>IFERROR(VLOOKUP(Tablo520[[#This Row],[HAMMADDE KODU]],Tablo1[#All],4,0)," ")</f>
        <v xml:space="preserve"> </v>
      </c>
      <c r="Q321" s="100" t="str">
        <f>IFERROR(VLOOKUP(Tablo520[[#This Row],[ÜRÜN KODU]],YMKODLARI!$A$1:$K$373,5,0)," ")</f>
        <v xml:space="preserve"> </v>
      </c>
      <c r="R321" s="100" t="str">
        <f>IFERROR(VLOOKUP(Tablo520[[#This Row],[ÜRÜN KODU]],YMKODLARI!$A$1:$K$373,6,0)," ")</f>
        <v xml:space="preserve"> </v>
      </c>
      <c r="S321" s="100" t="str">
        <f>IFERROR(Tablo520[[#This Row],[YOLLUK HARİÇ BASKI GRAMI]]/Tablo520[[#This Row],[KALIP GÖZ ADEDİ]]," ")</f>
        <v xml:space="preserve"> </v>
      </c>
      <c r="T321" s="100" t="str">
        <f t="shared" si="30"/>
        <v xml:space="preserve"> </v>
      </c>
      <c r="U321" s="100"/>
      <c r="V321" s="100" t="str">
        <f t="shared" si="29"/>
        <v xml:space="preserve"> </v>
      </c>
      <c r="W321" s="101">
        <f t="shared" si="31"/>
        <v>24</v>
      </c>
      <c r="X321" s="102">
        <f t="shared" si="32"/>
        <v>0</v>
      </c>
      <c r="Y321" s="100" t="str">
        <f t="shared" si="33"/>
        <v xml:space="preserve"> </v>
      </c>
      <c r="Z321" s="100" t="str">
        <f t="shared" si="34"/>
        <v xml:space="preserve"> </v>
      </c>
    </row>
    <row r="322" spans="1:26">
      <c r="A322" s="100"/>
      <c r="B322" s="100" t="str">
        <f>IFERROR(VLOOKUP(Tablo520[[#This Row],[ÜRÜN KODU]],YMKODLARI!$A$1:$K$373,2,0)," ")</f>
        <v xml:space="preserve"> </v>
      </c>
      <c r="C322" s="99"/>
      <c r="D322" s="100"/>
      <c r="E322" s="101"/>
      <c r="F322" s="101"/>
      <c r="G322" s="100" t="str">
        <f>IFERROR(VLOOKUP(Tablo520[[#This Row],[ÜRÜN KODU]],YMKODLARI!$A$1:$K$373,3,0)," ")</f>
        <v xml:space="preserve"> </v>
      </c>
      <c r="H322" s="100" t="str">
        <f>IFERROR(VLOOKUP(Tablo520[[#This Row],[ÜRÜN KODU]],YMKODLARI!$A$1:$K$373,4,0)," ")</f>
        <v xml:space="preserve"> </v>
      </c>
      <c r="I322" s="100"/>
      <c r="J322" s="100" t="str">
        <f>IFERROR(VLOOKUP(Tablo520[[#This Row],[ÜRÜN KODU]],YMKODLARI!$A$1:$K$373,9,0)," ")</f>
        <v xml:space="preserve"> </v>
      </c>
      <c r="K322" s="100" t="str">
        <f>IFERROR(VLOOKUP(Tablo520[[#This Row],[BOYA KODU]],Tablo14[#All],4,0)," ")</f>
        <v xml:space="preserve"> </v>
      </c>
      <c r="L322" s="100" t="str">
        <f>IFERROR(VLOOKUP(Tablo520[[#This Row],[BOYA KODU]],Tablo14[#All],6,0)," ")</f>
        <v xml:space="preserve"> </v>
      </c>
      <c r="M322" s="100" t="str">
        <f t="shared" ref="M322:M385" si="35">IFERROR((I322*Q322)*L322," ")</f>
        <v xml:space="preserve"> </v>
      </c>
      <c r="N322" s="100" t="str">
        <f>IFERROR(VLOOKUP(Tablo520[[#This Row],[ÜRÜN KODU]],YMKODLARI!$A$1:$K$373,8,0)," ")</f>
        <v xml:space="preserve"> </v>
      </c>
      <c r="O322" s="100" t="str">
        <f>IFERROR(VLOOKUP(Tablo520[[#This Row],[HAMMADDE KODU]],Tablo1[#All],3,0)," ")</f>
        <v xml:space="preserve"> </v>
      </c>
      <c r="P322" s="100" t="str">
        <f>IFERROR(VLOOKUP(Tablo520[[#This Row],[HAMMADDE KODU]],Tablo1[#All],4,0)," ")</f>
        <v xml:space="preserve"> </v>
      </c>
      <c r="Q322" s="100" t="str">
        <f>IFERROR(VLOOKUP(Tablo520[[#This Row],[ÜRÜN KODU]],YMKODLARI!$A$1:$K$373,5,0)," ")</f>
        <v xml:space="preserve"> </v>
      </c>
      <c r="R322" s="100" t="str">
        <f>IFERROR(VLOOKUP(Tablo520[[#This Row],[ÜRÜN KODU]],YMKODLARI!$A$1:$K$373,6,0)," ")</f>
        <v xml:space="preserve"> </v>
      </c>
      <c r="S322" s="100" t="str">
        <f>IFERROR(Tablo520[[#This Row],[YOLLUK HARİÇ BASKI GRAMI]]/Tablo520[[#This Row],[KALIP GÖZ ADEDİ]]," ")</f>
        <v xml:space="preserve"> </v>
      </c>
      <c r="T322" s="100" t="str">
        <f t="shared" si="30"/>
        <v xml:space="preserve"> </v>
      </c>
      <c r="U322" s="100"/>
      <c r="V322" s="100" t="str">
        <f t="shared" ref="V322:V385" si="36">IFERROR(U322+(R322*I322) /1000," ")</f>
        <v xml:space="preserve"> </v>
      </c>
      <c r="W322" s="101">
        <f t="shared" si="31"/>
        <v>24</v>
      </c>
      <c r="X322" s="102">
        <f t="shared" si="32"/>
        <v>0</v>
      </c>
      <c r="Y322" s="100" t="str">
        <f t="shared" si="33"/>
        <v xml:space="preserve"> </v>
      </c>
      <c r="Z322" s="100" t="str">
        <f t="shared" si="34"/>
        <v xml:space="preserve"> </v>
      </c>
    </row>
    <row r="323" spans="1:26">
      <c r="A323" s="100"/>
      <c r="B323" s="100" t="str">
        <f>IFERROR(VLOOKUP(Tablo520[[#This Row],[ÜRÜN KODU]],YMKODLARI!$A$1:$K$373,2,0)," ")</f>
        <v xml:space="preserve"> </v>
      </c>
      <c r="C323" s="99"/>
      <c r="D323" s="100"/>
      <c r="E323" s="101"/>
      <c r="F323" s="101"/>
      <c r="G323" s="100" t="str">
        <f>IFERROR(VLOOKUP(Tablo520[[#This Row],[ÜRÜN KODU]],YMKODLARI!$A$1:$K$373,3,0)," ")</f>
        <v xml:space="preserve"> </v>
      </c>
      <c r="H323" s="100" t="str">
        <f>IFERROR(VLOOKUP(Tablo520[[#This Row],[ÜRÜN KODU]],YMKODLARI!$A$1:$K$373,4,0)," ")</f>
        <v xml:space="preserve"> </v>
      </c>
      <c r="I323" s="100"/>
      <c r="J323" s="100" t="str">
        <f>IFERROR(VLOOKUP(Tablo520[[#This Row],[ÜRÜN KODU]],YMKODLARI!$A$1:$K$373,9,0)," ")</f>
        <v xml:space="preserve"> </v>
      </c>
      <c r="K323" s="100" t="str">
        <f>IFERROR(VLOOKUP(Tablo520[[#This Row],[BOYA KODU]],Tablo14[#All],4,0)," ")</f>
        <v xml:space="preserve"> </v>
      </c>
      <c r="L323" s="100" t="str">
        <f>IFERROR(VLOOKUP(Tablo520[[#This Row],[BOYA KODU]],Tablo14[#All],6,0)," ")</f>
        <v xml:space="preserve"> </v>
      </c>
      <c r="M323" s="100" t="str">
        <f t="shared" si="35"/>
        <v xml:space="preserve"> </v>
      </c>
      <c r="N323" s="100" t="str">
        <f>IFERROR(VLOOKUP(Tablo520[[#This Row],[ÜRÜN KODU]],YMKODLARI!$A$1:$K$373,8,0)," ")</f>
        <v xml:space="preserve"> </v>
      </c>
      <c r="O323" s="100" t="str">
        <f>IFERROR(VLOOKUP(Tablo520[[#This Row],[HAMMADDE KODU]],Tablo1[#All],3,0)," ")</f>
        <v xml:space="preserve"> </v>
      </c>
      <c r="P323" s="100" t="str">
        <f>IFERROR(VLOOKUP(Tablo520[[#This Row],[HAMMADDE KODU]],Tablo1[#All],4,0)," ")</f>
        <v xml:space="preserve"> </v>
      </c>
      <c r="Q323" s="100" t="str">
        <f>IFERROR(VLOOKUP(Tablo520[[#This Row],[ÜRÜN KODU]],YMKODLARI!$A$1:$K$373,5,0)," ")</f>
        <v xml:space="preserve"> </v>
      </c>
      <c r="R323" s="100" t="str">
        <f>IFERROR(VLOOKUP(Tablo520[[#This Row],[ÜRÜN KODU]],YMKODLARI!$A$1:$K$373,6,0)," ")</f>
        <v xml:space="preserve"> </v>
      </c>
      <c r="S323" s="100" t="str">
        <f>IFERROR(Tablo520[[#This Row],[YOLLUK HARİÇ BASKI GRAMI]]/Tablo520[[#This Row],[KALIP GÖZ ADEDİ]]," ")</f>
        <v xml:space="preserve"> </v>
      </c>
      <c r="T323" s="100" t="str">
        <f t="shared" ref="T323:T386" si="37">IFERROR(Q323-R323," ")</f>
        <v xml:space="preserve"> </v>
      </c>
      <c r="U323" s="100"/>
      <c r="V323" s="100" t="str">
        <f t="shared" si="36"/>
        <v xml:space="preserve"> </v>
      </c>
      <c r="W323" s="101">
        <f t="shared" ref="W323:W386" si="38">IFERROR(24-(E323-F323)," ")</f>
        <v>24</v>
      </c>
      <c r="X323" s="102">
        <f t="shared" ref="X323:X386" si="39">IFERROR((W323-INT(W323))*24," ")</f>
        <v>0</v>
      </c>
      <c r="Y323" s="100" t="str">
        <f t="shared" ref="Y323:Y386" si="40">IFERROR(H323*I323/3600," ")</f>
        <v xml:space="preserve"> </v>
      </c>
      <c r="Z323" s="100" t="str">
        <f t="shared" ref="Z323:Z386" si="41">IFERROR(I323*G323," " )</f>
        <v xml:space="preserve"> </v>
      </c>
    </row>
    <row r="324" spans="1:26">
      <c r="A324" s="100"/>
      <c r="B324" s="100" t="str">
        <f>IFERROR(VLOOKUP(Tablo520[[#This Row],[ÜRÜN KODU]],YMKODLARI!$A$1:$K$373,2,0)," ")</f>
        <v xml:space="preserve"> </v>
      </c>
      <c r="C324" s="99"/>
      <c r="D324" s="100"/>
      <c r="E324" s="101"/>
      <c r="F324" s="101"/>
      <c r="G324" s="100" t="str">
        <f>IFERROR(VLOOKUP(Tablo520[[#This Row],[ÜRÜN KODU]],YMKODLARI!$A$1:$K$373,3,0)," ")</f>
        <v xml:space="preserve"> </v>
      </c>
      <c r="H324" s="100" t="str">
        <f>IFERROR(VLOOKUP(Tablo520[[#This Row],[ÜRÜN KODU]],YMKODLARI!$A$1:$K$373,4,0)," ")</f>
        <v xml:space="preserve"> </v>
      </c>
      <c r="I324" s="100"/>
      <c r="J324" s="100" t="str">
        <f>IFERROR(VLOOKUP(Tablo520[[#This Row],[ÜRÜN KODU]],YMKODLARI!$A$1:$K$373,9,0)," ")</f>
        <v xml:space="preserve"> </v>
      </c>
      <c r="K324" s="100" t="str">
        <f>IFERROR(VLOOKUP(Tablo520[[#This Row],[BOYA KODU]],Tablo14[#All],4,0)," ")</f>
        <v xml:space="preserve"> </v>
      </c>
      <c r="L324" s="100" t="str">
        <f>IFERROR(VLOOKUP(Tablo520[[#This Row],[BOYA KODU]],Tablo14[#All],6,0)," ")</f>
        <v xml:space="preserve"> </v>
      </c>
      <c r="M324" s="100" t="str">
        <f t="shared" si="35"/>
        <v xml:space="preserve"> </v>
      </c>
      <c r="N324" s="100" t="str">
        <f>IFERROR(VLOOKUP(Tablo520[[#This Row],[ÜRÜN KODU]],YMKODLARI!$A$1:$K$373,8,0)," ")</f>
        <v xml:space="preserve"> </v>
      </c>
      <c r="O324" s="100" t="str">
        <f>IFERROR(VLOOKUP(Tablo520[[#This Row],[HAMMADDE KODU]],Tablo1[#All],3,0)," ")</f>
        <v xml:space="preserve"> </v>
      </c>
      <c r="P324" s="100" t="str">
        <f>IFERROR(VLOOKUP(Tablo520[[#This Row],[HAMMADDE KODU]],Tablo1[#All],4,0)," ")</f>
        <v xml:space="preserve"> </v>
      </c>
      <c r="Q324" s="100" t="str">
        <f>IFERROR(VLOOKUP(Tablo520[[#This Row],[ÜRÜN KODU]],YMKODLARI!$A$1:$K$373,5,0)," ")</f>
        <v xml:space="preserve"> </v>
      </c>
      <c r="R324" s="100" t="str">
        <f>IFERROR(VLOOKUP(Tablo520[[#This Row],[ÜRÜN KODU]],YMKODLARI!$A$1:$K$373,6,0)," ")</f>
        <v xml:space="preserve"> </v>
      </c>
      <c r="S324" s="100" t="str">
        <f>IFERROR(Tablo520[[#This Row],[YOLLUK HARİÇ BASKI GRAMI]]/Tablo520[[#This Row],[KALIP GÖZ ADEDİ]]," ")</f>
        <v xml:space="preserve"> </v>
      </c>
      <c r="T324" s="100" t="str">
        <f t="shared" si="37"/>
        <v xml:space="preserve"> </v>
      </c>
      <c r="U324" s="100"/>
      <c r="V324" s="100" t="str">
        <f t="shared" si="36"/>
        <v xml:space="preserve"> </v>
      </c>
      <c r="W324" s="101">
        <f t="shared" si="38"/>
        <v>24</v>
      </c>
      <c r="X324" s="102">
        <f t="shared" si="39"/>
        <v>0</v>
      </c>
      <c r="Y324" s="100" t="str">
        <f t="shared" si="40"/>
        <v xml:space="preserve"> </v>
      </c>
      <c r="Z324" s="100" t="str">
        <f t="shared" si="41"/>
        <v xml:space="preserve"> </v>
      </c>
    </row>
    <row r="325" spans="1:26">
      <c r="A325" s="100"/>
      <c r="B325" s="100" t="str">
        <f>IFERROR(VLOOKUP(Tablo520[[#This Row],[ÜRÜN KODU]],YMKODLARI!$A$1:$K$373,2,0)," ")</f>
        <v xml:space="preserve"> </v>
      </c>
      <c r="C325" s="99"/>
      <c r="D325" s="100"/>
      <c r="E325" s="101"/>
      <c r="F325" s="101"/>
      <c r="G325" s="100" t="str">
        <f>IFERROR(VLOOKUP(Tablo520[[#This Row],[ÜRÜN KODU]],YMKODLARI!$A$1:$K$373,3,0)," ")</f>
        <v xml:space="preserve"> </v>
      </c>
      <c r="H325" s="100" t="str">
        <f>IFERROR(VLOOKUP(Tablo520[[#This Row],[ÜRÜN KODU]],YMKODLARI!$A$1:$K$373,4,0)," ")</f>
        <v xml:space="preserve"> </v>
      </c>
      <c r="I325" s="100"/>
      <c r="J325" s="100" t="str">
        <f>IFERROR(VLOOKUP(Tablo520[[#This Row],[ÜRÜN KODU]],YMKODLARI!$A$1:$K$373,9,0)," ")</f>
        <v xml:space="preserve"> </v>
      </c>
      <c r="K325" s="100" t="str">
        <f>IFERROR(VLOOKUP(Tablo520[[#This Row],[BOYA KODU]],Tablo14[#All],4,0)," ")</f>
        <v xml:space="preserve"> </v>
      </c>
      <c r="L325" s="100" t="str">
        <f>IFERROR(VLOOKUP(Tablo520[[#This Row],[BOYA KODU]],Tablo14[#All],6,0)," ")</f>
        <v xml:space="preserve"> </v>
      </c>
      <c r="M325" s="100" t="str">
        <f t="shared" si="35"/>
        <v xml:space="preserve"> </v>
      </c>
      <c r="N325" s="100" t="str">
        <f>IFERROR(VLOOKUP(Tablo520[[#This Row],[ÜRÜN KODU]],YMKODLARI!$A$1:$K$373,8,0)," ")</f>
        <v xml:space="preserve"> </v>
      </c>
      <c r="O325" s="100" t="str">
        <f>IFERROR(VLOOKUP(Tablo520[[#This Row],[HAMMADDE KODU]],Tablo1[#All],3,0)," ")</f>
        <v xml:space="preserve"> </v>
      </c>
      <c r="P325" s="100" t="str">
        <f>IFERROR(VLOOKUP(Tablo520[[#This Row],[HAMMADDE KODU]],Tablo1[#All],4,0)," ")</f>
        <v xml:space="preserve"> </v>
      </c>
      <c r="Q325" s="100" t="str">
        <f>IFERROR(VLOOKUP(Tablo520[[#This Row],[ÜRÜN KODU]],YMKODLARI!$A$1:$K$373,5,0)," ")</f>
        <v xml:space="preserve"> </v>
      </c>
      <c r="R325" s="100" t="str">
        <f>IFERROR(VLOOKUP(Tablo520[[#This Row],[ÜRÜN KODU]],YMKODLARI!$A$1:$K$373,6,0)," ")</f>
        <v xml:space="preserve"> </v>
      </c>
      <c r="S325" s="100" t="str">
        <f>IFERROR(Tablo520[[#This Row],[YOLLUK HARİÇ BASKI GRAMI]]/Tablo520[[#This Row],[KALIP GÖZ ADEDİ]]," ")</f>
        <v xml:space="preserve"> </v>
      </c>
      <c r="T325" s="100" t="str">
        <f t="shared" si="37"/>
        <v xml:space="preserve"> </v>
      </c>
      <c r="U325" s="100"/>
      <c r="V325" s="100" t="str">
        <f t="shared" si="36"/>
        <v xml:space="preserve"> </v>
      </c>
      <c r="W325" s="101">
        <f t="shared" si="38"/>
        <v>24</v>
      </c>
      <c r="X325" s="102">
        <f t="shared" si="39"/>
        <v>0</v>
      </c>
      <c r="Y325" s="100" t="str">
        <f t="shared" si="40"/>
        <v xml:space="preserve"> </v>
      </c>
      <c r="Z325" s="100" t="str">
        <f t="shared" si="41"/>
        <v xml:space="preserve"> </v>
      </c>
    </row>
    <row r="326" spans="1:26">
      <c r="A326" s="100"/>
      <c r="B326" s="100" t="str">
        <f>IFERROR(VLOOKUP(Tablo520[[#This Row],[ÜRÜN KODU]],YMKODLARI!$A$1:$K$373,2,0)," ")</f>
        <v xml:space="preserve"> </v>
      </c>
      <c r="C326" s="99"/>
      <c r="D326" s="100"/>
      <c r="E326" s="101"/>
      <c r="F326" s="101"/>
      <c r="G326" s="100" t="str">
        <f>IFERROR(VLOOKUP(Tablo520[[#This Row],[ÜRÜN KODU]],YMKODLARI!$A$1:$K$373,3,0)," ")</f>
        <v xml:space="preserve"> </v>
      </c>
      <c r="H326" s="100" t="str">
        <f>IFERROR(VLOOKUP(Tablo520[[#This Row],[ÜRÜN KODU]],YMKODLARI!$A$1:$K$373,4,0)," ")</f>
        <v xml:space="preserve"> </v>
      </c>
      <c r="I326" s="100"/>
      <c r="J326" s="100" t="str">
        <f>IFERROR(VLOOKUP(Tablo520[[#This Row],[ÜRÜN KODU]],YMKODLARI!$A$1:$K$373,9,0)," ")</f>
        <v xml:space="preserve"> </v>
      </c>
      <c r="K326" s="100" t="str">
        <f>IFERROR(VLOOKUP(Tablo520[[#This Row],[BOYA KODU]],Tablo14[#All],4,0)," ")</f>
        <v xml:space="preserve"> </v>
      </c>
      <c r="L326" s="100" t="str">
        <f>IFERROR(VLOOKUP(Tablo520[[#This Row],[BOYA KODU]],Tablo14[#All],6,0)," ")</f>
        <v xml:space="preserve"> </v>
      </c>
      <c r="M326" s="100" t="str">
        <f t="shared" si="35"/>
        <v xml:space="preserve"> </v>
      </c>
      <c r="N326" s="100" t="str">
        <f>IFERROR(VLOOKUP(Tablo520[[#This Row],[ÜRÜN KODU]],YMKODLARI!$A$1:$K$373,8,0)," ")</f>
        <v xml:space="preserve"> </v>
      </c>
      <c r="O326" s="100" t="str">
        <f>IFERROR(VLOOKUP(Tablo520[[#This Row],[HAMMADDE KODU]],Tablo1[#All],3,0)," ")</f>
        <v xml:space="preserve"> </v>
      </c>
      <c r="P326" s="100" t="str">
        <f>IFERROR(VLOOKUP(Tablo520[[#This Row],[HAMMADDE KODU]],Tablo1[#All],4,0)," ")</f>
        <v xml:space="preserve"> </v>
      </c>
      <c r="Q326" s="100" t="str">
        <f>IFERROR(VLOOKUP(Tablo520[[#This Row],[ÜRÜN KODU]],YMKODLARI!$A$1:$K$373,5,0)," ")</f>
        <v xml:space="preserve"> </v>
      </c>
      <c r="R326" s="100" t="str">
        <f>IFERROR(VLOOKUP(Tablo520[[#This Row],[ÜRÜN KODU]],YMKODLARI!$A$1:$K$373,6,0)," ")</f>
        <v xml:space="preserve"> </v>
      </c>
      <c r="S326" s="100" t="str">
        <f>IFERROR(Tablo520[[#This Row],[YOLLUK HARİÇ BASKI GRAMI]]/Tablo520[[#This Row],[KALIP GÖZ ADEDİ]]," ")</f>
        <v xml:space="preserve"> </v>
      </c>
      <c r="T326" s="100" t="str">
        <f t="shared" si="37"/>
        <v xml:space="preserve"> </v>
      </c>
      <c r="U326" s="100"/>
      <c r="V326" s="100" t="str">
        <f t="shared" si="36"/>
        <v xml:space="preserve"> </v>
      </c>
      <c r="W326" s="101">
        <f t="shared" si="38"/>
        <v>24</v>
      </c>
      <c r="X326" s="102">
        <f t="shared" si="39"/>
        <v>0</v>
      </c>
      <c r="Y326" s="100" t="str">
        <f t="shared" si="40"/>
        <v xml:space="preserve"> </v>
      </c>
      <c r="Z326" s="100" t="str">
        <f t="shared" si="41"/>
        <v xml:space="preserve"> </v>
      </c>
    </row>
    <row r="327" spans="1:26">
      <c r="A327" s="100"/>
      <c r="B327" s="100" t="str">
        <f>IFERROR(VLOOKUP(Tablo520[[#This Row],[ÜRÜN KODU]],YMKODLARI!$A$1:$K$373,2,0)," ")</f>
        <v xml:space="preserve"> </v>
      </c>
      <c r="C327" s="99"/>
      <c r="D327" s="100"/>
      <c r="E327" s="101"/>
      <c r="F327" s="101"/>
      <c r="G327" s="100" t="str">
        <f>IFERROR(VLOOKUP(Tablo520[[#This Row],[ÜRÜN KODU]],YMKODLARI!$A$1:$K$373,3,0)," ")</f>
        <v xml:space="preserve"> </v>
      </c>
      <c r="H327" s="100" t="str">
        <f>IFERROR(VLOOKUP(Tablo520[[#This Row],[ÜRÜN KODU]],YMKODLARI!$A$1:$K$373,4,0)," ")</f>
        <v xml:space="preserve"> </v>
      </c>
      <c r="I327" s="100"/>
      <c r="J327" s="100" t="str">
        <f>IFERROR(VLOOKUP(Tablo520[[#This Row],[ÜRÜN KODU]],YMKODLARI!$A$1:$K$373,9,0)," ")</f>
        <v xml:space="preserve"> </v>
      </c>
      <c r="K327" s="100" t="str">
        <f>IFERROR(VLOOKUP(Tablo520[[#This Row],[BOYA KODU]],Tablo14[#All],4,0)," ")</f>
        <v xml:space="preserve"> </v>
      </c>
      <c r="L327" s="100" t="str">
        <f>IFERROR(VLOOKUP(Tablo520[[#This Row],[BOYA KODU]],Tablo14[#All],6,0)," ")</f>
        <v xml:space="preserve"> </v>
      </c>
      <c r="M327" s="100" t="str">
        <f t="shared" si="35"/>
        <v xml:space="preserve"> </v>
      </c>
      <c r="N327" s="100" t="str">
        <f>IFERROR(VLOOKUP(Tablo520[[#This Row],[ÜRÜN KODU]],YMKODLARI!$A$1:$K$373,8,0)," ")</f>
        <v xml:space="preserve"> </v>
      </c>
      <c r="O327" s="100" t="str">
        <f>IFERROR(VLOOKUP(Tablo520[[#This Row],[HAMMADDE KODU]],Tablo1[#All],3,0)," ")</f>
        <v xml:space="preserve"> </v>
      </c>
      <c r="P327" s="100" t="str">
        <f>IFERROR(VLOOKUP(Tablo520[[#This Row],[HAMMADDE KODU]],Tablo1[#All],4,0)," ")</f>
        <v xml:space="preserve"> </v>
      </c>
      <c r="Q327" s="100" t="str">
        <f>IFERROR(VLOOKUP(Tablo520[[#This Row],[ÜRÜN KODU]],YMKODLARI!$A$1:$K$373,5,0)," ")</f>
        <v xml:space="preserve"> </v>
      </c>
      <c r="R327" s="100" t="str">
        <f>IFERROR(VLOOKUP(Tablo520[[#This Row],[ÜRÜN KODU]],YMKODLARI!$A$1:$K$373,6,0)," ")</f>
        <v xml:space="preserve"> </v>
      </c>
      <c r="S327" s="100" t="str">
        <f>IFERROR(Tablo520[[#This Row],[YOLLUK HARİÇ BASKI GRAMI]]/Tablo520[[#This Row],[KALIP GÖZ ADEDİ]]," ")</f>
        <v xml:space="preserve"> </v>
      </c>
      <c r="T327" s="100" t="str">
        <f t="shared" si="37"/>
        <v xml:space="preserve"> </v>
      </c>
      <c r="U327" s="100"/>
      <c r="V327" s="100" t="str">
        <f t="shared" si="36"/>
        <v xml:space="preserve"> </v>
      </c>
      <c r="W327" s="101">
        <f t="shared" si="38"/>
        <v>24</v>
      </c>
      <c r="X327" s="102">
        <f t="shared" si="39"/>
        <v>0</v>
      </c>
      <c r="Y327" s="100" t="str">
        <f t="shared" si="40"/>
        <v xml:space="preserve"> </v>
      </c>
      <c r="Z327" s="100" t="str">
        <f t="shared" si="41"/>
        <v xml:space="preserve"> </v>
      </c>
    </row>
    <row r="328" spans="1:26">
      <c r="A328" s="100"/>
      <c r="B328" s="100" t="str">
        <f>IFERROR(VLOOKUP(Tablo520[[#This Row],[ÜRÜN KODU]],YMKODLARI!$A$1:$K$373,2,0)," ")</f>
        <v xml:space="preserve"> </v>
      </c>
      <c r="C328" s="99"/>
      <c r="D328" s="100"/>
      <c r="E328" s="101"/>
      <c r="F328" s="101"/>
      <c r="G328" s="100" t="str">
        <f>IFERROR(VLOOKUP(Tablo520[[#This Row],[ÜRÜN KODU]],YMKODLARI!$A$1:$K$373,3,0)," ")</f>
        <v xml:space="preserve"> </v>
      </c>
      <c r="H328" s="100" t="str">
        <f>IFERROR(VLOOKUP(Tablo520[[#This Row],[ÜRÜN KODU]],YMKODLARI!$A$1:$K$373,4,0)," ")</f>
        <v xml:space="preserve"> </v>
      </c>
      <c r="I328" s="100"/>
      <c r="J328" s="100" t="str">
        <f>IFERROR(VLOOKUP(Tablo520[[#This Row],[ÜRÜN KODU]],YMKODLARI!$A$1:$K$373,9,0)," ")</f>
        <v xml:space="preserve"> </v>
      </c>
      <c r="K328" s="100" t="str">
        <f>IFERROR(VLOOKUP(Tablo520[[#This Row],[BOYA KODU]],Tablo14[#All],4,0)," ")</f>
        <v xml:space="preserve"> </v>
      </c>
      <c r="L328" s="100" t="str">
        <f>IFERROR(VLOOKUP(Tablo520[[#This Row],[BOYA KODU]],Tablo14[#All],6,0)," ")</f>
        <v xml:space="preserve"> </v>
      </c>
      <c r="M328" s="100" t="str">
        <f t="shared" si="35"/>
        <v xml:space="preserve"> </v>
      </c>
      <c r="N328" s="100" t="str">
        <f>IFERROR(VLOOKUP(Tablo520[[#This Row],[ÜRÜN KODU]],YMKODLARI!$A$1:$K$373,8,0)," ")</f>
        <v xml:space="preserve"> </v>
      </c>
      <c r="O328" s="100" t="str">
        <f>IFERROR(VLOOKUP(Tablo520[[#This Row],[HAMMADDE KODU]],Tablo1[#All],3,0)," ")</f>
        <v xml:space="preserve"> </v>
      </c>
      <c r="P328" s="100" t="str">
        <f>IFERROR(VLOOKUP(Tablo520[[#This Row],[HAMMADDE KODU]],Tablo1[#All],4,0)," ")</f>
        <v xml:space="preserve"> </v>
      </c>
      <c r="Q328" s="100" t="str">
        <f>IFERROR(VLOOKUP(Tablo520[[#This Row],[ÜRÜN KODU]],YMKODLARI!$A$1:$K$373,5,0)," ")</f>
        <v xml:space="preserve"> </v>
      </c>
      <c r="R328" s="100" t="str">
        <f>IFERROR(VLOOKUP(Tablo520[[#This Row],[ÜRÜN KODU]],YMKODLARI!$A$1:$K$373,6,0)," ")</f>
        <v xml:space="preserve"> </v>
      </c>
      <c r="S328" s="100" t="str">
        <f>IFERROR(Tablo520[[#This Row],[YOLLUK HARİÇ BASKI GRAMI]]/Tablo520[[#This Row],[KALIP GÖZ ADEDİ]]," ")</f>
        <v xml:space="preserve"> </v>
      </c>
      <c r="T328" s="100" t="str">
        <f t="shared" si="37"/>
        <v xml:space="preserve"> </v>
      </c>
      <c r="U328" s="100"/>
      <c r="V328" s="100" t="str">
        <f t="shared" si="36"/>
        <v xml:space="preserve"> </v>
      </c>
      <c r="W328" s="101">
        <f t="shared" si="38"/>
        <v>24</v>
      </c>
      <c r="X328" s="102">
        <f t="shared" si="39"/>
        <v>0</v>
      </c>
      <c r="Y328" s="100" t="str">
        <f t="shared" si="40"/>
        <v xml:space="preserve"> </v>
      </c>
      <c r="Z328" s="100" t="str">
        <f t="shared" si="41"/>
        <v xml:space="preserve"> </v>
      </c>
    </row>
    <row r="329" spans="1:26">
      <c r="A329" s="100"/>
      <c r="B329" s="100" t="str">
        <f>IFERROR(VLOOKUP(Tablo520[[#This Row],[ÜRÜN KODU]],YMKODLARI!$A$1:$K$373,2,0)," ")</f>
        <v xml:space="preserve"> </v>
      </c>
      <c r="C329" s="99"/>
      <c r="D329" s="100"/>
      <c r="E329" s="101"/>
      <c r="F329" s="101"/>
      <c r="G329" s="100" t="str">
        <f>IFERROR(VLOOKUP(Tablo520[[#This Row],[ÜRÜN KODU]],YMKODLARI!$A$1:$K$373,3,0)," ")</f>
        <v xml:space="preserve"> </v>
      </c>
      <c r="H329" s="100" t="str">
        <f>IFERROR(VLOOKUP(Tablo520[[#This Row],[ÜRÜN KODU]],YMKODLARI!$A$1:$K$373,4,0)," ")</f>
        <v xml:space="preserve"> </v>
      </c>
      <c r="I329" s="100"/>
      <c r="J329" s="100" t="str">
        <f>IFERROR(VLOOKUP(Tablo520[[#This Row],[ÜRÜN KODU]],YMKODLARI!$A$1:$K$373,9,0)," ")</f>
        <v xml:space="preserve"> </v>
      </c>
      <c r="K329" s="100" t="str">
        <f>IFERROR(VLOOKUP(Tablo520[[#This Row],[BOYA KODU]],Tablo14[#All],4,0)," ")</f>
        <v xml:space="preserve"> </v>
      </c>
      <c r="L329" s="100" t="str">
        <f>IFERROR(VLOOKUP(Tablo520[[#This Row],[BOYA KODU]],Tablo14[#All],6,0)," ")</f>
        <v xml:space="preserve"> </v>
      </c>
      <c r="M329" s="100" t="str">
        <f t="shared" si="35"/>
        <v xml:space="preserve"> </v>
      </c>
      <c r="N329" s="100" t="str">
        <f>IFERROR(VLOOKUP(Tablo520[[#This Row],[ÜRÜN KODU]],YMKODLARI!$A$1:$K$373,8,0)," ")</f>
        <v xml:space="preserve"> </v>
      </c>
      <c r="O329" s="100" t="str">
        <f>IFERROR(VLOOKUP(Tablo520[[#This Row],[HAMMADDE KODU]],Tablo1[#All],3,0)," ")</f>
        <v xml:space="preserve"> </v>
      </c>
      <c r="P329" s="100" t="str">
        <f>IFERROR(VLOOKUP(Tablo520[[#This Row],[HAMMADDE KODU]],Tablo1[#All],4,0)," ")</f>
        <v xml:space="preserve"> </v>
      </c>
      <c r="Q329" s="100" t="str">
        <f>IFERROR(VLOOKUP(Tablo520[[#This Row],[ÜRÜN KODU]],YMKODLARI!$A$1:$K$373,5,0)," ")</f>
        <v xml:space="preserve"> </v>
      </c>
      <c r="R329" s="100" t="str">
        <f>IFERROR(VLOOKUP(Tablo520[[#This Row],[ÜRÜN KODU]],YMKODLARI!$A$1:$K$373,6,0)," ")</f>
        <v xml:space="preserve"> </v>
      </c>
      <c r="S329" s="100" t="str">
        <f>IFERROR(Tablo520[[#This Row],[YOLLUK HARİÇ BASKI GRAMI]]/Tablo520[[#This Row],[KALIP GÖZ ADEDİ]]," ")</f>
        <v xml:space="preserve"> </v>
      </c>
      <c r="T329" s="100" t="str">
        <f t="shared" si="37"/>
        <v xml:space="preserve"> </v>
      </c>
      <c r="U329" s="100"/>
      <c r="V329" s="100" t="str">
        <f t="shared" si="36"/>
        <v xml:space="preserve"> </v>
      </c>
      <c r="W329" s="101">
        <f t="shared" si="38"/>
        <v>24</v>
      </c>
      <c r="X329" s="102">
        <f t="shared" si="39"/>
        <v>0</v>
      </c>
      <c r="Y329" s="100" t="str">
        <f t="shared" si="40"/>
        <v xml:space="preserve"> </v>
      </c>
      <c r="Z329" s="100" t="str">
        <f t="shared" si="41"/>
        <v xml:space="preserve"> </v>
      </c>
    </row>
    <row r="330" spans="1:26">
      <c r="A330" s="100"/>
      <c r="B330" s="100" t="str">
        <f>IFERROR(VLOOKUP(Tablo520[[#This Row],[ÜRÜN KODU]],YMKODLARI!$A$1:$K$373,2,0)," ")</f>
        <v xml:space="preserve"> </v>
      </c>
      <c r="C330" s="99"/>
      <c r="D330" s="100"/>
      <c r="E330" s="101"/>
      <c r="F330" s="101"/>
      <c r="G330" s="100" t="str">
        <f>IFERROR(VLOOKUP(Tablo520[[#This Row],[ÜRÜN KODU]],YMKODLARI!$A$1:$K$373,3,0)," ")</f>
        <v xml:space="preserve"> </v>
      </c>
      <c r="H330" s="100" t="str">
        <f>IFERROR(VLOOKUP(Tablo520[[#This Row],[ÜRÜN KODU]],YMKODLARI!$A$1:$K$373,4,0)," ")</f>
        <v xml:space="preserve"> </v>
      </c>
      <c r="I330" s="100"/>
      <c r="J330" s="100" t="str">
        <f>IFERROR(VLOOKUP(Tablo520[[#This Row],[ÜRÜN KODU]],YMKODLARI!$A$1:$K$373,9,0)," ")</f>
        <v xml:space="preserve"> </v>
      </c>
      <c r="K330" s="100" t="str">
        <f>IFERROR(VLOOKUP(Tablo520[[#This Row],[BOYA KODU]],Tablo14[#All],4,0)," ")</f>
        <v xml:space="preserve"> </v>
      </c>
      <c r="L330" s="100" t="str">
        <f>IFERROR(VLOOKUP(Tablo520[[#This Row],[BOYA KODU]],Tablo14[#All],6,0)," ")</f>
        <v xml:space="preserve"> </v>
      </c>
      <c r="M330" s="100" t="str">
        <f t="shared" si="35"/>
        <v xml:space="preserve"> </v>
      </c>
      <c r="N330" s="100" t="str">
        <f>IFERROR(VLOOKUP(Tablo520[[#This Row],[ÜRÜN KODU]],YMKODLARI!$A$1:$K$373,8,0)," ")</f>
        <v xml:space="preserve"> </v>
      </c>
      <c r="O330" s="100" t="str">
        <f>IFERROR(VLOOKUP(Tablo520[[#This Row],[HAMMADDE KODU]],Tablo1[#All],3,0)," ")</f>
        <v xml:space="preserve"> </v>
      </c>
      <c r="P330" s="100" t="str">
        <f>IFERROR(VLOOKUP(Tablo520[[#This Row],[HAMMADDE KODU]],Tablo1[#All],4,0)," ")</f>
        <v xml:space="preserve"> </v>
      </c>
      <c r="Q330" s="100" t="str">
        <f>IFERROR(VLOOKUP(Tablo520[[#This Row],[ÜRÜN KODU]],YMKODLARI!$A$1:$K$373,5,0)," ")</f>
        <v xml:space="preserve"> </v>
      </c>
      <c r="R330" s="100" t="str">
        <f>IFERROR(VLOOKUP(Tablo520[[#This Row],[ÜRÜN KODU]],YMKODLARI!$A$1:$K$373,6,0)," ")</f>
        <v xml:space="preserve"> </v>
      </c>
      <c r="S330" s="100" t="str">
        <f>IFERROR(Tablo520[[#This Row],[YOLLUK HARİÇ BASKI GRAMI]]/Tablo520[[#This Row],[KALIP GÖZ ADEDİ]]," ")</f>
        <v xml:space="preserve"> </v>
      </c>
      <c r="T330" s="100" t="str">
        <f t="shared" si="37"/>
        <v xml:space="preserve"> </v>
      </c>
      <c r="U330" s="100"/>
      <c r="V330" s="100" t="str">
        <f t="shared" si="36"/>
        <v xml:space="preserve"> </v>
      </c>
      <c r="W330" s="101">
        <f t="shared" si="38"/>
        <v>24</v>
      </c>
      <c r="X330" s="102">
        <f t="shared" si="39"/>
        <v>0</v>
      </c>
      <c r="Y330" s="100" t="str">
        <f t="shared" si="40"/>
        <v xml:space="preserve"> </v>
      </c>
      <c r="Z330" s="100" t="str">
        <f t="shared" si="41"/>
        <v xml:space="preserve"> </v>
      </c>
    </row>
    <row r="331" spans="1:26">
      <c r="A331" s="100"/>
      <c r="B331" s="100" t="str">
        <f>IFERROR(VLOOKUP(Tablo520[[#This Row],[ÜRÜN KODU]],YMKODLARI!$A$1:$K$373,2,0)," ")</f>
        <v xml:space="preserve"> </v>
      </c>
      <c r="C331" s="99"/>
      <c r="D331" s="100"/>
      <c r="E331" s="101"/>
      <c r="F331" s="101"/>
      <c r="G331" s="100" t="str">
        <f>IFERROR(VLOOKUP(Tablo520[[#This Row],[ÜRÜN KODU]],YMKODLARI!$A$1:$K$373,3,0)," ")</f>
        <v xml:space="preserve"> </v>
      </c>
      <c r="H331" s="100" t="str">
        <f>IFERROR(VLOOKUP(Tablo520[[#This Row],[ÜRÜN KODU]],YMKODLARI!$A$1:$K$373,4,0)," ")</f>
        <v xml:space="preserve"> </v>
      </c>
      <c r="I331" s="100"/>
      <c r="J331" s="100" t="str">
        <f>IFERROR(VLOOKUP(Tablo520[[#This Row],[ÜRÜN KODU]],YMKODLARI!$A$1:$K$373,9,0)," ")</f>
        <v xml:space="preserve"> </v>
      </c>
      <c r="K331" s="100" t="str">
        <f>IFERROR(VLOOKUP(Tablo520[[#This Row],[BOYA KODU]],Tablo14[#All],4,0)," ")</f>
        <v xml:space="preserve"> </v>
      </c>
      <c r="L331" s="100" t="str">
        <f>IFERROR(VLOOKUP(Tablo520[[#This Row],[BOYA KODU]],Tablo14[#All],6,0)," ")</f>
        <v xml:space="preserve"> </v>
      </c>
      <c r="M331" s="100" t="str">
        <f t="shared" si="35"/>
        <v xml:space="preserve"> </v>
      </c>
      <c r="N331" s="100" t="str">
        <f>IFERROR(VLOOKUP(Tablo520[[#This Row],[ÜRÜN KODU]],YMKODLARI!$A$1:$K$373,8,0)," ")</f>
        <v xml:space="preserve"> </v>
      </c>
      <c r="O331" s="100" t="str">
        <f>IFERROR(VLOOKUP(Tablo520[[#This Row],[HAMMADDE KODU]],Tablo1[#All],3,0)," ")</f>
        <v xml:space="preserve"> </v>
      </c>
      <c r="P331" s="100" t="str">
        <f>IFERROR(VLOOKUP(Tablo520[[#This Row],[HAMMADDE KODU]],Tablo1[#All],4,0)," ")</f>
        <v xml:space="preserve"> </v>
      </c>
      <c r="Q331" s="100" t="str">
        <f>IFERROR(VLOOKUP(Tablo520[[#This Row],[ÜRÜN KODU]],YMKODLARI!$A$1:$K$373,5,0)," ")</f>
        <v xml:space="preserve"> </v>
      </c>
      <c r="R331" s="100" t="str">
        <f>IFERROR(VLOOKUP(Tablo520[[#This Row],[ÜRÜN KODU]],YMKODLARI!$A$1:$K$373,6,0)," ")</f>
        <v xml:space="preserve"> </v>
      </c>
      <c r="S331" s="100" t="str">
        <f>IFERROR(Tablo520[[#This Row],[YOLLUK HARİÇ BASKI GRAMI]]/Tablo520[[#This Row],[KALIP GÖZ ADEDİ]]," ")</f>
        <v xml:space="preserve"> </v>
      </c>
      <c r="T331" s="100" t="str">
        <f t="shared" si="37"/>
        <v xml:space="preserve"> </v>
      </c>
      <c r="U331" s="100"/>
      <c r="V331" s="100" t="str">
        <f t="shared" si="36"/>
        <v xml:space="preserve"> </v>
      </c>
      <c r="W331" s="101">
        <f t="shared" si="38"/>
        <v>24</v>
      </c>
      <c r="X331" s="102">
        <f t="shared" si="39"/>
        <v>0</v>
      </c>
      <c r="Y331" s="100" t="str">
        <f t="shared" si="40"/>
        <v xml:space="preserve"> </v>
      </c>
      <c r="Z331" s="100" t="str">
        <f t="shared" si="41"/>
        <v xml:space="preserve"> </v>
      </c>
    </row>
    <row r="332" spans="1:26">
      <c r="A332" s="100"/>
      <c r="B332" s="100" t="str">
        <f>IFERROR(VLOOKUP(Tablo520[[#This Row],[ÜRÜN KODU]],YMKODLARI!$A$1:$K$373,2,0)," ")</f>
        <v xml:space="preserve"> </v>
      </c>
      <c r="C332" s="99"/>
      <c r="D332" s="100"/>
      <c r="E332" s="101"/>
      <c r="F332" s="101"/>
      <c r="G332" s="100" t="str">
        <f>IFERROR(VLOOKUP(Tablo520[[#This Row],[ÜRÜN KODU]],YMKODLARI!$A$1:$K$373,3,0)," ")</f>
        <v xml:space="preserve"> </v>
      </c>
      <c r="H332" s="100" t="str">
        <f>IFERROR(VLOOKUP(Tablo520[[#This Row],[ÜRÜN KODU]],YMKODLARI!$A$1:$K$373,4,0)," ")</f>
        <v xml:space="preserve"> </v>
      </c>
      <c r="I332" s="100"/>
      <c r="J332" s="100" t="str">
        <f>IFERROR(VLOOKUP(Tablo520[[#This Row],[ÜRÜN KODU]],YMKODLARI!$A$1:$K$373,9,0)," ")</f>
        <v xml:space="preserve"> </v>
      </c>
      <c r="K332" s="100" t="str">
        <f>IFERROR(VLOOKUP(Tablo520[[#This Row],[BOYA KODU]],Tablo14[#All],4,0)," ")</f>
        <v xml:space="preserve"> </v>
      </c>
      <c r="L332" s="100" t="str">
        <f>IFERROR(VLOOKUP(Tablo520[[#This Row],[BOYA KODU]],Tablo14[#All],6,0)," ")</f>
        <v xml:space="preserve"> </v>
      </c>
      <c r="M332" s="100" t="str">
        <f t="shared" si="35"/>
        <v xml:space="preserve"> </v>
      </c>
      <c r="N332" s="100" t="str">
        <f>IFERROR(VLOOKUP(Tablo520[[#This Row],[ÜRÜN KODU]],YMKODLARI!$A$1:$K$373,8,0)," ")</f>
        <v xml:space="preserve"> </v>
      </c>
      <c r="O332" s="100" t="str">
        <f>IFERROR(VLOOKUP(Tablo520[[#This Row],[HAMMADDE KODU]],Tablo1[#All],3,0)," ")</f>
        <v xml:space="preserve"> </v>
      </c>
      <c r="P332" s="100" t="str">
        <f>IFERROR(VLOOKUP(Tablo520[[#This Row],[HAMMADDE KODU]],Tablo1[#All],4,0)," ")</f>
        <v xml:space="preserve"> </v>
      </c>
      <c r="Q332" s="100" t="str">
        <f>IFERROR(VLOOKUP(Tablo520[[#This Row],[ÜRÜN KODU]],YMKODLARI!$A$1:$K$373,5,0)," ")</f>
        <v xml:space="preserve"> </v>
      </c>
      <c r="R332" s="100" t="str">
        <f>IFERROR(VLOOKUP(Tablo520[[#This Row],[ÜRÜN KODU]],YMKODLARI!$A$1:$K$373,6,0)," ")</f>
        <v xml:space="preserve"> </v>
      </c>
      <c r="S332" s="100" t="str">
        <f>IFERROR(Tablo520[[#This Row],[YOLLUK HARİÇ BASKI GRAMI]]/Tablo520[[#This Row],[KALIP GÖZ ADEDİ]]," ")</f>
        <v xml:space="preserve"> </v>
      </c>
      <c r="T332" s="100" t="str">
        <f t="shared" si="37"/>
        <v xml:space="preserve"> </v>
      </c>
      <c r="U332" s="100"/>
      <c r="V332" s="100" t="str">
        <f t="shared" si="36"/>
        <v xml:space="preserve"> </v>
      </c>
      <c r="W332" s="101">
        <f t="shared" si="38"/>
        <v>24</v>
      </c>
      <c r="X332" s="102">
        <f t="shared" si="39"/>
        <v>0</v>
      </c>
      <c r="Y332" s="100" t="str">
        <f t="shared" si="40"/>
        <v xml:space="preserve"> </v>
      </c>
      <c r="Z332" s="100" t="str">
        <f t="shared" si="41"/>
        <v xml:space="preserve"> </v>
      </c>
    </row>
    <row r="333" spans="1:26">
      <c r="A333" s="100"/>
      <c r="B333" s="100" t="str">
        <f>IFERROR(VLOOKUP(Tablo520[[#This Row],[ÜRÜN KODU]],YMKODLARI!$A$1:$K$373,2,0)," ")</f>
        <v xml:space="preserve"> </v>
      </c>
      <c r="C333" s="99"/>
      <c r="D333" s="100"/>
      <c r="E333" s="101"/>
      <c r="F333" s="101"/>
      <c r="G333" s="100" t="str">
        <f>IFERROR(VLOOKUP(Tablo520[[#This Row],[ÜRÜN KODU]],YMKODLARI!$A$1:$K$373,3,0)," ")</f>
        <v xml:space="preserve"> </v>
      </c>
      <c r="H333" s="100" t="str">
        <f>IFERROR(VLOOKUP(Tablo520[[#This Row],[ÜRÜN KODU]],YMKODLARI!$A$1:$K$373,4,0)," ")</f>
        <v xml:space="preserve"> </v>
      </c>
      <c r="I333" s="100"/>
      <c r="J333" s="100" t="str">
        <f>IFERROR(VLOOKUP(Tablo520[[#This Row],[ÜRÜN KODU]],YMKODLARI!$A$1:$K$373,9,0)," ")</f>
        <v xml:space="preserve"> </v>
      </c>
      <c r="K333" s="100" t="str">
        <f>IFERROR(VLOOKUP(Tablo520[[#This Row],[BOYA KODU]],Tablo14[#All],4,0)," ")</f>
        <v xml:space="preserve"> </v>
      </c>
      <c r="L333" s="100" t="str">
        <f>IFERROR(VLOOKUP(Tablo520[[#This Row],[BOYA KODU]],Tablo14[#All],6,0)," ")</f>
        <v xml:space="preserve"> </v>
      </c>
      <c r="M333" s="100" t="str">
        <f t="shared" si="35"/>
        <v xml:space="preserve"> </v>
      </c>
      <c r="N333" s="100" t="str">
        <f>IFERROR(VLOOKUP(Tablo520[[#This Row],[ÜRÜN KODU]],YMKODLARI!$A$1:$K$373,8,0)," ")</f>
        <v xml:space="preserve"> </v>
      </c>
      <c r="O333" s="100" t="str">
        <f>IFERROR(VLOOKUP(Tablo520[[#This Row],[HAMMADDE KODU]],Tablo1[#All],3,0)," ")</f>
        <v xml:space="preserve"> </v>
      </c>
      <c r="P333" s="100" t="str">
        <f>IFERROR(VLOOKUP(Tablo520[[#This Row],[HAMMADDE KODU]],Tablo1[#All],4,0)," ")</f>
        <v xml:space="preserve"> </v>
      </c>
      <c r="Q333" s="100" t="str">
        <f>IFERROR(VLOOKUP(Tablo520[[#This Row],[ÜRÜN KODU]],YMKODLARI!$A$1:$K$373,5,0)," ")</f>
        <v xml:space="preserve"> </v>
      </c>
      <c r="R333" s="100" t="str">
        <f>IFERROR(VLOOKUP(Tablo520[[#This Row],[ÜRÜN KODU]],YMKODLARI!$A$1:$K$373,6,0)," ")</f>
        <v xml:space="preserve"> </v>
      </c>
      <c r="S333" s="100" t="str">
        <f>IFERROR(Tablo520[[#This Row],[YOLLUK HARİÇ BASKI GRAMI]]/Tablo520[[#This Row],[KALIP GÖZ ADEDİ]]," ")</f>
        <v xml:space="preserve"> </v>
      </c>
      <c r="T333" s="100" t="str">
        <f t="shared" si="37"/>
        <v xml:space="preserve"> </v>
      </c>
      <c r="U333" s="100"/>
      <c r="V333" s="100" t="str">
        <f t="shared" si="36"/>
        <v xml:space="preserve"> </v>
      </c>
      <c r="W333" s="101">
        <f t="shared" si="38"/>
        <v>24</v>
      </c>
      <c r="X333" s="102">
        <f t="shared" si="39"/>
        <v>0</v>
      </c>
      <c r="Y333" s="100" t="str">
        <f t="shared" si="40"/>
        <v xml:space="preserve"> </v>
      </c>
      <c r="Z333" s="100" t="str">
        <f t="shared" si="41"/>
        <v xml:space="preserve"> </v>
      </c>
    </row>
    <row r="334" spans="1:26">
      <c r="A334" s="100"/>
      <c r="B334" s="100" t="str">
        <f>IFERROR(VLOOKUP(Tablo520[[#This Row],[ÜRÜN KODU]],YMKODLARI!$A$1:$K$373,2,0)," ")</f>
        <v xml:space="preserve"> </v>
      </c>
      <c r="C334" s="99"/>
      <c r="D334" s="100"/>
      <c r="E334" s="101"/>
      <c r="F334" s="101"/>
      <c r="G334" s="100" t="str">
        <f>IFERROR(VLOOKUP(Tablo520[[#This Row],[ÜRÜN KODU]],YMKODLARI!$A$1:$K$373,3,0)," ")</f>
        <v xml:space="preserve"> </v>
      </c>
      <c r="H334" s="100" t="str">
        <f>IFERROR(VLOOKUP(Tablo520[[#This Row],[ÜRÜN KODU]],YMKODLARI!$A$1:$K$373,4,0)," ")</f>
        <v xml:space="preserve"> </v>
      </c>
      <c r="I334" s="100"/>
      <c r="J334" s="100" t="str">
        <f>IFERROR(VLOOKUP(Tablo520[[#This Row],[ÜRÜN KODU]],YMKODLARI!$A$1:$K$373,9,0)," ")</f>
        <v xml:space="preserve"> </v>
      </c>
      <c r="K334" s="100" t="str">
        <f>IFERROR(VLOOKUP(Tablo520[[#This Row],[BOYA KODU]],Tablo14[#All],4,0)," ")</f>
        <v xml:space="preserve"> </v>
      </c>
      <c r="L334" s="100" t="str">
        <f>IFERROR(VLOOKUP(Tablo520[[#This Row],[BOYA KODU]],Tablo14[#All],6,0)," ")</f>
        <v xml:space="preserve"> </v>
      </c>
      <c r="M334" s="100" t="str">
        <f t="shared" si="35"/>
        <v xml:space="preserve"> </v>
      </c>
      <c r="N334" s="100" t="str">
        <f>IFERROR(VLOOKUP(Tablo520[[#This Row],[ÜRÜN KODU]],YMKODLARI!$A$1:$K$373,8,0)," ")</f>
        <v xml:space="preserve"> </v>
      </c>
      <c r="O334" s="100" t="str">
        <f>IFERROR(VLOOKUP(Tablo520[[#This Row],[HAMMADDE KODU]],Tablo1[#All],3,0)," ")</f>
        <v xml:space="preserve"> </v>
      </c>
      <c r="P334" s="100" t="str">
        <f>IFERROR(VLOOKUP(Tablo520[[#This Row],[HAMMADDE KODU]],Tablo1[#All],4,0)," ")</f>
        <v xml:space="preserve"> </v>
      </c>
      <c r="Q334" s="100" t="str">
        <f>IFERROR(VLOOKUP(Tablo520[[#This Row],[ÜRÜN KODU]],YMKODLARI!$A$1:$K$373,5,0)," ")</f>
        <v xml:space="preserve"> </v>
      </c>
      <c r="R334" s="100" t="str">
        <f>IFERROR(VLOOKUP(Tablo520[[#This Row],[ÜRÜN KODU]],YMKODLARI!$A$1:$K$373,6,0)," ")</f>
        <v xml:space="preserve"> </v>
      </c>
      <c r="S334" s="100" t="str">
        <f>IFERROR(Tablo520[[#This Row],[YOLLUK HARİÇ BASKI GRAMI]]/Tablo520[[#This Row],[KALIP GÖZ ADEDİ]]," ")</f>
        <v xml:space="preserve"> </v>
      </c>
      <c r="T334" s="100" t="str">
        <f t="shared" si="37"/>
        <v xml:space="preserve"> </v>
      </c>
      <c r="U334" s="100"/>
      <c r="V334" s="100" t="str">
        <f t="shared" si="36"/>
        <v xml:space="preserve"> </v>
      </c>
      <c r="W334" s="101">
        <f t="shared" si="38"/>
        <v>24</v>
      </c>
      <c r="X334" s="102">
        <f t="shared" si="39"/>
        <v>0</v>
      </c>
      <c r="Y334" s="100" t="str">
        <f t="shared" si="40"/>
        <v xml:space="preserve"> </v>
      </c>
      <c r="Z334" s="100" t="str">
        <f t="shared" si="41"/>
        <v xml:space="preserve"> </v>
      </c>
    </row>
    <row r="335" spans="1:26">
      <c r="A335" s="100"/>
      <c r="B335" s="100" t="str">
        <f>IFERROR(VLOOKUP(Tablo520[[#This Row],[ÜRÜN KODU]],YMKODLARI!$A$1:$K$373,2,0)," ")</f>
        <v xml:space="preserve"> </v>
      </c>
      <c r="C335" s="99"/>
      <c r="D335" s="100"/>
      <c r="E335" s="101"/>
      <c r="F335" s="101"/>
      <c r="G335" s="100" t="str">
        <f>IFERROR(VLOOKUP(Tablo520[[#This Row],[ÜRÜN KODU]],YMKODLARI!$A$1:$K$373,3,0)," ")</f>
        <v xml:space="preserve"> </v>
      </c>
      <c r="H335" s="100" t="str">
        <f>IFERROR(VLOOKUP(Tablo520[[#This Row],[ÜRÜN KODU]],YMKODLARI!$A$1:$K$373,4,0)," ")</f>
        <v xml:space="preserve"> </v>
      </c>
      <c r="I335" s="100"/>
      <c r="J335" s="100" t="str">
        <f>IFERROR(VLOOKUP(Tablo520[[#This Row],[ÜRÜN KODU]],YMKODLARI!$A$1:$K$373,9,0)," ")</f>
        <v xml:space="preserve"> </v>
      </c>
      <c r="K335" s="100" t="str">
        <f>IFERROR(VLOOKUP(Tablo520[[#This Row],[BOYA KODU]],Tablo14[#All],4,0)," ")</f>
        <v xml:space="preserve"> </v>
      </c>
      <c r="L335" s="100" t="str">
        <f>IFERROR(VLOOKUP(Tablo520[[#This Row],[BOYA KODU]],Tablo14[#All],6,0)," ")</f>
        <v xml:space="preserve"> </v>
      </c>
      <c r="M335" s="100" t="str">
        <f t="shared" si="35"/>
        <v xml:space="preserve"> </v>
      </c>
      <c r="N335" s="100" t="str">
        <f>IFERROR(VLOOKUP(Tablo520[[#This Row],[ÜRÜN KODU]],YMKODLARI!$A$1:$K$373,8,0)," ")</f>
        <v xml:space="preserve"> </v>
      </c>
      <c r="O335" s="100" t="str">
        <f>IFERROR(VLOOKUP(Tablo520[[#This Row],[HAMMADDE KODU]],Tablo1[#All],3,0)," ")</f>
        <v xml:space="preserve"> </v>
      </c>
      <c r="P335" s="100" t="str">
        <f>IFERROR(VLOOKUP(Tablo520[[#This Row],[HAMMADDE KODU]],Tablo1[#All],4,0)," ")</f>
        <v xml:space="preserve"> </v>
      </c>
      <c r="Q335" s="100" t="str">
        <f>IFERROR(VLOOKUP(Tablo520[[#This Row],[ÜRÜN KODU]],YMKODLARI!$A$1:$K$373,5,0)," ")</f>
        <v xml:space="preserve"> </v>
      </c>
      <c r="R335" s="100" t="str">
        <f>IFERROR(VLOOKUP(Tablo520[[#This Row],[ÜRÜN KODU]],YMKODLARI!$A$1:$K$373,6,0)," ")</f>
        <v xml:space="preserve"> </v>
      </c>
      <c r="S335" s="100" t="str">
        <f>IFERROR(Tablo520[[#This Row],[YOLLUK HARİÇ BASKI GRAMI]]/Tablo520[[#This Row],[KALIP GÖZ ADEDİ]]," ")</f>
        <v xml:space="preserve"> </v>
      </c>
      <c r="T335" s="100" t="str">
        <f t="shared" si="37"/>
        <v xml:space="preserve"> </v>
      </c>
      <c r="U335" s="100"/>
      <c r="V335" s="100" t="str">
        <f t="shared" si="36"/>
        <v xml:space="preserve"> </v>
      </c>
      <c r="W335" s="101">
        <f t="shared" si="38"/>
        <v>24</v>
      </c>
      <c r="X335" s="102">
        <f t="shared" si="39"/>
        <v>0</v>
      </c>
      <c r="Y335" s="100" t="str">
        <f t="shared" si="40"/>
        <v xml:space="preserve"> </v>
      </c>
      <c r="Z335" s="100" t="str">
        <f t="shared" si="41"/>
        <v xml:space="preserve"> </v>
      </c>
    </row>
    <row r="336" spans="1:26">
      <c r="A336" s="100"/>
      <c r="B336" s="100" t="str">
        <f>IFERROR(VLOOKUP(Tablo520[[#This Row],[ÜRÜN KODU]],YMKODLARI!$A$1:$K$373,2,0)," ")</f>
        <v xml:space="preserve"> </v>
      </c>
      <c r="C336" s="99"/>
      <c r="D336" s="100"/>
      <c r="E336" s="101"/>
      <c r="F336" s="101"/>
      <c r="G336" s="100" t="str">
        <f>IFERROR(VLOOKUP(Tablo520[[#This Row],[ÜRÜN KODU]],YMKODLARI!$A$1:$K$373,3,0)," ")</f>
        <v xml:space="preserve"> </v>
      </c>
      <c r="H336" s="100" t="str">
        <f>IFERROR(VLOOKUP(Tablo520[[#This Row],[ÜRÜN KODU]],YMKODLARI!$A$1:$K$373,4,0)," ")</f>
        <v xml:space="preserve"> </v>
      </c>
      <c r="I336" s="100"/>
      <c r="J336" s="100" t="str">
        <f>IFERROR(VLOOKUP(Tablo520[[#This Row],[ÜRÜN KODU]],YMKODLARI!$A$1:$K$373,9,0)," ")</f>
        <v xml:space="preserve"> </v>
      </c>
      <c r="K336" s="100" t="str">
        <f>IFERROR(VLOOKUP(Tablo520[[#This Row],[BOYA KODU]],Tablo14[#All],4,0)," ")</f>
        <v xml:space="preserve"> </v>
      </c>
      <c r="L336" s="100" t="str">
        <f>IFERROR(VLOOKUP(Tablo520[[#This Row],[BOYA KODU]],Tablo14[#All],6,0)," ")</f>
        <v xml:space="preserve"> </v>
      </c>
      <c r="M336" s="100" t="str">
        <f t="shared" si="35"/>
        <v xml:space="preserve"> </v>
      </c>
      <c r="N336" s="100" t="str">
        <f>IFERROR(VLOOKUP(Tablo520[[#This Row],[ÜRÜN KODU]],YMKODLARI!$A$1:$K$373,8,0)," ")</f>
        <v xml:space="preserve"> </v>
      </c>
      <c r="O336" s="100" t="str">
        <f>IFERROR(VLOOKUP(Tablo520[[#This Row],[HAMMADDE KODU]],Tablo1[#All],3,0)," ")</f>
        <v xml:space="preserve"> </v>
      </c>
      <c r="P336" s="100" t="str">
        <f>IFERROR(VLOOKUP(Tablo520[[#This Row],[HAMMADDE KODU]],Tablo1[#All],4,0)," ")</f>
        <v xml:space="preserve"> </v>
      </c>
      <c r="Q336" s="100" t="str">
        <f>IFERROR(VLOOKUP(Tablo520[[#This Row],[ÜRÜN KODU]],YMKODLARI!$A$1:$K$373,5,0)," ")</f>
        <v xml:space="preserve"> </v>
      </c>
      <c r="R336" s="100" t="str">
        <f>IFERROR(VLOOKUP(Tablo520[[#This Row],[ÜRÜN KODU]],YMKODLARI!$A$1:$K$373,6,0)," ")</f>
        <v xml:space="preserve"> </v>
      </c>
      <c r="S336" s="100" t="str">
        <f>IFERROR(Tablo520[[#This Row],[YOLLUK HARİÇ BASKI GRAMI]]/Tablo520[[#This Row],[KALIP GÖZ ADEDİ]]," ")</f>
        <v xml:space="preserve"> </v>
      </c>
      <c r="T336" s="100" t="str">
        <f t="shared" si="37"/>
        <v xml:space="preserve"> </v>
      </c>
      <c r="U336" s="100"/>
      <c r="V336" s="100" t="str">
        <f t="shared" si="36"/>
        <v xml:space="preserve"> </v>
      </c>
      <c r="W336" s="101">
        <f t="shared" si="38"/>
        <v>24</v>
      </c>
      <c r="X336" s="102">
        <f t="shared" si="39"/>
        <v>0</v>
      </c>
      <c r="Y336" s="100" t="str">
        <f t="shared" si="40"/>
        <v xml:space="preserve"> </v>
      </c>
      <c r="Z336" s="100" t="str">
        <f t="shared" si="41"/>
        <v xml:space="preserve"> </v>
      </c>
    </row>
    <row r="337" spans="1:26">
      <c r="A337" s="100"/>
      <c r="B337" s="100" t="str">
        <f>IFERROR(VLOOKUP(Tablo520[[#This Row],[ÜRÜN KODU]],YMKODLARI!$A$1:$K$373,2,0)," ")</f>
        <v xml:space="preserve"> </v>
      </c>
      <c r="C337" s="99"/>
      <c r="D337" s="100"/>
      <c r="E337" s="101"/>
      <c r="F337" s="101"/>
      <c r="G337" s="100" t="str">
        <f>IFERROR(VLOOKUP(Tablo520[[#This Row],[ÜRÜN KODU]],YMKODLARI!$A$1:$K$373,3,0)," ")</f>
        <v xml:space="preserve"> </v>
      </c>
      <c r="H337" s="100" t="str">
        <f>IFERROR(VLOOKUP(Tablo520[[#This Row],[ÜRÜN KODU]],YMKODLARI!$A$1:$K$373,4,0)," ")</f>
        <v xml:space="preserve"> </v>
      </c>
      <c r="I337" s="100"/>
      <c r="J337" s="100" t="str">
        <f>IFERROR(VLOOKUP(Tablo520[[#This Row],[ÜRÜN KODU]],YMKODLARI!$A$1:$K$373,9,0)," ")</f>
        <v xml:space="preserve"> </v>
      </c>
      <c r="K337" s="100" t="str">
        <f>IFERROR(VLOOKUP(Tablo520[[#This Row],[BOYA KODU]],Tablo14[#All],4,0)," ")</f>
        <v xml:space="preserve"> </v>
      </c>
      <c r="L337" s="100" t="str">
        <f>IFERROR(VLOOKUP(Tablo520[[#This Row],[BOYA KODU]],Tablo14[#All],6,0)," ")</f>
        <v xml:space="preserve"> </v>
      </c>
      <c r="M337" s="100" t="str">
        <f t="shared" si="35"/>
        <v xml:space="preserve"> </v>
      </c>
      <c r="N337" s="100" t="str">
        <f>IFERROR(VLOOKUP(Tablo520[[#This Row],[ÜRÜN KODU]],YMKODLARI!$A$1:$K$373,8,0)," ")</f>
        <v xml:space="preserve"> </v>
      </c>
      <c r="O337" s="100" t="str">
        <f>IFERROR(VLOOKUP(Tablo520[[#This Row],[HAMMADDE KODU]],Tablo1[#All],3,0)," ")</f>
        <v xml:space="preserve"> </v>
      </c>
      <c r="P337" s="100" t="str">
        <f>IFERROR(VLOOKUP(Tablo520[[#This Row],[HAMMADDE KODU]],Tablo1[#All],4,0)," ")</f>
        <v xml:space="preserve"> </v>
      </c>
      <c r="Q337" s="100" t="str">
        <f>IFERROR(VLOOKUP(Tablo520[[#This Row],[ÜRÜN KODU]],YMKODLARI!$A$1:$K$373,5,0)," ")</f>
        <v xml:space="preserve"> </v>
      </c>
      <c r="R337" s="100" t="str">
        <f>IFERROR(VLOOKUP(Tablo520[[#This Row],[ÜRÜN KODU]],YMKODLARI!$A$1:$K$373,6,0)," ")</f>
        <v xml:space="preserve"> </v>
      </c>
      <c r="S337" s="100" t="str">
        <f>IFERROR(Tablo520[[#This Row],[YOLLUK HARİÇ BASKI GRAMI]]/Tablo520[[#This Row],[KALIP GÖZ ADEDİ]]," ")</f>
        <v xml:space="preserve"> </v>
      </c>
      <c r="T337" s="100" t="str">
        <f t="shared" si="37"/>
        <v xml:space="preserve"> </v>
      </c>
      <c r="U337" s="100"/>
      <c r="V337" s="100" t="str">
        <f t="shared" si="36"/>
        <v xml:space="preserve"> </v>
      </c>
      <c r="W337" s="101">
        <f t="shared" si="38"/>
        <v>24</v>
      </c>
      <c r="X337" s="102">
        <f t="shared" si="39"/>
        <v>0</v>
      </c>
      <c r="Y337" s="100" t="str">
        <f t="shared" si="40"/>
        <v xml:space="preserve"> </v>
      </c>
      <c r="Z337" s="100" t="str">
        <f t="shared" si="41"/>
        <v xml:space="preserve"> </v>
      </c>
    </row>
    <row r="338" spans="1:26">
      <c r="A338" s="100"/>
      <c r="B338" s="100" t="str">
        <f>IFERROR(VLOOKUP(Tablo520[[#This Row],[ÜRÜN KODU]],YMKODLARI!$A$1:$K$373,2,0)," ")</f>
        <v xml:space="preserve"> </v>
      </c>
      <c r="C338" s="99"/>
      <c r="D338" s="100"/>
      <c r="E338" s="101"/>
      <c r="F338" s="101"/>
      <c r="G338" s="100" t="str">
        <f>IFERROR(VLOOKUP(Tablo520[[#This Row],[ÜRÜN KODU]],YMKODLARI!$A$1:$K$373,3,0)," ")</f>
        <v xml:space="preserve"> </v>
      </c>
      <c r="H338" s="100" t="str">
        <f>IFERROR(VLOOKUP(Tablo520[[#This Row],[ÜRÜN KODU]],YMKODLARI!$A$1:$K$373,4,0)," ")</f>
        <v xml:space="preserve"> </v>
      </c>
      <c r="I338" s="100"/>
      <c r="J338" s="100" t="str">
        <f>IFERROR(VLOOKUP(Tablo520[[#This Row],[ÜRÜN KODU]],YMKODLARI!$A$1:$K$373,9,0)," ")</f>
        <v xml:space="preserve"> </v>
      </c>
      <c r="K338" s="100" t="str">
        <f>IFERROR(VLOOKUP(Tablo520[[#This Row],[BOYA KODU]],Tablo14[#All],4,0)," ")</f>
        <v xml:space="preserve"> </v>
      </c>
      <c r="L338" s="100" t="str">
        <f>IFERROR(VLOOKUP(Tablo520[[#This Row],[BOYA KODU]],Tablo14[#All],6,0)," ")</f>
        <v xml:space="preserve"> </v>
      </c>
      <c r="M338" s="100" t="str">
        <f t="shared" si="35"/>
        <v xml:space="preserve"> </v>
      </c>
      <c r="N338" s="100" t="str">
        <f>IFERROR(VLOOKUP(Tablo520[[#This Row],[ÜRÜN KODU]],YMKODLARI!$A$1:$K$373,8,0)," ")</f>
        <v xml:space="preserve"> </v>
      </c>
      <c r="O338" s="100" t="str">
        <f>IFERROR(VLOOKUP(Tablo520[[#This Row],[HAMMADDE KODU]],Tablo1[#All],3,0)," ")</f>
        <v xml:space="preserve"> </v>
      </c>
      <c r="P338" s="100" t="str">
        <f>IFERROR(VLOOKUP(Tablo520[[#This Row],[HAMMADDE KODU]],Tablo1[#All],4,0)," ")</f>
        <v xml:space="preserve"> </v>
      </c>
      <c r="Q338" s="100" t="str">
        <f>IFERROR(VLOOKUP(Tablo520[[#This Row],[ÜRÜN KODU]],YMKODLARI!$A$1:$K$373,5,0)," ")</f>
        <v xml:space="preserve"> </v>
      </c>
      <c r="R338" s="100" t="str">
        <f>IFERROR(VLOOKUP(Tablo520[[#This Row],[ÜRÜN KODU]],YMKODLARI!$A$1:$K$373,6,0)," ")</f>
        <v xml:space="preserve"> </v>
      </c>
      <c r="S338" s="100" t="str">
        <f>IFERROR(Tablo520[[#This Row],[YOLLUK HARİÇ BASKI GRAMI]]/Tablo520[[#This Row],[KALIP GÖZ ADEDİ]]," ")</f>
        <v xml:space="preserve"> </v>
      </c>
      <c r="T338" s="100" t="str">
        <f t="shared" si="37"/>
        <v xml:space="preserve"> </v>
      </c>
      <c r="U338" s="100"/>
      <c r="V338" s="100" t="str">
        <f t="shared" si="36"/>
        <v xml:space="preserve"> </v>
      </c>
      <c r="W338" s="101">
        <f t="shared" si="38"/>
        <v>24</v>
      </c>
      <c r="X338" s="102">
        <f t="shared" si="39"/>
        <v>0</v>
      </c>
      <c r="Y338" s="100" t="str">
        <f t="shared" si="40"/>
        <v xml:space="preserve"> </v>
      </c>
      <c r="Z338" s="100" t="str">
        <f t="shared" si="41"/>
        <v xml:space="preserve"> </v>
      </c>
    </row>
    <row r="339" spans="1:26">
      <c r="A339" s="100"/>
      <c r="B339" s="100" t="str">
        <f>IFERROR(VLOOKUP(Tablo520[[#This Row],[ÜRÜN KODU]],YMKODLARI!$A$1:$K$373,2,0)," ")</f>
        <v xml:space="preserve"> </v>
      </c>
      <c r="C339" s="99"/>
      <c r="D339" s="100"/>
      <c r="E339" s="101"/>
      <c r="F339" s="101"/>
      <c r="G339" s="100" t="str">
        <f>IFERROR(VLOOKUP(Tablo520[[#This Row],[ÜRÜN KODU]],YMKODLARI!$A$1:$K$373,3,0)," ")</f>
        <v xml:space="preserve"> </v>
      </c>
      <c r="H339" s="100" t="str">
        <f>IFERROR(VLOOKUP(Tablo520[[#This Row],[ÜRÜN KODU]],YMKODLARI!$A$1:$K$373,4,0)," ")</f>
        <v xml:space="preserve"> </v>
      </c>
      <c r="I339" s="100"/>
      <c r="J339" s="100" t="str">
        <f>IFERROR(VLOOKUP(Tablo520[[#This Row],[ÜRÜN KODU]],YMKODLARI!$A$1:$K$373,9,0)," ")</f>
        <v xml:space="preserve"> </v>
      </c>
      <c r="K339" s="100" t="str">
        <f>IFERROR(VLOOKUP(Tablo520[[#This Row],[BOYA KODU]],Tablo14[#All],4,0)," ")</f>
        <v xml:space="preserve"> </v>
      </c>
      <c r="L339" s="100" t="str">
        <f>IFERROR(VLOOKUP(Tablo520[[#This Row],[BOYA KODU]],Tablo14[#All],6,0)," ")</f>
        <v xml:space="preserve"> </v>
      </c>
      <c r="M339" s="100" t="str">
        <f t="shared" si="35"/>
        <v xml:space="preserve"> </v>
      </c>
      <c r="N339" s="100" t="str">
        <f>IFERROR(VLOOKUP(Tablo520[[#This Row],[ÜRÜN KODU]],YMKODLARI!$A$1:$K$373,8,0)," ")</f>
        <v xml:space="preserve"> </v>
      </c>
      <c r="O339" s="100" t="str">
        <f>IFERROR(VLOOKUP(Tablo520[[#This Row],[HAMMADDE KODU]],Tablo1[#All],3,0)," ")</f>
        <v xml:space="preserve"> </v>
      </c>
      <c r="P339" s="100" t="str">
        <f>IFERROR(VLOOKUP(Tablo520[[#This Row],[HAMMADDE KODU]],Tablo1[#All],4,0)," ")</f>
        <v xml:space="preserve"> </v>
      </c>
      <c r="Q339" s="100" t="str">
        <f>IFERROR(VLOOKUP(Tablo520[[#This Row],[ÜRÜN KODU]],YMKODLARI!$A$1:$K$373,5,0)," ")</f>
        <v xml:space="preserve"> </v>
      </c>
      <c r="R339" s="100" t="str">
        <f>IFERROR(VLOOKUP(Tablo520[[#This Row],[ÜRÜN KODU]],YMKODLARI!$A$1:$K$373,6,0)," ")</f>
        <v xml:space="preserve"> </v>
      </c>
      <c r="S339" s="100" t="str">
        <f>IFERROR(Tablo520[[#This Row],[YOLLUK HARİÇ BASKI GRAMI]]/Tablo520[[#This Row],[KALIP GÖZ ADEDİ]]," ")</f>
        <v xml:space="preserve"> </v>
      </c>
      <c r="T339" s="100" t="str">
        <f t="shared" si="37"/>
        <v xml:space="preserve"> </v>
      </c>
      <c r="U339" s="100"/>
      <c r="V339" s="100" t="str">
        <f t="shared" si="36"/>
        <v xml:space="preserve"> </v>
      </c>
      <c r="W339" s="101">
        <f t="shared" si="38"/>
        <v>24</v>
      </c>
      <c r="X339" s="102">
        <f t="shared" si="39"/>
        <v>0</v>
      </c>
      <c r="Y339" s="100" t="str">
        <f t="shared" si="40"/>
        <v xml:space="preserve"> </v>
      </c>
      <c r="Z339" s="100" t="str">
        <f t="shared" si="41"/>
        <v xml:space="preserve"> </v>
      </c>
    </row>
    <row r="340" spans="1:26">
      <c r="A340" s="100"/>
      <c r="B340" s="100" t="str">
        <f>IFERROR(VLOOKUP(Tablo520[[#This Row],[ÜRÜN KODU]],YMKODLARI!$A$1:$K$373,2,0)," ")</f>
        <v xml:space="preserve"> </v>
      </c>
      <c r="C340" s="99"/>
      <c r="D340" s="100"/>
      <c r="E340" s="101"/>
      <c r="F340" s="101"/>
      <c r="G340" s="100" t="str">
        <f>IFERROR(VLOOKUP(Tablo520[[#This Row],[ÜRÜN KODU]],YMKODLARI!$A$1:$K$373,3,0)," ")</f>
        <v xml:space="preserve"> </v>
      </c>
      <c r="H340" s="100" t="str">
        <f>IFERROR(VLOOKUP(Tablo520[[#This Row],[ÜRÜN KODU]],YMKODLARI!$A$1:$K$373,4,0)," ")</f>
        <v xml:space="preserve"> </v>
      </c>
      <c r="I340" s="100"/>
      <c r="J340" s="100" t="str">
        <f>IFERROR(VLOOKUP(Tablo520[[#This Row],[ÜRÜN KODU]],YMKODLARI!$A$1:$K$373,9,0)," ")</f>
        <v xml:space="preserve"> </v>
      </c>
      <c r="K340" s="100" t="str">
        <f>IFERROR(VLOOKUP(Tablo520[[#This Row],[BOYA KODU]],Tablo14[#All],4,0)," ")</f>
        <v xml:space="preserve"> </v>
      </c>
      <c r="L340" s="100" t="str">
        <f>IFERROR(VLOOKUP(Tablo520[[#This Row],[BOYA KODU]],Tablo14[#All],6,0)," ")</f>
        <v xml:space="preserve"> </v>
      </c>
      <c r="M340" s="100" t="str">
        <f t="shared" si="35"/>
        <v xml:space="preserve"> </v>
      </c>
      <c r="N340" s="100" t="str">
        <f>IFERROR(VLOOKUP(Tablo520[[#This Row],[ÜRÜN KODU]],YMKODLARI!$A$1:$K$373,8,0)," ")</f>
        <v xml:space="preserve"> </v>
      </c>
      <c r="O340" s="100" t="str">
        <f>IFERROR(VLOOKUP(Tablo520[[#This Row],[HAMMADDE KODU]],Tablo1[#All],3,0)," ")</f>
        <v xml:space="preserve"> </v>
      </c>
      <c r="P340" s="100" t="str">
        <f>IFERROR(VLOOKUP(Tablo520[[#This Row],[HAMMADDE KODU]],Tablo1[#All],4,0)," ")</f>
        <v xml:space="preserve"> </v>
      </c>
      <c r="Q340" s="100" t="str">
        <f>IFERROR(VLOOKUP(Tablo520[[#This Row],[ÜRÜN KODU]],YMKODLARI!$A$1:$K$373,5,0)," ")</f>
        <v xml:space="preserve"> </v>
      </c>
      <c r="R340" s="100" t="str">
        <f>IFERROR(VLOOKUP(Tablo520[[#This Row],[ÜRÜN KODU]],YMKODLARI!$A$1:$K$373,6,0)," ")</f>
        <v xml:space="preserve"> </v>
      </c>
      <c r="S340" s="100" t="str">
        <f>IFERROR(Tablo520[[#This Row],[YOLLUK HARİÇ BASKI GRAMI]]/Tablo520[[#This Row],[KALIP GÖZ ADEDİ]]," ")</f>
        <v xml:space="preserve"> </v>
      </c>
      <c r="T340" s="100" t="str">
        <f t="shared" si="37"/>
        <v xml:space="preserve"> </v>
      </c>
      <c r="U340" s="100"/>
      <c r="V340" s="100" t="str">
        <f t="shared" si="36"/>
        <v xml:space="preserve"> </v>
      </c>
      <c r="W340" s="101">
        <f t="shared" si="38"/>
        <v>24</v>
      </c>
      <c r="X340" s="102">
        <f t="shared" si="39"/>
        <v>0</v>
      </c>
      <c r="Y340" s="100" t="str">
        <f t="shared" si="40"/>
        <v xml:space="preserve"> </v>
      </c>
      <c r="Z340" s="100" t="str">
        <f t="shared" si="41"/>
        <v xml:space="preserve"> </v>
      </c>
    </row>
    <row r="341" spans="1:26">
      <c r="A341" s="100"/>
      <c r="B341" s="100" t="str">
        <f>IFERROR(VLOOKUP(Tablo520[[#This Row],[ÜRÜN KODU]],YMKODLARI!$A$1:$K$373,2,0)," ")</f>
        <v xml:space="preserve"> </v>
      </c>
      <c r="C341" s="99"/>
      <c r="D341" s="100"/>
      <c r="E341" s="101"/>
      <c r="F341" s="101"/>
      <c r="G341" s="100" t="str">
        <f>IFERROR(VLOOKUP(Tablo520[[#This Row],[ÜRÜN KODU]],YMKODLARI!$A$1:$K$373,3,0)," ")</f>
        <v xml:space="preserve"> </v>
      </c>
      <c r="H341" s="100" t="str">
        <f>IFERROR(VLOOKUP(Tablo520[[#This Row],[ÜRÜN KODU]],YMKODLARI!$A$1:$K$373,4,0)," ")</f>
        <v xml:space="preserve"> </v>
      </c>
      <c r="I341" s="100"/>
      <c r="J341" s="100" t="str">
        <f>IFERROR(VLOOKUP(Tablo520[[#This Row],[ÜRÜN KODU]],YMKODLARI!$A$1:$K$373,9,0)," ")</f>
        <v xml:space="preserve"> </v>
      </c>
      <c r="K341" s="100" t="str">
        <f>IFERROR(VLOOKUP(Tablo520[[#This Row],[BOYA KODU]],Tablo14[#All],4,0)," ")</f>
        <v xml:space="preserve"> </v>
      </c>
      <c r="L341" s="100" t="str">
        <f>IFERROR(VLOOKUP(Tablo520[[#This Row],[BOYA KODU]],Tablo14[#All],6,0)," ")</f>
        <v xml:space="preserve"> </v>
      </c>
      <c r="M341" s="100" t="str">
        <f t="shared" si="35"/>
        <v xml:space="preserve"> </v>
      </c>
      <c r="N341" s="100" t="str">
        <f>IFERROR(VLOOKUP(Tablo520[[#This Row],[ÜRÜN KODU]],YMKODLARI!$A$1:$K$373,8,0)," ")</f>
        <v xml:space="preserve"> </v>
      </c>
      <c r="O341" s="100" t="str">
        <f>IFERROR(VLOOKUP(Tablo520[[#This Row],[HAMMADDE KODU]],Tablo1[#All],3,0)," ")</f>
        <v xml:space="preserve"> </v>
      </c>
      <c r="P341" s="100" t="str">
        <f>IFERROR(VLOOKUP(Tablo520[[#This Row],[HAMMADDE KODU]],Tablo1[#All],4,0)," ")</f>
        <v xml:space="preserve"> </v>
      </c>
      <c r="Q341" s="100" t="str">
        <f>IFERROR(VLOOKUP(Tablo520[[#This Row],[ÜRÜN KODU]],YMKODLARI!$A$1:$K$373,5,0)," ")</f>
        <v xml:space="preserve"> </v>
      </c>
      <c r="R341" s="100" t="str">
        <f>IFERROR(VLOOKUP(Tablo520[[#This Row],[ÜRÜN KODU]],YMKODLARI!$A$1:$K$373,6,0)," ")</f>
        <v xml:space="preserve"> </v>
      </c>
      <c r="S341" s="100" t="str">
        <f>IFERROR(Tablo520[[#This Row],[YOLLUK HARİÇ BASKI GRAMI]]/Tablo520[[#This Row],[KALIP GÖZ ADEDİ]]," ")</f>
        <v xml:space="preserve"> </v>
      </c>
      <c r="T341" s="100" t="str">
        <f t="shared" si="37"/>
        <v xml:space="preserve"> </v>
      </c>
      <c r="U341" s="100"/>
      <c r="V341" s="100" t="str">
        <f t="shared" si="36"/>
        <v xml:space="preserve"> </v>
      </c>
      <c r="W341" s="101">
        <f t="shared" si="38"/>
        <v>24</v>
      </c>
      <c r="X341" s="102">
        <f t="shared" si="39"/>
        <v>0</v>
      </c>
      <c r="Y341" s="100" t="str">
        <f t="shared" si="40"/>
        <v xml:space="preserve"> </v>
      </c>
      <c r="Z341" s="100" t="str">
        <f t="shared" si="41"/>
        <v xml:space="preserve"> </v>
      </c>
    </row>
    <row r="342" spans="1:26">
      <c r="A342" s="100"/>
      <c r="B342" s="100" t="str">
        <f>IFERROR(VLOOKUP(Tablo520[[#This Row],[ÜRÜN KODU]],YMKODLARI!$A$1:$K$373,2,0)," ")</f>
        <v xml:space="preserve"> </v>
      </c>
      <c r="C342" s="99"/>
      <c r="D342" s="100"/>
      <c r="E342" s="101"/>
      <c r="F342" s="101"/>
      <c r="G342" s="100" t="str">
        <f>IFERROR(VLOOKUP(Tablo520[[#This Row],[ÜRÜN KODU]],YMKODLARI!$A$1:$K$373,3,0)," ")</f>
        <v xml:space="preserve"> </v>
      </c>
      <c r="H342" s="100" t="str">
        <f>IFERROR(VLOOKUP(Tablo520[[#This Row],[ÜRÜN KODU]],YMKODLARI!$A$1:$K$373,4,0)," ")</f>
        <v xml:space="preserve"> </v>
      </c>
      <c r="I342" s="100"/>
      <c r="J342" s="100" t="str">
        <f>IFERROR(VLOOKUP(Tablo520[[#This Row],[ÜRÜN KODU]],YMKODLARI!$A$1:$K$373,9,0)," ")</f>
        <v xml:space="preserve"> </v>
      </c>
      <c r="K342" s="100" t="str">
        <f>IFERROR(VLOOKUP(Tablo520[[#This Row],[BOYA KODU]],Tablo14[#All],4,0)," ")</f>
        <v xml:space="preserve"> </v>
      </c>
      <c r="L342" s="100" t="str">
        <f>IFERROR(VLOOKUP(Tablo520[[#This Row],[BOYA KODU]],Tablo14[#All],6,0)," ")</f>
        <v xml:space="preserve"> </v>
      </c>
      <c r="M342" s="100" t="str">
        <f t="shared" si="35"/>
        <v xml:space="preserve"> </v>
      </c>
      <c r="N342" s="100" t="str">
        <f>IFERROR(VLOOKUP(Tablo520[[#This Row],[ÜRÜN KODU]],YMKODLARI!$A$1:$K$373,8,0)," ")</f>
        <v xml:space="preserve"> </v>
      </c>
      <c r="O342" s="100" t="str">
        <f>IFERROR(VLOOKUP(Tablo520[[#This Row],[HAMMADDE KODU]],Tablo1[#All],3,0)," ")</f>
        <v xml:space="preserve"> </v>
      </c>
      <c r="P342" s="100" t="str">
        <f>IFERROR(VLOOKUP(Tablo520[[#This Row],[HAMMADDE KODU]],Tablo1[#All],4,0)," ")</f>
        <v xml:space="preserve"> </v>
      </c>
      <c r="Q342" s="100" t="str">
        <f>IFERROR(VLOOKUP(Tablo520[[#This Row],[ÜRÜN KODU]],YMKODLARI!$A$1:$K$373,5,0)," ")</f>
        <v xml:space="preserve"> </v>
      </c>
      <c r="R342" s="100" t="str">
        <f>IFERROR(VLOOKUP(Tablo520[[#This Row],[ÜRÜN KODU]],YMKODLARI!$A$1:$K$373,6,0)," ")</f>
        <v xml:space="preserve"> </v>
      </c>
      <c r="S342" s="100" t="str">
        <f>IFERROR(Tablo520[[#This Row],[YOLLUK HARİÇ BASKI GRAMI]]/Tablo520[[#This Row],[KALIP GÖZ ADEDİ]]," ")</f>
        <v xml:space="preserve"> </v>
      </c>
      <c r="T342" s="100" t="str">
        <f t="shared" si="37"/>
        <v xml:space="preserve"> </v>
      </c>
      <c r="U342" s="100"/>
      <c r="V342" s="100" t="str">
        <f t="shared" si="36"/>
        <v xml:space="preserve"> </v>
      </c>
      <c r="W342" s="101">
        <f t="shared" si="38"/>
        <v>24</v>
      </c>
      <c r="X342" s="102">
        <f t="shared" si="39"/>
        <v>0</v>
      </c>
      <c r="Y342" s="100" t="str">
        <f t="shared" si="40"/>
        <v xml:space="preserve"> </v>
      </c>
      <c r="Z342" s="100" t="str">
        <f t="shared" si="41"/>
        <v xml:space="preserve"> </v>
      </c>
    </row>
    <row r="343" spans="1:26">
      <c r="A343" s="100"/>
      <c r="B343" s="100" t="str">
        <f>IFERROR(VLOOKUP(Tablo520[[#This Row],[ÜRÜN KODU]],YMKODLARI!$A$1:$K$373,2,0)," ")</f>
        <v xml:space="preserve"> </v>
      </c>
      <c r="C343" s="99"/>
      <c r="D343" s="100"/>
      <c r="E343" s="101"/>
      <c r="F343" s="101"/>
      <c r="G343" s="100" t="str">
        <f>IFERROR(VLOOKUP(Tablo520[[#This Row],[ÜRÜN KODU]],YMKODLARI!$A$1:$K$373,3,0)," ")</f>
        <v xml:space="preserve"> </v>
      </c>
      <c r="H343" s="100" t="str">
        <f>IFERROR(VLOOKUP(Tablo520[[#This Row],[ÜRÜN KODU]],YMKODLARI!$A$1:$K$373,4,0)," ")</f>
        <v xml:space="preserve"> </v>
      </c>
      <c r="I343" s="100"/>
      <c r="J343" s="100" t="str">
        <f>IFERROR(VLOOKUP(Tablo520[[#This Row],[ÜRÜN KODU]],YMKODLARI!$A$1:$K$373,9,0)," ")</f>
        <v xml:space="preserve"> </v>
      </c>
      <c r="K343" s="100" t="str">
        <f>IFERROR(VLOOKUP(Tablo520[[#This Row],[BOYA KODU]],Tablo14[#All],4,0)," ")</f>
        <v xml:space="preserve"> </v>
      </c>
      <c r="L343" s="100" t="str">
        <f>IFERROR(VLOOKUP(Tablo520[[#This Row],[BOYA KODU]],Tablo14[#All],6,0)," ")</f>
        <v xml:space="preserve"> </v>
      </c>
      <c r="M343" s="100" t="str">
        <f t="shared" si="35"/>
        <v xml:space="preserve"> </v>
      </c>
      <c r="N343" s="100" t="str">
        <f>IFERROR(VLOOKUP(Tablo520[[#This Row],[ÜRÜN KODU]],YMKODLARI!$A$1:$K$373,8,0)," ")</f>
        <v xml:space="preserve"> </v>
      </c>
      <c r="O343" s="100" t="str">
        <f>IFERROR(VLOOKUP(Tablo520[[#This Row],[HAMMADDE KODU]],Tablo1[#All],3,0)," ")</f>
        <v xml:space="preserve"> </v>
      </c>
      <c r="P343" s="100" t="str">
        <f>IFERROR(VLOOKUP(Tablo520[[#This Row],[HAMMADDE KODU]],Tablo1[#All],4,0)," ")</f>
        <v xml:space="preserve"> </v>
      </c>
      <c r="Q343" s="100" t="str">
        <f>IFERROR(VLOOKUP(Tablo520[[#This Row],[ÜRÜN KODU]],YMKODLARI!$A$1:$K$373,5,0)," ")</f>
        <v xml:space="preserve"> </v>
      </c>
      <c r="R343" s="100" t="str">
        <f>IFERROR(VLOOKUP(Tablo520[[#This Row],[ÜRÜN KODU]],YMKODLARI!$A$1:$K$373,6,0)," ")</f>
        <v xml:space="preserve"> </v>
      </c>
      <c r="S343" s="100" t="str">
        <f>IFERROR(Tablo520[[#This Row],[YOLLUK HARİÇ BASKI GRAMI]]/Tablo520[[#This Row],[KALIP GÖZ ADEDİ]]," ")</f>
        <v xml:space="preserve"> </v>
      </c>
      <c r="T343" s="100" t="str">
        <f t="shared" si="37"/>
        <v xml:space="preserve"> </v>
      </c>
      <c r="U343" s="100"/>
      <c r="V343" s="100" t="str">
        <f t="shared" si="36"/>
        <v xml:space="preserve"> </v>
      </c>
      <c r="W343" s="101">
        <f t="shared" si="38"/>
        <v>24</v>
      </c>
      <c r="X343" s="102">
        <f t="shared" si="39"/>
        <v>0</v>
      </c>
      <c r="Y343" s="100" t="str">
        <f t="shared" si="40"/>
        <v xml:space="preserve"> </v>
      </c>
      <c r="Z343" s="100" t="str">
        <f t="shared" si="41"/>
        <v xml:space="preserve"> </v>
      </c>
    </row>
    <row r="344" spans="1:26">
      <c r="A344" s="100"/>
      <c r="B344" s="100" t="str">
        <f>IFERROR(VLOOKUP(Tablo520[[#This Row],[ÜRÜN KODU]],YMKODLARI!$A$1:$K$373,2,0)," ")</f>
        <v xml:space="preserve"> </v>
      </c>
      <c r="C344" s="99"/>
      <c r="D344" s="100"/>
      <c r="E344" s="101"/>
      <c r="F344" s="101"/>
      <c r="G344" s="100" t="str">
        <f>IFERROR(VLOOKUP(Tablo520[[#This Row],[ÜRÜN KODU]],YMKODLARI!$A$1:$K$373,3,0)," ")</f>
        <v xml:space="preserve"> </v>
      </c>
      <c r="H344" s="100" t="str">
        <f>IFERROR(VLOOKUP(Tablo520[[#This Row],[ÜRÜN KODU]],YMKODLARI!$A$1:$K$373,4,0)," ")</f>
        <v xml:space="preserve"> </v>
      </c>
      <c r="I344" s="100"/>
      <c r="J344" s="100" t="str">
        <f>IFERROR(VLOOKUP(Tablo520[[#This Row],[ÜRÜN KODU]],YMKODLARI!$A$1:$K$373,9,0)," ")</f>
        <v xml:space="preserve"> </v>
      </c>
      <c r="K344" s="100" t="str">
        <f>IFERROR(VLOOKUP(Tablo520[[#This Row],[BOYA KODU]],Tablo14[#All],4,0)," ")</f>
        <v xml:space="preserve"> </v>
      </c>
      <c r="L344" s="100" t="str">
        <f>IFERROR(VLOOKUP(Tablo520[[#This Row],[BOYA KODU]],Tablo14[#All],6,0)," ")</f>
        <v xml:space="preserve"> </v>
      </c>
      <c r="M344" s="100" t="str">
        <f t="shared" si="35"/>
        <v xml:space="preserve"> </v>
      </c>
      <c r="N344" s="100" t="str">
        <f>IFERROR(VLOOKUP(Tablo520[[#This Row],[ÜRÜN KODU]],YMKODLARI!$A$1:$K$373,8,0)," ")</f>
        <v xml:space="preserve"> </v>
      </c>
      <c r="O344" s="100" t="str">
        <f>IFERROR(VLOOKUP(Tablo520[[#This Row],[HAMMADDE KODU]],Tablo1[#All],3,0)," ")</f>
        <v xml:space="preserve"> </v>
      </c>
      <c r="P344" s="100" t="str">
        <f>IFERROR(VLOOKUP(Tablo520[[#This Row],[HAMMADDE KODU]],Tablo1[#All],4,0)," ")</f>
        <v xml:space="preserve"> </v>
      </c>
      <c r="Q344" s="100" t="str">
        <f>IFERROR(VLOOKUP(Tablo520[[#This Row],[ÜRÜN KODU]],YMKODLARI!$A$1:$K$373,5,0)," ")</f>
        <v xml:space="preserve"> </v>
      </c>
      <c r="R344" s="100" t="str">
        <f>IFERROR(VLOOKUP(Tablo520[[#This Row],[ÜRÜN KODU]],YMKODLARI!$A$1:$K$373,6,0)," ")</f>
        <v xml:space="preserve"> </v>
      </c>
      <c r="S344" s="100" t="str">
        <f>IFERROR(Tablo520[[#This Row],[YOLLUK HARİÇ BASKI GRAMI]]/Tablo520[[#This Row],[KALIP GÖZ ADEDİ]]," ")</f>
        <v xml:space="preserve"> </v>
      </c>
      <c r="T344" s="100" t="str">
        <f t="shared" si="37"/>
        <v xml:space="preserve"> </v>
      </c>
      <c r="U344" s="100"/>
      <c r="V344" s="100" t="str">
        <f t="shared" si="36"/>
        <v xml:space="preserve"> </v>
      </c>
      <c r="W344" s="101">
        <f t="shared" si="38"/>
        <v>24</v>
      </c>
      <c r="X344" s="102">
        <f t="shared" si="39"/>
        <v>0</v>
      </c>
      <c r="Y344" s="100" t="str">
        <f t="shared" si="40"/>
        <v xml:space="preserve"> </v>
      </c>
      <c r="Z344" s="100" t="str">
        <f t="shared" si="41"/>
        <v xml:space="preserve"> </v>
      </c>
    </row>
    <row r="345" spans="1:26">
      <c r="A345" s="100"/>
      <c r="B345" s="100" t="str">
        <f>IFERROR(VLOOKUP(Tablo520[[#This Row],[ÜRÜN KODU]],YMKODLARI!$A$1:$K$373,2,0)," ")</f>
        <v xml:space="preserve"> </v>
      </c>
      <c r="C345" s="99"/>
      <c r="D345" s="100"/>
      <c r="E345" s="101"/>
      <c r="F345" s="101"/>
      <c r="G345" s="100" t="str">
        <f>IFERROR(VLOOKUP(Tablo520[[#This Row],[ÜRÜN KODU]],YMKODLARI!$A$1:$K$373,3,0)," ")</f>
        <v xml:space="preserve"> </v>
      </c>
      <c r="H345" s="100" t="str">
        <f>IFERROR(VLOOKUP(Tablo520[[#This Row],[ÜRÜN KODU]],YMKODLARI!$A$1:$K$373,4,0)," ")</f>
        <v xml:space="preserve"> </v>
      </c>
      <c r="I345" s="100"/>
      <c r="J345" s="100" t="str">
        <f>IFERROR(VLOOKUP(Tablo520[[#This Row],[ÜRÜN KODU]],YMKODLARI!$A$1:$K$373,9,0)," ")</f>
        <v xml:space="preserve"> </v>
      </c>
      <c r="K345" s="100" t="str">
        <f>IFERROR(VLOOKUP(Tablo520[[#This Row],[BOYA KODU]],Tablo14[#All],4,0)," ")</f>
        <v xml:space="preserve"> </v>
      </c>
      <c r="L345" s="100" t="str">
        <f>IFERROR(VLOOKUP(Tablo520[[#This Row],[BOYA KODU]],Tablo14[#All],6,0)," ")</f>
        <v xml:space="preserve"> </v>
      </c>
      <c r="M345" s="100" t="str">
        <f t="shared" si="35"/>
        <v xml:space="preserve"> </v>
      </c>
      <c r="N345" s="100" t="str">
        <f>IFERROR(VLOOKUP(Tablo520[[#This Row],[ÜRÜN KODU]],YMKODLARI!$A$1:$K$373,8,0)," ")</f>
        <v xml:space="preserve"> </v>
      </c>
      <c r="O345" s="100" t="str">
        <f>IFERROR(VLOOKUP(Tablo520[[#This Row],[HAMMADDE KODU]],Tablo1[#All],3,0)," ")</f>
        <v xml:space="preserve"> </v>
      </c>
      <c r="P345" s="100" t="str">
        <f>IFERROR(VLOOKUP(Tablo520[[#This Row],[HAMMADDE KODU]],Tablo1[#All],4,0)," ")</f>
        <v xml:space="preserve"> </v>
      </c>
      <c r="Q345" s="100" t="str">
        <f>IFERROR(VLOOKUP(Tablo520[[#This Row],[ÜRÜN KODU]],YMKODLARI!$A$1:$K$373,5,0)," ")</f>
        <v xml:space="preserve"> </v>
      </c>
      <c r="R345" s="100" t="str">
        <f>IFERROR(VLOOKUP(Tablo520[[#This Row],[ÜRÜN KODU]],YMKODLARI!$A$1:$K$373,6,0)," ")</f>
        <v xml:space="preserve"> </v>
      </c>
      <c r="S345" s="100" t="str">
        <f>IFERROR(Tablo520[[#This Row],[YOLLUK HARİÇ BASKI GRAMI]]/Tablo520[[#This Row],[KALIP GÖZ ADEDİ]]," ")</f>
        <v xml:space="preserve"> </v>
      </c>
      <c r="T345" s="100" t="str">
        <f t="shared" si="37"/>
        <v xml:space="preserve"> </v>
      </c>
      <c r="U345" s="100"/>
      <c r="V345" s="100" t="str">
        <f t="shared" si="36"/>
        <v xml:space="preserve"> </v>
      </c>
      <c r="W345" s="101">
        <f t="shared" si="38"/>
        <v>24</v>
      </c>
      <c r="X345" s="102">
        <f t="shared" si="39"/>
        <v>0</v>
      </c>
      <c r="Y345" s="100" t="str">
        <f t="shared" si="40"/>
        <v xml:space="preserve"> </v>
      </c>
      <c r="Z345" s="100" t="str">
        <f t="shared" si="41"/>
        <v xml:space="preserve"> </v>
      </c>
    </row>
    <row r="346" spans="1:26">
      <c r="A346" s="100"/>
      <c r="B346" s="100" t="str">
        <f>IFERROR(VLOOKUP(Tablo520[[#This Row],[ÜRÜN KODU]],YMKODLARI!$A$1:$K$373,2,0)," ")</f>
        <v xml:space="preserve"> </v>
      </c>
      <c r="C346" s="99"/>
      <c r="D346" s="100"/>
      <c r="E346" s="101"/>
      <c r="F346" s="101"/>
      <c r="G346" s="100" t="str">
        <f>IFERROR(VLOOKUP(Tablo520[[#This Row],[ÜRÜN KODU]],YMKODLARI!$A$1:$K$373,3,0)," ")</f>
        <v xml:space="preserve"> </v>
      </c>
      <c r="H346" s="100" t="str">
        <f>IFERROR(VLOOKUP(Tablo520[[#This Row],[ÜRÜN KODU]],YMKODLARI!$A$1:$K$373,4,0)," ")</f>
        <v xml:space="preserve"> </v>
      </c>
      <c r="I346" s="100"/>
      <c r="J346" s="100" t="str">
        <f>IFERROR(VLOOKUP(Tablo520[[#This Row],[ÜRÜN KODU]],YMKODLARI!$A$1:$K$373,9,0)," ")</f>
        <v xml:space="preserve"> </v>
      </c>
      <c r="K346" s="100" t="str">
        <f>IFERROR(VLOOKUP(Tablo520[[#This Row],[BOYA KODU]],Tablo14[#All],4,0)," ")</f>
        <v xml:space="preserve"> </v>
      </c>
      <c r="L346" s="100" t="str">
        <f>IFERROR(VLOOKUP(Tablo520[[#This Row],[BOYA KODU]],Tablo14[#All],6,0)," ")</f>
        <v xml:space="preserve"> </v>
      </c>
      <c r="M346" s="100" t="str">
        <f t="shared" si="35"/>
        <v xml:space="preserve"> </v>
      </c>
      <c r="N346" s="100" t="str">
        <f>IFERROR(VLOOKUP(Tablo520[[#This Row],[ÜRÜN KODU]],YMKODLARI!$A$1:$K$373,8,0)," ")</f>
        <v xml:space="preserve"> </v>
      </c>
      <c r="O346" s="100" t="str">
        <f>IFERROR(VLOOKUP(Tablo520[[#This Row],[HAMMADDE KODU]],Tablo1[#All],3,0)," ")</f>
        <v xml:space="preserve"> </v>
      </c>
      <c r="P346" s="100" t="str">
        <f>IFERROR(VLOOKUP(Tablo520[[#This Row],[HAMMADDE KODU]],Tablo1[#All],4,0)," ")</f>
        <v xml:space="preserve"> </v>
      </c>
      <c r="Q346" s="100" t="str">
        <f>IFERROR(VLOOKUP(Tablo520[[#This Row],[ÜRÜN KODU]],YMKODLARI!$A$1:$K$373,5,0)," ")</f>
        <v xml:space="preserve"> </v>
      </c>
      <c r="R346" s="100" t="str">
        <f>IFERROR(VLOOKUP(Tablo520[[#This Row],[ÜRÜN KODU]],YMKODLARI!$A$1:$K$373,6,0)," ")</f>
        <v xml:space="preserve"> </v>
      </c>
      <c r="S346" s="100" t="str">
        <f>IFERROR(Tablo520[[#This Row],[YOLLUK HARİÇ BASKI GRAMI]]/Tablo520[[#This Row],[KALIP GÖZ ADEDİ]]," ")</f>
        <v xml:space="preserve"> </v>
      </c>
      <c r="T346" s="100" t="str">
        <f t="shared" si="37"/>
        <v xml:space="preserve"> </v>
      </c>
      <c r="U346" s="100"/>
      <c r="V346" s="100" t="str">
        <f t="shared" si="36"/>
        <v xml:space="preserve"> </v>
      </c>
      <c r="W346" s="101">
        <f t="shared" si="38"/>
        <v>24</v>
      </c>
      <c r="X346" s="102">
        <f t="shared" si="39"/>
        <v>0</v>
      </c>
      <c r="Y346" s="100" t="str">
        <f t="shared" si="40"/>
        <v xml:space="preserve"> </v>
      </c>
      <c r="Z346" s="100" t="str">
        <f t="shared" si="41"/>
        <v xml:space="preserve"> </v>
      </c>
    </row>
    <row r="347" spans="1:26">
      <c r="A347" s="100"/>
      <c r="B347" s="100" t="str">
        <f>IFERROR(VLOOKUP(Tablo520[[#This Row],[ÜRÜN KODU]],YMKODLARI!$A$1:$K$373,2,0)," ")</f>
        <v xml:space="preserve"> </v>
      </c>
      <c r="C347" s="99"/>
      <c r="D347" s="100"/>
      <c r="E347" s="101"/>
      <c r="F347" s="101"/>
      <c r="G347" s="100" t="str">
        <f>IFERROR(VLOOKUP(Tablo520[[#This Row],[ÜRÜN KODU]],YMKODLARI!$A$1:$K$373,3,0)," ")</f>
        <v xml:space="preserve"> </v>
      </c>
      <c r="H347" s="100" t="str">
        <f>IFERROR(VLOOKUP(Tablo520[[#This Row],[ÜRÜN KODU]],YMKODLARI!$A$1:$K$373,4,0)," ")</f>
        <v xml:space="preserve"> </v>
      </c>
      <c r="I347" s="100"/>
      <c r="J347" s="100" t="str">
        <f>IFERROR(VLOOKUP(Tablo520[[#This Row],[ÜRÜN KODU]],YMKODLARI!$A$1:$K$373,9,0)," ")</f>
        <v xml:space="preserve"> </v>
      </c>
      <c r="K347" s="100" t="str">
        <f>IFERROR(VLOOKUP(Tablo520[[#This Row],[BOYA KODU]],Tablo14[#All],4,0)," ")</f>
        <v xml:space="preserve"> </v>
      </c>
      <c r="L347" s="100" t="str">
        <f>IFERROR(VLOOKUP(Tablo520[[#This Row],[BOYA KODU]],Tablo14[#All],6,0)," ")</f>
        <v xml:space="preserve"> </v>
      </c>
      <c r="M347" s="100" t="str">
        <f t="shared" si="35"/>
        <v xml:space="preserve"> </v>
      </c>
      <c r="N347" s="100" t="str">
        <f>IFERROR(VLOOKUP(Tablo520[[#This Row],[ÜRÜN KODU]],YMKODLARI!$A$1:$K$373,8,0)," ")</f>
        <v xml:space="preserve"> </v>
      </c>
      <c r="O347" s="100" t="str">
        <f>IFERROR(VLOOKUP(Tablo520[[#This Row],[HAMMADDE KODU]],Tablo1[#All],3,0)," ")</f>
        <v xml:space="preserve"> </v>
      </c>
      <c r="P347" s="100" t="str">
        <f>IFERROR(VLOOKUP(Tablo520[[#This Row],[HAMMADDE KODU]],Tablo1[#All],4,0)," ")</f>
        <v xml:space="preserve"> </v>
      </c>
      <c r="Q347" s="100" t="str">
        <f>IFERROR(VLOOKUP(Tablo520[[#This Row],[ÜRÜN KODU]],YMKODLARI!$A$1:$K$373,5,0)," ")</f>
        <v xml:space="preserve"> </v>
      </c>
      <c r="R347" s="100" t="str">
        <f>IFERROR(VLOOKUP(Tablo520[[#This Row],[ÜRÜN KODU]],YMKODLARI!$A$1:$K$373,6,0)," ")</f>
        <v xml:space="preserve"> </v>
      </c>
      <c r="S347" s="100" t="str">
        <f>IFERROR(Tablo520[[#This Row],[YOLLUK HARİÇ BASKI GRAMI]]/Tablo520[[#This Row],[KALIP GÖZ ADEDİ]]," ")</f>
        <v xml:space="preserve"> </v>
      </c>
      <c r="T347" s="100" t="str">
        <f t="shared" si="37"/>
        <v xml:space="preserve"> </v>
      </c>
      <c r="U347" s="100"/>
      <c r="V347" s="100" t="str">
        <f t="shared" si="36"/>
        <v xml:space="preserve"> </v>
      </c>
      <c r="W347" s="101">
        <f t="shared" si="38"/>
        <v>24</v>
      </c>
      <c r="X347" s="102">
        <f t="shared" si="39"/>
        <v>0</v>
      </c>
      <c r="Y347" s="100" t="str">
        <f t="shared" si="40"/>
        <v xml:space="preserve"> </v>
      </c>
      <c r="Z347" s="100" t="str">
        <f t="shared" si="41"/>
        <v xml:space="preserve"> </v>
      </c>
    </row>
    <row r="348" spans="1:26">
      <c r="A348" s="100"/>
      <c r="B348" s="100" t="str">
        <f>IFERROR(VLOOKUP(Tablo520[[#This Row],[ÜRÜN KODU]],YMKODLARI!$A$1:$K$373,2,0)," ")</f>
        <v xml:space="preserve"> </v>
      </c>
      <c r="C348" s="99"/>
      <c r="D348" s="100"/>
      <c r="E348" s="101"/>
      <c r="F348" s="101"/>
      <c r="G348" s="100" t="str">
        <f>IFERROR(VLOOKUP(Tablo520[[#This Row],[ÜRÜN KODU]],YMKODLARI!$A$1:$K$373,3,0)," ")</f>
        <v xml:space="preserve"> </v>
      </c>
      <c r="H348" s="100" t="str">
        <f>IFERROR(VLOOKUP(Tablo520[[#This Row],[ÜRÜN KODU]],YMKODLARI!$A$1:$K$373,4,0)," ")</f>
        <v xml:space="preserve"> </v>
      </c>
      <c r="I348" s="100"/>
      <c r="J348" s="100" t="str">
        <f>IFERROR(VLOOKUP(Tablo520[[#This Row],[ÜRÜN KODU]],YMKODLARI!$A$1:$K$373,9,0)," ")</f>
        <v xml:space="preserve"> </v>
      </c>
      <c r="K348" s="100" t="str">
        <f>IFERROR(VLOOKUP(Tablo520[[#This Row],[BOYA KODU]],Tablo14[#All],4,0)," ")</f>
        <v xml:space="preserve"> </v>
      </c>
      <c r="L348" s="100" t="str">
        <f>IFERROR(VLOOKUP(Tablo520[[#This Row],[BOYA KODU]],Tablo14[#All],6,0)," ")</f>
        <v xml:space="preserve"> </v>
      </c>
      <c r="M348" s="100" t="str">
        <f t="shared" si="35"/>
        <v xml:space="preserve"> </v>
      </c>
      <c r="N348" s="100" t="str">
        <f>IFERROR(VLOOKUP(Tablo520[[#This Row],[ÜRÜN KODU]],YMKODLARI!$A$1:$K$373,8,0)," ")</f>
        <v xml:space="preserve"> </v>
      </c>
      <c r="O348" s="100" t="str">
        <f>IFERROR(VLOOKUP(Tablo520[[#This Row],[HAMMADDE KODU]],Tablo1[#All],3,0)," ")</f>
        <v xml:space="preserve"> </v>
      </c>
      <c r="P348" s="100" t="str">
        <f>IFERROR(VLOOKUP(Tablo520[[#This Row],[HAMMADDE KODU]],Tablo1[#All],4,0)," ")</f>
        <v xml:space="preserve"> </v>
      </c>
      <c r="Q348" s="100" t="str">
        <f>IFERROR(VLOOKUP(Tablo520[[#This Row],[ÜRÜN KODU]],YMKODLARI!$A$1:$K$373,5,0)," ")</f>
        <v xml:space="preserve"> </v>
      </c>
      <c r="R348" s="100" t="str">
        <f>IFERROR(VLOOKUP(Tablo520[[#This Row],[ÜRÜN KODU]],YMKODLARI!$A$1:$K$373,6,0)," ")</f>
        <v xml:space="preserve"> </v>
      </c>
      <c r="S348" s="100" t="str">
        <f>IFERROR(Tablo520[[#This Row],[YOLLUK HARİÇ BASKI GRAMI]]/Tablo520[[#This Row],[KALIP GÖZ ADEDİ]]," ")</f>
        <v xml:space="preserve"> </v>
      </c>
      <c r="T348" s="100" t="str">
        <f t="shared" si="37"/>
        <v xml:space="preserve"> </v>
      </c>
      <c r="U348" s="100"/>
      <c r="V348" s="100" t="str">
        <f t="shared" si="36"/>
        <v xml:space="preserve"> </v>
      </c>
      <c r="W348" s="101">
        <f t="shared" si="38"/>
        <v>24</v>
      </c>
      <c r="X348" s="102">
        <f t="shared" si="39"/>
        <v>0</v>
      </c>
      <c r="Y348" s="100" t="str">
        <f t="shared" si="40"/>
        <v xml:space="preserve"> </v>
      </c>
      <c r="Z348" s="100" t="str">
        <f t="shared" si="41"/>
        <v xml:space="preserve"> </v>
      </c>
    </row>
    <row r="349" spans="1:26">
      <c r="A349" s="100"/>
      <c r="B349" s="100" t="str">
        <f>IFERROR(VLOOKUP(Tablo520[[#This Row],[ÜRÜN KODU]],YMKODLARI!$A$1:$K$373,2,0)," ")</f>
        <v xml:space="preserve"> </v>
      </c>
      <c r="C349" s="99"/>
      <c r="D349" s="100"/>
      <c r="E349" s="101"/>
      <c r="F349" s="101"/>
      <c r="G349" s="100" t="str">
        <f>IFERROR(VLOOKUP(Tablo520[[#This Row],[ÜRÜN KODU]],YMKODLARI!$A$1:$K$373,3,0)," ")</f>
        <v xml:space="preserve"> </v>
      </c>
      <c r="H349" s="100" t="str">
        <f>IFERROR(VLOOKUP(Tablo520[[#This Row],[ÜRÜN KODU]],YMKODLARI!$A$1:$K$373,4,0)," ")</f>
        <v xml:space="preserve"> </v>
      </c>
      <c r="I349" s="100"/>
      <c r="J349" s="100" t="str">
        <f>IFERROR(VLOOKUP(Tablo520[[#This Row],[ÜRÜN KODU]],YMKODLARI!$A$1:$K$373,9,0)," ")</f>
        <v xml:space="preserve"> </v>
      </c>
      <c r="K349" s="100" t="str">
        <f>IFERROR(VLOOKUP(Tablo520[[#This Row],[BOYA KODU]],Tablo14[#All],4,0)," ")</f>
        <v xml:space="preserve"> </v>
      </c>
      <c r="L349" s="100" t="str">
        <f>IFERROR(VLOOKUP(Tablo520[[#This Row],[BOYA KODU]],Tablo14[#All],6,0)," ")</f>
        <v xml:space="preserve"> </v>
      </c>
      <c r="M349" s="100" t="str">
        <f t="shared" si="35"/>
        <v xml:space="preserve"> </v>
      </c>
      <c r="N349" s="100" t="str">
        <f>IFERROR(VLOOKUP(Tablo520[[#This Row],[ÜRÜN KODU]],YMKODLARI!$A$1:$K$373,8,0)," ")</f>
        <v xml:space="preserve"> </v>
      </c>
      <c r="O349" s="100" t="str">
        <f>IFERROR(VLOOKUP(Tablo520[[#This Row],[HAMMADDE KODU]],Tablo1[#All],3,0)," ")</f>
        <v xml:space="preserve"> </v>
      </c>
      <c r="P349" s="100" t="str">
        <f>IFERROR(VLOOKUP(Tablo520[[#This Row],[HAMMADDE KODU]],Tablo1[#All],4,0)," ")</f>
        <v xml:space="preserve"> </v>
      </c>
      <c r="Q349" s="100" t="str">
        <f>IFERROR(VLOOKUP(Tablo520[[#This Row],[ÜRÜN KODU]],YMKODLARI!$A$1:$K$373,5,0)," ")</f>
        <v xml:space="preserve"> </v>
      </c>
      <c r="R349" s="100" t="str">
        <f>IFERROR(VLOOKUP(Tablo520[[#This Row],[ÜRÜN KODU]],YMKODLARI!$A$1:$K$373,6,0)," ")</f>
        <v xml:space="preserve"> </v>
      </c>
      <c r="S349" s="100" t="str">
        <f>IFERROR(Tablo520[[#This Row],[YOLLUK HARİÇ BASKI GRAMI]]/Tablo520[[#This Row],[KALIP GÖZ ADEDİ]]," ")</f>
        <v xml:space="preserve"> </v>
      </c>
      <c r="T349" s="100" t="str">
        <f t="shared" si="37"/>
        <v xml:space="preserve"> </v>
      </c>
      <c r="U349" s="100"/>
      <c r="V349" s="100" t="str">
        <f t="shared" si="36"/>
        <v xml:space="preserve"> </v>
      </c>
      <c r="W349" s="101">
        <f t="shared" si="38"/>
        <v>24</v>
      </c>
      <c r="X349" s="102">
        <f t="shared" si="39"/>
        <v>0</v>
      </c>
      <c r="Y349" s="100" t="str">
        <f t="shared" si="40"/>
        <v xml:space="preserve"> </v>
      </c>
      <c r="Z349" s="100" t="str">
        <f t="shared" si="41"/>
        <v xml:space="preserve"> </v>
      </c>
    </row>
    <row r="350" spans="1:26">
      <c r="A350" s="100"/>
      <c r="B350" s="100" t="str">
        <f>IFERROR(VLOOKUP(Tablo520[[#This Row],[ÜRÜN KODU]],YMKODLARI!$A$1:$K$373,2,0)," ")</f>
        <v xml:space="preserve"> </v>
      </c>
      <c r="C350" s="99"/>
      <c r="D350" s="100"/>
      <c r="E350" s="101"/>
      <c r="F350" s="101"/>
      <c r="G350" s="100" t="str">
        <f>IFERROR(VLOOKUP(Tablo520[[#This Row],[ÜRÜN KODU]],YMKODLARI!$A$1:$K$373,3,0)," ")</f>
        <v xml:space="preserve"> </v>
      </c>
      <c r="H350" s="100" t="str">
        <f>IFERROR(VLOOKUP(Tablo520[[#This Row],[ÜRÜN KODU]],YMKODLARI!$A$1:$K$373,4,0)," ")</f>
        <v xml:space="preserve"> </v>
      </c>
      <c r="I350" s="100"/>
      <c r="J350" s="100" t="str">
        <f>IFERROR(VLOOKUP(Tablo520[[#This Row],[ÜRÜN KODU]],YMKODLARI!$A$1:$K$373,9,0)," ")</f>
        <v xml:space="preserve"> </v>
      </c>
      <c r="K350" s="100" t="str">
        <f>IFERROR(VLOOKUP(Tablo520[[#This Row],[BOYA KODU]],Tablo14[#All],4,0)," ")</f>
        <v xml:space="preserve"> </v>
      </c>
      <c r="L350" s="100" t="str">
        <f>IFERROR(VLOOKUP(Tablo520[[#This Row],[BOYA KODU]],Tablo14[#All],6,0)," ")</f>
        <v xml:space="preserve"> </v>
      </c>
      <c r="M350" s="100" t="str">
        <f t="shared" si="35"/>
        <v xml:space="preserve"> </v>
      </c>
      <c r="N350" s="100" t="str">
        <f>IFERROR(VLOOKUP(Tablo520[[#This Row],[ÜRÜN KODU]],YMKODLARI!$A$1:$K$373,8,0)," ")</f>
        <v xml:space="preserve"> </v>
      </c>
      <c r="O350" s="100" t="str">
        <f>IFERROR(VLOOKUP(Tablo520[[#This Row],[HAMMADDE KODU]],Tablo1[#All],3,0)," ")</f>
        <v xml:space="preserve"> </v>
      </c>
      <c r="P350" s="100" t="str">
        <f>IFERROR(VLOOKUP(Tablo520[[#This Row],[HAMMADDE KODU]],Tablo1[#All],4,0)," ")</f>
        <v xml:space="preserve"> </v>
      </c>
      <c r="Q350" s="100" t="str">
        <f>IFERROR(VLOOKUP(Tablo520[[#This Row],[ÜRÜN KODU]],YMKODLARI!$A$1:$K$373,5,0)," ")</f>
        <v xml:space="preserve"> </v>
      </c>
      <c r="R350" s="100" t="str">
        <f>IFERROR(VLOOKUP(Tablo520[[#This Row],[ÜRÜN KODU]],YMKODLARI!$A$1:$K$373,6,0)," ")</f>
        <v xml:space="preserve"> </v>
      </c>
      <c r="S350" s="100" t="str">
        <f>IFERROR(Tablo520[[#This Row],[YOLLUK HARİÇ BASKI GRAMI]]/Tablo520[[#This Row],[KALIP GÖZ ADEDİ]]," ")</f>
        <v xml:space="preserve"> </v>
      </c>
      <c r="T350" s="100" t="str">
        <f t="shared" si="37"/>
        <v xml:space="preserve"> </v>
      </c>
      <c r="U350" s="100"/>
      <c r="V350" s="100" t="str">
        <f t="shared" si="36"/>
        <v xml:space="preserve"> </v>
      </c>
      <c r="W350" s="101">
        <f t="shared" si="38"/>
        <v>24</v>
      </c>
      <c r="X350" s="102">
        <f t="shared" si="39"/>
        <v>0</v>
      </c>
      <c r="Y350" s="100" t="str">
        <f t="shared" si="40"/>
        <v xml:space="preserve"> </v>
      </c>
      <c r="Z350" s="100" t="str">
        <f t="shared" si="41"/>
        <v xml:space="preserve"> </v>
      </c>
    </row>
    <row r="351" spans="1:26">
      <c r="A351" s="100"/>
      <c r="B351" s="100" t="str">
        <f>IFERROR(VLOOKUP(Tablo520[[#This Row],[ÜRÜN KODU]],YMKODLARI!$A$1:$K$373,2,0)," ")</f>
        <v xml:space="preserve"> </v>
      </c>
      <c r="C351" s="99"/>
      <c r="D351" s="100"/>
      <c r="E351" s="101"/>
      <c r="F351" s="101"/>
      <c r="G351" s="100" t="str">
        <f>IFERROR(VLOOKUP(Tablo520[[#This Row],[ÜRÜN KODU]],YMKODLARI!$A$1:$K$373,3,0)," ")</f>
        <v xml:space="preserve"> </v>
      </c>
      <c r="H351" s="100" t="str">
        <f>IFERROR(VLOOKUP(Tablo520[[#This Row],[ÜRÜN KODU]],YMKODLARI!$A$1:$K$373,4,0)," ")</f>
        <v xml:space="preserve"> </v>
      </c>
      <c r="I351" s="100"/>
      <c r="J351" s="100" t="str">
        <f>IFERROR(VLOOKUP(Tablo520[[#This Row],[ÜRÜN KODU]],YMKODLARI!$A$1:$K$373,9,0)," ")</f>
        <v xml:space="preserve"> </v>
      </c>
      <c r="K351" s="100" t="str">
        <f>IFERROR(VLOOKUP(Tablo520[[#This Row],[BOYA KODU]],Tablo14[#All],4,0)," ")</f>
        <v xml:space="preserve"> </v>
      </c>
      <c r="L351" s="100" t="str">
        <f>IFERROR(VLOOKUP(Tablo520[[#This Row],[BOYA KODU]],Tablo14[#All],6,0)," ")</f>
        <v xml:space="preserve"> </v>
      </c>
      <c r="M351" s="100" t="str">
        <f t="shared" si="35"/>
        <v xml:space="preserve"> </v>
      </c>
      <c r="N351" s="100" t="str">
        <f>IFERROR(VLOOKUP(Tablo520[[#This Row],[ÜRÜN KODU]],YMKODLARI!$A$1:$K$373,8,0)," ")</f>
        <v xml:space="preserve"> </v>
      </c>
      <c r="O351" s="100" t="str">
        <f>IFERROR(VLOOKUP(Tablo520[[#This Row],[HAMMADDE KODU]],Tablo1[#All],3,0)," ")</f>
        <v xml:space="preserve"> </v>
      </c>
      <c r="P351" s="100" t="str">
        <f>IFERROR(VLOOKUP(Tablo520[[#This Row],[HAMMADDE KODU]],Tablo1[#All],4,0)," ")</f>
        <v xml:space="preserve"> </v>
      </c>
      <c r="Q351" s="100" t="str">
        <f>IFERROR(VLOOKUP(Tablo520[[#This Row],[ÜRÜN KODU]],YMKODLARI!$A$1:$K$373,5,0)," ")</f>
        <v xml:space="preserve"> </v>
      </c>
      <c r="R351" s="100" t="str">
        <f>IFERROR(VLOOKUP(Tablo520[[#This Row],[ÜRÜN KODU]],YMKODLARI!$A$1:$K$373,6,0)," ")</f>
        <v xml:space="preserve"> </v>
      </c>
      <c r="S351" s="100" t="str">
        <f>IFERROR(Tablo520[[#This Row],[YOLLUK HARİÇ BASKI GRAMI]]/Tablo520[[#This Row],[KALIP GÖZ ADEDİ]]," ")</f>
        <v xml:space="preserve"> </v>
      </c>
      <c r="T351" s="100" t="str">
        <f t="shared" si="37"/>
        <v xml:space="preserve"> </v>
      </c>
      <c r="U351" s="100"/>
      <c r="V351" s="100" t="str">
        <f t="shared" si="36"/>
        <v xml:space="preserve"> </v>
      </c>
      <c r="W351" s="101">
        <f t="shared" si="38"/>
        <v>24</v>
      </c>
      <c r="X351" s="102">
        <f t="shared" si="39"/>
        <v>0</v>
      </c>
      <c r="Y351" s="100" t="str">
        <f t="shared" si="40"/>
        <v xml:space="preserve"> </v>
      </c>
      <c r="Z351" s="100" t="str">
        <f t="shared" si="41"/>
        <v xml:space="preserve"> </v>
      </c>
    </row>
    <row r="352" spans="1:26">
      <c r="A352" s="100"/>
      <c r="B352" s="100" t="str">
        <f>IFERROR(VLOOKUP(Tablo520[[#This Row],[ÜRÜN KODU]],YMKODLARI!$A$1:$K$373,2,0)," ")</f>
        <v xml:space="preserve"> </v>
      </c>
      <c r="C352" s="99"/>
      <c r="D352" s="100"/>
      <c r="E352" s="101"/>
      <c r="F352" s="101"/>
      <c r="G352" s="100" t="str">
        <f>IFERROR(VLOOKUP(Tablo520[[#This Row],[ÜRÜN KODU]],YMKODLARI!$A$1:$K$373,3,0)," ")</f>
        <v xml:space="preserve"> </v>
      </c>
      <c r="H352" s="100" t="str">
        <f>IFERROR(VLOOKUP(Tablo520[[#This Row],[ÜRÜN KODU]],YMKODLARI!$A$1:$K$373,4,0)," ")</f>
        <v xml:space="preserve"> </v>
      </c>
      <c r="I352" s="100"/>
      <c r="J352" s="100" t="str">
        <f>IFERROR(VLOOKUP(Tablo520[[#This Row],[ÜRÜN KODU]],YMKODLARI!$A$1:$K$373,9,0)," ")</f>
        <v xml:space="preserve"> </v>
      </c>
      <c r="K352" s="100" t="str">
        <f>IFERROR(VLOOKUP(Tablo520[[#This Row],[BOYA KODU]],Tablo14[#All],4,0)," ")</f>
        <v xml:space="preserve"> </v>
      </c>
      <c r="L352" s="100" t="str">
        <f>IFERROR(VLOOKUP(Tablo520[[#This Row],[BOYA KODU]],Tablo14[#All],6,0)," ")</f>
        <v xml:space="preserve"> </v>
      </c>
      <c r="M352" s="100" t="str">
        <f t="shared" si="35"/>
        <v xml:space="preserve"> </v>
      </c>
      <c r="N352" s="100" t="str">
        <f>IFERROR(VLOOKUP(Tablo520[[#This Row],[ÜRÜN KODU]],YMKODLARI!$A$1:$K$373,8,0)," ")</f>
        <v xml:space="preserve"> </v>
      </c>
      <c r="O352" s="100" t="str">
        <f>IFERROR(VLOOKUP(Tablo520[[#This Row],[HAMMADDE KODU]],Tablo1[#All],3,0)," ")</f>
        <v xml:space="preserve"> </v>
      </c>
      <c r="P352" s="100" t="str">
        <f>IFERROR(VLOOKUP(Tablo520[[#This Row],[HAMMADDE KODU]],Tablo1[#All],4,0)," ")</f>
        <v xml:space="preserve"> </v>
      </c>
      <c r="Q352" s="100" t="str">
        <f>IFERROR(VLOOKUP(Tablo520[[#This Row],[ÜRÜN KODU]],YMKODLARI!$A$1:$K$373,5,0)," ")</f>
        <v xml:space="preserve"> </v>
      </c>
      <c r="R352" s="100" t="str">
        <f>IFERROR(VLOOKUP(Tablo520[[#This Row],[ÜRÜN KODU]],YMKODLARI!$A$1:$K$373,6,0)," ")</f>
        <v xml:space="preserve"> </v>
      </c>
      <c r="S352" s="100" t="str">
        <f>IFERROR(Tablo520[[#This Row],[YOLLUK HARİÇ BASKI GRAMI]]/Tablo520[[#This Row],[KALIP GÖZ ADEDİ]]," ")</f>
        <v xml:space="preserve"> </v>
      </c>
      <c r="T352" s="100" t="str">
        <f t="shared" si="37"/>
        <v xml:space="preserve"> </v>
      </c>
      <c r="U352" s="100"/>
      <c r="V352" s="100" t="str">
        <f t="shared" si="36"/>
        <v xml:space="preserve"> </v>
      </c>
      <c r="W352" s="101">
        <f t="shared" si="38"/>
        <v>24</v>
      </c>
      <c r="X352" s="102">
        <f t="shared" si="39"/>
        <v>0</v>
      </c>
      <c r="Y352" s="100" t="str">
        <f t="shared" si="40"/>
        <v xml:space="preserve"> </v>
      </c>
      <c r="Z352" s="100" t="str">
        <f t="shared" si="41"/>
        <v xml:space="preserve"> </v>
      </c>
    </row>
    <row r="353" spans="1:26">
      <c r="A353" s="100"/>
      <c r="B353" s="100" t="str">
        <f>IFERROR(VLOOKUP(Tablo520[[#This Row],[ÜRÜN KODU]],YMKODLARI!$A$1:$K$373,2,0)," ")</f>
        <v xml:space="preserve"> </v>
      </c>
      <c r="C353" s="99"/>
      <c r="D353" s="100"/>
      <c r="E353" s="101"/>
      <c r="F353" s="101"/>
      <c r="G353" s="100" t="str">
        <f>IFERROR(VLOOKUP(Tablo520[[#This Row],[ÜRÜN KODU]],YMKODLARI!$A$1:$K$373,3,0)," ")</f>
        <v xml:space="preserve"> </v>
      </c>
      <c r="H353" s="100" t="str">
        <f>IFERROR(VLOOKUP(Tablo520[[#This Row],[ÜRÜN KODU]],YMKODLARI!$A$1:$K$373,4,0)," ")</f>
        <v xml:space="preserve"> </v>
      </c>
      <c r="I353" s="100"/>
      <c r="J353" s="100" t="str">
        <f>IFERROR(VLOOKUP(Tablo520[[#This Row],[ÜRÜN KODU]],YMKODLARI!$A$1:$K$373,9,0)," ")</f>
        <v xml:space="preserve"> </v>
      </c>
      <c r="K353" s="100" t="str">
        <f>IFERROR(VLOOKUP(Tablo520[[#This Row],[BOYA KODU]],Tablo14[#All],4,0)," ")</f>
        <v xml:space="preserve"> </v>
      </c>
      <c r="L353" s="100" t="str">
        <f>IFERROR(VLOOKUP(Tablo520[[#This Row],[BOYA KODU]],Tablo14[#All],6,0)," ")</f>
        <v xml:space="preserve"> </v>
      </c>
      <c r="M353" s="100" t="str">
        <f t="shared" si="35"/>
        <v xml:space="preserve"> </v>
      </c>
      <c r="N353" s="100" t="str">
        <f>IFERROR(VLOOKUP(Tablo520[[#This Row],[ÜRÜN KODU]],YMKODLARI!$A$1:$K$373,8,0)," ")</f>
        <v xml:space="preserve"> </v>
      </c>
      <c r="O353" s="100" t="str">
        <f>IFERROR(VLOOKUP(Tablo520[[#This Row],[HAMMADDE KODU]],Tablo1[#All],3,0)," ")</f>
        <v xml:space="preserve"> </v>
      </c>
      <c r="P353" s="100" t="str">
        <f>IFERROR(VLOOKUP(Tablo520[[#This Row],[HAMMADDE KODU]],Tablo1[#All],4,0)," ")</f>
        <v xml:space="preserve"> </v>
      </c>
      <c r="Q353" s="100" t="str">
        <f>IFERROR(VLOOKUP(Tablo520[[#This Row],[ÜRÜN KODU]],YMKODLARI!$A$1:$K$373,5,0)," ")</f>
        <v xml:space="preserve"> </v>
      </c>
      <c r="R353" s="100" t="str">
        <f>IFERROR(VLOOKUP(Tablo520[[#This Row],[ÜRÜN KODU]],YMKODLARI!$A$1:$K$373,6,0)," ")</f>
        <v xml:space="preserve"> </v>
      </c>
      <c r="S353" s="100" t="str">
        <f>IFERROR(Tablo520[[#This Row],[YOLLUK HARİÇ BASKI GRAMI]]/Tablo520[[#This Row],[KALIP GÖZ ADEDİ]]," ")</f>
        <v xml:space="preserve"> </v>
      </c>
      <c r="T353" s="100" t="str">
        <f t="shared" si="37"/>
        <v xml:space="preserve"> </v>
      </c>
      <c r="U353" s="100"/>
      <c r="V353" s="100" t="str">
        <f t="shared" si="36"/>
        <v xml:space="preserve"> </v>
      </c>
      <c r="W353" s="101">
        <f t="shared" si="38"/>
        <v>24</v>
      </c>
      <c r="X353" s="102">
        <f t="shared" si="39"/>
        <v>0</v>
      </c>
      <c r="Y353" s="100" t="str">
        <f t="shared" si="40"/>
        <v xml:space="preserve"> </v>
      </c>
      <c r="Z353" s="100" t="str">
        <f t="shared" si="41"/>
        <v xml:space="preserve"> </v>
      </c>
    </row>
    <row r="354" spans="1:26">
      <c r="A354" s="100"/>
      <c r="B354" s="100" t="str">
        <f>IFERROR(VLOOKUP(Tablo520[[#This Row],[ÜRÜN KODU]],YMKODLARI!$A$1:$K$373,2,0)," ")</f>
        <v xml:space="preserve"> </v>
      </c>
      <c r="C354" s="99"/>
      <c r="D354" s="100"/>
      <c r="E354" s="101"/>
      <c r="F354" s="101"/>
      <c r="G354" s="100" t="str">
        <f>IFERROR(VLOOKUP(Tablo520[[#This Row],[ÜRÜN KODU]],YMKODLARI!$A$1:$K$373,3,0)," ")</f>
        <v xml:space="preserve"> </v>
      </c>
      <c r="H354" s="100" t="str">
        <f>IFERROR(VLOOKUP(Tablo520[[#This Row],[ÜRÜN KODU]],YMKODLARI!$A$1:$K$373,4,0)," ")</f>
        <v xml:space="preserve"> </v>
      </c>
      <c r="I354" s="100"/>
      <c r="J354" s="100" t="str">
        <f>IFERROR(VLOOKUP(Tablo520[[#This Row],[ÜRÜN KODU]],YMKODLARI!$A$1:$K$373,9,0)," ")</f>
        <v xml:space="preserve"> </v>
      </c>
      <c r="K354" s="100" t="str">
        <f>IFERROR(VLOOKUP(Tablo520[[#This Row],[BOYA KODU]],Tablo14[#All],4,0)," ")</f>
        <v xml:space="preserve"> </v>
      </c>
      <c r="L354" s="100" t="str">
        <f>IFERROR(VLOOKUP(Tablo520[[#This Row],[BOYA KODU]],Tablo14[#All],6,0)," ")</f>
        <v xml:space="preserve"> </v>
      </c>
      <c r="M354" s="100" t="str">
        <f t="shared" si="35"/>
        <v xml:space="preserve"> </v>
      </c>
      <c r="N354" s="100" t="str">
        <f>IFERROR(VLOOKUP(Tablo520[[#This Row],[ÜRÜN KODU]],YMKODLARI!$A$1:$K$373,8,0)," ")</f>
        <v xml:space="preserve"> </v>
      </c>
      <c r="O354" s="100" t="str">
        <f>IFERROR(VLOOKUP(Tablo520[[#This Row],[HAMMADDE KODU]],Tablo1[#All],3,0)," ")</f>
        <v xml:space="preserve"> </v>
      </c>
      <c r="P354" s="100" t="str">
        <f>IFERROR(VLOOKUP(Tablo520[[#This Row],[HAMMADDE KODU]],Tablo1[#All],4,0)," ")</f>
        <v xml:space="preserve"> </v>
      </c>
      <c r="Q354" s="100" t="str">
        <f>IFERROR(VLOOKUP(Tablo520[[#This Row],[ÜRÜN KODU]],YMKODLARI!$A$1:$K$373,5,0)," ")</f>
        <v xml:space="preserve"> </v>
      </c>
      <c r="R354" s="100" t="str">
        <f>IFERROR(VLOOKUP(Tablo520[[#This Row],[ÜRÜN KODU]],YMKODLARI!$A$1:$K$373,6,0)," ")</f>
        <v xml:space="preserve"> </v>
      </c>
      <c r="S354" s="100" t="str">
        <f>IFERROR(Tablo520[[#This Row],[YOLLUK HARİÇ BASKI GRAMI]]/Tablo520[[#This Row],[KALIP GÖZ ADEDİ]]," ")</f>
        <v xml:space="preserve"> </v>
      </c>
      <c r="T354" s="100" t="str">
        <f t="shared" si="37"/>
        <v xml:space="preserve"> </v>
      </c>
      <c r="U354" s="100"/>
      <c r="V354" s="100" t="str">
        <f t="shared" si="36"/>
        <v xml:space="preserve"> </v>
      </c>
      <c r="W354" s="101">
        <f t="shared" si="38"/>
        <v>24</v>
      </c>
      <c r="X354" s="102">
        <f t="shared" si="39"/>
        <v>0</v>
      </c>
      <c r="Y354" s="100" t="str">
        <f t="shared" si="40"/>
        <v xml:space="preserve"> </v>
      </c>
      <c r="Z354" s="100" t="str">
        <f t="shared" si="41"/>
        <v xml:space="preserve"> </v>
      </c>
    </row>
    <row r="355" spans="1:26">
      <c r="A355" s="100"/>
      <c r="B355" s="100" t="str">
        <f>IFERROR(VLOOKUP(Tablo520[[#This Row],[ÜRÜN KODU]],YMKODLARI!$A$1:$K$373,2,0)," ")</f>
        <v xml:space="preserve"> </v>
      </c>
      <c r="C355" s="99"/>
      <c r="D355" s="100"/>
      <c r="E355" s="101"/>
      <c r="F355" s="101"/>
      <c r="G355" s="100" t="str">
        <f>IFERROR(VLOOKUP(Tablo520[[#This Row],[ÜRÜN KODU]],YMKODLARI!$A$1:$K$373,3,0)," ")</f>
        <v xml:space="preserve"> </v>
      </c>
      <c r="H355" s="100" t="str">
        <f>IFERROR(VLOOKUP(Tablo520[[#This Row],[ÜRÜN KODU]],YMKODLARI!$A$1:$K$373,4,0)," ")</f>
        <v xml:space="preserve"> </v>
      </c>
      <c r="I355" s="100"/>
      <c r="J355" s="100" t="str">
        <f>IFERROR(VLOOKUP(Tablo520[[#This Row],[ÜRÜN KODU]],YMKODLARI!$A$1:$K$373,9,0)," ")</f>
        <v xml:space="preserve"> </v>
      </c>
      <c r="K355" s="100" t="str">
        <f>IFERROR(VLOOKUP(Tablo520[[#This Row],[BOYA KODU]],Tablo14[#All],4,0)," ")</f>
        <v xml:space="preserve"> </v>
      </c>
      <c r="L355" s="100" t="str">
        <f>IFERROR(VLOOKUP(Tablo520[[#This Row],[BOYA KODU]],Tablo14[#All],6,0)," ")</f>
        <v xml:space="preserve"> </v>
      </c>
      <c r="M355" s="100" t="str">
        <f t="shared" si="35"/>
        <v xml:space="preserve"> </v>
      </c>
      <c r="N355" s="100" t="str">
        <f>IFERROR(VLOOKUP(Tablo520[[#This Row],[ÜRÜN KODU]],YMKODLARI!$A$1:$K$373,8,0)," ")</f>
        <v xml:space="preserve"> </v>
      </c>
      <c r="O355" s="100" t="str">
        <f>IFERROR(VLOOKUP(Tablo520[[#This Row],[HAMMADDE KODU]],Tablo1[#All],3,0)," ")</f>
        <v xml:space="preserve"> </v>
      </c>
      <c r="P355" s="100" t="str">
        <f>IFERROR(VLOOKUP(Tablo520[[#This Row],[HAMMADDE KODU]],Tablo1[#All],4,0)," ")</f>
        <v xml:space="preserve"> </v>
      </c>
      <c r="Q355" s="100" t="str">
        <f>IFERROR(VLOOKUP(Tablo520[[#This Row],[ÜRÜN KODU]],YMKODLARI!$A$1:$K$373,5,0)," ")</f>
        <v xml:space="preserve"> </v>
      </c>
      <c r="R355" s="100" t="str">
        <f>IFERROR(VLOOKUP(Tablo520[[#This Row],[ÜRÜN KODU]],YMKODLARI!$A$1:$K$373,6,0)," ")</f>
        <v xml:space="preserve"> </v>
      </c>
      <c r="S355" s="100" t="str">
        <f>IFERROR(Tablo520[[#This Row],[YOLLUK HARİÇ BASKI GRAMI]]/Tablo520[[#This Row],[KALIP GÖZ ADEDİ]]," ")</f>
        <v xml:space="preserve"> </v>
      </c>
      <c r="T355" s="100" t="str">
        <f t="shared" si="37"/>
        <v xml:space="preserve"> </v>
      </c>
      <c r="U355" s="100"/>
      <c r="V355" s="100" t="str">
        <f t="shared" si="36"/>
        <v xml:space="preserve"> </v>
      </c>
      <c r="W355" s="101">
        <f t="shared" si="38"/>
        <v>24</v>
      </c>
      <c r="X355" s="102">
        <f t="shared" si="39"/>
        <v>0</v>
      </c>
      <c r="Y355" s="100" t="str">
        <f t="shared" si="40"/>
        <v xml:space="preserve"> </v>
      </c>
      <c r="Z355" s="100" t="str">
        <f t="shared" si="41"/>
        <v xml:space="preserve"> </v>
      </c>
    </row>
    <row r="356" spans="1:26">
      <c r="A356" s="100"/>
      <c r="B356" s="100" t="str">
        <f>IFERROR(VLOOKUP(Tablo520[[#This Row],[ÜRÜN KODU]],YMKODLARI!$A$1:$K$373,2,0)," ")</f>
        <v xml:space="preserve"> </v>
      </c>
      <c r="C356" s="99"/>
      <c r="D356" s="100"/>
      <c r="E356" s="101"/>
      <c r="F356" s="101"/>
      <c r="G356" s="100" t="str">
        <f>IFERROR(VLOOKUP(Tablo520[[#This Row],[ÜRÜN KODU]],YMKODLARI!$A$1:$K$373,3,0)," ")</f>
        <v xml:space="preserve"> </v>
      </c>
      <c r="H356" s="100" t="str">
        <f>IFERROR(VLOOKUP(Tablo520[[#This Row],[ÜRÜN KODU]],YMKODLARI!$A$1:$K$373,4,0)," ")</f>
        <v xml:space="preserve"> </v>
      </c>
      <c r="I356" s="100"/>
      <c r="J356" s="100" t="str">
        <f>IFERROR(VLOOKUP(Tablo520[[#This Row],[ÜRÜN KODU]],YMKODLARI!$A$1:$K$373,9,0)," ")</f>
        <v xml:space="preserve"> </v>
      </c>
      <c r="K356" s="100" t="str">
        <f>IFERROR(VLOOKUP(Tablo520[[#This Row],[BOYA KODU]],Tablo14[#All],4,0)," ")</f>
        <v xml:space="preserve"> </v>
      </c>
      <c r="L356" s="100" t="str">
        <f>IFERROR(VLOOKUP(Tablo520[[#This Row],[BOYA KODU]],Tablo14[#All],6,0)," ")</f>
        <v xml:space="preserve"> </v>
      </c>
      <c r="M356" s="100" t="str">
        <f t="shared" si="35"/>
        <v xml:space="preserve"> </v>
      </c>
      <c r="N356" s="100" t="str">
        <f>IFERROR(VLOOKUP(Tablo520[[#This Row],[ÜRÜN KODU]],YMKODLARI!$A$1:$K$373,8,0)," ")</f>
        <v xml:space="preserve"> </v>
      </c>
      <c r="O356" s="100" t="str">
        <f>IFERROR(VLOOKUP(Tablo520[[#This Row],[HAMMADDE KODU]],Tablo1[#All],3,0)," ")</f>
        <v xml:space="preserve"> </v>
      </c>
      <c r="P356" s="100" t="str">
        <f>IFERROR(VLOOKUP(Tablo520[[#This Row],[HAMMADDE KODU]],Tablo1[#All],4,0)," ")</f>
        <v xml:space="preserve"> </v>
      </c>
      <c r="Q356" s="100" t="str">
        <f>IFERROR(VLOOKUP(Tablo520[[#This Row],[ÜRÜN KODU]],YMKODLARI!$A$1:$K$373,5,0)," ")</f>
        <v xml:space="preserve"> </v>
      </c>
      <c r="R356" s="100" t="str">
        <f>IFERROR(VLOOKUP(Tablo520[[#This Row],[ÜRÜN KODU]],YMKODLARI!$A$1:$K$373,6,0)," ")</f>
        <v xml:space="preserve"> </v>
      </c>
      <c r="S356" s="100" t="str">
        <f>IFERROR(Tablo520[[#This Row],[YOLLUK HARİÇ BASKI GRAMI]]/Tablo520[[#This Row],[KALIP GÖZ ADEDİ]]," ")</f>
        <v xml:space="preserve"> </v>
      </c>
      <c r="T356" s="100" t="str">
        <f t="shared" si="37"/>
        <v xml:space="preserve"> </v>
      </c>
      <c r="U356" s="100"/>
      <c r="V356" s="100" t="str">
        <f t="shared" si="36"/>
        <v xml:space="preserve"> </v>
      </c>
      <c r="W356" s="101">
        <f t="shared" si="38"/>
        <v>24</v>
      </c>
      <c r="X356" s="102">
        <f t="shared" si="39"/>
        <v>0</v>
      </c>
      <c r="Y356" s="100" t="str">
        <f t="shared" si="40"/>
        <v xml:space="preserve"> </v>
      </c>
      <c r="Z356" s="100" t="str">
        <f t="shared" si="41"/>
        <v xml:space="preserve"> </v>
      </c>
    </row>
    <row r="357" spans="1:26">
      <c r="A357" s="100"/>
      <c r="B357" s="100" t="str">
        <f>IFERROR(VLOOKUP(Tablo520[[#This Row],[ÜRÜN KODU]],YMKODLARI!$A$1:$K$373,2,0)," ")</f>
        <v xml:space="preserve"> </v>
      </c>
      <c r="C357" s="99"/>
      <c r="D357" s="100"/>
      <c r="E357" s="101"/>
      <c r="F357" s="101"/>
      <c r="G357" s="100" t="str">
        <f>IFERROR(VLOOKUP(Tablo520[[#This Row],[ÜRÜN KODU]],YMKODLARI!$A$1:$K$373,3,0)," ")</f>
        <v xml:space="preserve"> </v>
      </c>
      <c r="H357" s="100" t="str">
        <f>IFERROR(VLOOKUP(Tablo520[[#This Row],[ÜRÜN KODU]],YMKODLARI!$A$1:$K$373,4,0)," ")</f>
        <v xml:space="preserve"> </v>
      </c>
      <c r="I357" s="100"/>
      <c r="J357" s="100" t="str">
        <f>IFERROR(VLOOKUP(Tablo520[[#This Row],[ÜRÜN KODU]],YMKODLARI!$A$1:$K$373,9,0)," ")</f>
        <v xml:space="preserve"> </v>
      </c>
      <c r="K357" s="100" t="str">
        <f>IFERROR(VLOOKUP(Tablo520[[#This Row],[BOYA KODU]],Tablo14[#All],4,0)," ")</f>
        <v xml:space="preserve"> </v>
      </c>
      <c r="L357" s="100" t="str">
        <f>IFERROR(VLOOKUP(Tablo520[[#This Row],[BOYA KODU]],Tablo14[#All],6,0)," ")</f>
        <v xml:space="preserve"> </v>
      </c>
      <c r="M357" s="100" t="str">
        <f t="shared" si="35"/>
        <v xml:space="preserve"> </v>
      </c>
      <c r="N357" s="100" t="str">
        <f>IFERROR(VLOOKUP(Tablo520[[#This Row],[ÜRÜN KODU]],YMKODLARI!$A$1:$K$373,8,0)," ")</f>
        <v xml:space="preserve"> </v>
      </c>
      <c r="O357" s="100" t="str">
        <f>IFERROR(VLOOKUP(Tablo520[[#This Row],[HAMMADDE KODU]],Tablo1[#All],3,0)," ")</f>
        <v xml:space="preserve"> </v>
      </c>
      <c r="P357" s="100" t="str">
        <f>IFERROR(VLOOKUP(Tablo520[[#This Row],[HAMMADDE KODU]],Tablo1[#All],4,0)," ")</f>
        <v xml:space="preserve"> </v>
      </c>
      <c r="Q357" s="100" t="str">
        <f>IFERROR(VLOOKUP(Tablo520[[#This Row],[ÜRÜN KODU]],YMKODLARI!$A$1:$K$373,5,0)," ")</f>
        <v xml:space="preserve"> </v>
      </c>
      <c r="R357" s="100" t="str">
        <f>IFERROR(VLOOKUP(Tablo520[[#This Row],[ÜRÜN KODU]],YMKODLARI!$A$1:$K$373,6,0)," ")</f>
        <v xml:space="preserve"> </v>
      </c>
      <c r="S357" s="100" t="str">
        <f>IFERROR(Tablo520[[#This Row],[YOLLUK HARİÇ BASKI GRAMI]]/Tablo520[[#This Row],[KALIP GÖZ ADEDİ]]," ")</f>
        <v xml:space="preserve"> </v>
      </c>
      <c r="T357" s="100" t="str">
        <f t="shared" si="37"/>
        <v xml:space="preserve"> </v>
      </c>
      <c r="U357" s="100"/>
      <c r="V357" s="100" t="str">
        <f t="shared" si="36"/>
        <v xml:space="preserve"> </v>
      </c>
      <c r="W357" s="101">
        <f t="shared" si="38"/>
        <v>24</v>
      </c>
      <c r="X357" s="102">
        <f t="shared" si="39"/>
        <v>0</v>
      </c>
      <c r="Y357" s="100" t="str">
        <f t="shared" si="40"/>
        <v xml:space="preserve"> </v>
      </c>
      <c r="Z357" s="100" t="str">
        <f t="shared" si="41"/>
        <v xml:space="preserve"> </v>
      </c>
    </row>
    <row r="358" spans="1:26">
      <c r="A358" s="100"/>
      <c r="B358" s="100" t="str">
        <f>IFERROR(VLOOKUP(Tablo520[[#This Row],[ÜRÜN KODU]],YMKODLARI!$A$1:$K$373,2,0)," ")</f>
        <v xml:space="preserve"> </v>
      </c>
      <c r="C358" s="99"/>
      <c r="D358" s="100"/>
      <c r="E358" s="101"/>
      <c r="F358" s="101"/>
      <c r="G358" s="100" t="str">
        <f>IFERROR(VLOOKUP(Tablo520[[#This Row],[ÜRÜN KODU]],YMKODLARI!$A$1:$K$373,3,0)," ")</f>
        <v xml:space="preserve"> </v>
      </c>
      <c r="H358" s="100" t="str">
        <f>IFERROR(VLOOKUP(Tablo520[[#This Row],[ÜRÜN KODU]],YMKODLARI!$A$1:$K$373,4,0)," ")</f>
        <v xml:space="preserve"> </v>
      </c>
      <c r="I358" s="100"/>
      <c r="J358" s="100" t="str">
        <f>IFERROR(VLOOKUP(Tablo520[[#This Row],[ÜRÜN KODU]],YMKODLARI!$A$1:$K$373,9,0)," ")</f>
        <v xml:space="preserve"> </v>
      </c>
      <c r="K358" s="100" t="str">
        <f>IFERROR(VLOOKUP(Tablo520[[#This Row],[BOYA KODU]],Tablo14[#All],4,0)," ")</f>
        <v xml:space="preserve"> </v>
      </c>
      <c r="L358" s="100" t="str">
        <f>IFERROR(VLOOKUP(Tablo520[[#This Row],[BOYA KODU]],Tablo14[#All],6,0)," ")</f>
        <v xml:space="preserve"> </v>
      </c>
      <c r="M358" s="100" t="str">
        <f t="shared" si="35"/>
        <v xml:space="preserve"> </v>
      </c>
      <c r="N358" s="100" t="str">
        <f>IFERROR(VLOOKUP(Tablo520[[#This Row],[ÜRÜN KODU]],YMKODLARI!$A$1:$K$373,8,0)," ")</f>
        <v xml:space="preserve"> </v>
      </c>
      <c r="O358" s="100" t="str">
        <f>IFERROR(VLOOKUP(Tablo520[[#This Row],[HAMMADDE KODU]],Tablo1[#All],3,0)," ")</f>
        <v xml:space="preserve"> </v>
      </c>
      <c r="P358" s="100" t="str">
        <f>IFERROR(VLOOKUP(Tablo520[[#This Row],[HAMMADDE KODU]],Tablo1[#All],4,0)," ")</f>
        <v xml:space="preserve"> </v>
      </c>
      <c r="Q358" s="100" t="str">
        <f>IFERROR(VLOOKUP(Tablo520[[#This Row],[ÜRÜN KODU]],YMKODLARI!$A$1:$K$373,5,0)," ")</f>
        <v xml:space="preserve"> </v>
      </c>
      <c r="R358" s="100" t="str">
        <f>IFERROR(VLOOKUP(Tablo520[[#This Row],[ÜRÜN KODU]],YMKODLARI!$A$1:$K$373,6,0)," ")</f>
        <v xml:space="preserve"> </v>
      </c>
      <c r="S358" s="100" t="str">
        <f>IFERROR(Tablo520[[#This Row],[YOLLUK HARİÇ BASKI GRAMI]]/Tablo520[[#This Row],[KALIP GÖZ ADEDİ]]," ")</f>
        <v xml:space="preserve"> </v>
      </c>
      <c r="T358" s="100" t="str">
        <f t="shared" si="37"/>
        <v xml:space="preserve"> </v>
      </c>
      <c r="U358" s="100"/>
      <c r="V358" s="100" t="str">
        <f t="shared" si="36"/>
        <v xml:space="preserve"> </v>
      </c>
      <c r="W358" s="101">
        <f t="shared" si="38"/>
        <v>24</v>
      </c>
      <c r="X358" s="102">
        <f t="shared" si="39"/>
        <v>0</v>
      </c>
      <c r="Y358" s="100" t="str">
        <f t="shared" si="40"/>
        <v xml:space="preserve"> </v>
      </c>
      <c r="Z358" s="100" t="str">
        <f t="shared" si="41"/>
        <v xml:space="preserve"> </v>
      </c>
    </row>
    <row r="359" spans="1:26">
      <c r="A359" s="100"/>
      <c r="B359" s="100" t="str">
        <f>IFERROR(VLOOKUP(Tablo520[[#This Row],[ÜRÜN KODU]],YMKODLARI!$A$1:$K$373,2,0)," ")</f>
        <v xml:space="preserve"> </v>
      </c>
      <c r="C359" s="99"/>
      <c r="D359" s="100"/>
      <c r="E359" s="101"/>
      <c r="F359" s="101"/>
      <c r="G359" s="100" t="str">
        <f>IFERROR(VLOOKUP(Tablo520[[#This Row],[ÜRÜN KODU]],YMKODLARI!$A$1:$K$373,3,0)," ")</f>
        <v xml:space="preserve"> </v>
      </c>
      <c r="H359" s="100" t="str">
        <f>IFERROR(VLOOKUP(Tablo520[[#This Row],[ÜRÜN KODU]],YMKODLARI!$A$1:$K$373,4,0)," ")</f>
        <v xml:space="preserve"> </v>
      </c>
      <c r="I359" s="100"/>
      <c r="J359" s="100" t="str">
        <f>IFERROR(VLOOKUP(Tablo520[[#This Row],[ÜRÜN KODU]],YMKODLARI!$A$1:$K$373,9,0)," ")</f>
        <v xml:space="preserve"> </v>
      </c>
      <c r="K359" s="100" t="str">
        <f>IFERROR(VLOOKUP(Tablo520[[#This Row],[BOYA KODU]],Tablo14[#All],4,0)," ")</f>
        <v xml:space="preserve"> </v>
      </c>
      <c r="L359" s="100" t="str">
        <f>IFERROR(VLOOKUP(Tablo520[[#This Row],[BOYA KODU]],Tablo14[#All],6,0)," ")</f>
        <v xml:space="preserve"> </v>
      </c>
      <c r="M359" s="100" t="str">
        <f t="shared" si="35"/>
        <v xml:space="preserve"> </v>
      </c>
      <c r="N359" s="100" t="str">
        <f>IFERROR(VLOOKUP(Tablo520[[#This Row],[ÜRÜN KODU]],YMKODLARI!$A$1:$K$373,8,0)," ")</f>
        <v xml:space="preserve"> </v>
      </c>
      <c r="O359" s="100" t="str">
        <f>IFERROR(VLOOKUP(Tablo520[[#This Row],[HAMMADDE KODU]],Tablo1[#All],3,0)," ")</f>
        <v xml:space="preserve"> </v>
      </c>
      <c r="P359" s="100" t="str">
        <f>IFERROR(VLOOKUP(Tablo520[[#This Row],[HAMMADDE KODU]],Tablo1[#All],4,0)," ")</f>
        <v xml:space="preserve"> </v>
      </c>
      <c r="Q359" s="100" t="str">
        <f>IFERROR(VLOOKUP(Tablo520[[#This Row],[ÜRÜN KODU]],YMKODLARI!$A$1:$K$373,5,0)," ")</f>
        <v xml:space="preserve"> </v>
      </c>
      <c r="R359" s="100" t="str">
        <f>IFERROR(VLOOKUP(Tablo520[[#This Row],[ÜRÜN KODU]],YMKODLARI!$A$1:$K$373,6,0)," ")</f>
        <v xml:space="preserve"> </v>
      </c>
      <c r="S359" s="100" t="str">
        <f>IFERROR(Tablo520[[#This Row],[YOLLUK HARİÇ BASKI GRAMI]]/Tablo520[[#This Row],[KALIP GÖZ ADEDİ]]," ")</f>
        <v xml:space="preserve"> </v>
      </c>
      <c r="T359" s="100" t="str">
        <f t="shared" si="37"/>
        <v xml:space="preserve"> </v>
      </c>
      <c r="U359" s="100"/>
      <c r="V359" s="100" t="str">
        <f t="shared" si="36"/>
        <v xml:space="preserve"> </v>
      </c>
      <c r="W359" s="101">
        <f t="shared" si="38"/>
        <v>24</v>
      </c>
      <c r="X359" s="102">
        <f t="shared" si="39"/>
        <v>0</v>
      </c>
      <c r="Y359" s="100" t="str">
        <f t="shared" si="40"/>
        <v xml:space="preserve"> </v>
      </c>
      <c r="Z359" s="100" t="str">
        <f t="shared" si="41"/>
        <v xml:space="preserve"> </v>
      </c>
    </row>
    <row r="360" spans="1:26">
      <c r="A360" s="100"/>
      <c r="B360" s="100" t="str">
        <f>IFERROR(VLOOKUP(Tablo520[[#This Row],[ÜRÜN KODU]],YMKODLARI!$A$1:$K$373,2,0)," ")</f>
        <v xml:space="preserve"> </v>
      </c>
      <c r="C360" s="99"/>
      <c r="D360" s="100"/>
      <c r="E360" s="101"/>
      <c r="F360" s="101"/>
      <c r="G360" s="100" t="str">
        <f>IFERROR(VLOOKUP(Tablo520[[#This Row],[ÜRÜN KODU]],YMKODLARI!$A$1:$K$373,3,0)," ")</f>
        <v xml:space="preserve"> </v>
      </c>
      <c r="H360" s="100" t="str">
        <f>IFERROR(VLOOKUP(Tablo520[[#This Row],[ÜRÜN KODU]],YMKODLARI!$A$1:$K$373,4,0)," ")</f>
        <v xml:space="preserve"> </v>
      </c>
      <c r="I360" s="100"/>
      <c r="J360" s="100" t="str">
        <f>IFERROR(VLOOKUP(Tablo520[[#This Row],[ÜRÜN KODU]],YMKODLARI!$A$1:$K$373,9,0)," ")</f>
        <v xml:space="preserve"> </v>
      </c>
      <c r="K360" s="100" t="str">
        <f>IFERROR(VLOOKUP(Tablo520[[#This Row],[BOYA KODU]],Tablo14[#All],4,0)," ")</f>
        <v xml:space="preserve"> </v>
      </c>
      <c r="L360" s="100" t="str">
        <f>IFERROR(VLOOKUP(Tablo520[[#This Row],[BOYA KODU]],Tablo14[#All],6,0)," ")</f>
        <v xml:space="preserve"> </v>
      </c>
      <c r="M360" s="100" t="str">
        <f t="shared" si="35"/>
        <v xml:space="preserve"> </v>
      </c>
      <c r="N360" s="100" t="str">
        <f>IFERROR(VLOOKUP(Tablo520[[#This Row],[ÜRÜN KODU]],YMKODLARI!$A$1:$K$373,8,0)," ")</f>
        <v xml:space="preserve"> </v>
      </c>
      <c r="O360" s="100" t="str">
        <f>IFERROR(VLOOKUP(Tablo520[[#This Row],[HAMMADDE KODU]],Tablo1[#All],3,0)," ")</f>
        <v xml:space="preserve"> </v>
      </c>
      <c r="P360" s="100" t="str">
        <f>IFERROR(VLOOKUP(Tablo520[[#This Row],[HAMMADDE KODU]],Tablo1[#All],4,0)," ")</f>
        <v xml:space="preserve"> </v>
      </c>
      <c r="Q360" s="100" t="str">
        <f>IFERROR(VLOOKUP(Tablo520[[#This Row],[ÜRÜN KODU]],YMKODLARI!$A$1:$K$373,5,0)," ")</f>
        <v xml:space="preserve"> </v>
      </c>
      <c r="R360" s="100" t="str">
        <f>IFERROR(VLOOKUP(Tablo520[[#This Row],[ÜRÜN KODU]],YMKODLARI!$A$1:$K$373,6,0)," ")</f>
        <v xml:space="preserve"> </v>
      </c>
      <c r="S360" s="100" t="str">
        <f>IFERROR(Tablo520[[#This Row],[YOLLUK HARİÇ BASKI GRAMI]]/Tablo520[[#This Row],[KALIP GÖZ ADEDİ]]," ")</f>
        <v xml:space="preserve"> </v>
      </c>
      <c r="T360" s="100" t="str">
        <f t="shared" si="37"/>
        <v xml:space="preserve"> </v>
      </c>
      <c r="U360" s="100"/>
      <c r="V360" s="100" t="str">
        <f t="shared" si="36"/>
        <v xml:space="preserve"> </v>
      </c>
      <c r="W360" s="101">
        <f t="shared" si="38"/>
        <v>24</v>
      </c>
      <c r="X360" s="102">
        <f t="shared" si="39"/>
        <v>0</v>
      </c>
      <c r="Y360" s="100" t="str">
        <f t="shared" si="40"/>
        <v xml:space="preserve"> </v>
      </c>
      <c r="Z360" s="100" t="str">
        <f t="shared" si="41"/>
        <v xml:space="preserve"> </v>
      </c>
    </row>
    <row r="361" spans="1:26">
      <c r="A361" s="100"/>
      <c r="B361" s="100" t="str">
        <f>IFERROR(VLOOKUP(Tablo520[[#This Row],[ÜRÜN KODU]],YMKODLARI!$A$1:$K$373,2,0)," ")</f>
        <v xml:space="preserve"> </v>
      </c>
      <c r="C361" s="99"/>
      <c r="D361" s="100"/>
      <c r="E361" s="101"/>
      <c r="F361" s="101"/>
      <c r="G361" s="100" t="str">
        <f>IFERROR(VLOOKUP(Tablo520[[#This Row],[ÜRÜN KODU]],YMKODLARI!$A$1:$K$373,3,0)," ")</f>
        <v xml:space="preserve"> </v>
      </c>
      <c r="H361" s="100" t="str">
        <f>IFERROR(VLOOKUP(Tablo520[[#This Row],[ÜRÜN KODU]],YMKODLARI!$A$1:$K$373,4,0)," ")</f>
        <v xml:space="preserve"> </v>
      </c>
      <c r="I361" s="100"/>
      <c r="J361" s="100" t="str">
        <f>IFERROR(VLOOKUP(Tablo520[[#This Row],[ÜRÜN KODU]],YMKODLARI!$A$1:$K$373,9,0)," ")</f>
        <v xml:space="preserve"> </v>
      </c>
      <c r="K361" s="100" t="str">
        <f>IFERROR(VLOOKUP(Tablo520[[#This Row],[BOYA KODU]],Tablo14[#All],4,0)," ")</f>
        <v xml:space="preserve"> </v>
      </c>
      <c r="L361" s="100" t="str">
        <f>IFERROR(VLOOKUP(Tablo520[[#This Row],[BOYA KODU]],Tablo14[#All],6,0)," ")</f>
        <v xml:space="preserve"> </v>
      </c>
      <c r="M361" s="100" t="str">
        <f t="shared" si="35"/>
        <v xml:space="preserve"> </v>
      </c>
      <c r="N361" s="100" t="str">
        <f>IFERROR(VLOOKUP(Tablo520[[#This Row],[ÜRÜN KODU]],YMKODLARI!$A$1:$K$373,8,0)," ")</f>
        <v xml:space="preserve"> </v>
      </c>
      <c r="O361" s="100" t="str">
        <f>IFERROR(VLOOKUP(Tablo520[[#This Row],[HAMMADDE KODU]],Tablo1[#All],3,0)," ")</f>
        <v xml:space="preserve"> </v>
      </c>
      <c r="P361" s="100" t="str">
        <f>IFERROR(VLOOKUP(Tablo520[[#This Row],[HAMMADDE KODU]],Tablo1[#All],4,0)," ")</f>
        <v xml:space="preserve"> </v>
      </c>
      <c r="Q361" s="100" t="str">
        <f>IFERROR(VLOOKUP(Tablo520[[#This Row],[ÜRÜN KODU]],YMKODLARI!$A$1:$K$373,5,0)," ")</f>
        <v xml:space="preserve"> </v>
      </c>
      <c r="R361" s="100" t="str">
        <f>IFERROR(VLOOKUP(Tablo520[[#This Row],[ÜRÜN KODU]],YMKODLARI!$A$1:$K$373,6,0)," ")</f>
        <v xml:space="preserve"> </v>
      </c>
      <c r="S361" s="100" t="str">
        <f>IFERROR(Tablo520[[#This Row],[YOLLUK HARİÇ BASKI GRAMI]]/Tablo520[[#This Row],[KALIP GÖZ ADEDİ]]," ")</f>
        <v xml:space="preserve"> </v>
      </c>
      <c r="T361" s="100" t="str">
        <f t="shared" si="37"/>
        <v xml:space="preserve"> </v>
      </c>
      <c r="U361" s="100"/>
      <c r="V361" s="100" t="str">
        <f t="shared" si="36"/>
        <v xml:space="preserve"> </v>
      </c>
      <c r="W361" s="101">
        <f t="shared" si="38"/>
        <v>24</v>
      </c>
      <c r="X361" s="102">
        <f t="shared" si="39"/>
        <v>0</v>
      </c>
      <c r="Y361" s="100" t="str">
        <f t="shared" si="40"/>
        <v xml:space="preserve"> </v>
      </c>
      <c r="Z361" s="100" t="str">
        <f t="shared" si="41"/>
        <v xml:space="preserve"> </v>
      </c>
    </row>
    <row r="362" spans="1:26">
      <c r="A362" s="100"/>
      <c r="B362" s="100" t="str">
        <f>IFERROR(VLOOKUP(Tablo520[[#This Row],[ÜRÜN KODU]],YMKODLARI!$A$1:$K$373,2,0)," ")</f>
        <v xml:space="preserve"> </v>
      </c>
      <c r="C362" s="99"/>
      <c r="D362" s="100"/>
      <c r="E362" s="101"/>
      <c r="F362" s="101"/>
      <c r="G362" s="100" t="str">
        <f>IFERROR(VLOOKUP(Tablo520[[#This Row],[ÜRÜN KODU]],YMKODLARI!$A$1:$K$373,3,0)," ")</f>
        <v xml:space="preserve"> </v>
      </c>
      <c r="H362" s="100" t="str">
        <f>IFERROR(VLOOKUP(Tablo520[[#This Row],[ÜRÜN KODU]],YMKODLARI!$A$1:$K$373,4,0)," ")</f>
        <v xml:space="preserve"> </v>
      </c>
      <c r="I362" s="100"/>
      <c r="J362" s="100" t="str">
        <f>IFERROR(VLOOKUP(Tablo520[[#This Row],[ÜRÜN KODU]],YMKODLARI!$A$1:$K$373,9,0)," ")</f>
        <v xml:space="preserve"> </v>
      </c>
      <c r="K362" s="100" t="str">
        <f>IFERROR(VLOOKUP(Tablo520[[#This Row],[BOYA KODU]],Tablo14[#All],4,0)," ")</f>
        <v xml:space="preserve"> </v>
      </c>
      <c r="L362" s="100" t="str">
        <f>IFERROR(VLOOKUP(Tablo520[[#This Row],[BOYA KODU]],Tablo14[#All],6,0)," ")</f>
        <v xml:space="preserve"> </v>
      </c>
      <c r="M362" s="100" t="str">
        <f t="shared" si="35"/>
        <v xml:space="preserve"> </v>
      </c>
      <c r="N362" s="100" t="str">
        <f>IFERROR(VLOOKUP(Tablo520[[#This Row],[ÜRÜN KODU]],YMKODLARI!$A$1:$K$373,8,0)," ")</f>
        <v xml:space="preserve"> </v>
      </c>
      <c r="O362" s="100" t="str">
        <f>IFERROR(VLOOKUP(Tablo520[[#This Row],[HAMMADDE KODU]],Tablo1[#All],3,0)," ")</f>
        <v xml:space="preserve"> </v>
      </c>
      <c r="P362" s="100" t="str">
        <f>IFERROR(VLOOKUP(Tablo520[[#This Row],[HAMMADDE KODU]],Tablo1[#All],4,0)," ")</f>
        <v xml:space="preserve"> </v>
      </c>
      <c r="Q362" s="100" t="str">
        <f>IFERROR(VLOOKUP(Tablo520[[#This Row],[ÜRÜN KODU]],YMKODLARI!$A$1:$K$373,5,0)," ")</f>
        <v xml:space="preserve"> </v>
      </c>
      <c r="R362" s="100" t="str">
        <f>IFERROR(VLOOKUP(Tablo520[[#This Row],[ÜRÜN KODU]],YMKODLARI!$A$1:$K$373,6,0)," ")</f>
        <v xml:space="preserve"> </v>
      </c>
      <c r="S362" s="100" t="str">
        <f>IFERROR(Tablo520[[#This Row],[YOLLUK HARİÇ BASKI GRAMI]]/Tablo520[[#This Row],[KALIP GÖZ ADEDİ]]," ")</f>
        <v xml:space="preserve"> </v>
      </c>
      <c r="T362" s="100" t="str">
        <f t="shared" si="37"/>
        <v xml:space="preserve"> </v>
      </c>
      <c r="U362" s="100"/>
      <c r="V362" s="100" t="str">
        <f t="shared" si="36"/>
        <v xml:space="preserve"> </v>
      </c>
      <c r="W362" s="101">
        <f t="shared" si="38"/>
        <v>24</v>
      </c>
      <c r="X362" s="102">
        <f t="shared" si="39"/>
        <v>0</v>
      </c>
      <c r="Y362" s="100" t="str">
        <f t="shared" si="40"/>
        <v xml:space="preserve"> </v>
      </c>
      <c r="Z362" s="100" t="str">
        <f t="shared" si="41"/>
        <v xml:space="preserve"> </v>
      </c>
    </row>
    <row r="363" spans="1:26">
      <c r="A363" s="100"/>
      <c r="B363" s="100" t="str">
        <f>IFERROR(VLOOKUP(Tablo520[[#This Row],[ÜRÜN KODU]],YMKODLARI!$A$1:$K$373,2,0)," ")</f>
        <v xml:space="preserve"> </v>
      </c>
      <c r="C363" s="99"/>
      <c r="D363" s="100"/>
      <c r="E363" s="101"/>
      <c r="F363" s="101"/>
      <c r="G363" s="100" t="str">
        <f>IFERROR(VLOOKUP(Tablo520[[#This Row],[ÜRÜN KODU]],YMKODLARI!$A$1:$K$373,3,0)," ")</f>
        <v xml:space="preserve"> </v>
      </c>
      <c r="H363" s="100" t="str">
        <f>IFERROR(VLOOKUP(Tablo520[[#This Row],[ÜRÜN KODU]],YMKODLARI!$A$1:$K$373,4,0)," ")</f>
        <v xml:space="preserve"> </v>
      </c>
      <c r="I363" s="100"/>
      <c r="J363" s="100" t="str">
        <f>IFERROR(VLOOKUP(Tablo520[[#This Row],[ÜRÜN KODU]],YMKODLARI!$A$1:$K$373,9,0)," ")</f>
        <v xml:space="preserve"> </v>
      </c>
      <c r="K363" s="100" t="str">
        <f>IFERROR(VLOOKUP(Tablo520[[#This Row],[BOYA KODU]],Tablo14[#All],4,0)," ")</f>
        <v xml:space="preserve"> </v>
      </c>
      <c r="L363" s="100" t="str">
        <f>IFERROR(VLOOKUP(Tablo520[[#This Row],[BOYA KODU]],Tablo14[#All],6,0)," ")</f>
        <v xml:space="preserve"> </v>
      </c>
      <c r="M363" s="100" t="str">
        <f t="shared" si="35"/>
        <v xml:space="preserve"> </v>
      </c>
      <c r="N363" s="100" t="str">
        <f>IFERROR(VLOOKUP(Tablo520[[#This Row],[ÜRÜN KODU]],YMKODLARI!$A$1:$K$373,8,0)," ")</f>
        <v xml:space="preserve"> </v>
      </c>
      <c r="O363" s="100" t="str">
        <f>IFERROR(VLOOKUP(Tablo520[[#This Row],[HAMMADDE KODU]],Tablo1[#All],3,0)," ")</f>
        <v xml:space="preserve"> </v>
      </c>
      <c r="P363" s="100" t="str">
        <f>IFERROR(VLOOKUP(Tablo520[[#This Row],[HAMMADDE KODU]],Tablo1[#All],4,0)," ")</f>
        <v xml:space="preserve"> </v>
      </c>
      <c r="Q363" s="100" t="str">
        <f>IFERROR(VLOOKUP(Tablo520[[#This Row],[ÜRÜN KODU]],YMKODLARI!$A$1:$K$373,5,0)," ")</f>
        <v xml:space="preserve"> </v>
      </c>
      <c r="R363" s="100" t="str">
        <f>IFERROR(VLOOKUP(Tablo520[[#This Row],[ÜRÜN KODU]],YMKODLARI!$A$1:$K$373,6,0)," ")</f>
        <v xml:space="preserve"> </v>
      </c>
      <c r="S363" s="100" t="str">
        <f>IFERROR(Tablo520[[#This Row],[YOLLUK HARİÇ BASKI GRAMI]]/Tablo520[[#This Row],[KALIP GÖZ ADEDİ]]," ")</f>
        <v xml:space="preserve"> </v>
      </c>
      <c r="T363" s="100" t="str">
        <f t="shared" si="37"/>
        <v xml:space="preserve"> </v>
      </c>
      <c r="U363" s="100"/>
      <c r="V363" s="100" t="str">
        <f t="shared" si="36"/>
        <v xml:space="preserve"> </v>
      </c>
      <c r="W363" s="101">
        <f t="shared" si="38"/>
        <v>24</v>
      </c>
      <c r="X363" s="102">
        <f t="shared" si="39"/>
        <v>0</v>
      </c>
      <c r="Y363" s="100" t="str">
        <f t="shared" si="40"/>
        <v xml:space="preserve"> </v>
      </c>
      <c r="Z363" s="100" t="str">
        <f t="shared" si="41"/>
        <v xml:space="preserve"> </v>
      </c>
    </row>
    <row r="364" spans="1:26">
      <c r="A364" s="100"/>
      <c r="B364" s="100" t="str">
        <f>IFERROR(VLOOKUP(Tablo520[[#This Row],[ÜRÜN KODU]],YMKODLARI!$A$1:$K$373,2,0)," ")</f>
        <v xml:space="preserve"> </v>
      </c>
      <c r="C364" s="99"/>
      <c r="D364" s="100"/>
      <c r="E364" s="101"/>
      <c r="F364" s="101"/>
      <c r="G364" s="100" t="str">
        <f>IFERROR(VLOOKUP(Tablo520[[#This Row],[ÜRÜN KODU]],YMKODLARI!$A$1:$K$373,3,0)," ")</f>
        <v xml:space="preserve"> </v>
      </c>
      <c r="H364" s="100" t="str">
        <f>IFERROR(VLOOKUP(Tablo520[[#This Row],[ÜRÜN KODU]],YMKODLARI!$A$1:$K$373,4,0)," ")</f>
        <v xml:space="preserve"> </v>
      </c>
      <c r="I364" s="100"/>
      <c r="J364" s="100" t="str">
        <f>IFERROR(VLOOKUP(Tablo520[[#This Row],[ÜRÜN KODU]],YMKODLARI!$A$1:$K$373,9,0)," ")</f>
        <v xml:space="preserve"> </v>
      </c>
      <c r="K364" s="100" t="str">
        <f>IFERROR(VLOOKUP(Tablo520[[#This Row],[BOYA KODU]],Tablo14[#All],4,0)," ")</f>
        <v xml:space="preserve"> </v>
      </c>
      <c r="L364" s="100" t="str">
        <f>IFERROR(VLOOKUP(Tablo520[[#This Row],[BOYA KODU]],Tablo14[#All],6,0)," ")</f>
        <v xml:space="preserve"> </v>
      </c>
      <c r="M364" s="100" t="str">
        <f t="shared" si="35"/>
        <v xml:space="preserve"> </v>
      </c>
      <c r="N364" s="100" t="str">
        <f>IFERROR(VLOOKUP(Tablo520[[#This Row],[ÜRÜN KODU]],YMKODLARI!$A$1:$K$373,8,0)," ")</f>
        <v xml:space="preserve"> </v>
      </c>
      <c r="O364" s="100" t="str">
        <f>IFERROR(VLOOKUP(Tablo520[[#This Row],[HAMMADDE KODU]],Tablo1[#All],3,0)," ")</f>
        <v xml:space="preserve"> </v>
      </c>
      <c r="P364" s="100" t="str">
        <f>IFERROR(VLOOKUP(Tablo520[[#This Row],[HAMMADDE KODU]],Tablo1[#All],4,0)," ")</f>
        <v xml:space="preserve"> </v>
      </c>
      <c r="Q364" s="100" t="str">
        <f>IFERROR(VLOOKUP(Tablo520[[#This Row],[ÜRÜN KODU]],YMKODLARI!$A$1:$K$373,5,0)," ")</f>
        <v xml:space="preserve"> </v>
      </c>
      <c r="R364" s="100" t="str">
        <f>IFERROR(VLOOKUP(Tablo520[[#This Row],[ÜRÜN KODU]],YMKODLARI!$A$1:$K$373,6,0)," ")</f>
        <v xml:space="preserve"> </v>
      </c>
      <c r="S364" s="100" t="str">
        <f>IFERROR(Tablo520[[#This Row],[YOLLUK HARİÇ BASKI GRAMI]]/Tablo520[[#This Row],[KALIP GÖZ ADEDİ]]," ")</f>
        <v xml:space="preserve"> </v>
      </c>
      <c r="T364" s="100" t="str">
        <f t="shared" si="37"/>
        <v xml:space="preserve"> </v>
      </c>
      <c r="U364" s="100"/>
      <c r="V364" s="100" t="str">
        <f t="shared" si="36"/>
        <v xml:space="preserve"> </v>
      </c>
      <c r="W364" s="101">
        <f t="shared" si="38"/>
        <v>24</v>
      </c>
      <c r="X364" s="102">
        <f t="shared" si="39"/>
        <v>0</v>
      </c>
      <c r="Y364" s="100" t="str">
        <f t="shared" si="40"/>
        <v xml:space="preserve"> </v>
      </c>
      <c r="Z364" s="100" t="str">
        <f t="shared" si="41"/>
        <v xml:space="preserve"> </v>
      </c>
    </row>
    <row r="365" spans="1:26">
      <c r="A365" s="100"/>
      <c r="B365" s="100" t="str">
        <f>IFERROR(VLOOKUP(Tablo520[[#This Row],[ÜRÜN KODU]],YMKODLARI!$A$1:$K$373,2,0)," ")</f>
        <v xml:space="preserve"> </v>
      </c>
      <c r="C365" s="99"/>
      <c r="D365" s="100"/>
      <c r="E365" s="101"/>
      <c r="F365" s="101"/>
      <c r="G365" s="100" t="str">
        <f>IFERROR(VLOOKUP(Tablo520[[#This Row],[ÜRÜN KODU]],YMKODLARI!$A$1:$K$373,3,0)," ")</f>
        <v xml:space="preserve"> </v>
      </c>
      <c r="H365" s="100" t="str">
        <f>IFERROR(VLOOKUP(Tablo520[[#This Row],[ÜRÜN KODU]],YMKODLARI!$A$1:$K$373,4,0)," ")</f>
        <v xml:space="preserve"> </v>
      </c>
      <c r="I365" s="100"/>
      <c r="J365" s="100" t="str">
        <f>IFERROR(VLOOKUP(Tablo520[[#This Row],[ÜRÜN KODU]],YMKODLARI!$A$1:$K$373,9,0)," ")</f>
        <v xml:space="preserve"> </v>
      </c>
      <c r="K365" s="100" t="str">
        <f>IFERROR(VLOOKUP(Tablo520[[#This Row],[BOYA KODU]],Tablo14[#All],4,0)," ")</f>
        <v xml:space="preserve"> </v>
      </c>
      <c r="L365" s="100" t="str">
        <f>IFERROR(VLOOKUP(Tablo520[[#This Row],[BOYA KODU]],Tablo14[#All],6,0)," ")</f>
        <v xml:space="preserve"> </v>
      </c>
      <c r="M365" s="100" t="str">
        <f t="shared" si="35"/>
        <v xml:space="preserve"> </v>
      </c>
      <c r="N365" s="100" t="str">
        <f>IFERROR(VLOOKUP(Tablo520[[#This Row],[ÜRÜN KODU]],YMKODLARI!$A$1:$K$373,8,0)," ")</f>
        <v xml:space="preserve"> </v>
      </c>
      <c r="O365" s="100" t="str">
        <f>IFERROR(VLOOKUP(Tablo520[[#This Row],[HAMMADDE KODU]],Tablo1[#All],3,0)," ")</f>
        <v xml:space="preserve"> </v>
      </c>
      <c r="P365" s="100" t="str">
        <f>IFERROR(VLOOKUP(Tablo520[[#This Row],[HAMMADDE KODU]],Tablo1[#All],4,0)," ")</f>
        <v xml:space="preserve"> </v>
      </c>
      <c r="Q365" s="100" t="str">
        <f>IFERROR(VLOOKUP(Tablo520[[#This Row],[ÜRÜN KODU]],YMKODLARI!$A$1:$K$373,5,0)," ")</f>
        <v xml:space="preserve"> </v>
      </c>
      <c r="R365" s="100" t="str">
        <f>IFERROR(VLOOKUP(Tablo520[[#This Row],[ÜRÜN KODU]],YMKODLARI!$A$1:$K$373,6,0)," ")</f>
        <v xml:space="preserve"> </v>
      </c>
      <c r="S365" s="100" t="str">
        <f>IFERROR(Tablo520[[#This Row],[YOLLUK HARİÇ BASKI GRAMI]]/Tablo520[[#This Row],[KALIP GÖZ ADEDİ]]," ")</f>
        <v xml:space="preserve"> </v>
      </c>
      <c r="T365" s="100" t="str">
        <f t="shared" si="37"/>
        <v xml:space="preserve"> </v>
      </c>
      <c r="U365" s="100"/>
      <c r="V365" s="100" t="str">
        <f t="shared" si="36"/>
        <v xml:space="preserve"> </v>
      </c>
      <c r="W365" s="101">
        <f t="shared" si="38"/>
        <v>24</v>
      </c>
      <c r="X365" s="102">
        <f t="shared" si="39"/>
        <v>0</v>
      </c>
      <c r="Y365" s="100" t="str">
        <f t="shared" si="40"/>
        <v xml:space="preserve"> </v>
      </c>
      <c r="Z365" s="100" t="str">
        <f t="shared" si="41"/>
        <v xml:space="preserve"> </v>
      </c>
    </row>
    <row r="366" spans="1:26">
      <c r="A366" s="100"/>
      <c r="B366" s="100" t="str">
        <f>IFERROR(VLOOKUP(Tablo520[[#This Row],[ÜRÜN KODU]],YMKODLARI!$A$1:$K$373,2,0)," ")</f>
        <v xml:space="preserve"> </v>
      </c>
      <c r="C366" s="99"/>
      <c r="D366" s="100"/>
      <c r="E366" s="101"/>
      <c r="F366" s="101"/>
      <c r="G366" s="100" t="str">
        <f>IFERROR(VLOOKUP(Tablo520[[#This Row],[ÜRÜN KODU]],YMKODLARI!$A$1:$K$373,3,0)," ")</f>
        <v xml:space="preserve"> </v>
      </c>
      <c r="H366" s="100" t="str">
        <f>IFERROR(VLOOKUP(Tablo520[[#This Row],[ÜRÜN KODU]],YMKODLARI!$A$1:$K$373,4,0)," ")</f>
        <v xml:space="preserve"> </v>
      </c>
      <c r="I366" s="100"/>
      <c r="J366" s="100" t="str">
        <f>IFERROR(VLOOKUP(Tablo520[[#This Row],[ÜRÜN KODU]],YMKODLARI!$A$1:$K$373,9,0)," ")</f>
        <v xml:space="preserve"> </v>
      </c>
      <c r="K366" s="100" t="str">
        <f>IFERROR(VLOOKUP(Tablo520[[#This Row],[BOYA KODU]],Tablo14[#All],4,0)," ")</f>
        <v xml:space="preserve"> </v>
      </c>
      <c r="L366" s="100" t="str">
        <f>IFERROR(VLOOKUP(Tablo520[[#This Row],[BOYA KODU]],Tablo14[#All],6,0)," ")</f>
        <v xml:space="preserve"> </v>
      </c>
      <c r="M366" s="100" t="str">
        <f t="shared" si="35"/>
        <v xml:space="preserve"> </v>
      </c>
      <c r="N366" s="100" t="str">
        <f>IFERROR(VLOOKUP(Tablo520[[#This Row],[ÜRÜN KODU]],YMKODLARI!$A$1:$K$373,8,0)," ")</f>
        <v xml:space="preserve"> </v>
      </c>
      <c r="O366" s="100" t="str">
        <f>IFERROR(VLOOKUP(Tablo520[[#This Row],[HAMMADDE KODU]],Tablo1[#All],3,0)," ")</f>
        <v xml:space="preserve"> </v>
      </c>
      <c r="P366" s="100" t="str">
        <f>IFERROR(VLOOKUP(Tablo520[[#This Row],[HAMMADDE KODU]],Tablo1[#All],4,0)," ")</f>
        <v xml:space="preserve"> </v>
      </c>
      <c r="Q366" s="100" t="str">
        <f>IFERROR(VLOOKUP(Tablo520[[#This Row],[ÜRÜN KODU]],YMKODLARI!$A$1:$K$373,5,0)," ")</f>
        <v xml:space="preserve"> </v>
      </c>
      <c r="R366" s="100" t="str">
        <f>IFERROR(VLOOKUP(Tablo520[[#This Row],[ÜRÜN KODU]],YMKODLARI!$A$1:$K$373,6,0)," ")</f>
        <v xml:space="preserve"> </v>
      </c>
      <c r="S366" s="100" t="str">
        <f>IFERROR(Tablo520[[#This Row],[YOLLUK HARİÇ BASKI GRAMI]]/Tablo520[[#This Row],[KALIP GÖZ ADEDİ]]," ")</f>
        <v xml:space="preserve"> </v>
      </c>
      <c r="T366" s="100" t="str">
        <f t="shared" si="37"/>
        <v xml:space="preserve"> </v>
      </c>
      <c r="U366" s="100"/>
      <c r="V366" s="100" t="str">
        <f t="shared" si="36"/>
        <v xml:space="preserve"> </v>
      </c>
      <c r="W366" s="101">
        <f t="shared" si="38"/>
        <v>24</v>
      </c>
      <c r="X366" s="102">
        <f t="shared" si="39"/>
        <v>0</v>
      </c>
      <c r="Y366" s="100" t="str">
        <f t="shared" si="40"/>
        <v xml:space="preserve"> </v>
      </c>
      <c r="Z366" s="100" t="str">
        <f t="shared" si="41"/>
        <v xml:space="preserve"> </v>
      </c>
    </row>
    <row r="367" spans="1:26">
      <c r="A367" s="100"/>
      <c r="B367" s="100" t="str">
        <f>IFERROR(VLOOKUP(Tablo520[[#This Row],[ÜRÜN KODU]],YMKODLARI!$A$1:$K$373,2,0)," ")</f>
        <v xml:space="preserve"> </v>
      </c>
      <c r="C367" s="99"/>
      <c r="D367" s="100"/>
      <c r="E367" s="101"/>
      <c r="F367" s="101"/>
      <c r="G367" s="100" t="str">
        <f>IFERROR(VLOOKUP(Tablo520[[#This Row],[ÜRÜN KODU]],YMKODLARI!$A$1:$K$373,3,0)," ")</f>
        <v xml:space="preserve"> </v>
      </c>
      <c r="H367" s="100" t="str">
        <f>IFERROR(VLOOKUP(Tablo520[[#This Row],[ÜRÜN KODU]],YMKODLARI!$A$1:$K$373,4,0)," ")</f>
        <v xml:space="preserve"> </v>
      </c>
      <c r="I367" s="100"/>
      <c r="J367" s="100" t="str">
        <f>IFERROR(VLOOKUP(Tablo520[[#This Row],[ÜRÜN KODU]],YMKODLARI!$A$1:$K$373,9,0)," ")</f>
        <v xml:space="preserve"> </v>
      </c>
      <c r="K367" s="100" t="str">
        <f>IFERROR(VLOOKUP(Tablo520[[#This Row],[BOYA KODU]],Tablo14[#All],4,0)," ")</f>
        <v xml:space="preserve"> </v>
      </c>
      <c r="L367" s="100" t="str">
        <f>IFERROR(VLOOKUP(Tablo520[[#This Row],[BOYA KODU]],Tablo14[#All],6,0)," ")</f>
        <v xml:space="preserve"> </v>
      </c>
      <c r="M367" s="100" t="str">
        <f t="shared" si="35"/>
        <v xml:space="preserve"> </v>
      </c>
      <c r="N367" s="100" t="str">
        <f>IFERROR(VLOOKUP(Tablo520[[#This Row],[ÜRÜN KODU]],YMKODLARI!$A$1:$K$373,8,0)," ")</f>
        <v xml:space="preserve"> </v>
      </c>
      <c r="O367" s="100" t="str">
        <f>IFERROR(VLOOKUP(Tablo520[[#This Row],[HAMMADDE KODU]],Tablo1[#All],3,0)," ")</f>
        <v xml:space="preserve"> </v>
      </c>
      <c r="P367" s="100" t="str">
        <f>IFERROR(VLOOKUP(Tablo520[[#This Row],[HAMMADDE KODU]],Tablo1[#All],4,0)," ")</f>
        <v xml:space="preserve"> </v>
      </c>
      <c r="Q367" s="100" t="str">
        <f>IFERROR(VLOOKUP(Tablo520[[#This Row],[ÜRÜN KODU]],YMKODLARI!$A$1:$K$373,5,0)," ")</f>
        <v xml:space="preserve"> </v>
      </c>
      <c r="R367" s="100" t="str">
        <f>IFERROR(VLOOKUP(Tablo520[[#This Row],[ÜRÜN KODU]],YMKODLARI!$A$1:$K$373,6,0)," ")</f>
        <v xml:space="preserve"> </v>
      </c>
      <c r="S367" s="100" t="str">
        <f>IFERROR(Tablo520[[#This Row],[YOLLUK HARİÇ BASKI GRAMI]]/Tablo520[[#This Row],[KALIP GÖZ ADEDİ]]," ")</f>
        <v xml:space="preserve"> </v>
      </c>
      <c r="T367" s="100" t="str">
        <f t="shared" si="37"/>
        <v xml:space="preserve"> </v>
      </c>
      <c r="U367" s="100"/>
      <c r="V367" s="100" t="str">
        <f t="shared" si="36"/>
        <v xml:space="preserve"> </v>
      </c>
      <c r="W367" s="101">
        <f t="shared" si="38"/>
        <v>24</v>
      </c>
      <c r="X367" s="102">
        <f t="shared" si="39"/>
        <v>0</v>
      </c>
      <c r="Y367" s="100" t="str">
        <f t="shared" si="40"/>
        <v xml:space="preserve"> </v>
      </c>
      <c r="Z367" s="100" t="str">
        <f t="shared" si="41"/>
        <v xml:space="preserve"> </v>
      </c>
    </row>
    <row r="368" spans="1:26">
      <c r="A368" s="100"/>
      <c r="B368" s="100" t="str">
        <f>IFERROR(VLOOKUP(Tablo520[[#This Row],[ÜRÜN KODU]],YMKODLARI!$A$1:$K$373,2,0)," ")</f>
        <v xml:space="preserve"> </v>
      </c>
      <c r="C368" s="99"/>
      <c r="D368" s="100"/>
      <c r="E368" s="101"/>
      <c r="F368" s="101"/>
      <c r="G368" s="100" t="str">
        <f>IFERROR(VLOOKUP(Tablo520[[#This Row],[ÜRÜN KODU]],YMKODLARI!$A$1:$K$373,3,0)," ")</f>
        <v xml:space="preserve"> </v>
      </c>
      <c r="H368" s="100" t="str">
        <f>IFERROR(VLOOKUP(Tablo520[[#This Row],[ÜRÜN KODU]],YMKODLARI!$A$1:$K$373,4,0)," ")</f>
        <v xml:space="preserve"> </v>
      </c>
      <c r="I368" s="100"/>
      <c r="J368" s="100" t="str">
        <f>IFERROR(VLOOKUP(Tablo520[[#This Row],[ÜRÜN KODU]],YMKODLARI!$A$1:$K$373,9,0)," ")</f>
        <v xml:space="preserve"> </v>
      </c>
      <c r="K368" s="100" t="str">
        <f>IFERROR(VLOOKUP(Tablo520[[#This Row],[BOYA KODU]],Tablo14[#All],4,0)," ")</f>
        <v xml:space="preserve"> </v>
      </c>
      <c r="L368" s="100" t="str">
        <f>IFERROR(VLOOKUP(Tablo520[[#This Row],[BOYA KODU]],Tablo14[#All],6,0)," ")</f>
        <v xml:space="preserve"> </v>
      </c>
      <c r="M368" s="100" t="str">
        <f t="shared" si="35"/>
        <v xml:space="preserve"> </v>
      </c>
      <c r="N368" s="100" t="str">
        <f>IFERROR(VLOOKUP(Tablo520[[#This Row],[ÜRÜN KODU]],YMKODLARI!$A$1:$K$373,8,0)," ")</f>
        <v xml:space="preserve"> </v>
      </c>
      <c r="O368" s="100" t="str">
        <f>IFERROR(VLOOKUP(Tablo520[[#This Row],[HAMMADDE KODU]],Tablo1[#All],3,0)," ")</f>
        <v xml:space="preserve"> </v>
      </c>
      <c r="P368" s="100" t="str">
        <f>IFERROR(VLOOKUP(Tablo520[[#This Row],[HAMMADDE KODU]],Tablo1[#All],4,0)," ")</f>
        <v xml:space="preserve"> </v>
      </c>
      <c r="Q368" s="100" t="str">
        <f>IFERROR(VLOOKUP(Tablo520[[#This Row],[ÜRÜN KODU]],YMKODLARI!$A$1:$K$373,5,0)," ")</f>
        <v xml:space="preserve"> </v>
      </c>
      <c r="R368" s="100" t="str">
        <f>IFERROR(VLOOKUP(Tablo520[[#This Row],[ÜRÜN KODU]],YMKODLARI!$A$1:$K$373,6,0)," ")</f>
        <v xml:space="preserve"> </v>
      </c>
      <c r="S368" s="100" t="str">
        <f>IFERROR(Tablo520[[#This Row],[YOLLUK HARİÇ BASKI GRAMI]]/Tablo520[[#This Row],[KALIP GÖZ ADEDİ]]," ")</f>
        <v xml:space="preserve"> </v>
      </c>
      <c r="T368" s="100" t="str">
        <f t="shared" si="37"/>
        <v xml:space="preserve"> </v>
      </c>
      <c r="U368" s="100"/>
      <c r="V368" s="100" t="str">
        <f t="shared" si="36"/>
        <v xml:space="preserve"> </v>
      </c>
      <c r="W368" s="101">
        <f t="shared" si="38"/>
        <v>24</v>
      </c>
      <c r="X368" s="102">
        <f t="shared" si="39"/>
        <v>0</v>
      </c>
      <c r="Y368" s="100" t="str">
        <f t="shared" si="40"/>
        <v xml:space="preserve"> </v>
      </c>
      <c r="Z368" s="100" t="str">
        <f t="shared" si="41"/>
        <v xml:space="preserve"> </v>
      </c>
    </row>
    <row r="369" spans="1:26">
      <c r="A369" s="100"/>
      <c r="B369" s="100" t="str">
        <f>IFERROR(VLOOKUP(Tablo520[[#This Row],[ÜRÜN KODU]],YMKODLARI!$A$1:$K$373,2,0)," ")</f>
        <v xml:space="preserve"> </v>
      </c>
      <c r="C369" s="99"/>
      <c r="D369" s="100"/>
      <c r="E369" s="101"/>
      <c r="F369" s="101"/>
      <c r="G369" s="100" t="str">
        <f>IFERROR(VLOOKUP(Tablo520[[#This Row],[ÜRÜN KODU]],YMKODLARI!$A$1:$K$373,3,0)," ")</f>
        <v xml:space="preserve"> </v>
      </c>
      <c r="H369" s="100" t="str">
        <f>IFERROR(VLOOKUP(Tablo520[[#This Row],[ÜRÜN KODU]],YMKODLARI!$A$1:$K$373,4,0)," ")</f>
        <v xml:space="preserve"> </v>
      </c>
      <c r="I369" s="100"/>
      <c r="J369" s="100" t="str">
        <f>IFERROR(VLOOKUP(Tablo520[[#This Row],[ÜRÜN KODU]],YMKODLARI!$A$1:$K$373,9,0)," ")</f>
        <v xml:space="preserve"> </v>
      </c>
      <c r="K369" s="100" t="str">
        <f>IFERROR(VLOOKUP(Tablo520[[#This Row],[BOYA KODU]],Tablo14[#All],4,0)," ")</f>
        <v xml:space="preserve"> </v>
      </c>
      <c r="L369" s="100" t="str">
        <f>IFERROR(VLOOKUP(Tablo520[[#This Row],[BOYA KODU]],Tablo14[#All],6,0)," ")</f>
        <v xml:space="preserve"> </v>
      </c>
      <c r="M369" s="100" t="str">
        <f t="shared" si="35"/>
        <v xml:space="preserve"> </v>
      </c>
      <c r="N369" s="100" t="str">
        <f>IFERROR(VLOOKUP(Tablo520[[#This Row],[ÜRÜN KODU]],YMKODLARI!$A$1:$K$373,8,0)," ")</f>
        <v xml:space="preserve"> </v>
      </c>
      <c r="O369" s="100" t="str">
        <f>IFERROR(VLOOKUP(Tablo520[[#This Row],[HAMMADDE KODU]],Tablo1[#All],3,0)," ")</f>
        <v xml:space="preserve"> </v>
      </c>
      <c r="P369" s="100" t="str">
        <f>IFERROR(VLOOKUP(Tablo520[[#This Row],[HAMMADDE KODU]],Tablo1[#All],4,0)," ")</f>
        <v xml:space="preserve"> </v>
      </c>
      <c r="Q369" s="100" t="str">
        <f>IFERROR(VLOOKUP(Tablo520[[#This Row],[ÜRÜN KODU]],YMKODLARI!$A$1:$K$373,5,0)," ")</f>
        <v xml:space="preserve"> </v>
      </c>
      <c r="R369" s="100" t="str">
        <f>IFERROR(VLOOKUP(Tablo520[[#This Row],[ÜRÜN KODU]],YMKODLARI!$A$1:$K$373,6,0)," ")</f>
        <v xml:space="preserve"> </v>
      </c>
      <c r="S369" s="100" t="str">
        <f>IFERROR(Tablo520[[#This Row],[YOLLUK HARİÇ BASKI GRAMI]]/Tablo520[[#This Row],[KALIP GÖZ ADEDİ]]," ")</f>
        <v xml:space="preserve"> </v>
      </c>
      <c r="T369" s="100" t="str">
        <f t="shared" si="37"/>
        <v xml:space="preserve"> </v>
      </c>
      <c r="U369" s="100"/>
      <c r="V369" s="100" t="str">
        <f t="shared" si="36"/>
        <v xml:space="preserve"> </v>
      </c>
      <c r="W369" s="101">
        <f t="shared" si="38"/>
        <v>24</v>
      </c>
      <c r="X369" s="102">
        <f t="shared" si="39"/>
        <v>0</v>
      </c>
      <c r="Y369" s="100" t="str">
        <f t="shared" si="40"/>
        <v xml:space="preserve"> </v>
      </c>
      <c r="Z369" s="100" t="str">
        <f t="shared" si="41"/>
        <v xml:space="preserve"> </v>
      </c>
    </row>
    <row r="370" spans="1:26">
      <c r="A370" s="100"/>
      <c r="B370" s="100" t="str">
        <f>IFERROR(VLOOKUP(Tablo520[[#This Row],[ÜRÜN KODU]],YMKODLARI!$A$1:$K$373,2,0)," ")</f>
        <v xml:space="preserve"> </v>
      </c>
      <c r="C370" s="99"/>
      <c r="D370" s="100"/>
      <c r="E370" s="101"/>
      <c r="F370" s="101"/>
      <c r="G370" s="100" t="str">
        <f>IFERROR(VLOOKUP(Tablo520[[#This Row],[ÜRÜN KODU]],YMKODLARI!$A$1:$K$373,3,0)," ")</f>
        <v xml:space="preserve"> </v>
      </c>
      <c r="H370" s="100" t="str">
        <f>IFERROR(VLOOKUP(Tablo520[[#This Row],[ÜRÜN KODU]],YMKODLARI!$A$1:$K$373,4,0)," ")</f>
        <v xml:space="preserve"> </v>
      </c>
      <c r="I370" s="100"/>
      <c r="J370" s="100" t="str">
        <f>IFERROR(VLOOKUP(Tablo520[[#This Row],[ÜRÜN KODU]],YMKODLARI!$A$1:$K$373,9,0)," ")</f>
        <v xml:space="preserve"> </v>
      </c>
      <c r="K370" s="100" t="str">
        <f>IFERROR(VLOOKUP(Tablo520[[#This Row],[BOYA KODU]],Tablo14[#All],4,0)," ")</f>
        <v xml:space="preserve"> </v>
      </c>
      <c r="L370" s="100" t="str">
        <f>IFERROR(VLOOKUP(Tablo520[[#This Row],[BOYA KODU]],Tablo14[#All],6,0)," ")</f>
        <v xml:space="preserve"> </v>
      </c>
      <c r="M370" s="100" t="str">
        <f t="shared" si="35"/>
        <v xml:space="preserve"> </v>
      </c>
      <c r="N370" s="100" t="str">
        <f>IFERROR(VLOOKUP(Tablo520[[#This Row],[ÜRÜN KODU]],YMKODLARI!$A$1:$K$373,8,0)," ")</f>
        <v xml:space="preserve"> </v>
      </c>
      <c r="O370" s="100" t="str">
        <f>IFERROR(VLOOKUP(Tablo520[[#This Row],[HAMMADDE KODU]],Tablo1[#All],3,0)," ")</f>
        <v xml:space="preserve"> </v>
      </c>
      <c r="P370" s="100" t="str">
        <f>IFERROR(VLOOKUP(Tablo520[[#This Row],[HAMMADDE KODU]],Tablo1[#All],4,0)," ")</f>
        <v xml:space="preserve"> </v>
      </c>
      <c r="Q370" s="100" t="str">
        <f>IFERROR(VLOOKUP(Tablo520[[#This Row],[ÜRÜN KODU]],YMKODLARI!$A$1:$K$373,5,0)," ")</f>
        <v xml:space="preserve"> </v>
      </c>
      <c r="R370" s="100" t="str">
        <f>IFERROR(VLOOKUP(Tablo520[[#This Row],[ÜRÜN KODU]],YMKODLARI!$A$1:$K$373,6,0)," ")</f>
        <v xml:space="preserve"> </v>
      </c>
      <c r="S370" s="100" t="str">
        <f>IFERROR(Tablo520[[#This Row],[YOLLUK HARİÇ BASKI GRAMI]]/Tablo520[[#This Row],[KALIP GÖZ ADEDİ]]," ")</f>
        <v xml:space="preserve"> </v>
      </c>
      <c r="T370" s="100" t="str">
        <f t="shared" si="37"/>
        <v xml:space="preserve"> </v>
      </c>
      <c r="U370" s="100"/>
      <c r="V370" s="100" t="str">
        <f t="shared" si="36"/>
        <v xml:space="preserve"> </v>
      </c>
      <c r="W370" s="101">
        <f t="shared" si="38"/>
        <v>24</v>
      </c>
      <c r="X370" s="102">
        <f t="shared" si="39"/>
        <v>0</v>
      </c>
      <c r="Y370" s="100" t="str">
        <f t="shared" si="40"/>
        <v xml:space="preserve"> </v>
      </c>
      <c r="Z370" s="100" t="str">
        <f t="shared" si="41"/>
        <v xml:space="preserve"> </v>
      </c>
    </row>
    <row r="371" spans="1:26">
      <c r="A371" s="100"/>
      <c r="B371" s="100" t="str">
        <f>IFERROR(VLOOKUP(Tablo520[[#This Row],[ÜRÜN KODU]],YMKODLARI!$A$1:$K$373,2,0)," ")</f>
        <v xml:space="preserve"> </v>
      </c>
      <c r="C371" s="99"/>
      <c r="D371" s="100"/>
      <c r="E371" s="101"/>
      <c r="F371" s="101"/>
      <c r="G371" s="100" t="str">
        <f>IFERROR(VLOOKUP(Tablo520[[#This Row],[ÜRÜN KODU]],YMKODLARI!$A$1:$K$373,3,0)," ")</f>
        <v xml:space="preserve"> </v>
      </c>
      <c r="H371" s="100" t="str">
        <f>IFERROR(VLOOKUP(Tablo520[[#This Row],[ÜRÜN KODU]],YMKODLARI!$A$1:$K$373,4,0)," ")</f>
        <v xml:space="preserve"> </v>
      </c>
      <c r="I371" s="100"/>
      <c r="J371" s="100" t="str">
        <f>IFERROR(VLOOKUP(Tablo520[[#This Row],[ÜRÜN KODU]],YMKODLARI!$A$1:$K$373,9,0)," ")</f>
        <v xml:space="preserve"> </v>
      </c>
      <c r="K371" s="100" t="str">
        <f>IFERROR(VLOOKUP(Tablo520[[#This Row],[BOYA KODU]],Tablo14[#All],4,0)," ")</f>
        <v xml:space="preserve"> </v>
      </c>
      <c r="L371" s="100" t="str">
        <f>IFERROR(VLOOKUP(Tablo520[[#This Row],[BOYA KODU]],Tablo14[#All],6,0)," ")</f>
        <v xml:space="preserve"> </v>
      </c>
      <c r="M371" s="100" t="str">
        <f t="shared" si="35"/>
        <v xml:space="preserve"> </v>
      </c>
      <c r="N371" s="100" t="str">
        <f>IFERROR(VLOOKUP(Tablo520[[#This Row],[ÜRÜN KODU]],YMKODLARI!$A$1:$K$373,8,0)," ")</f>
        <v xml:space="preserve"> </v>
      </c>
      <c r="O371" s="100" t="str">
        <f>IFERROR(VLOOKUP(Tablo520[[#This Row],[HAMMADDE KODU]],Tablo1[#All],3,0)," ")</f>
        <v xml:space="preserve"> </v>
      </c>
      <c r="P371" s="100" t="str">
        <f>IFERROR(VLOOKUP(Tablo520[[#This Row],[HAMMADDE KODU]],Tablo1[#All],4,0)," ")</f>
        <v xml:space="preserve"> </v>
      </c>
      <c r="Q371" s="100" t="str">
        <f>IFERROR(VLOOKUP(Tablo520[[#This Row],[ÜRÜN KODU]],YMKODLARI!$A$1:$K$373,5,0)," ")</f>
        <v xml:space="preserve"> </v>
      </c>
      <c r="R371" s="100" t="str">
        <f>IFERROR(VLOOKUP(Tablo520[[#This Row],[ÜRÜN KODU]],YMKODLARI!$A$1:$K$373,6,0)," ")</f>
        <v xml:space="preserve"> </v>
      </c>
      <c r="S371" s="100" t="str">
        <f>IFERROR(Tablo520[[#This Row],[YOLLUK HARİÇ BASKI GRAMI]]/Tablo520[[#This Row],[KALIP GÖZ ADEDİ]]," ")</f>
        <v xml:space="preserve"> </v>
      </c>
      <c r="T371" s="100" t="str">
        <f t="shared" si="37"/>
        <v xml:space="preserve"> </v>
      </c>
      <c r="U371" s="100"/>
      <c r="V371" s="100" t="str">
        <f t="shared" si="36"/>
        <v xml:space="preserve"> </v>
      </c>
      <c r="W371" s="101">
        <f t="shared" si="38"/>
        <v>24</v>
      </c>
      <c r="X371" s="102">
        <f t="shared" si="39"/>
        <v>0</v>
      </c>
      <c r="Y371" s="100" t="str">
        <f t="shared" si="40"/>
        <v xml:space="preserve"> </v>
      </c>
      <c r="Z371" s="100" t="str">
        <f t="shared" si="41"/>
        <v xml:space="preserve"> </v>
      </c>
    </row>
    <row r="372" spans="1:26">
      <c r="A372" s="100"/>
      <c r="B372" s="100" t="str">
        <f>IFERROR(VLOOKUP(Tablo520[[#This Row],[ÜRÜN KODU]],YMKODLARI!$A$1:$K$373,2,0)," ")</f>
        <v xml:space="preserve"> </v>
      </c>
      <c r="C372" s="99"/>
      <c r="D372" s="100"/>
      <c r="E372" s="101"/>
      <c r="F372" s="101"/>
      <c r="G372" s="100" t="str">
        <f>IFERROR(VLOOKUP(Tablo520[[#This Row],[ÜRÜN KODU]],YMKODLARI!$A$1:$K$373,3,0)," ")</f>
        <v xml:space="preserve"> </v>
      </c>
      <c r="H372" s="100" t="str">
        <f>IFERROR(VLOOKUP(Tablo520[[#This Row],[ÜRÜN KODU]],YMKODLARI!$A$1:$K$373,4,0)," ")</f>
        <v xml:space="preserve"> </v>
      </c>
      <c r="I372" s="100"/>
      <c r="J372" s="100" t="str">
        <f>IFERROR(VLOOKUP(Tablo520[[#This Row],[ÜRÜN KODU]],YMKODLARI!$A$1:$K$373,9,0)," ")</f>
        <v xml:space="preserve"> </v>
      </c>
      <c r="K372" s="100" t="str">
        <f>IFERROR(VLOOKUP(Tablo520[[#This Row],[BOYA KODU]],Tablo14[#All],4,0)," ")</f>
        <v xml:space="preserve"> </v>
      </c>
      <c r="L372" s="100" t="str">
        <f>IFERROR(VLOOKUP(Tablo520[[#This Row],[BOYA KODU]],Tablo14[#All],6,0)," ")</f>
        <v xml:space="preserve"> </v>
      </c>
      <c r="M372" s="100" t="str">
        <f t="shared" si="35"/>
        <v xml:space="preserve"> </v>
      </c>
      <c r="N372" s="100" t="str">
        <f>IFERROR(VLOOKUP(Tablo520[[#This Row],[ÜRÜN KODU]],YMKODLARI!$A$1:$K$373,8,0)," ")</f>
        <v xml:space="preserve"> </v>
      </c>
      <c r="O372" s="100" t="str">
        <f>IFERROR(VLOOKUP(Tablo520[[#This Row],[HAMMADDE KODU]],Tablo1[#All],3,0)," ")</f>
        <v xml:space="preserve"> </v>
      </c>
      <c r="P372" s="100" t="str">
        <f>IFERROR(VLOOKUP(Tablo520[[#This Row],[HAMMADDE KODU]],Tablo1[#All],4,0)," ")</f>
        <v xml:space="preserve"> </v>
      </c>
      <c r="Q372" s="100" t="str">
        <f>IFERROR(VLOOKUP(Tablo520[[#This Row],[ÜRÜN KODU]],YMKODLARI!$A$1:$K$373,5,0)," ")</f>
        <v xml:space="preserve"> </v>
      </c>
      <c r="R372" s="100" t="str">
        <f>IFERROR(VLOOKUP(Tablo520[[#This Row],[ÜRÜN KODU]],YMKODLARI!$A$1:$K$373,6,0)," ")</f>
        <v xml:space="preserve"> </v>
      </c>
      <c r="S372" s="100" t="str">
        <f>IFERROR(Tablo520[[#This Row],[YOLLUK HARİÇ BASKI GRAMI]]/Tablo520[[#This Row],[KALIP GÖZ ADEDİ]]," ")</f>
        <v xml:space="preserve"> </v>
      </c>
      <c r="T372" s="100" t="str">
        <f t="shared" si="37"/>
        <v xml:space="preserve"> </v>
      </c>
      <c r="U372" s="100"/>
      <c r="V372" s="100" t="str">
        <f t="shared" si="36"/>
        <v xml:space="preserve"> </v>
      </c>
      <c r="W372" s="101">
        <f t="shared" si="38"/>
        <v>24</v>
      </c>
      <c r="X372" s="102">
        <f t="shared" si="39"/>
        <v>0</v>
      </c>
      <c r="Y372" s="100" t="str">
        <f t="shared" si="40"/>
        <v xml:space="preserve"> </v>
      </c>
      <c r="Z372" s="100" t="str">
        <f t="shared" si="41"/>
        <v xml:space="preserve"> </v>
      </c>
    </row>
    <row r="373" spans="1:26">
      <c r="A373" s="100"/>
      <c r="B373" s="100" t="str">
        <f>IFERROR(VLOOKUP(Tablo520[[#This Row],[ÜRÜN KODU]],YMKODLARI!$A$1:$K$373,2,0)," ")</f>
        <v xml:space="preserve"> </v>
      </c>
      <c r="C373" s="99"/>
      <c r="D373" s="100"/>
      <c r="E373" s="101"/>
      <c r="F373" s="101"/>
      <c r="G373" s="100" t="str">
        <f>IFERROR(VLOOKUP(Tablo520[[#This Row],[ÜRÜN KODU]],YMKODLARI!$A$1:$K$373,3,0)," ")</f>
        <v xml:space="preserve"> </v>
      </c>
      <c r="H373" s="100" t="str">
        <f>IFERROR(VLOOKUP(Tablo520[[#This Row],[ÜRÜN KODU]],YMKODLARI!$A$1:$K$373,4,0)," ")</f>
        <v xml:space="preserve"> </v>
      </c>
      <c r="I373" s="100"/>
      <c r="J373" s="100" t="str">
        <f>IFERROR(VLOOKUP(Tablo520[[#This Row],[ÜRÜN KODU]],YMKODLARI!$A$1:$K$373,9,0)," ")</f>
        <v xml:space="preserve"> </v>
      </c>
      <c r="K373" s="100" t="str">
        <f>IFERROR(VLOOKUP(Tablo520[[#This Row],[BOYA KODU]],Tablo14[#All],4,0)," ")</f>
        <v xml:space="preserve"> </v>
      </c>
      <c r="L373" s="100" t="str">
        <f>IFERROR(VLOOKUP(Tablo520[[#This Row],[BOYA KODU]],Tablo14[#All],6,0)," ")</f>
        <v xml:space="preserve"> </v>
      </c>
      <c r="M373" s="100" t="str">
        <f t="shared" si="35"/>
        <v xml:space="preserve"> </v>
      </c>
      <c r="N373" s="100" t="str">
        <f>IFERROR(VLOOKUP(Tablo520[[#This Row],[ÜRÜN KODU]],YMKODLARI!$A$1:$K$373,8,0)," ")</f>
        <v xml:space="preserve"> </v>
      </c>
      <c r="O373" s="100" t="str">
        <f>IFERROR(VLOOKUP(Tablo520[[#This Row],[HAMMADDE KODU]],Tablo1[#All],3,0)," ")</f>
        <v xml:space="preserve"> </v>
      </c>
      <c r="P373" s="100" t="str">
        <f>IFERROR(VLOOKUP(Tablo520[[#This Row],[HAMMADDE KODU]],Tablo1[#All],4,0)," ")</f>
        <v xml:space="preserve"> </v>
      </c>
      <c r="Q373" s="100" t="str">
        <f>IFERROR(VLOOKUP(Tablo520[[#This Row],[ÜRÜN KODU]],YMKODLARI!$A$1:$K$373,5,0)," ")</f>
        <v xml:space="preserve"> </v>
      </c>
      <c r="R373" s="100" t="str">
        <f>IFERROR(VLOOKUP(Tablo520[[#This Row],[ÜRÜN KODU]],YMKODLARI!$A$1:$K$373,6,0)," ")</f>
        <v xml:space="preserve"> </v>
      </c>
      <c r="S373" s="100" t="str">
        <f>IFERROR(Tablo520[[#This Row],[YOLLUK HARİÇ BASKI GRAMI]]/Tablo520[[#This Row],[KALIP GÖZ ADEDİ]]," ")</f>
        <v xml:space="preserve"> </v>
      </c>
      <c r="T373" s="100" t="str">
        <f t="shared" si="37"/>
        <v xml:space="preserve"> </v>
      </c>
      <c r="U373" s="100"/>
      <c r="V373" s="100" t="str">
        <f t="shared" si="36"/>
        <v xml:space="preserve"> </v>
      </c>
      <c r="W373" s="101">
        <f t="shared" si="38"/>
        <v>24</v>
      </c>
      <c r="X373" s="102">
        <f t="shared" si="39"/>
        <v>0</v>
      </c>
      <c r="Y373" s="100" t="str">
        <f t="shared" si="40"/>
        <v xml:space="preserve"> </v>
      </c>
      <c r="Z373" s="100" t="str">
        <f t="shared" si="41"/>
        <v xml:space="preserve"> </v>
      </c>
    </row>
    <row r="374" spans="1:26">
      <c r="A374" s="100"/>
      <c r="B374" s="100" t="str">
        <f>IFERROR(VLOOKUP(Tablo520[[#This Row],[ÜRÜN KODU]],YMKODLARI!$A$1:$K$373,2,0)," ")</f>
        <v xml:space="preserve"> </v>
      </c>
      <c r="C374" s="99"/>
      <c r="D374" s="100"/>
      <c r="E374" s="101"/>
      <c r="F374" s="101"/>
      <c r="G374" s="100" t="str">
        <f>IFERROR(VLOOKUP(Tablo520[[#This Row],[ÜRÜN KODU]],YMKODLARI!$A$1:$K$373,3,0)," ")</f>
        <v xml:space="preserve"> </v>
      </c>
      <c r="H374" s="100" t="str">
        <f>IFERROR(VLOOKUP(Tablo520[[#This Row],[ÜRÜN KODU]],YMKODLARI!$A$1:$K$373,4,0)," ")</f>
        <v xml:space="preserve"> </v>
      </c>
      <c r="I374" s="100"/>
      <c r="J374" s="100" t="str">
        <f>IFERROR(VLOOKUP(Tablo520[[#This Row],[ÜRÜN KODU]],YMKODLARI!$A$1:$K$373,9,0)," ")</f>
        <v xml:space="preserve"> </v>
      </c>
      <c r="K374" s="100" t="str">
        <f>IFERROR(VLOOKUP(Tablo520[[#This Row],[BOYA KODU]],Tablo14[#All],4,0)," ")</f>
        <v xml:space="preserve"> </v>
      </c>
      <c r="L374" s="100" t="str">
        <f>IFERROR(VLOOKUP(Tablo520[[#This Row],[BOYA KODU]],Tablo14[#All],6,0)," ")</f>
        <v xml:space="preserve"> </v>
      </c>
      <c r="M374" s="100" t="str">
        <f t="shared" si="35"/>
        <v xml:space="preserve"> </v>
      </c>
      <c r="N374" s="100" t="str">
        <f>IFERROR(VLOOKUP(Tablo520[[#This Row],[ÜRÜN KODU]],YMKODLARI!$A$1:$K$373,8,0)," ")</f>
        <v xml:space="preserve"> </v>
      </c>
      <c r="O374" s="100" t="str">
        <f>IFERROR(VLOOKUP(Tablo520[[#This Row],[HAMMADDE KODU]],Tablo1[#All],3,0)," ")</f>
        <v xml:space="preserve"> </v>
      </c>
      <c r="P374" s="100" t="str">
        <f>IFERROR(VLOOKUP(Tablo520[[#This Row],[HAMMADDE KODU]],Tablo1[#All],4,0)," ")</f>
        <v xml:space="preserve"> </v>
      </c>
      <c r="Q374" s="100" t="str">
        <f>IFERROR(VLOOKUP(Tablo520[[#This Row],[ÜRÜN KODU]],YMKODLARI!$A$1:$K$373,5,0)," ")</f>
        <v xml:space="preserve"> </v>
      </c>
      <c r="R374" s="100" t="str">
        <f>IFERROR(VLOOKUP(Tablo520[[#This Row],[ÜRÜN KODU]],YMKODLARI!$A$1:$K$373,6,0)," ")</f>
        <v xml:space="preserve"> </v>
      </c>
      <c r="S374" s="100" t="str">
        <f>IFERROR(Tablo520[[#This Row],[YOLLUK HARİÇ BASKI GRAMI]]/Tablo520[[#This Row],[KALIP GÖZ ADEDİ]]," ")</f>
        <v xml:space="preserve"> </v>
      </c>
      <c r="T374" s="100" t="str">
        <f t="shared" si="37"/>
        <v xml:space="preserve"> </v>
      </c>
      <c r="U374" s="100"/>
      <c r="V374" s="100" t="str">
        <f t="shared" si="36"/>
        <v xml:space="preserve"> </v>
      </c>
      <c r="W374" s="101">
        <f t="shared" si="38"/>
        <v>24</v>
      </c>
      <c r="X374" s="102">
        <f t="shared" si="39"/>
        <v>0</v>
      </c>
      <c r="Y374" s="100" t="str">
        <f t="shared" si="40"/>
        <v xml:space="preserve"> </v>
      </c>
      <c r="Z374" s="100" t="str">
        <f t="shared" si="41"/>
        <v xml:space="preserve"> </v>
      </c>
    </row>
    <row r="375" spans="1:26">
      <c r="A375" s="100"/>
      <c r="B375" s="100" t="str">
        <f>IFERROR(VLOOKUP(Tablo520[[#This Row],[ÜRÜN KODU]],YMKODLARI!$A$1:$K$373,2,0)," ")</f>
        <v xml:space="preserve"> </v>
      </c>
      <c r="C375" s="99"/>
      <c r="D375" s="100"/>
      <c r="E375" s="101"/>
      <c r="F375" s="101"/>
      <c r="G375" s="100" t="str">
        <f>IFERROR(VLOOKUP(Tablo520[[#This Row],[ÜRÜN KODU]],YMKODLARI!$A$1:$K$373,3,0)," ")</f>
        <v xml:space="preserve"> </v>
      </c>
      <c r="H375" s="100" t="str">
        <f>IFERROR(VLOOKUP(Tablo520[[#This Row],[ÜRÜN KODU]],YMKODLARI!$A$1:$K$373,4,0)," ")</f>
        <v xml:space="preserve"> </v>
      </c>
      <c r="I375" s="100"/>
      <c r="J375" s="100" t="str">
        <f>IFERROR(VLOOKUP(Tablo520[[#This Row],[ÜRÜN KODU]],YMKODLARI!$A$1:$K$373,9,0)," ")</f>
        <v xml:space="preserve"> </v>
      </c>
      <c r="K375" s="100" t="str">
        <f>IFERROR(VLOOKUP(Tablo520[[#This Row],[BOYA KODU]],Tablo14[#All],4,0)," ")</f>
        <v xml:space="preserve"> </v>
      </c>
      <c r="L375" s="100" t="str">
        <f>IFERROR(VLOOKUP(Tablo520[[#This Row],[BOYA KODU]],Tablo14[#All],6,0)," ")</f>
        <v xml:space="preserve"> </v>
      </c>
      <c r="M375" s="100" t="str">
        <f t="shared" si="35"/>
        <v xml:space="preserve"> </v>
      </c>
      <c r="N375" s="100" t="str">
        <f>IFERROR(VLOOKUP(Tablo520[[#This Row],[ÜRÜN KODU]],YMKODLARI!$A$1:$K$373,8,0)," ")</f>
        <v xml:space="preserve"> </v>
      </c>
      <c r="O375" s="100" t="str">
        <f>IFERROR(VLOOKUP(Tablo520[[#This Row],[HAMMADDE KODU]],Tablo1[#All],3,0)," ")</f>
        <v xml:space="preserve"> </v>
      </c>
      <c r="P375" s="100" t="str">
        <f>IFERROR(VLOOKUP(Tablo520[[#This Row],[HAMMADDE KODU]],Tablo1[#All],4,0)," ")</f>
        <v xml:space="preserve"> </v>
      </c>
      <c r="Q375" s="100" t="str">
        <f>IFERROR(VLOOKUP(Tablo520[[#This Row],[ÜRÜN KODU]],YMKODLARI!$A$1:$K$373,5,0)," ")</f>
        <v xml:space="preserve"> </v>
      </c>
      <c r="R375" s="100" t="str">
        <f>IFERROR(VLOOKUP(Tablo520[[#This Row],[ÜRÜN KODU]],YMKODLARI!$A$1:$K$373,6,0)," ")</f>
        <v xml:space="preserve"> </v>
      </c>
      <c r="S375" s="100" t="str">
        <f>IFERROR(Tablo520[[#This Row],[YOLLUK HARİÇ BASKI GRAMI]]/Tablo520[[#This Row],[KALIP GÖZ ADEDİ]]," ")</f>
        <v xml:space="preserve"> </v>
      </c>
      <c r="T375" s="100" t="str">
        <f t="shared" si="37"/>
        <v xml:space="preserve"> </v>
      </c>
      <c r="U375" s="100"/>
      <c r="V375" s="100" t="str">
        <f t="shared" si="36"/>
        <v xml:space="preserve"> </v>
      </c>
      <c r="W375" s="101">
        <f t="shared" si="38"/>
        <v>24</v>
      </c>
      <c r="X375" s="102">
        <f t="shared" si="39"/>
        <v>0</v>
      </c>
      <c r="Y375" s="100" t="str">
        <f t="shared" si="40"/>
        <v xml:space="preserve"> </v>
      </c>
      <c r="Z375" s="100" t="str">
        <f t="shared" si="41"/>
        <v xml:space="preserve"> </v>
      </c>
    </row>
    <row r="376" spans="1:26">
      <c r="A376" s="100"/>
      <c r="B376" s="100" t="str">
        <f>IFERROR(VLOOKUP(Tablo520[[#This Row],[ÜRÜN KODU]],YMKODLARI!$A$1:$K$373,2,0)," ")</f>
        <v xml:space="preserve"> </v>
      </c>
      <c r="C376" s="99"/>
      <c r="D376" s="100"/>
      <c r="E376" s="101"/>
      <c r="F376" s="101"/>
      <c r="G376" s="100" t="str">
        <f>IFERROR(VLOOKUP(Tablo520[[#This Row],[ÜRÜN KODU]],YMKODLARI!$A$1:$K$373,3,0)," ")</f>
        <v xml:space="preserve"> </v>
      </c>
      <c r="H376" s="100" t="str">
        <f>IFERROR(VLOOKUP(Tablo520[[#This Row],[ÜRÜN KODU]],YMKODLARI!$A$1:$K$373,4,0)," ")</f>
        <v xml:space="preserve"> </v>
      </c>
      <c r="I376" s="100"/>
      <c r="J376" s="100" t="str">
        <f>IFERROR(VLOOKUP(Tablo520[[#This Row],[ÜRÜN KODU]],YMKODLARI!$A$1:$K$373,9,0)," ")</f>
        <v xml:space="preserve"> </v>
      </c>
      <c r="K376" s="100" t="str">
        <f>IFERROR(VLOOKUP(Tablo520[[#This Row],[BOYA KODU]],Tablo14[#All],4,0)," ")</f>
        <v xml:space="preserve"> </v>
      </c>
      <c r="L376" s="100" t="str">
        <f>IFERROR(VLOOKUP(Tablo520[[#This Row],[BOYA KODU]],Tablo14[#All],6,0)," ")</f>
        <v xml:space="preserve"> </v>
      </c>
      <c r="M376" s="100" t="str">
        <f t="shared" si="35"/>
        <v xml:space="preserve"> </v>
      </c>
      <c r="N376" s="100" t="str">
        <f>IFERROR(VLOOKUP(Tablo520[[#This Row],[ÜRÜN KODU]],YMKODLARI!$A$1:$K$373,8,0)," ")</f>
        <v xml:space="preserve"> </v>
      </c>
      <c r="O376" s="100" t="str">
        <f>IFERROR(VLOOKUP(Tablo520[[#This Row],[HAMMADDE KODU]],Tablo1[#All],3,0)," ")</f>
        <v xml:space="preserve"> </v>
      </c>
      <c r="P376" s="100" t="str">
        <f>IFERROR(VLOOKUP(Tablo520[[#This Row],[HAMMADDE KODU]],Tablo1[#All],4,0)," ")</f>
        <v xml:space="preserve"> </v>
      </c>
      <c r="Q376" s="100" t="str">
        <f>IFERROR(VLOOKUP(Tablo520[[#This Row],[ÜRÜN KODU]],YMKODLARI!$A$1:$K$373,5,0)," ")</f>
        <v xml:space="preserve"> </v>
      </c>
      <c r="R376" s="100" t="str">
        <f>IFERROR(VLOOKUP(Tablo520[[#This Row],[ÜRÜN KODU]],YMKODLARI!$A$1:$K$373,6,0)," ")</f>
        <v xml:space="preserve"> </v>
      </c>
      <c r="S376" s="100" t="str">
        <f>IFERROR(Tablo520[[#This Row],[YOLLUK HARİÇ BASKI GRAMI]]/Tablo520[[#This Row],[KALIP GÖZ ADEDİ]]," ")</f>
        <v xml:space="preserve"> </v>
      </c>
      <c r="T376" s="100" t="str">
        <f t="shared" si="37"/>
        <v xml:space="preserve"> </v>
      </c>
      <c r="U376" s="100"/>
      <c r="V376" s="100" t="str">
        <f t="shared" si="36"/>
        <v xml:space="preserve"> </v>
      </c>
      <c r="W376" s="101">
        <f t="shared" si="38"/>
        <v>24</v>
      </c>
      <c r="X376" s="102">
        <f t="shared" si="39"/>
        <v>0</v>
      </c>
      <c r="Y376" s="100" t="str">
        <f t="shared" si="40"/>
        <v xml:space="preserve"> </v>
      </c>
      <c r="Z376" s="100" t="str">
        <f t="shared" si="41"/>
        <v xml:space="preserve"> </v>
      </c>
    </row>
    <row r="377" spans="1:26">
      <c r="A377" s="100"/>
      <c r="B377" s="100" t="str">
        <f>IFERROR(VLOOKUP(Tablo520[[#This Row],[ÜRÜN KODU]],YMKODLARI!$A$1:$K$373,2,0)," ")</f>
        <v xml:space="preserve"> </v>
      </c>
      <c r="C377" s="99"/>
      <c r="D377" s="100"/>
      <c r="E377" s="101"/>
      <c r="F377" s="101"/>
      <c r="G377" s="100" t="str">
        <f>IFERROR(VLOOKUP(Tablo520[[#This Row],[ÜRÜN KODU]],YMKODLARI!$A$1:$K$373,3,0)," ")</f>
        <v xml:space="preserve"> </v>
      </c>
      <c r="H377" s="100" t="str">
        <f>IFERROR(VLOOKUP(Tablo520[[#This Row],[ÜRÜN KODU]],YMKODLARI!$A$1:$K$373,4,0)," ")</f>
        <v xml:space="preserve"> </v>
      </c>
      <c r="I377" s="100"/>
      <c r="J377" s="100" t="str">
        <f>IFERROR(VLOOKUP(Tablo520[[#This Row],[ÜRÜN KODU]],YMKODLARI!$A$1:$K$373,9,0)," ")</f>
        <v xml:space="preserve"> </v>
      </c>
      <c r="K377" s="100" t="str">
        <f>IFERROR(VLOOKUP(Tablo520[[#This Row],[BOYA KODU]],Tablo14[#All],4,0)," ")</f>
        <v xml:space="preserve"> </v>
      </c>
      <c r="L377" s="100" t="str">
        <f>IFERROR(VLOOKUP(Tablo520[[#This Row],[BOYA KODU]],Tablo14[#All],6,0)," ")</f>
        <v xml:space="preserve"> </v>
      </c>
      <c r="M377" s="100" t="str">
        <f t="shared" si="35"/>
        <v xml:space="preserve"> </v>
      </c>
      <c r="N377" s="100" t="str">
        <f>IFERROR(VLOOKUP(Tablo520[[#This Row],[ÜRÜN KODU]],YMKODLARI!$A$1:$K$373,8,0)," ")</f>
        <v xml:space="preserve"> </v>
      </c>
      <c r="O377" s="100" t="str">
        <f>IFERROR(VLOOKUP(Tablo520[[#This Row],[HAMMADDE KODU]],Tablo1[#All],3,0)," ")</f>
        <v xml:space="preserve"> </v>
      </c>
      <c r="P377" s="100" t="str">
        <f>IFERROR(VLOOKUP(Tablo520[[#This Row],[HAMMADDE KODU]],Tablo1[#All],4,0)," ")</f>
        <v xml:space="preserve"> </v>
      </c>
      <c r="Q377" s="100" t="str">
        <f>IFERROR(VLOOKUP(Tablo520[[#This Row],[ÜRÜN KODU]],YMKODLARI!$A$1:$K$373,5,0)," ")</f>
        <v xml:space="preserve"> </v>
      </c>
      <c r="R377" s="100" t="str">
        <f>IFERROR(VLOOKUP(Tablo520[[#This Row],[ÜRÜN KODU]],YMKODLARI!$A$1:$K$373,6,0)," ")</f>
        <v xml:space="preserve"> </v>
      </c>
      <c r="S377" s="100" t="str">
        <f>IFERROR(Tablo520[[#This Row],[YOLLUK HARİÇ BASKI GRAMI]]/Tablo520[[#This Row],[KALIP GÖZ ADEDİ]]," ")</f>
        <v xml:space="preserve"> </v>
      </c>
      <c r="T377" s="100" t="str">
        <f t="shared" si="37"/>
        <v xml:space="preserve"> </v>
      </c>
      <c r="U377" s="100"/>
      <c r="V377" s="100" t="str">
        <f t="shared" si="36"/>
        <v xml:space="preserve"> </v>
      </c>
      <c r="W377" s="101">
        <f t="shared" si="38"/>
        <v>24</v>
      </c>
      <c r="X377" s="102">
        <f t="shared" si="39"/>
        <v>0</v>
      </c>
      <c r="Y377" s="100" t="str">
        <f t="shared" si="40"/>
        <v xml:space="preserve"> </v>
      </c>
      <c r="Z377" s="100" t="str">
        <f t="shared" si="41"/>
        <v xml:space="preserve"> </v>
      </c>
    </row>
    <row r="378" spans="1:26">
      <c r="A378" s="100"/>
      <c r="B378" s="100" t="str">
        <f>IFERROR(VLOOKUP(Tablo520[[#This Row],[ÜRÜN KODU]],YMKODLARI!$A$1:$K$373,2,0)," ")</f>
        <v xml:space="preserve"> </v>
      </c>
      <c r="C378" s="99"/>
      <c r="D378" s="100"/>
      <c r="E378" s="101"/>
      <c r="F378" s="101"/>
      <c r="G378" s="100" t="str">
        <f>IFERROR(VLOOKUP(Tablo520[[#This Row],[ÜRÜN KODU]],YMKODLARI!$A$1:$K$373,3,0)," ")</f>
        <v xml:space="preserve"> </v>
      </c>
      <c r="H378" s="100" t="str">
        <f>IFERROR(VLOOKUP(Tablo520[[#This Row],[ÜRÜN KODU]],YMKODLARI!$A$1:$K$373,4,0)," ")</f>
        <v xml:space="preserve"> </v>
      </c>
      <c r="I378" s="100"/>
      <c r="J378" s="100" t="str">
        <f>IFERROR(VLOOKUP(Tablo520[[#This Row],[ÜRÜN KODU]],YMKODLARI!$A$1:$K$373,9,0)," ")</f>
        <v xml:space="preserve"> </v>
      </c>
      <c r="K378" s="100" t="str">
        <f>IFERROR(VLOOKUP(Tablo520[[#This Row],[BOYA KODU]],Tablo14[#All],4,0)," ")</f>
        <v xml:space="preserve"> </v>
      </c>
      <c r="L378" s="100" t="str">
        <f>IFERROR(VLOOKUP(Tablo520[[#This Row],[BOYA KODU]],Tablo14[#All],6,0)," ")</f>
        <v xml:space="preserve"> </v>
      </c>
      <c r="M378" s="100" t="str">
        <f t="shared" si="35"/>
        <v xml:space="preserve"> </v>
      </c>
      <c r="N378" s="100" t="str">
        <f>IFERROR(VLOOKUP(Tablo520[[#This Row],[ÜRÜN KODU]],YMKODLARI!$A$1:$K$373,8,0)," ")</f>
        <v xml:space="preserve"> </v>
      </c>
      <c r="O378" s="100" t="str">
        <f>IFERROR(VLOOKUP(Tablo520[[#This Row],[HAMMADDE KODU]],Tablo1[#All],3,0)," ")</f>
        <v xml:space="preserve"> </v>
      </c>
      <c r="P378" s="100" t="str">
        <f>IFERROR(VLOOKUP(Tablo520[[#This Row],[HAMMADDE KODU]],Tablo1[#All],4,0)," ")</f>
        <v xml:space="preserve"> </v>
      </c>
      <c r="Q378" s="100" t="str">
        <f>IFERROR(VLOOKUP(Tablo520[[#This Row],[ÜRÜN KODU]],YMKODLARI!$A$1:$K$373,5,0)," ")</f>
        <v xml:space="preserve"> </v>
      </c>
      <c r="R378" s="100" t="str">
        <f>IFERROR(VLOOKUP(Tablo520[[#This Row],[ÜRÜN KODU]],YMKODLARI!$A$1:$K$373,6,0)," ")</f>
        <v xml:space="preserve"> </v>
      </c>
      <c r="S378" s="100" t="str">
        <f>IFERROR(Tablo520[[#This Row],[YOLLUK HARİÇ BASKI GRAMI]]/Tablo520[[#This Row],[KALIP GÖZ ADEDİ]]," ")</f>
        <v xml:space="preserve"> </v>
      </c>
      <c r="T378" s="100" t="str">
        <f t="shared" si="37"/>
        <v xml:space="preserve"> </v>
      </c>
      <c r="U378" s="100"/>
      <c r="V378" s="100" t="str">
        <f t="shared" si="36"/>
        <v xml:space="preserve"> </v>
      </c>
      <c r="W378" s="101">
        <f t="shared" si="38"/>
        <v>24</v>
      </c>
      <c r="X378" s="102">
        <f t="shared" si="39"/>
        <v>0</v>
      </c>
      <c r="Y378" s="100" t="str">
        <f t="shared" si="40"/>
        <v xml:space="preserve"> </v>
      </c>
      <c r="Z378" s="100" t="str">
        <f t="shared" si="41"/>
        <v xml:space="preserve"> </v>
      </c>
    </row>
    <row r="379" spans="1:26">
      <c r="A379" s="100"/>
      <c r="B379" s="100" t="str">
        <f>IFERROR(VLOOKUP(Tablo520[[#This Row],[ÜRÜN KODU]],YMKODLARI!$A$1:$K$373,2,0)," ")</f>
        <v xml:space="preserve"> </v>
      </c>
      <c r="C379" s="99"/>
      <c r="D379" s="100"/>
      <c r="E379" s="101"/>
      <c r="F379" s="101"/>
      <c r="G379" s="100" t="str">
        <f>IFERROR(VLOOKUP(Tablo520[[#This Row],[ÜRÜN KODU]],YMKODLARI!$A$1:$K$373,3,0)," ")</f>
        <v xml:space="preserve"> </v>
      </c>
      <c r="H379" s="100" t="str">
        <f>IFERROR(VLOOKUP(Tablo520[[#This Row],[ÜRÜN KODU]],YMKODLARI!$A$1:$K$373,4,0)," ")</f>
        <v xml:space="preserve"> </v>
      </c>
      <c r="I379" s="100"/>
      <c r="J379" s="100" t="str">
        <f>IFERROR(VLOOKUP(Tablo520[[#This Row],[ÜRÜN KODU]],YMKODLARI!$A$1:$K$373,9,0)," ")</f>
        <v xml:space="preserve"> </v>
      </c>
      <c r="K379" s="100" t="str">
        <f>IFERROR(VLOOKUP(Tablo520[[#This Row],[BOYA KODU]],Tablo14[#All],4,0)," ")</f>
        <v xml:space="preserve"> </v>
      </c>
      <c r="L379" s="100" t="str">
        <f>IFERROR(VLOOKUP(Tablo520[[#This Row],[BOYA KODU]],Tablo14[#All],6,0)," ")</f>
        <v xml:space="preserve"> </v>
      </c>
      <c r="M379" s="100" t="str">
        <f t="shared" si="35"/>
        <v xml:space="preserve"> </v>
      </c>
      <c r="N379" s="100" t="str">
        <f>IFERROR(VLOOKUP(Tablo520[[#This Row],[ÜRÜN KODU]],YMKODLARI!$A$1:$K$373,8,0)," ")</f>
        <v xml:space="preserve"> </v>
      </c>
      <c r="O379" s="100" t="str">
        <f>IFERROR(VLOOKUP(Tablo520[[#This Row],[HAMMADDE KODU]],Tablo1[#All],3,0)," ")</f>
        <v xml:space="preserve"> </v>
      </c>
      <c r="P379" s="100" t="str">
        <f>IFERROR(VLOOKUP(Tablo520[[#This Row],[HAMMADDE KODU]],Tablo1[#All],4,0)," ")</f>
        <v xml:space="preserve"> </v>
      </c>
      <c r="Q379" s="100" t="str">
        <f>IFERROR(VLOOKUP(Tablo520[[#This Row],[ÜRÜN KODU]],YMKODLARI!$A$1:$K$373,5,0)," ")</f>
        <v xml:space="preserve"> </v>
      </c>
      <c r="R379" s="100" t="str">
        <f>IFERROR(VLOOKUP(Tablo520[[#This Row],[ÜRÜN KODU]],YMKODLARI!$A$1:$K$373,6,0)," ")</f>
        <v xml:space="preserve"> </v>
      </c>
      <c r="S379" s="100" t="str">
        <f>IFERROR(Tablo520[[#This Row],[YOLLUK HARİÇ BASKI GRAMI]]/Tablo520[[#This Row],[KALIP GÖZ ADEDİ]]," ")</f>
        <v xml:space="preserve"> </v>
      </c>
      <c r="T379" s="100" t="str">
        <f t="shared" si="37"/>
        <v xml:space="preserve"> </v>
      </c>
      <c r="U379" s="100"/>
      <c r="V379" s="100" t="str">
        <f t="shared" si="36"/>
        <v xml:space="preserve"> </v>
      </c>
      <c r="W379" s="101">
        <f t="shared" si="38"/>
        <v>24</v>
      </c>
      <c r="X379" s="102">
        <f t="shared" si="39"/>
        <v>0</v>
      </c>
      <c r="Y379" s="100" t="str">
        <f t="shared" si="40"/>
        <v xml:space="preserve"> </v>
      </c>
      <c r="Z379" s="100" t="str">
        <f t="shared" si="41"/>
        <v xml:space="preserve"> </v>
      </c>
    </row>
    <row r="380" spans="1:26">
      <c r="A380" s="100"/>
      <c r="B380" s="100" t="str">
        <f>IFERROR(VLOOKUP(Tablo520[[#This Row],[ÜRÜN KODU]],YMKODLARI!$A$1:$K$373,2,0)," ")</f>
        <v xml:space="preserve"> </v>
      </c>
      <c r="C380" s="99"/>
      <c r="D380" s="100"/>
      <c r="E380" s="101"/>
      <c r="F380" s="101"/>
      <c r="G380" s="100" t="str">
        <f>IFERROR(VLOOKUP(Tablo520[[#This Row],[ÜRÜN KODU]],YMKODLARI!$A$1:$K$373,3,0)," ")</f>
        <v xml:space="preserve"> </v>
      </c>
      <c r="H380" s="100" t="str">
        <f>IFERROR(VLOOKUP(Tablo520[[#This Row],[ÜRÜN KODU]],YMKODLARI!$A$1:$K$373,4,0)," ")</f>
        <v xml:space="preserve"> </v>
      </c>
      <c r="I380" s="100"/>
      <c r="J380" s="100" t="str">
        <f>IFERROR(VLOOKUP(Tablo520[[#This Row],[ÜRÜN KODU]],YMKODLARI!$A$1:$K$373,9,0)," ")</f>
        <v xml:space="preserve"> </v>
      </c>
      <c r="K380" s="100" t="str">
        <f>IFERROR(VLOOKUP(Tablo520[[#This Row],[BOYA KODU]],Tablo14[#All],4,0)," ")</f>
        <v xml:space="preserve"> </v>
      </c>
      <c r="L380" s="100" t="str">
        <f>IFERROR(VLOOKUP(Tablo520[[#This Row],[BOYA KODU]],Tablo14[#All],6,0)," ")</f>
        <v xml:space="preserve"> </v>
      </c>
      <c r="M380" s="100" t="str">
        <f t="shared" si="35"/>
        <v xml:space="preserve"> </v>
      </c>
      <c r="N380" s="100" t="str">
        <f>IFERROR(VLOOKUP(Tablo520[[#This Row],[ÜRÜN KODU]],YMKODLARI!$A$1:$K$373,8,0)," ")</f>
        <v xml:space="preserve"> </v>
      </c>
      <c r="O380" s="100" t="str">
        <f>IFERROR(VLOOKUP(Tablo520[[#This Row],[HAMMADDE KODU]],Tablo1[#All],3,0)," ")</f>
        <v xml:space="preserve"> </v>
      </c>
      <c r="P380" s="100" t="str">
        <f>IFERROR(VLOOKUP(Tablo520[[#This Row],[HAMMADDE KODU]],Tablo1[#All],4,0)," ")</f>
        <v xml:space="preserve"> </v>
      </c>
      <c r="Q380" s="100" t="str">
        <f>IFERROR(VLOOKUP(Tablo520[[#This Row],[ÜRÜN KODU]],YMKODLARI!$A$1:$K$373,5,0)," ")</f>
        <v xml:space="preserve"> </v>
      </c>
      <c r="R380" s="100" t="str">
        <f>IFERROR(VLOOKUP(Tablo520[[#This Row],[ÜRÜN KODU]],YMKODLARI!$A$1:$K$373,6,0)," ")</f>
        <v xml:space="preserve"> </v>
      </c>
      <c r="S380" s="100" t="str">
        <f>IFERROR(Tablo520[[#This Row],[YOLLUK HARİÇ BASKI GRAMI]]/Tablo520[[#This Row],[KALIP GÖZ ADEDİ]]," ")</f>
        <v xml:space="preserve"> </v>
      </c>
      <c r="T380" s="100" t="str">
        <f t="shared" si="37"/>
        <v xml:space="preserve"> </v>
      </c>
      <c r="U380" s="100"/>
      <c r="V380" s="100" t="str">
        <f t="shared" si="36"/>
        <v xml:space="preserve"> </v>
      </c>
      <c r="W380" s="101">
        <f t="shared" si="38"/>
        <v>24</v>
      </c>
      <c r="X380" s="102">
        <f t="shared" si="39"/>
        <v>0</v>
      </c>
      <c r="Y380" s="100" t="str">
        <f t="shared" si="40"/>
        <v xml:space="preserve"> </v>
      </c>
      <c r="Z380" s="100" t="str">
        <f t="shared" si="41"/>
        <v xml:space="preserve"> </v>
      </c>
    </row>
    <row r="381" spans="1:26">
      <c r="A381" s="100"/>
      <c r="B381" s="100" t="str">
        <f>IFERROR(VLOOKUP(Tablo520[[#This Row],[ÜRÜN KODU]],YMKODLARI!$A$1:$K$373,2,0)," ")</f>
        <v xml:space="preserve"> </v>
      </c>
      <c r="C381" s="99"/>
      <c r="D381" s="100"/>
      <c r="E381" s="101"/>
      <c r="F381" s="101"/>
      <c r="G381" s="100" t="str">
        <f>IFERROR(VLOOKUP(Tablo520[[#This Row],[ÜRÜN KODU]],YMKODLARI!$A$1:$K$373,3,0)," ")</f>
        <v xml:space="preserve"> </v>
      </c>
      <c r="H381" s="100" t="str">
        <f>IFERROR(VLOOKUP(Tablo520[[#This Row],[ÜRÜN KODU]],YMKODLARI!$A$1:$K$373,4,0)," ")</f>
        <v xml:space="preserve"> </v>
      </c>
      <c r="I381" s="100"/>
      <c r="J381" s="100" t="str">
        <f>IFERROR(VLOOKUP(Tablo520[[#This Row],[ÜRÜN KODU]],YMKODLARI!$A$1:$K$373,9,0)," ")</f>
        <v xml:space="preserve"> </v>
      </c>
      <c r="K381" s="100" t="str">
        <f>IFERROR(VLOOKUP(Tablo520[[#This Row],[BOYA KODU]],Tablo14[#All],4,0)," ")</f>
        <v xml:space="preserve"> </v>
      </c>
      <c r="L381" s="100" t="str">
        <f>IFERROR(VLOOKUP(Tablo520[[#This Row],[BOYA KODU]],Tablo14[#All],6,0)," ")</f>
        <v xml:space="preserve"> </v>
      </c>
      <c r="M381" s="100" t="str">
        <f t="shared" si="35"/>
        <v xml:space="preserve"> </v>
      </c>
      <c r="N381" s="100" t="str">
        <f>IFERROR(VLOOKUP(Tablo520[[#This Row],[ÜRÜN KODU]],YMKODLARI!$A$1:$K$373,8,0)," ")</f>
        <v xml:space="preserve"> </v>
      </c>
      <c r="O381" s="100" t="str">
        <f>IFERROR(VLOOKUP(Tablo520[[#This Row],[HAMMADDE KODU]],Tablo1[#All],3,0)," ")</f>
        <v xml:space="preserve"> </v>
      </c>
      <c r="P381" s="100" t="str">
        <f>IFERROR(VLOOKUP(Tablo520[[#This Row],[HAMMADDE KODU]],Tablo1[#All],4,0)," ")</f>
        <v xml:space="preserve"> </v>
      </c>
      <c r="Q381" s="100" t="str">
        <f>IFERROR(VLOOKUP(Tablo520[[#This Row],[ÜRÜN KODU]],YMKODLARI!$A$1:$K$373,5,0)," ")</f>
        <v xml:space="preserve"> </v>
      </c>
      <c r="R381" s="100" t="str">
        <f>IFERROR(VLOOKUP(Tablo520[[#This Row],[ÜRÜN KODU]],YMKODLARI!$A$1:$K$373,6,0)," ")</f>
        <v xml:space="preserve"> </v>
      </c>
      <c r="S381" s="100" t="str">
        <f>IFERROR(Tablo520[[#This Row],[YOLLUK HARİÇ BASKI GRAMI]]/Tablo520[[#This Row],[KALIP GÖZ ADEDİ]]," ")</f>
        <v xml:space="preserve"> </v>
      </c>
      <c r="T381" s="100" t="str">
        <f t="shared" si="37"/>
        <v xml:space="preserve"> </v>
      </c>
      <c r="U381" s="100"/>
      <c r="V381" s="100" t="str">
        <f t="shared" si="36"/>
        <v xml:space="preserve"> </v>
      </c>
      <c r="W381" s="101">
        <f t="shared" si="38"/>
        <v>24</v>
      </c>
      <c r="X381" s="102">
        <f t="shared" si="39"/>
        <v>0</v>
      </c>
      <c r="Y381" s="100" t="str">
        <f t="shared" si="40"/>
        <v xml:space="preserve"> </v>
      </c>
      <c r="Z381" s="100" t="str">
        <f t="shared" si="41"/>
        <v xml:space="preserve"> </v>
      </c>
    </row>
    <row r="382" spans="1:26">
      <c r="A382" s="100"/>
      <c r="B382" s="100" t="str">
        <f>IFERROR(VLOOKUP(Tablo520[[#This Row],[ÜRÜN KODU]],YMKODLARI!$A$1:$K$373,2,0)," ")</f>
        <v xml:space="preserve"> </v>
      </c>
      <c r="C382" s="99"/>
      <c r="D382" s="100"/>
      <c r="E382" s="101"/>
      <c r="F382" s="101"/>
      <c r="G382" s="100" t="str">
        <f>IFERROR(VLOOKUP(Tablo520[[#This Row],[ÜRÜN KODU]],YMKODLARI!$A$1:$K$373,3,0)," ")</f>
        <v xml:space="preserve"> </v>
      </c>
      <c r="H382" s="100" t="str">
        <f>IFERROR(VLOOKUP(Tablo520[[#This Row],[ÜRÜN KODU]],YMKODLARI!$A$1:$K$373,4,0)," ")</f>
        <v xml:space="preserve"> </v>
      </c>
      <c r="I382" s="100"/>
      <c r="J382" s="100" t="str">
        <f>IFERROR(VLOOKUP(Tablo520[[#This Row],[ÜRÜN KODU]],YMKODLARI!$A$1:$K$373,9,0)," ")</f>
        <v xml:space="preserve"> </v>
      </c>
      <c r="K382" s="100" t="str">
        <f>IFERROR(VLOOKUP(Tablo520[[#This Row],[BOYA KODU]],Tablo14[#All],4,0)," ")</f>
        <v xml:space="preserve"> </v>
      </c>
      <c r="L382" s="100" t="str">
        <f>IFERROR(VLOOKUP(Tablo520[[#This Row],[BOYA KODU]],Tablo14[#All],6,0)," ")</f>
        <v xml:space="preserve"> </v>
      </c>
      <c r="M382" s="100" t="str">
        <f t="shared" si="35"/>
        <v xml:space="preserve"> </v>
      </c>
      <c r="N382" s="100" t="str">
        <f>IFERROR(VLOOKUP(Tablo520[[#This Row],[ÜRÜN KODU]],YMKODLARI!$A$1:$K$373,8,0)," ")</f>
        <v xml:space="preserve"> </v>
      </c>
      <c r="O382" s="100" t="str">
        <f>IFERROR(VLOOKUP(Tablo520[[#This Row],[HAMMADDE KODU]],Tablo1[#All],3,0)," ")</f>
        <v xml:space="preserve"> </v>
      </c>
      <c r="P382" s="100" t="str">
        <f>IFERROR(VLOOKUP(Tablo520[[#This Row],[HAMMADDE KODU]],Tablo1[#All],4,0)," ")</f>
        <v xml:space="preserve"> </v>
      </c>
      <c r="Q382" s="100" t="str">
        <f>IFERROR(VLOOKUP(Tablo520[[#This Row],[ÜRÜN KODU]],YMKODLARI!$A$1:$K$373,5,0)," ")</f>
        <v xml:space="preserve"> </v>
      </c>
      <c r="R382" s="100" t="str">
        <f>IFERROR(VLOOKUP(Tablo520[[#This Row],[ÜRÜN KODU]],YMKODLARI!$A$1:$K$373,6,0)," ")</f>
        <v xml:space="preserve"> </v>
      </c>
      <c r="S382" s="100" t="str">
        <f>IFERROR(Tablo520[[#This Row],[YOLLUK HARİÇ BASKI GRAMI]]/Tablo520[[#This Row],[KALIP GÖZ ADEDİ]]," ")</f>
        <v xml:space="preserve"> </v>
      </c>
      <c r="T382" s="100" t="str">
        <f t="shared" si="37"/>
        <v xml:space="preserve"> </v>
      </c>
      <c r="U382" s="100"/>
      <c r="V382" s="100" t="str">
        <f t="shared" si="36"/>
        <v xml:space="preserve"> </v>
      </c>
      <c r="W382" s="101">
        <f t="shared" si="38"/>
        <v>24</v>
      </c>
      <c r="X382" s="102">
        <f t="shared" si="39"/>
        <v>0</v>
      </c>
      <c r="Y382" s="100" t="str">
        <f t="shared" si="40"/>
        <v xml:space="preserve"> </v>
      </c>
      <c r="Z382" s="100" t="str">
        <f t="shared" si="41"/>
        <v xml:space="preserve"> </v>
      </c>
    </row>
    <row r="383" spans="1:26">
      <c r="A383" s="100"/>
      <c r="B383" s="100" t="str">
        <f>IFERROR(VLOOKUP(Tablo520[[#This Row],[ÜRÜN KODU]],YMKODLARI!$A$1:$K$373,2,0)," ")</f>
        <v xml:space="preserve"> </v>
      </c>
      <c r="C383" s="99"/>
      <c r="D383" s="100"/>
      <c r="E383" s="101"/>
      <c r="F383" s="101"/>
      <c r="G383" s="100" t="str">
        <f>IFERROR(VLOOKUP(Tablo520[[#This Row],[ÜRÜN KODU]],YMKODLARI!$A$1:$K$373,3,0)," ")</f>
        <v xml:space="preserve"> </v>
      </c>
      <c r="H383" s="100" t="str">
        <f>IFERROR(VLOOKUP(Tablo520[[#This Row],[ÜRÜN KODU]],YMKODLARI!$A$1:$K$373,4,0)," ")</f>
        <v xml:space="preserve"> </v>
      </c>
      <c r="I383" s="100"/>
      <c r="J383" s="100" t="str">
        <f>IFERROR(VLOOKUP(Tablo520[[#This Row],[ÜRÜN KODU]],YMKODLARI!$A$1:$K$373,9,0)," ")</f>
        <v xml:space="preserve"> </v>
      </c>
      <c r="K383" s="100" t="str">
        <f>IFERROR(VLOOKUP(Tablo520[[#This Row],[BOYA KODU]],Tablo14[#All],4,0)," ")</f>
        <v xml:space="preserve"> </v>
      </c>
      <c r="L383" s="100" t="str">
        <f>IFERROR(VLOOKUP(Tablo520[[#This Row],[BOYA KODU]],Tablo14[#All],6,0)," ")</f>
        <v xml:space="preserve"> </v>
      </c>
      <c r="M383" s="100" t="str">
        <f t="shared" si="35"/>
        <v xml:space="preserve"> </v>
      </c>
      <c r="N383" s="100" t="str">
        <f>IFERROR(VLOOKUP(Tablo520[[#This Row],[ÜRÜN KODU]],YMKODLARI!$A$1:$K$373,8,0)," ")</f>
        <v xml:space="preserve"> </v>
      </c>
      <c r="O383" s="100" t="str">
        <f>IFERROR(VLOOKUP(Tablo520[[#This Row],[HAMMADDE KODU]],Tablo1[#All],3,0)," ")</f>
        <v xml:space="preserve"> </v>
      </c>
      <c r="P383" s="100" t="str">
        <f>IFERROR(VLOOKUP(Tablo520[[#This Row],[HAMMADDE KODU]],Tablo1[#All],4,0)," ")</f>
        <v xml:space="preserve"> </v>
      </c>
      <c r="Q383" s="100" t="str">
        <f>IFERROR(VLOOKUP(Tablo520[[#This Row],[ÜRÜN KODU]],YMKODLARI!$A$1:$K$373,5,0)," ")</f>
        <v xml:space="preserve"> </v>
      </c>
      <c r="R383" s="100" t="str">
        <f>IFERROR(VLOOKUP(Tablo520[[#This Row],[ÜRÜN KODU]],YMKODLARI!$A$1:$K$373,6,0)," ")</f>
        <v xml:space="preserve"> </v>
      </c>
      <c r="S383" s="100" t="str">
        <f>IFERROR(Tablo520[[#This Row],[YOLLUK HARİÇ BASKI GRAMI]]/Tablo520[[#This Row],[KALIP GÖZ ADEDİ]]," ")</f>
        <v xml:space="preserve"> </v>
      </c>
      <c r="T383" s="100" t="str">
        <f t="shared" si="37"/>
        <v xml:space="preserve"> </v>
      </c>
      <c r="U383" s="100"/>
      <c r="V383" s="100" t="str">
        <f t="shared" si="36"/>
        <v xml:space="preserve"> </v>
      </c>
      <c r="W383" s="101">
        <f t="shared" si="38"/>
        <v>24</v>
      </c>
      <c r="X383" s="102">
        <f t="shared" si="39"/>
        <v>0</v>
      </c>
      <c r="Y383" s="100" t="str">
        <f t="shared" si="40"/>
        <v xml:space="preserve"> </v>
      </c>
      <c r="Z383" s="100" t="str">
        <f t="shared" si="41"/>
        <v xml:space="preserve"> </v>
      </c>
    </row>
    <row r="384" spans="1:26">
      <c r="A384" s="100"/>
      <c r="B384" s="100" t="str">
        <f>IFERROR(VLOOKUP(Tablo520[[#This Row],[ÜRÜN KODU]],YMKODLARI!$A$1:$K$373,2,0)," ")</f>
        <v xml:space="preserve"> </v>
      </c>
      <c r="C384" s="99"/>
      <c r="D384" s="100"/>
      <c r="E384" s="101"/>
      <c r="F384" s="101"/>
      <c r="G384" s="100" t="str">
        <f>IFERROR(VLOOKUP(Tablo520[[#This Row],[ÜRÜN KODU]],YMKODLARI!$A$1:$K$373,3,0)," ")</f>
        <v xml:space="preserve"> </v>
      </c>
      <c r="H384" s="100" t="str">
        <f>IFERROR(VLOOKUP(Tablo520[[#This Row],[ÜRÜN KODU]],YMKODLARI!$A$1:$K$373,4,0)," ")</f>
        <v xml:space="preserve"> </v>
      </c>
      <c r="I384" s="100"/>
      <c r="J384" s="100" t="str">
        <f>IFERROR(VLOOKUP(Tablo520[[#This Row],[ÜRÜN KODU]],YMKODLARI!$A$1:$K$373,9,0)," ")</f>
        <v xml:space="preserve"> </v>
      </c>
      <c r="K384" s="100" t="str">
        <f>IFERROR(VLOOKUP(Tablo520[[#This Row],[BOYA KODU]],Tablo14[#All],4,0)," ")</f>
        <v xml:space="preserve"> </v>
      </c>
      <c r="L384" s="100" t="str">
        <f>IFERROR(VLOOKUP(Tablo520[[#This Row],[BOYA KODU]],Tablo14[#All],6,0)," ")</f>
        <v xml:space="preserve"> </v>
      </c>
      <c r="M384" s="100" t="str">
        <f t="shared" si="35"/>
        <v xml:space="preserve"> </v>
      </c>
      <c r="N384" s="100" t="str">
        <f>IFERROR(VLOOKUP(Tablo520[[#This Row],[ÜRÜN KODU]],YMKODLARI!$A$1:$K$373,8,0)," ")</f>
        <v xml:space="preserve"> </v>
      </c>
      <c r="O384" s="100" t="str">
        <f>IFERROR(VLOOKUP(Tablo520[[#This Row],[HAMMADDE KODU]],Tablo1[#All],3,0)," ")</f>
        <v xml:space="preserve"> </v>
      </c>
      <c r="P384" s="100" t="str">
        <f>IFERROR(VLOOKUP(Tablo520[[#This Row],[HAMMADDE KODU]],Tablo1[#All],4,0)," ")</f>
        <v xml:space="preserve"> </v>
      </c>
      <c r="Q384" s="100" t="str">
        <f>IFERROR(VLOOKUP(Tablo520[[#This Row],[ÜRÜN KODU]],YMKODLARI!$A$1:$K$373,5,0)," ")</f>
        <v xml:space="preserve"> </v>
      </c>
      <c r="R384" s="100" t="str">
        <f>IFERROR(VLOOKUP(Tablo520[[#This Row],[ÜRÜN KODU]],YMKODLARI!$A$1:$K$373,6,0)," ")</f>
        <v xml:space="preserve"> </v>
      </c>
      <c r="S384" s="100" t="str">
        <f>IFERROR(Tablo520[[#This Row],[YOLLUK HARİÇ BASKI GRAMI]]/Tablo520[[#This Row],[KALIP GÖZ ADEDİ]]," ")</f>
        <v xml:space="preserve"> </v>
      </c>
      <c r="T384" s="100" t="str">
        <f t="shared" si="37"/>
        <v xml:space="preserve"> </v>
      </c>
      <c r="U384" s="100"/>
      <c r="V384" s="100" t="str">
        <f t="shared" si="36"/>
        <v xml:space="preserve"> </v>
      </c>
      <c r="W384" s="101">
        <f t="shared" si="38"/>
        <v>24</v>
      </c>
      <c r="X384" s="102">
        <f t="shared" si="39"/>
        <v>0</v>
      </c>
      <c r="Y384" s="100" t="str">
        <f t="shared" si="40"/>
        <v xml:space="preserve"> </v>
      </c>
      <c r="Z384" s="100" t="str">
        <f t="shared" si="41"/>
        <v xml:space="preserve"> </v>
      </c>
    </row>
    <row r="385" spans="1:26">
      <c r="A385" s="100"/>
      <c r="B385" s="100" t="str">
        <f>IFERROR(VLOOKUP(Tablo520[[#This Row],[ÜRÜN KODU]],YMKODLARI!$A$1:$K$373,2,0)," ")</f>
        <v xml:space="preserve"> </v>
      </c>
      <c r="C385" s="99"/>
      <c r="D385" s="100"/>
      <c r="E385" s="101"/>
      <c r="F385" s="101"/>
      <c r="G385" s="100" t="str">
        <f>IFERROR(VLOOKUP(Tablo520[[#This Row],[ÜRÜN KODU]],YMKODLARI!$A$1:$K$373,3,0)," ")</f>
        <v xml:space="preserve"> </v>
      </c>
      <c r="H385" s="100" t="str">
        <f>IFERROR(VLOOKUP(Tablo520[[#This Row],[ÜRÜN KODU]],YMKODLARI!$A$1:$K$373,4,0)," ")</f>
        <v xml:space="preserve"> </v>
      </c>
      <c r="I385" s="100"/>
      <c r="J385" s="100" t="str">
        <f>IFERROR(VLOOKUP(Tablo520[[#This Row],[ÜRÜN KODU]],YMKODLARI!$A$1:$K$373,9,0)," ")</f>
        <v xml:space="preserve"> </v>
      </c>
      <c r="K385" s="100" t="str">
        <f>IFERROR(VLOOKUP(Tablo520[[#This Row],[BOYA KODU]],Tablo14[#All],4,0)," ")</f>
        <v xml:space="preserve"> </v>
      </c>
      <c r="L385" s="100" t="str">
        <f>IFERROR(VLOOKUP(Tablo520[[#This Row],[BOYA KODU]],Tablo14[#All],6,0)," ")</f>
        <v xml:space="preserve"> </v>
      </c>
      <c r="M385" s="100" t="str">
        <f t="shared" si="35"/>
        <v xml:space="preserve"> </v>
      </c>
      <c r="N385" s="100" t="str">
        <f>IFERROR(VLOOKUP(Tablo520[[#This Row],[ÜRÜN KODU]],YMKODLARI!$A$1:$K$373,8,0)," ")</f>
        <v xml:space="preserve"> </v>
      </c>
      <c r="O385" s="100" t="str">
        <f>IFERROR(VLOOKUP(Tablo520[[#This Row],[HAMMADDE KODU]],Tablo1[#All],3,0)," ")</f>
        <v xml:space="preserve"> </v>
      </c>
      <c r="P385" s="100" t="str">
        <f>IFERROR(VLOOKUP(Tablo520[[#This Row],[HAMMADDE KODU]],Tablo1[#All],4,0)," ")</f>
        <v xml:space="preserve"> </v>
      </c>
      <c r="Q385" s="100" t="str">
        <f>IFERROR(VLOOKUP(Tablo520[[#This Row],[ÜRÜN KODU]],YMKODLARI!$A$1:$K$373,5,0)," ")</f>
        <v xml:space="preserve"> </v>
      </c>
      <c r="R385" s="100" t="str">
        <f>IFERROR(VLOOKUP(Tablo520[[#This Row],[ÜRÜN KODU]],YMKODLARI!$A$1:$K$373,6,0)," ")</f>
        <v xml:space="preserve"> </v>
      </c>
      <c r="S385" s="100" t="str">
        <f>IFERROR(Tablo520[[#This Row],[YOLLUK HARİÇ BASKI GRAMI]]/Tablo520[[#This Row],[KALIP GÖZ ADEDİ]]," ")</f>
        <v xml:space="preserve"> </v>
      </c>
      <c r="T385" s="100" t="str">
        <f t="shared" si="37"/>
        <v xml:space="preserve"> </v>
      </c>
      <c r="U385" s="100"/>
      <c r="V385" s="100" t="str">
        <f t="shared" si="36"/>
        <v xml:space="preserve"> </v>
      </c>
      <c r="W385" s="101">
        <f t="shared" si="38"/>
        <v>24</v>
      </c>
      <c r="X385" s="102">
        <f t="shared" si="39"/>
        <v>0</v>
      </c>
      <c r="Y385" s="100" t="str">
        <f t="shared" si="40"/>
        <v xml:space="preserve"> </v>
      </c>
      <c r="Z385" s="100" t="str">
        <f t="shared" si="41"/>
        <v xml:space="preserve"> </v>
      </c>
    </row>
    <row r="386" spans="1:26">
      <c r="A386" s="100"/>
      <c r="B386" s="100" t="str">
        <f>IFERROR(VLOOKUP(Tablo520[[#This Row],[ÜRÜN KODU]],YMKODLARI!$A$1:$K$373,2,0)," ")</f>
        <v xml:space="preserve"> </v>
      </c>
      <c r="C386" s="99"/>
      <c r="D386" s="100"/>
      <c r="E386" s="101"/>
      <c r="F386" s="101"/>
      <c r="G386" s="100" t="str">
        <f>IFERROR(VLOOKUP(Tablo520[[#This Row],[ÜRÜN KODU]],YMKODLARI!$A$1:$K$373,3,0)," ")</f>
        <v xml:space="preserve"> </v>
      </c>
      <c r="H386" s="100" t="str">
        <f>IFERROR(VLOOKUP(Tablo520[[#This Row],[ÜRÜN KODU]],YMKODLARI!$A$1:$K$373,4,0)," ")</f>
        <v xml:space="preserve"> </v>
      </c>
      <c r="I386" s="100"/>
      <c r="J386" s="100" t="str">
        <f>IFERROR(VLOOKUP(Tablo520[[#This Row],[ÜRÜN KODU]],YMKODLARI!$A$1:$K$373,9,0)," ")</f>
        <v xml:space="preserve"> </v>
      </c>
      <c r="K386" s="100" t="str">
        <f>IFERROR(VLOOKUP(Tablo520[[#This Row],[BOYA KODU]],Tablo14[#All],4,0)," ")</f>
        <v xml:space="preserve"> </v>
      </c>
      <c r="L386" s="100" t="str">
        <f>IFERROR(VLOOKUP(Tablo520[[#This Row],[BOYA KODU]],Tablo14[#All],6,0)," ")</f>
        <v xml:space="preserve"> </v>
      </c>
      <c r="M386" s="100" t="str">
        <f t="shared" ref="M386:M449" si="42">IFERROR((I386*Q386)*L386," ")</f>
        <v xml:space="preserve"> </v>
      </c>
      <c r="N386" s="100" t="str">
        <f>IFERROR(VLOOKUP(Tablo520[[#This Row],[ÜRÜN KODU]],YMKODLARI!$A$1:$K$373,8,0)," ")</f>
        <v xml:space="preserve"> </v>
      </c>
      <c r="O386" s="100" t="str">
        <f>IFERROR(VLOOKUP(Tablo520[[#This Row],[HAMMADDE KODU]],Tablo1[#All],3,0)," ")</f>
        <v xml:space="preserve"> </v>
      </c>
      <c r="P386" s="100" t="str">
        <f>IFERROR(VLOOKUP(Tablo520[[#This Row],[HAMMADDE KODU]],Tablo1[#All],4,0)," ")</f>
        <v xml:space="preserve"> </v>
      </c>
      <c r="Q386" s="100" t="str">
        <f>IFERROR(VLOOKUP(Tablo520[[#This Row],[ÜRÜN KODU]],YMKODLARI!$A$1:$K$373,5,0)," ")</f>
        <v xml:space="preserve"> </v>
      </c>
      <c r="R386" s="100" t="str">
        <f>IFERROR(VLOOKUP(Tablo520[[#This Row],[ÜRÜN KODU]],YMKODLARI!$A$1:$K$373,6,0)," ")</f>
        <v xml:space="preserve"> </v>
      </c>
      <c r="S386" s="100" t="str">
        <f>IFERROR(Tablo520[[#This Row],[YOLLUK HARİÇ BASKI GRAMI]]/Tablo520[[#This Row],[KALIP GÖZ ADEDİ]]," ")</f>
        <v xml:space="preserve"> </v>
      </c>
      <c r="T386" s="100" t="str">
        <f t="shared" si="37"/>
        <v xml:space="preserve"> </v>
      </c>
      <c r="U386" s="100"/>
      <c r="V386" s="100" t="str">
        <f t="shared" ref="V386:V449" si="43">IFERROR(U386+(R386*I386) /1000," ")</f>
        <v xml:space="preserve"> </v>
      </c>
      <c r="W386" s="101">
        <f t="shared" si="38"/>
        <v>24</v>
      </c>
      <c r="X386" s="102">
        <f t="shared" si="39"/>
        <v>0</v>
      </c>
      <c r="Y386" s="100" t="str">
        <f t="shared" si="40"/>
        <v xml:space="preserve"> </v>
      </c>
      <c r="Z386" s="100" t="str">
        <f t="shared" si="41"/>
        <v xml:space="preserve"> </v>
      </c>
    </row>
    <row r="387" spans="1:26">
      <c r="A387" s="100"/>
      <c r="B387" s="100" t="str">
        <f>IFERROR(VLOOKUP(Tablo520[[#This Row],[ÜRÜN KODU]],YMKODLARI!$A$1:$K$373,2,0)," ")</f>
        <v xml:space="preserve"> </v>
      </c>
      <c r="C387" s="99"/>
      <c r="D387" s="100"/>
      <c r="E387" s="101"/>
      <c r="F387" s="101"/>
      <c r="G387" s="100" t="str">
        <f>IFERROR(VLOOKUP(Tablo520[[#This Row],[ÜRÜN KODU]],YMKODLARI!$A$1:$K$373,3,0)," ")</f>
        <v xml:space="preserve"> </v>
      </c>
      <c r="H387" s="100" t="str">
        <f>IFERROR(VLOOKUP(Tablo520[[#This Row],[ÜRÜN KODU]],YMKODLARI!$A$1:$K$373,4,0)," ")</f>
        <v xml:space="preserve"> </v>
      </c>
      <c r="I387" s="100"/>
      <c r="J387" s="100" t="str">
        <f>IFERROR(VLOOKUP(Tablo520[[#This Row],[ÜRÜN KODU]],YMKODLARI!$A$1:$K$373,9,0)," ")</f>
        <v xml:space="preserve"> </v>
      </c>
      <c r="K387" s="100" t="str">
        <f>IFERROR(VLOOKUP(Tablo520[[#This Row],[BOYA KODU]],Tablo14[#All],4,0)," ")</f>
        <v xml:space="preserve"> </v>
      </c>
      <c r="L387" s="100" t="str">
        <f>IFERROR(VLOOKUP(Tablo520[[#This Row],[BOYA KODU]],Tablo14[#All],6,0)," ")</f>
        <v xml:space="preserve"> </v>
      </c>
      <c r="M387" s="100" t="str">
        <f t="shared" si="42"/>
        <v xml:space="preserve"> </v>
      </c>
      <c r="N387" s="100" t="str">
        <f>IFERROR(VLOOKUP(Tablo520[[#This Row],[ÜRÜN KODU]],YMKODLARI!$A$1:$K$373,8,0)," ")</f>
        <v xml:space="preserve"> </v>
      </c>
      <c r="O387" s="100" t="str">
        <f>IFERROR(VLOOKUP(Tablo520[[#This Row],[HAMMADDE KODU]],Tablo1[#All],3,0)," ")</f>
        <v xml:space="preserve"> </v>
      </c>
      <c r="P387" s="100" t="str">
        <f>IFERROR(VLOOKUP(Tablo520[[#This Row],[HAMMADDE KODU]],Tablo1[#All],4,0)," ")</f>
        <v xml:space="preserve"> </v>
      </c>
      <c r="Q387" s="100" t="str">
        <f>IFERROR(VLOOKUP(Tablo520[[#This Row],[ÜRÜN KODU]],YMKODLARI!$A$1:$K$373,5,0)," ")</f>
        <v xml:space="preserve"> </v>
      </c>
      <c r="R387" s="100" t="str">
        <f>IFERROR(VLOOKUP(Tablo520[[#This Row],[ÜRÜN KODU]],YMKODLARI!$A$1:$K$373,6,0)," ")</f>
        <v xml:space="preserve"> </v>
      </c>
      <c r="S387" s="100" t="str">
        <f>IFERROR(Tablo520[[#This Row],[YOLLUK HARİÇ BASKI GRAMI]]/Tablo520[[#This Row],[KALIP GÖZ ADEDİ]]," ")</f>
        <v xml:space="preserve"> </v>
      </c>
      <c r="T387" s="100" t="str">
        <f t="shared" ref="T387:T450" si="44">IFERROR(Q387-R387," ")</f>
        <v xml:space="preserve"> </v>
      </c>
      <c r="U387" s="100"/>
      <c r="V387" s="100" t="str">
        <f t="shared" si="43"/>
        <v xml:space="preserve"> </v>
      </c>
      <c r="W387" s="101">
        <f t="shared" ref="W387:W450" si="45">IFERROR(24-(E387-F387)," ")</f>
        <v>24</v>
      </c>
      <c r="X387" s="102">
        <f t="shared" ref="X387:X450" si="46">IFERROR((W387-INT(W387))*24," ")</f>
        <v>0</v>
      </c>
      <c r="Y387" s="100" t="str">
        <f t="shared" ref="Y387:Y450" si="47">IFERROR(H387*I387/3600," ")</f>
        <v xml:space="preserve"> </v>
      </c>
      <c r="Z387" s="100" t="str">
        <f t="shared" ref="Z387:Z450" si="48">IFERROR(I387*G387," " )</f>
        <v xml:space="preserve"> </v>
      </c>
    </row>
    <row r="388" spans="1:26">
      <c r="A388" s="100"/>
      <c r="B388" s="100" t="str">
        <f>IFERROR(VLOOKUP(Tablo520[[#This Row],[ÜRÜN KODU]],YMKODLARI!$A$1:$K$373,2,0)," ")</f>
        <v xml:space="preserve"> </v>
      </c>
      <c r="C388" s="99"/>
      <c r="D388" s="100"/>
      <c r="E388" s="101"/>
      <c r="F388" s="101"/>
      <c r="G388" s="100" t="str">
        <f>IFERROR(VLOOKUP(Tablo520[[#This Row],[ÜRÜN KODU]],YMKODLARI!$A$1:$K$373,3,0)," ")</f>
        <v xml:space="preserve"> </v>
      </c>
      <c r="H388" s="100" t="str">
        <f>IFERROR(VLOOKUP(Tablo520[[#This Row],[ÜRÜN KODU]],YMKODLARI!$A$1:$K$373,4,0)," ")</f>
        <v xml:space="preserve"> </v>
      </c>
      <c r="I388" s="100"/>
      <c r="J388" s="100" t="str">
        <f>IFERROR(VLOOKUP(Tablo520[[#This Row],[ÜRÜN KODU]],YMKODLARI!$A$1:$K$373,9,0)," ")</f>
        <v xml:space="preserve"> </v>
      </c>
      <c r="K388" s="100" t="str">
        <f>IFERROR(VLOOKUP(Tablo520[[#This Row],[BOYA KODU]],Tablo14[#All],4,0)," ")</f>
        <v xml:space="preserve"> </v>
      </c>
      <c r="L388" s="100" t="str">
        <f>IFERROR(VLOOKUP(Tablo520[[#This Row],[BOYA KODU]],Tablo14[#All],6,0)," ")</f>
        <v xml:space="preserve"> </v>
      </c>
      <c r="M388" s="100" t="str">
        <f t="shared" si="42"/>
        <v xml:space="preserve"> </v>
      </c>
      <c r="N388" s="100" t="str">
        <f>IFERROR(VLOOKUP(Tablo520[[#This Row],[ÜRÜN KODU]],YMKODLARI!$A$1:$K$373,8,0)," ")</f>
        <v xml:space="preserve"> </v>
      </c>
      <c r="O388" s="100" t="str">
        <f>IFERROR(VLOOKUP(Tablo520[[#This Row],[HAMMADDE KODU]],Tablo1[#All],3,0)," ")</f>
        <v xml:space="preserve"> </v>
      </c>
      <c r="P388" s="100" t="str">
        <f>IFERROR(VLOOKUP(Tablo520[[#This Row],[HAMMADDE KODU]],Tablo1[#All],4,0)," ")</f>
        <v xml:space="preserve"> </v>
      </c>
      <c r="Q388" s="100" t="str">
        <f>IFERROR(VLOOKUP(Tablo520[[#This Row],[ÜRÜN KODU]],YMKODLARI!$A$1:$K$373,5,0)," ")</f>
        <v xml:space="preserve"> </v>
      </c>
      <c r="R388" s="100" t="str">
        <f>IFERROR(VLOOKUP(Tablo520[[#This Row],[ÜRÜN KODU]],YMKODLARI!$A$1:$K$373,6,0)," ")</f>
        <v xml:space="preserve"> </v>
      </c>
      <c r="S388" s="100" t="str">
        <f>IFERROR(Tablo520[[#This Row],[YOLLUK HARİÇ BASKI GRAMI]]/Tablo520[[#This Row],[KALIP GÖZ ADEDİ]]," ")</f>
        <v xml:space="preserve"> </v>
      </c>
      <c r="T388" s="100" t="str">
        <f t="shared" si="44"/>
        <v xml:space="preserve"> </v>
      </c>
      <c r="U388" s="100"/>
      <c r="V388" s="100" t="str">
        <f t="shared" si="43"/>
        <v xml:space="preserve"> </v>
      </c>
      <c r="W388" s="101">
        <f t="shared" si="45"/>
        <v>24</v>
      </c>
      <c r="X388" s="102">
        <f t="shared" si="46"/>
        <v>0</v>
      </c>
      <c r="Y388" s="100" t="str">
        <f t="shared" si="47"/>
        <v xml:space="preserve"> </v>
      </c>
      <c r="Z388" s="100" t="str">
        <f t="shared" si="48"/>
        <v xml:space="preserve"> </v>
      </c>
    </row>
    <row r="389" spans="1:26">
      <c r="A389" s="100"/>
      <c r="B389" s="100" t="str">
        <f>IFERROR(VLOOKUP(Tablo520[[#This Row],[ÜRÜN KODU]],YMKODLARI!$A$1:$K$373,2,0)," ")</f>
        <v xml:space="preserve"> </v>
      </c>
      <c r="C389" s="99"/>
      <c r="D389" s="100"/>
      <c r="E389" s="101"/>
      <c r="F389" s="101"/>
      <c r="G389" s="100" t="str">
        <f>IFERROR(VLOOKUP(Tablo520[[#This Row],[ÜRÜN KODU]],YMKODLARI!$A$1:$K$373,3,0)," ")</f>
        <v xml:space="preserve"> </v>
      </c>
      <c r="H389" s="100" t="str">
        <f>IFERROR(VLOOKUP(Tablo520[[#This Row],[ÜRÜN KODU]],YMKODLARI!$A$1:$K$373,4,0)," ")</f>
        <v xml:space="preserve"> </v>
      </c>
      <c r="I389" s="100"/>
      <c r="J389" s="100" t="str">
        <f>IFERROR(VLOOKUP(Tablo520[[#This Row],[ÜRÜN KODU]],YMKODLARI!$A$1:$K$373,9,0)," ")</f>
        <v xml:space="preserve"> </v>
      </c>
      <c r="K389" s="100" t="str">
        <f>IFERROR(VLOOKUP(Tablo520[[#This Row],[BOYA KODU]],Tablo14[#All],4,0)," ")</f>
        <v xml:space="preserve"> </v>
      </c>
      <c r="L389" s="100" t="str">
        <f>IFERROR(VLOOKUP(Tablo520[[#This Row],[BOYA KODU]],Tablo14[#All],6,0)," ")</f>
        <v xml:space="preserve"> </v>
      </c>
      <c r="M389" s="100" t="str">
        <f t="shared" si="42"/>
        <v xml:space="preserve"> </v>
      </c>
      <c r="N389" s="100" t="str">
        <f>IFERROR(VLOOKUP(Tablo520[[#This Row],[ÜRÜN KODU]],YMKODLARI!$A$1:$K$373,8,0)," ")</f>
        <v xml:space="preserve"> </v>
      </c>
      <c r="O389" s="100" t="str">
        <f>IFERROR(VLOOKUP(Tablo520[[#This Row],[HAMMADDE KODU]],Tablo1[#All],3,0)," ")</f>
        <v xml:space="preserve"> </v>
      </c>
      <c r="P389" s="100" t="str">
        <f>IFERROR(VLOOKUP(Tablo520[[#This Row],[HAMMADDE KODU]],Tablo1[#All],4,0)," ")</f>
        <v xml:space="preserve"> </v>
      </c>
      <c r="Q389" s="100" t="str">
        <f>IFERROR(VLOOKUP(Tablo520[[#This Row],[ÜRÜN KODU]],YMKODLARI!$A$1:$K$373,5,0)," ")</f>
        <v xml:space="preserve"> </v>
      </c>
      <c r="R389" s="100" t="str">
        <f>IFERROR(VLOOKUP(Tablo520[[#This Row],[ÜRÜN KODU]],YMKODLARI!$A$1:$K$373,6,0)," ")</f>
        <v xml:space="preserve"> </v>
      </c>
      <c r="S389" s="100" t="str">
        <f>IFERROR(Tablo520[[#This Row],[YOLLUK HARİÇ BASKI GRAMI]]/Tablo520[[#This Row],[KALIP GÖZ ADEDİ]]," ")</f>
        <v xml:space="preserve"> </v>
      </c>
      <c r="T389" s="100" t="str">
        <f t="shared" si="44"/>
        <v xml:space="preserve"> </v>
      </c>
      <c r="U389" s="100"/>
      <c r="V389" s="100" t="str">
        <f t="shared" si="43"/>
        <v xml:space="preserve"> </v>
      </c>
      <c r="W389" s="101">
        <f t="shared" si="45"/>
        <v>24</v>
      </c>
      <c r="X389" s="102">
        <f t="shared" si="46"/>
        <v>0</v>
      </c>
      <c r="Y389" s="100" t="str">
        <f t="shared" si="47"/>
        <v xml:space="preserve"> </v>
      </c>
      <c r="Z389" s="100" t="str">
        <f t="shared" si="48"/>
        <v xml:space="preserve"> </v>
      </c>
    </row>
    <row r="390" spans="1:26">
      <c r="A390" s="100"/>
      <c r="B390" s="100" t="str">
        <f>IFERROR(VLOOKUP(Tablo520[[#This Row],[ÜRÜN KODU]],YMKODLARI!$A$1:$K$373,2,0)," ")</f>
        <v xml:space="preserve"> </v>
      </c>
      <c r="C390" s="99"/>
      <c r="D390" s="100"/>
      <c r="E390" s="101"/>
      <c r="F390" s="101"/>
      <c r="G390" s="100" t="str">
        <f>IFERROR(VLOOKUP(Tablo520[[#This Row],[ÜRÜN KODU]],YMKODLARI!$A$1:$K$373,3,0)," ")</f>
        <v xml:space="preserve"> </v>
      </c>
      <c r="H390" s="100" t="str">
        <f>IFERROR(VLOOKUP(Tablo520[[#This Row],[ÜRÜN KODU]],YMKODLARI!$A$1:$K$373,4,0)," ")</f>
        <v xml:space="preserve"> </v>
      </c>
      <c r="I390" s="100"/>
      <c r="J390" s="100" t="str">
        <f>IFERROR(VLOOKUP(Tablo520[[#This Row],[ÜRÜN KODU]],YMKODLARI!$A$1:$K$373,9,0)," ")</f>
        <v xml:space="preserve"> </v>
      </c>
      <c r="K390" s="100" t="str">
        <f>IFERROR(VLOOKUP(Tablo520[[#This Row],[BOYA KODU]],Tablo14[#All],4,0)," ")</f>
        <v xml:space="preserve"> </v>
      </c>
      <c r="L390" s="100" t="str">
        <f>IFERROR(VLOOKUP(Tablo520[[#This Row],[BOYA KODU]],Tablo14[#All],6,0)," ")</f>
        <v xml:space="preserve"> </v>
      </c>
      <c r="M390" s="100" t="str">
        <f t="shared" si="42"/>
        <v xml:space="preserve"> </v>
      </c>
      <c r="N390" s="100" t="str">
        <f>IFERROR(VLOOKUP(Tablo520[[#This Row],[ÜRÜN KODU]],YMKODLARI!$A$1:$K$373,8,0)," ")</f>
        <v xml:space="preserve"> </v>
      </c>
      <c r="O390" s="100" t="str">
        <f>IFERROR(VLOOKUP(Tablo520[[#This Row],[HAMMADDE KODU]],Tablo1[#All],3,0)," ")</f>
        <v xml:space="preserve"> </v>
      </c>
      <c r="P390" s="100" t="str">
        <f>IFERROR(VLOOKUP(Tablo520[[#This Row],[HAMMADDE KODU]],Tablo1[#All],4,0)," ")</f>
        <v xml:space="preserve"> </v>
      </c>
      <c r="Q390" s="100" t="str">
        <f>IFERROR(VLOOKUP(Tablo520[[#This Row],[ÜRÜN KODU]],YMKODLARI!$A$1:$K$373,5,0)," ")</f>
        <v xml:space="preserve"> </v>
      </c>
      <c r="R390" s="100" t="str">
        <f>IFERROR(VLOOKUP(Tablo520[[#This Row],[ÜRÜN KODU]],YMKODLARI!$A$1:$K$373,6,0)," ")</f>
        <v xml:space="preserve"> </v>
      </c>
      <c r="S390" s="100" t="str">
        <f>IFERROR(Tablo520[[#This Row],[YOLLUK HARİÇ BASKI GRAMI]]/Tablo520[[#This Row],[KALIP GÖZ ADEDİ]]," ")</f>
        <v xml:space="preserve"> </v>
      </c>
      <c r="T390" s="100" t="str">
        <f t="shared" si="44"/>
        <v xml:space="preserve"> </v>
      </c>
      <c r="U390" s="100"/>
      <c r="V390" s="100" t="str">
        <f t="shared" si="43"/>
        <v xml:space="preserve"> </v>
      </c>
      <c r="W390" s="101">
        <f t="shared" si="45"/>
        <v>24</v>
      </c>
      <c r="X390" s="102">
        <f t="shared" si="46"/>
        <v>0</v>
      </c>
      <c r="Y390" s="100" t="str">
        <f t="shared" si="47"/>
        <v xml:space="preserve"> </v>
      </c>
      <c r="Z390" s="100" t="str">
        <f t="shared" si="48"/>
        <v xml:space="preserve"> </v>
      </c>
    </row>
    <row r="391" spans="1:26">
      <c r="A391" s="100"/>
      <c r="B391" s="100" t="str">
        <f>IFERROR(VLOOKUP(Tablo520[[#This Row],[ÜRÜN KODU]],YMKODLARI!$A$1:$K$373,2,0)," ")</f>
        <v xml:space="preserve"> </v>
      </c>
      <c r="C391" s="99"/>
      <c r="D391" s="100"/>
      <c r="E391" s="101"/>
      <c r="F391" s="101"/>
      <c r="G391" s="100" t="str">
        <f>IFERROR(VLOOKUP(Tablo520[[#This Row],[ÜRÜN KODU]],YMKODLARI!$A$1:$K$373,3,0)," ")</f>
        <v xml:space="preserve"> </v>
      </c>
      <c r="H391" s="100" t="str">
        <f>IFERROR(VLOOKUP(Tablo520[[#This Row],[ÜRÜN KODU]],YMKODLARI!$A$1:$K$373,4,0)," ")</f>
        <v xml:space="preserve"> </v>
      </c>
      <c r="I391" s="100"/>
      <c r="J391" s="100" t="str">
        <f>IFERROR(VLOOKUP(Tablo520[[#This Row],[ÜRÜN KODU]],YMKODLARI!$A$1:$K$373,9,0)," ")</f>
        <v xml:space="preserve"> </v>
      </c>
      <c r="K391" s="100" t="str">
        <f>IFERROR(VLOOKUP(Tablo520[[#This Row],[BOYA KODU]],Tablo14[#All],4,0)," ")</f>
        <v xml:space="preserve"> </v>
      </c>
      <c r="L391" s="100" t="str">
        <f>IFERROR(VLOOKUP(Tablo520[[#This Row],[BOYA KODU]],Tablo14[#All],6,0)," ")</f>
        <v xml:space="preserve"> </v>
      </c>
      <c r="M391" s="100" t="str">
        <f t="shared" si="42"/>
        <v xml:space="preserve"> </v>
      </c>
      <c r="N391" s="100" t="str">
        <f>IFERROR(VLOOKUP(Tablo520[[#This Row],[ÜRÜN KODU]],YMKODLARI!$A$1:$K$373,8,0)," ")</f>
        <v xml:space="preserve"> </v>
      </c>
      <c r="O391" s="100" t="str">
        <f>IFERROR(VLOOKUP(Tablo520[[#This Row],[HAMMADDE KODU]],Tablo1[#All],3,0)," ")</f>
        <v xml:space="preserve"> </v>
      </c>
      <c r="P391" s="100" t="str">
        <f>IFERROR(VLOOKUP(Tablo520[[#This Row],[HAMMADDE KODU]],Tablo1[#All],4,0)," ")</f>
        <v xml:space="preserve"> </v>
      </c>
      <c r="Q391" s="100" t="str">
        <f>IFERROR(VLOOKUP(Tablo520[[#This Row],[ÜRÜN KODU]],YMKODLARI!$A$1:$K$373,5,0)," ")</f>
        <v xml:space="preserve"> </v>
      </c>
      <c r="R391" s="100" t="str">
        <f>IFERROR(VLOOKUP(Tablo520[[#This Row],[ÜRÜN KODU]],YMKODLARI!$A$1:$K$373,6,0)," ")</f>
        <v xml:space="preserve"> </v>
      </c>
      <c r="S391" s="100" t="str">
        <f>IFERROR(Tablo520[[#This Row],[YOLLUK HARİÇ BASKI GRAMI]]/Tablo520[[#This Row],[KALIP GÖZ ADEDİ]]," ")</f>
        <v xml:space="preserve"> </v>
      </c>
      <c r="T391" s="100" t="str">
        <f t="shared" si="44"/>
        <v xml:space="preserve"> </v>
      </c>
      <c r="U391" s="100"/>
      <c r="V391" s="100" t="str">
        <f t="shared" si="43"/>
        <v xml:space="preserve"> </v>
      </c>
      <c r="W391" s="101">
        <f t="shared" si="45"/>
        <v>24</v>
      </c>
      <c r="X391" s="102">
        <f t="shared" si="46"/>
        <v>0</v>
      </c>
      <c r="Y391" s="100" t="str">
        <f t="shared" si="47"/>
        <v xml:space="preserve"> </v>
      </c>
      <c r="Z391" s="100" t="str">
        <f t="shared" si="48"/>
        <v xml:space="preserve"> </v>
      </c>
    </row>
    <row r="392" spans="1:26">
      <c r="A392" s="100"/>
      <c r="B392" s="100" t="str">
        <f>IFERROR(VLOOKUP(Tablo520[[#This Row],[ÜRÜN KODU]],YMKODLARI!$A$1:$K$373,2,0)," ")</f>
        <v xml:space="preserve"> </v>
      </c>
      <c r="C392" s="99"/>
      <c r="D392" s="100"/>
      <c r="E392" s="101"/>
      <c r="F392" s="101"/>
      <c r="G392" s="100" t="str">
        <f>IFERROR(VLOOKUP(Tablo520[[#This Row],[ÜRÜN KODU]],YMKODLARI!$A$1:$K$373,3,0)," ")</f>
        <v xml:space="preserve"> </v>
      </c>
      <c r="H392" s="100" t="str">
        <f>IFERROR(VLOOKUP(Tablo520[[#This Row],[ÜRÜN KODU]],YMKODLARI!$A$1:$K$373,4,0)," ")</f>
        <v xml:space="preserve"> </v>
      </c>
      <c r="I392" s="100"/>
      <c r="J392" s="100" t="str">
        <f>IFERROR(VLOOKUP(Tablo520[[#This Row],[ÜRÜN KODU]],YMKODLARI!$A$1:$K$373,9,0)," ")</f>
        <v xml:space="preserve"> </v>
      </c>
      <c r="K392" s="100" t="str">
        <f>IFERROR(VLOOKUP(Tablo520[[#This Row],[BOYA KODU]],Tablo14[#All],4,0)," ")</f>
        <v xml:space="preserve"> </v>
      </c>
      <c r="L392" s="100" t="str">
        <f>IFERROR(VLOOKUP(Tablo520[[#This Row],[BOYA KODU]],Tablo14[#All],6,0)," ")</f>
        <v xml:space="preserve"> </v>
      </c>
      <c r="M392" s="100" t="str">
        <f t="shared" si="42"/>
        <v xml:space="preserve"> </v>
      </c>
      <c r="N392" s="100" t="str">
        <f>IFERROR(VLOOKUP(Tablo520[[#This Row],[ÜRÜN KODU]],YMKODLARI!$A$1:$K$373,8,0)," ")</f>
        <v xml:space="preserve"> </v>
      </c>
      <c r="O392" s="100" t="str">
        <f>IFERROR(VLOOKUP(Tablo520[[#This Row],[HAMMADDE KODU]],Tablo1[#All],3,0)," ")</f>
        <v xml:space="preserve"> </v>
      </c>
      <c r="P392" s="100" t="str">
        <f>IFERROR(VLOOKUP(Tablo520[[#This Row],[HAMMADDE KODU]],Tablo1[#All],4,0)," ")</f>
        <v xml:space="preserve"> </v>
      </c>
      <c r="Q392" s="100" t="str">
        <f>IFERROR(VLOOKUP(Tablo520[[#This Row],[ÜRÜN KODU]],YMKODLARI!$A$1:$K$373,5,0)," ")</f>
        <v xml:space="preserve"> </v>
      </c>
      <c r="R392" s="100" t="str">
        <f>IFERROR(VLOOKUP(Tablo520[[#This Row],[ÜRÜN KODU]],YMKODLARI!$A$1:$K$373,6,0)," ")</f>
        <v xml:space="preserve"> </v>
      </c>
      <c r="S392" s="100" t="str">
        <f>IFERROR(Tablo520[[#This Row],[YOLLUK HARİÇ BASKI GRAMI]]/Tablo520[[#This Row],[KALIP GÖZ ADEDİ]]," ")</f>
        <v xml:space="preserve"> </v>
      </c>
      <c r="T392" s="100" t="str">
        <f t="shared" si="44"/>
        <v xml:space="preserve"> </v>
      </c>
      <c r="U392" s="100"/>
      <c r="V392" s="100" t="str">
        <f t="shared" si="43"/>
        <v xml:space="preserve"> </v>
      </c>
      <c r="W392" s="101">
        <f t="shared" si="45"/>
        <v>24</v>
      </c>
      <c r="X392" s="102">
        <f t="shared" si="46"/>
        <v>0</v>
      </c>
      <c r="Y392" s="100" t="str">
        <f t="shared" si="47"/>
        <v xml:space="preserve"> </v>
      </c>
      <c r="Z392" s="100" t="str">
        <f t="shared" si="48"/>
        <v xml:space="preserve"> </v>
      </c>
    </row>
    <row r="393" spans="1:26">
      <c r="A393" s="100"/>
      <c r="B393" s="100" t="str">
        <f>IFERROR(VLOOKUP(Tablo520[[#This Row],[ÜRÜN KODU]],YMKODLARI!$A$1:$K$373,2,0)," ")</f>
        <v xml:space="preserve"> </v>
      </c>
      <c r="C393" s="99"/>
      <c r="D393" s="100"/>
      <c r="E393" s="101"/>
      <c r="F393" s="101"/>
      <c r="G393" s="100" t="str">
        <f>IFERROR(VLOOKUP(Tablo520[[#This Row],[ÜRÜN KODU]],YMKODLARI!$A$1:$K$373,3,0)," ")</f>
        <v xml:space="preserve"> </v>
      </c>
      <c r="H393" s="100" t="str">
        <f>IFERROR(VLOOKUP(Tablo520[[#This Row],[ÜRÜN KODU]],YMKODLARI!$A$1:$K$373,4,0)," ")</f>
        <v xml:space="preserve"> </v>
      </c>
      <c r="I393" s="100"/>
      <c r="J393" s="100" t="str">
        <f>IFERROR(VLOOKUP(Tablo520[[#This Row],[ÜRÜN KODU]],YMKODLARI!$A$1:$K$373,9,0)," ")</f>
        <v xml:space="preserve"> </v>
      </c>
      <c r="K393" s="100" t="str">
        <f>IFERROR(VLOOKUP(Tablo520[[#This Row],[BOYA KODU]],Tablo14[#All],4,0)," ")</f>
        <v xml:space="preserve"> </v>
      </c>
      <c r="L393" s="100" t="str">
        <f>IFERROR(VLOOKUP(Tablo520[[#This Row],[BOYA KODU]],Tablo14[#All],6,0)," ")</f>
        <v xml:space="preserve"> </v>
      </c>
      <c r="M393" s="100" t="str">
        <f t="shared" si="42"/>
        <v xml:space="preserve"> </v>
      </c>
      <c r="N393" s="100" t="str">
        <f>IFERROR(VLOOKUP(Tablo520[[#This Row],[ÜRÜN KODU]],YMKODLARI!$A$1:$K$373,8,0)," ")</f>
        <v xml:space="preserve"> </v>
      </c>
      <c r="O393" s="100" t="str">
        <f>IFERROR(VLOOKUP(Tablo520[[#This Row],[HAMMADDE KODU]],Tablo1[#All],3,0)," ")</f>
        <v xml:space="preserve"> </v>
      </c>
      <c r="P393" s="100" t="str">
        <f>IFERROR(VLOOKUP(Tablo520[[#This Row],[HAMMADDE KODU]],Tablo1[#All],4,0)," ")</f>
        <v xml:space="preserve"> </v>
      </c>
      <c r="Q393" s="100" t="str">
        <f>IFERROR(VLOOKUP(Tablo520[[#This Row],[ÜRÜN KODU]],YMKODLARI!$A$1:$K$373,5,0)," ")</f>
        <v xml:space="preserve"> </v>
      </c>
      <c r="R393" s="100" t="str">
        <f>IFERROR(VLOOKUP(Tablo520[[#This Row],[ÜRÜN KODU]],YMKODLARI!$A$1:$K$373,6,0)," ")</f>
        <v xml:space="preserve"> </v>
      </c>
      <c r="S393" s="100" t="str">
        <f>IFERROR(Tablo520[[#This Row],[YOLLUK HARİÇ BASKI GRAMI]]/Tablo520[[#This Row],[KALIP GÖZ ADEDİ]]," ")</f>
        <v xml:space="preserve"> </v>
      </c>
      <c r="T393" s="100" t="str">
        <f t="shared" si="44"/>
        <v xml:space="preserve"> </v>
      </c>
      <c r="U393" s="100"/>
      <c r="V393" s="100" t="str">
        <f t="shared" si="43"/>
        <v xml:space="preserve"> </v>
      </c>
      <c r="W393" s="101">
        <f t="shared" si="45"/>
        <v>24</v>
      </c>
      <c r="X393" s="102">
        <f t="shared" si="46"/>
        <v>0</v>
      </c>
      <c r="Y393" s="100" t="str">
        <f t="shared" si="47"/>
        <v xml:space="preserve"> </v>
      </c>
      <c r="Z393" s="100" t="str">
        <f t="shared" si="48"/>
        <v xml:space="preserve"> </v>
      </c>
    </row>
    <row r="394" spans="1:26">
      <c r="A394" s="100"/>
      <c r="B394" s="100" t="str">
        <f>IFERROR(VLOOKUP(Tablo520[[#This Row],[ÜRÜN KODU]],YMKODLARI!$A$1:$K$373,2,0)," ")</f>
        <v xml:space="preserve"> </v>
      </c>
      <c r="C394" s="99"/>
      <c r="D394" s="100"/>
      <c r="E394" s="101"/>
      <c r="F394" s="101"/>
      <c r="G394" s="100" t="str">
        <f>IFERROR(VLOOKUP(Tablo520[[#This Row],[ÜRÜN KODU]],YMKODLARI!$A$1:$K$373,3,0)," ")</f>
        <v xml:space="preserve"> </v>
      </c>
      <c r="H394" s="100" t="str">
        <f>IFERROR(VLOOKUP(Tablo520[[#This Row],[ÜRÜN KODU]],YMKODLARI!$A$1:$K$373,4,0)," ")</f>
        <v xml:space="preserve"> </v>
      </c>
      <c r="I394" s="100"/>
      <c r="J394" s="100" t="str">
        <f>IFERROR(VLOOKUP(Tablo520[[#This Row],[ÜRÜN KODU]],YMKODLARI!$A$1:$K$373,9,0)," ")</f>
        <v xml:space="preserve"> </v>
      </c>
      <c r="K394" s="100" t="str">
        <f>IFERROR(VLOOKUP(Tablo520[[#This Row],[BOYA KODU]],Tablo14[#All],4,0)," ")</f>
        <v xml:space="preserve"> </v>
      </c>
      <c r="L394" s="100" t="str">
        <f>IFERROR(VLOOKUP(Tablo520[[#This Row],[BOYA KODU]],Tablo14[#All],6,0)," ")</f>
        <v xml:space="preserve"> </v>
      </c>
      <c r="M394" s="100" t="str">
        <f t="shared" si="42"/>
        <v xml:space="preserve"> </v>
      </c>
      <c r="N394" s="100" t="str">
        <f>IFERROR(VLOOKUP(Tablo520[[#This Row],[ÜRÜN KODU]],YMKODLARI!$A$1:$K$373,8,0)," ")</f>
        <v xml:space="preserve"> </v>
      </c>
      <c r="O394" s="100" t="str">
        <f>IFERROR(VLOOKUP(Tablo520[[#This Row],[HAMMADDE KODU]],Tablo1[#All],3,0)," ")</f>
        <v xml:space="preserve"> </v>
      </c>
      <c r="P394" s="100" t="str">
        <f>IFERROR(VLOOKUP(Tablo520[[#This Row],[HAMMADDE KODU]],Tablo1[#All],4,0)," ")</f>
        <v xml:space="preserve"> </v>
      </c>
      <c r="Q394" s="100" t="str">
        <f>IFERROR(VLOOKUP(Tablo520[[#This Row],[ÜRÜN KODU]],YMKODLARI!$A$1:$K$373,5,0)," ")</f>
        <v xml:space="preserve"> </v>
      </c>
      <c r="R394" s="100" t="str">
        <f>IFERROR(VLOOKUP(Tablo520[[#This Row],[ÜRÜN KODU]],YMKODLARI!$A$1:$K$373,6,0)," ")</f>
        <v xml:space="preserve"> </v>
      </c>
      <c r="S394" s="100" t="str">
        <f>IFERROR(Tablo520[[#This Row],[YOLLUK HARİÇ BASKI GRAMI]]/Tablo520[[#This Row],[KALIP GÖZ ADEDİ]]," ")</f>
        <v xml:space="preserve"> </v>
      </c>
      <c r="T394" s="100" t="str">
        <f t="shared" si="44"/>
        <v xml:space="preserve"> </v>
      </c>
      <c r="U394" s="100"/>
      <c r="V394" s="100" t="str">
        <f t="shared" si="43"/>
        <v xml:space="preserve"> </v>
      </c>
      <c r="W394" s="101">
        <f t="shared" si="45"/>
        <v>24</v>
      </c>
      <c r="X394" s="102">
        <f t="shared" si="46"/>
        <v>0</v>
      </c>
      <c r="Y394" s="100" t="str">
        <f t="shared" si="47"/>
        <v xml:space="preserve"> </v>
      </c>
      <c r="Z394" s="100" t="str">
        <f t="shared" si="48"/>
        <v xml:space="preserve"> </v>
      </c>
    </row>
    <row r="395" spans="1:26">
      <c r="A395" s="100"/>
      <c r="B395" s="100" t="str">
        <f>IFERROR(VLOOKUP(Tablo520[[#This Row],[ÜRÜN KODU]],YMKODLARI!$A$1:$K$373,2,0)," ")</f>
        <v xml:space="preserve"> </v>
      </c>
      <c r="C395" s="99"/>
      <c r="D395" s="100"/>
      <c r="E395" s="101"/>
      <c r="F395" s="101"/>
      <c r="G395" s="100" t="str">
        <f>IFERROR(VLOOKUP(Tablo520[[#This Row],[ÜRÜN KODU]],YMKODLARI!$A$1:$K$373,3,0)," ")</f>
        <v xml:space="preserve"> </v>
      </c>
      <c r="H395" s="100" t="str">
        <f>IFERROR(VLOOKUP(Tablo520[[#This Row],[ÜRÜN KODU]],YMKODLARI!$A$1:$K$373,4,0)," ")</f>
        <v xml:space="preserve"> </v>
      </c>
      <c r="I395" s="100"/>
      <c r="J395" s="100" t="str">
        <f>IFERROR(VLOOKUP(Tablo520[[#This Row],[ÜRÜN KODU]],YMKODLARI!$A$1:$K$373,9,0)," ")</f>
        <v xml:space="preserve"> </v>
      </c>
      <c r="K395" s="100" t="str">
        <f>IFERROR(VLOOKUP(Tablo520[[#This Row],[BOYA KODU]],Tablo14[#All],4,0)," ")</f>
        <v xml:space="preserve"> </v>
      </c>
      <c r="L395" s="100" t="str">
        <f>IFERROR(VLOOKUP(Tablo520[[#This Row],[BOYA KODU]],Tablo14[#All],6,0)," ")</f>
        <v xml:space="preserve"> </v>
      </c>
      <c r="M395" s="100" t="str">
        <f t="shared" si="42"/>
        <v xml:space="preserve"> </v>
      </c>
      <c r="N395" s="100" t="str">
        <f>IFERROR(VLOOKUP(Tablo520[[#This Row],[ÜRÜN KODU]],YMKODLARI!$A$1:$K$373,8,0)," ")</f>
        <v xml:space="preserve"> </v>
      </c>
      <c r="O395" s="100" t="str">
        <f>IFERROR(VLOOKUP(Tablo520[[#This Row],[HAMMADDE KODU]],Tablo1[#All],3,0)," ")</f>
        <v xml:space="preserve"> </v>
      </c>
      <c r="P395" s="100" t="str">
        <f>IFERROR(VLOOKUP(Tablo520[[#This Row],[HAMMADDE KODU]],Tablo1[#All],4,0)," ")</f>
        <v xml:space="preserve"> </v>
      </c>
      <c r="Q395" s="100" t="str">
        <f>IFERROR(VLOOKUP(Tablo520[[#This Row],[ÜRÜN KODU]],YMKODLARI!$A$1:$K$373,5,0)," ")</f>
        <v xml:space="preserve"> </v>
      </c>
      <c r="R395" s="100" t="str">
        <f>IFERROR(VLOOKUP(Tablo520[[#This Row],[ÜRÜN KODU]],YMKODLARI!$A$1:$K$373,6,0)," ")</f>
        <v xml:space="preserve"> </v>
      </c>
      <c r="S395" s="100" t="str">
        <f>IFERROR(Tablo520[[#This Row],[YOLLUK HARİÇ BASKI GRAMI]]/Tablo520[[#This Row],[KALIP GÖZ ADEDİ]]," ")</f>
        <v xml:space="preserve"> </v>
      </c>
      <c r="T395" s="100" t="str">
        <f t="shared" si="44"/>
        <v xml:space="preserve"> </v>
      </c>
      <c r="U395" s="100"/>
      <c r="V395" s="100" t="str">
        <f t="shared" si="43"/>
        <v xml:space="preserve"> </v>
      </c>
      <c r="W395" s="101">
        <f t="shared" si="45"/>
        <v>24</v>
      </c>
      <c r="X395" s="102">
        <f t="shared" si="46"/>
        <v>0</v>
      </c>
      <c r="Y395" s="100" t="str">
        <f t="shared" si="47"/>
        <v xml:space="preserve"> </v>
      </c>
      <c r="Z395" s="100" t="str">
        <f t="shared" si="48"/>
        <v xml:space="preserve"> </v>
      </c>
    </row>
    <row r="396" spans="1:26">
      <c r="A396" s="100"/>
      <c r="B396" s="100" t="str">
        <f>IFERROR(VLOOKUP(Tablo520[[#This Row],[ÜRÜN KODU]],YMKODLARI!$A$1:$K$373,2,0)," ")</f>
        <v xml:space="preserve"> </v>
      </c>
      <c r="C396" s="99"/>
      <c r="D396" s="100"/>
      <c r="E396" s="101"/>
      <c r="F396" s="101"/>
      <c r="G396" s="100" t="str">
        <f>IFERROR(VLOOKUP(Tablo520[[#This Row],[ÜRÜN KODU]],YMKODLARI!$A$1:$K$373,3,0)," ")</f>
        <v xml:space="preserve"> </v>
      </c>
      <c r="H396" s="100" t="str">
        <f>IFERROR(VLOOKUP(Tablo520[[#This Row],[ÜRÜN KODU]],YMKODLARI!$A$1:$K$373,4,0)," ")</f>
        <v xml:space="preserve"> </v>
      </c>
      <c r="I396" s="100"/>
      <c r="J396" s="100" t="str">
        <f>IFERROR(VLOOKUP(Tablo520[[#This Row],[ÜRÜN KODU]],YMKODLARI!$A$1:$K$373,9,0)," ")</f>
        <v xml:space="preserve"> </v>
      </c>
      <c r="K396" s="100" t="str">
        <f>IFERROR(VLOOKUP(Tablo520[[#This Row],[BOYA KODU]],Tablo14[#All],4,0)," ")</f>
        <v xml:space="preserve"> </v>
      </c>
      <c r="L396" s="100" t="str">
        <f>IFERROR(VLOOKUP(Tablo520[[#This Row],[BOYA KODU]],Tablo14[#All],6,0)," ")</f>
        <v xml:space="preserve"> </v>
      </c>
      <c r="M396" s="100" t="str">
        <f t="shared" si="42"/>
        <v xml:space="preserve"> </v>
      </c>
      <c r="N396" s="100" t="str">
        <f>IFERROR(VLOOKUP(Tablo520[[#This Row],[ÜRÜN KODU]],YMKODLARI!$A$1:$K$373,8,0)," ")</f>
        <v xml:space="preserve"> </v>
      </c>
      <c r="O396" s="100" t="str">
        <f>IFERROR(VLOOKUP(Tablo520[[#This Row],[HAMMADDE KODU]],Tablo1[#All],3,0)," ")</f>
        <v xml:space="preserve"> </v>
      </c>
      <c r="P396" s="100" t="str">
        <f>IFERROR(VLOOKUP(Tablo520[[#This Row],[HAMMADDE KODU]],Tablo1[#All],4,0)," ")</f>
        <v xml:space="preserve"> </v>
      </c>
      <c r="Q396" s="100" t="str">
        <f>IFERROR(VLOOKUP(Tablo520[[#This Row],[ÜRÜN KODU]],YMKODLARI!$A$1:$K$373,5,0)," ")</f>
        <v xml:space="preserve"> </v>
      </c>
      <c r="R396" s="100" t="str">
        <f>IFERROR(VLOOKUP(Tablo520[[#This Row],[ÜRÜN KODU]],YMKODLARI!$A$1:$K$373,6,0)," ")</f>
        <v xml:space="preserve"> </v>
      </c>
      <c r="S396" s="100" t="str">
        <f>IFERROR(Tablo520[[#This Row],[YOLLUK HARİÇ BASKI GRAMI]]/Tablo520[[#This Row],[KALIP GÖZ ADEDİ]]," ")</f>
        <v xml:space="preserve"> </v>
      </c>
      <c r="T396" s="100" t="str">
        <f t="shared" si="44"/>
        <v xml:space="preserve"> </v>
      </c>
      <c r="U396" s="100"/>
      <c r="V396" s="100" t="str">
        <f t="shared" si="43"/>
        <v xml:space="preserve"> </v>
      </c>
      <c r="W396" s="101">
        <f t="shared" si="45"/>
        <v>24</v>
      </c>
      <c r="X396" s="102">
        <f t="shared" si="46"/>
        <v>0</v>
      </c>
      <c r="Y396" s="100" t="str">
        <f t="shared" si="47"/>
        <v xml:space="preserve"> </v>
      </c>
      <c r="Z396" s="100" t="str">
        <f t="shared" si="48"/>
        <v xml:space="preserve"> </v>
      </c>
    </row>
    <row r="397" spans="1:26">
      <c r="A397" s="100"/>
      <c r="B397" s="100" t="str">
        <f>IFERROR(VLOOKUP(Tablo520[[#This Row],[ÜRÜN KODU]],YMKODLARI!$A$1:$K$373,2,0)," ")</f>
        <v xml:space="preserve"> </v>
      </c>
      <c r="C397" s="99"/>
      <c r="D397" s="100"/>
      <c r="E397" s="101"/>
      <c r="F397" s="101"/>
      <c r="G397" s="100" t="str">
        <f>IFERROR(VLOOKUP(Tablo520[[#This Row],[ÜRÜN KODU]],YMKODLARI!$A$1:$K$373,3,0)," ")</f>
        <v xml:space="preserve"> </v>
      </c>
      <c r="H397" s="100" t="str">
        <f>IFERROR(VLOOKUP(Tablo520[[#This Row],[ÜRÜN KODU]],YMKODLARI!$A$1:$K$373,4,0)," ")</f>
        <v xml:space="preserve"> </v>
      </c>
      <c r="I397" s="100"/>
      <c r="J397" s="100" t="str">
        <f>IFERROR(VLOOKUP(Tablo520[[#This Row],[ÜRÜN KODU]],YMKODLARI!$A$1:$K$373,9,0)," ")</f>
        <v xml:space="preserve"> </v>
      </c>
      <c r="K397" s="100" t="str">
        <f>IFERROR(VLOOKUP(Tablo520[[#This Row],[BOYA KODU]],Tablo14[#All],4,0)," ")</f>
        <v xml:space="preserve"> </v>
      </c>
      <c r="L397" s="100" t="str">
        <f>IFERROR(VLOOKUP(Tablo520[[#This Row],[BOYA KODU]],Tablo14[#All],6,0)," ")</f>
        <v xml:space="preserve"> </v>
      </c>
      <c r="M397" s="100" t="str">
        <f t="shared" si="42"/>
        <v xml:space="preserve"> </v>
      </c>
      <c r="N397" s="100" t="str">
        <f>IFERROR(VLOOKUP(Tablo520[[#This Row],[ÜRÜN KODU]],YMKODLARI!$A$1:$K$373,8,0)," ")</f>
        <v xml:space="preserve"> </v>
      </c>
      <c r="O397" s="100" t="str">
        <f>IFERROR(VLOOKUP(Tablo520[[#This Row],[HAMMADDE KODU]],Tablo1[#All],3,0)," ")</f>
        <v xml:space="preserve"> </v>
      </c>
      <c r="P397" s="100" t="str">
        <f>IFERROR(VLOOKUP(Tablo520[[#This Row],[HAMMADDE KODU]],Tablo1[#All],4,0)," ")</f>
        <v xml:space="preserve"> </v>
      </c>
      <c r="Q397" s="100" t="str">
        <f>IFERROR(VLOOKUP(Tablo520[[#This Row],[ÜRÜN KODU]],YMKODLARI!$A$1:$K$373,5,0)," ")</f>
        <v xml:space="preserve"> </v>
      </c>
      <c r="R397" s="100" t="str">
        <f>IFERROR(VLOOKUP(Tablo520[[#This Row],[ÜRÜN KODU]],YMKODLARI!$A$1:$K$373,6,0)," ")</f>
        <v xml:space="preserve"> </v>
      </c>
      <c r="S397" s="100" t="str">
        <f>IFERROR(Tablo520[[#This Row],[YOLLUK HARİÇ BASKI GRAMI]]/Tablo520[[#This Row],[KALIP GÖZ ADEDİ]]," ")</f>
        <v xml:space="preserve"> </v>
      </c>
      <c r="T397" s="100" t="str">
        <f t="shared" si="44"/>
        <v xml:space="preserve"> </v>
      </c>
      <c r="U397" s="100"/>
      <c r="V397" s="100" t="str">
        <f t="shared" si="43"/>
        <v xml:space="preserve"> </v>
      </c>
      <c r="W397" s="101">
        <f t="shared" si="45"/>
        <v>24</v>
      </c>
      <c r="X397" s="102">
        <f t="shared" si="46"/>
        <v>0</v>
      </c>
      <c r="Y397" s="100" t="str">
        <f t="shared" si="47"/>
        <v xml:space="preserve"> </v>
      </c>
      <c r="Z397" s="100" t="str">
        <f t="shared" si="48"/>
        <v xml:space="preserve"> </v>
      </c>
    </row>
    <row r="398" spans="1:26">
      <c r="A398" s="100"/>
      <c r="B398" s="100" t="str">
        <f>IFERROR(VLOOKUP(Tablo520[[#This Row],[ÜRÜN KODU]],YMKODLARI!$A$1:$K$373,2,0)," ")</f>
        <v xml:space="preserve"> </v>
      </c>
      <c r="C398" s="99"/>
      <c r="D398" s="100"/>
      <c r="E398" s="101"/>
      <c r="F398" s="101"/>
      <c r="G398" s="100" t="str">
        <f>IFERROR(VLOOKUP(Tablo520[[#This Row],[ÜRÜN KODU]],YMKODLARI!$A$1:$K$373,3,0)," ")</f>
        <v xml:space="preserve"> </v>
      </c>
      <c r="H398" s="100" t="str">
        <f>IFERROR(VLOOKUP(Tablo520[[#This Row],[ÜRÜN KODU]],YMKODLARI!$A$1:$K$373,4,0)," ")</f>
        <v xml:space="preserve"> </v>
      </c>
      <c r="I398" s="100"/>
      <c r="J398" s="100" t="str">
        <f>IFERROR(VLOOKUP(Tablo520[[#This Row],[ÜRÜN KODU]],YMKODLARI!$A$1:$K$373,9,0)," ")</f>
        <v xml:space="preserve"> </v>
      </c>
      <c r="K398" s="100" t="str">
        <f>IFERROR(VLOOKUP(Tablo520[[#This Row],[BOYA KODU]],Tablo14[#All],4,0)," ")</f>
        <v xml:space="preserve"> </v>
      </c>
      <c r="L398" s="100" t="str">
        <f>IFERROR(VLOOKUP(Tablo520[[#This Row],[BOYA KODU]],Tablo14[#All],6,0)," ")</f>
        <v xml:space="preserve"> </v>
      </c>
      <c r="M398" s="100" t="str">
        <f t="shared" si="42"/>
        <v xml:space="preserve"> </v>
      </c>
      <c r="N398" s="100" t="str">
        <f>IFERROR(VLOOKUP(Tablo520[[#This Row],[ÜRÜN KODU]],YMKODLARI!$A$1:$K$373,8,0)," ")</f>
        <v xml:space="preserve"> </v>
      </c>
      <c r="O398" s="100" t="str">
        <f>IFERROR(VLOOKUP(Tablo520[[#This Row],[HAMMADDE KODU]],Tablo1[#All],3,0)," ")</f>
        <v xml:space="preserve"> </v>
      </c>
      <c r="P398" s="100" t="str">
        <f>IFERROR(VLOOKUP(Tablo520[[#This Row],[HAMMADDE KODU]],Tablo1[#All],4,0)," ")</f>
        <v xml:space="preserve"> </v>
      </c>
      <c r="Q398" s="100" t="str">
        <f>IFERROR(VLOOKUP(Tablo520[[#This Row],[ÜRÜN KODU]],YMKODLARI!$A$1:$K$373,5,0)," ")</f>
        <v xml:space="preserve"> </v>
      </c>
      <c r="R398" s="100" t="str">
        <f>IFERROR(VLOOKUP(Tablo520[[#This Row],[ÜRÜN KODU]],YMKODLARI!$A$1:$K$373,6,0)," ")</f>
        <v xml:space="preserve"> </v>
      </c>
      <c r="S398" s="100" t="str">
        <f>IFERROR(Tablo520[[#This Row],[YOLLUK HARİÇ BASKI GRAMI]]/Tablo520[[#This Row],[KALIP GÖZ ADEDİ]]," ")</f>
        <v xml:space="preserve"> </v>
      </c>
      <c r="T398" s="100" t="str">
        <f t="shared" si="44"/>
        <v xml:space="preserve"> </v>
      </c>
      <c r="U398" s="100"/>
      <c r="V398" s="100" t="str">
        <f t="shared" si="43"/>
        <v xml:space="preserve"> </v>
      </c>
      <c r="W398" s="101">
        <f t="shared" si="45"/>
        <v>24</v>
      </c>
      <c r="X398" s="102">
        <f t="shared" si="46"/>
        <v>0</v>
      </c>
      <c r="Y398" s="100" t="str">
        <f t="shared" si="47"/>
        <v xml:space="preserve"> </v>
      </c>
      <c r="Z398" s="100" t="str">
        <f t="shared" si="48"/>
        <v xml:space="preserve"> </v>
      </c>
    </row>
    <row r="399" spans="1:26">
      <c r="A399" s="100"/>
      <c r="B399" s="100" t="str">
        <f>IFERROR(VLOOKUP(Tablo520[[#This Row],[ÜRÜN KODU]],YMKODLARI!$A$1:$K$373,2,0)," ")</f>
        <v xml:space="preserve"> </v>
      </c>
      <c r="C399" s="99"/>
      <c r="D399" s="100"/>
      <c r="E399" s="101"/>
      <c r="F399" s="101"/>
      <c r="G399" s="100" t="str">
        <f>IFERROR(VLOOKUP(Tablo520[[#This Row],[ÜRÜN KODU]],YMKODLARI!$A$1:$K$373,3,0)," ")</f>
        <v xml:space="preserve"> </v>
      </c>
      <c r="H399" s="100" t="str">
        <f>IFERROR(VLOOKUP(Tablo520[[#This Row],[ÜRÜN KODU]],YMKODLARI!$A$1:$K$373,4,0)," ")</f>
        <v xml:space="preserve"> </v>
      </c>
      <c r="I399" s="100"/>
      <c r="J399" s="100" t="str">
        <f>IFERROR(VLOOKUP(Tablo520[[#This Row],[ÜRÜN KODU]],YMKODLARI!$A$1:$K$373,9,0)," ")</f>
        <v xml:space="preserve"> </v>
      </c>
      <c r="K399" s="100" t="str">
        <f>IFERROR(VLOOKUP(Tablo520[[#This Row],[BOYA KODU]],Tablo14[#All],4,0)," ")</f>
        <v xml:space="preserve"> </v>
      </c>
      <c r="L399" s="100" t="str">
        <f>IFERROR(VLOOKUP(Tablo520[[#This Row],[BOYA KODU]],Tablo14[#All],6,0)," ")</f>
        <v xml:space="preserve"> </v>
      </c>
      <c r="M399" s="100" t="str">
        <f t="shared" si="42"/>
        <v xml:space="preserve"> </v>
      </c>
      <c r="N399" s="100" t="str">
        <f>IFERROR(VLOOKUP(Tablo520[[#This Row],[ÜRÜN KODU]],YMKODLARI!$A$1:$K$373,8,0)," ")</f>
        <v xml:space="preserve"> </v>
      </c>
      <c r="O399" s="100" t="str">
        <f>IFERROR(VLOOKUP(Tablo520[[#This Row],[HAMMADDE KODU]],Tablo1[#All],3,0)," ")</f>
        <v xml:space="preserve"> </v>
      </c>
      <c r="P399" s="100" t="str">
        <f>IFERROR(VLOOKUP(Tablo520[[#This Row],[HAMMADDE KODU]],Tablo1[#All],4,0)," ")</f>
        <v xml:space="preserve"> </v>
      </c>
      <c r="Q399" s="100" t="str">
        <f>IFERROR(VLOOKUP(Tablo520[[#This Row],[ÜRÜN KODU]],YMKODLARI!$A$1:$K$373,5,0)," ")</f>
        <v xml:space="preserve"> </v>
      </c>
      <c r="R399" s="100" t="str">
        <f>IFERROR(VLOOKUP(Tablo520[[#This Row],[ÜRÜN KODU]],YMKODLARI!$A$1:$K$373,6,0)," ")</f>
        <v xml:space="preserve"> </v>
      </c>
      <c r="S399" s="100" t="str">
        <f>IFERROR(Tablo520[[#This Row],[YOLLUK HARİÇ BASKI GRAMI]]/Tablo520[[#This Row],[KALIP GÖZ ADEDİ]]," ")</f>
        <v xml:space="preserve"> </v>
      </c>
      <c r="T399" s="100" t="str">
        <f t="shared" si="44"/>
        <v xml:space="preserve"> </v>
      </c>
      <c r="U399" s="100"/>
      <c r="V399" s="100" t="str">
        <f t="shared" si="43"/>
        <v xml:space="preserve"> </v>
      </c>
      <c r="W399" s="101">
        <f t="shared" si="45"/>
        <v>24</v>
      </c>
      <c r="X399" s="102">
        <f t="shared" si="46"/>
        <v>0</v>
      </c>
      <c r="Y399" s="100" t="str">
        <f t="shared" si="47"/>
        <v xml:space="preserve"> </v>
      </c>
      <c r="Z399" s="100" t="str">
        <f t="shared" si="48"/>
        <v xml:space="preserve"> </v>
      </c>
    </row>
    <row r="400" spans="1:26">
      <c r="A400" s="100"/>
      <c r="B400" s="100" t="str">
        <f>IFERROR(VLOOKUP(Tablo520[[#This Row],[ÜRÜN KODU]],YMKODLARI!$A$1:$K$373,2,0)," ")</f>
        <v xml:space="preserve"> </v>
      </c>
      <c r="C400" s="99"/>
      <c r="D400" s="100"/>
      <c r="E400" s="101"/>
      <c r="F400" s="101"/>
      <c r="G400" s="100" t="str">
        <f>IFERROR(VLOOKUP(Tablo520[[#This Row],[ÜRÜN KODU]],YMKODLARI!$A$1:$K$373,3,0)," ")</f>
        <v xml:space="preserve"> </v>
      </c>
      <c r="H400" s="100" t="str">
        <f>IFERROR(VLOOKUP(Tablo520[[#This Row],[ÜRÜN KODU]],YMKODLARI!$A$1:$K$373,4,0)," ")</f>
        <v xml:space="preserve"> </v>
      </c>
      <c r="I400" s="100"/>
      <c r="J400" s="100" t="str">
        <f>IFERROR(VLOOKUP(Tablo520[[#This Row],[ÜRÜN KODU]],YMKODLARI!$A$1:$K$373,9,0)," ")</f>
        <v xml:space="preserve"> </v>
      </c>
      <c r="K400" s="100" t="str">
        <f>IFERROR(VLOOKUP(Tablo520[[#This Row],[BOYA KODU]],Tablo14[#All],4,0)," ")</f>
        <v xml:space="preserve"> </v>
      </c>
      <c r="L400" s="100" t="str">
        <f>IFERROR(VLOOKUP(Tablo520[[#This Row],[BOYA KODU]],Tablo14[#All],6,0)," ")</f>
        <v xml:space="preserve"> </v>
      </c>
      <c r="M400" s="100" t="str">
        <f t="shared" si="42"/>
        <v xml:space="preserve"> </v>
      </c>
      <c r="N400" s="100" t="str">
        <f>IFERROR(VLOOKUP(Tablo520[[#This Row],[ÜRÜN KODU]],YMKODLARI!$A$1:$K$373,8,0)," ")</f>
        <v xml:space="preserve"> </v>
      </c>
      <c r="O400" s="100" t="str">
        <f>IFERROR(VLOOKUP(Tablo520[[#This Row],[HAMMADDE KODU]],Tablo1[#All],3,0)," ")</f>
        <v xml:space="preserve"> </v>
      </c>
      <c r="P400" s="100" t="str">
        <f>IFERROR(VLOOKUP(Tablo520[[#This Row],[HAMMADDE KODU]],Tablo1[#All],4,0)," ")</f>
        <v xml:space="preserve"> </v>
      </c>
      <c r="Q400" s="100" t="str">
        <f>IFERROR(VLOOKUP(Tablo520[[#This Row],[ÜRÜN KODU]],YMKODLARI!$A$1:$K$373,5,0)," ")</f>
        <v xml:space="preserve"> </v>
      </c>
      <c r="R400" s="100" t="str">
        <f>IFERROR(VLOOKUP(Tablo520[[#This Row],[ÜRÜN KODU]],YMKODLARI!$A$1:$K$373,6,0)," ")</f>
        <v xml:space="preserve"> </v>
      </c>
      <c r="S400" s="100" t="str">
        <f>IFERROR(Tablo520[[#This Row],[YOLLUK HARİÇ BASKI GRAMI]]/Tablo520[[#This Row],[KALIP GÖZ ADEDİ]]," ")</f>
        <v xml:space="preserve"> </v>
      </c>
      <c r="T400" s="100" t="str">
        <f t="shared" si="44"/>
        <v xml:space="preserve"> </v>
      </c>
      <c r="U400" s="100"/>
      <c r="V400" s="100" t="str">
        <f t="shared" si="43"/>
        <v xml:space="preserve"> </v>
      </c>
      <c r="W400" s="101">
        <f t="shared" si="45"/>
        <v>24</v>
      </c>
      <c r="X400" s="102">
        <f t="shared" si="46"/>
        <v>0</v>
      </c>
      <c r="Y400" s="100" t="str">
        <f t="shared" si="47"/>
        <v xml:space="preserve"> </v>
      </c>
      <c r="Z400" s="100" t="str">
        <f t="shared" si="48"/>
        <v xml:space="preserve"> </v>
      </c>
    </row>
    <row r="401" spans="1:26">
      <c r="A401" s="100"/>
      <c r="B401" s="100" t="str">
        <f>IFERROR(VLOOKUP(Tablo520[[#This Row],[ÜRÜN KODU]],YMKODLARI!$A$1:$K$373,2,0)," ")</f>
        <v xml:space="preserve"> </v>
      </c>
      <c r="C401" s="99"/>
      <c r="D401" s="100"/>
      <c r="E401" s="101"/>
      <c r="F401" s="101"/>
      <c r="G401" s="100" t="str">
        <f>IFERROR(VLOOKUP(Tablo520[[#This Row],[ÜRÜN KODU]],YMKODLARI!$A$1:$K$373,3,0)," ")</f>
        <v xml:space="preserve"> </v>
      </c>
      <c r="H401" s="100" t="str">
        <f>IFERROR(VLOOKUP(Tablo520[[#This Row],[ÜRÜN KODU]],YMKODLARI!$A$1:$K$373,4,0)," ")</f>
        <v xml:space="preserve"> </v>
      </c>
      <c r="I401" s="100"/>
      <c r="J401" s="100" t="str">
        <f>IFERROR(VLOOKUP(Tablo520[[#This Row],[ÜRÜN KODU]],YMKODLARI!$A$1:$K$373,9,0)," ")</f>
        <v xml:space="preserve"> </v>
      </c>
      <c r="K401" s="100" t="str">
        <f>IFERROR(VLOOKUP(Tablo520[[#This Row],[BOYA KODU]],Tablo14[#All],4,0)," ")</f>
        <v xml:space="preserve"> </v>
      </c>
      <c r="L401" s="100" t="str">
        <f>IFERROR(VLOOKUP(Tablo520[[#This Row],[BOYA KODU]],Tablo14[#All],6,0)," ")</f>
        <v xml:space="preserve"> </v>
      </c>
      <c r="M401" s="100" t="str">
        <f t="shared" si="42"/>
        <v xml:space="preserve"> </v>
      </c>
      <c r="N401" s="100" t="str">
        <f>IFERROR(VLOOKUP(Tablo520[[#This Row],[ÜRÜN KODU]],YMKODLARI!$A$1:$K$373,8,0)," ")</f>
        <v xml:space="preserve"> </v>
      </c>
      <c r="O401" s="100" t="str">
        <f>IFERROR(VLOOKUP(Tablo520[[#This Row],[HAMMADDE KODU]],Tablo1[#All],3,0)," ")</f>
        <v xml:space="preserve"> </v>
      </c>
      <c r="P401" s="100" t="str">
        <f>IFERROR(VLOOKUP(Tablo520[[#This Row],[HAMMADDE KODU]],Tablo1[#All],4,0)," ")</f>
        <v xml:space="preserve"> </v>
      </c>
      <c r="Q401" s="100" t="str">
        <f>IFERROR(VLOOKUP(Tablo520[[#This Row],[ÜRÜN KODU]],YMKODLARI!$A$1:$K$373,5,0)," ")</f>
        <v xml:space="preserve"> </v>
      </c>
      <c r="R401" s="100" t="str">
        <f>IFERROR(VLOOKUP(Tablo520[[#This Row],[ÜRÜN KODU]],YMKODLARI!$A$1:$K$373,6,0)," ")</f>
        <v xml:space="preserve"> </v>
      </c>
      <c r="S401" s="100" t="str">
        <f>IFERROR(Tablo520[[#This Row],[YOLLUK HARİÇ BASKI GRAMI]]/Tablo520[[#This Row],[KALIP GÖZ ADEDİ]]," ")</f>
        <v xml:space="preserve"> </v>
      </c>
      <c r="T401" s="100" t="str">
        <f t="shared" si="44"/>
        <v xml:space="preserve"> </v>
      </c>
      <c r="U401" s="100"/>
      <c r="V401" s="100" t="str">
        <f t="shared" si="43"/>
        <v xml:space="preserve"> </v>
      </c>
      <c r="W401" s="101">
        <f t="shared" si="45"/>
        <v>24</v>
      </c>
      <c r="X401" s="102">
        <f t="shared" si="46"/>
        <v>0</v>
      </c>
      <c r="Y401" s="100" t="str">
        <f t="shared" si="47"/>
        <v xml:space="preserve"> </v>
      </c>
      <c r="Z401" s="100" t="str">
        <f t="shared" si="48"/>
        <v xml:space="preserve"> </v>
      </c>
    </row>
    <row r="402" spans="1:26">
      <c r="A402" s="100"/>
      <c r="B402" s="100" t="str">
        <f>IFERROR(VLOOKUP(Tablo520[[#This Row],[ÜRÜN KODU]],YMKODLARI!$A$1:$K$373,2,0)," ")</f>
        <v xml:space="preserve"> </v>
      </c>
      <c r="C402" s="99"/>
      <c r="D402" s="100"/>
      <c r="E402" s="101"/>
      <c r="F402" s="101"/>
      <c r="G402" s="100" t="str">
        <f>IFERROR(VLOOKUP(Tablo520[[#This Row],[ÜRÜN KODU]],YMKODLARI!$A$1:$K$373,3,0)," ")</f>
        <v xml:space="preserve"> </v>
      </c>
      <c r="H402" s="100" t="str">
        <f>IFERROR(VLOOKUP(Tablo520[[#This Row],[ÜRÜN KODU]],YMKODLARI!$A$1:$K$373,4,0)," ")</f>
        <v xml:space="preserve"> </v>
      </c>
      <c r="I402" s="100"/>
      <c r="J402" s="100" t="str">
        <f>IFERROR(VLOOKUP(Tablo520[[#This Row],[ÜRÜN KODU]],YMKODLARI!$A$1:$K$373,9,0)," ")</f>
        <v xml:space="preserve"> </v>
      </c>
      <c r="K402" s="100" t="str">
        <f>IFERROR(VLOOKUP(Tablo520[[#This Row],[BOYA KODU]],Tablo14[#All],4,0)," ")</f>
        <v xml:space="preserve"> </v>
      </c>
      <c r="L402" s="100" t="str">
        <f>IFERROR(VLOOKUP(Tablo520[[#This Row],[BOYA KODU]],Tablo14[#All],6,0)," ")</f>
        <v xml:space="preserve"> </v>
      </c>
      <c r="M402" s="100" t="str">
        <f t="shared" si="42"/>
        <v xml:space="preserve"> </v>
      </c>
      <c r="N402" s="100" t="str">
        <f>IFERROR(VLOOKUP(Tablo520[[#This Row],[ÜRÜN KODU]],YMKODLARI!$A$1:$K$373,8,0)," ")</f>
        <v xml:space="preserve"> </v>
      </c>
      <c r="O402" s="100" t="str">
        <f>IFERROR(VLOOKUP(Tablo520[[#This Row],[HAMMADDE KODU]],Tablo1[#All],3,0)," ")</f>
        <v xml:space="preserve"> </v>
      </c>
      <c r="P402" s="100" t="str">
        <f>IFERROR(VLOOKUP(Tablo520[[#This Row],[HAMMADDE KODU]],Tablo1[#All],4,0)," ")</f>
        <v xml:space="preserve"> </v>
      </c>
      <c r="Q402" s="100" t="str">
        <f>IFERROR(VLOOKUP(Tablo520[[#This Row],[ÜRÜN KODU]],YMKODLARI!$A$1:$K$373,5,0)," ")</f>
        <v xml:space="preserve"> </v>
      </c>
      <c r="R402" s="100" t="str">
        <f>IFERROR(VLOOKUP(Tablo520[[#This Row],[ÜRÜN KODU]],YMKODLARI!$A$1:$K$373,6,0)," ")</f>
        <v xml:space="preserve"> </v>
      </c>
      <c r="S402" s="100" t="str">
        <f>IFERROR(Tablo520[[#This Row],[YOLLUK HARİÇ BASKI GRAMI]]/Tablo520[[#This Row],[KALIP GÖZ ADEDİ]]," ")</f>
        <v xml:space="preserve"> </v>
      </c>
      <c r="T402" s="100" t="str">
        <f t="shared" si="44"/>
        <v xml:space="preserve"> </v>
      </c>
      <c r="U402" s="100"/>
      <c r="V402" s="100" t="str">
        <f t="shared" si="43"/>
        <v xml:space="preserve"> </v>
      </c>
      <c r="W402" s="101">
        <f t="shared" si="45"/>
        <v>24</v>
      </c>
      <c r="X402" s="102">
        <f t="shared" si="46"/>
        <v>0</v>
      </c>
      <c r="Y402" s="100" t="str">
        <f t="shared" si="47"/>
        <v xml:space="preserve"> </v>
      </c>
      <c r="Z402" s="100" t="str">
        <f t="shared" si="48"/>
        <v xml:space="preserve"> </v>
      </c>
    </row>
    <row r="403" spans="1:26">
      <c r="A403" s="100"/>
      <c r="B403" s="100" t="str">
        <f>IFERROR(VLOOKUP(Tablo520[[#This Row],[ÜRÜN KODU]],YMKODLARI!$A$1:$K$373,2,0)," ")</f>
        <v xml:space="preserve"> </v>
      </c>
      <c r="C403" s="99"/>
      <c r="D403" s="100"/>
      <c r="E403" s="101"/>
      <c r="F403" s="101"/>
      <c r="G403" s="100" t="str">
        <f>IFERROR(VLOOKUP(Tablo520[[#This Row],[ÜRÜN KODU]],YMKODLARI!$A$1:$K$373,3,0)," ")</f>
        <v xml:space="preserve"> </v>
      </c>
      <c r="H403" s="100" t="str">
        <f>IFERROR(VLOOKUP(Tablo520[[#This Row],[ÜRÜN KODU]],YMKODLARI!$A$1:$K$373,4,0)," ")</f>
        <v xml:space="preserve"> </v>
      </c>
      <c r="I403" s="100"/>
      <c r="J403" s="100" t="str">
        <f>IFERROR(VLOOKUP(Tablo520[[#This Row],[ÜRÜN KODU]],YMKODLARI!$A$1:$K$373,9,0)," ")</f>
        <v xml:space="preserve"> </v>
      </c>
      <c r="K403" s="100" t="str">
        <f>IFERROR(VLOOKUP(Tablo520[[#This Row],[BOYA KODU]],Tablo14[#All],4,0)," ")</f>
        <v xml:space="preserve"> </v>
      </c>
      <c r="L403" s="100" t="str">
        <f>IFERROR(VLOOKUP(Tablo520[[#This Row],[BOYA KODU]],Tablo14[#All],6,0)," ")</f>
        <v xml:space="preserve"> </v>
      </c>
      <c r="M403" s="100" t="str">
        <f t="shared" si="42"/>
        <v xml:space="preserve"> </v>
      </c>
      <c r="N403" s="100" t="str">
        <f>IFERROR(VLOOKUP(Tablo520[[#This Row],[ÜRÜN KODU]],YMKODLARI!$A$1:$K$373,8,0)," ")</f>
        <v xml:space="preserve"> </v>
      </c>
      <c r="O403" s="100" t="str">
        <f>IFERROR(VLOOKUP(Tablo520[[#This Row],[HAMMADDE KODU]],Tablo1[#All],3,0)," ")</f>
        <v xml:space="preserve"> </v>
      </c>
      <c r="P403" s="100" t="str">
        <f>IFERROR(VLOOKUP(Tablo520[[#This Row],[HAMMADDE KODU]],Tablo1[#All],4,0)," ")</f>
        <v xml:space="preserve"> </v>
      </c>
      <c r="Q403" s="100" t="str">
        <f>IFERROR(VLOOKUP(Tablo520[[#This Row],[ÜRÜN KODU]],YMKODLARI!$A$1:$K$373,5,0)," ")</f>
        <v xml:space="preserve"> </v>
      </c>
      <c r="R403" s="100" t="str">
        <f>IFERROR(VLOOKUP(Tablo520[[#This Row],[ÜRÜN KODU]],YMKODLARI!$A$1:$K$373,6,0)," ")</f>
        <v xml:space="preserve"> </v>
      </c>
      <c r="S403" s="100" t="str">
        <f>IFERROR(Tablo520[[#This Row],[YOLLUK HARİÇ BASKI GRAMI]]/Tablo520[[#This Row],[KALIP GÖZ ADEDİ]]," ")</f>
        <v xml:space="preserve"> </v>
      </c>
      <c r="T403" s="100" t="str">
        <f t="shared" si="44"/>
        <v xml:space="preserve"> </v>
      </c>
      <c r="U403" s="100"/>
      <c r="V403" s="100" t="str">
        <f t="shared" si="43"/>
        <v xml:space="preserve"> </v>
      </c>
      <c r="W403" s="101">
        <f t="shared" si="45"/>
        <v>24</v>
      </c>
      <c r="X403" s="102">
        <f t="shared" si="46"/>
        <v>0</v>
      </c>
      <c r="Y403" s="100" t="str">
        <f t="shared" si="47"/>
        <v xml:space="preserve"> </v>
      </c>
      <c r="Z403" s="100" t="str">
        <f t="shared" si="48"/>
        <v xml:space="preserve"> </v>
      </c>
    </row>
    <row r="404" spans="1:26">
      <c r="A404" s="100"/>
      <c r="B404" s="100" t="str">
        <f>IFERROR(VLOOKUP(Tablo520[[#This Row],[ÜRÜN KODU]],YMKODLARI!$A$1:$K$373,2,0)," ")</f>
        <v xml:space="preserve"> </v>
      </c>
      <c r="C404" s="99"/>
      <c r="D404" s="100"/>
      <c r="E404" s="101"/>
      <c r="F404" s="101"/>
      <c r="G404" s="100" t="str">
        <f>IFERROR(VLOOKUP(Tablo520[[#This Row],[ÜRÜN KODU]],YMKODLARI!$A$1:$K$373,3,0)," ")</f>
        <v xml:space="preserve"> </v>
      </c>
      <c r="H404" s="100" t="str">
        <f>IFERROR(VLOOKUP(Tablo520[[#This Row],[ÜRÜN KODU]],YMKODLARI!$A$1:$K$373,4,0)," ")</f>
        <v xml:space="preserve"> </v>
      </c>
      <c r="I404" s="100"/>
      <c r="J404" s="100" t="str">
        <f>IFERROR(VLOOKUP(Tablo520[[#This Row],[ÜRÜN KODU]],YMKODLARI!$A$1:$K$373,9,0)," ")</f>
        <v xml:space="preserve"> </v>
      </c>
      <c r="K404" s="100" t="str">
        <f>IFERROR(VLOOKUP(Tablo520[[#This Row],[BOYA KODU]],Tablo14[#All],4,0)," ")</f>
        <v xml:space="preserve"> </v>
      </c>
      <c r="L404" s="100" t="str">
        <f>IFERROR(VLOOKUP(Tablo520[[#This Row],[BOYA KODU]],Tablo14[#All],6,0)," ")</f>
        <v xml:space="preserve"> </v>
      </c>
      <c r="M404" s="100" t="str">
        <f t="shared" si="42"/>
        <v xml:space="preserve"> </v>
      </c>
      <c r="N404" s="100" t="str">
        <f>IFERROR(VLOOKUP(Tablo520[[#This Row],[ÜRÜN KODU]],YMKODLARI!$A$1:$K$373,8,0)," ")</f>
        <v xml:space="preserve"> </v>
      </c>
      <c r="O404" s="100" t="str">
        <f>IFERROR(VLOOKUP(Tablo520[[#This Row],[HAMMADDE KODU]],Tablo1[#All],3,0)," ")</f>
        <v xml:space="preserve"> </v>
      </c>
      <c r="P404" s="100" t="str">
        <f>IFERROR(VLOOKUP(Tablo520[[#This Row],[HAMMADDE KODU]],Tablo1[#All],4,0)," ")</f>
        <v xml:space="preserve"> </v>
      </c>
      <c r="Q404" s="100" t="str">
        <f>IFERROR(VLOOKUP(Tablo520[[#This Row],[ÜRÜN KODU]],YMKODLARI!$A$1:$K$373,5,0)," ")</f>
        <v xml:space="preserve"> </v>
      </c>
      <c r="R404" s="100" t="str">
        <f>IFERROR(VLOOKUP(Tablo520[[#This Row],[ÜRÜN KODU]],YMKODLARI!$A$1:$K$373,6,0)," ")</f>
        <v xml:space="preserve"> </v>
      </c>
      <c r="S404" s="100" t="str">
        <f>IFERROR(Tablo520[[#This Row],[YOLLUK HARİÇ BASKI GRAMI]]/Tablo520[[#This Row],[KALIP GÖZ ADEDİ]]," ")</f>
        <v xml:space="preserve"> </v>
      </c>
      <c r="T404" s="100" t="str">
        <f t="shared" si="44"/>
        <v xml:space="preserve"> </v>
      </c>
      <c r="U404" s="100"/>
      <c r="V404" s="100" t="str">
        <f t="shared" si="43"/>
        <v xml:space="preserve"> </v>
      </c>
      <c r="W404" s="101">
        <f t="shared" si="45"/>
        <v>24</v>
      </c>
      <c r="X404" s="102">
        <f t="shared" si="46"/>
        <v>0</v>
      </c>
      <c r="Y404" s="100" t="str">
        <f t="shared" si="47"/>
        <v xml:space="preserve"> </v>
      </c>
      <c r="Z404" s="100" t="str">
        <f t="shared" si="48"/>
        <v xml:space="preserve"> </v>
      </c>
    </row>
    <row r="405" spans="1:26">
      <c r="A405" s="100"/>
      <c r="B405" s="100" t="str">
        <f>IFERROR(VLOOKUP(Tablo520[[#This Row],[ÜRÜN KODU]],YMKODLARI!$A$1:$K$373,2,0)," ")</f>
        <v xml:space="preserve"> </v>
      </c>
      <c r="C405" s="99"/>
      <c r="D405" s="100"/>
      <c r="E405" s="101"/>
      <c r="F405" s="101"/>
      <c r="G405" s="100" t="str">
        <f>IFERROR(VLOOKUP(Tablo520[[#This Row],[ÜRÜN KODU]],YMKODLARI!$A$1:$K$373,3,0)," ")</f>
        <v xml:space="preserve"> </v>
      </c>
      <c r="H405" s="100" t="str">
        <f>IFERROR(VLOOKUP(Tablo520[[#This Row],[ÜRÜN KODU]],YMKODLARI!$A$1:$K$373,4,0)," ")</f>
        <v xml:space="preserve"> </v>
      </c>
      <c r="I405" s="100"/>
      <c r="J405" s="100" t="str">
        <f>IFERROR(VLOOKUP(Tablo520[[#This Row],[ÜRÜN KODU]],YMKODLARI!$A$1:$K$373,9,0)," ")</f>
        <v xml:space="preserve"> </v>
      </c>
      <c r="K405" s="100" t="str">
        <f>IFERROR(VLOOKUP(Tablo520[[#This Row],[BOYA KODU]],Tablo14[#All],4,0)," ")</f>
        <v xml:space="preserve"> </v>
      </c>
      <c r="L405" s="100" t="str">
        <f>IFERROR(VLOOKUP(Tablo520[[#This Row],[BOYA KODU]],Tablo14[#All],6,0)," ")</f>
        <v xml:space="preserve"> </v>
      </c>
      <c r="M405" s="100" t="str">
        <f t="shared" si="42"/>
        <v xml:space="preserve"> </v>
      </c>
      <c r="N405" s="100" t="str">
        <f>IFERROR(VLOOKUP(Tablo520[[#This Row],[ÜRÜN KODU]],YMKODLARI!$A$1:$K$373,8,0)," ")</f>
        <v xml:space="preserve"> </v>
      </c>
      <c r="O405" s="100" t="str">
        <f>IFERROR(VLOOKUP(Tablo520[[#This Row],[HAMMADDE KODU]],Tablo1[#All],3,0)," ")</f>
        <v xml:space="preserve"> </v>
      </c>
      <c r="P405" s="100" t="str">
        <f>IFERROR(VLOOKUP(Tablo520[[#This Row],[HAMMADDE KODU]],Tablo1[#All],4,0)," ")</f>
        <v xml:space="preserve"> </v>
      </c>
      <c r="Q405" s="100" t="str">
        <f>IFERROR(VLOOKUP(Tablo520[[#This Row],[ÜRÜN KODU]],YMKODLARI!$A$1:$K$373,5,0)," ")</f>
        <v xml:space="preserve"> </v>
      </c>
      <c r="R405" s="100" t="str">
        <f>IFERROR(VLOOKUP(Tablo520[[#This Row],[ÜRÜN KODU]],YMKODLARI!$A$1:$K$373,6,0)," ")</f>
        <v xml:space="preserve"> </v>
      </c>
      <c r="S405" s="100" t="str">
        <f>IFERROR(Tablo520[[#This Row],[YOLLUK HARİÇ BASKI GRAMI]]/Tablo520[[#This Row],[KALIP GÖZ ADEDİ]]," ")</f>
        <v xml:space="preserve"> </v>
      </c>
      <c r="T405" s="100" t="str">
        <f t="shared" si="44"/>
        <v xml:space="preserve"> </v>
      </c>
      <c r="U405" s="100"/>
      <c r="V405" s="100" t="str">
        <f t="shared" si="43"/>
        <v xml:space="preserve"> </v>
      </c>
      <c r="W405" s="101">
        <f t="shared" si="45"/>
        <v>24</v>
      </c>
      <c r="X405" s="102">
        <f t="shared" si="46"/>
        <v>0</v>
      </c>
      <c r="Y405" s="100" t="str">
        <f t="shared" si="47"/>
        <v xml:space="preserve"> </v>
      </c>
      <c r="Z405" s="100" t="str">
        <f t="shared" si="48"/>
        <v xml:space="preserve"> </v>
      </c>
    </row>
    <row r="406" spans="1:26">
      <c r="A406" s="100"/>
      <c r="B406" s="100" t="str">
        <f>IFERROR(VLOOKUP(Tablo520[[#This Row],[ÜRÜN KODU]],YMKODLARI!$A$1:$K$373,2,0)," ")</f>
        <v xml:space="preserve"> </v>
      </c>
      <c r="C406" s="99"/>
      <c r="D406" s="100"/>
      <c r="E406" s="101"/>
      <c r="F406" s="101"/>
      <c r="G406" s="100" t="str">
        <f>IFERROR(VLOOKUP(Tablo520[[#This Row],[ÜRÜN KODU]],YMKODLARI!$A$1:$K$373,3,0)," ")</f>
        <v xml:space="preserve"> </v>
      </c>
      <c r="H406" s="100" t="str">
        <f>IFERROR(VLOOKUP(Tablo520[[#This Row],[ÜRÜN KODU]],YMKODLARI!$A$1:$K$373,4,0)," ")</f>
        <v xml:space="preserve"> </v>
      </c>
      <c r="I406" s="100"/>
      <c r="J406" s="100" t="str">
        <f>IFERROR(VLOOKUP(Tablo520[[#This Row],[ÜRÜN KODU]],YMKODLARI!$A$1:$K$373,9,0)," ")</f>
        <v xml:space="preserve"> </v>
      </c>
      <c r="K406" s="100" t="str">
        <f>IFERROR(VLOOKUP(Tablo520[[#This Row],[BOYA KODU]],Tablo14[#All],4,0)," ")</f>
        <v xml:space="preserve"> </v>
      </c>
      <c r="L406" s="100" t="str">
        <f>IFERROR(VLOOKUP(Tablo520[[#This Row],[BOYA KODU]],Tablo14[#All],6,0)," ")</f>
        <v xml:space="preserve"> </v>
      </c>
      <c r="M406" s="100" t="str">
        <f t="shared" si="42"/>
        <v xml:space="preserve"> </v>
      </c>
      <c r="N406" s="100" t="str">
        <f>IFERROR(VLOOKUP(Tablo520[[#This Row],[ÜRÜN KODU]],YMKODLARI!$A$1:$K$373,8,0)," ")</f>
        <v xml:space="preserve"> </v>
      </c>
      <c r="O406" s="100" t="str">
        <f>IFERROR(VLOOKUP(Tablo520[[#This Row],[HAMMADDE KODU]],Tablo1[#All],3,0)," ")</f>
        <v xml:space="preserve"> </v>
      </c>
      <c r="P406" s="100" t="str">
        <f>IFERROR(VLOOKUP(Tablo520[[#This Row],[HAMMADDE KODU]],Tablo1[#All],4,0)," ")</f>
        <v xml:space="preserve"> </v>
      </c>
      <c r="Q406" s="100" t="str">
        <f>IFERROR(VLOOKUP(Tablo520[[#This Row],[ÜRÜN KODU]],YMKODLARI!$A$1:$K$373,5,0)," ")</f>
        <v xml:space="preserve"> </v>
      </c>
      <c r="R406" s="100" t="str">
        <f>IFERROR(VLOOKUP(Tablo520[[#This Row],[ÜRÜN KODU]],YMKODLARI!$A$1:$K$373,6,0)," ")</f>
        <v xml:space="preserve"> </v>
      </c>
      <c r="S406" s="100" t="str">
        <f>IFERROR(Tablo520[[#This Row],[YOLLUK HARİÇ BASKI GRAMI]]/Tablo520[[#This Row],[KALIP GÖZ ADEDİ]]," ")</f>
        <v xml:space="preserve"> </v>
      </c>
      <c r="T406" s="100" t="str">
        <f t="shared" si="44"/>
        <v xml:space="preserve"> </v>
      </c>
      <c r="U406" s="100"/>
      <c r="V406" s="100" t="str">
        <f t="shared" si="43"/>
        <v xml:space="preserve"> </v>
      </c>
      <c r="W406" s="101">
        <f t="shared" si="45"/>
        <v>24</v>
      </c>
      <c r="X406" s="102">
        <f t="shared" si="46"/>
        <v>0</v>
      </c>
      <c r="Y406" s="100" t="str">
        <f t="shared" si="47"/>
        <v xml:space="preserve"> </v>
      </c>
      <c r="Z406" s="100" t="str">
        <f t="shared" si="48"/>
        <v xml:space="preserve"> </v>
      </c>
    </row>
    <row r="407" spans="1:26">
      <c r="A407" s="100"/>
      <c r="B407" s="100" t="str">
        <f>IFERROR(VLOOKUP(Tablo520[[#This Row],[ÜRÜN KODU]],YMKODLARI!$A$1:$K$373,2,0)," ")</f>
        <v xml:space="preserve"> </v>
      </c>
      <c r="C407" s="99"/>
      <c r="D407" s="100"/>
      <c r="E407" s="101"/>
      <c r="F407" s="101"/>
      <c r="G407" s="100" t="str">
        <f>IFERROR(VLOOKUP(Tablo520[[#This Row],[ÜRÜN KODU]],YMKODLARI!$A$1:$K$373,3,0)," ")</f>
        <v xml:space="preserve"> </v>
      </c>
      <c r="H407" s="100" t="str">
        <f>IFERROR(VLOOKUP(Tablo520[[#This Row],[ÜRÜN KODU]],YMKODLARI!$A$1:$K$373,4,0)," ")</f>
        <v xml:space="preserve"> </v>
      </c>
      <c r="I407" s="100"/>
      <c r="J407" s="100" t="str">
        <f>IFERROR(VLOOKUP(Tablo520[[#This Row],[ÜRÜN KODU]],YMKODLARI!$A$1:$K$373,9,0)," ")</f>
        <v xml:space="preserve"> </v>
      </c>
      <c r="K407" s="100" t="str">
        <f>IFERROR(VLOOKUP(Tablo520[[#This Row],[BOYA KODU]],Tablo14[#All],4,0)," ")</f>
        <v xml:space="preserve"> </v>
      </c>
      <c r="L407" s="100" t="str">
        <f>IFERROR(VLOOKUP(Tablo520[[#This Row],[BOYA KODU]],Tablo14[#All],6,0)," ")</f>
        <v xml:space="preserve"> </v>
      </c>
      <c r="M407" s="100" t="str">
        <f t="shared" si="42"/>
        <v xml:space="preserve"> </v>
      </c>
      <c r="N407" s="100" t="str">
        <f>IFERROR(VLOOKUP(Tablo520[[#This Row],[ÜRÜN KODU]],YMKODLARI!$A$1:$K$373,8,0)," ")</f>
        <v xml:space="preserve"> </v>
      </c>
      <c r="O407" s="100" t="str">
        <f>IFERROR(VLOOKUP(Tablo520[[#This Row],[HAMMADDE KODU]],Tablo1[#All],3,0)," ")</f>
        <v xml:space="preserve"> </v>
      </c>
      <c r="P407" s="100" t="str">
        <f>IFERROR(VLOOKUP(Tablo520[[#This Row],[HAMMADDE KODU]],Tablo1[#All],4,0)," ")</f>
        <v xml:space="preserve"> </v>
      </c>
      <c r="Q407" s="100" t="str">
        <f>IFERROR(VLOOKUP(Tablo520[[#This Row],[ÜRÜN KODU]],YMKODLARI!$A$1:$K$373,5,0)," ")</f>
        <v xml:space="preserve"> </v>
      </c>
      <c r="R407" s="100" t="str">
        <f>IFERROR(VLOOKUP(Tablo520[[#This Row],[ÜRÜN KODU]],YMKODLARI!$A$1:$K$373,6,0)," ")</f>
        <v xml:space="preserve"> </v>
      </c>
      <c r="S407" s="100" t="str">
        <f>IFERROR(Tablo520[[#This Row],[YOLLUK HARİÇ BASKI GRAMI]]/Tablo520[[#This Row],[KALIP GÖZ ADEDİ]]," ")</f>
        <v xml:space="preserve"> </v>
      </c>
      <c r="T407" s="100" t="str">
        <f t="shared" si="44"/>
        <v xml:space="preserve"> </v>
      </c>
      <c r="U407" s="100"/>
      <c r="V407" s="100" t="str">
        <f t="shared" si="43"/>
        <v xml:space="preserve"> </v>
      </c>
      <c r="W407" s="101">
        <f t="shared" si="45"/>
        <v>24</v>
      </c>
      <c r="X407" s="102">
        <f t="shared" si="46"/>
        <v>0</v>
      </c>
      <c r="Y407" s="100" t="str">
        <f t="shared" si="47"/>
        <v xml:space="preserve"> </v>
      </c>
      <c r="Z407" s="100" t="str">
        <f t="shared" si="48"/>
        <v xml:space="preserve"> </v>
      </c>
    </row>
    <row r="408" spans="1:26">
      <c r="A408" s="100"/>
      <c r="B408" s="100" t="str">
        <f>IFERROR(VLOOKUP(Tablo520[[#This Row],[ÜRÜN KODU]],YMKODLARI!$A$1:$K$373,2,0)," ")</f>
        <v xml:space="preserve"> </v>
      </c>
      <c r="C408" s="99"/>
      <c r="D408" s="100"/>
      <c r="E408" s="101"/>
      <c r="F408" s="101"/>
      <c r="G408" s="100" t="str">
        <f>IFERROR(VLOOKUP(Tablo520[[#This Row],[ÜRÜN KODU]],YMKODLARI!$A$1:$K$373,3,0)," ")</f>
        <v xml:space="preserve"> </v>
      </c>
      <c r="H408" s="100" t="str">
        <f>IFERROR(VLOOKUP(Tablo520[[#This Row],[ÜRÜN KODU]],YMKODLARI!$A$1:$K$373,4,0)," ")</f>
        <v xml:space="preserve"> </v>
      </c>
      <c r="I408" s="100"/>
      <c r="J408" s="100" t="str">
        <f>IFERROR(VLOOKUP(Tablo520[[#This Row],[ÜRÜN KODU]],YMKODLARI!$A$1:$K$373,9,0)," ")</f>
        <v xml:space="preserve"> </v>
      </c>
      <c r="K408" s="100" t="str">
        <f>IFERROR(VLOOKUP(Tablo520[[#This Row],[BOYA KODU]],Tablo14[#All],4,0)," ")</f>
        <v xml:space="preserve"> </v>
      </c>
      <c r="L408" s="100" t="str">
        <f>IFERROR(VLOOKUP(Tablo520[[#This Row],[BOYA KODU]],Tablo14[#All],6,0)," ")</f>
        <v xml:space="preserve"> </v>
      </c>
      <c r="M408" s="100" t="str">
        <f t="shared" si="42"/>
        <v xml:space="preserve"> </v>
      </c>
      <c r="N408" s="100" t="str">
        <f>IFERROR(VLOOKUP(Tablo520[[#This Row],[ÜRÜN KODU]],YMKODLARI!$A$1:$K$373,8,0)," ")</f>
        <v xml:space="preserve"> </v>
      </c>
      <c r="O408" s="100" t="str">
        <f>IFERROR(VLOOKUP(Tablo520[[#This Row],[HAMMADDE KODU]],Tablo1[#All],3,0)," ")</f>
        <v xml:space="preserve"> </v>
      </c>
      <c r="P408" s="100" t="str">
        <f>IFERROR(VLOOKUP(Tablo520[[#This Row],[HAMMADDE KODU]],Tablo1[#All],4,0)," ")</f>
        <v xml:space="preserve"> </v>
      </c>
      <c r="Q408" s="100" t="str">
        <f>IFERROR(VLOOKUP(Tablo520[[#This Row],[ÜRÜN KODU]],YMKODLARI!$A$1:$K$373,5,0)," ")</f>
        <v xml:space="preserve"> </v>
      </c>
      <c r="R408" s="100" t="str">
        <f>IFERROR(VLOOKUP(Tablo520[[#This Row],[ÜRÜN KODU]],YMKODLARI!$A$1:$K$373,6,0)," ")</f>
        <v xml:space="preserve"> </v>
      </c>
      <c r="S408" s="100" t="str">
        <f>IFERROR(Tablo520[[#This Row],[YOLLUK HARİÇ BASKI GRAMI]]/Tablo520[[#This Row],[KALIP GÖZ ADEDİ]]," ")</f>
        <v xml:space="preserve"> </v>
      </c>
      <c r="T408" s="100" t="str">
        <f t="shared" si="44"/>
        <v xml:space="preserve"> </v>
      </c>
      <c r="U408" s="100"/>
      <c r="V408" s="100" t="str">
        <f t="shared" si="43"/>
        <v xml:space="preserve"> </v>
      </c>
      <c r="W408" s="101">
        <f t="shared" si="45"/>
        <v>24</v>
      </c>
      <c r="X408" s="102">
        <f t="shared" si="46"/>
        <v>0</v>
      </c>
      <c r="Y408" s="100" t="str">
        <f t="shared" si="47"/>
        <v xml:space="preserve"> </v>
      </c>
      <c r="Z408" s="100" t="str">
        <f t="shared" si="48"/>
        <v xml:space="preserve"> </v>
      </c>
    </row>
    <row r="409" spans="1:26">
      <c r="A409" s="100"/>
      <c r="B409" s="100" t="str">
        <f>IFERROR(VLOOKUP(Tablo520[[#This Row],[ÜRÜN KODU]],YMKODLARI!$A$1:$K$373,2,0)," ")</f>
        <v xml:space="preserve"> </v>
      </c>
      <c r="C409" s="99"/>
      <c r="D409" s="100"/>
      <c r="E409" s="101"/>
      <c r="F409" s="101"/>
      <c r="G409" s="100" t="str">
        <f>IFERROR(VLOOKUP(Tablo520[[#This Row],[ÜRÜN KODU]],YMKODLARI!$A$1:$K$373,3,0)," ")</f>
        <v xml:space="preserve"> </v>
      </c>
      <c r="H409" s="100" t="str">
        <f>IFERROR(VLOOKUP(Tablo520[[#This Row],[ÜRÜN KODU]],YMKODLARI!$A$1:$K$373,4,0)," ")</f>
        <v xml:space="preserve"> </v>
      </c>
      <c r="I409" s="100"/>
      <c r="J409" s="100" t="str">
        <f>IFERROR(VLOOKUP(Tablo520[[#This Row],[ÜRÜN KODU]],YMKODLARI!$A$1:$K$373,9,0)," ")</f>
        <v xml:space="preserve"> </v>
      </c>
      <c r="K409" s="100" t="str">
        <f>IFERROR(VLOOKUP(Tablo520[[#This Row],[BOYA KODU]],Tablo14[#All],4,0)," ")</f>
        <v xml:space="preserve"> </v>
      </c>
      <c r="L409" s="100" t="str">
        <f>IFERROR(VLOOKUP(Tablo520[[#This Row],[BOYA KODU]],Tablo14[#All],6,0)," ")</f>
        <v xml:space="preserve"> </v>
      </c>
      <c r="M409" s="100" t="str">
        <f t="shared" si="42"/>
        <v xml:space="preserve"> </v>
      </c>
      <c r="N409" s="100" t="str">
        <f>IFERROR(VLOOKUP(Tablo520[[#This Row],[ÜRÜN KODU]],YMKODLARI!$A$1:$K$373,8,0)," ")</f>
        <v xml:space="preserve"> </v>
      </c>
      <c r="O409" s="100" t="str">
        <f>IFERROR(VLOOKUP(Tablo520[[#This Row],[HAMMADDE KODU]],Tablo1[#All],3,0)," ")</f>
        <v xml:space="preserve"> </v>
      </c>
      <c r="P409" s="100" t="str">
        <f>IFERROR(VLOOKUP(Tablo520[[#This Row],[HAMMADDE KODU]],Tablo1[#All],4,0)," ")</f>
        <v xml:space="preserve"> </v>
      </c>
      <c r="Q409" s="100" t="str">
        <f>IFERROR(VLOOKUP(Tablo520[[#This Row],[ÜRÜN KODU]],YMKODLARI!$A$1:$K$373,5,0)," ")</f>
        <v xml:space="preserve"> </v>
      </c>
      <c r="R409" s="100" t="str">
        <f>IFERROR(VLOOKUP(Tablo520[[#This Row],[ÜRÜN KODU]],YMKODLARI!$A$1:$K$373,6,0)," ")</f>
        <v xml:space="preserve"> </v>
      </c>
      <c r="S409" s="100" t="str">
        <f>IFERROR(Tablo520[[#This Row],[YOLLUK HARİÇ BASKI GRAMI]]/Tablo520[[#This Row],[KALIP GÖZ ADEDİ]]," ")</f>
        <v xml:space="preserve"> </v>
      </c>
      <c r="T409" s="100" t="str">
        <f t="shared" si="44"/>
        <v xml:space="preserve"> </v>
      </c>
      <c r="U409" s="100"/>
      <c r="V409" s="100" t="str">
        <f t="shared" si="43"/>
        <v xml:space="preserve"> </v>
      </c>
      <c r="W409" s="101">
        <f t="shared" si="45"/>
        <v>24</v>
      </c>
      <c r="X409" s="102">
        <f t="shared" si="46"/>
        <v>0</v>
      </c>
      <c r="Y409" s="100" t="str">
        <f t="shared" si="47"/>
        <v xml:space="preserve"> </v>
      </c>
      <c r="Z409" s="100" t="str">
        <f t="shared" si="48"/>
        <v xml:space="preserve"> </v>
      </c>
    </row>
    <row r="410" spans="1:26">
      <c r="A410" s="100"/>
      <c r="B410" s="100" t="str">
        <f>IFERROR(VLOOKUP(Tablo520[[#This Row],[ÜRÜN KODU]],YMKODLARI!$A$1:$K$373,2,0)," ")</f>
        <v xml:space="preserve"> </v>
      </c>
      <c r="C410" s="99"/>
      <c r="D410" s="100"/>
      <c r="E410" s="101"/>
      <c r="F410" s="101"/>
      <c r="G410" s="100" t="str">
        <f>IFERROR(VLOOKUP(Tablo520[[#This Row],[ÜRÜN KODU]],YMKODLARI!$A$1:$K$373,3,0)," ")</f>
        <v xml:space="preserve"> </v>
      </c>
      <c r="H410" s="100" t="str">
        <f>IFERROR(VLOOKUP(Tablo520[[#This Row],[ÜRÜN KODU]],YMKODLARI!$A$1:$K$373,4,0)," ")</f>
        <v xml:space="preserve"> </v>
      </c>
      <c r="I410" s="100"/>
      <c r="J410" s="100" t="str">
        <f>IFERROR(VLOOKUP(Tablo520[[#This Row],[ÜRÜN KODU]],YMKODLARI!$A$1:$K$373,9,0)," ")</f>
        <v xml:space="preserve"> </v>
      </c>
      <c r="K410" s="100" t="str">
        <f>IFERROR(VLOOKUP(Tablo520[[#This Row],[BOYA KODU]],Tablo14[#All],4,0)," ")</f>
        <v xml:space="preserve"> </v>
      </c>
      <c r="L410" s="100" t="str">
        <f>IFERROR(VLOOKUP(Tablo520[[#This Row],[BOYA KODU]],Tablo14[#All],6,0)," ")</f>
        <v xml:space="preserve"> </v>
      </c>
      <c r="M410" s="100" t="str">
        <f t="shared" si="42"/>
        <v xml:space="preserve"> </v>
      </c>
      <c r="N410" s="100" t="str">
        <f>IFERROR(VLOOKUP(Tablo520[[#This Row],[ÜRÜN KODU]],YMKODLARI!$A$1:$K$373,8,0)," ")</f>
        <v xml:space="preserve"> </v>
      </c>
      <c r="O410" s="100" t="str">
        <f>IFERROR(VLOOKUP(Tablo520[[#This Row],[HAMMADDE KODU]],Tablo1[#All],3,0)," ")</f>
        <v xml:space="preserve"> </v>
      </c>
      <c r="P410" s="100" t="str">
        <f>IFERROR(VLOOKUP(Tablo520[[#This Row],[HAMMADDE KODU]],Tablo1[#All],4,0)," ")</f>
        <v xml:space="preserve"> </v>
      </c>
      <c r="Q410" s="100" t="str">
        <f>IFERROR(VLOOKUP(Tablo520[[#This Row],[ÜRÜN KODU]],YMKODLARI!$A$1:$K$373,5,0)," ")</f>
        <v xml:space="preserve"> </v>
      </c>
      <c r="R410" s="100" t="str">
        <f>IFERROR(VLOOKUP(Tablo520[[#This Row],[ÜRÜN KODU]],YMKODLARI!$A$1:$K$373,6,0)," ")</f>
        <v xml:space="preserve"> </v>
      </c>
      <c r="S410" s="100" t="str">
        <f>IFERROR(Tablo520[[#This Row],[YOLLUK HARİÇ BASKI GRAMI]]/Tablo520[[#This Row],[KALIP GÖZ ADEDİ]]," ")</f>
        <v xml:space="preserve"> </v>
      </c>
      <c r="T410" s="100" t="str">
        <f t="shared" si="44"/>
        <v xml:space="preserve"> </v>
      </c>
      <c r="U410" s="100"/>
      <c r="V410" s="100" t="str">
        <f t="shared" si="43"/>
        <v xml:space="preserve"> </v>
      </c>
      <c r="W410" s="101">
        <f t="shared" si="45"/>
        <v>24</v>
      </c>
      <c r="X410" s="102">
        <f t="shared" si="46"/>
        <v>0</v>
      </c>
      <c r="Y410" s="100" t="str">
        <f t="shared" si="47"/>
        <v xml:space="preserve"> </v>
      </c>
      <c r="Z410" s="100" t="str">
        <f t="shared" si="48"/>
        <v xml:space="preserve"> </v>
      </c>
    </row>
    <row r="411" spans="1:26">
      <c r="A411" s="100"/>
      <c r="B411" s="100" t="str">
        <f>IFERROR(VLOOKUP(Tablo520[[#This Row],[ÜRÜN KODU]],YMKODLARI!$A$1:$K$373,2,0)," ")</f>
        <v xml:space="preserve"> </v>
      </c>
      <c r="C411" s="99"/>
      <c r="D411" s="100"/>
      <c r="E411" s="101"/>
      <c r="F411" s="101"/>
      <c r="G411" s="100" t="str">
        <f>IFERROR(VLOOKUP(Tablo520[[#This Row],[ÜRÜN KODU]],YMKODLARI!$A$1:$K$373,3,0)," ")</f>
        <v xml:space="preserve"> </v>
      </c>
      <c r="H411" s="100" t="str">
        <f>IFERROR(VLOOKUP(Tablo520[[#This Row],[ÜRÜN KODU]],YMKODLARI!$A$1:$K$373,4,0)," ")</f>
        <v xml:space="preserve"> </v>
      </c>
      <c r="I411" s="100"/>
      <c r="J411" s="100" t="str">
        <f>IFERROR(VLOOKUP(Tablo520[[#This Row],[ÜRÜN KODU]],YMKODLARI!$A$1:$K$373,9,0)," ")</f>
        <v xml:space="preserve"> </v>
      </c>
      <c r="K411" s="100" t="str">
        <f>IFERROR(VLOOKUP(Tablo520[[#This Row],[BOYA KODU]],Tablo14[#All],4,0)," ")</f>
        <v xml:space="preserve"> </v>
      </c>
      <c r="L411" s="100" t="str">
        <f>IFERROR(VLOOKUP(Tablo520[[#This Row],[BOYA KODU]],Tablo14[#All],6,0)," ")</f>
        <v xml:space="preserve"> </v>
      </c>
      <c r="M411" s="100" t="str">
        <f t="shared" si="42"/>
        <v xml:space="preserve"> </v>
      </c>
      <c r="N411" s="100" t="str">
        <f>IFERROR(VLOOKUP(Tablo520[[#This Row],[ÜRÜN KODU]],YMKODLARI!$A$1:$K$373,8,0)," ")</f>
        <v xml:space="preserve"> </v>
      </c>
      <c r="O411" s="100" t="str">
        <f>IFERROR(VLOOKUP(Tablo520[[#This Row],[HAMMADDE KODU]],Tablo1[#All],3,0)," ")</f>
        <v xml:space="preserve"> </v>
      </c>
      <c r="P411" s="100" t="str">
        <f>IFERROR(VLOOKUP(Tablo520[[#This Row],[HAMMADDE KODU]],Tablo1[#All],4,0)," ")</f>
        <v xml:space="preserve"> </v>
      </c>
      <c r="Q411" s="100" t="str">
        <f>IFERROR(VLOOKUP(Tablo520[[#This Row],[ÜRÜN KODU]],YMKODLARI!$A$1:$K$373,5,0)," ")</f>
        <v xml:space="preserve"> </v>
      </c>
      <c r="R411" s="100" t="str">
        <f>IFERROR(VLOOKUP(Tablo520[[#This Row],[ÜRÜN KODU]],YMKODLARI!$A$1:$K$373,6,0)," ")</f>
        <v xml:space="preserve"> </v>
      </c>
      <c r="S411" s="100" t="str">
        <f>IFERROR(Tablo520[[#This Row],[YOLLUK HARİÇ BASKI GRAMI]]/Tablo520[[#This Row],[KALIP GÖZ ADEDİ]]," ")</f>
        <v xml:space="preserve"> </v>
      </c>
      <c r="T411" s="100" t="str">
        <f t="shared" si="44"/>
        <v xml:space="preserve"> </v>
      </c>
      <c r="U411" s="100"/>
      <c r="V411" s="100" t="str">
        <f t="shared" si="43"/>
        <v xml:space="preserve"> </v>
      </c>
      <c r="W411" s="101">
        <f t="shared" si="45"/>
        <v>24</v>
      </c>
      <c r="X411" s="102">
        <f t="shared" si="46"/>
        <v>0</v>
      </c>
      <c r="Y411" s="100" t="str">
        <f t="shared" si="47"/>
        <v xml:space="preserve"> </v>
      </c>
      <c r="Z411" s="100" t="str">
        <f t="shared" si="48"/>
        <v xml:space="preserve"> </v>
      </c>
    </row>
    <row r="412" spans="1:26">
      <c r="A412" s="100"/>
      <c r="B412" s="100" t="str">
        <f>IFERROR(VLOOKUP(Tablo520[[#This Row],[ÜRÜN KODU]],YMKODLARI!$A$1:$K$373,2,0)," ")</f>
        <v xml:space="preserve"> </v>
      </c>
      <c r="C412" s="99"/>
      <c r="D412" s="100"/>
      <c r="E412" s="101"/>
      <c r="F412" s="101"/>
      <c r="G412" s="100" t="str">
        <f>IFERROR(VLOOKUP(Tablo520[[#This Row],[ÜRÜN KODU]],YMKODLARI!$A$1:$K$373,3,0)," ")</f>
        <v xml:space="preserve"> </v>
      </c>
      <c r="H412" s="100" t="str">
        <f>IFERROR(VLOOKUP(Tablo520[[#This Row],[ÜRÜN KODU]],YMKODLARI!$A$1:$K$373,4,0)," ")</f>
        <v xml:space="preserve"> </v>
      </c>
      <c r="I412" s="100"/>
      <c r="J412" s="100" t="str">
        <f>IFERROR(VLOOKUP(Tablo520[[#This Row],[ÜRÜN KODU]],YMKODLARI!$A$1:$K$373,9,0)," ")</f>
        <v xml:space="preserve"> </v>
      </c>
      <c r="K412" s="100" t="str">
        <f>IFERROR(VLOOKUP(Tablo520[[#This Row],[BOYA KODU]],Tablo14[#All],4,0)," ")</f>
        <v xml:space="preserve"> </v>
      </c>
      <c r="L412" s="100" t="str">
        <f>IFERROR(VLOOKUP(Tablo520[[#This Row],[BOYA KODU]],Tablo14[#All],6,0)," ")</f>
        <v xml:space="preserve"> </v>
      </c>
      <c r="M412" s="100" t="str">
        <f t="shared" si="42"/>
        <v xml:space="preserve"> </v>
      </c>
      <c r="N412" s="100" t="str">
        <f>IFERROR(VLOOKUP(Tablo520[[#This Row],[ÜRÜN KODU]],YMKODLARI!$A$1:$K$373,8,0)," ")</f>
        <v xml:space="preserve"> </v>
      </c>
      <c r="O412" s="100" t="str">
        <f>IFERROR(VLOOKUP(Tablo520[[#This Row],[HAMMADDE KODU]],Tablo1[#All],3,0)," ")</f>
        <v xml:space="preserve"> </v>
      </c>
      <c r="P412" s="100" t="str">
        <f>IFERROR(VLOOKUP(Tablo520[[#This Row],[HAMMADDE KODU]],Tablo1[#All],4,0)," ")</f>
        <v xml:space="preserve"> </v>
      </c>
      <c r="Q412" s="100" t="str">
        <f>IFERROR(VLOOKUP(Tablo520[[#This Row],[ÜRÜN KODU]],YMKODLARI!$A$1:$K$373,5,0)," ")</f>
        <v xml:space="preserve"> </v>
      </c>
      <c r="R412" s="100" t="str">
        <f>IFERROR(VLOOKUP(Tablo520[[#This Row],[ÜRÜN KODU]],YMKODLARI!$A$1:$K$373,6,0)," ")</f>
        <v xml:space="preserve"> </v>
      </c>
      <c r="S412" s="100" t="str">
        <f>IFERROR(Tablo520[[#This Row],[YOLLUK HARİÇ BASKI GRAMI]]/Tablo520[[#This Row],[KALIP GÖZ ADEDİ]]," ")</f>
        <v xml:space="preserve"> </v>
      </c>
      <c r="T412" s="100" t="str">
        <f t="shared" si="44"/>
        <v xml:space="preserve"> </v>
      </c>
      <c r="U412" s="100"/>
      <c r="V412" s="100" t="str">
        <f t="shared" si="43"/>
        <v xml:space="preserve"> </v>
      </c>
      <c r="W412" s="101">
        <f t="shared" si="45"/>
        <v>24</v>
      </c>
      <c r="X412" s="102">
        <f t="shared" si="46"/>
        <v>0</v>
      </c>
      <c r="Y412" s="100" t="str">
        <f t="shared" si="47"/>
        <v xml:space="preserve"> </v>
      </c>
      <c r="Z412" s="100" t="str">
        <f t="shared" si="48"/>
        <v xml:space="preserve"> </v>
      </c>
    </row>
    <row r="413" spans="1:26">
      <c r="A413" s="100"/>
      <c r="B413" s="100" t="str">
        <f>IFERROR(VLOOKUP(Tablo520[[#This Row],[ÜRÜN KODU]],YMKODLARI!$A$1:$K$373,2,0)," ")</f>
        <v xml:space="preserve"> </v>
      </c>
      <c r="C413" s="99"/>
      <c r="D413" s="100"/>
      <c r="E413" s="101"/>
      <c r="F413" s="101"/>
      <c r="G413" s="100" t="str">
        <f>IFERROR(VLOOKUP(Tablo520[[#This Row],[ÜRÜN KODU]],YMKODLARI!$A$1:$K$373,3,0)," ")</f>
        <v xml:space="preserve"> </v>
      </c>
      <c r="H413" s="100" t="str">
        <f>IFERROR(VLOOKUP(Tablo520[[#This Row],[ÜRÜN KODU]],YMKODLARI!$A$1:$K$373,4,0)," ")</f>
        <v xml:space="preserve"> </v>
      </c>
      <c r="I413" s="100"/>
      <c r="J413" s="100" t="str">
        <f>IFERROR(VLOOKUP(Tablo520[[#This Row],[ÜRÜN KODU]],YMKODLARI!$A$1:$K$373,9,0)," ")</f>
        <v xml:space="preserve"> </v>
      </c>
      <c r="K413" s="100" t="str">
        <f>IFERROR(VLOOKUP(Tablo520[[#This Row],[BOYA KODU]],Tablo14[#All],4,0)," ")</f>
        <v xml:space="preserve"> </v>
      </c>
      <c r="L413" s="100" t="str">
        <f>IFERROR(VLOOKUP(Tablo520[[#This Row],[BOYA KODU]],Tablo14[#All],6,0)," ")</f>
        <v xml:space="preserve"> </v>
      </c>
      <c r="M413" s="100" t="str">
        <f t="shared" si="42"/>
        <v xml:space="preserve"> </v>
      </c>
      <c r="N413" s="100" t="str">
        <f>IFERROR(VLOOKUP(Tablo520[[#This Row],[ÜRÜN KODU]],YMKODLARI!$A$1:$K$373,8,0)," ")</f>
        <v xml:space="preserve"> </v>
      </c>
      <c r="O413" s="100" t="str">
        <f>IFERROR(VLOOKUP(Tablo520[[#This Row],[HAMMADDE KODU]],Tablo1[#All],3,0)," ")</f>
        <v xml:space="preserve"> </v>
      </c>
      <c r="P413" s="100" t="str">
        <f>IFERROR(VLOOKUP(Tablo520[[#This Row],[HAMMADDE KODU]],Tablo1[#All],4,0)," ")</f>
        <v xml:space="preserve"> </v>
      </c>
      <c r="Q413" s="100" t="str">
        <f>IFERROR(VLOOKUP(Tablo520[[#This Row],[ÜRÜN KODU]],YMKODLARI!$A$1:$K$373,5,0)," ")</f>
        <v xml:space="preserve"> </v>
      </c>
      <c r="R413" s="100" t="str">
        <f>IFERROR(VLOOKUP(Tablo520[[#This Row],[ÜRÜN KODU]],YMKODLARI!$A$1:$K$373,6,0)," ")</f>
        <v xml:space="preserve"> </v>
      </c>
      <c r="S413" s="100" t="str">
        <f>IFERROR(Tablo520[[#This Row],[YOLLUK HARİÇ BASKI GRAMI]]/Tablo520[[#This Row],[KALIP GÖZ ADEDİ]]," ")</f>
        <v xml:space="preserve"> </v>
      </c>
      <c r="T413" s="100" t="str">
        <f t="shared" si="44"/>
        <v xml:space="preserve"> </v>
      </c>
      <c r="U413" s="100"/>
      <c r="V413" s="100" t="str">
        <f t="shared" si="43"/>
        <v xml:space="preserve"> </v>
      </c>
      <c r="W413" s="101">
        <f t="shared" si="45"/>
        <v>24</v>
      </c>
      <c r="X413" s="102">
        <f t="shared" si="46"/>
        <v>0</v>
      </c>
      <c r="Y413" s="100" t="str">
        <f t="shared" si="47"/>
        <v xml:space="preserve"> </v>
      </c>
      <c r="Z413" s="100" t="str">
        <f t="shared" si="48"/>
        <v xml:space="preserve"> </v>
      </c>
    </row>
    <row r="414" spans="1:26">
      <c r="A414" s="100"/>
      <c r="B414" s="100" t="str">
        <f>IFERROR(VLOOKUP(Tablo520[[#This Row],[ÜRÜN KODU]],YMKODLARI!$A$1:$K$373,2,0)," ")</f>
        <v xml:space="preserve"> </v>
      </c>
      <c r="C414" s="99"/>
      <c r="D414" s="100"/>
      <c r="E414" s="101"/>
      <c r="F414" s="101"/>
      <c r="G414" s="100" t="str">
        <f>IFERROR(VLOOKUP(Tablo520[[#This Row],[ÜRÜN KODU]],YMKODLARI!$A$1:$K$373,3,0)," ")</f>
        <v xml:space="preserve"> </v>
      </c>
      <c r="H414" s="100" t="str">
        <f>IFERROR(VLOOKUP(Tablo520[[#This Row],[ÜRÜN KODU]],YMKODLARI!$A$1:$K$373,4,0)," ")</f>
        <v xml:space="preserve"> </v>
      </c>
      <c r="I414" s="100"/>
      <c r="J414" s="100" t="str">
        <f>IFERROR(VLOOKUP(Tablo520[[#This Row],[ÜRÜN KODU]],YMKODLARI!$A$1:$K$373,9,0)," ")</f>
        <v xml:space="preserve"> </v>
      </c>
      <c r="K414" s="100" t="str">
        <f>IFERROR(VLOOKUP(Tablo520[[#This Row],[BOYA KODU]],Tablo14[#All],4,0)," ")</f>
        <v xml:space="preserve"> </v>
      </c>
      <c r="L414" s="100" t="str">
        <f>IFERROR(VLOOKUP(Tablo520[[#This Row],[BOYA KODU]],Tablo14[#All],6,0)," ")</f>
        <v xml:space="preserve"> </v>
      </c>
      <c r="M414" s="100" t="str">
        <f t="shared" si="42"/>
        <v xml:space="preserve"> </v>
      </c>
      <c r="N414" s="100" t="str">
        <f>IFERROR(VLOOKUP(Tablo520[[#This Row],[ÜRÜN KODU]],YMKODLARI!$A$1:$K$373,8,0)," ")</f>
        <v xml:space="preserve"> </v>
      </c>
      <c r="O414" s="100" t="str">
        <f>IFERROR(VLOOKUP(Tablo520[[#This Row],[HAMMADDE KODU]],Tablo1[#All],3,0)," ")</f>
        <v xml:space="preserve"> </v>
      </c>
      <c r="P414" s="100" t="str">
        <f>IFERROR(VLOOKUP(Tablo520[[#This Row],[HAMMADDE KODU]],Tablo1[#All],4,0)," ")</f>
        <v xml:space="preserve"> </v>
      </c>
      <c r="Q414" s="100" t="str">
        <f>IFERROR(VLOOKUP(Tablo520[[#This Row],[ÜRÜN KODU]],YMKODLARI!$A$1:$K$373,5,0)," ")</f>
        <v xml:space="preserve"> </v>
      </c>
      <c r="R414" s="100" t="str">
        <f>IFERROR(VLOOKUP(Tablo520[[#This Row],[ÜRÜN KODU]],YMKODLARI!$A$1:$K$373,6,0)," ")</f>
        <v xml:space="preserve"> </v>
      </c>
      <c r="S414" s="100" t="str">
        <f>IFERROR(Tablo520[[#This Row],[YOLLUK HARİÇ BASKI GRAMI]]/Tablo520[[#This Row],[KALIP GÖZ ADEDİ]]," ")</f>
        <v xml:space="preserve"> </v>
      </c>
      <c r="T414" s="100" t="str">
        <f t="shared" si="44"/>
        <v xml:space="preserve"> </v>
      </c>
      <c r="U414" s="100"/>
      <c r="V414" s="100" t="str">
        <f t="shared" si="43"/>
        <v xml:space="preserve"> </v>
      </c>
      <c r="W414" s="101">
        <f t="shared" si="45"/>
        <v>24</v>
      </c>
      <c r="X414" s="102">
        <f t="shared" si="46"/>
        <v>0</v>
      </c>
      <c r="Y414" s="100" t="str">
        <f t="shared" si="47"/>
        <v xml:space="preserve"> </v>
      </c>
      <c r="Z414" s="100" t="str">
        <f t="shared" si="48"/>
        <v xml:space="preserve"> </v>
      </c>
    </row>
    <row r="415" spans="1:26">
      <c r="A415" s="100"/>
      <c r="B415" s="100" t="str">
        <f>IFERROR(VLOOKUP(Tablo520[[#This Row],[ÜRÜN KODU]],YMKODLARI!$A$1:$K$373,2,0)," ")</f>
        <v xml:space="preserve"> </v>
      </c>
      <c r="C415" s="99"/>
      <c r="D415" s="100"/>
      <c r="E415" s="101"/>
      <c r="F415" s="101"/>
      <c r="G415" s="100" t="str">
        <f>IFERROR(VLOOKUP(Tablo520[[#This Row],[ÜRÜN KODU]],YMKODLARI!$A$1:$K$373,3,0)," ")</f>
        <v xml:space="preserve"> </v>
      </c>
      <c r="H415" s="100" t="str">
        <f>IFERROR(VLOOKUP(Tablo520[[#This Row],[ÜRÜN KODU]],YMKODLARI!$A$1:$K$373,4,0)," ")</f>
        <v xml:space="preserve"> </v>
      </c>
      <c r="I415" s="100"/>
      <c r="J415" s="100" t="str">
        <f>IFERROR(VLOOKUP(Tablo520[[#This Row],[ÜRÜN KODU]],YMKODLARI!$A$1:$K$373,9,0)," ")</f>
        <v xml:space="preserve"> </v>
      </c>
      <c r="K415" s="100" t="str">
        <f>IFERROR(VLOOKUP(Tablo520[[#This Row],[BOYA KODU]],Tablo14[#All],4,0)," ")</f>
        <v xml:space="preserve"> </v>
      </c>
      <c r="L415" s="100" t="str">
        <f>IFERROR(VLOOKUP(Tablo520[[#This Row],[BOYA KODU]],Tablo14[#All],6,0)," ")</f>
        <v xml:space="preserve"> </v>
      </c>
      <c r="M415" s="100" t="str">
        <f t="shared" si="42"/>
        <v xml:space="preserve"> </v>
      </c>
      <c r="N415" s="100" t="str">
        <f>IFERROR(VLOOKUP(Tablo520[[#This Row],[ÜRÜN KODU]],YMKODLARI!$A$1:$K$373,8,0)," ")</f>
        <v xml:space="preserve"> </v>
      </c>
      <c r="O415" s="100" t="str">
        <f>IFERROR(VLOOKUP(Tablo520[[#This Row],[HAMMADDE KODU]],Tablo1[#All],3,0)," ")</f>
        <v xml:space="preserve"> </v>
      </c>
      <c r="P415" s="100" t="str">
        <f>IFERROR(VLOOKUP(Tablo520[[#This Row],[HAMMADDE KODU]],Tablo1[#All],4,0)," ")</f>
        <v xml:space="preserve"> </v>
      </c>
      <c r="Q415" s="100" t="str">
        <f>IFERROR(VLOOKUP(Tablo520[[#This Row],[ÜRÜN KODU]],YMKODLARI!$A$1:$K$373,5,0)," ")</f>
        <v xml:space="preserve"> </v>
      </c>
      <c r="R415" s="100" t="str">
        <f>IFERROR(VLOOKUP(Tablo520[[#This Row],[ÜRÜN KODU]],YMKODLARI!$A$1:$K$373,6,0)," ")</f>
        <v xml:space="preserve"> </v>
      </c>
      <c r="S415" s="100" t="str">
        <f>IFERROR(Tablo520[[#This Row],[YOLLUK HARİÇ BASKI GRAMI]]/Tablo520[[#This Row],[KALIP GÖZ ADEDİ]]," ")</f>
        <v xml:space="preserve"> </v>
      </c>
      <c r="T415" s="100" t="str">
        <f t="shared" si="44"/>
        <v xml:space="preserve"> </v>
      </c>
      <c r="U415" s="100"/>
      <c r="V415" s="100" t="str">
        <f t="shared" si="43"/>
        <v xml:space="preserve"> </v>
      </c>
      <c r="W415" s="101">
        <f t="shared" si="45"/>
        <v>24</v>
      </c>
      <c r="X415" s="102">
        <f t="shared" si="46"/>
        <v>0</v>
      </c>
      <c r="Y415" s="100" t="str">
        <f t="shared" si="47"/>
        <v xml:space="preserve"> </v>
      </c>
      <c r="Z415" s="100" t="str">
        <f t="shared" si="48"/>
        <v xml:space="preserve"> </v>
      </c>
    </row>
    <row r="416" spans="1:26">
      <c r="A416" s="100"/>
      <c r="B416" s="100" t="str">
        <f>IFERROR(VLOOKUP(Tablo520[[#This Row],[ÜRÜN KODU]],YMKODLARI!$A$1:$K$373,2,0)," ")</f>
        <v xml:space="preserve"> </v>
      </c>
      <c r="C416" s="99"/>
      <c r="D416" s="100"/>
      <c r="E416" s="101"/>
      <c r="F416" s="101"/>
      <c r="G416" s="100" t="str">
        <f>IFERROR(VLOOKUP(Tablo520[[#This Row],[ÜRÜN KODU]],YMKODLARI!$A$1:$K$373,3,0)," ")</f>
        <v xml:space="preserve"> </v>
      </c>
      <c r="H416" s="100" t="str">
        <f>IFERROR(VLOOKUP(Tablo520[[#This Row],[ÜRÜN KODU]],YMKODLARI!$A$1:$K$373,4,0)," ")</f>
        <v xml:space="preserve"> </v>
      </c>
      <c r="I416" s="100"/>
      <c r="J416" s="100" t="str">
        <f>IFERROR(VLOOKUP(Tablo520[[#This Row],[ÜRÜN KODU]],YMKODLARI!$A$1:$K$373,9,0)," ")</f>
        <v xml:space="preserve"> </v>
      </c>
      <c r="K416" s="100" t="str">
        <f>IFERROR(VLOOKUP(Tablo520[[#This Row],[BOYA KODU]],Tablo14[#All],4,0)," ")</f>
        <v xml:space="preserve"> </v>
      </c>
      <c r="L416" s="100" t="str">
        <f>IFERROR(VLOOKUP(Tablo520[[#This Row],[BOYA KODU]],Tablo14[#All],6,0)," ")</f>
        <v xml:space="preserve"> </v>
      </c>
      <c r="M416" s="100" t="str">
        <f t="shared" si="42"/>
        <v xml:space="preserve"> </v>
      </c>
      <c r="N416" s="100" t="str">
        <f>IFERROR(VLOOKUP(Tablo520[[#This Row],[ÜRÜN KODU]],YMKODLARI!$A$1:$K$373,8,0)," ")</f>
        <v xml:space="preserve"> </v>
      </c>
      <c r="O416" s="100" t="str">
        <f>IFERROR(VLOOKUP(Tablo520[[#This Row],[HAMMADDE KODU]],Tablo1[#All],3,0)," ")</f>
        <v xml:space="preserve"> </v>
      </c>
      <c r="P416" s="100" t="str">
        <f>IFERROR(VLOOKUP(Tablo520[[#This Row],[HAMMADDE KODU]],Tablo1[#All],4,0)," ")</f>
        <v xml:space="preserve"> </v>
      </c>
      <c r="Q416" s="100" t="str">
        <f>IFERROR(VLOOKUP(Tablo520[[#This Row],[ÜRÜN KODU]],YMKODLARI!$A$1:$K$373,5,0)," ")</f>
        <v xml:space="preserve"> </v>
      </c>
      <c r="R416" s="100" t="str">
        <f>IFERROR(VLOOKUP(Tablo520[[#This Row],[ÜRÜN KODU]],YMKODLARI!$A$1:$K$373,6,0)," ")</f>
        <v xml:space="preserve"> </v>
      </c>
      <c r="S416" s="100" t="str">
        <f>IFERROR(Tablo520[[#This Row],[YOLLUK HARİÇ BASKI GRAMI]]/Tablo520[[#This Row],[KALIP GÖZ ADEDİ]]," ")</f>
        <v xml:space="preserve"> </v>
      </c>
      <c r="T416" s="100" t="str">
        <f t="shared" si="44"/>
        <v xml:space="preserve"> </v>
      </c>
      <c r="U416" s="100"/>
      <c r="V416" s="100" t="str">
        <f t="shared" si="43"/>
        <v xml:space="preserve"> </v>
      </c>
      <c r="W416" s="101">
        <f t="shared" si="45"/>
        <v>24</v>
      </c>
      <c r="X416" s="102">
        <f t="shared" si="46"/>
        <v>0</v>
      </c>
      <c r="Y416" s="100" t="str">
        <f t="shared" si="47"/>
        <v xml:space="preserve"> </v>
      </c>
      <c r="Z416" s="100" t="str">
        <f t="shared" si="48"/>
        <v xml:space="preserve"> </v>
      </c>
    </row>
    <row r="417" spans="1:26">
      <c r="A417" s="100"/>
      <c r="B417" s="100" t="str">
        <f>IFERROR(VLOOKUP(Tablo520[[#This Row],[ÜRÜN KODU]],YMKODLARI!$A$1:$K$373,2,0)," ")</f>
        <v xml:space="preserve"> </v>
      </c>
      <c r="C417" s="99"/>
      <c r="D417" s="100"/>
      <c r="E417" s="101"/>
      <c r="F417" s="101"/>
      <c r="G417" s="100" t="str">
        <f>IFERROR(VLOOKUP(Tablo520[[#This Row],[ÜRÜN KODU]],YMKODLARI!$A$1:$K$373,3,0)," ")</f>
        <v xml:space="preserve"> </v>
      </c>
      <c r="H417" s="100" t="str">
        <f>IFERROR(VLOOKUP(Tablo520[[#This Row],[ÜRÜN KODU]],YMKODLARI!$A$1:$K$373,4,0)," ")</f>
        <v xml:space="preserve"> </v>
      </c>
      <c r="I417" s="100"/>
      <c r="J417" s="100" t="str">
        <f>IFERROR(VLOOKUP(Tablo520[[#This Row],[ÜRÜN KODU]],YMKODLARI!$A$1:$K$373,9,0)," ")</f>
        <v xml:space="preserve"> </v>
      </c>
      <c r="K417" s="100" t="str">
        <f>IFERROR(VLOOKUP(Tablo520[[#This Row],[BOYA KODU]],Tablo14[#All],4,0)," ")</f>
        <v xml:space="preserve"> </v>
      </c>
      <c r="L417" s="100" t="str">
        <f>IFERROR(VLOOKUP(Tablo520[[#This Row],[BOYA KODU]],Tablo14[#All],6,0)," ")</f>
        <v xml:space="preserve"> </v>
      </c>
      <c r="M417" s="100" t="str">
        <f t="shared" si="42"/>
        <v xml:space="preserve"> </v>
      </c>
      <c r="N417" s="100" t="str">
        <f>IFERROR(VLOOKUP(Tablo520[[#This Row],[ÜRÜN KODU]],YMKODLARI!$A$1:$K$373,8,0)," ")</f>
        <v xml:space="preserve"> </v>
      </c>
      <c r="O417" s="100" t="str">
        <f>IFERROR(VLOOKUP(Tablo520[[#This Row],[HAMMADDE KODU]],Tablo1[#All],3,0)," ")</f>
        <v xml:space="preserve"> </v>
      </c>
      <c r="P417" s="100" t="str">
        <f>IFERROR(VLOOKUP(Tablo520[[#This Row],[HAMMADDE KODU]],Tablo1[#All],4,0)," ")</f>
        <v xml:space="preserve"> </v>
      </c>
      <c r="Q417" s="100" t="str">
        <f>IFERROR(VLOOKUP(Tablo520[[#This Row],[ÜRÜN KODU]],YMKODLARI!$A$1:$K$373,5,0)," ")</f>
        <v xml:space="preserve"> </v>
      </c>
      <c r="R417" s="100" t="str">
        <f>IFERROR(VLOOKUP(Tablo520[[#This Row],[ÜRÜN KODU]],YMKODLARI!$A$1:$K$373,6,0)," ")</f>
        <v xml:space="preserve"> </v>
      </c>
      <c r="S417" s="100" t="str">
        <f>IFERROR(Tablo520[[#This Row],[YOLLUK HARİÇ BASKI GRAMI]]/Tablo520[[#This Row],[KALIP GÖZ ADEDİ]]," ")</f>
        <v xml:space="preserve"> </v>
      </c>
      <c r="T417" s="100" t="str">
        <f t="shared" si="44"/>
        <v xml:space="preserve"> </v>
      </c>
      <c r="U417" s="100"/>
      <c r="V417" s="100" t="str">
        <f t="shared" si="43"/>
        <v xml:space="preserve"> </v>
      </c>
      <c r="W417" s="101">
        <f t="shared" si="45"/>
        <v>24</v>
      </c>
      <c r="X417" s="102">
        <f t="shared" si="46"/>
        <v>0</v>
      </c>
      <c r="Y417" s="100" t="str">
        <f t="shared" si="47"/>
        <v xml:space="preserve"> </v>
      </c>
      <c r="Z417" s="100" t="str">
        <f t="shared" si="48"/>
        <v xml:space="preserve"> </v>
      </c>
    </row>
    <row r="418" spans="1:26">
      <c r="A418" s="100"/>
      <c r="B418" s="100" t="str">
        <f>IFERROR(VLOOKUP(Tablo520[[#This Row],[ÜRÜN KODU]],YMKODLARI!$A$1:$K$373,2,0)," ")</f>
        <v xml:space="preserve"> </v>
      </c>
      <c r="C418" s="99"/>
      <c r="D418" s="100"/>
      <c r="E418" s="101"/>
      <c r="F418" s="101"/>
      <c r="G418" s="100" t="str">
        <f>IFERROR(VLOOKUP(Tablo520[[#This Row],[ÜRÜN KODU]],YMKODLARI!$A$1:$K$373,3,0)," ")</f>
        <v xml:space="preserve"> </v>
      </c>
      <c r="H418" s="100" t="str">
        <f>IFERROR(VLOOKUP(Tablo520[[#This Row],[ÜRÜN KODU]],YMKODLARI!$A$1:$K$373,4,0)," ")</f>
        <v xml:space="preserve"> </v>
      </c>
      <c r="I418" s="100"/>
      <c r="J418" s="100" t="str">
        <f>IFERROR(VLOOKUP(Tablo520[[#This Row],[ÜRÜN KODU]],YMKODLARI!$A$1:$K$373,9,0)," ")</f>
        <v xml:space="preserve"> </v>
      </c>
      <c r="K418" s="100" t="str">
        <f>IFERROR(VLOOKUP(Tablo520[[#This Row],[BOYA KODU]],Tablo14[#All],4,0)," ")</f>
        <v xml:space="preserve"> </v>
      </c>
      <c r="L418" s="100" t="str">
        <f>IFERROR(VLOOKUP(Tablo520[[#This Row],[BOYA KODU]],Tablo14[#All],6,0)," ")</f>
        <v xml:space="preserve"> </v>
      </c>
      <c r="M418" s="100" t="str">
        <f t="shared" si="42"/>
        <v xml:space="preserve"> </v>
      </c>
      <c r="N418" s="100" t="str">
        <f>IFERROR(VLOOKUP(Tablo520[[#This Row],[ÜRÜN KODU]],YMKODLARI!$A$1:$K$373,8,0)," ")</f>
        <v xml:space="preserve"> </v>
      </c>
      <c r="O418" s="100" t="str">
        <f>IFERROR(VLOOKUP(Tablo520[[#This Row],[HAMMADDE KODU]],Tablo1[#All],3,0)," ")</f>
        <v xml:space="preserve"> </v>
      </c>
      <c r="P418" s="100" t="str">
        <f>IFERROR(VLOOKUP(Tablo520[[#This Row],[HAMMADDE KODU]],Tablo1[#All],4,0)," ")</f>
        <v xml:space="preserve"> </v>
      </c>
      <c r="Q418" s="100" t="str">
        <f>IFERROR(VLOOKUP(Tablo520[[#This Row],[ÜRÜN KODU]],YMKODLARI!$A$1:$K$373,5,0)," ")</f>
        <v xml:space="preserve"> </v>
      </c>
      <c r="R418" s="100" t="str">
        <f>IFERROR(VLOOKUP(Tablo520[[#This Row],[ÜRÜN KODU]],YMKODLARI!$A$1:$K$373,6,0)," ")</f>
        <v xml:space="preserve"> </v>
      </c>
      <c r="S418" s="100" t="str">
        <f>IFERROR(Tablo520[[#This Row],[YOLLUK HARİÇ BASKI GRAMI]]/Tablo520[[#This Row],[KALIP GÖZ ADEDİ]]," ")</f>
        <v xml:space="preserve"> </v>
      </c>
      <c r="T418" s="100" t="str">
        <f t="shared" si="44"/>
        <v xml:space="preserve"> </v>
      </c>
      <c r="U418" s="100"/>
      <c r="V418" s="100" t="str">
        <f t="shared" si="43"/>
        <v xml:space="preserve"> </v>
      </c>
      <c r="W418" s="101">
        <f t="shared" si="45"/>
        <v>24</v>
      </c>
      <c r="X418" s="102">
        <f t="shared" si="46"/>
        <v>0</v>
      </c>
      <c r="Y418" s="100" t="str">
        <f t="shared" si="47"/>
        <v xml:space="preserve"> </v>
      </c>
      <c r="Z418" s="100" t="str">
        <f t="shared" si="48"/>
        <v xml:space="preserve"> </v>
      </c>
    </row>
    <row r="419" spans="1:26">
      <c r="A419" s="100"/>
      <c r="B419" s="100" t="str">
        <f>IFERROR(VLOOKUP(Tablo520[[#This Row],[ÜRÜN KODU]],YMKODLARI!$A$1:$K$373,2,0)," ")</f>
        <v xml:space="preserve"> </v>
      </c>
      <c r="C419" s="99"/>
      <c r="D419" s="100"/>
      <c r="E419" s="101"/>
      <c r="F419" s="101"/>
      <c r="G419" s="100" t="str">
        <f>IFERROR(VLOOKUP(Tablo520[[#This Row],[ÜRÜN KODU]],YMKODLARI!$A$1:$K$373,3,0)," ")</f>
        <v xml:space="preserve"> </v>
      </c>
      <c r="H419" s="100" t="str">
        <f>IFERROR(VLOOKUP(Tablo520[[#This Row],[ÜRÜN KODU]],YMKODLARI!$A$1:$K$373,4,0)," ")</f>
        <v xml:space="preserve"> </v>
      </c>
      <c r="I419" s="100"/>
      <c r="J419" s="100" t="str">
        <f>IFERROR(VLOOKUP(Tablo520[[#This Row],[ÜRÜN KODU]],YMKODLARI!$A$1:$K$373,9,0)," ")</f>
        <v xml:space="preserve"> </v>
      </c>
      <c r="K419" s="100" t="str">
        <f>IFERROR(VLOOKUP(Tablo520[[#This Row],[BOYA KODU]],Tablo14[#All],4,0)," ")</f>
        <v xml:space="preserve"> </v>
      </c>
      <c r="L419" s="100" t="str">
        <f>IFERROR(VLOOKUP(Tablo520[[#This Row],[BOYA KODU]],Tablo14[#All],6,0)," ")</f>
        <v xml:space="preserve"> </v>
      </c>
      <c r="M419" s="100" t="str">
        <f t="shared" si="42"/>
        <v xml:space="preserve"> </v>
      </c>
      <c r="N419" s="100" t="str">
        <f>IFERROR(VLOOKUP(Tablo520[[#This Row],[ÜRÜN KODU]],YMKODLARI!$A$1:$K$373,8,0)," ")</f>
        <v xml:space="preserve"> </v>
      </c>
      <c r="O419" s="100" t="str">
        <f>IFERROR(VLOOKUP(Tablo520[[#This Row],[HAMMADDE KODU]],Tablo1[#All],3,0)," ")</f>
        <v xml:space="preserve"> </v>
      </c>
      <c r="P419" s="100" t="str">
        <f>IFERROR(VLOOKUP(Tablo520[[#This Row],[HAMMADDE KODU]],Tablo1[#All],4,0)," ")</f>
        <v xml:space="preserve"> </v>
      </c>
      <c r="Q419" s="100" t="str">
        <f>IFERROR(VLOOKUP(Tablo520[[#This Row],[ÜRÜN KODU]],YMKODLARI!$A$1:$K$373,5,0)," ")</f>
        <v xml:space="preserve"> </v>
      </c>
      <c r="R419" s="100" t="str">
        <f>IFERROR(VLOOKUP(Tablo520[[#This Row],[ÜRÜN KODU]],YMKODLARI!$A$1:$K$373,6,0)," ")</f>
        <v xml:space="preserve"> </v>
      </c>
      <c r="S419" s="100" t="str">
        <f>IFERROR(Tablo520[[#This Row],[YOLLUK HARİÇ BASKI GRAMI]]/Tablo520[[#This Row],[KALIP GÖZ ADEDİ]]," ")</f>
        <v xml:space="preserve"> </v>
      </c>
      <c r="T419" s="100" t="str">
        <f t="shared" si="44"/>
        <v xml:space="preserve"> </v>
      </c>
      <c r="U419" s="100"/>
      <c r="V419" s="100" t="str">
        <f t="shared" si="43"/>
        <v xml:space="preserve"> </v>
      </c>
      <c r="W419" s="101">
        <f t="shared" si="45"/>
        <v>24</v>
      </c>
      <c r="X419" s="102">
        <f t="shared" si="46"/>
        <v>0</v>
      </c>
      <c r="Y419" s="100" t="str">
        <f t="shared" si="47"/>
        <v xml:space="preserve"> </v>
      </c>
      <c r="Z419" s="100" t="str">
        <f t="shared" si="48"/>
        <v xml:space="preserve"> </v>
      </c>
    </row>
    <row r="420" spans="1:26">
      <c r="A420" s="100"/>
      <c r="B420" s="100" t="str">
        <f>IFERROR(VLOOKUP(Tablo520[[#This Row],[ÜRÜN KODU]],YMKODLARI!$A$1:$K$373,2,0)," ")</f>
        <v xml:space="preserve"> </v>
      </c>
      <c r="C420" s="99"/>
      <c r="D420" s="100"/>
      <c r="E420" s="101"/>
      <c r="F420" s="101"/>
      <c r="G420" s="100" t="str">
        <f>IFERROR(VLOOKUP(Tablo520[[#This Row],[ÜRÜN KODU]],YMKODLARI!$A$1:$K$373,3,0)," ")</f>
        <v xml:space="preserve"> </v>
      </c>
      <c r="H420" s="100" t="str">
        <f>IFERROR(VLOOKUP(Tablo520[[#This Row],[ÜRÜN KODU]],YMKODLARI!$A$1:$K$373,4,0)," ")</f>
        <v xml:space="preserve"> </v>
      </c>
      <c r="I420" s="100"/>
      <c r="J420" s="100" t="str">
        <f>IFERROR(VLOOKUP(Tablo520[[#This Row],[ÜRÜN KODU]],YMKODLARI!$A$1:$K$373,9,0)," ")</f>
        <v xml:space="preserve"> </v>
      </c>
      <c r="K420" s="100" t="str">
        <f>IFERROR(VLOOKUP(Tablo520[[#This Row],[BOYA KODU]],Tablo14[#All],4,0)," ")</f>
        <v xml:space="preserve"> </v>
      </c>
      <c r="L420" s="100" t="str">
        <f>IFERROR(VLOOKUP(Tablo520[[#This Row],[BOYA KODU]],Tablo14[#All],6,0)," ")</f>
        <v xml:space="preserve"> </v>
      </c>
      <c r="M420" s="100" t="str">
        <f t="shared" si="42"/>
        <v xml:space="preserve"> </v>
      </c>
      <c r="N420" s="100" t="str">
        <f>IFERROR(VLOOKUP(Tablo520[[#This Row],[ÜRÜN KODU]],YMKODLARI!$A$1:$K$373,8,0)," ")</f>
        <v xml:space="preserve"> </v>
      </c>
      <c r="O420" s="100" t="str">
        <f>IFERROR(VLOOKUP(Tablo520[[#This Row],[HAMMADDE KODU]],Tablo1[#All],3,0)," ")</f>
        <v xml:space="preserve"> </v>
      </c>
      <c r="P420" s="100" t="str">
        <f>IFERROR(VLOOKUP(Tablo520[[#This Row],[HAMMADDE KODU]],Tablo1[#All],4,0)," ")</f>
        <v xml:space="preserve"> </v>
      </c>
      <c r="Q420" s="100" t="str">
        <f>IFERROR(VLOOKUP(Tablo520[[#This Row],[ÜRÜN KODU]],YMKODLARI!$A$1:$K$373,5,0)," ")</f>
        <v xml:space="preserve"> </v>
      </c>
      <c r="R420" s="100" t="str">
        <f>IFERROR(VLOOKUP(Tablo520[[#This Row],[ÜRÜN KODU]],YMKODLARI!$A$1:$K$373,6,0)," ")</f>
        <v xml:space="preserve"> </v>
      </c>
      <c r="S420" s="100" t="str">
        <f>IFERROR(Tablo520[[#This Row],[YOLLUK HARİÇ BASKI GRAMI]]/Tablo520[[#This Row],[KALIP GÖZ ADEDİ]]," ")</f>
        <v xml:space="preserve"> </v>
      </c>
      <c r="T420" s="100" t="str">
        <f t="shared" si="44"/>
        <v xml:space="preserve"> </v>
      </c>
      <c r="U420" s="100"/>
      <c r="V420" s="100" t="str">
        <f t="shared" si="43"/>
        <v xml:space="preserve"> </v>
      </c>
      <c r="W420" s="101">
        <f t="shared" si="45"/>
        <v>24</v>
      </c>
      <c r="X420" s="102">
        <f t="shared" si="46"/>
        <v>0</v>
      </c>
      <c r="Y420" s="100" t="str">
        <f t="shared" si="47"/>
        <v xml:space="preserve"> </v>
      </c>
      <c r="Z420" s="100" t="str">
        <f t="shared" si="48"/>
        <v xml:space="preserve"> </v>
      </c>
    </row>
    <row r="421" spans="1:26">
      <c r="A421" s="100"/>
      <c r="B421" s="100" t="str">
        <f>IFERROR(VLOOKUP(Tablo520[[#This Row],[ÜRÜN KODU]],YMKODLARI!$A$1:$K$373,2,0)," ")</f>
        <v xml:space="preserve"> </v>
      </c>
      <c r="C421" s="99"/>
      <c r="D421" s="100"/>
      <c r="E421" s="101"/>
      <c r="F421" s="101"/>
      <c r="G421" s="100" t="str">
        <f>IFERROR(VLOOKUP(Tablo520[[#This Row],[ÜRÜN KODU]],YMKODLARI!$A$1:$K$373,3,0)," ")</f>
        <v xml:space="preserve"> </v>
      </c>
      <c r="H421" s="100" t="str">
        <f>IFERROR(VLOOKUP(Tablo520[[#This Row],[ÜRÜN KODU]],YMKODLARI!$A$1:$K$373,4,0)," ")</f>
        <v xml:space="preserve"> </v>
      </c>
      <c r="I421" s="100"/>
      <c r="J421" s="100" t="str">
        <f>IFERROR(VLOOKUP(Tablo520[[#This Row],[ÜRÜN KODU]],YMKODLARI!$A$1:$K$373,9,0)," ")</f>
        <v xml:space="preserve"> </v>
      </c>
      <c r="K421" s="100" t="str">
        <f>IFERROR(VLOOKUP(Tablo520[[#This Row],[BOYA KODU]],Tablo14[#All],4,0)," ")</f>
        <v xml:space="preserve"> </v>
      </c>
      <c r="L421" s="100" t="str">
        <f>IFERROR(VLOOKUP(Tablo520[[#This Row],[BOYA KODU]],Tablo14[#All],6,0)," ")</f>
        <v xml:space="preserve"> </v>
      </c>
      <c r="M421" s="100" t="str">
        <f t="shared" si="42"/>
        <v xml:space="preserve"> </v>
      </c>
      <c r="N421" s="100" t="str">
        <f>IFERROR(VLOOKUP(Tablo520[[#This Row],[ÜRÜN KODU]],YMKODLARI!$A$1:$K$373,8,0)," ")</f>
        <v xml:space="preserve"> </v>
      </c>
      <c r="O421" s="100" t="str">
        <f>IFERROR(VLOOKUP(Tablo520[[#This Row],[HAMMADDE KODU]],Tablo1[#All],3,0)," ")</f>
        <v xml:space="preserve"> </v>
      </c>
      <c r="P421" s="100" t="str">
        <f>IFERROR(VLOOKUP(Tablo520[[#This Row],[HAMMADDE KODU]],Tablo1[#All],4,0)," ")</f>
        <v xml:space="preserve"> </v>
      </c>
      <c r="Q421" s="100" t="str">
        <f>IFERROR(VLOOKUP(Tablo520[[#This Row],[ÜRÜN KODU]],YMKODLARI!$A$1:$K$373,5,0)," ")</f>
        <v xml:space="preserve"> </v>
      </c>
      <c r="R421" s="100" t="str">
        <f>IFERROR(VLOOKUP(Tablo520[[#This Row],[ÜRÜN KODU]],YMKODLARI!$A$1:$K$373,6,0)," ")</f>
        <v xml:space="preserve"> </v>
      </c>
      <c r="S421" s="100" t="str">
        <f>IFERROR(Tablo520[[#This Row],[YOLLUK HARİÇ BASKI GRAMI]]/Tablo520[[#This Row],[KALIP GÖZ ADEDİ]]," ")</f>
        <v xml:space="preserve"> </v>
      </c>
      <c r="T421" s="100" t="str">
        <f t="shared" si="44"/>
        <v xml:space="preserve"> </v>
      </c>
      <c r="U421" s="100"/>
      <c r="V421" s="100" t="str">
        <f t="shared" si="43"/>
        <v xml:space="preserve"> </v>
      </c>
      <c r="W421" s="101">
        <f t="shared" si="45"/>
        <v>24</v>
      </c>
      <c r="X421" s="102">
        <f t="shared" si="46"/>
        <v>0</v>
      </c>
      <c r="Y421" s="100" t="str">
        <f t="shared" si="47"/>
        <v xml:space="preserve"> </v>
      </c>
      <c r="Z421" s="100" t="str">
        <f t="shared" si="48"/>
        <v xml:space="preserve"> </v>
      </c>
    </row>
    <row r="422" spans="1:26">
      <c r="A422" s="100"/>
      <c r="B422" s="100" t="str">
        <f>IFERROR(VLOOKUP(Tablo520[[#This Row],[ÜRÜN KODU]],YMKODLARI!$A$1:$K$373,2,0)," ")</f>
        <v xml:space="preserve"> </v>
      </c>
      <c r="C422" s="99"/>
      <c r="D422" s="100"/>
      <c r="E422" s="101"/>
      <c r="F422" s="101"/>
      <c r="G422" s="100" t="str">
        <f>IFERROR(VLOOKUP(Tablo520[[#This Row],[ÜRÜN KODU]],YMKODLARI!$A$1:$K$373,3,0)," ")</f>
        <v xml:space="preserve"> </v>
      </c>
      <c r="H422" s="100" t="str">
        <f>IFERROR(VLOOKUP(Tablo520[[#This Row],[ÜRÜN KODU]],YMKODLARI!$A$1:$K$373,4,0)," ")</f>
        <v xml:space="preserve"> </v>
      </c>
      <c r="I422" s="100"/>
      <c r="J422" s="100" t="str">
        <f>IFERROR(VLOOKUP(Tablo520[[#This Row],[ÜRÜN KODU]],YMKODLARI!$A$1:$K$373,9,0)," ")</f>
        <v xml:space="preserve"> </v>
      </c>
      <c r="K422" s="100" t="str">
        <f>IFERROR(VLOOKUP(Tablo520[[#This Row],[BOYA KODU]],Tablo14[#All],4,0)," ")</f>
        <v xml:space="preserve"> </v>
      </c>
      <c r="L422" s="100" t="str">
        <f>IFERROR(VLOOKUP(Tablo520[[#This Row],[BOYA KODU]],Tablo14[#All],6,0)," ")</f>
        <v xml:space="preserve"> </v>
      </c>
      <c r="M422" s="100" t="str">
        <f t="shared" si="42"/>
        <v xml:space="preserve"> </v>
      </c>
      <c r="N422" s="100" t="str">
        <f>IFERROR(VLOOKUP(Tablo520[[#This Row],[ÜRÜN KODU]],YMKODLARI!$A$1:$K$373,8,0)," ")</f>
        <v xml:space="preserve"> </v>
      </c>
      <c r="O422" s="100" t="str">
        <f>IFERROR(VLOOKUP(Tablo520[[#This Row],[HAMMADDE KODU]],Tablo1[#All],3,0)," ")</f>
        <v xml:space="preserve"> </v>
      </c>
      <c r="P422" s="100" t="str">
        <f>IFERROR(VLOOKUP(Tablo520[[#This Row],[HAMMADDE KODU]],Tablo1[#All],4,0)," ")</f>
        <v xml:space="preserve"> </v>
      </c>
      <c r="Q422" s="100" t="str">
        <f>IFERROR(VLOOKUP(Tablo520[[#This Row],[ÜRÜN KODU]],YMKODLARI!$A$1:$K$373,5,0)," ")</f>
        <v xml:space="preserve"> </v>
      </c>
      <c r="R422" s="100" t="str">
        <f>IFERROR(VLOOKUP(Tablo520[[#This Row],[ÜRÜN KODU]],YMKODLARI!$A$1:$K$373,6,0)," ")</f>
        <v xml:space="preserve"> </v>
      </c>
      <c r="S422" s="100" t="str">
        <f>IFERROR(Tablo520[[#This Row],[YOLLUK HARİÇ BASKI GRAMI]]/Tablo520[[#This Row],[KALIP GÖZ ADEDİ]]," ")</f>
        <v xml:space="preserve"> </v>
      </c>
      <c r="T422" s="100" t="str">
        <f t="shared" si="44"/>
        <v xml:space="preserve"> </v>
      </c>
      <c r="U422" s="100"/>
      <c r="V422" s="100" t="str">
        <f t="shared" si="43"/>
        <v xml:space="preserve"> </v>
      </c>
      <c r="W422" s="101">
        <f t="shared" si="45"/>
        <v>24</v>
      </c>
      <c r="X422" s="102">
        <f t="shared" si="46"/>
        <v>0</v>
      </c>
      <c r="Y422" s="100" t="str">
        <f t="shared" si="47"/>
        <v xml:space="preserve"> </v>
      </c>
      <c r="Z422" s="100" t="str">
        <f t="shared" si="48"/>
        <v xml:space="preserve"> </v>
      </c>
    </row>
    <row r="423" spans="1:26">
      <c r="A423" s="100"/>
      <c r="B423" s="100" t="str">
        <f>IFERROR(VLOOKUP(Tablo520[[#This Row],[ÜRÜN KODU]],YMKODLARI!$A$1:$K$373,2,0)," ")</f>
        <v xml:space="preserve"> </v>
      </c>
      <c r="C423" s="99"/>
      <c r="D423" s="100"/>
      <c r="E423" s="101"/>
      <c r="F423" s="101"/>
      <c r="G423" s="100" t="str">
        <f>IFERROR(VLOOKUP(Tablo520[[#This Row],[ÜRÜN KODU]],YMKODLARI!$A$1:$K$373,3,0)," ")</f>
        <v xml:space="preserve"> </v>
      </c>
      <c r="H423" s="100" t="str">
        <f>IFERROR(VLOOKUP(Tablo520[[#This Row],[ÜRÜN KODU]],YMKODLARI!$A$1:$K$373,4,0)," ")</f>
        <v xml:space="preserve"> </v>
      </c>
      <c r="I423" s="100"/>
      <c r="J423" s="100" t="str">
        <f>IFERROR(VLOOKUP(Tablo520[[#This Row],[ÜRÜN KODU]],YMKODLARI!$A$1:$K$373,9,0)," ")</f>
        <v xml:space="preserve"> </v>
      </c>
      <c r="K423" s="100" t="str">
        <f>IFERROR(VLOOKUP(Tablo520[[#This Row],[BOYA KODU]],Tablo14[#All],4,0)," ")</f>
        <v xml:space="preserve"> </v>
      </c>
      <c r="L423" s="100" t="str">
        <f>IFERROR(VLOOKUP(Tablo520[[#This Row],[BOYA KODU]],Tablo14[#All],6,0)," ")</f>
        <v xml:space="preserve"> </v>
      </c>
      <c r="M423" s="100" t="str">
        <f t="shared" si="42"/>
        <v xml:space="preserve"> </v>
      </c>
      <c r="N423" s="100" t="str">
        <f>IFERROR(VLOOKUP(Tablo520[[#This Row],[ÜRÜN KODU]],YMKODLARI!$A$1:$K$373,8,0)," ")</f>
        <v xml:space="preserve"> </v>
      </c>
      <c r="O423" s="100" t="str">
        <f>IFERROR(VLOOKUP(Tablo520[[#This Row],[HAMMADDE KODU]],Tablo1[#All],3,0)," ")</f>
        <v xml:space="preserve"> </v>
      </c>
      <c r="P423" s="100" t="str">
        <f>IFERROR(VLOOKUP(Tablo520[[#This Row],[HAMMADDE KODU]],Tablo1[#All],4,0)," ")</f>
        <v xml:space="preserve"> </v>
      </c>
      <c r="Q423" s="100" t="str">
        <f>IFERROR(VLOOKUP(Tablo520[[#This Row],[ÜRÜN KODU]],YMKODLARI!$A$1:$K$373,5,0)," ")</f>
        <v xml:space="preserve"> </v>
      </c>
      <c r="R423" s="100" t="str">
        <f>IFERROR(VLOOKUP(Tablo520[[#This Row],[ÜRÜN KODU]],YMKODLARI!$A$1:$K$373,6,0)," ")</f>
        <v xml:space="preserve"> </v>
      </c>
      <c r="S423" s="100" t="str">
        <f>IFERROR(Tablo520[[#This Row],[YOLLUK HARİÇ BASKI GRAMI]]/Tablo520[[#This Row],[KALIP GÖZ ADEDİ]]," ")</f>
        <v xml:space="preserve"> </v>
      </c>
      <c r="T423" s="100" t="str">
        <f t="shared" si="44"/>
        <v xml:space="preserve"> </v>
      </c>
      <c r="U423" s="100"/>
      <c r="V423" s="100" t="str">
        <f t="shared" si="43"/>
        <v xml:space="preserve"> </v>
      </c>
      <c r="W423" s="101">
        <f t="shared" si="45"/>
        <v>24</v>
      </c>
      <c r="X423" s="102">
        <f t="shared" si="46"/>
        <v>0</v>
      </c>
      <c r="Y423" s="100" t="str">
        <f t="shared" si="47"/>
        <v xml:space="preserve"> </v>
      </c>
      <c r="Z423" s="100" t="str">
        <f t="shared" si="48"/>
        <v xml:space="preserve"> </v>
      </c>
    </row>
    <row r="424" spans="1:26">
      <c r="A424" s="100"/>
      <c r="B424" s="100" t="str">
        <f>IFERROR(VLOOKUP(Tablo520[[#This Row],[ÜRÜN KODU]],YMKODLARI!$A$1:$K$373,2,0)," ")</f>
        <v xml:space="preserve"> </v>
      </c>
      <c r="C424" s="99"/>
      <c r="D424" s="100"/>
      <c r="E424" s="101"/>
      <c r="F424" s="101"/>
      <c r="G424" s="100" t="str">
        <f>IFERROR(VLOOKUP(Tablo520[[#This Row],[ÜRÜN KODU]],YMKODLARI!$A$1:$K$373,3,0)," ")</f>
        <v xml:space="preserve"> </v>
      </c>
      <c r="H424" s="100" t="str">
        <f>IFERROR(VLOOKUP(Tablo520[[#This Row],[ÜRÜN KODU]],YMKODLARI!$A$1:$K$373,4,0)," ")</f>
        <v xml:space="preserve"> </v>
      </c>
      <c r="I424" s="100"/>
      <c r="J424" s="100" t="str">
        <f>IFERROR(VLOOKUP(Tablo520[[#This Row],[ÜRÜN KODU]],YMKODLARI!$A$1:$K$373,9,0)," ")</f>
        <v xml:space="preserve"> </v>
      </c>
      <c r="K424" s="100" t="str">
        <f>IFERROR(VLOOKUP(Tablo520[[#This Row],[BOYA KODU]],Tablo14[#All],4,0)," ")</f>
        <v xml:space="preserve"> </v>
      </c>
      <c r="L424" s="100" t="str">
        <f>IFERROR(VLOOKUP(Tablo520[[#This Row],[BOYA KODU]],Tablo14[#All],6,0)," ")</f>
        <v xml:space="preserve"> </v>
      </c>
      <c r="M424" s="100" t="str">
        <f t="shared" si="42"/>
        <v xml:space="preserve"> </v>
      </c>
      <c r="N424" s="100" t="str">
        <f>IFERROR(VLOOKUP(Tablo520[[#This Row],[ÜRÜN KODU]],YMKODLARI!$A$1:$K$373,8,0)," ")</f>
        <v xml:space="preserve"> </v>
      </c>
      <c r="O424" s="100" t="str">
        <f>IFERROR(VLOOKUP(Tablo520[[#This Row],[HAMMADDE KODU]],Tablo1[#All],3,0)," ")</f>
        <v xml:space="preserve"> </v>
      </c>
      <c r="P424" s="100" t="str">
        <f>IFERROR(VLOOKUP(Tablo520[[#This Row],[HAMMADDE KODU]],Tablo1[#All],4,0)," ")</f>
        <v xml:space="preserve"> </v>
      </c>
      <c r="Q424" s="100" t="str">
        <f>IFERROR(VLOOKUP(Tablo520[[#This Row],[ÜRÜN KODU]],YMKODLARI!$A$1:$K$373,5,0)," ")</f>
        <v xml:space="preserve"> </v>
      </c>
      <c r="R424" s="100" t="str">
        <f>IFERROR(VLOOKUP(Tablo520[[#This Row],[ÜRÜN KODU]],YMKODLARI!$A$1:$K$373,6,0)," ")</f>
        <v xml:space="preserve"> </v>
      </c>
      <c r="S424" s="100" t="str">
        <f>IFERROR(Tablo520[[#This Row],[YOLLUK HARİÇ BASKI GRAMI]]/Tablo520[[#This Row],[KALIP GÖZ ADEDİ]]," ")</f>
        <v xml:space="preserve"> </v>
      </c>
      <c r="T424" s="100" t="str">
        <f t="shared" si="44"/>
        <v xml:space="preserve"> </v>
      </c>
      <c r="U424" s="100"/>
      <c r="V424" s="100" t="str">
        <f t="shared" si="43"/>
        <v xml:space="preserve"> </v>
      </c>
      <c r="W424" s="101">
        <f t="shared" si="45"/>
        <v>24</v>
      </c>
      <c r="X424" s="102">
        <f t="shared" si="46"/>
        <v>0</v>
      </c>
      <c r="Y424" s="100" t="str">
        <f t="shared" si="47"/>
        <v xml:space="preserve"> </v>
      </c>
      <c r="Z424" s="100" t="str">
        <f t="shared" si="48"/>
        <v xml:space="preserve"> </v>
      </c>
    </row>
    <row r="425" spans="1:26">
      <c r="A425" s="100"/>
      <c r="B425" s="100" t="str">
        <f>IFERROR(VLOOKUP(Tablo520[[#This Row],[ÜRÜN KODU]],YMKODLARI!$A$1:$K$373,2,0)," ")</f>
        <v xml:space="preserve"> </v>
      </c>
      <c r="C425" s="99"/>
      <c r="D425" s="100"/>
      <c r="E425" s="101"/>
      <c r="F425" s="101"/>
      <c r="G425" s="100" t="str">
        <f>IFERROR(VLOOKUP(Tablo520[[#This Row],[ÜRÜN KODU]],YMKODLARI!$A$1:$K$373,3,0)," ")</f>
        <v xml:space="preserve"> </v>
      </c>
      <c r="H425" s="100" t="str">
        <f>IFERROR(VLOOKUP(Tablo520[[#This Row],[ÜRÜN KODU]],YMKODLARI!$A$1:$K$373,4,0)," ")</f>
        <v xml:space="preserve"> </v>
      </c>
      <c r="I425" s="100"/>
      <c r="J425" s="100" t="str">
        <f>IFERROR(VLOOKUP(Tablo520[[#This Row],[ÜRÜN KODU]],YMKODLARI!$A$1:$K$373,9,0)," ")</f>
        <v xml:space="preserve"> </v>
      </c>
      <c r="K425" s="100" t="str">
        <f>IFERROR(VLOOKUP(Tablo520[[#This Row],[BOYA KODU]],Tablo14[#All],4,0)," ")</f>
        <v xml:space="preserve"> </v>
      </c>
      <c r="L425" s="100" t="str">
        <f>IFERROR(VLOOKUP(Tablo520[[#This Row],[BOYA KODU]],Tablo14[#All],6,0)," ")</f>
        <v xml:space="preserve"> </v>
      </c>
      <c r="M425" s="100" t="str">
        <f t="shared" si="42"/>
        <v xml:space="preserve"> </v>
      </c>
      <c r="N425" s="100" t="str">
        <f>IFERROR(VLOOKUP(Tablo520[[#This Row],[ÜRÜN KODU]],YMKODLARI!$A$1:$K$373,8,0)," ")</f>
        <v xml:space="preserve"> </v>
      </c>
      <c r="O425" s="100" t="str">
        <f>IFERROR(VLOOKUP(Tablo520[[#This Row],[HAMMADDE KODU]],Tablo1[#All],3,0)," ")</f>
        <v xml:space="preserve"> </v>
      </c>
      <c r="P425" s="100" t="str">
        <f>IFERROR(VLOOKUP(Tablo520[[#This Row],[HAMMADDE KODU]],Tablo1[#All],4,0)," ")</f>
        <v xml:space="preserve"> </v>
      </c>
      <c r="Q425" s="100" t="str">
        <f>IFERROR(VLOOKUP(Tablo520[[#This Row],[ÜRÜN KODU]],YMKODLARI!$A$1:$K$373,5,0)," ")</f>
        <v xml:space="preserve"> </v>
      </c>
      <c r="R425" s="100" t="str">
        <f>IFERROR(VLOOKUP(Tablo520[[#This Row],[ÜRÜN KODU]],YMKODLARI!$A$1:$K$373,6,0)," ")</f>
        <v xml:space="preserve"> </v>
      </c>
      <c r="S425" s="100" t="str">
        <f>IFERROR(Tablo520[[#This Row],[YOLLUK HARİÇ BASKI GRAMI]]/Tablo520[[#This Row],[KALIP GÖZ ADEDİ]]," ")</f>
        <v xml:space="preserve"> </v>
      </c>
      <c r="T425" s="100" t="str">
        <f t="shared" si="44"/>
        <v xml:space="preserve"> </v>
      </c>
      <c r="U425" s="100"/>
      <c r="V425" s="100" t="str">
        <f t="shared" si="43"/>
        <v xml:space="preserve"> </v>
      </c>
      <c r="W425" s="101">
        <f t="shared" si="45"/>
        <v>24</v>
      </c>
      <c r="X425" s="102">
        <f t="shared" si="46"/>
        <v>0</v>
      </c>
      <c r="Y425" s="100" t="str">
        <f t="shared" si="47"/>
        <v xml:space="preserve"> </v>
      </c>
      <c r="Z425" s="100" t="str">
        <f t="shared" si="48"/>
        <v xml:space="preserve"> </v>
      </c>
    </row>
    <row r="426" spans="1:26">
      <c r="A426" s="100"/>
      <c r="B426" s="100" t="str">
        <f>IFERROR(VLOOKUP(Tablo520[[#This Row],[ÜRÜN KODU]],YMKODLARI!$A$1:$K$373,2,0)," ")</f>
        <v xml:space="preserve"> </v>
      </c>
      <c r="C426" s="99"/>
      <c r="D426" s="100"/>
      <c r="E426" s="101"/>
      <c r="F426" s="101"/>
      <c r="G426" s="100" t="str">
        <f>IFERROR(VLOOKUP(Tablo520[[#This Row],[ÜRÜN KODU]],YMKODLARI!$A$1:$K$373,3,0)," ")</f>
        <v xml:space="preserve"> </v>
      </c>
      <c r="H426" s="100" t="str">
        <f>IFERROR(VLOOKUP(Tablo520[[#This Row],[ÜRÜN KODU]],YMKODLARI!$A$1:$K$373,4,0)," ")</f>
        <v xml:space="preserve"> </v>
      </c>
      <c r="I426" s="100"/>
      <c r="J426" s="100" t="str">
        <f>IFERROR(VLOOKUP(Tablo520[[#This Row],[ÜRÜN KODU]],YMKODLARI!$A$1:$K$373,9,0)," ")</f>
        <v xml:space="preserve"> </v>
      </c>
      <c r="K426" s="100" t="str">
        <f>IFERROR(VLOOKUP(Tablo520[[#This Row],[BOYA KODU]],Tablo14[#All],4,0)," ")</f>
        <v xml:space="preserve"> </v>
      </c>
      <c r="L426" s="100" t="str">
        <f>IFERROR(VLOOKUP(Tablo520[[#This Row],[BOYA KODU]],Tablo14[#All],6,0)," ")</f>
        <v xml:space="preserve"> </v>
      </c>
      <c r="M426" s="100" t="str">
        <f t="shared" si="42"/>
        <v xml:space="preserve"> </v>
      </c>
      <c r="N426" s="100" t="str">
        <f>IFERROR(VLOOKUP(Tablo520[[#This Row],[ÜRÜN KODU]],YMKODLARI!$A$1:$K$373,8,0)," ")</f>
        <v xml:space="preserve"> </v>
      </c>
      <c r="O426" s="100" t="str">
        <f>IFERROR(VLOOKUP(Tablo520[[#This Row],[HAMMADDE KODU]],Tablo1[#All],3,0)," ")</f>
        <v xml:space="preserve"> </v>
      </c>
      <c r="P426" s="100" t="str">
        <f>IFERROR(VLOOKUP(Tablo520[[#This Row],[HAMMADDE KODU]],Tablo1[#All],4,0)," ")</f>
        <v xml:space="preserve"> </v>
      </c>
      <c r="Q426" s="100" t="str">
        <f>IFERROR(VLOOKUP(Tablo520[[#This Row],[ÜRÜN KODU]],YMKODLARI!$A$1:$K$373,5,0)," ")</f>
        <v xml:space="preserve"> </v>
      </c>
      <c r="R426" s="100" t="str">
        <f>IFERROR(VLOOKUP(Tablo520[[#This Row],[ÜRÜN KODU]],YMKODLARI!$A$1:$K$373,6,0)," ")</f>
        <v xml:space="preserve"> </v>
      </c>
      <c r="S426" s="100" t="str">
        <f>IFERROR(Tablo520[[#This Row],[YOLLUK HARİÇ BASKI GRAMI]]/Tablo520[[#This Row],[KALIP GÖZ ADEDİ]]," ")</f>
        <v xml:space="preserve"> </v>
      </c>
      <c r="T426" s="100" t="str">
        <f t="shared" si="44"/>
        <v xml:space="preserve"> </v>
      </c>
      <c r="U426" s="100"/>
      <c r="V426" s="100" t="str">
        <f t="shared" si="43"/>
        <v xml:space="preserve"> </v>
      </c>
      <c r="W426" s="101">
        <f t="shared" si="45"/>
        <v>24</v>
      </c>
      <c r="X426" s="102">
        <f t="shared" si="46"/>
        <v>0</v>
      </c>
      <c r="Y426" s="100" t="str">
        <f t="shared" si="47"/>
        <v xml:space="preserve"> </v>
      </c>
      <c r="Z426" s="100" t="str">
        <f t="shared" si="48"/>
        <v xml:space="preserve"> </v>
      </c>
    </row>
    <row r="427" spans="1:26">
      <c r="A427" s="100"/>
      <c r="B427" s="100" t="str">
        <f>IFERROR(VLOOKUP(Tablo520[[#This Row],[ÜRÜN KODU]],YMKODLARI!$A$1:$K$373,2,0)," ")</f>
        <v xml:space="preserve"> </v>
      </c>
      <c r="C427" s="99"/>
      <c r="D427" s="100"/>
      <c r="E427" s="101"/>
      <c r="F427" s="101"/>
      <c r="G427" s="100" t="str">
        <f>IFERROR(VLOOKUP(Tablo520[[#This Row],[ÜRÜN KODU]],YMKODLARI!$A$1:$K$373,3,0)," ")</f>
        <v xml:space="preserve"> </v>
      </c>
      <c r="H427" s="100" t="str">
        <f>IFERROR(VLOOKUP(Tablo520[[#This Row],[ÜRÜN KODU]],YMKODLARI!$A$1:$K$373,4,0)," ")</f>
        <v xml:space="preserve"> </v>
      </c>
      <c r="I427" s="100"/>
      <c r="J427" s="100" t="str">
        <f>IFERROR(VLOOKUP(Tablo520[[#This Row],[ÜRÜN KODU]],YMKODLARI!$A$1:$K$373,9,0)," ")</f>
        <v xml:space="preserve"> </v>
      </c>
      <c r="K427" s="100" t="str">
        <f>IFERROR(VLOOKUP(Tablo520[[#This Row],[BOYA KODU]],Tablo14[#All],4,0)," ")</f>
        <v xml:space="preserve"> </v>
      </c>
      <c r="L427" s="100" t="str">
        <f>IFERROR(VLOOKUP(Tablo520[[#This Row],[BOYA KODU]],Tablo14[#All],6,0)," ")</f>
        <v xml:space="preserve"> </v>
      </c>
      <c r="M427" s="100" t="str">
        <f t="shared" si="42"/>
        <v xml:space="preserve"> </v>
      </c>
      <c r="N427" s="100" t="str">
        <f>IFERROR(VLOOKUP(Tablo520[[#This Row],[ÜRÜN KODU]],YMKODLARI!$A$1:$K$373,8,0)," ")</f>
        <v xml:space="preserve"> </v>
      </c>
      <c r="O427" s="100" t="str">
        <f>IFERROR(VLOOKUP(Tablo520[[#This Row],[HAMMADDE KODU]],Tablo1[#All],3,0)," ")</f>
        <v xml:space="preserve"> </v>
      </c>
      <c r="P427" s="100" t="str">
        <f>IFERROR(VLOOKUP(Tablo520[[#This Row],[HAMMADDE KODU]],Tablo1[#All],4,0)," ")</f>
        <v xml:space="preserve"> </v>
      </c>
      <c r="Q427" s="100" t="str">
        <f>IFERROR(VLOOKUP(Tablo520[[#This Row],[ÜRÜN KODU]],YMKODLARI!$A$1:$K$373,5,0)," ")</f>
        <v xml:space="preserve"> </v>
      </c>
      <c r="R427" s="100" t="str">
        <f>IFERROR(VLOOKUP(Tablo520[[#This Row],[ÜRÜN KODU]],YMKODLARI!$A$1:$K$373,6,0)," ")</f>
        <v xml:space="preserve"> </v>
      </c>
      <c r="S427" s="100" t="str">
        <f>IFERROR(Tablo520[[#This Row],[YOLLUK HARİÇ BASKI GRAMI]]/Tablo520[[#This Row],[KALIP GÖZ ADEDİ]]," ")</f>
        <v xml:space="preserve"> </v>
      </c>
      <c r="T427" s="100" t="str">
        <f t="shared" si="44"/>
        <v xml:space="preserve"> </v>
      </c>
      <c r="U427" s="100"/>
      <c r="V427" s="100" t="str">
        <f t="shared" si="43"/>
        <v xml:space="preserve"> </v>
      </c>
      <c r="W427" s="101">
        <f t="shared" si="45"/>
        <v>24</v>
      </c>
      <c r="X427" s="102">
        <f t="shared" si="46"/>
        <v>0</v>
      </c>
      <c r="Y427" s="100" t="str">
        <f t="shared" si="47"/>
        <v xml:space="preserve"> </v>
      </c>
      <c r="Z427" s="100" t="str">
        <f t="shared" si="48"/>
        <v xml:space="preserve"> </v>
      </c>
    </row>
    <row r="428" spans="1:26">
      <c r="A428" s="100"/>
      <c r="B428" s="100" t="str">
        <f>IFERROR(VLOOKUP(Tablo520[[#This Row],[ÜRÜN KODU]],YMKODLARI!$A$1:$K$373,2,0)," ")</f>
        <v xml:space="preserve"> </v>
      </c>
      <c r="C428" s="99"/>
      <c r="D428" s="100"/>
      <c r="E428" s="101"/>
      <c r="F428" s="101"/>
      <c r="G428" s="100" t="str">
        <f>IFERROR(VLOOKUP(Tablo520[[#This Row],[ÜRÜN KODU]],YMKODLARI!$A$1:$K$373,3,0)," ")</f>
        <v xml:space="preserve"> </v>
      </c>
      <c r="H428" s="100" t="str">
        <f>IFERROR(VLOOKUP(Tablo520[[#This Row],[ÜRÜN KODU]],YMKODLARI!$A$1:$K$373,4,0)," ")</f>
        <v xml:space="preserve"> </v>
      </c>
      <c r="I428" s="100"/>
      <c r="J428" s="100" t="str">
        <f>IFERROR(VLOOKUP(Tablo520[[#This Row],[ÜRÜN KODU]],YMKODLARI!$A$1:$K$373,9,0)," ")</f>
        <v xml:space="preserve"> </v>
      </c>
      <c r="K428" s="100" t="str">
        <f>IFERROR(VLOOKUP(Tablo520[[#This Row],[BOYA KODU]],Tablo14[#All],4,0)," ")</f>
        <v xml:space="preserve"> </v>
      </c>
      <c r="L428" s="100" t="str">
        <f>IFERROR(VLOOKUP(Tablo520[[#This Row],[BOYA KODU]],Tablo14[#All],6,0)," ")</f>
        <v xml:space="preserve"> </v>
      </c>
      <c r="M428" s="100" t="str">
        <f t="shared" si="42"/>
        <v xml:space="preserve"> </v>
      </c>
      <c r="N428" s="100" t="str">
        <f>IFERROR(VLOOKUP(Tablo520[[#This Row],[ÜRÜN KODU]],YMKODLARI!$A$1:$K$373,8,0)," ")</f>
        <v xml:space="preserve"> </v>
      </c>
      <c r="O428" s="100" t="str">
        <f>IFERROR(VLOOKUP(Tablo520[[#This Row],[HAMMADDE KODU]],Tablo1[#All],3,0)," ")</f>
        <v xml:space="preserve"> </v>
      </c>
      <c r="P428" s="100" t="str">
        <f>IFERROR(VLOOKUP(Tablo520[[#This Row],[HAMMADDE KODU]],Tablo1[#All],4,0)," ")</f>
        <v xml:space="preserve"> </v>
      </c>
      <c r="Q428" s="100" t="str">
        <f>IFERROR(VLOOKUP(Tablo520[[#This Row],[ÜRÜN KODU]],YMKODLARI!$A$1:$K$373,5,0)," ")</f>
        <v xml:space="preserve"> </v>
      </c>
      <c r="R428" s="100" t="str">
        <f>IFERROR(VLOOKUP(Tablo520[[#This Row],[ÜRÜN KODU]],YMKODLARI!$A$1:$K$373,6,0)," ")</f>
        <v xml:space="preserve"> </v>
      </c>
      <c r="S428" s="100" t="str">
        <f>IFERROR(Tablo520[[#This Row],[YOLLUK HARİÇ BASKI GRAMI]]/Tablo520[[#This Row],[KALIP GÖZ ADEDİ]]," ")</f>
        <v xml:space="preserve"> </v>
      </c>
      <c r="T428" s="100" t="str">
        <f t="shared" si="44"/>
        <v xml:space="preserve"> </v>
      </c>
      <c r="U428" s="100"/>
      <c r="V428" s="100" t="str">
        <f t="shared" si="43"/>
        <v xml:space="preserve"> </v>
      </c>
      <c r="W428" s="101">
        <f t="shared" si="45"/>
        <v>24</v>
      </c>
      <c r="X428" s="102">
        <f t="shared" si="46"/>
        <v>0</v>
      </c>
      <c r="Y428" s="100" t="str">
        <f t="shared" si="47"/>
        <v xml:space="preserve"> </v>
      </c>
      <c r="Z428" s="100" t="str">
        <f t="shared" si="48"/>
        <v xml:space="preserve"> </v>
      </c>
    </row>
    <row r="429" spans="1:26">
      <c r="A429" s="100"/>
      <c r="B429" s="100" t="str">
        <f>IFERROR(VLOOKUP(Tablo520[[#This Row],[ÜRÜN KODU]],YMKODLARI!$A$1:$K$373,2,0)," ")</f>
        <v xml:space="preserve"> </v>
      </c>
      <c r="C429" s="99"/>
      <c r="D429" s="100"/>
      <c r="E429" s="101"/>
      <c r="F429" s="101"/>
      <c r="G429" s="100" t="str">
        <f>IFERROR(VLOOKUP(Tablo520[[#This Row],[ÜRÜN KODU]],YMKODLARI!$A$1:$K$373,3,0)," ")</f>
        <v xml:space="preserve"> </v>
      </c>
      <c r="H429" s="100" t="str">
        <f>IFERROR(VLOOKUP(Tablo520[[#This Row],[ÜRÜN KODU]],YMKODLARI!$A$1:$K$373,4,0)," ")</f>
        <v xml:space="preserve"> </v>
      </c>
      <c r="I429" s="100"/>
      <c r="J429" s="100" t="str">
        <f>IFERROR(VLOOKUP(Tablo520[[#This Row],[ÜRÜN KODU]],YMKODLARI!$A$1:$K$373,9,0)," ")</f>
        <v xml:space="preserve"> </v>
      </c>
      <c r="K429" s="100" t="str">
        <f>IFERROR(VLOOKUP(Tablo520[[#This Row],[BOYA KODU]],Tablo14[#All],4,0)," ")</f>
        <v xml:space="preserve"> </v>
      </c>
      <c r="L429" s="100" t="str">
        <f>IFERROR(VLOOKUP(Tablo520[[#This Row],[BOYA KODU]],Tablo14[#All],6,0)," ")</f>
        <v xml:space="preserve"> </v>
      </c>
      <c r="M429" s="100" t="str">
        <f t="shared" si="42"/>
        <v xml:space="preserve"> </v>
      </c>
      <c r="N429" s="100" t="str">
        <f>IFERROR(VLOOKUP(Tablo520[[#This Row],[ÜRÜN KODU]],YMKODLARI!$A$1:$K$373,8,0)," ")</f>
        <v xml:space="preserve"> </v>
      </c>
      <c r="O429" s="100" t="str">
        <f>IFERROR(VLOOKUP(Tablo520[[#This Row],[HAMMADDE KODU]],Tablo1[#All],3,0)," ")</f>
        <v xml:space="preserve"> </v>
      </c>
      <c r="P429" s="100" t="str">
        <f>IFERROR(VLOOKUP(Tablo520[[#This Row],[HAMMADDE KODU]],Tablo1[#All],4,0)," ")</f>
        <v xml:space="preserve"> </v>
      </c>
      <c r="Q429" s="100" t="str">
        <f>IFERROR(VLOOKUP(Tablo520[[#This Row],[ÜRÜN KODU]],YMKODLARI!$A$1:$K$373,5,0)," ")</f>
        <v xml:space="preserve"> </v>
      </c>
      <c r="R429" s="100" t="str">
        <f>IFERROR(VLOOKUP(Tablo520[[#This Row],[ÜRÜN KODU]],YMKODLARI!$A$1:$K$373,6,0)," ")</f>
        <v xml:space="preserve"> </v>
      </c>
      <c r="S429" s="100" t="str">
        <f>IFERROR(Tablo520[[#This Row],[YOLLUK HARİÇ BASKI GRAMI]]/Tablo520[[#This Row],[KALIP GÖZ ADEDİ]]," ")</f>
        <v xml:space="preserve"> </v>
      </c>
      <c r="T429" s="100" t="str">
        <f t="shared" si="44"/>
        <v xml:space="preserve"> </v>
      </c>
      <c r="U429" s="100"/>
      <c r="V429" s="100" t="str">
        <f t="shared" si="43"/>
        <v xml:space="preserve"> </v>
      </c>
      <c r="W429" s="101">
        <f t="shared" si="45"/>
        <v>24</v>
      </c>
      <c r="X429" s="102">
        <f t="shared" si="46"/>
        <v>0</v>
      </c>
      <c r="Y429" s="100" t="str">
        <f t="shared" si="47"/>
        <v xml:space="preserve"> </v>
      </c>
      <c r="Z429" s="100" t="str">
        <f t="shared" si="48"/>
        <v xml:space="preserve"> </v>
      </c>
    </row>
    <row r="430" spans="1:26">
      <c r="A430" s="100"/>
      <c r="B430" s="100" t="str">
        <f>IFERROR(VLOOKUP(Tablo520[[#This Row],[ÜRÜN KODU]],YMKODLARI!$A$1:$K$373,2,0)," ")</f>
        <v xml:space="preserve"> </v>
      </c>
      <c r="C430" s="99"/>
      <c r="D430" s="100"/>
      <c r="E430" s="101"/>
      <c r="F430" s="101"/>
      <c r="G430" s="100" t="str">
        <f>IFERROR(VLOOKUP(Tablo520[[#This Row],[ÜRÜN KODU]],YMKODLARI!$A$1:$K$373,3,0)," ")</f>
        <v xml:space="preserve"> </v>
      </c>
      <c r="H430" s="100" t="str">
        <f>IFERROR(VLOOKUP(Tablo520[[#This Row],[ÜRÜN KODU]],YMKODLARI!$A$1:$K$373,4,0)," ")</f>
        <v xml:space="preserve"> </v>
      </c>
      <c r="I430" s="100"/>
      <c r="J430" s="100" t="str">
        <f>IFERROR(VLOOKUP(Tablo520[[#This Row],[ÜRÜN KODU]],YMKODLARI!$A$1:$K$373,9,0)," ")</f>
        <v xml:space="preserve"> </v>
      </c>
      <c r="K430" s="100" t="str">
        <f>IFERROR(VLOOKUP(Tablo520[[#This Row],[BOYA KODU]],Tablo14[#All],4,0)," ")</f>
        <v xml:space="preserve"> </v>
      </c>
      <c r="L430" s="100" t="str">
        <f>IFERROR(VLOOKUP(Tablo520[[#This Row],[BOYA KODU]],Tablo14[#All],6,0)," ")</f>
        <v xml:space="preserve"> </v>
      </c>
      <c r="M430" s="100" t="str">
        <f t="shared" si="42"/>
        <v xml:space="preserve"> </v>
      </c>
      <c r="N430" s="100" t="str">
        <f>IFERROR(VLOOKUP(Tablo520[[#This Row],[ÜRÜN KODU]],YMKODLARI!$A$1:$K$373,8,0)," ")</f>
        <v xml:space="preserve"> </v>
      </c>
      <c r="O430" s="100" t="str">
        <f>IFERROR(VLOOKUP(Tablo520[[#This Row],[HAMMADDE KODU]],Tablo1[#All],3,0)," ")</f>
        <v xml:space="preserve"> </v>
      </c>
      <c r="P430" s="100" t="str">
        <f>IFERROR(VLOOKUP(Tablo520[[#This Row],[HAMMADDE KODU]],Tablo1[#All],4,0)," ")</f>
        <v xml:space="preserve"> </v>
      </c>
      <c r="Q430" s="100" t="str">
        <f>IFERROR(VLOOKUP(Tablo520[[#This Row],[ÜRÜN KODU]],YMKODLARI!$A$1:$K$373,5,0)," ")</f>
        <v xml:space="preserve"> </v>
      </c>
      <c r="R430" s="100" t="str">
        <f>IFERROR(VLOOKUP(Tablo520[[#This Row],[ÜRÜN KODU]],YMKODLARI!$A$1:$K$373,6,0)," ")</f>
        <v xml:space="preserve"> </v>
      </c>
      <c r="S430" s="100" t="str">
        <f>IFERROR(Tablo520[[#This Row],[YOLLUK HARİÇ BASKI GRAMI]]/Tablo520[[#This Row],[KALIP GÖZ ADEDİ]]," ")</f>
        <v xml:space="preserve"> </v>
      </c>
      <c r="T430" s="100" t="str">
        <f t="shared" si="44"/>
        <v xml:space="preserve"> </v>
      </c>
      <c r="U430" s="100"/>
      <c r="V430" s="100" t="str">
        <f t="shared" si="43"/>
        <v xml:space="preserve"> </v>
      </c>
      <c r="W430" s="101">
        <f t="shared" si="45"/>
        <v>24</v>
      </c>
      <c r="X430" s="102">
        <f t="shared" si="46"/>
        <v>0</v>
      </c>
      <c r="Y430" s="100" t="str">
        <f t="shared" si="47"/>
        <v xml:space="preserve"> </v>
      </c>
      <c r="Z430" s="100" t="str">
        <f t="shared" si="48"/>
        <v xml:space="preserve"> </v>
      </c>
    </row>
    <row r="431" spans="1:26">
      <c r="A431" s="100"/>
      <c r="B431" s="100" t="str">
        <f>IFERROR(VLOOKUP(Tablo520[[#This Row],[ÜRÜN KODU]],YMKODLARI!$A$1:$K$373,2,0)," ")</f>
        <v xml:space="preserve"> </v>
      </c>
      <c r="C431" s="99"/>
      <c r="D431" s="100"/>
      <c r="E431" s="101"/>
      <c r="F431" s="101"/>
      <c r="G431" s="100" t="str">
        <f>IFERROR(VLOOKUP(Tablo520[[#This Row],[ÜRÜN KODU]],YMKODLARI!$A$1:$K$373,3,0)," ")</f>
        <v xml:space="preserve"> </v>
      </c>
      <c r="H431" s="100" t="str">
        <f>IFERROR(VLOOKUP(Tablo520[[#This Row],[ÜRÜN KODU]],YMKODLARI!$A$1:$K$373,4,0)," ")</f>
        <v xml:space="preserve"> </v>
      </c>
      <c r="I431" s="100"/>
      <c r="J431" s="100" t="str">
        <f>IFERROR(VLOOKUP(Tablo520[[#This Row],[ÜRÜN KODU]],YMKODLARI!$A$1:$K$373,9,0)," ")</f>
        <v xml:space="preserve"> </v>
      </c>
      <c r="K431" s="100" t="str">
        <f>IFERROR(VLOOKUP(Tablo520[[#This Row],[BOYA KODU]],Tablo14[#All],4,0)," ")</f>
        <v xml:space="preserve"> </v>
      </c>
      <c r="L431" s="100" t="str">
        <f>IFERROR(VLOOKUP(Tablo520[[#This Row],[BOYA KODU]],Tablo14[#All],6,0)," ")</f>
        <v xml:space="preserve"> </v>
      </c>
      <c r="M431" s="100" t="str">
        <f t="shared" si="42"/>
        <v xml:space="preserve"> </v>
      </c>
      <c r="N431" s="100" t="str">
        <f>IFERROR(VLOOKUP(Tablo520[[#This Row],[ÜRÜN KODU]],YMKODLARI!$A$1:$K$373,8,0)," ")</f>
        <v xml:space="preserve"> </v>
      </c>
      <c r="O431" s="100" t="str">
        <f>IFERROR(VLOOKUP(Tablo520[[#This Row],[HAMMADDE KODU]],Tablo1[#All],3,0)," ")</f>
        <v xml:space="preserve"> </v>
      </c>
      <c r="P431" s="100" t="str">
        <f>IFERROR(VLOOKUP(Tablo520[[#This Row],[HAMMADDE KODU]],Tablo1[#All],4,0)," ")</f>
        <v xml:space="preserve"> </v>
      </c>
      <c r="Q431" s="100" t="str">
        <f>IFERROR(VLOOKUP(Tablo520[[#This Row],[ÜRÜN KODU]],YMKODLARI!$A$1:$K$373,5,0)," ")</f>
        <v xml:space="preserve"> </v>
      </c>
      <c r="R431" s="100" t="str">
        <f>IFERROR(VLOOKUP(Tablo520[[#This Row],[ÜRÜN KODU]],YMKODLARI!$A$1:$K$373,6,0)," ")</f>
        <v xml:space="preserve"> </v>
      </c>
      <c r="S431" s="100" t="str">
        <f>IFERROR(Tablo520[[#This Row],[YOLLUK HARİÇ BASKI GRAMI]]/Tablo520[[#This Row],[KALIP GÖZ ADEDİ]]," ")</f>
        <v xml:space="preserve"> </v>
      </c>
      <c r="T431" s="100" t="str">
        <f t="shared" si="44"/>
        <v xml:space="preserve"> </v>
      </c>
      <c r="U431" s="100"/>
      <c r="V431" s="100" t="str">
        <f t="shared" si="43"/>
        <v xml:space="preserve"> </v>
      </c>
      <c r="W431" s="101">
        <f t="shared" si="45"/>
        <v>24</v>
      </c>
      <c r="X431" s="102">
        <f t="shared" si="46"/>
        <v>0</v>
      </c>
      <c r="Y431" s="100" t="str">
        <f t="shared" si="47"/>
        <v xml:space="preserve"> </v>
      </c>
      <c r="Z431" s="100" t="str">
        <f t="shared" si="48"/>
        <v xml:space="preserve"> </v>
      </c>
    </row>
    <row r="432" spans="1:26">
      <c r="A432" s="100"/>
      <c r="B432" s="100" t="str">
        <f>IFERROR(VLOOKUP(Tablo520[[#This Row],[ÜRÜN KODU]],YMKODLARI!$A$1:$K$373,2,0)," ")</f>
        <v xml:space="preserve"> </v>
      </c>
      <c r="C432" s="99"/>
      <c r="D432" s="100"/>
      <c r="E432" s="101"/>
      <c r="F432" s="101"/>
      <c r="G432" s="100" t="str">
        <f>IFERROR(VLOOKUP(Tablo520[[#This Row],[ÜRÜN KODU]],YMKODLARI!$A$1:$K$373,3,0)," ")</f>
        <v xml:space="preserve"> </v>
      </c>
      <c r="H432" s="100" t="str">
        <f>IFERROR(VLOOKUP(Tablo520[[#This Row],[ÜRÜN KODU]],YMKODLARI!$A$1:$K$373,4,0)," ")</f>
        <v xml:space="preserve"> </v>
      </c>
      <c r="I432" s="100"/>
      <c r="J432" s="100" t="str">
        <f>IFERROR(VLOOKUP(Tablo520[[#This Row],[ÜRÜN KODU]],YMKODLARI!$A$1:$K$373,9,0)," ")</f>
        <v xml:space="preserve"> </v>
      </c>
      <c r="K432" s="100" t="str">
        <f>IFERROR(VLOOKUP(Tablo520[[#This Row],[BOYA KODU]],Tablo14[#All],4,0)," ")</f>
        <v xml:space="preserve"> </v>
      </c>
      <c r="L432" s="100" t="str">
        <f>IFERROR(VLOOKUP(Tablo520[[#This Row],[BOYA KODU]],Tablo14[#All],6,0)," ")</f>
        <v xml:space="preserve"> </v>
      </c>
      <c r="M432" s="100" t="str">
        <f t="shared" si="42"/>
        <v xml:space="preserve"> </v>
      </c>
      <c r="N432" s="100" t="str">
        <f>IFERROR(VLOOKUP(Tablo520[[#This Row],[ÜRÜN KODU]],YMKODLARI!$A$1:$K$373,8,0)," ")</f>
        <v xml:space="preserve"> </v>
      </c>
      <c r="O432" s="100" t="str">
        <f>IFERROR(VLOOKUP(Tablo520[[#This Row],[HAMMADDE KODU]],Tablo1[#All],3,0)," ")</f>
        <v xml:space="preserve"> </v>
      </c>
      <c r="P432" s="100" t="str">
        <f>IFERROR(VLOOKUP(Tablo520[[#This Row],[HAMMADDE KODU]],Tablo1[#All],4,0)," ")</f>
        <v xml:space="preserve"> </v>
      </c>
      <c r="Q432" s="100" t="str">
        <f>IFERROR(VLOOKUP(Tablo520[[#This Row],[ÜRÜN KODU]],YMKODLARI!$A$1:$K$373,5,0)," ")</f>
        <v xml:space="preserve"> </v>
      </c>
      <c r="R432" s="100" t="str">
        <f>IFERROR(VLOOKUP(Tablo520[[#This Row],[ÜRÜN KODU]],YMKODLARI!$A$1:$K$373,6,0)," ")</f>
        <v xml:space="preserve"> </v>
      </c>
      <c r="S432" s="100" t="str">
        <f>IFERROR(Tablo520[[#This Row],[YOLLUK HARİÇ BASKI GRAMI]]/Tablo520[[#This Row],[KALIP GÖZ ADEDİ]]," ")</f>
        <v xml:space="preserve"> </v>
      </c>
      <c r="T432" s="100" t="str">
        <f t="shared" si="44"/>
        <v xml:space="preserve"> </v>
      </c>
      <c r="U432" s="100"/>
      <c r="V432" s="100" t="str">
        <f t="shared" si="43"/>
        <v xml:space="preserve"> </v>
      </c>
      <c r="W432" s="101">
        <f t="shared" si="45"/>
        <v>24</v>
      </c>
      <c r="X432" s="102">
        <f t="shared" si="46"/>
        <v>0</v>
      </c>
      <c r="Y432" s="100" t="str">
        <f t="shared" si="47"/>
        <v xml:space="preserve"> </v>
      </c>
      <c r="Z432" s="100" t="str">
        <f t="shared" si="48"/>
        <v xml:space="preserve"> </v>
      </c>
    </row>
    <row r="433" spans="1:26">
      <c r="A433" s="100"/>
      <c r="B433" s="100" t="str">
        <f>IFERROR(VLOOKUP(Tablo520[[#This Row],[ÜRÜN KODU]],YMKODLARI!$A$1:$K$373,2,0)," ")</f>
        <v xml:space="preserve"> </v>
      </c>
      <c r="C433" s="99"/>
      <c r="D433" s="100"/>
      <c r="E433" s="101"/>
      <c r="F433" s="101"/>
      <c r="G433" s="100" t="str">
        <f>IFERROR(VLOOKUP(Tablo520[[#This Row],[ÜRÜN KODU]],YMKODLARI!$A$1:$K$373,3,0)," ")</f>
        <v xml:space="preserve"> </v>
      </c>
      <c r="H433" s="100" t="str">
        <f>IFERROR(VLOOKUP(Tablo520[[#This Row],[ÜRÜN KODU]],YMKODLARI!$A$1:$K$373,4,0)," ")</f>
        <v xml:space="preserve"> </v>
      </c>
      <c r="I433" s="100"/>
      <c r="J433" s="100" t="str">
        <f>IFERROR(VLOOKUP(Tablo520[[#This Row],[ÜRÜN KODU]],YMKODLARI!$A$1:$K$373,9,0)," ")</f>
        <v xml:space="preserve"> </v>
      </c>
      <c r="K433" s="100" t="str">
        <f>IFERROR(VLOOKUP(Tablo520[[#This Row],[BOYA KODU]],Tablo14[#All],4,0)," ")</f>
        <v xml:space="preserve"> </v>
      </c>
      <c r="L433" s="100" t="str">
        <f>IFERROR(VLOOKUP(Tablo520[[#This Row],[BOYA KODU]],Tablo14[#All],6,0)," ")</f>
        <v xml:space="preserve"> </v>
      </c>
      <c r="M433" s="100" t="str">
        <f t="shared" si="42"/>
        <v xml:space="preserve"> </v>
      </c>
      <c r="N433" s="100" t="str">
        <f>IFERROR(VLOOKUP(Tablo520[[#This Row],[ÜRÜN KODU]],YMKODLARI!$A$1:$K$373,8,0)," ")</f>
        <v xml:space="preserve"> </v>
      </c>
      <c r="O433" s="100" t="str">
        <f>IFERROR(VLOOKUP(Tablo520[[#This Row],[HAMMADDE KODU]],Tablo1[#All],3,0)," ")</f>
        <v xml:space="preserve"> </v>
      </c>
      <c r="P433" s="100" t="str">
        <f>IFERROR(VLOOKUP(Tablo520[[#This Row],[HAMMADDE KODU]],Tablo1[#All],4,0)," ")</f>
        <v xml:space="preserve"> </v>
      </c>
      <c r="Q433" s="100" t="str">
        <f>IFERROR(VLOOKUP(Tablo520[[#This Row],[ÜRÜN KODU]],YMKODLARI!$A$1:$K$373,5,0)," ")</f>
        <v xml:space="preserve"> </v>
      </c>
      <c r="R433" s="100" t="str">
        <f>IFERROR(VLOOKUP(Tablo520[[#This Row],[ÜRÜN KODU]],YMKODLARI!$A$1:$K$373,6,0)," ")</f>
        <v xml:space="preserve"> </v>
      </c>
      <c r="S433" s="100" t="str">
        <f>IFERROR(Tablo520[[#This Row],[YOLLUK HARİÇ BASKI GRAMI]]/Tablo520[[#This Row],[KALIP GÖZ ADEDİ]]," ")</f>
        <v xml:space="preserve"> </v>
      </c>
      <c r="T433" s="100" t="str">
        <f t="shared" si="44"/>
        <v xml:space="preserve"> </v>
      </c>
      <c r="U433" s="100"/>
      <c r="V433" s="100" t="str">
        <f t="shared" si="43"/>
        <v xml:space="preserve"> </v>
      </c>
      <c r="W433" s="101">
        <f t="shared" si="45"/>
        <v>24</v>
      </c>
      <c r="X433" s="102">
        <f t="shared" si="46"/>
        <v>0</v>
      </c>
      <c r="Y433" s="100" t="str">
        <f t="shared" si="47"/>
        <v xml:space="preserve"> </v>
      </c>
      <c r="Z433" s="100" t="str">
        <f t="shared" si="48"/>
        <v xml:space="preserve"> </v>
      </c>
    </row>
    <row r="434" spans="1:26">
      <c r="A434" s="100"/>
      <c r="B434" s="100" t="str">
        <f>IFERROR(VLOOKUP(Tablo520[[#This Row],[ÜRÜN KODU]],YMKODLARI!$A$1:$K$373,2,0)," ")</f>
        <v xml:space="preserve"> </v>
      </c>
      <c r="C434" s="99"/>
      <c r="D434" s="100"/>
      <c r="E434" s="101"/>
      <c r="F434" s="101"/>
      <c r="G434" s="100" t="str">
        <f>IFERROR(VLOOKUP(Tablo520[[#This Row],[ÜRÜN KODU]],YMKODLARI!$A$1:$K$373,3,0)," ")</f>
        <v xml:space="preserve"> </v>
      </c>
      <c r="H434" s="100" t="str">
        <f>IFERROR(VLOOKUP(Tablo520[[#This Row],[ÜRÜN KODU]],YMKODLARI!$A$1:$K$373,4,0)," ")</f>
        <v xml:space="preserve"> </v>
      </c>
      <c r="I434" s="100"/>
      <c r="J434" s="100" t="str">
        <f>IFERROR(VLOOKUP(Tablo520[[#This Row],[ÜRÜN KODU]],YMKODLARI!$A$1:$K$373,9,0)," ")</f>
        <v xml:space="preserve"> </v>
      </c>
      <c r="K434" s="100" t="str">
        <f>IFERROR(VLOOKUP(Tablo520[[#This Row],[BOYA KODU]],Tablo14[#All],4,0)," ")</f>
        <v xml:space="preserve"> </v>
      </c>
      <c r="L434" s="100" t="str">
        <f>IFERROR(VLOOKUP(Tablo520[[#This Row],[BOYA KODU]],Tablo14[#All],6,0)," ")</f>
        <v xml:space="preserve"> </v>
      </c>
      <c r="M434" s="100" t="str">
        <f t="shared" si="42"/>
        <v xml:space="preserve"> </v>
      </c>
      <c r="N434" s="100" t="str">
        <f>IFERROR(VLOOKUP(Tablo520[[#This Row],[ÜRÜN KODU]],YMKODLARI!$A$1:$K$373,8,0)," ")</f>
        <v xml:space="preserve"> </v>
      </c>
      <c r="O434" s="100" t="str">
        <f>IFERROR(VLOOKUP(Tablo520[[#This Row],[HAMMADDE KODU]],Tablo1[#All],3,0)," ")</f>
        <v xml:space="preserve"> </v>
      </c>
      <c r="P434" s="100" t="str">
        <f>IFERROR(VLOOKUP(Tablo520[[#This Row],[HAMMADDE KODU]],Tablo1[#All],4,0)," ")</f>
        <v xml:space="preserve"> </v>
      </c>
      <c r="Q434" s="100" t="str">
        <f>IFERROR(VLOOKUP(Tablo520[[#This Row],[ÜRÜN KODU]],YMKODLARI!$A$1:$K$373,5,0)," ")</f>
        <v xml:space="preserve"> </v>
      </c>
      <c r="R434" s="100" t="str">
        <f>IFERROR(VLOOKUP(Tablo520[[#This Row],[ÜRÜN KODU]],YMKODLARI!$A$1:$K$373,6,0)," ")</f>
        <v xml:space="preserve"> </v>
      </c>
      <c r="S434" s="100" t="str">
        <f>IFERROR(Tablo520[[#This Row],[YOLLUK HARİÇ BASKI GRAMI]]/Tablo520[[#This Row],[KALIP GÖZ ADEDİ]]," ")</f>
        <v xml:space="preserve"> </v>
      </c>
      <c r="T434" s="100" t="str">
        <f t="shared" si="44"/>
        <v xml:space="preserve"> </v>
      </c>
      <c r="U434" s="100"/>
      <c r="V434" s="100" t="str">
        <f t="shared" si="43"/>
        <v xml:space="preserve"> </v>
      </c>
      <c r="W434" s="101">
        <f t="shared" si="45"/>
        <v>24</v>
      </c>
      <c r="X434" s="102">
        <f t="shared" si="46"/>
        <v>0</v>
      </c>
      <c r="Y434" s="100" t="str">
        <f t="shared" si="47"/>
        <v xml:space="preserve"> </v>
      </c>
      <c r="Z434" s="100" t="str">
        <f t="shared" si="48"/>
        <v xml:space="preserve"> </v>
      </c>
    </row>
    <row r="435" spans="1:26">
      <c r="A435" s="100"/>
      <c r="B435" s="100" t="str">
        <f>IFERROR(VLOOKUP(Tablo520[[#This Row],[ÜRÜN KODU]],YMKODLARI!$A$1:$K$373,2,0)," ")</f>
        <v xml:space="preserve"> </v>
      </c>
      <c r="C435" s="99"/>
      <c r="D435" s="100"/>
      <c r="E435" s="101"/>
      <c r="F435" s="101"/>
      <c r="G435" s="100" t="str">
        <f>IFERROR(VLOOKUP(Tablo520[[#This Row],[ÜRÜN KODU]],YMKODLARI!$A$1:$K$373,3,0)," ")</f>
        <v xml:space="preserve"> </v>
      </c>
      <c r="H435" s="100" t="str">
        <f>IFERROR(VLOOKUP(Tablo520[[#This Row],[ÜRÜN KODU]],YMKODLARI!$A$1:$K$373,4,0)," ")</f>
        <v xml:space="preserve"> </v>
      </c>
      <c r="I435" s="100"/>
      <c r="J435" s="100" t="str">
        <f>IFERROR(VLOOKUP(Tablo520[[#This Row],[ÜRÜN KODU]],YMKODLARI!$A$1:$K$373,9,0)," ")</f>
        <v xml:space="preserve"> </v>
      </c>
      <c r="K435" s="100" t="str">
        <f>IFERROR(VLOOKUP(Tablo520[[#This Row],[BOYA KODU]],Tablo14[#All],4,0)," ")</f>
        <v xml:space="preserve"> </v>
      </c>
      <c r="L435" s="100" t="str">
        <f>IFERROR(VLOOKUP(Tablo520[[#This Row],[BOYA KODU]],Tablo14[#All],6,0)," ")</f>
        <v xml:space="preserve"> </v>
      </c>
      <c r="M435" s="100" t="str">
        <f t="shared" si="42"/>
        <v xml:space="preserve"> </v>
      </c>
      <c r="N435" s="100" t="str">
        <f>IFERROR(VLOOKUP(Tablo520[[#This Row],[ÜRÜN KODU]],YMKODLARI!$A$1:$K$373,8,0)," ")</f>
        <v xml:space="preserve"> </v>
      </c>
      <c r="O435" s="100" t="str">
        <f>IFERROR(VLOOKUP(Tablo520[[#This Row],[HAMMADDE KODU]],Tablo1[#All],3,0)," ")</f>
        <v xml:space="preserve"> </v>
      </c>
      <c r="P435" s="100" t="str">
        <f>IFERROR(VLOOKUP(Tablo520[[#This Row],[HAMMADDE KODU]],Tablo1[#All],4,0)," ")</f>
        <v xml:space="preserve"> </v>
      </c>
      <c r="Q435" s="100" t="str">
        <f>IFERROR(VLOOKUP(Tablo520[[#This Row],[ÜRÜN KODU]],YMKODLARI!$A$1:$K$373,5,0)," ")</f>
        <v xml:space="preserve"> </v>
      </c>
      <c r="R435" s="100" t="str">
        <f>IFERROR(VLOOKUP(Tablo520[[#This Row],[ÜRÜN KODU]],YMKODLARI!$A$1:$K$373,6,0)," ")</f>
        <v xml:space="preserve"> </v>
      </c>
      <c r="S435" s="100" t="str">
        <f>IFERROR(Tablo520[[#This Row],[YOLLUK HARİÇ BASKI GRAMI]]/Tablo520[[#This Row],[KALIP GÖZ ADEDİ]]," ")</f>
        <v xml:space="preserve"> </v>
      </c>
      <c r="T435" s="100" t="str">
        <f t="shared" si="44"/>
        <v xml:space="preserve"> </v>
      </c>
      <c r="U435" s="100"/>
      <c r="V435" s="100" t="str">
        <f t="shared" si="43"/>
        <v xml:space="preserve"> </v>
      </c>
      <c r="W435" s="101">
        <f t="shared" si="45"/>
        <v>24</v>
      </c>
      <c r="X435" s="102">
        <f t="shared" si="46"/>
        <v>0</v>
      </c>
      <c r="Y435" s="100" t="str">
        <f t="shared" si="47"/>
        <v xml:space="preserve"> </v>
      </c>
      <c r="Z435" s="100" t="str">
        <f t="shared" si="48"/>
        <v xml:space="preserve"> </v>
      </c>
    </row>
    <row r="436" spans="1:26">
      <c r="A436" s="100"/>
      <c r="B436" s="100" t="str">
        <f>IFERROR(VLOOKUP(Tablo520[[#This Row],[ÜRÜN KODU]],YMKODLARI!$A$1:$K$373,2,0)," ")</f>
        <v xml:space="preserve"> </v>
      </c>
      <c r="C436" s="99"/>
      <c r="D436" s="100"/>
      <c r="E436" s="101"/>
      <c r="F436" s="101"/>
      <c r="G436" s="100" t="str">
        <f>IFERROR(VLOOKUP(Tablo520[[#This Row],[ÜRÜN KODU]],YMKODLARI!$A$1:$K$373,3,0)," ")</f>
        <v xml:space="preserve"> </v>
      </c>
      <c r="H436" s="100" t="str">
        <f>IFERROR(VLOOKUP(Tablo520[[#This Row],[ÜRÜN KODU]],YMKODLARI!$A$1:$K$373,4,0)," ")</f>
        <v xml:space="preserve"> </v>
      </c>
      <c r="I436" s="100"/>
      <c r="J436" s="100" t="str">
        <f>IFERROR(VLOOKUP(Tablo520[[#This Row],[ÜRÜN KODU]],YMKODLARI!$A$1:$K$373,9,0)," ")</f>
        <v xml:space="preserve"> </v>
      </c>
      <c r="K436" s="100" t="str">
        <f>IFERROR(VLOOKUP(Tablo520[[#This Row],[BOYA KODU]],Tablo14[#All],4,0)," ")</f>
        <v xml:space="preserve"> </v>
      </c>
      <c r="L436" s="100" t="str">
        <f>IFERROR(VLOOKUP(Tablo520[[#This Row],[BOYA KODU]],Tablo14[#All],6,0)," ")</f>
        <v xml:space="preserve"> </v>
      </c>
      <c r="M436" s="100" t="str">
        <f t="shared" si="42"/>
        <v xml:space="preserve"> </v>
      </c>
      <c r="N436" s="100" t="str">
        <f>IFERROR(VLOOKUP(Tablo520[[#This Row],[ÜRÜN KODU]],YMKODLARI!$A$1:$K$373,8,0)," ")</f>
        <v xml:space="preserve"> </v>
      </c>
      <c r="O436" s="100" t="str">
        <f>IFERROR(VLOOKUP(Tablo520[[#This Row],[HAMMADDE KODU]],Tablo1[#All],3,0)," ")</f>
        <v xml:space="preserve"> </v>
      </c>
      <c r="P436" s="100" t="str">
        <f>IFERROR(VLOOKUP(Tablo520[[#This Row],[HAMMADDE KODU]],Tablo1[#All],4,0)," ")</f>
        <v xml:space="preserve"> </v>
      </c>
      <c r="Q436" s="100" t="str">
        <f>IFERROR(VLOOKUP(Tablo520[[#This Row],[ÜRÜN KODU]],YMKODLARI!$A$1:$K$373,5,0)," ")</f>
        <v xml:space="preserve"> </v>
      </c>
      <c r="R436" s="100" t="str">
        <f>IFERROR(VLOOKUP(Tablo520[[#This Row],[ÜRÜN KODU]],YMKODLARI!$A$1:$K$373,6,0)," ")</f>
        <v xml:space="preserve"> </v>
      </c>
      <c r="S436" s="100" t="str">
        <f>IFERROR(Tablo520[[#This Row],[YOLLUK HARİÇ BASKI GRAMI]]/Tablo520[[#This Row],[KALIP GÖZ ADEDİ]]," ")</f>
        <v xml:space="preserve"> </v>
      </c>
      <c r="T436" s="100" t="str">
        <f t="shared" si="44"/>
        <v xml:space="preserve"> </v>
      </c>
      <c r="U436" s="100"/>
      <c r="V436" s="100" t="str">
        <f t="shared" si="43"/>
        <v xml:space="preserve"> </v>
      </c>
      <c r="W436" s="101">
        <f t="shared" si="45"/>
        <v>24</v>
      </c>
      <c r="X436" s="102">
        <f t="shared" si="46"/>
        <v>0</v>
      </c>
      <c r="Y436" s="100" t="str">
        <f t="shared" si="47"/>
        <v xml:space="preserve"> </v>
      </c>
      <c r="Z436" s="100" t="str">
        <f t="shared" si="48"/>
        <v xml:space="preserve"> </v>
      </c>
    </row>
    <row r="437" spans="1:26">
      <c r="A437" s="100"/>
      <c r="B437" s="100" t="str">
        <f>IFERROR(VLOOKUP(Tablo520[[#This Row],[ÜRÜN KODU]],YMKODLARI!$A$1:$K$373,2,0)," ")</f>
        <v xml:space="preserve"> </v>
      </c>
      <c r="C437" s="99"/>
      <c r="D437" s="100"/>
      <c r="E437" s="101"/>
      <c r="F437" s="101"/>
      <c r="G437" s="100" t="str">
        <f>IFERROR(VLOOKUP(Tablo520[[#This Row],[ÜRÜN KODU]],YMKODLARI!$A$1:$K$373,3,0)," ")</f>
        <v xml:space="preserve"> </v>
      </c>
      <c r="H437" s="100" t="str">
        <f>IFERROR(VLOOKUP(Tablo520[[#This Row],[ÜRÜN KODU]],YMKODLARI!$A$1:$K$373,4,0)," ")</f>
        <v xml:space="preserve"> </v>
      </c>
      <c r="I437" s="100"/>
      <c r="J437" s="100" t="str">
        <f>IFERROR(VLOOKUP(Tablo520[[#This Row],[ÜRÜN KODU]],YMKODLARI!$A$1:$K$373,9,0)," ")</f>
        <v xml:space="preserve"> </v>
      </c>
      <c r="K437" s="100" t="str">
        <f>IFERROR(VLOOKUP(Tablo520[[#This Row],[BOYA KODU]],Tablo14[#All],4,0)," ")</f>
        <v xml:space="preserve"> </v>
      </c>
      <c r="L437" s="100" t="str">
        <f>IFERROR(VLOOKUP(Tablo520[[#This Row],[BOYA KODU]],Tablo14[#All],6,0)," ")</f>
        <v xml:space="preserve"> </v>
      </c>
      <c r="M437" s="100" t="str">
        <f t="shared" si="42"/>
        <v xml:space="preserve"> </v>
      </c>
      <c r="N437" s="100" t="str">
        <f>IFERROR(VLOOKUP(Tablo520[[#This Row],[ÜRÜN KODU]],YMKODLARI!$A$1:$K$373,8,0)," ")</f>
        <v xml:space="preserve"> </v>
      </c>
      <c r="O437" s="100" t="str">
        <f>IFERROR(VLOOKUP(Tablo520[[#This Row],[HAMMADDE KODU]],Tablo1[#All],3,0)," ")</f>
        <v xml:space="preserve"> </v>
      </c>
      <c r="P437" s="100" t="str">
        <f>IFERROR(VLOOKUP(Tablo520[[#This Row],[HAMMADDE KODU]],Tablo1[#All],4,0)," ")</f>
        <v xml:space="preserve"> </v>
      </c>
      <c r="Q437" s="100" t="str">
        <f>IFERROR(VLOOKUP(Tablo520[[#This Row],[ÜRÜN KODU]],YMKODLARI!$A$1:$K$373,5,0)," ")</f>
        <v xml:space="preserve"> </v>
      </c>
      <c r="R437" s="100" t="str">
        <f>IFERROR(VLOOKUP(Tablo520[[#This Row],[ÜRÜN KODU]],YMKODLARI!$A$1:$K$373,6,0)," ")</f>
        <v xml:space="preserve"> </v>
      </c>
      <c r="S437" s="100" t="str">
        <f>IFERROR(Tablo520[[#This Row],[YOLLUK HARİÇ BASKI GRAMI]]/Tablo520[[#This Row],[KALIP GÖZ ADEDİ]]," ")</f>
        <v xml:space="preserve"> </v>
      </c>
      <c r="T437" s="100" t="str">
        <f t="shared" si="44"/>
        <v xml:space="preserve"> </v>
      </c>
      <c r="U437" s="100"/>
      <c r="V437" s="100" t="str">
        <f t="shared" si="43"/>
        <v xml:space="preserve"> </v>
      </c>
      <c r="W437" s="101">
        <f t="shared" si="45"/>
        <v>24</v>
      </c>
      <c r="X437" s="102">
        <f t="shared" si="46"/>
        <v>0</v>
      </c>
      <c r="Y437" s="100" t="str">
        <f t="shared" si="47"/>
        <v xml:space="preserve"> </v>
      </c>
      <c r="Z437" s="100" t="str">
        <f t="shared" si="48"/>
        <v xml:space="preserve"> </v>
      </c>
    </row>
    <row r="438" spans="1:26">
      <c r="A438" s="100"/>
      <c r="B438" s="100" t="str">
        <f>IFERROR(VLOOKUP(Tablo520[[#This Row],[ÜRÜN KODU]],YMKODLARI!$A$1:$K$373,2,0)," ")</f>
        <v xml:space="preserve"> </v>
      </c>
      <c r="C438" s="99"/>
      <c r="D438" s="100"/>
      <c r="E438" s="101"/>
      <c r="F438" s="101"/>
      <c r="G438" s="100" t="str">
        <f>IFERROR(VLOOKUP(Tablo520[[#This Row],[ÜRÜN KODU]],YMKODLARI!$A$1:$K$373,3,0)," ")</f>
        <v xml:space="preserve"> </v>
      </c>
      <c r="H438" s="100" t="str">
        <f>IFERROR(VLOOKUP(Tablo520[[#This Row],[ÜRÜN KODU]],YMKODLARI!$A$1:$K$373,4,0)," ")</f>
        <v xml:space="preserve"> </v>
      </c>
      <c r="I438" s="100"/>
      <c r="J438" s="100" t="str">
        <f>IFERROR(VLOOKUP(Tablo520[[#This Row],[ÜRÜN KODU]],YMKODLARI!$A$1:$K$373,9,0)," ")</f>
        <v xml:space="preserve"> </v>
      </c>
      <c r="K438" s="100" t="str">
        <f>IFERROR(VLOOKUP(Tablo520[[#This Row],[BOYA KODU]],Tablo14[#All],4,0)," ")</f>
        <v xml:space="preserve"> </v>
      </c>
      <c r="L438" s="100" t="str">
        <f>IFERROR(VLOOKUP(Tablo520[[#This Row],[BOYA KODU]],Tablo14[#All],6,0)," ")</f>
        <v xml:space="preserve"> </v>
      </c>
      <c r="M438" s="100" t="str">
        <f t="shared" si="42"/>
        <v xml:space="preserve"> </v>
      </c>
      <c r="N438" s="100" t="str">
        <f>IFERROR(VLOOKUP(Tablo520[[#This Row],[ÜRÜN KODU]],YMKODLARI!$A$1:$K$373,8,0)," ")</f>
        <v xml:space="preserve"> </v>
      </c>
      <c r="O438" s="100" t="str">
        <f>IFERROR(VLOOKUP(Tablo520[[#This Row],[HAMMADDE KODU]],Tablo1[#All],3,0)," ")</f>
        <v xml:space="preserve"> </v>
      </c>
      <c r="P438" s="100" t="str">
        <f>IFERROR(VLOOKUP(Tablo520[[#This Row],[HAMMADDE KODU]],Tablo1[#All],4,0)," ")</f>
        <v xml:space="preserve"> </v>
      </c>
      <c r="Q438" s="100" t="str">
        <f>IFERROR(VLOOKUP(Tablo520[[#This Row],[ÜRÜN KODU]],YMKODLARI!$A$1:$K$373,5,0)," ")</f>
        <v xml:space="preserve"> </v>
      </c>
      <c r="R438" s="100" t="str">
        <f>IFERROR(VLOOKUP(Tablo520[[#This Row],[ÜRÜN KODU]],YMKODLARI!$A$1:$K$373,6,0)," ")</f>
        <v xml:space="preserve"> </v>
      </c>
      <c r="S438" s="100" t="str">
        <f>IFERROR(Tablo520[[#This Row],[YOLLUK HARİÇ BASKI GRAMI]]/Tablo520[[#This Row],[KALIP GÖZ ADEDİ]]," ")</f>
        <v xml:space="preserve"> </v>
      </c>
      <c r="T438" s="100" t="str">
        <f t="shared" si="44"/>
        <v xml:space="preserve"> </v>
      </c>
      <c r="U438" s="100"/>
      <c r="V438" s="100" t="str">
        <f t="shared" si="43"/>
        <v xml:space="preserve"> </v>
      </c>
      <c r="W438" s="101">
        <f t="shared" si="45"/>
        <v>24</v>
      </c>
      <c r="X438" s="102">
        <f t="shared" si="46"/>
        <v>0</v>
      </c>
      <c r="Y438" s="100" t="str">
        <f t="shared" si="47"/>
        <v xml:space="preserve"> </v>
      </c>
      <c r="Z438" s="100" t="str">
        <f t="shared" si="48"/>
        <v xml:space="preserve"> </v>
      </c>
    </row>
    <row r="439" spans="1:26">
      <c r="A439" s="100"/>
      <c r="B439" s="100" t="str">
        <f>IFERROR(VLOOKUP(Tablo520[[#This Row],[ÜRÜN KODU]],YMKODLARI!$A$1:$K$373,2,0)," ")</f>
        <v xml:space="preserve"> </v>
      </c>
      <c r="C439" s="99"/>
      <c r="D439" s="100"/>
      <c r="E439" s="101"/>
      <c r="F439" s="101"/>
      <c r="G439" s="100" t="str">
        <f>IFERROR(VLOOKUP(Tablo520[[#This Row],[ÜRÜN KODU]],YMKODLARI!$A$1:$K$373,3,0)," ")</f>
        <v xml:space="preserve"> </v>
      </c>
      <c r="H439" s="100" t="str">
        <f>IFERROR(VLOOKUP(Tablo520[[#This Row],[ÜRÜN KODU]],YMKODLARI!$A$1:$K$373,4,0)," ")</f>
        <v xml:space="preserve"> </v>
      </c>
      <c r="I439" s="100"/>
      <c r="J439" s="100" t="str">
        <f>IFERROR(VLOOKUP(Tablo520[[#This Row],[ÜRÜN KODU]],YMKODLARI!$A$1:$K$373,9,0)," ")</f>
        <v xml:space="preserve"> </v>
      </c>
      <c r="K439" s="100" t="str">
        <f>IFERROR(VLOOKUP(Tablo520[[#This Row],[BOYA KODU]],Tablo14[#All],4,0)," ")</f>
        <v xml:space="preserve"> </v>
      </c>
      <c r="L439" s="100" t="str">
        <f>IFERROR(VLOOKUP(Tablo520[[#This Row],[BOYA KODU]],Tablo14[#All],6,0)," ")</f>
        <v xml:space="preserve"> </v>
      </c>
      <c r="M439" s="100" t="str">
        <f t="shared" si="42"/>
        <v xml:space="preserve"> </v>
      </c>
      <c r="N439" s="100" t="str">
        <f>IFERROR(VLOOKUP(Tablo520[[#This Row],[ÜRÜN KODU]],YMKODLARI!$A$1:$K$373,8,0)," ")</f>
        <v xml:space="preserve"> </v>
      </c>
      <c r="O439" s="100" t="str">
        <f>IFERROR(VLOOKUP(Tablo520[[#This Row],[HAMMADDE KODU]],Tablo1[#All],3,0)," ")</f>
        <v xml:space="preserve"> </v>
      </c>
      <c r="P439" s="100" t="str">
        <f>IFERROR(VLOOKUP(Tablo520[[#This Row],[HAMMADDE KODU]],Tablo1[#All],4,0)," ")</f>
        <v xml:space="preserve"> </v>
      </c>
      <c r="Q439" s="100" t="str">
        <f>IFERROR(VLOOKUP(Tablo520[[#This Row],[ÜRÜN KODU]],YMKODLARI!$A$1:$K$373,5,0)," ")</f>
        <v xml:space="preserve"> </v>
      </c>
      <c r="R439" s="100" t="str">
        <f>IFERROR(VLOOKUP(Tablo520[[#This Row],[ÜRÜN KODU]],YMKODLARI!$A$1:$K$373,6,0)," ")</f>
        <v xml:space="preserve"> </v>
      </c>
      <c r="S439" s="100" t="str">
        <f>IFERROR(Tablo520[[#This Row],[YOLLUK HARİÇ BASKI GRAMI]]/Tablo520[[#This Row],[KALIP GÖZ ADEDİ]]," ")</f>
        <v xml:space="preserve"> </v>
      </c>
      <c r="T439" s="100" t="str">
        <f t="shared" si="44"/>
        <v xml:space="preserve"> </v>
      </c>
      <c r="U439" s="100"/>
      <c r="V439" s="100" t="str">
        <f t="shared" si="43"/>
        <v xml:space="preserve"> </v>
      </c>
      <c r="W439" s="101">
        <f t="shared" si="45"/>
        <v>24</v>
      </c>
      <c r="X439" s="102">
        <f t="shared" si="46"/>
        <v>0</v>
      </c>
      <c r="Y439" s="100" t="str">
        <f t="shared" si="47"/>
        <v xml:space="preserve"> </v>
      </c>
      <c r="Z439" s="100" t="str">
        <f t="shared" si="48"/>
        <v xml:space="preserve"> </v>
      </c>
    </row>
    <row r="440" spans="1:26">
      <c r="A440" s="100"/>
      <c r="B440" s="100" t="str">
        <f>IFERROR(VLOOKUP(Tablo520[[#This Row],[ÜRÜN KODU]],YMKODLARI!$A$1:$K$373,2,0)," ")</f>
        <v xml:space="preserve"> </v>
      </c>
      <c r="C440" s="99"/>
      <c r="D440" s="100"/>
      <c r="E440" s="101"/>
      <c r="F440" s="101"/>
      <c r="G440" s="100" t="str">
        <f>IFERROR(VLOOKUP(Tablo520[[#This Row],[ÜRÜN KODU]],YMKODLARI!$A$1:$K$373,3,0)," ")</f>
        <v xml:space="preserve"> </v>
      </c>
      <c r="H440" s="100" t="str">
        <f>IFERROR(VLOOKUP(Tablo520[[#This Row],[ÜRÜN KODU]],YMKODLARI!$A$1:$K$373,4,0)," ")</f>
        <v xml:space="preserve"> </v>
      </c>
      <c r="I440" s="100"/>
      <c r="J440" s="100" t="str">
        <f>IFERROR(VLOOKUP(Tablo520[[#This Row],[ÜRÜN KODU]],YMKODLARI!$A$1:$K$373,9,0)," ")</f>
        <v xml:space="preserve"> </v>
      </c>
      <c r="K440" s="100" t="str">
        <f>IFERROR(VLOOKUP(Tablo520[[#This Row],[BOYA KODU]],Tablo14[#All],4,0)," ")</f>
        <v xml:space="preserve"> </v>
      </c>
      <c r="L440" s="100" t="str">
        <f>IFERROR(VLOOKUP(Tablo520[[#This Row],[BOYA KODU]],Tablo14[#All],6,0)," ")</f>
        <v xml:space="preserve"> </v>
      </c>
      <c r="M440" s="100" t="str">
        <f t="shared" si="42"/>
        <v xml:space="preserve"> </v>
      </c>
      <c r="N440" s="100" t="str">
        <f>IFERROR(VLOOKUP(Tablo520[[#This Row],[ÜRÜN KODU]],YMKODLARI!$A$1:$K$373,8,0)," ")</f>
        <v xml:space="preserve"> </v>
      </c>
      <c r="O440" s="100" t="str">
        <f>IFERROR(VLOOKUP(Tablo520[[#This Row],[HAMMADDE KODU]],Tablo1[#All],3,0)," ")</f>
        <v xml:space="preserve"> </v>
      </c>
      <c r="P440" s="100" t="str">
        <f>IFERROR(VLOOKUP(Tablo520[[#This Row],[HAMMADDE KODU]],Tablo1[#All],4,0)," ")</f>
        <v xml:space="preserve"> </v>
      </c>
      <c r="Q440" s="100" t="str">
        <f>IFERROR(VLOOKUP(Tablo520[[#This Row],[ÜRÜN KODU]],YMKODLARI!$A$1:$K$373,5,0)," ")</f>
        <v xml:space="preserve"> </v>
      </c>
      <c r="R440" s="100" t="str">
        <f>IFERROR(VLOOKUP(Tablo520[[#This Row],[ÜRÜN KODU]],YMKODLARI!$A$1:$K$373,6,0)," ")</f>
        <v xml:space="preserve"> </v>
      </c>
      <c r="S440" s="100" t="str">
        <f>IFERROR(Tablo520[[#This Row],[YOLLUK HARİÇ BASKI GRAMI]]/Tablo520[[#This Row],[KALIP GÖZ ADEDİ]]," ")</f>
        <v xml:space="preserve"> </v>
      </c>
      <c r="T440" s="100" t="str">
        <f t="shared" si="44"/>
        <v xml:space="preserve"> </v>
      </c>
      <c r="U440" s="100"/>
      <c r="V440" s="100" t="str">
        <f t="shared" si="43"/>
        <v xml:space="preserve"> </v>
      </c>
      <c r="W440" s="101">
        <f t="shared" si="45"/>
        <v>24</v>
      </c>
      <c r="X440" s="102">
        <f t="shared" si="46"/>
        <v>0</v>
      </c>
      <c r="Y440" s="100" t="str">
        <f t="shared" si="47"/>
        <v xml:space="preserve"> </v>
      </c>
      <c r="Z440" s="100" t="str">
        <f t="shared" si="48"/>
        <v xml:space="preserve"> </v>
      </c>
    </row>
    <row r="441" spans="1:26">
      <c r="A441" s="100"/>
      <c r="B441" s="100" t="str">
        <f>IFERROR(VLOOKUP(Tablo520[[#This Row],[ÜRÜN KODU]],YMKODLARI!$A$1:$K$373,2,0)," ")</f>
        <v xml:space="preserve"> </v>
      </c>
      <c r="C441" s="99"/>
      <c r="D441" s="100"/>
      <c r="E441" s="101"/>
      <c r="F441" s="101"/>
      <c r="G441" s="100" t="str">
        <f>IFERROR(VLOOKUP(Tablo520[[#This Row],[ÜRÜN KODU]],YMKODLARI!$A$1:$K$373,3,0)," ")</f>
        <v xml:space="preserve"> </v>
      </c>
      <c r="H441" s="100" t="str">
        <f>IFERROR(VLOOKUP(Tablo520[[#This Row],[ÜRÜN KODU]],YMKODLARI!$A$1:$K$373,4,0)," ")</f>
        <v xml:space="preserve"> </v>
      </c>
      <c r="I441" s="100"/>
      <c r="J441" s="100" t="str">
        <f>IFERROR(VLOOKUP(Tablo520[[#This Row],[ÜRÜN KODU]],YMKODLARI!$A$1:$K$373,9,0)," ")</f>
        <v xml:space="preserve"> </v>
      </c>
      <c r="K441" s="100" t="str">
        <f>IFERROR(VLOOKUP(Tablo520[[#This Row],[BOYA KODU]],Tablo14[#All],4,0)," ")</f>
        <v xml:space="preserve"> </v>
      </c>
      <c r="L441" s="100" t="str">
        <f>IFERROR(VLOOKUP(Tablo520[[#This Row],[BOYA KODU]],Tablo14[#All],6,0)," ")</f>
        <v xml:space="preserve"> </v>
      </c>
      <c r="M441" s="100" t="str">
        <f t="shared" si="42"/>
        <v xml:space="preserve"> </v>
      </c>
      <c r="N441" s="100" t="str">
        <f>IFERROR(VLOOKUP(Tablo520[[#This Row],[ÜRÜN KODU]],YMKODLARI!$A$1:$K$373,8,0)," ")</f>
        <v xml:space="preserve"> </v>
      </c>
      <c r="O441" s="100" t="str">
        <f>IFERROR(VLOOKUP(Tablo520[[#This Row],[HAMMADDE KODU]],Tablo1[#All],3,0)," ")</f>
        <v xml:space="preserve"> </v>
      </c>
      <c r="P441" s="100" t="str">
        <f>IFERROR(VLOOKUP(Tablo520[[#This Row],[HAMMADDE KODU]],Tablo1[#All],4,0)," ")</f>
        <v xml:space="preserve"> </v>
      </c>
      <c r="Q441" s="100" t="str">
        <f>IFERROR(VLOOKUP(Tablo520[[#This Row],[ÜRÜN KODU]],YMKODLARI!$A$1:$K$373,5,0)," ")</f>
        <v xml:space="preserve"> </v>
      </c>
      <c r="R441" s="100" t="str">
        <f>IFERROR(VLOOKUP(Tablo520[[#This Row],[ÜRÜN KODU]],YMKODLARI!$A$1:$K$373,6,0)," ")</f>
        <v xml:space="preserve"> </v>
      </c>
      <c r="S441" s="100" t="str">
        <f>IFERROR(Tablo520[[#This Row],[YOLLUK HARİÇ BASKI GRAMI]]/Tablo520[[#This Row],[KALIP GÖZ ADEDİ]]," ")</f>
        <v xml:space="preserve"> </v>
      </c>
      <c r="T441" s="100" t="str">
        <f t="shared" si="44"/>
        <v xml:space="preserve"> </v>
      </c>
      <c r="U441" s="100"/>
      <c r="V441" s="100" t="str">
        <f t="shared" si="43"/>
        <v xml:space="preserve"> </v>
      </c>
      <c r="W441" s="101">
        <f t="shared" si="45"/>
        <v>24</v>
      </c>
      <c r="X441" s="102">
        <f t="shared" si="46"/>
        <v>0</v>
      </c>
      <c r="Y441" s="100" t="str">
        <f t="shared" si="47"/>
        <v xml:space="preserve"> </v>
      </c>
      <c r="Z441" s="100" t="str">
        <f t="shared" si="48"/>
        <v xml:space="preserve"> </v>
      </c>
    </row>
    <row r="442" spans="1:26">
      <c r="A442" s="100"/>
      <c r="B442" s="100" t="str">
        <f>IFERROR(VLOOKUP(Tablo520[[#This Row],[ÜRÜN KODU]],YMKODLARI!$A$1:$K$373,2,0)," ")</f>
        <v xml:space="preserve"> </v>
      </c>
      <c r="C442" s="99"/>
      <c r="D442" s="100"/>
      <c r="E442" s="101"/>
      <c r="F442" s="101"/>
      <c r="G442" s="100" t="str">
        <f>IFERROR(VLOOKUP(Tablo520[[#This Row],[ÜRÜN KODU]],YMKODLARI!$A$1:$K$373,3,0)," ")</f>
        <v xml:space="preserve"> </v>
      </c>
      <c r="H442" s="100" t="str">
        <f>IFERROR(VLOOKUP(Tablo520[[#This Row],[ÜRÜN KODU]],YMKODLARI!$A$1:$K$373,4,0)," ")</f>
        <v xml:space="preserve"> </v>
      </c>
      <c r="I442" s="100"/>
      <c r="J442" s="100" t="str">
        <f>IFERROR(VLOOKUP(Tablo520[[#This Row],[ÜRÜN KODU]],YMKODLARI!$A$1:$K$373,9,0)," ")</f>
        <v xml:space="preserve"> </v>
      </c>
      <c r="K442" s="100" t="str">
        <f>IFERROR(VLOOKUP(Tablo520[[#This Row],[BOYA KODU]],Tablo14[#All],4,0)," ")</f>
        <v xml:space="preserve"> </v>
      </c>
      <c r="L442" s="100" t="str">
        <f>IFERROR(VLOOKUP(Tablo520[[#This Row],[BOYA KODU]],Tablo14[#All],6,0)," ")</f>
        <v xml:space="preserve"> </v>
      </c>
      <c r="M442" s="100" t="str">
        <f t="shared" si="42"/>
        <v xml:space="preserve"> </v>
      </c>
      <c r="N442" s="100" t="str">
        <f>IFERROR(VLOOKUP(Tablo520[[#This Row],[ÜRÜN KODU]],YMKODLARI!$A$1:$K$373,8,0)," ")</f>
        <v xml:space="preserve"> </v>
      </c>
      <c r="O442" s="100" t="str">
        <f>IFERROR(VLOOKUP(Tablo520[[#This Row],[HAMMADDE KODU]],Tablo1[#All],3,0)," ")</f>
        <v xml:space="preserve"> </v>
      </c>
      <c r="P442" s="100" t="str">
        <f>IFERROR(VLOOKUP(Tablo520[[#This Row],[HAMMADDE KODU]],Tablo1[#All],4,0)," ")</f>
        <v xml:space="preserve"> </v>
      </c>
      <c r="Q442" s="100" t="str">
        <f>IFERROR(VLOOKUP(Tablo520[[#This Row],[ÜRÜN KODU]],YMKODLARI!$A$1:$K$373,5,0)," ")</f>
        <v xml:space="preserve"> </v>
      </c>
      <c r="R442" s="100" t="str">
        <f>IFERROR(VLOOKUP(Tablo520[[#This Row],[ÜRÜN KODU]],YMKODLARI!$A$1:$K$373,6,0)," ")</f>
        <v xml:space="preserve"> </v>
      </c>
      <c r="S442" s="100" t="str">
        <f>IFERROR(Tablo520[[#This Row],[YOLLUK HARİÇ BASKI GRAMI]]/Tablo520[[#This Row],[KALIP GÖZ ADEDİ]]," ")</f>
        <v xml:space="preserve"> </v>
      </c>
      <c r="T442" s="100" t="str">
        <f t="shared" si="44"/>
        <v xml:space="preserve"> </v>
      </c>
      <c r="U442" s="100"/>
      <c r="V442" s="100" t="str">
        <f t="shared" si="43"/>
        <v xml:space="preserve"> </v>
      </c>
      <c r="W442" s="101">
        <f t="shared" si="45"/>
        <v>24</v>
      </c>
      <c r="X442" s="102">
        <f t="shared" si="46"/>
        <v>0</v>
      </c>
      <c r="Y442" s="100" t="str">
        <f t="shared" si="47"/>
        <v xml:space="preserve"> </v>
      </c>
      <c r="Z442" s="100" t="str">
        <f t="shared" si="48"/>
        <v xml:space="preserve"> </v>
      </c>
    </row>
    <row r="443" spans="1:26">
      <c r="A443" s="100"/>
      <c r="B443" s="100" t="str">
        <f>IFERROR(VLOOKUP(Tablo520[[#This Row],[ÜRÜN KODU]],YMKODLARI!$A$1:$K$373,2,0)," ")</f>
        <v xml:space="preserve"> </v>
      </c>
      <c r="C443" s="99"/>
      <c r="D443" s="100"/>
      <c r="E443" s="101"/>
      <c r="F443" s="101"/>
      <c r="G443" s="100" t="str">
        <f>IFERROR(VLOOKUP(Tablo520[[#This Row],[ÜRÜN KODU]],YMKODLARI!$A$1:$K$373,3,0)," ")</f>
        <v xml:space="preserve"> </v>
      </c>
      <c r="H443" s="100" t="str">
        <f>IFERROR(VLOOKUP(Tablo520[[#This Row],[ÜRÜN KODU]],YMKODLARI!$A$1:$K$373,4,0)," ")</f>
        <v xml:space="preserve"> </v>
      </c>
      <c r="I443" s="100"/>
      <c r="J443" s="100" t="str">
        <f>IFERROR(VLOOKUP(Tablo520[[#This Row],[ÜRÜN KODU]],YMKODLARI!$A$1:$K$373,9,0)," ")</f>
        <v xml:space="preserve"> </v>
      </c>
      <c r="K443" s="100" t="str">
        <f>IFERROR(VLOOKUP(Tablo520[[#This Row],[BOYA KODU]],Tablo14[#All],4,0)," ")</f>
        <v xml:space="preserve"> </v>
      </c>
      <c r="L443" s="100" t="str">
        <f>IFERROR(VLOOKUP(Tablo520[[#This Row],[BOYA KODU]],Tablo14[#All],6,0)," ")</f>
        <v xml:space="preserve"> </v>
      </c>
      <c r="M443" s="100" t="str">
        <f t="shared" si="42"/>
        <v xml:space="preserve"> </v>
      </c>
      <c r="N443" s="100" t="str">
        <f>IFERROR(VLOOKUP(Tablo520[[#This Row],[ÜRÜN KODU]],YMKODLARI!$A$1:$K$373,8,0)," ")</f>
        <v xml:space="preserve"> </v>
      </c>
      <c r="O443" s="100" t="str">
        <f>IFERROR(VLOOKUP(Tablo520[[#This Row],[HAMMADDE KODU]],Tablo1[#All],3,0)," ")</f>
        <v xml:space="preserve"> </v>
      </c>
      <c r="P443" s="100" t="str">
        <f>IFERROR(VLOOKUP(Tablo520[[#This Row],[HAMMADDE KODU]],Tablo1[#All],4,0)," ")</f>
        <v xml:space="preserve"> </v>
      </c>
      <c r="Q443" s="100" t="str">
        <f>IFERROR(VLOOKUP(Tablo520[[#This Row],[ÜRÜN KODU]],YMKODLARI!$A$1:$K$373,5,0)," ")</f>
        <v xml:space="preserve"> </v>
      </c>
      <c r="R443" s="100" t="str">
        <f>IFERROR(VLOOKUP(Tablo520[[#This Row],[ÜRÜN KODU]],YMKODLARI!$A$1:$K$373,6,0)," ")</f>
        <v xml:space="preserve"> </v>
      </c>
      <c r="S443" s="100" t="str">
        <f>IFERROR(Tablo520[[#This Row],[YOLLUK HARİÇ BASKI GRAMI]]/Tablo520[[#This Row],[KALIP GÖZ ADEDİ]]," ")</f>
        <v xml:space="preserve"> </v>
      </c>
      <c r="T443" s="100" t="str">
        <f t="shared" si="44"/>
        <v xml:space="preserve"> </v>
      </c>
      <c r="U443" s="100"/>
      <c r="V443" s="100" t="str">
        <f t="shared" si="43"/>
        <v xml:space="preserve"> </v>
      </c>
      <c r="W443" s="101">
        <f t="shared" si="45"/>
        <v>24</v>
      </c>
      <c r="X443" s="102">
        <f t="shared" si="46"/>
        <v>0</v>
      </c>
      <c r="Y443" s="100" t="str">
        <f t="shared" si="47"/>
        <v xml:space="preserve"> </v>
      </c>
      <c r="Z443" s="100" t="str">
        <f t="shared" si="48"/>
        <v xml:space="preserve"> </v>
      </c>
    </row>
    <row r="444" spans="1:26">
      <c r="A444" s="100"/>
      <c r="B444" s="100" t="str">
        <f>IFERROR(VLOOKUP(Tablo520[[#This Row],[ÜRÜN KODU]],YMKODLARI!$A$1:$K$373,2,0)," ")</f>
        <v xml:space="preserve"> </v>
      </c>
      <c r="C444" s="99"/>
      <c r="D444" s="100"/>
      <c r="E444" s="101"/>
      <c r="F444" s="101"/>
      <c r="G444" s="100" t="str">
        <f>IFERROR(VLOOKUP(Tablo520[[#This Row],[ÜRÜN KODU]],YMKODLARI!$A$1:$K$373,3,0)," ")</f>
        <v xml:space="preserve"> </v>
      </c>
      <c r="H444" s="100" t="str">
        <f>IFERROR(VLOOKUP(Tablo520[[#This Row],[ÜRÜN KODU]],YMKODLARI!$A$1:$K$373,4,0)," ")</f>
        <v xml:space="preserve"> </v>
      </c>
      <c r="I444" s="100"/>
      <c r="J444" s="100" t="str">
        <f>IFERROR(VLOOKUP(Tablo520[[#This Row],[ÜRÜN KODU]],YMKODLARI!$A$1:$K$373,9,0)," ")</f>
        <v xml:space="preserve"> </v>
      </c>
      <c r="K444" s="100" t="str">
        <f>IFERROR(VLOOKUP(Tablo520[[#This Row],[BOYA KODU]],Tablo14[#All],4,0)," ")</f>
        <v xml:space="preserve"> </v>
      </c>
      <c r="L444" s="100" t="str">
        <f>IFERROR(VLOOKUP(Tablo520[[#This Row],[BOYA KODU]],Tablo14[#All],6,0)," ")</f>
        <v xml:space="preserve"> </v>
      </c>
      <c r="M444" s="100" t="str">
        <f t="shared" si="42"/>
        <v xml:space="preserve"> </v>
      </c>
      <c r="N444" s="100" t="str">
        <f>IFERROR(VLOOKUP(Tablo520[[#This Row],[ÜRÜN KODU]],YMKODLARI!$A$1:$K$373,8,0)," ")</f>
        <v xml:space="preserve"> </v>
      </c>
      <c r="O444" s="100" t="str">
        <f>IFERROR(VLOOKUP(Tablo520[[#This Row],[HAMMADDE KODU]],Tablo1[#All],3,0)," ")</f>
        <v xml:space="preserve"> </v>
      </c>
      <c r="P444" s="100" t="str">
        <f>IFERROR(VLOOKUP(Tablo520[[#This Row],[HAMMADDE KODU]],Tablo1[#All],4,0)," ")</f>
        <v xml:space="preserve"> </v>
      </c>
      <c r="Q444" s="100" t="str">
        <f>IFERROR(VLOOKUP(Tablo520[[#This Row],[ÜRÜN KODU]],YMKODLARI!$A$1:$K$373,5,0)," ")</f>
        <v xml:space="preserve"> </v>
      </c>
      <c r="R444" s="100" t="str">
        <f>IFERROR(VLOOKUP(Tablo520[[#This Row],[ÜRÜN KODU]],YMKODLARI!$A$1:$K$373,6,0)," ")</f>
        <v xml:space="preserve"> </v>
      </c>
      <c r="S444" s="100" t="str">
        <f>IFERROR(Tablo520[[#This Row],[YOLLUK HARİÇ BASKI GRAMI]]/Tablo520[[#This Row],[KALIP GÖZ ADEDİ]]," ")</f>
        <v xml:space="preserve"> </v>
      </c>
      <c r="T444" s="100" t="str">
        <f t="shared" si="44"/>
        <v xml:space="preserve"> </v>
      </c>
      <c r="U444" s="100"/>
      <c r="V444" s="100" t="str">
        <f t="shared" si="43"/>
        <v xml:space="preserve"> </v>
      </c>
      <c r="W444" s="101">
        <f t="shared" si="45"/>
        <v>24</v>
      </c>
      <c r="X444" s="102">
        <f t="shared" si="46"/>
        <v>0</v>
      </c>
      <c r="Y444" s="100" t="str">
        <f t="shared" si="47"/>
        <v xml:space="preserve"> </v>
      </c>
      <c r="Z444" s="100" t="str">
        <f t="shared" si="48"/>
        <v xml:space="preserve"> </v>
      </c>
    </row>
    <row r="445" spans="1:26">
      <c r="A445" s="100"/>
      <c r="B445" s="100" t="str">
        <f>IFERROR(VLOOKUP(Tablo520[[#This Row],[ÜRÜN KODU]],YMKODLARI!$A$1:$K$373,2,0)," ")</f>
        <v xml:space="preserve"> </v>
      </c>
      <c r="C445" s="99"/>
      <c r="D445" s="100"/>
      <c r="E445" s="101"/>
      <c r="F445" s="101"/>
      <c r="G445" s="100" t="str">
        <f>IFERROR(VLOOKUP(Tablo520[[#This Row],[ÜRÜN KODU]],YMKODLARI!$A$1:$K$373,3,0)," ")</f>
        <v xml:space="preserve"> </v>
      </c>
      <c r="H445" s="100" t="str">
        <f>IFERROR(VLOOKUP(Tablo520[[#This Row],[ÜRÜN KODU]],YMKODLARI!$A$1:$K$373,4,0)," ")</f>
        <v xml:space="preserve"> </v>
      </c>
      <c r="I445" s="100"/>
      <c r="J445" s="100" t="str">
        <f>IFERROR(VLOOKUP(Tablo520[[#This Row],[ÜRÜN KODU]],YMKODLARI!$A$1:$K$373,9,0)," ")</f>
        <v xml:space="preserve"> </v>
      </c>
      <c r="K445" s="100" t="str">
        <f>IFERROR(VLOOKUP(Tablo520[[#This Row],[BOYA KODU]],Tablo14[#All],4,0)," ")</f>
        <v xml:space="preserve"> </v>
      </c>
      <c r="L445" s="100" t="str">
        <f>IFERROR(VLOOKUP(Tablo520[[#This Row],[BOYA KODU]],Tablo14[#All],6,0)," ")</f>
        <v xml:space="preserve"> </v>
      </c>
      <c r="M445" s="100" t="str">
        <f t="shared" si="42"/>
        <v xml:space="preserve"> </v>
      </c>
      <c r="N445" s="100" t="str">
        <f>IFERROR(VLOOKUP(Tablo520[[#This Row],[ÜRÜN KODU]],YMKODLARI!$A$1:$K$373,8,0)," ")</f>
        <v xml:space="preserve"> </v>
      </c>
      <c r="O445" s="100" t="str">
        <f>IFERROR(VLOOKUP(Tablo520[[#This Row],[HAMMADDE KODU]],Tablo1[#All],3,0)," ")</f>
        <v xml:space="preserve"> </v>
      </c>
      <c r="P445" s="100" t="str">
        <f>IFERROR(VLOOKUP(Tablo520[[#This Row],[HAMMADDE KODU]],Tablo1[#All],4,0)," ")</f>
        <v xml:space="preserve"> </v>
      </c>
      <c r="Q445" s="100" t="str">
        <f>IFERROR(VLOOKUP(Tablo520[[#This Row],[ÜRÜN KODU]],YMKODLARI!$A$1:$K$373,5,0)," ")</f>
        <v xml:space="preserve"> </v>
      </c>
      <c r="R445" s="100" t="str">
        <f>IFERROR(VLOOKUP(Tablo520[[#This Row],[ÜRÜN KODU]],YMKODLARI!$A$1:$K$373,6,0)," ")</f>
        <v xml:space="preserve"> </v>
      </c>
      <c r="S445" s="100" t="str">
        <f>IFERROR(Tablo520[[#This Row],[YOLLUK HARİÇ BASKI GRAMI]]/Tablo520[[#This Row],[KALIP GÖZ ADEDİ]]," ")</f>
        <v xml:space="preserve"> </v>
      </c>
      <c r="T445" s="100" t="str">
        <f t="shared" si="44"/>
        <v xml:space="preserve"> </v>
      </c>
      <c r="U445" s="100"/>
      <c r="V445" s="100" t="str">
        <f t="shared" si="43"/>
        <v xml:space="preserve"> </v>
      </c>
      <c r="W445" s="101">
        <f t="shared" si="45"/>
        <v>24</v>
      </c>
      <c r="X445" s="102">
        <f t="shared" si="46"/>
        <v>0</v>
      </c>
      <c r="Y445" s="100" t="str">
        <f t="shared" si="47"/>
        <v xml:space="preserve"> </v>
      </c>
      <c r="Z445" s="100" t="str">
        <f t="shared" si="48"/>
        <v xml:space="preserve"> </v>
      </c>
    </row>
    <row r="446" spans="1:26">
      <c r="A446" s="100"/>
      <c r="B446" s="100" t="str">
        <f>IFERROR(VLOOKUP(Tablo520[[#This Row],[ÜRÜN KODU]],YMKODLARI!$A$1:$K$373,2,0)," ")</f>
        <v xml:space="preserve"> </v>
      </c>
      <c r="C446" s="99"/>
      <c r="D446" s="100"/>
      <c r="E446" s="101"/>
      <c r="F446" s="101"/>
      <c r="G446" s="100" t="str">
        <f>IFERROR(VLOOKUP(Tablo520[[#This Row],[ÜRÜN KODU]],YMKODLARI!$A$1:$K$373,3,0)," ")</f>
        <v xml:space="preserve"> </v>
      </c>
      <c r="H446" s="100" t="str">
        <f>IFERROR(VLOOKUP(Tablo520[[#This Row],[ÜRÜN KODU]],YMKODLARI!$A$1:$K$373,4,0)," ")</f>
        <v xml:space="preserve"> </v>
      </c>
      <c r="I446" s="100"/>
      <c r="J446" s="100" t="str">
        <f>IFERROR(VLOOKUP(Tablo520[[#This Row],[ÜRÜN KODU]],YMKODLARI!$A$1:$K$373,9,0)," ")</f>
        <v xml:space="preserve"> </v>
      </c>
      <c r="K446" s="100" t="str">
        <f>IFERROR(VLOOKUP(Tablo520[[#This Row],[BOYA KODU]],Tablo14[#All],4,0)," ")</f>
        <v xml:space="preserve"> </v>
      </c>
      <c r="L446" s="100" t="str">
        <f>IFERROR(VLOOKUP(Tablo520[[#This Row],[BOYA KODU]],Tablo14[#All],6,0)," ")</f>
        <v xml:space="preserve"> </v>
      </c>
      <c r="M446" s="100" t="str">
        <f t="shared" si="42"/>
        <v xml:space="preserve"> </v>
      </c>
      <c r="N446" s="100" t="str">
        <f>IFERROR(VLOOKUP(Tablo520[[#This Row],[ÜRÜN KODU]],YMKODLARI!$A$1:$K$373,8,0)," ")</f>
        <v xml:space="preserve"> </v>
      </c>
      <c r="O446" s="100" t="str">
        <f>IFERROR(VLOOKUP(Tablo520[[#This Row],[HAMMADDE KODU]],Tablo1[#All],3,0)," ")</f>
        <v xml:space="preserve"> </v>
      </c>
      <c r="P446" s="100" t="str">
        <f>IFERROR(VLOOKUP(Tablo520[[#This Row],[HAMMADDE KODU]],Tablo1[#All],4,0)," ")</f>
        <v xml:space="preserve"> </v>
      </c>
      <c r="Q446" s="100" t="str">
        <f>IFERROR(VLOOKUP(Tablo520[[#This Row],[ÜRÜN KODU]],YMKODLARI!$A$1:$K$373,5,0)," ")</f>
        <v xml:space="preserve"> </v>
      </c>
      <c r="R446" s="100" t="str">
        <f>IFERROR(VLOOKUP(Tablo520[[#This Row],[ÜRÜN KODU]],YMKODLARI!$A$1:$K$373,6,0)," ")</f>
        <v xml:space="preserve"> </v>
      </c>
      <c r="S446" s="100" t="str">
        <f>IFERROR(Tablo520[[#This Row],[YOLLUK HARİÇ BASKI GRAMI]]/Tablo520[[#This Row],[KALIP GÖZ ADEDİ]]," ")</f>
        <v xml:space="preserve"> </v>
      </c>
      <c r="T446" s="100" t="str">
        <f t="shared" si="44"/>
        <v xml:space="preserve"> </v>
      </c>
      <c r="U446" s="100"/>
      <c r="V446" s="100" t="str">
        <f t="shared" si="43"/>
        <v xml:space="preserve"> </v>
      </c>
      <c r="W446" s="101">
        <f t="shared" si="45"/>
        <v>24</v>
      </c>
      <c r="X446" s="102">
        <f t="shared" si="46"/>
        <v>0</v>
      </c>
      <c r="Y446" s="100" t="str">
        <f t="shared" si="47"/>
        <v xml:space="preserve"> </v>
      </c>
      <c r="Z446" s="100" t="str">
        <f t="shared" si="48"/>
        <v xml:space="preserve"> </v>
      </c>
    </row>
    <row r="447" spans="1:26">
      <c r="A447" s="100"/>
      <c r="B447" s="100" t="str">
        <f>IFERROR(VLOOKUP(Tablo520[[#This Row],[ÜRÜN KODU]],YMKODLARI!$A$1:$K$373,2,0)," ")</f>
        <v xml:space="preserve"> </v>
      </c>
      <c r="C447" s="99"/>
      <c r="D447" s="100"/>
      <c r="E447" s="101"/>
      <c r="F447" s="101"/>
      <c r="G447" s="100" t="str">
        <f>IFERROR(VLOOKUP(Tablo520[[#This Row],[ÜRÜN KODU]],YMKODLARI!$A$1:$K$373,3,0)," ")</f>
        <v xml:space="preserve"> </v>
      </c>
      <c r="H447" s="100" t="str">
        <f>IFERROR(VLOOKUP(Tablo520[[#This Row],[ÜRÜN KODU]],YMKODLARI!$A$1:$K$373,4,0)," ")</f>
        <v xml:space="preserve"> </v>
      </c>
      <c r="I447" s="100"/>
      <c r="J447" s="100" t="str">
        <f>IFERROR(VLOOKUP(Tablo520[[#This Row],[ÜRÜN KODU]],YMKODLARI!$A$1:$K$373,9,0)," ")</f>
        <v xml:space="preserve"> </v>
      </c>
      <c r="K447" s="100" t="str">
        <f>IFERROR(VLOOKUP(Tablo520[[#This Row],[BOYA KODU]],Tablo14[#All],4,0)," ")</f>
        <v xml:space="preserve"> </v>
      </c>
      <c r="L447" s="100" t="str">
        <f>IFERROR(VLOOKUP(Tablo520[[#This Row],[BOYA KODU]],Tablo14[#All],6,0)," ")</f>
        <v xml:space="preserve"> </v>
      </c>
      <c r="M447" s="100" t="str">
        <f t="shared" si="42"/>
        <v xml:space="preserve"> </v>
      </c>
      <c r="N447" s="100" t="str">
        <f>IFERROR(VLOOKUP(Tablo520[[#This Row],[ÜRÜN KODU]],YMKODLARI!$A$1:$K$373,8,0)," ")</f>
        <v xml:space="preserve"> </v>
      </c>
      <c r="O447" s="100" t="str">
        <f>IFERROR(VLOOKUP(Tablo520[[#This Row],[HAMMADDE KODU]],Tablo1[#All],3,0)," ")</f>
        <v xml:space="preserve"> </v>
      </c>
      <c r="P447" s="100" t="str">
        <f>IFERROR(VLOOKUP(Tablo520[[#This Row],[HAMMADDE KODU]],Tablo1[#All],4,0)," ")</f>
        <v xml:space="preserve"> </v>
      </c>
      <c r="Q447" s="100" t="str">
        <f>IFERROR(VLOOKUP(Tablo520[[#This Row],[ÜRÜN KODU]],YMKODLARI!$A$1:$K$373,5,0)," ")</f>
        <v xml:space="preserve"> </v>
      </c>
      <c r="R447" s="100" t="str">
        <f>IFERROR(VLOOKUP(Tablo520[[#This Row],[ÜRÜN KODU]],YMKODLARI!$A$1:$K$373,6,0)," ")</f>
        <v xml:space="preserve"> </v>
      </c>
      <c r="S447" s="100" t="str">
        <f>IFERROR(Tablo520[[#This Row],[YOLLUK HARİÇ BASKI GRAMI]]/Tablo520[[#This Row],[KALIP GÖZ ADEDİ]]," ")</f>
        <v xml:space="preserve"> </v>
      </c>
      <c r="T447" s="100" t="str">
        <f t="shared" si="44"/>
        <v xml:space="preserve"> </v>
      </c>
      <c r="U447" s="100"/>
      <c r="V447" s="100" t="str">
        <f t="shared" si="43"/>
        <v xml:space="preserve"> </v>
      </c>
      <c r="W447" s="101">
        <f t="shared" si="45"/>
        <v>24</v>
      </c>
      <c r="X447" s="102">
        <f t="shared" si="46"/>
        <v>0</v>
      </c>
      <c r="Y447" s="100" t="str">
        <f t="shared" si="47"/>
        <v xml:space="preserve"> </v>
      </c>
      <c r="Z447" s="100" t="str">
        <f t="shared" si="48"/>
        <v xml:space="preserve"> </v>
      </c>
    </row>
    <row r="448" spans="1:26">
      <c r="A448" s="100"/>
      <c r="B448" s="100" t="str">
        <f>IFERROR(VLOOKUP(Tablo520[[#This Row],[ÜRÜN KODU]],YMKODLARI!$A$1:$K$373,2,0)," ")</f>
        <v xml:space="preserve"> </v>
      </c>
      <c r="C448" s="99"/>
      <c r="D448" s="100"/>
      <c r="E448" s="101"/>
      <c r="F448" s="101"/>
      <c r="G448" s="100" t="str">
        <f>IFERROR(VLOOKUP(Tablo520[[#This Row],[ÜRÜN KODU]],YMKODLARI!$A$1:$K$373,3,0)," ")</f>
        <v xml:space="preserve"> </v>
      </c>
      <c r="H448" s="100" t="str">
        <f>IFERROR(VLOOKUP(Tablo520[[#This Row],[ÜRÜN KODU]],YMKODLARI!$A$1:$K$373,4,0)," ")</f>
        <v xml:space="preserve"> </v>
      </c>
      <c r="I448" s="100"/>
      <c r="J448" s="100" t="str">
        <f>IFERROR(VLOOKUP(Tablo520[[#This Row],[ÜRÜN KODU]],YMKODLARI!$A$1:$K$373,9,0)," ")</f>
        <v xml:space="preserve"> </v>
      </c>
      <c r="K448" s="100" t="str">
        <f>IFERROR(VLOOKUP(Tablo520[[#This Row],[BOYA KODU]],Tablo14[#All],4,0)," ")</f>
        <v xml:space="preserve"> </v>
      </c>
      <c r="L448" s="100" t="str">
        <f>IFERROR(VLOOKUP(Tablo520[[#This Row],[BOYA KODU]],Tablo14[#All],6,0)," ")</f>
        <v xml:space="preserve"> </v>
      </c>
      <c r="M448" s="100" t="str">
        <f t="shared" si="42"/>
        <v xml:space="preserve"> </v>
      </c>
      <c r="N448" s="100" t="str">
        <f>IFERROR(VLOOKUP(Tablo520[[#This Row],[ÜRÜN KODU]],YMKODLARI!$A$1:$K$373,8,0)," ")</f>
        <v xml:space="preserve"> </v>
      </c>
      <c r="O448" s="100" t="str">
        <f>IFERROR(VLOOKUP(Tablo520[[#This Row],[HAMMADDE KODU]],Tablo1[#All],3,0)," ")</f>
        <v xml:space="preserve"> </v>
      </c>
      <c r="P448" s="100" t="str">
        <f>IFERROR(VLOOKUP(Tablo520[[#This Row],[HAMMADDE KODU]],Tablo1[#All],4,0)," ")</f>
        <v xml:space="preserve"> </v>
      </c>
      <c r="Q448" s="100" t="str">
        <f>IFERROR(VLOOKUP(Tablo520[[#This Row],[ÜRÜN KODU]],YMKODLARI!$A$1:$K$373,5,0)," ")</f>
        <v xml:space="preserve"> </v>
      </c>
      <c r="R448" s="100" t="str">
        <f>IFERROR(VLOOKUP(Tablo520[[#This Row],[ÜRÜN KODU]],YMKODLARI!$A$1:$K$373,6,0)," ")</f>
        <v xml:space="preserve"> </v>
      </c>
      <c r="S448" s="100" t="str">
        <f>IFERROR(Tablo520[[#This Row],[YOLLUK HARİÇ BASKI GRAMI]]/Tablo520[[#This Row],[KALIP GÖZ ADEDİ]]," ")</f>
        <v xml:space="preserve"> </v>
      </c>
      <c r="T448" s="100" t="str">
        <f t="shared" si="44"/>
        <v xml:space="preserve"> </v>
      </c>
      <c r="U448" s="100"/>
      <c r="V448" s="100" t="str">
        <f t="shared" si="43"/>
        <v xml:space="preserve"> </v>
      </c>
      <c r="W448" s="101">
        <f t="shared" si="45"/>
        <v>24</v>
      </c>
      <c r="X448" s="102">
        <f t="shared" si="46"/>
        <v>0</v>
      </c>
      <c r="Y448" s="100" t="str">
        <f t="shared" si="47"/>
        <v xml:space="preserve"> </v>
      </c>
      <c r="Z448" s="100" t="str">
        <f t="shared" si="48"/>
        <v xml:space="preserve"> </v>
      </c>
    </row>
    <row r="449" spans="1:26">
      <c r="A449" s="100"/>
      <c r="B449" s="100" t="str">
        <f>IFERROR(VLOOKUP(Tablo520[[#This Row],[ÜRÜN KODU]],YMKODLARI!$A$1:$K$373,2,0)," ")</f>
        <v xml:space="preserve"> </v>
      </c>
      <c r="C449" s="99"/>
      <c r="D449" s="100"/>
      <c r="E449" s="101"/>
      <c r="F449" s="101"/>
      <c r="G449" s="100" t="str">
        <f>IFERROR(VLOOKUP(Tablo520[[#This Row],[ÜRÜN KODU]],YMKODLARI!$A$1:$K$373,3,0)," ")</f>
        <v xml:space="preserve"> </v>
      </c>
      <c r="H449" s="100" t="str">
        <f>IFERROR(VLOOKUP(Tablo520[[#This Row],[ÜRÜN KODU]],YMKODLARI!$A$1:$K$373,4,0)," ")</f>
        <v xml:space="preserve"> </v>
      </c>
      <c r="I449" s="100"/>
      <c r="J449" s="100" t="str">
        <f>IFERROR(VLOOKUP(Tablo520[[#This Row],[ÜRÜN KODU]],YMKODLARI!$A$1:$K$373,9,0)," ")</f>
        <v xml:space="preserve"> </v>
      </c>
      <c r="K449" s="100" t="str">
        <f>IFERROR(VLOOKUP(Tablo520[[#This Row],[BOYA KODU]],Tablo14[#All],4,0)," ")</f>
        <v xml:space="preserve"> </v>
      </c>
      <c r="L449" s="100" t="str">
        <f>IFERROR(VLOOKUP(Tablo520[[#This Row],[BOYA KODU]],Tablo14[#All],6,0)," ")</f>
        <v xml:space="preserve"> </v>
      </c>
      <c r="M449" s="100" t="str">
        <f t="shared" si="42"/>
        <v xml:space="preserve"> </v>
      </c>
      <c r="N449" s="100" t="str">
        <f>IFERROR(VLOOKUP(Tablo520[[#This Row],[ÜRÜN KODU]],YMKODLARI!$A$1:$K$373,8,0)," ")</f>
        <v xml:space="preserve"> </v>
      </c>
      <c r="O449" s="100" t="str">
        <f>IFERROR(VLOOKUP(Tablo520[[#This Row],[HAMMADDE KODU]],Tablo1[#All],3,0)," ")</f>
        <v xml:space="preserve"> </v>
      </c>
      <c r="P449" s="100" t="str">
        <f>IFERROR(VLOOKUP(Tablo520[[#This Row],[HAMMADDE KODU]],Tablo1[#All],4,0)," ")</f>
        <v xml:space="preserve"> </v>
      </c>
      <c r="Q449" s="100" t="str">
        <f>IFERROR(VLOOKUP(Tablo520[[#This Row],[ÜRÜN KODU]],YMKODLARI!$A$1:$K$373,5,0)," ")</f>
        <v xml:space="preserve"> </v>
      </c>
      <c r="R449" s="100" t="str">
        <f>IFERROR(VLOOKUP(Tablo520[[#This Row],[ÜRÜN KODU]],YMKODLARI!$A$1:$K$373,6,0)," ")</f>
        <v xml:space="preserve"> </v>
      </c>
      <c r="S449" s="100" t="str">
        <f>IFERROR(Tablo520[[#This Row],[YOLLUK HARİÇ BASKI GRAMI]]/Tablo520[[#This Row],[KALIP GÖZ ADEDİ]]," ")</f>
        <v xml:space="preserve"> </v>
      </c>
      <c r="T449" s="100" t="str">
        <f t="shared" si="44"/>
        <v xml:space="preserve"> </v>
      </c>
      <c r="U449" s="100"/>
      <c r="V449" s="100" t="str">
        <f t="shared" si="43"/>
        <v xml:space="preserve"> </v>
      </c>
      <c r="W449" s="101">
        <f t="shared" si="45"/>
        <v>24</v>
      </c>
      <c r="X449" s="102">
        <f t="shared" si="46"/>
        <v>0</v>
      </c>
      <c r="Y449" s="100" t="str">
        <f t="shared" si="47"/>
        <v xml:space="preserve"> </v>
      </c>
      <c r="Z449" s="100" t="str">
        <f t="shared" si="48"/>
        <v xml:space="preserve"> </v>
      </c>
    </row>
    <row r="450" spans="1:26">
      <c r="A450" s="100"/>
      <c r="B450" s="100" t="str">
        <f>IFERROR(VLOOKUP(Tablo520[[#This Row],[ÜRÜN KODU]],YMKODLARI!$A$1:$K$373,2,0)," ")</f>
        <v xml:space="preserve"> </v>
      </c>
      <c r="C450" s="99"/>
      <c r="D450" s="100"/>
      <c r="E450" s="101"/>
      <c r="F450" s="101"/>
      <c r="G450" s="100" t="str">
        <f>IFERROR(VLOOKUP(Tablo520[[#This Row],[ÜRÜN KODU]],YMKODLARI!$A$1:$K$373,3,0)," ")</f>
        <v xml:space="preserve"> </v>
      </c>
      <c r="H450" s="100" t="str">
        <f>IFERROR(VLOOKUP(Tablo520[[#This Row],[ÜRÜN KODU]],YMKODLARI!$A$1:$K$373,4,0)," ")</f>
        <v xml:space="preserve"> </v>
      </c>
      <c r="I450" s="100"/>
      <c r="J450" s="100" t="str">
        <f>IFERROR(VLOOKUP(Tablo520[[#This Row],[ÜRÜN KODU]],YMKODLARI!$A$1:$K$373,9,0)," ")</f>
        <v xml:space="preserve"> </v>
      </c>
      <c r="K450" s="100" t="str">
        <f>IFERROR(VLOOKUP(Tablo520[[#This Row],[BOYA KODU]],Tablo14[#All],4,0)," ")</f>
        <v xml:space="preserve"> </v>
      </c>
      <c r="L450" s="100" t="str">
        <f>IFERROR(VLOOKUP(Tablo520[[#This Row],[BOYA KODU]],Tablo14[#All],6,0)," ")</f>
        <v xml:space="preserve"> </v>
      </c>
      <c r="M450" s="100" t="str">
        <f t="shared" ref="M450:M513" si="49">IFERROR((I450*Q450)*L450," ")</f>
        <v xml:space="preserve"> </v>
      </c>
      <c r="N450" s="100" t="str">
        <f>IFERROR(VLOOKUP(Tablo520[[#This Row],[ÜRÜN KODU]],YMKODLARI!$A$1:$K$373,8,0)," ")</f>
        <v xml:space="preserve"> </v>
      </c>
      <c r="O450" s="100" t="str">
        <f>IFERROR(VLOOKUP(Tablo520[[#This Row],[HAMMADDE KODU]],Tablo1[#All],3,0)," ")</f>
        <v xml:space="preserve"> </v>
      </c>
      <c r="P450" s="100" t="str">
        <f>IFERROR(VLOOKUP(Tablo520[[#This Row],[HAMMADDE KODU]],Tablo1[#All],4,0)," ")</f>
        <v xml:space="preserve"> </v>
      </c>
      <c r="Q450" s="100" t="str">
        <f>IFERROR(VLOOKUP(Tablo520[[#This Row],[ÜRÜN KODU]],YMKODLARI!$A$1:$K$373,5,0)," ")</f>
        <v xml:space="preserve"> </v>
      </c>
      <c r="R450" s="100" t="str">
        <f>IFERROR(VLOOKUP(Tablo520[[#This Row],[ÜRÜN KODU]],YMKODLARI!$A$1:$K$373,6,0)," ")</f>
        <v xml:space="preserve"> </v>
      </c>
      <c r="S450" s="100" t="str">
        <f>IFERROR(Tablo520[[#This Row],[YOLLUK HARİÇ BASKI GRAMI]]/Tablo520[[#This Row],[KALIP GÖZ ADEDİ]]," ")</f>
        <v xml:space="preserve"> </v>
      </c>
      <c r="T450" s="100" t="str">
        <f t="shared" si="44"/>
        <v xml:space="preserve"> </v>
      </c>
      <c r="U450" s="100"/>
      <c r="V450" s="100" t="str">
        <f t="shared" ref="V450:V513" si="50">IFERROR(U450+(R450*I450) /1000," ")</f>
        <v xml:space="preserve"> </v>
      </c>
      <c r="W450" s="101">
        <f t="shared" si="45"/>
        <v>24</v>
      </c>
      <c r="X450" s="102">
        <f t="shared" si="46"/>
        <v>0</v>
      </c>
      <c r="Y450" s="100" t="str">
        <f t="shared" si="47"/>
        <v xml:space="preserve"> </v>
      </c>
      <c r="Z450" s="100" t="str">
        <f t="shared" si="48"/>
        <v xml:space="preserve"> </v>
      </c>
    </row>
    <row r="451" spans="1:26">
      <c r="A451" s="100"/>
      <c r="B451" s="100" t="str">
        <f>IFERROR(VLOOKUP(Tablo520[[#This Row],[ÜRÜN KODU]],YMKODLARI!$A$1:$K$373,2,0)," ")</f>
        <v xml:space="preserve"> </v>
      </c>
      <c r="C451" s="99"/>
      <c r="D451" s="100"/>
      <c r="E451" s="101"/>
      <c r="F451" s="101"/>
      <c r="G451" s="100" t="str">
        <f>IFERROR(VLOOKUP(Tablo520[[#This Row],[ÜRÜN KODU]],YMKODLARI!$A$1:$K$373,3,0)," ")</f>
        <v xml:space="preserve"> </v>
      </c>
      <c r="H451" s="100" t="str">
        <f>IFERROR(VLOOKUP(Tablo520[[#This Row],[ÜRÜN KODU]],YMKODLARI!$A$1:$K$373,4,0)," ")</f>
        <v xml:space="preserve"> </v>
      </c>
      <c r="I451" s="100"/>
      <c r="J451" s="100" t="str">
        <f>IFERROR(VLOOKUP(Tablo520[[#This Row],[ÜRÜN KODU]],YMKODLARI!$A$1:$K$373,9,0)," ")</f>
        <v xml:space="preserve"> </v>
      </c>
      <c r="K451" s="100" t="str">
        <f>IFERROR(VLOOKUP(Tablo520[[#This Row],[BOYA KODU]],Tablo14[#All],4,0)," ")</f>
        <v xml:space="preserve"> </v>
      </c>
      <c r="L451" s="100" t="str">
        <f>IFERROR(VLOOKUP(Tablo520[[#This Row],[BOYA KODU]],Tablo14[#All],6,0)," ")</f>
        <v xml:space="preserve"> </v>
      </c>
      <c r="M451" s="100" t="str">
        <f t="shared" si="49"/>
        <v xml:space="preserve"> </v>
      </c>
      <c r="N451" s="100" t="str">
        <f>IFERROR(VLOOKUP(Tablo520[[#This Row],[ÜRÜN KODU]],YMKODLARI!$A$1:$K$373,8,0)," ")</f>
        <v xml:space="preserve"> </v>
      </c>
      <c r="O451" s="100" t="str">
        <f>IFERROR(VLOOKUP(Tablo520[[#This Row],[HAMMADDE KODU]],Tablo1[#All],3,0)," ")</f>
        <v xml:space="preserve"> </v>
      </c>
      <c r="P451" s="100" t="str">
        <f>IFERROR(VLOOKUP(Tablo520[[#This Row],[HAMMADDE KODU]],Tablo1[#All],4,0)," ")</f>
        <v xml:space="preserve"> </v>
      </c>
      <c r="Q451" s="100" t="str">
        <f>IFERROR(VLOOKUP(Tablo520[[#This Row],[ÜRÜN KODU]],YMKODLARI!$A$1:$K$373,5,0)," ")</f>
        <v xml:space="preserve"> </v>
      </c>
      <c r="R451" s="100" t="str">
        <f>IFERROR(VLOOKUP(Tablo520[[#This Row],[ÜRÜN KODU]],YMKODLARI!$A$1:$K$373,6,0)," ")</f>
        <v xml:space="preserve"> </v>
      </c>
      <c r="S451" s="100" t="str">
        <f>IFERROR(Tablo520[[#This Row],[YOLLUK HARİÇ BASKI GRAMI]]/Tablo520[[#This Row],[KALIP GÖZ ADEDİ]]," ")</f>
        <v xml:space="preserve"> </v>
      </c>
      <c r="T451" s="100" t="str">
        <f t="shared" ref="T451:T514" si="51">IFERROR(Q451-R451," ")</f>
        <v xml:space="preserve"> </v>
      </c>
      <c r="U451" s="100"/>
      <c r="V451" s="100" t="str">
        <f t="shared" si="50"/>
        <v xml:space="preserve"> </v>
      </c>
      <c r="W451" s="101">
        <f t="shared" ref="W451:W514" si="52">IFERROR(24-(E451-F451)," ")</f>
        <v>24</v>
      </c>
      <c r="X451" s="102">
        <f t="shared" ref="X451:X514" si="53">IFERROR((W451-INT(W451))*24," ")</f>
        <v>0</v>
      </c>
      <c r="Y451" s="100" t="str">
        <f t="shared" ref="Y451:Y514" si="54">IFERROR(H451*I451/3600," ")</f>
        <v xml:space="preserve"> </v>
      </c>
      <c r="Z451" s="100" t="str">
        <f t="shared" ref="Z451:Z514" si="55">IFERROR(I451*G451," " )</f>
        <v xml:space="preserve"> </v>
      </c>
    </row>
    <row r="452" spans="1:26">
      <c r="A452" s="100"/>
      <c r="B452" s="100" t="str">
        <f>IFERROR(VLOOKUP(Tablo520[[#This Row],[ÜRÜN KODU]],YMKODLARI!$A$1:$K$373,2,0)," ")</f>
        <v xml:space="preserve"> </v>
      </c>
      <c r="C452" s="99"/>
      <c r="D452" s="100"/>
      <c r="E452" s="101"/>
      <c r="F452" s="101"/>
      <c r="G452" s="100" t="str">
        <f>IFERROR(VLOOKUP(Tablo520[[#This Row],[ÜRÜN KODU]],YMKODLARI!$A$1:$K$373,3,0)," ")</f>
        <v xml:space="preserve"> </v>
      </c>
      <c r="H452" s="100" t="str">
        <f>IFERROR(VLOOKUP(Tablo520[[#This Row],[ÜRÜN KODU]],YMKODLARI!$A$1:$K$373,4,0)," ")</f>
        <v xml:space="preserve"> </v>
      </c>
      <c r="I452" s="100"/>
      <c r="J452" s="100" t="str">
        <f>IFERROR(VLOOKUP(Tablo520[[#This Row],[ÜRÜN KODU]],YMKODLARI!$A$1:$K$373,9,0)," ")</f>
        <v xml:space="preserve"> </v>
      </c>
      <c r="K452" s="100" t="str">
        <f>IFERROR(VLOOKUP(Tablo520[[#This Row],[BOYA KODU]],Tablo14[#All],4,0)," ")</f>
        <v xml:space="preserve"> </v>
      </c>
      <c r="L452" s="100" t="str">
        <f>IFERROR(VLOOKUP(Tablo520[[#This Row],[BOYA KODU]],Tablo14[#All],6,0)," ")</f>
        <v xml:space="preserve"> </v>
      </c>
      <c r="M452" s="100" t="str">
        <f t="shared" si="49"/>
        <v xml:space="preserve"> </v>
      </c>
      <c r="N452" s="100" t="str">
        <f>IFERROR(VLOOKUP(Tablo520[[#This Row],[ÜRÜN KODU]],YMKODLARI!$A$1:$K$373,8,0)," ")</f>
        <v xml:space="preserve"> </v>
      </c>
      <c r="O452" s="100" t="str">
        <f>IFERROR(VLOOKUP(Tablo520[[#This Row],[HAMMADDE KODU]],Tablo1[#All],3,0)," ")</f>
        <v xml:space="preserve"> </v>
      </c>
      <c r="P452" s="100" t="str">
        <f>IFERROR(VLOOKUP(Tablo520[[#This Row],[HAMMADDE KODU]],Tablo1[#All],4,0)," ")</f>
        <v xml:space="preserve"> </v>
      </c>
      <c r="Q452" s="100" t="str">
        <f>IFERROR(VLOOKUP(Tablo520[[#This Row],[ÜRÜN KODU]],YMKODLARI!$A$1:$K$373,5,0)," ")</f>
        <v xml:space="preserve"> </v>
      </c>
      <c r="R452" s="100" t="str">
        <f>IFERROR(VLOOKUP(Tablo520[[#This Row],[ÜRÜN KODU]],YMKODLARI!$A$1:$K$373,6,0)," ")</f>
        <v xml:space="preserve"> </v>
      </c>
      <c r="S452" s="100" t="str">
        <f>IFERROR(Tablo520[[#This Row],[YOLLUK HARİÇ BASKI GRAMI]]/Tablo520[[#This Row],[KALIP GÖZ ADEDİ]]," ")</f>
        <v xml:space="preserve"> </v>
      </c>
      <c r="T452" s="100" t="str">
        <f t="shared" si="51"/>
        <v xml:space="preserve"> </v>
      </c>
      <c r="U452" s="100"/>
      <c r="V452" s="100" t="str">
        <f t="shared" si="50"/>
        <v xml:space="preserve"> </v>
      </c>
      <c r="W452" s="101">
        <f t="shared" si="52"/>
        <v>24</v>
      </c>
      <c r="X452" s="102">
        <f t="shared" si="53"/>
        <v>0</v>
      </c>
      <c r="Y452" s="100" t="str">
        <f t="shared" si="54"/>
        <v xml:space="preserve"> </v>
      </c>
      <c r="Z452" s="100" t="str">
        <f t="shared" si="55"/>
        <v xml:space="preserve"> </v>
      </c>
    </row>
    <row r="453" spans="1:26">
      <c r="A453" s="100"/>
      <c r="B453" s="100" t="str">
        <f>IFERROR(VLOOKUP(Tablo520[[#This Row],[ÜRÜN KODU]],YMKODLARI!$A$1:$K$373,2,0)," ")</f>
        <v xml:space="preserve"> </v>
      </c>
      <c r="C453" s="99"/>
      <c r="D453" s="100"/>
      <c r="E453" s="101"/>
      <c r="F453" s="101"/>
      <c r="G453" s="100" t="str">
        <f>IFERROR(VLOOKUP(Tablo520[[#This Row],[ÜRÜN KODU]],YMKODLARI!$A$1:$K$373,3,0)," ")</f>
        <v xml:space="preserve"> </v>
      </c>
      <c r="H453" s="100" t="str">
        <f>IFERROR(VLOOKUP(Tablo520[[#This Row],[ÜRÜN KODU]],YMKODLARI!$A$1:$K$373,4,0)," ")</f>
        <v xml:space="preserve"> </v>
      </c>
      <c r="I453" s="100"/>
      <c r="J453" s="100" t="str">
        <f>IFERROR(VLOOKUP(Tablo520[[#This Row],[ÜRÜN KODU]],YMKODLARI!$A$1:$K$373,9,0)," ")</f>
        <v xml:space="preserve"> </v>
      </c>
      <c r="K453" s="100" t="str">
        <f>IFERROR(VLOOKUP(Tablo520[[#This Row],[BOYA KODU]],Tablo14[#All],4,0)," ")</f>
        <v xml:space="preserve"> </v>
      </c>
      <c r="L453" s="100" t="str">
        <f>IFERROR(VLOOKUP(Tablo520[[#This Row],[BOYA KODU]],Tablo14[#All],6,0)," ")</f>
        <v xml:space="preserve"> </v>
      </c>
      <c r="M453" s="100" t="str">
        <f t="shared" si="49"/>
        <v xml:space="preserve"> </v>
      </c>
      <c r="N453" s="100" t="str">
        <f>IFERROR(VLOOKUP(Tablo520[[#This Row],[ÜRÜN KODU]],YMKODLARI!$A$1:$K$373,8,0)," ")</f>
        <v xml:space="preserve"> </v>
      </c>
      <c r="O453" s="100" t="str">
        <f>IFERROR(VLOOKUP(Tablo520[[#This Row],[HAMMADDE KODU]],Tablo1[#All],3,0)," ")</f>
        <v xml:space="preserve"> </v>
      </c>
      <c r="P453" s="100" t="str">
        <f>IFERROR(VLOOKUP(Tablo520[[#This Row],[HAMMADDE KODU]],Tablo1[#All],4,0)," ")</f>
        <v xml:space="preserve"> </v>
      </c>
      <c r="Q453" s="100" t="str">
        <f>IFERROR(VLOOKUP(Tablo520[[#This Row],[ÜRÜN KODU]],YMKODLARI!$A$1:$K$373,5,0)," ")</f>
        <v xml:space="preserve"> </v>
      </c>
      <c r="R453" s="100" t="str">
        <f>IFERROR(VLOOKUP(Tablo520[[#This Row],[ÜRÜN KODU]],YMKODLARI!$A$1:$K$373,6,0)," ")</f>
        <v xml:space="preserve"> </v>
      </c>
      <c r="S453" s="100" t="str">
        <f>IFERROR(Tablo520[[#This Row],[YOLLUK HARİÇ BASKI GRAMI]]/Tablo520[[#This Row],[KALIP GÖZ ADEDİ]]," ")</f>
        <v xml:space="preserve"> </v>
      </c>
      <c r="T453" s="100" t="str">
        <f t="shared" si="51"/>
        <v xml:space="preserve"> </v>
      </c>
      <c r="U453" s="100"/>
      <c r="V453" s="100" t="str">
        <f t="shared" si="50"/>
        <v xml:space="preserve"> </v>
      </c>
      <c r="W453" s="101">
        <f t="shared" si="52"/>
        <v>24</v>
      </c>
      <c r="X453" s="102">
        <f t="shared" si="53"/>
        <v>0</v>
      </c>
      <c r="Y453" s="100" t="str">
        <f t="shared" si="54"/>
        <v xml:space="preserve"> </v>
      </c>
      <c r="Z453" s="100" t="str">
        <f t="shared" si="55"/>
        <v xml:space="preserve"> </v>
      </c>
    </row>
    <row r="454" spans="1:26">
      <c r="A454" s="100"/>
      <c r="B454" s="100" t="str">
        <f>IFERROR(VLOOKUP(Tablo520[[#This Row],[ÜRÜN KODU]],YMKODLARI!$A$1:$K$373,2,0)," ")</f>
        <v xml:space="preserve"> </v>
      </c>
      <c r="C454" s="99"/>
      <c r="D454" s="100"/>
      <c r="E454" s="101"/>
      <c r="F454" s="101"/>
      <c r="G454" s="100" t="str">
        <f>IFERROR(VLOOKUP(Tablo520[[#This Row],[ÜRÜN KODU]],YMKODLARI!$A$1:$K$373,3,0)," ")</f>
        <v xml:space="preserve"> </v>
      </c>
      <c r="H454" s="100" t="str">
        <f>IFERROR(VLOOKUP(Tablo520[[#This Row],[ÜRÜN KODU]],YMKODLARI!$A$1:$K$373,4,0)," ")</f>
        <v xml:space="preserve"> </v>
      </c>
      <c r="I454" s="100"/>
      <c r="J454" s="100" t="str">
        <f>IFERROR(VLOOKUP(Tablo520[[#This Row],[ÜRÜN KODU]],YMKODLARI!$A$1:$K$373,9,0)," ")</f>
        <v xml:space="preserve"> </v>
      </c>
      <c r="K454" s="100" t="str">
        <f>IFERROR(VLOOKUP(Tablo520[[#This Row],[BOYA KODU]],Tablo14[#All],4,0)," ")</f>
        <v xml:space="preserve"> </v>
      </c>
      <c r="L454" s="100" t="str">
        <f>IFERROR(VLOOKUP(Tablo520[[#This Row],[BOYA KODU]],Tablo14[#All],6,0)," ")</f>
        <v xml:space="preserve"> </v>
      </c>
      <c r="M454" s="100" t="str">
        <f t="shared" si="49"/>
        <v xml:space="preserve"> </v>
      </c>
      <c r="N454" s="100" t="str">
        <f>IFERROR(VLOOKUP(Tablo520[[#This Row],[ÜRÜN KODU]],YMKODLARI!$A$1:$K$373,8,0)," ")</f>
        <v xml:space="preserve"> </v>
      </c>
      <c r="O454" s="100" t="str">
        <f>IFERROR(VLOOKUP(Tablo520[[#This Row],[HAMMADDE KODU]],Tablo1[#All],3,0)," ")</f>
        <v xml:space="preserve"> </v>
      </c>
      <c r="P454" s="100" t="str">
        <f>IFERROR(VLOOKUP(Tablo520[[#This Row],[HAMMADDE KODU]],Tablo1[#All],4,0)," ")</f>
        <v xml:space="preserve"> </v>
      </c>
      <c r="Q454" s="100" t="str">
        <f>IFERROR(VLOOKUP(Tablo520[[#This Row],[ÜRÜN KODU]],YMKODLARI!$A$1:$K$373,5,0)," ")</f>
        <v xml:space="preserve"> </v>
      </c>
      <c r="R454" s="100" t="str">
        <f>IFERROR(VLOOKUP(Tablo520[[#This Row],[ÜRÜN KODU]],YMKODLARI!$A$1:$K$373,6,0)," ")</f>
        <v xml:space="preserve"> </v>
      </c>
      <c r="S454" s="100" t="str">
        <f>IFERROR(Tablo520[[#This Row],[YOLLUK HARİÇ BASKI GRAMI]]/Tablo520[[#This Row],[KALIP GÖZ ADEDİ]]," ")</f>
        <v xml:space="preserve"> </v>
      </c>
      <c r="T454" s="100" t="str">
        <f t="shared" si="51"/>
        <v xml:space="preserve"> </v>
      </c>
      <c r="U454" s="100"/>
      <c r="V454" s="100" t="str">
        <f t="shared" si="50"/>
        <v xml:space="preserve"> </v>
      </c>
      <c r="W454" s="101">
        <f t="shared" si="52"/>
        <v>24</v>
      </c>
      <c r="X454" s="102">
        <f t="shared" si="53"/>
        <v>0</v>
      </c>
      <c r="Y454" s="100" t="str">
        <f t="shared" si="54"/>
        <v xml:space="preserve"> </v>
      </c>
      <c r="Z454" s="100" t="str">
        <f t="shared" si="55"/>
        <v xml:space="preserve"> </v>
      </c>
    </row>
    <row r="455" spans="1:26">
      <c r="A455" s="100"/>
      <c r="B455" s="100" t="str">
        <f>IFERROR(VLOOKUP(Tablo520[[#This Row],[ÜRÜN KODU]],YMKODLARI!$A$1:$K$373,2,0)," ")</f>
        <v xml:space="preserve"> </v>
      </c>
      <c r="C455" s="99"/>
      <c r="D455" s="100"/>
      <c r="E455" s="101"/>
      <c r="F455" s="101"/>
      <c r="G455" s="100" t="str">
        <f>IFERROR(VLOOKUP(Tablo520[[#This Row],[ÜRÜN KODU]],YMKODLARI!$A$1:$K$373,3,0)," ")</f>
        <v xml:space="preserve"> </v>
      </c>
      <c r="H455" s="100" t="str">
        <f>IFERROR(VLOOKUP(Tablo520[[#This Row],[ÜRÜN KODU]],YMKODLARI!$A$1:$K$373,4,0)," ")</f>
        <v xml:space="preserve"> </v>
      </c>
      <c r="I455" s="100"/>
      <c r="J455" s="100" t="str">
        <f>IFERROR(VLOOKUP(Tablo520[[#This Row],[ÜRÜN KODU]],YMKODLARI!$A$1:$K$373,9,0)," ")</f>
        <v xml:space="preserve"> </v>
      </c>
      <c r="K455" s="100" t="str">
        <f>IFERROR(VLOOKUP(Tablo520[[#This Row],[BOYA KODU]],Tablo14[#All],4,0)," ")</f>
        <v xml:space="preserve"> </v>
      </c>
      <c r="L455" s="100" t="str">
        <f>IFERROR(VLOOKUP(Tablo520[[#This Row],[BOYA KODU]],Tablo14[#All],6,0)," ")</f>
        <v xml:space="preserve"> </v>
      </c>
      <c r="M455" s="100" t="str">
        <f t="shared" si="49"/>
        <v xml:space="preserve"> </v>
      </c>
      <c r="N455" s="100" t="str">
        <f>IFERROR(VLOOKUP(Tablo520[[#This Row],[ÜRÜN KODU]],YMKODLARI!$A$1:$K$373,8,0)," ")</f>
        <v xml:space="preserve"> </v>
      </c>
      <c r="O455" s="100" t="str">
        <f>IFERROR(VLOOKUP(Tablo520[[#This Row],[HAMMADDE KODU]],Tablo1[#All],3,0)," ")</f>
        <v xml:space="preserve"> </v>
      </c>
      <c r="P455" s="100" t="str">
        <f>IFERROR(VLOOKUP(Tablo520[[#This Row],[HAMMADDE KODU]],Tablo1[#All],4,0)," ")</f>
        <v xml:space="preserve"> </v>
      </c>
      <c r="Q455" s="100" t="str">
        <f>IFERROR(VLOOKUP(Tablo520[[#This Row],[ÜRÜN KODU]],YMKODLARI!$A$1:$K$373,5,0)," ")</f>
        <v xml:space="preserve"> </v>
      </c>
      <c r="R455" s="100" t="str">
        <f>IFERROR(VLOOKUP(Tablo520[[#This Row],[ÜRÜN KODU]],YMKODLARI!$A$1:$K$373,6,0)," ")</f>
        <v xml:space="preserve"> </v>
      </c>
      <c r="S455" s="100" t="str">
        <f>IFERROR(Tablo520[[#This Row],[YOLLUK HARİÇ BASKI GRAMI]]/Tablo520[[#This Row],[KALIP GÖZ ADEDİ]]," ")</f>
        <v xml:space="preserve"> </v>
      </c>
      <c r="T455" s="100" t="str">
        <f t="shared" si="51"/>
        <v xml:space="preserve"> </v>
      </c>
      <c r="U455" s="100"/>
      <c r="V455" s="100" t="str">
        <f t="shared" si="50"/>
        <v xml:space="preserve"> </v>
      </c>
      <c r="W455" s="101">
        <f t="shared" si="52"/>
        <v>24</v>
      </c>
      <c r="X455" s="102">
        <f t="shared" si="53"/>
        <v>0</v>
      </c>
      <c r="Y455" s="100" t="str">
        <f t="shared" si="54"/>
        <v xml:space="preserve"> </v>
      </c>
      <c r="Z455" s="100" t="str">
        <f t="shared" si="55"/>
        <v xml:space="preserve"> </v>
      </c>
    </row>
    <row r="456" spans="1:26">
      <c r="A456" s="100"/>
      <c r="B456" s="100" t="str">
        <f>IFERROR(VLOOKUP(Tablo520[[#This Row],[ÜRÜN KODU]],YMKODLARI!$A$1:$K$373,2,0)," ")</f>
        <v xml:space="preserve"> </v>
      </c>
      <c r="C456" s="99"/>
      <c r="D456" s="100"/>
      <c r="E456" s="101"/>
      <c r="F456" s="101"/>
      <c r="G456" s="100" t="str">
        <f>IFERROR(VLOOKUP(Tablo520[[#This Row],[ÜRÜN KODU]],YMKODLARI!$A$1:$K$373,3,0)," ")</f>
        <v xml:space="preserve"> </v>
      </c>
      <c r="H456" s="100" t="str">
        <f>IFERROR(VLOOKUP(Tablo520[[#This Row],[ÜRÜN KODU]],YMKODLARI!$A$1:$K$373,4,0)," ")</f>
        <v xml:space="preserve"> </v>
      </c>
      <c r="I456" s="100"/>
      <c r="J456" s="100" t="str">
        <f>IFERROR(VLOOKUP(Tablo520[[#This Row],[ÜRÜN KODU]],YMKODLARI!$A$1:$K$373,9,0)," ")</f>
        <v xml:space="preserve"> </v>
      </c>
      <c r="K456" s="100" t="str">
        <f>IFERROR(VLOOKUP(Tablo520[[#This Row],[BOYA KODU]],Tablo14[#All],4,0)," ")</f>
        <v xml:space="preserve"> </v>
      </c>
      <c r="L456" s="100" t="str">
        <f>IFERROR(VLOOKUP(Tablo520[[#This Row],[BOYA KODU]],Tablo14[#All],6,0)," ")</f>
        <v xml:space="preserve"> </v>
      </c>
      <c r="M456" s="100" t="str">
        <f t="shared" si="49"/>
        <v xml:space="preserve"> </v>
      </c>
      <c r="N456" s="100" t="str">
        <f>IFERROR(VLOOKUP(Tablo520[[#This Row],[ÜRÜN KODU]],YMKODLARI!$A$1:$K$373,8,0)," ")</f>
        <v xml:space="preserve"> </v>
      </c>
      <c r="O456" s="100" t="str">
        <f>IFERROR(VLOOKUP(Tablo520[[#This Row],[HAMMADDE KODU]],Tablo1[#All],3,0)," ")</f>
        <v xml:space="preserve"> </v>
      </c>
      <c r="P456" s="100" t="str">
        <f>IFERROR(VLOOKUP(Tablo520[[#This Row],[HAMMADDE KODU]],Tablo1[#All],4,0)," ")</f>
        <v xml:space="preserve"> </v>
      </c>
      <c r="Q456" s="100" t="str">
        <f>IFERROR(VLOOKUP(Tablo520[[#This Row],[ÜRÜN KODU]],YMKODLARI!$A$1:$K$373,5,0)," ")</f>
        <v xml:space="preserve"> </v>
      </c>
      <c r="R456" s="100" t="str">
        <f>IFERROR(VLOOKUP(Tablo520[[#This Row],[ÜRÜN KODU]],YMKODLARI!$A$1:$K$373,6,0)," ")</f>
        <v xml:space="preserve"> </v>
      </c>
      <c r="S456" s="100" t="str">
        <f>IFERROR(Tablo520[[#This Row],[YOLLUK HARİÇ BASKI GRAMI]]/Tablo520[[#This Row],[KALIP GÖZ ADEDİ]]," ")</f>
        <v xml:space="preserve"> </v>
      </c>
      <c r="T456" s="100" t="str">
        <f t="shared" si="51"/>
        <v xml:space="preserve"> </v>
      </c>
      <c r="U456" s="100"/>
      <c r="V456" s="100" t="str">
        <f t="shared" si="50"/>
        <v xml:space="preserve"> </v>
      </c>
      <c r="W456" s="101">
        <f t="shared" si="52"/>
        <v>24</v>
      </c>
      <c r="X456" s="102">
        <f t="shared" si="53"/>
        <v>0</v>
      </c>
      <c r="Y456" s="100" t="str">
        <f t="shared" si="54"/>
        <v xml:space="preserve"> </v>
      </c>
      <c r="Z456" s="100" t="str">
        <f t="shared" si="55"/>
        <v xml:space="preserve"> </v>
      </c>
    </row>
    <row r="457" spans="1:26">
      <c r="A457" s="100"/>
      <c r="B457" s="100" t="str">
        <f>IFERROR(VLOOKUP(Tablo520[[#This Row],[ÜRÜN KODU]],YMKODLARI!$A$1:$K$373,2,0)," ")</f>
        <v xml:space="preserve"> </v>
      </c>
      <c r="C457" s="99"/>
      <c r="D457" s="100"/>
      <c r="E457" s="101"/>
      <c r="F457" s="101"/>
      <c r="G457" s="100" t="str">
        <f>IFERROR(VLOOKUP(Tablo520[[#This Row],[ÜRÜN KODU]],YMKODLARI!$A$1:$K$373,3,0)," ")</f>
        <v xml:space="preserve"> </v>
      </c>
      <c r="H457" s="100" t="str">
        <f>IFERROR(VLOOKUP(Tablo520[[#This Row],[ÜRÜN KODU]],YMKODLARI!$A$1:$K$373,4,0)," ")</f>
        <v xml:space="preserve"> </v>
      </c>
      <c r="I457" s="100"/>
      <c r="J457" s="100" t="str">
        <f>IFERROR(VLOOKUP(Tablo520[[#This Row],[ÜRÜN KODU]],YMKODLARI!$A$1:$K$373,9,0)," ")</f>
        <v xml:space="preserve"> </v>
      </c>
      <c r="K457" s="100" t="str">
        <f>IFERROR(VLOOKUP(Tablo520[[#This Row],[BOYA KODU]],Tablo14[#All],4,0)," ")</f>
        <v xml:space="preserve"> </v>
      </c>
      <c r="L457" s="100" t="str">
        <f>IFERROR(VLOOKUP(Tablo520[[#This Row],[BOYA KODU]],Tablo14[#All],6,0)," ")</f>
        <v xml:space="preserve"> </v>
      </c>
      <c r="M457" s="100" t="str">
        <f t="shared" si="49"/>
        <v xml:space="preserve"> </v>
      </c>
      <c r="N457" s="100" t="str">
        <f>IFERROR(VLOOKUP(Tablo520[[#This Row],[ÜRÜN KODU]],YMKODLARI!$A$1:$K$373,8,0)," ")</f>
        <v xml:space="preserve"> </v>
      </c>
      <c r="O457" s="100" t="str">
        <f>IFERROR(VLOOKUP(Tablo520[[#This Row],[HAMMADDE KODU]],Tablo1[#All],3,0)," ")</f>
        <v xml:space="preserve"> </v>
      </c>
      <c r="P457" s="100" t="str">
        <f>IFERROR(VLOOKUP(Tablo520[[#This Row],[HAMMADDE KODU]],Tablo1[#All],4,0)," ")</f>
        <v xml:space="preserve"> </v>
      </c>
      <c r="Q457" s="100" t="str">
        <f>IFERROR(VLOOKUP(Tablo520[[#This Row],[ÜRÜN KODU]],YMKODLARI!$A$1:$K$373,5,0)," ")</f>
        <v xml:space="preserve"> </v>
      </c>
      <c r="R457" s="100" t="str">
        <f>IFERROR(VLOOKUP(Tablo520[[#This Row],[ÜRÜN KODU]],YMKODLARI!$A$1:$K$373,6,0)," ")</f>
        <v xml:space="preserve"> </v>
      </c>
      <c r="S457" s="100" t="str">
        <f>IFERROR(Tablo520[[#This Row],[YOLLUK HARİÇ BASKI GRAMI]]/Tablo520[[#This Row],[KALIP GÖZ ADEDİ]]," ")</f>
        <v xml:space="preserve"> </v>
      </c>
      <c r="T457" s="100" t="str">
        <f t="shared" si="51"/>
        <v xml:space="preserve"> </v>
      </c>
      <c r="U457" s="100"/>
      <c r="V457" s="100" t="str">
        <f t="shared" si="50"/>
        <v xml:space="preserve"> </v>
      </c>
      <c r="W457" s="101">
        <f t="shared" si="52"/>
        <v>24</v>
      </c>
      <c r="X457" s="102">
        <f t="shared" si="53"/>
        <v>0</v>
      </c>
      <c r="Y457" s="100" t="str">
        <f t="shared" si="54"/>
        <v xml:space="preserve"> </v>
      </c>
      <c r="Z457" s="100" t="str">
        <f t="shared" si="55"/>
        <v xml:space="preserve"> </v>
      </c>
    </row>
    <row r="458" spans="1:26">
      <c r="A458" s="100"/>
      <c r="B458" s="100" t="str">
        <f>IFERROR(VLOOKUP(Tablo520[[#This Row],[ÜRÜN KODU]],YMKODLARI!$A$1:$K$373,2,0)," ")</f>
        <v xml:space="preserve"> </v>
      </c>
      <c r="C458" s="99"/>
      <c r="D458" s="100"/>
      <c r="E458" s="101"/>
      <c r="F458" s="101"/>
      <c r="G458" s="100" t="str">
        <f>IFERROR(VLOOKUP(Tablo520[[#This Row],[ÜRÜN KODU]],YMKODLARI!$A$1:$K$373,3,0)," ")</f>
        <v xml:space="preserve"> </v>
      </c>
      <c r="H458" s="100" t="str">
        <f>IFERROR(VLOOKUP(Tablo520[[#This Row],[ÜRÜN KODU]],YMKODLARI!$A$1:$K$373,4,0)," ")</f>
        <v xml:space="preserve"> </v>
      </c>
      <c r="I458" s="100"/>
      <c r="J458" s="100" t="str">
        <f>IFERROR(VLOOKUP(Tablo520[[#This Row],[ÜRÜN KODU]],YMKODLARI!$A$1:$K$373,9,0)," ")</f>
        <v xml:space="preserve"> </v>
      </c>
      <c r="K458" s="100" t="str">
        <f>IFERROR(VLOOKUP(Tablo520[[#This Row],[BOYA KODU]],Tablo14[#All],4,0)," ")</f>
        <v xml:space="preserve"> </v>
      </c>
      <c r="L458" s="100" t="str">
        <f>IFERROR(VLOOKUP(Tablo520[[#This Row],[BOYA KODU]],Tablo14[#All],6,0)," ")</f>
        <v xml:space="preserve"> </v>
      </c>
      <c r="M458" s="100" t="str">
        <f t="shared" si="49"/>
        <v xml:space="preserve"> </v>
      </c>
      <c r="N458" s="100" t="str">
        <f>IFERROR(VLOOKUP(Tablo520[[#This Row],[ÜRÜN KODU]],YMKODLARI!$A$1:$K$373,8,0)," ")</f>
        <v xml:space="preserve"> </v>
      </c>
      <c r="O458" s="100" t="str">
        <f>IFERROR(VLOOKUP(Tablo520[[#This Row],[HAMMADDE KODU]],Tablo1[#All],3,0)," ")</f>
        <v xml:space="preserve"> </v>
      </c>
      <c r="P458" s="100" t="str">
        <f>IFERROR(VLOOKUP(Tablo520[[#This Row],[HAMMADDE KODU]],Tablo1[#All],4,0)," ")</f>
        <v xml:space="preserve"> </v>
      </c>
      <c r="Q458" s="100" t="str">
        <f>IFERROR(VLOOKUP(Tablo520[[#This Row],[ÜRÜN KODU]],YMKODLARI!$A$1:$K$373,5,0)," ")</f>
        <v xml:space="preserve"> </v>
      </c>
      <c r="R458" s="100" t="str">
        <f>IFERROR(VLOOKUP(Tablo520[[#This Row],[ÜRÜN KODU]],YMKODLARI!$A$1:$K$373,6,0)," ")</f>
        <v xml:space="preserve"> </v>
      </c>
      <c r="S458" s="100" t="str">
        <f>IFERROR(Tablo520[[#This Row],[YOLLUK HARİÇ BASKI GRAMI]]/Tablo520[[#This Row],[KALIP GÖZ ADEDİ]]," ")</f>
        <v xml:space="preserve"> </v>
      </c>
      <c r="T458" s="100" t="str">
        <f t="shared" si="51"/>
        <v xml:space="preserve"> </v>
      </c>
      <c r="U458" s="100"/>
      <c r="V458" s="100" t="str">
        <f t="shared" si="50"/>
        <v xml:space="preserve"> </v>
      </c>
      <c r="W458" s="101">
        <f t="shared" si="52"/>
        <v>24</v>
      </c>
      <c r="X458" s="102">
        <f t="shared" si="53"/>
        <v>0</v>
      </c>
      <c r="Y458" s="100" t="str">
        <f t="shared" si="54"/>
        <v xml:space="preserve"> </v>
      </c>
      <c r="Z458" s="100" t="str">
        <f t="shared" si="55"/>
        <v xml:space="preserve"> </v>
      </c>
    </row>
    <row r="459" spans="1:26">
      <c r="A459" s="100"/>
      <c r="B459" s="100" t="str">
        <f>IFERROR(VLOOKUP(Tablo520[[#This Row],[ÜRÜN KODU]],YMKODLARI!$A$1:$K$373,2,0)," ")</f>
        <v xml:space="preserve"> </v>
      </c>
      <c r="C459" s="99"/>
      <c r="D459" s="100"/>
      <c r="E459" s="101"/>
      <c r="F459" s="101"/>
      <c r="G459" s="100" t="str">
        <f>IFERROR(VLOOKUP(Tablo520[[#This Row],[ÜRÜN KODU]],YMKODLARI!$A$1:$K$373,3,0)," ")</f>
        <v xml:space="preserve"> </v>
      </c>
      <c r="H459" s="100" t="str">
        <f>IFERROR(VLOOKUP(Tablo520[[#This Row],[ÜRÜN KODU]],YMKODLARI!$A$1:$K$373,4,0)," ")</f>
        <v xml:space="preserve"> </v>
      </c>
      <c r="I459" s="100"/>
      <c r="J459" s="100" t="str">
        <f>IFERROR(VLOOKUP(Tablo520[[#This Row],[ÜRÜN KODU]],YMKODLARI!$A$1:$K$373,9,0)," ")</f>
        <v xml:space="preserve"> </v>
      </c>
      <c r="K459" s="100" t="str">
        <f>IFERROR(VLOOKUP(Tablo520[[#This Row],[BOYA KODU]],Tablo14[#All],4,0)," ")</f>
        <v xml:space="preserve"> </v>
      </c>
      <c r="L459" s="100" t="str">
        <f>IFERROR(VLOOKUP(Tablo520[[#This Row],[BOYA KODU]],Tablo14[#All],6,0)," ")</f>
        <v xml:space="preserve"> </v>
      </c>
      <c r="M459" s="100" t="str">
        <f t="shared" si="49"/>
        <v xml:space="preserve"> </v>
      </c>
      <c r="N459" s="100" t="str">
        <f>IFERROR(VLOOKUP(Tablo520[[#This Row],[ÜRÜN KODU]],YMKODLARI!$A$1:$K$373,8,0)," ")</f>
        <v xml:space="preserve"> </v>
      </c>
      <c r="O459" s="100" t="str">
        <f>IFERROR(VLOOKUP(Tablo520[[#This Row],[HAMMADDE KODU]],Tablo1[#All],3,0)," ")</f>
        <v xml:space="preserve"> </v>
      </c>
      <c r="P459" s="100" t="str">
        <f>IFERROR(VLOOKUP(Tablo520[[#This Row],[HAMMADDE KODU]],Tablo1[#All],4,0)," ")</f>
        <v xml:space="preserve"> </v>
      </c>
      <c r="Q459" s="100" t="str">
        <f>IFERROR(VLOOKUP(Tablo520[[#This Row],[ÜRÜN KODU]],YMKODLARI!$A$1:$K$373,5,0)," ")</f>
        <v xml:space="preserve"> </v>
      </c>
      <c r="R459" s="100" t="str">
        <f>IFERROR(VLOOKUP(Tablo520[[#This Row],[ÜRÜN KODU]],YMKODLARI!$A$1:$K$373,6,0)," ")</f>
        <v xml:space="preserve"> </v>
      </c>
      <c r="S459" s="100" t="str">
        <f>IFERROR(Tablo520[[#This Row],[YOLLUK HARİÇ BASKI GRAMI]]/Tablo520[[#This Row],[KALIP GÖZ ADEDİ]]," ")</f>
        <v xml:space="preserve"> </v>
      </c>
      <c r="T459" s="100" t="str">
        <f t="shared" si="51"/>
        <v xml:space="preserve"> </v>
      </c>
      <c r="U459" s="100"/>
      <c r="V459" s="100" t="str">
        <f t="shared" si="50"/>
        <v xml:space="preserve"> </v>
      </c>
      <c r="W459" s="101">
        <f t="shared" si="52"/>
        <v>24</v>
      </c>
      <c r="X459" s="102">
        <f t="shared" si="53"/>
        <v>0</v>
      </c>
      <c r="Y459" s="100" t="str">
        <f t="shared" si="54"/>
        <v xml:space="preserve"> </v>
      </c>
      <c r="Z459" s="100" t="str">
        <f t="shared" si="55"/>
        <v xml:space="preserve"> </v>
      </c>
    </row>
    <row r="460" spans="1:26">
      <c r="A460" s="100"/>
      <c r="B460" s="100" t="str">
        <f>IFERROR(VLOOKUP(Tablo520[[#This Row],[ÜRÜN KODU]],YMKODLARI!$A$1:$K$373,2,0)," ")</f>
        <v xml:space="preserve"> </v>
      </c>
      <c r="C460" s="99"/>
      <c r="D460" s="100"/>
      <c r="E460" s="101"/>
      <c r="F460" s="101"/>
      <c r="G460" s="100" t="str">
        <f>IFERROR(VLOOKUP(Tablo520[[#This Row],[ÜRÜN KODU]],YMKODLARI!$A$1:$K$373,3,0)," ")</f>
        <v xml:space="preserve"> </v>
      </c>
      <c r="H460" s="100" t="str">
        <f>IFERROR(VLOOKUP(Tablo520[[#This Row],[ÜRÜN KODU]],YMKODLARI!$A$1:$K$373,4,0)," ")</f>
        <v xml:space="preserve"> </v>
      </c>
      <c r="I460" s="100"/>
      <c r="J460" s="100" t="str">
        <f>IFERROR(VLOOKUP(Tablo520[[#This Row],[ÜRÜN KODU]],YMKODLARI!$A$1:$K$373,9,0)," ")</f>
        <v xml:space="preserve"> </v>
      </c>
      <c r="K460" s="100" t="str">
        <f>IFERROR(VLOOKUP(Tablo520[[#This Row],[BOYA KODU]],Tablo14[#All],4,0)," ")</f>
        <v xml:space="preserve"> </v>
      </c>
      <c r="L460" s="100" t="str">
        <f>IFERROR(VLOOKUP(Tablo520[[#This Row],[BOYA KODU]],Tablo14[#All],6,0)," ")</f>
        <v xml:space="preserve"> </v>
      </c>
      <c r="M460" s="100" t="str">
        <f t="shared" si="49"/>
        <v xml:space="preserve"> </v>
      </c>
      <c r="N460" s="100" t="str">
        <f>IFERROR(VLOOKUP(Tablo520[[#This Row],[ÜRÜN KODU]],YMKODLARI!$A$1:$K$373,8,0)," ")</f>
        <v xml:space="preserve"> </v>
      </c>
      <c r="O460" s="100" t="str">
        <f>IFERROR(VLOOKUP(Tablo520[[#This Row],[HAMMADDE KODU]],Tablo1[#All],3,0)," ")</f>
        <v xml:space="preserve"> </v>
      </c>
      <c r="P460" s="100" t="str">
        <f>IFERROR(VLOOKUP(Tablo520[[#This Row],[HAMMADDE KODU]],Tablo1[#All],4,0)," ")</f>
        <v xml:space="preserve"> </v>
      </c>
      <c r="Q460" s="100" t="str">
        <f>IFERROR(VLOOKUP(Tablo520[[#This Row],[ÜRÜN KODU]],YMKODLARI!$A$1:$K$373,5,0)," ")</f>
        <v xml:space="preserve"> </v>
      </c>
      <c r="R460" s="100" t="str">
        <f>IFERROR(VLOOKUP(Tablo520[[#This Row],[ÜRÜN KODU]],YMKODLARI!$A$1:$K$373,6,0)," ")</f>
        <v xml:space="preserve"> </v>
      </c>
      <c r="S460" s="100" t="str">
        <f>IFERROR(Tablo520[[#This Row],[YOLLUK HARİÇ BASKI GRAMI]]/Tablo520[[#This Row],[KALIP GÖZ ADEDİ]]," ")</f>
        <v xml:space="preserve"> </v>
      </c>
      <c r="T460" s="100" t="str">
        <f t="shared" si="51"/>
        <v xml:space="preserve"> </v>
      </c>
      <c r="U460" s="100"/>
      <c r="V460" s="100" t="str">
        <f t="shared" si="50"/>
        <v xml:space="preserve"> </v>
      </c>
      <c r="W460" s="101">
        <f t="shared" si="52"/>
        <v>24</v>
      </c>
      <c r="X460" s="102">
        <f t="shared" si="53"/>
        <v>0</v>
      </c>
      <c r="Y460" s="100" t="str">
        <f t="shared" si="54"/>
        <v xml:space="preserve"> </v>
      </c>
      <c r="Z460" s="100" t="str">
        <f t="shared" si="55"/>
        <v xml:space="preserve"> </v>
      </c>
    </row>
    <row r="461" spans="1:26">
      <c r="A461" s="100"/>
      <c r="B461" s="100" t="str">
        <f>IFERROR(VLOOKUP(Tablo520[[#This Row],[ÜRÜN KODU]],YMKODLARI!$A$1:$K$373,2,0)," ")</f>
        <v xml:space="preserve"> </v>
      </c>
      <c r="C461" s="99"/>
      <c r="D461" s="100"/>
      <c r="E461" s="101"/>
      <c r="F461" s="101"/>
      <c r="G461" s="100" t="str">
        <f>IFERROR(VLOOKUP(Tablo520[[#This Row],[ÜRÜN KODU]],YMKODLARI!$A$1:$K$373,3,0)," ")</f>
        <v xml:space="preserve"> </v>
      </c>
      <c r="H461" s="100" t="str">
        <f>IFERROR(VLOOKUP(Tablo520[[#This Row],[ÜRÜN KODU]],YMKODLARI!$A$1:$K$373,4,0)," ")</f>
        <v xml:space="preserve"> </v>
      </c>
      <c r="I461" s="100"/>
      <c r="J461" s="100" t="str">
        <f>IFERROR(VLOOKUP(Tablo520[[#This Row],[ÜRÜN KODU]],YMKODLARI!$A$1:$K$373,9,0)," ")</f>
        <v xml:space="preserve"> </v>
      </c>
      <c r="K461" s="100" t="str">
        <f>IFERROR(VLOOKUP(Tablo520[[#This Row],[BOYA KODU]],Tablo14[#All],4,0)," ")</f>
        <v xml:space="preserve"> </v>
      </c>
      <c r="L461" s="100" t="str">
        <f>IFERROR(VLOOKUP(Tablo520[[#This Row],[BOYA KODU]],Tablo14[#All],6,0)," ")</f>
        <v xml:space="preserve"> </v>
      </c>
      <c r="M461" s="100" t="str">
        <f t="shared" si="49"/>
        <v xml:space="preserve"> </v>
      </c>
      <c r="N461" s="100" t="str">
        <f>IFERROR(VLOOKUP(Tablo520[[#This Row],[ÜRÜN KODU]],YMKODLARI!$A$1:$K$373,8,0)," ")</f>
        <v xml:space="preserve"> </v>
      </c>
      <c r="O461" s="100" t="str">
        <f>IFERROR(VLOOKUP(Tablo520[[#This Row],[HAMMADDE KODU]],Tablo1[#All],3,0)," ")</f>
        <v xml:space="preserve"> </v>
      </c>
      <c r="P461" s="100" t="str">
        <f>IFERROR(VLOOKUP(Tablo520[[#This Row],[HAMMADDE KODU]],Tablo1[#All],4,0)," ")</f>
        <v xml:space="preserve"> </v>
      </c>
      <c r="Q461" s="100" t="str">
        <f>IFERROR(VLOOKUP(Tablo520[[#This Row],[ÜRÜN KODU]],YMKODLARI!$A$1:$K$373,5,0)," ")</f>
        <v xml:space="preserve"> </v>
      </c>
      <c r="R461" s="100" t="str">
        <f>IFERROR(VLOOKUP(Tablo520[[#This Row],[ÜRÜN KODU]],YMKODLARI!$A$1:$K$373,6,0)," ")</f>
        <v xml:space="preserve"> </v>
      </c>
      <c r="S461" s="100" t="str">
        <f>IFERROR(Tablo520[[#This Row],[YOLLUK HARİÇ BASKI GRAMI]]/Tablo520[[#This Row],[KALIP GÖZ ADEDİ]]," ")</f>
        <v xml:space="preserve"> </v>
      </c>
      <c r="T461" s="100" t="str">
        <f t="shared" si="51"/>
        <v xml:space="preserve"> </v>
      </c>
      <c r="U461" s="100"/>
      <c r="V461" s="100" t="str">
        <f t="shared" si="50"/>
        <v xml:space="preserve"> </v>
      </c>
      <c r="W461" s="101">
        <f t="shared" si="52"/>
        <v>24</v>
      </c>
      <c r="X461" s="102">
        <f t="shared" si="53"/>
        <v>0</v>
      </c>
      <c r="Y461" s="100" t="str">
        <f t="shared" si="54"/>
        <v xml:space="preserve"> </v>
      </c>
      <c r="Z461" s="100" t="str">
        <f t="shared" si="55"/>
        <v xml:space="preserve"> </v>
      </c>
    </row>
    <row r="462" spans="1:26">
      <c r="A462" s="100"/>
      <c r="B462" s="100" t="str">
        <f>IFERROR(VLOOKUP(Tablo520[[#This Row],[ÜRÜN KODU]],YMKODLARI!$A$1:$K$373,2,0)," ")</f>
        <v xml:space="preserve"> </v>
      </c>
      <c r="C462" s="99"/>
      <c r="D462" s="100"/>
      <c r="E462" s="101"/>
      <c r="F462" s="101"/>
      <c r="G462" s="100" t="str">
        <f>IFERROR(VLOOKUP(Tablo520[[#This Row],[ÜRÜN KODU]],YMKODLARI!$A$1:$K$373,3,0)," ")</f>
        <v xml:space="preserve"> </v>
      </c>
      <c r="H462" s="100" t="str">
        <f>IFERROR(VLOOKUP(Tablo520[[#This Row],[ÜRÜN KODU]],YMKODLARI!$A$1:$K$373,4,0)," ")</f>
        <v xml:space="preserve"> </v>
      </c>
      <c r="I462" s="100"/>
      <c r="J462" s="100" t="str">
        <f>IFERROR(VLOOKUP(Tablo520[[#This Row],[ÜRÜN KODU]],YMKODLARI!$A$1:$K$373,9,0)," ")</f>
        <v xml:space="preserve"> </v>
      </c>
      <c r="K462" s="100" t="str">
        <f>IFERROR(VLOOKUP(Tablo520[[#This Row],[BOYA KODU]],Tablo14[#All],4,0)," ")</f>
        <v xml:space="preserve"> </v>
      </c>
      <c r="L462" s="100" t="str">
        <f>IFERROR(VLOOKUP(Tablo520[[#This Row],[BOYA KODU]],Tablo14[#All],6,0)," ")</f>
        <v xml:space="preserve"> </v>
      </c>
      <c r="M462" s="100" t="str">
        <f t="shared" si="49"/>
        <v xml:space="preserve"> </v>
      </c>
      <c r="N462" s="100" t="str">
        <f>IFERROR(VLOOKUP(Tablo520[[#This Row],[ÜRÜN KODU]],YMKODLARI!$A$1:$K$373,8,0)," ")</f>
        <v xml:space="preserve"> </v>
      </c>
      <c r="O462" s="100" t="str">
        <f>IFERROR(VLOOKUP(Tablo520[[#This Row],[HAMMADDE KODU]],Tablo1[#All],3,0)," ")</f>
        <v xml:space="preserve"> </v>
      </c>
      <c r="P462" s="100" t="str">
        <f>IFERROR(VLOOKUP(Tablo520[[#This Row],[HAMMADDE KODU]],Tablo1[#All],4,0)," ")</f>
        <v xml:space="preserve"> </v>
      </c>
      <c r="Q462" s="100" t="str">
        <f>IFERROR(VLOOKUP(Tablo520[[#This Row],[ÜRÜN KODU]],YMKODLARI!$A$1:$K$373,5,0)," ")</f>
        <v xml:space="preserve"> </v>
      </c>
      <c r="R462" s="100" t="str">
        <f>IFERROR(VLOOKUP(Tablo520[[#This Row],[ÜRÜN KODU]],YMKODLARI!$A$1:$K$373,6,0)," ")</f>
        <v xml:space="preserve"> </v>
      </c>
      <c r="S462" s="100" t="str">
        <f>IFERROR(Tablo520[[#This Row],[YOLLUK HARİÇ BASKI GRAMI]]/Tablo520[[#This Row],[KALIP GÖZ ADEDİ]]," ")</f>
        <v xml:space="preserve"> </v>
      </c>
      <c r="T462" s="100" t="str">
        <f t="shared" si="51"/>
        <v xml:space="preserve"> </v>
      </c>
      <c r="U462" s="100"/>
      <c r="V462" s="100" t="str">
        <f t="shared" si="50"/>
        <v xml:space="preserve"> </v>
      </c>
      <c r="W462" s="101">
        <f t="shared" si="52"/>
        <v>24</v>
      </c>
      <c r="X462" s="102">
        <f t="shared" si="53"/>
        <v>0</v>
      </c>
      <c r="Y462" s="100" t="str">
        <f t="shared" si="54"/>
        <v xml:space="preserve"> </v>
      </c>
      <c r="Z462" s="100" t="str">
        <f t="shared" si="55"/>
        <v xml:space="preserve"> </v>
      </c>
    </row>
    <row r="463" spans="1:26">
      <c r="A463" s="100"/>
      <c r="B463" s="100" t="str">
        <f>IFERROR(VLOOKUP(Tablo520[[#This Row],[ÜRÜN KODU]],YMKODLARI!$A$1:$K$373,2,0)," ")</f>
        <v xml:space="preserve"> </v>
      </c>
      <c r="C463" s="99"/>
      <c r="D463" s="100"/>
      <c r="E463" s="101"/>
      <c r="F463" s="101"/>
      <c r="G463" s="100" t="str">
        <f>IFERROR(VLOOKUP(Tablo520[[#This Row],[ÜRÜN KODU]],YMKODLARI!$A$1:$K$373,3,0)," ")</f>
        <v xml:space="preserve"> </v>
      </c>
      <c r="H463" s="100" t="str">
        <f>IFERROR(VLOOKUP(Tablo520[[#This Row],[ÜRÜN KODU]],YMKODLARI!$A$1:$K$373,4,0)," ")</f>
        <v xml:space="preserve"> </v>
      </c>
      <c r="I463" s="100"/>
      <c r="J463" s="100" t="str">
        <f>IFERROR(VLOOKUP(Tablo520[[#This Row],[ÜRÜN KODU]],YMKODLARI!$A$1:$K$373,9,0)," ")</f>
        <v xml:space="preserve"> </v>
      </c>
      <c r="K463" s="100" t="str">
        <f>IFERROR(VLOOKUP(Tablo520[[#This Row],[BOYA KODU]],Tablo14[#All],4,0)," ")</f>
        <v xml:space="preserve"> </v>
      </c>
      <c r="L463" s="100" t="str">
        <f>IFERROR(VLOOKUP(Tablo520[[#This Row],[BOYA KODU]],Tablo14[#All],6,0)," ")</f>
        <v xml:space="preserve"> </v>
      </c>
      <c r="M463" s="100" t="str">
        <f t="shared" si="49"/>
        <v xml:space="preserve"> </v>
      </c>
      <c r="N463" s="100" t="str">
        <f>IFERROR(VLOOKUP(Tablo520[[#This Row],[ÜRÜN KODU]],YMKODLARI!$A$1:$K$373,8,0)," ")</f>
        <v xml:space="preserve"> </v>
      </c>
      <c r="O463" s="100" t="str">
        <f>IFERROR(VLOOKUP(Tablo520[[#This Row],[HAMMADDE KODU]],Tablo1[#All],3,0)," ")</f>
        <v xml:space="preserve"> </v>
      </c>
      <c r="P463" s="100" t="str">
        <f>IFERROR(VLOOKUP(Tablo520[[#This Row],[HAMMADDE KODU]],Tablo1[#All],4,0)," ")</f>
        <v xml:space="preserve"> </v>
      </c>
      <c r="Q463" s="100" t="str">
        <f>IFERROR(VLOOKUP(Tablo520[[#This Row],[ÜRÜN KODU]],YMKODLARI!$A$1:$K$373,5,0)," ")</f>
        <v xml:space="preserve"> </v>
      </c>
      <c r="R463" s="100" t="str">
        <f>IFERROR(VLOOKUP(Tablo520[[#This Row],[ÜRÜN KODU]],YMKODLARI!$A$1:$K$373,6,0)," ")</f>
        <v xml:space="preserve"> </v>
      </c>
      <c r="S463" s="100" t="str">
        <f>IFERROR(Tablo520[[#This Row],[YOLLUK HARİÇ BASKI GRAMI]]/Tablo520[[#This Row],[KALIP GÖZ ADEDİ]]," ")</f>
        <v xml:space="preserve"> </v>
      </c>
      <c r="T463" s="100" t="str">
        <f t="shared" si="51"/>
        <v xml:space="preserve"> </v>
      </c>
      <c r="U463" s="100"/>
      <c r="V463" s="100" t="str">
        <f t="shared" si="50"/>
        <v xml:space="preserve"> </v>
      </c>
      <c r="W463" s="101">
        <f t="shared" si="52"/>
        <v>24</v>
      </c>
      <c r="X463" s="102">
        <f t="shared" si="53"/>
        <v>0</v>
      </c>
      <c r="Y463" s="100" t="str">
        <f t="shared" si="54"/>
        <v xml:space="preserve"> </v>
      </c>
      <c r="Z463" s="100" t="str">
        <f t="shared" si="55"/>
        <v xml:space="preserve"> </v>
      </c>
    </row>
    <row r="464" spans="1:26">
      <c r="A464" s="100"/>
      <c r="B464" s="100" t="str">
        <f>IFERROR(VLOOKUP(Tablo520[[#This Row],[ÜRÜN KODU]],YMKODLARI!$A$1:$K$373,2,0)," ")</f>
        <v xml:space="preserve"> </v>
      </c>
      <c r="C464" s="99"/>
      <c r="D464" s="100"/>
      <c r="E464" s="101"/>
      <c r="F464" s="101"/>
      <c r="G464" s="100" t="str">
        <f>IFERROR(VLOOKUP(Tablo520[[#This Row],[ÜRÜN KODU]],YMKODLARI!$A$1:$K$373,3,0)," ")</f>
        <v xml:space="preserve"> </v>
      </c>
      <c r="H464" s="100" t="str">
        <f>IFERROR(VLOOKUP(Tablo520[[#This Row],[ÜRÜN KODU]],YMKODLARI!$A$1:$K$373,4,0)," ")</f>
        <v xml:space="preserve"> </v>
      </c>
      <c r="I464" s="100"/>
      <c r="J464" s="100" t="str">
        <f>IFERROR(VLOOKUP(Tablo520[[#This Row],[ÜRÜN KODU]],YMKODLARI!$A$1:$K$373,9,0)," ")</f>
        <v xml:space="preserve"> </v>
      </c>
      <c r="K464" s="100" t="str">
        <f>IFERROR(VLOOKUP(Tablo520[[#This Row],[BOYA KODU]],Tablo14[#All],4,0)," ")</f>
        <v xml:space="preserve"> </v>
      </c>
      <c r="L464" s="100" t="str">
        <f>IFERROR(VLOOKUP(Tablo520[[#This Row],[BOYA KODU]],Tablo14[#All],6,0)," ")</f>
        <v xml:space="preserve"> </v>
      </c>
      <c r="M464" s="100" t="str">
        <f t="shared" si="49"/>
        <v xml:space="preserve"> </v>
      </c>
      <c r="N464" s="100" t="str">
        <f>IFERROR(VLOOKUP(Tablo520[[#This Row],[ÜRÜN KODU]],YMKODLARI!$A$1:$K$373,8,0)," ")</f>
        <v xml:space="preserve"> </v>
      </c>
      <c r="O464" s="100" t="str">
        <f>IFERROR(VLOOKUP(Tablo520[[#This Row],[HAMMADDE KODU]],Tablo1[#All],3,0)," ")</f>
        <v xml:space="preserve"> </v>
      </c>
      <c r="P464" s="100" t="str">
        <f>IFERROR(VLOOKUP(Tablo520[[#This Row],[HAMMADDE KODU]],Tablo1[#All],4,0)," ")</f>
        <v xml:space="preserve"> </v>
      </c>
      <c r="Q464" s="100" t="str">
        <f>IFERROR(VLOOKUP(Tablo520[[#This Row],[ÜRÜN KODU]],YMKODLARI!$A$1:$K$373,5,0)," ")</f>
        <v xml:space="preserve"> </v>
      </c>
      <c r="R464" s="100" t="str">
        <f>IFERROR(VLOOKUP(Tablo520[[#This Row],[ÜRÜN KODU]],YMKODLARI!$A$1:$K$373,6,0)," ")</f>
        <v xml:space="preserve"> </v>
      </c>
      <c r="S464" s="100" t="str">
        <f>IFERROR(Tablo520[[#This Row],[YOLLUK HARİÇ BASKI GRAMI]]/Tablo520[[#This Row],[KALIP GÖZ ADEDİ]]," ")</f>
        <v xml:space="preserve"> </v>
      </c>
      <c r="T464" s="100" t="str">
        <f t="shared" si="51"/>
        <v xml:space="preserve"> </v>
      </c>
      <c r="U464" s="100"/>
      <c r="V464" s="100" t="str">
        <f t="shared" si="50"/>
        <v xml:space="preserve"> </v>
      </c>
      <c r="W464" s="101">
        <f t="shared" si="52"/>
        <v>24</v>
      </c>
      <c r="X464" s="102">
        <f t="shared" si="53"/>
        <v>0</v>
      </c>
      <c r="Y464" s="100" t="str">
        <f t="shared" si="54"/>
        <v xml:space="preserve"> </v>
      </c>
      <c r="Z464" s="100" t="str">
        <f t="shared" si="55"/>
        <v xml:space="preserve"> </v>
      </c>
    </row>
    <row r="465" spans="1:26">
      <c r="A465" s="100"/>
      <c r="B465" s="100" t="str">
        <f>IFERROR(VLOOKUP(Tablo520[[#This Row],[ÜRÜN KODU]],YMKODLARI!$A$1:$K$373,2,0)," ")</f>
        <v xml:space="preserve"> </v>
      </c>
      <c r="C465" s="99"/>
      <c r="D465" s="100"/>
      <c r="E465" s="101"/>
      <c r="F465" s="101"/>
      <c r="G465" s="100" t="str">
        <f>IFERROR(VLOOKUP(Tablo520[[#This Row],[ÜRÜN KODU]],YMKODLARI!$A$1:$K$373,3,0)," ")</f>
        <v xml:space="preserve"> </v>
      </c>
      <c r="H465" s="100" t="str">
        <f>IFERROR(VLOOKUP(Tablo520[[#This Row],[ÜRÜN KODU]],YMKODLARI!$A$1:$K$373,4,0)," ")</f>
        <v xml:space="preserve"> </v>
      </c>
      <c r="I465" s="100"/>
      <c r="J465" s="100" t="str">
        <f>IFERROR(VLOOKUP(Tablo520[[#This Row],[ÜRÜN KODU]],YMKODLARI!$A$1:$K$373,9,0)," ")</f>
        <v xml:space="preserve"> </v>
      </c>
      <c r="K465" s="100" t="str">
        <f>IFERROR(VLOOKUP(Tablo520[[#This Row],[BOYA KODU]],Tablo14[#All],4,0)," ")</f>
        <v xml:space="preserve"> </v>
      </c>
      <c r="L465" s="100" t="str">
        <f>IFERROR(VLOOKUP(Tablo520[[#This Row],[BOYA KODU]],Tablo14[#All],6,0)," ")</f>
        <v xml:space="preserve"> </v>
      </c>
      <c r="M465" s="100" t="str">
        <f t="shared" si="49"/>
        <v xml:space="preserve"> </v>
      </c>
      <c r="N465" s="100" t="str">
        <f>IFERROR(VLOOKUP(Tablo520[[#This Row],[ÜRÜN KODU]],YMKODLARI!$A$1:$K$373,8,0)," ")</f>
        <v xml:space="preserve"> </v>
      </c>
      <c r="O465" s="100" t="str">
        <f>IFERROR(VLOOKUP(Tablo520[[#This Row],[HAMMADDE KODU]],Tablo1[#All],3,0)," ")</f>
        <v xml:space="preserve"> </v>
      </c>
      <c r="P465" s="100" t="str">
        <f>IFERROR(VLOOKUP(Tablo520[[#This Row],[HAMMADDE KODU]],Tablo1[#All],4,0)," ")</f>
        <v xml:space="preserve"> </v>
      </c>
      <c r="Q465" s="100" t="str">
        <f>IFERROR(VLOOKUP(Tablo520[[#This Row],[ÜRÜN KODU]],YMKODLARI!$A$1:$K$373,5,0)," ")</f>
        <v xml:space="preserve"> </v>
      </c>
      <c r="R465" s="100" t="str">
        <f>IFERROR(VLOOKUP(Tablo520[[#This Row],[ÜRÜN KODU]],YMKODLARI!$A$1:$K$373,6,0)," ")</f>
        <v xml:space="preserve"> </v>
      </c>
      <c r="S465" s="100" t="str">
        <f>IFERROR(Tablo520[[#This Row],[YOLLUK HARİÇ BASKI GRAMI]]/Tablo520[[#This Row],[KALIP GÖZ ADEDİ]]," ")</f>
        <v xml:space="preserve"> </v>
      </c>
      <c r="T465" s="100" t="str">
        <f t="shared" si="51"/>
        <v xml:space="preserve"> </v>
      </c>
      <c r="U465" s="100"/>
      <c r="V465" s="100" t="str">
        <f t="shared" si="50"/>
        <v xml:space="preserve"> </v>
      </c>
      <c r="W465" s="101">
        <f t="shared" si="52"/>
        <v>24</v>
      </c>
      <c r="X465" s="102">
        <f t="shared" si="53"/>
        <v>0</v>
      </c>
      <c r="Y465" s="100" t="str">
        <f t="shared" si="54"/>
        <v xml:space="preserve"> </v>
      </c>
      <c r="Z465" s="100" t="str">
        <f t="shared" si="55"/>
        <v xml:space="preserve"> </v>
      </c>
    </row>
    <row r="466" spans="1:26">
      <c r="A466" s="100"/>
      <c r="B466" s="100" t="str">
        <f>IFERROR(VLOOKUP(Tablo520[[#This Row],[ÜRÜN KODU]],YMKODLARI!$A$1:$K$373,2,0)," ")</f>
        <v xml:space="preserve"> </v>
      </c>
      <c r="C466" s="99"/>
      <c r="D466" s="100"/>
      <c r="E466" s="101"/>
      <c r="F466" s="101"/>
      <c r="G466" s="100" t="str">
        <f>IFERROR(VLOOKUP(Tablo520[[#This Row],[ÜRÜN KODU]],YMKODLARI!$A$1:$K$373,3,0)," ")</f>
        <v xml:space="preserve"> </v>
      </c>
      <c r="H466" s="100" t="str">
        <f>IFERROR(VLOOKUP(Tablo520[[#This Row],[ÜRÜN KODU]],YMKODLARI!$A$1:$K$373,4,0)," ")</f>
        <v xml:space="preserve"> </v>
      </c>
      <c r="I466" s="100"/>
      <c r="J466" s="100" t="str">
        <f>IFERROR(VLOOKUP(Tablo520[[#This Row],[ÜRÜN KODU]],YMKODLARI!$A$1:$K$373,9,0)," ")</f>
        <v xml:space="preserve"> </v>
      </c>
      <c r="K466" s="100" t="str">
        <f>IFERROR(VLOOKUP(Tablo520[[#This Row],[BOYA KODU]],Tablo14[#All],4,0)," ")</f>
        <v xml:space="preserve"> </v>
      </c>
      <c r="L466" s="100" t="str">
        <f>IFERROR(VLOOKUP(Tablo520[[#This Row],[BOYA KODU]],Tablo14[#All],6,0)," ")</f>
        <v xml:space="preserve"> </v>
      </c>
      <c r="M466" s="100" t="str">
        <f t="shared" si="49"/>
        <v xml:space="preserve"> </v>
      </c>
      <c r="N466" s="100" t="str">
        <f>IFERROR(VLOOKUP(Tablo520[[#This Row],[ÜRÜN KODU]],YMKODLARI!$A$1:$K$373,8,0)," ")</f>
        <v xml:space="preserve"> </v>
      </c>
      <c r="O466" s="100" t="str">
        <f>IFERROR(VLOOKUP(Tablo520[[#This Row],[HAMMADDE KODU]],Tablo1[#All],3,0)," ")</f>
        <v xml:space="preserve"> </v>
      </c>
      <c r="P466" s="100" t="str">
        <f>IFERROR(VLOOKUP(Tablo520[[#This Row],[HAMMADDE KODU]],Tablo1[#All],4,0)," ")</f>
        <v xml:space="preserve"> </v>
      </c>
      <c r="Q466" s="100" t="str">
        <f>IFERROR(VLOOKUP(Tablo520[[#This Row],[ÜRÜN KODU]],YMKODLARI!$A$1:$K$373,5,0)," ")</f>
        <v xml:space="preserve"> </v>
      </c>
      <c r="R466" s="100" t="str">
        <f>IFERROR(VLOOKUP(Tablo520[[#This Row],[ÜRÜN KODU]],YMKODLARI!$A$1:$K$373,6,0)," ")</f>
        <v xml:space="preserve"> </v>
      </c>
      <c r="S466" s="100" t="str">
        <f>IFERROR(Tablo520[[#This Row],[YOLLUK HARİÇ BASKI GRAMI]]/Tablo520[[#This Row],[KALIP GÖZ ADEDİ]]," ")</f>
        <v xml:space="preserve"> </v>
      </c>
      <c r="T466" s="100" t="str">
        <f t="shared" si="51"/>
        <v xml:space="preserve"> </v>
      </c>
      <c r="U466" s="100"/>
      <c r="V466" s="100" t="str">
        <f t="shared" si="50"/>
        <v xml:space="preserve"> </v>
      </c>
      <c r="W466" s="101">
        <f t="shared" si="52"/>
        <v>24</v>
      </c>
      <c r="X466" s="102">
        <f t="shared" si="53"/>
        <v>0</v>
      </c>
      <c r="Y466" s="100" t="str">
        <f t="shared" si="54"/>
        <v xml:space="preserve"> </v>
      </c>
      <c r="Z466" s="100" t="str">
        <f t="shared" si="55"/>
        <v xml:space="preserve"> </v>
      </c>
    </row>
    <row r="467" spans="1:26">
      <c r="A467" s="100"/>
      <c r="B467" s="100" t="str">
        <f>IFERROR(VLOOKUP(Tablo520[[#This Row],[ÜRÜN KODU]],YMKODLARI!$A$1:$K$373,2,0)," ")</f>
        <v xml:space="preserve"> </v>
      </c>
      <c r="C467" s="99"/>
      <c r="D467" s="100"/>
      <c r="E467" s="101"/>
      <c r="F467" s="101"/>
      <c r="G467" s="100" t="str">
        <f>IFERROR(VLOOKUP(Tablo520[[#This Row],[ÜRÜN KODU]],YMKODLARI!$A$1:$K$373,3,0)," ")</f>
        <v xml:space="preserve"> </v>
      </c>
      <c r="H467" s="100" t="str">
        <f>IFERROR(VLOOKUP(Tablo520[[#This Row],[ÜRÜN KODU]],YMKODLARI!$A$1:$K$373,4,0)," ")</f>
        <v xml:space="preserve"> </v>
      </c>
      <c r="I467" s="100"/>
      <c r="J467" s="100" t="str">
        <f>IFERROR(VLOOKUP(Tablo520[[#This Row],[ÜRÜN KODU]],YMKODLARI!$A$1:$K$373,9,0)," ")</f>
        <v xml:space="preserve"> </v>
      </c>
      <c r="K467" s="100" t="str">
        <f>IFERROR(VLOOKUP(Tablo520[[#This Row],[BOYA KODU]],Tablo14[#All],4,0)," ")</f>
        <v xml:space="preserve"> </v>
      </c>
      <c r="L467" s="100" t="str">
        <f>IFERROR(VLOOKUP(Tablo520[[#This Row],[BOYA KODU]],Tablo14[#All],6,0)," ")</f>
        <v xml:space="preserve"> </v>
      </c>
      <c r="M467" s="100" t="str">
        <f t="shared" si="49"/>
        <v xml:space="preserve"> </v>
      </c>
      <c r="N467" s="100" t="str">
        <f>IFERROR(VLOOKUP(Tablo520[[#This Row],[ÜRÜN KODU]],YMKODLARI!$A$1:$K$373,8,0)," ")</f>
        <v xml:space="preserve"> </v>
      </c>
      <c r="O467" s="100" t="str">
        <f>IFERROR(VLOOKUP(Tablo520[[#This Row],[HAMMADDE KODU]],Tablo1[#All],3,0)," ")</f>
        <v xml:space="preserve"> </v>
      </c>
      <c r="P467" s="100" t="str">
        <f>IFERROR(VLOOKUP(Tablo520[[#This Row],[HAMMADDE KODU]],Tablo1[#All],4,0)," ")</f>
        <v xml:space="preserve"> </v>
      </c>
      <c r="Q467" s="100" t="str">
        <f>IFERROR(VLOOKUP(Tablo520[[#This Row],[ÜRÜN KODU]],YMKODLARI!$A$1:$K$373,5,0)," ")</f>
        <v xml:space="preserve"> </v>
      </c>
      <c r="R467" s="100" t="str">
        <f>IFERROR(VLOOKUP(Tablo520[[#This Row],[ÜRÜN KODU]],YMKODLARI!$A$1:$K$373,6,0)," ")</f>
        <v xml:space="preserve"> </v>
      </c>
      <c r="S467" s="100" t="str">
        <f>IFERROR(Tablo520[[#This Row],[YOLLUK HARİÇ BASKI GRAMI]]/Tablo520[[#This Row],[KALIP GÖZ ADEDİ]]," ")</f>
        <v xml:space="preserve"> </v>
      </c>
      <c r="T467" s="100" t="str">
        <f t="shared" si="51"/>
        <v xml:space="preserve"> </v>
      </c>
      <c r="U467" s="100"/>
      <c r="V467" s="100" t="str">
        <f t="shared" si="50"/>
        <v xml:space="preserve"> </v>
      </c>
      <c r="W467" s="101">
        <f t="shared" si="52"/>
        <v>24</v>
      </c>
      <c r="X467" s="102">
        <f t="shared" si="53"/>
        <v>0</v>
      </c>
      <c r="Y467" s="100" t="str">
        <f t="shared" si="54"/>
        <v xml:space="preserve"> </v>
      </c>
      <c r="Z467" s="100" t="str">
        <f t="shared" si="55"/>
        <v xml:space="preserve"> </v>
      </c>
    </row>
    <row r="468" spans="1:26">
      <c r="A468" s="100"/>
      <c r="B468" s="100" t="str">
        <f>IFERROR(VLOOKUP(Tablo520[[#This Row],[ÜRÜN KODU]],YMKODLARI!$A$1:$K$373,2,0)," ")</f>
        <v xml:space="preserve"> </v>
      </c>
      <c r="C468" s="99"/>
      <c r="D468" s="100"/>
      <c r="E468" s="101"/>
      <c r="F468" s="101"/>
      <c r="G468" s="100" t="str">
        <f>IFERROR(VLOOKUP(Tablo520[[#This Row],[ÜRÜN KODU]],YMKODLARI!$A$1:$K$373,3,0)," ")</f>
        <v xml:space="preserve"> </v>
      </c>
      <c r="H468" s="100" t="str">
        <f>IFERROR(VLOOKUP(Tablo520[[#This Row],[ÜRÜN KODU]],YMKODLARI!$A$1:$K$373,4,0)," ")</f>
        <v xml:space="preserve"> </v>
      </c>
      <c r="I468" s="100"/>
      <c r="J468" s="100" t="str">
        <f>IFERROR(VLOOKUP(Tablo520[[#This Row],[ÜRÜN KODU]],YMKODLARI!$A$1:$K$373,9,0)," ")</f>
        <v xml:space="preserve"> </v>
      </c>
      <c r="K468" s="100" t="str">
        <f>IFERROR(VLOOKUP(Tablo520[[#This Row],[BOYA KODU]],Tablo14[#All],4,0)," ")</f>
        <v xml:space="preserve"> </v>
      </c>
      <c r="L468" s="100" t="str">
        <f>IFERROR(VLOOKUP(Tablo520[[#This Row],[BOYA KODU]],Tablo14[#All],6,0)," ")</f>
        <v xml:space="preserve"> </v>
      </c>
      <c r="M468" s="100" t="str">
        <f t="shared" si="49"/>
        <v xml:space="preserve"> </v>
      </c>
      <c r="N468" s="100" t="str">
        <f>IFERROR(VLOOKUP(Tablo520[[#This Row],[ÜRÜN KODU]],YMKODLARI!$A$1:$K$373,8,0)," ")</f>
        <v xml:space="preserve"> </v>
      </c>
      <c r="O468" s="100" t="str">
        <f>IFERROR(VLOOKUP(Tablo520[[#This Row],[HAMMADDE KODU]],Tablo1[#All],3,0)," ")</f>
        <v xml:space="preserve"> </v>
      </c>
      <c r="P468" s="100" t="str">
        <f>IFERROR(VLOOKUP(Tablo520[[#This Row],[HAMMADDE KODU]],Tablo1[#All],4,0)," ")</f>
        <v xml:space="preserve"> </v>
      </c>
      <c r="Q468" s="100" t="str">
        <f>IFERROR(VLOOKUP(Tablo520[[#This Row],[ÜRÜN KODU]],YMKODLARI!$A$1:$K$373,5,0)," ")</f>
        <v xml:space="preserve"> </v>
      </c>
      <c r="R468" s="100" t="str">
        <f>IFERROR(VLOOKUP(Tablo520[[#This Row],[ÜRÜN KODU]],YMKODLARI!$A$1:$K$373,6,0)," ")</f>
        <v xml:space="preserve"> </v>
      </c>
      <c r="S468" s="100" t="str">
        <f>IFERROR(Tablo520[[#This Row],[YOLLUK HARİÇ BASKI GRAMI]]/Tablo520[[#This Row],[KALIP GÖZ ADEDİ]]," ")</f>
        <v xml:space="preserve"> </v>
      </c>
      <c r="T468" s="100" t="str">
        <f t="shared" si="51"/>
        <v xml:space="preserve"> </v>
      </c>
      <c r="U468" s="100"/>
      <c r="V468" s="100" t="str">
        <f t="shared" si="50"/>
        <v xml:space="preserve"> </v>
      </c>
      <c r="W468" s="101">
        <f t="shared" si="52"/>
        <v>24</v>
      </c>
      <c r="X468" s="102">
        <f t="shared" si="53"/>
        <v>0</v>
      </c>
      <c r="Y468" s="100" t="str">
        <f t="shared" si="54"/>
        <v xml:space="preserve"> </v>
      </c>
      <c r="Z468" s="100" t="str">
        <f t="shared" si="55"/>
        <v xml:space="preserve"> </v>
      </c>
    </row>
    <row r="469" spans="1:26">
      <c r="A469" s="100"/>
      <c r="B469" s="100" t="str">
        <f>IFERROR(VLOOKUP(Tablo520[[#This Row],[ÜRÜN KODU]],YMKODLARI!$A$1:$K$373,2,0)," ")</f>
        <v xml:space="preserve"> </v>
      </c>
      <c r="C469" s="99"/>
      <c r="D469" s="100"/>
      <c r="E469" s="101"/>
      <c r="F469" s="101"/>
      <c r="G469" s="100" t="str">
        <f>IFERROR(VLOOKUP(Tablo520[[#This Row],[ÜRÜN KODU]],YMKODLARI!$A$1:$K$373,3,0)," ")</f>
        <v xml:space="preserve"> </v>
      </c>
      <c r="H469" s="100" t="str">
        <f>IFERROR(VLOOKUP(Tablo520[[#This Row],[ÜRÜN KODU]],YMKODLARI!$A$1:$K$373,4,0)," ")</f>
        <v xml:space="preserve"> </v>
      </c>
      <c r="I469" s="100"/>
      <c r="J469" s="100" t="str">
        <f>IFERROR(VLOOKUP(Tablo520[[#This Row],[ÜRÜN KODU]],YMKODLARI!$A$1:$K$373,9,0)," ")</f>
        <v xml:space="preserve"> </v>
      </c>
      <c r="K469" s="100" t="str">
        <f>IFERROR(VLOOKUP(Tablo520[[#This Row],[BOYA KODU]],Tablo14[#All],4,0)," ")</f>
        <v xml:space="preserve"> </v>
      </c>
      <c r="L469" s="100" t="str">
        <f>IFERROR(VLOOKUP(Tablo520[[#This Row],[BOYA KODU]],Tablo14[#All],6,0)," ")</f>
        <v xml:space="preserve"> </v>
      </c>
      <c r="M469" s="100" t="str">
        <f t="shared" si="49"/>
        <v xml:space="preserve"> </v>
      </c>
      <c r="N469" s="100" t="str">
        <f>IFERROR(VLOOKUP(Tablo520[[#This Row],[ÜRÜN KODU]],YMKODLARI!$A$1:$K$373,8,0)," ")</f>
        <v xml:space="preserve"> </v>
      </c>
      <c r="O469" s="100" t="str">
        <f>IFERROR(VLOOKUP(Tablo520[[#This Row],[HAMMADDE KODU]],Tablo1[#All],3,0)," ")</f>
        <v xml:space="preserve"> </v>
      </c>
      <c r="P469" s="100" t="str">
        <f>IFERROR(VLOOKUP(Tablo520[[#This Row],[HAMMADDE KODU]],Tablo1[#All],4,0)," ")</f>
        <v xml:space="preserve"> </v>
      </c>
      <c r="Q469" s="100" t="str">
        <f>IFERROR(VLOOKUP(Tablo520[[#This Row],[ÜRÜN KODU]],YMKODLARI!$A$1:$K$373,5,0)," ")</f>
        <v xml:space="preserve"> </v>
      </c>
      <c r="R469" s="100" t="str">
        <f>IFERROR(VLOOKUP(Tablo520[[#This Row],[ÜRÜN KODU]],YMKODLARI!$A$1:$K$373,6,0)," ")</f>
        <v xml:space="preserve"> </v>
      </c>
      <c r="S469" s="100" t="str">
        <f>IFERROR(Tablo520[[#This Row],[YOLLUK HARİÇ BASKI GRAMI]]/Tablo520[[#This Row],[KALIP GÖZ ADEDİ]]," ")</f>
        <v xml:space="preserve"> </v>
      </c>
      <c r="T469" s="100" t="str">
        <f t="shared" si="51"/>
        <v xml:space="preserve"> </v>
      </c>
      <c r="U469" s="100"/>
      <c r="V469" s="100" t="str">
        <f t="shared" si="50"/>
        <v xml:space="preserve"> </v>
      </c>
      <c r="W469" s="101">
        <f t="shared" si="52"/>
        <v>24</v>
      </c>
      <c r="X469" s="102">
        <f t="shared" si="53"/>
        <v>0</v>
      </c>
      <c r="Y469" s="100" t="str">
        <f t="shared" si="54"/>
        <v xml:space="preserve"> </v>
      </c>
      <c r="Z469" s="100" t="str">
        <f t="shared" si="55"/>
        <v xml:space="preserve"> </v>
      </c>
    </row>
    <row r="470" spans="1:26">
      <c r="A470" s="100"/>
      <c r="B470" s="100" t="str">
        <f>IFERROR(VLOOKUP(Tablo520[[#This Row],[ÜRÜN KODU]],YMKODLARI!$A$1:$K$373,2,0)," ")</f>
        <v xml:space="preserve"> </v>
      </c>
      <c r="C470" s="99"/>
      <c r="D470" s="100"/>
      <c r="E470" s="101"/>
      <c r="F470" s="101"/>
      <c r="G470" s="100" t="str">
        <f>IFERROR(VLOOKUP(Tablo520[[#This Row],[ÜRÜN KODU]],YMKODLARI!$A$1:$K$373,3,0)," ")</f>
        <v xml:space="preserve"> </v>
      </c>
      <c r="H470" s="100" t="str">
        <f>IFERROR(VLOOKUP(Tablo520[[#This Row],[ÜRÜN KODU]],YMKODLARI!$A$1:$K$373,4,0)," ")</f>
        <v xml:space="preserve"> </v>
      </c>
      <c r="I470" s="100"/>
      <c r="J470" s="100" t="str">
        <f>IFERROR(VLOOKUP(Tablo520[[#This Row],[ÜRÜN KODU]],YMKODLARI!$A$1:$K$373,9,0)," ")</f>
        <v xml:space="preserve"> </v>
      </c>
      <c r="K470" s="100" t="str">
        <f>IFERROR(VLOOKUP(Tablo520[[#This Row],[BOYA KODU]],Tablo14[#All],4,0)," ")</f>
        <v xml:space="preserve"> </v>
      </c>
      <c r="L470" s="100" t="str">
        <f>IFERROR(VLOOKUP(Tablo520[[#This Row],[BOYA KODU]],Tablo14[#All],6,0)," ")</f>
        <v xml:space="preserve"> </v>
      </c>
      <c r="M470" s="100" t="str">
        <f t="shared" si="49"/>
        <v xml:space="preserve"> </v>
      </c>
      <c r="N470" s="100" t="str">
        <f>IFERROR(VLOOKUP(Tablo520[[#This Row],[ÜRÜN KODU]],YMKODLARI!$A$1:$K$373,8,0)," ")</f>
        <v xml:space="preserve"> </v>
      </c>
      <c r="O470" s="100" t="str">
        <f>IFERROR(VLOOKUP(Tablo520[[#This Row],[HAMMADDE KODU]],Tablo1[#All],3,0)," ")</f>
        <v xml:space="preserve"> </v>
      </c>
      <c r="P470" s="100" t="str">
        <f>IFERROR(VLOOKUP(Tablo520[[#This Row],[HAMMADDE KODU]],Tablo1[#All],4,0)," ")</f>
        <v xml:space="preserve"> </v>
      </c>
      <c r="Q470" s="100" t="str">
        <f>IFERROR(VLOOKUP(Tablo520[[#This Row],[ÜRÜN KODU]],YMKODLARI!$A$1:$K$373,5,0)," ")</f>
        <v xml:space="preserve"> </v>
      </c>
      <c r="R470" s="100" t="str">
        <f>IFERROR(VLOOKUP(Tablo520[[#This Row],[ÜRÜN KODU]],YMKODLARI!$A$1:$K$373,6,0)," ")</f>
        <v xml:space="preserve"> </v>
      </c>
      <c r="S470" s="100" t="str">
        <f>IFERROR(Tablo520[[#This Row],[YOLLUK HARİÇ BASKI GRAMI]]/Tablo520[[#This Row],[KALIP GÖZ ADEDİ]]," ")</f>
        <v xml:space="preserve"> </v>
      </c>
      <c r="T470" s="100" t="str">
        <f t="shared" si="51"/>
        <v xml:space="preserve"> </v>
      </c>
      <c r="U470" s="100"/>
      <c r="V470" s="100" t="str">
        <f t="shared" si="50"/>
        <v xml:space="preserve"> </v>
      </c>
      <c r="W470" s="101">
        <f t="shared" si="52"/>
        <v>24</v>
      </c>
      <c r="X470" s="102">
        <f t="shared" si="53"/>
        <v>0</v>
      </c>
      <c r="Y470" s="100" t="str">
        <f t="shared" si="54"/>
        <v xml:space="preserve"> </v>
      </c>
      <c r="Z470" s="100" t="str">
        <f t="shared" si="55"/>
        <v xml:space="preserve"> </v>
      </c>
    </row>
    <row r="471" spans="1:26">
      <c r="A471" s="100"/>
      <c r="B471" s="100" t="str">
        <f>IFERROR(VLOOKUP(Tablo520[[#This Row],[ÜRÜN KODU]],YMKODLARI!$A$1:$K$373,2,0)," ")</f>
        <v xml:space="preserve"> </v>
      </c>
      <c r="C471" s="99"/>
      <c r="D471" s="100"/>
      <c r="E471" s="101"/>
      <c r="F471" s="101"/>
      <c r="G471" s="100" t="str">
        <f>IFERROR(VLOOKUP(Tablo520[[#This Row],[ÜRÜN KODU]],YMKODLARI!$A$1:$K$373,3,0)," ")</f>
        <v xml:space="preserve"> </v>
      </c>
      <c r="H471" s="100" t="str">
        <f>IFERROR(VLOOKUP(Tablo520[[#This Row],[ÜRÜN KODU]],YMKODLARI!$A$1:$K$373,4,0)," ")</f>
        <v xml:space="preserve"> </v>
      </c>
      <c r="I471" s="100"/>
      <c r="J471" s="100" t="str">
        <f>IFERROR(VLOOKUP(Tablo520[[#This Row],[ÜRÜN KODU]],YMKODLARI!$A$1:$K$373,9,0)," ")</f>
        <v xml:space="preserve"> </v>
      </c>
      <c r="K471" s="100" t="str">
        <f>IFERROR(VLOOKUP(Tablo520[[#This Row],[BOYA KODU]],Tablo14[#All],4,0)," ")</f>
        <v xml:space="preserve"> </v>
      </c>
      <c r="L471" s="100" t="str">
        <f>IFERROR(VLOOKUP(Tablo520[[#This Row],[BOYA KODU]],Tablo14[#All],6,0)," ")</f>
        <v xml:space="preserve"> </v>
      </c>
      <c r="M471" s="100" t="str">
        <f t="shared" si="49"/>
        <v xml:space="preserve"> </v>
      </c>
      <c r="N471" s="100" t="str">
        <f>IFERROR(VLOOKUP(Tablo520[[#This Row],[ÜRÜN KODU]],YMKODLARI!$A$1:$K$373,8,0)," ")</f>
        <v xml:space="preserve"> </v>
      </c>
      <c r="O471" s="100" t="str">
        <f>IFERROR(VLOOKUP(Tablo520[[#This Row],[HAMMADDE KODU]],Tablo1[#All],3,0)," ")</f>
        <v xml:space="preserve"> </v>
      </c>
      <c r="P471" s="100" t="str">
        <f>IFERROR(VLOOKUP(Tablo520[[#This Row],[HAMMADDE KODU]],Tablo1[#All],4,0)," ")</f>
        <v xml:space="preserve"> </v>
      </c>
      <c r="Q471" s="100" t="str">
        <f>IFERROR(VLOOKUP(Tablo520[[#This Row],[ÜRÜN KODU]],YMKODLARI!$A$1:$K$373,5,0)," ")</f>
        <v xml:space="preserve"> </v>
      </c>
      <c r="R471" s="100" t="str">
        <f>IFERROR(VLOOKUP(Tablo520[[#This Row],[ÜRÜN KODU]],YMKODLARI!$A$1:$K$373,6,0)," ")</f>
        <v xml:space="preserve"> </v>
      </c>
      <c r="S471" s="100" t="str">
        <f>IFERROR(Tablo520[[#This Row],[YOLLUK HARİÇ BASKI GRAMI]]/Tablo520[[#This Row],[KALIP GÖZ ADEDİ]]," ")</f>
        <v xml:space="preserve"> </v>
      </c>
      <c r="T471" s="100" t="str">
        <f t="shared" si="51"/>
        <v xml:space="preserve"> </v>
      </c>
      <c r="U471" s="100"/>
      <c r="V471" s="100" t="str">
        <f t="shared" si="50"/>
        <v xml:space="preserve"> </v>
      </c>
      <c r="W471" s="101">
        <f t="shared" si="52"/>
        <v>24</v>
      </c>
      <c r="X471" s="102">
        <f t="shared" si="53"/>
        <v>0</v>
      </c>
      <c r="Y471" s="100" t="str">
        <f t="shared" si="54"/>
        <v xml:space="preserve"> </v>
      </c>
      <c r="Z471" s="100" t="str">
        <f t="shared" si="55"/>
        <v xml:space="preserve"> </v>
      </c>
    </row>
    <row r="472" spans="1:26">
      <c r="A472" s="100"/>
      <c r="B472" s="100" t="str">
        <f>IFERROR(VLOOKUP(Tablo520[[#This Row],[ÜRÜN KODU]],YMKODLARI!$A$1:$K$373,2,0)," ")</f>
        <v xml:space="preserve"> </v>
      </c>
      <c r="C472" s="99"/>
      <c r="D472" s="100"/>
      <c r="E472" s="101"/>
      <c r="F472" s="101"/>
      <c r="G472" s="100" t="str">
        <f>IFERROR(VLOOKUP(Tablo520[[#This Row],[ÜRÜN KODU]],YMKODLARI!$A$1:$K$373,3,0)," ")</f>
        <v xml:space="preserve"> </v>
      </c>
      <c r="H472" s="100" t="str">
        <f>IFERROR(VLOOKUP(Tablo520[[#This Row],[ÜRÜN KODU]],YMKODLARI!$A$1:$K$373,4,0)," ")</f>
        <v xml:space="preserve"> </v>
      </c>
      <c r="I472" s="100"/>
      <c r="J472" s="100" t="str">
        <f>IFERROR(VLOOKUP(Tablo520[[#This Row],[ÜRÜN KODU]],YMKODLARI!$A$1:$K$373,9,0)," ")</f>
        <v xml:space="preserve"> </v>
      </c>
      <c r="K472" s="100" t="str">
        <f>IFERROR(VLOOKUP(Tablo520[[#This Row],[BOYA KODU]],Tablo14[#All],4,0)," ")</f>
        <v xml:space="preserve"> </v>
      </c>
      <c r="L472" s="100" t="str">
        <f>IFERROR(VLOOKUP(Tablo520[[#This Row],[BOYA KODU]],Tablo14[#All],6,0)," ")</f>
        <v xml:space="preserve"> </v>
      </c>
      <c r="M472" s="100" t="str">
        <f t="shared" si="49"/>
        <v xml:space="preserve"> </v>
      </c>
      <c r="N472" s="100" t="str">
        <f>IFERROR(VLOOKUP(Tablo520[[#This Row],[ÜRÜN KODU]],YMKODLARI!$A$1:$K$373,8,0)," ")</f>
        <v xml:space="preserve"> </v>
      </c>
      <c r="O472" s="100" t="str">
        <f>IFERROR(VLOOKUP(Tablo520[[#This Row],[HAMMADDE KODU]],Tablo1[#All],3,0)," ")</f>
        <v xml:space="preserve"> </v>
      </c>
      <c r="P472" s="100" t="str">
        <f>IFERROR(VLOOKUP(Tablo520[[#This Row],[HAMMADDE KODU]],Tablo1[#All],4,0)," ")</f>
        <v xml:space="preserve"> </v>
      </c>
      <c r="Q472" s="100" t="str">
        <f>IFERROR(VLOOKUP(Tablo520[[#This Row],[ÜRÜN KODU]],YMKODLARI!$A$1:$K$373,5,0)," ")</f>
        <v xml:space="preserve"> </v>
      </c>
      <c r="R472" s="100" t="str">
        <f>IFERROR(VLOOKUP(Tablo520[[#This Row],[ÜRÜN KODU]],YMKODLARI!$A$1:$K$373,6,0)," ")</f>
        <v xml:space="preserve"> </v>
      </c>
      <c r="S472" s="100" t="str">
        <f>IFERROR(Tablo520[[#This Row],[YOLLUK HARİÇ BASKI GRAMI]]/Tablo520[[#This Row],[KALIP GÖZ ADEDİ]]," ")</f>
        <v xml:space="preserve"> </v>
      </c>
      <c r="T472" s="100" t="str">
        <f t="shared" si="51"/>
        <v xml:space="preserve"> </v>
      </c>
      <c r="U472" s="100"/>
      <c r="V472" s="100" t="str">
        <f t="shared" si="50"/>
        <v xml:space="preserve"> </v>
      </c>
      <c r="W472" s="101">
        <f t="shared" si="52"/>
        <v>24</v>
      </c>
      <c r="X472" s="102">
        <f t="shared" si="53"/>
        <v>0</v>
      </c>
      <c r="Y472" s="100" t="str">
        <f t="shared" si="54"/>
        <v xml:space="preserve"> </v>
      </c>
      <c r="Z472" s="100" t="str">
        <f t="shared" si="55"/>
        <v xml:space="preserve"> </v>
      </c>
    </row>
    <row r="473" spans="1:26">
      <c r="A473" s="100"/>
      <c r="B473" s="100" t="str">
        <f>IFERROR(VLOOKUP(Tablo520[[#This Row],[ÜRÜN KODU]],YMKODLARI!$A$1:$K$373,2,0)," ")</f>
        <v xml:space="preserve"> </v>
      </c>
      <c r="C473" s="99"/>
      <c r="D473" s="100"/>
      <c r="E473" s="101"/>
      <c r="F473" s="101"/>
      <c r="G473" s="100" t="str">
        <f>IFERROR(VLOOKUP(Tablo520[[#This Row],[ÜRÜN KODU]],YMKODLARI!$A$1:$K$373,3,0)," ")</f>
        <v xml:space="preserve"> </v>
      </c>
      <c r="H473" s="100" t="str">
        <f>IFERROR(VLOOKUP(Tablo520[[#This Row],[ÜRÜN KODU]],YMKODLARI!$A$1:$K$373,4,0)," ")</f>
        <v xml:space="preserve"> </v>
      </c>
      <c r="I473" s="100"/>
      <c r="J473" s="100" t="str">
        <f>IFERROR(VLOOKUP(Tablo520[[#This Row],[ÜRÜN KODU]],YMKODLARI!$A$1:$K$373,9,0)," ")</f>
        <v xml:space="preserve"> </v>
      </c>
      <c r="K473" s="100" t="str">
        <f>IFERROR(VLOOKUP(Tablo520[[#This Row],[BOYA KODU]],Tablo14[#All],4,0)," ")</f>
        <v xml:space="preserve"> </v>
      </c>
      <c r="L473" s="100" t="str">
        <f>IFERROR(VLOOKUP(Tablo520[[#This Row],[BOYA KODU]],Tablo14[#All],6,0)," ")</f>
        <v xml:space="preserve"> </v>
      </c>
      <c r="M473" s="100" t="str">
        <f t="shared" si="49"/>
        <v xml:space="preserve"> </v>
      </c>
      <c r="N473" s="100" t="str">
        <f>IFERROR(VLOOKUP(Tablo520[[#This Row],[ÜRÜN KODU]],YMKODLARI!$A$1:$K$373,8,0)," ")</f>
        <v xml:space="preserve"> </v>
      </c>
      <c r="O473" s="100" t="str">
        <f>IFERROR(VLOOKUP(Tablo520[[#This Row],[HAMMADDE KODU]],Tablo1[#All],3,0)," ")</f>
        <v xml:space="preserve"> </v>
      </c>
      <c r="P473" s="100" t="str">
        <f>IFERROR(VLOOKUP(Tablo520[[#This Row],[HAMMADDE KODU]],Tablo1[#All],4,0)," ")</f>
        <v xml:space="preserve"> </v>
      </c>
      <c r="Q473" s="100" t="str">
        <f>IFERROR(VLOOKUP(Tablo520[[#This Row],[ÜRÜN KODU]],YMKODLARI!$A$1:$K$373,5,0)," ")</f>
        <v xml:space="preserve"> </v>
      </c>
      <c r="R473" s="100" t="str">
        <f>IFERROR(VLOOKUP(Tablo520[[#This Row],[ÜRÜN KODU]],YMKODLARI!$A$1:$K$373,6,0)," ")</f>
        <v xml:space="preserve"> </v>
      </c>
      <c r="S473" s="100" t="str">
        <f>IFERROR(Tablo520[[#This Row],[YOLLUK HARİÇ BASKI GRAMI]]/Tablo520[[#This Row],[KALIP GÖZ ADEDİ]]," ")</f>
        <v xml:space="preserve"> </v>
      </c>
      <c r="T473" s="100" t="str">
        <f t="shared" si="51"/>
        <v xml:space="preserve"> </v>
      </c>
      <c r="U473" s="100"/>
      <c r="V473" s="100" t="str">
        <f t="shared" si="50"/>
        <v xml:space="preserve"> </v>
      </c>
      <c r="W473" s="101">
        <f t="shared" si="52"/>
        <v>24</v>
      </c>
      <c r="X473" s="102">
        <f t="shared" si="53"/>
        <v>0</v>
      </c>
      <c r="Y473" s="100" t="str">
        <f t="shared" si="54"/>
        <v xml:space="preserve"> </v>
      </c>
      <c r="Z473" s="100" t="str">
        <f t="shared" si="55"/>
        <v xml:space="preserve"> </v>
      </c>
    </row>
    <row r="474" spans="1:26">
      <c r="A474" s="100"/>
      <c r="B474" s="100" t="str">
        <f>IFERROR(VLOOKUP(Tablo520[[#This Row],[ÜRÜN KODU]],YMKODLARI!$A$1:$K$373,2,0)," ")</f>
        <v xml:space="preserve"> </v>
      </c>
      <c r="C474" s="99"/>
      <c r="D474" s="100"/>
      <c r="E474" s="101"/>
      <c r="F474" s="101"/>
      <c r="G474" s="100" t="str">
        <f>IFERROR(VLOOKUP(Tablo520[[#This Row],[ÜRÜN KODU]],YMKODLARI!$A$1:$K$373,3,0)," ")</f>
        <v xml:space="preserve"> </v>
      </c>
      <c r="H474" s="100" t="str">
        <f>IFERROR(VLOOKUP(Tablo520[[#This Row],[ÜRÜN KODU]],YMKODLARI!$A$1:$K$373,4,0)," ")</f>
        <v xml:space="preserve"> </v>
      </c>
      <c r="I474" s="100"/>
      <c r="J474" s="100" t="str">
        <f>IFERROR(VLOOKUP(Tablo520[[#This Row],[ÜRÜN KODU]],YMKODLARI!$A$1:$K$373,9,0)," ")</f>
        <v xml:space="preserve"> </v>
      </c>
      <c r="K474" s="100" t="str">
        <f>IFERROR(VLOOKUP(Tablo520[[#This Row],[BOYA KODU]],Tablo14[#All],4,0)," ")</f>
        <v xml:space="preserve"> </v>
      </c>
      <c r="L474" s="100" t="str">
        <f>IFERROR(VLOOKUP(Tablo520[[#This Row],[BOYA KODU]],Tablo14[#All],6,0)," ")</f>
        <v xml:space="preserve"> </v>
      </c>
      <c r="M474" s="100" t="str">
        <f t="shared" si="49"/>
        <v xml:space="preserve"> </v>
      </c>
      <c r="N474" s="100" t="str">
        <f>IFERROR(VLOOKUP(Tablo520[[#This Row],[ÜRÜN KODU]],YMKODLARI!$A$1:$K$373,8,0)," ")</f>
        <v xml:space="preserve"> </v>
      </c>
      <c r="O474" s="100" t="str">
        <f>IFERROR(VLOOKUP(Tablo520[[#This Row],[HAMMADDE KODU]],Tablo1[#All],3,0)," ")</f>
        <v xml:space="preserve"> </v>
      </c>
      <c r="P474" s="100" t="str">
        <f>IFERROR(VLOOKUP(Tablo520[[#This Row],[HAMMADDE KODU]],Tablo1[#All],4,0)," ")</f>
        <v xml:space="preserve"> </v>
      </c>
      <c r="Q474" s="100" t="str">
        <f>IFERROR(VLOOKUP(Tablo520[[#This Row],[ÜRÜN KODU]],YMKODLARI!$A$1:$K$373,5,0)," ")</f>
        <v xml:space="preserve"> </v>
      </c>
      <c r="R474" s="100" t="str">
        <f>IFERROR(VLOOKUP(Tablo520[[#This Row],[ÜRÜN KODU]],YMKODLARI!$A$1:$K$373,6,0)," ")</f>
        <v xml:space="preserve"> </v>
      </c>
      <c r="S474" s="100" t="str">
        <f>IFERROR(Tablo520[[#This Row],[YOLLUK HARİÇ BASKI GRAMI]]/Tablo520[[#This Row],[KALIP GÖZ ADEDİ]]," ")</f>
        <v xml:space="preserve"> </v>
      </c>
      <c r="T474" s="100" t="str">
        <f t="shared" si="51"/>
        <v xml:space="preserve"> </v>
      </c>
      <c r="U474" s="100"/>
      <c r="V474" s="100" t="str">
        <f t="shared" si="50"/>
        <v xml:space="preserve"> </v>
      </c>
      <c r="W474" s="101">
        <f t="shared" si="52"/>
        <v>24</v>
      </c>
      <c r="X474" s="102">
        <f t="shared" si="53"/>
        <v>0</v>
      </c>
      <c r="Y474" s="100" t="str">
        <f t="shared" si="54"/>
        <v xml:space="preserve"> </v>
      </c>
      <c r="Z474" s="100" t="str">
        <f t="shared" si="55"/>
        <v xml:space="preserve"> </v>
      </c>
    </row>
    <row r="475" spans="1:26">
      <c r="A475" s="100"/>
      <c r="B475" s="100" t="str">
        <f>IFERROR(VLOOKUP(Tablo520[[#This Row],[ÜRÜN KODU]],YMKODLARI!$A$1:$K$373,2,0)," ")</f>
        <v xml:space="preserve"> </v>
      </c>
      <c r="C475" s="99"/>
      <c r="D475" s="100"/>
      <c r="E475" s="101"/>
      <c r="F475" s="101"/>
      <c r="G475" s="100" t="str">
        <f>IFERROR(VLOOKUP(Tablo520[[#This Row],[ÜRÜN KODU]],YMKODLARI!$A$1:$K$373,3,0)," ")</f>
        <v xml:space="preserve"> </v>
      </c>
      <c r="H475" s="100" t="str">
        <f>IFERROR(VLOOKUP(Tablo520[[#This Row],[ÜRÜN KODU]],YMKODLARI!$A$1:$K$373,4,0)," ")</f>
        <v xml:space="preserve"> </v>
      </c>
      <c r="I475" s="100"/>
      <c r="J475" s="100" t="str">
        <f>IFERROR(VLOOKUP(Tablo520[[#This Row],[ÜRÜN KODU]],YMKODLARI!$A$1:$K$373,9,0)," ")</f>
        <v xml:space="preserve"> </v>
      </c>
      <c r="K475" s="100" t="str">
        <f>IFERROR(VLOOKUP(Tablo520[[#This Row],[BOYA KODU]],Tablo14[#All],4,0)," ")</f>
        <v xml:space="preserve"> </v>
      </c>
      <c r="L475" s="100" t="str">
        <f>IFERROR(VLOOKUP(Tablo520[[#This Row],[BOYA KODU]],Tablo14[#All],6,0)," ")</f>
        <v xml:space="preserve"> </v>
      </c>
      <c r="M475" s="100" t="str">
        <f t="shared" si="49"/>
        <v xml:space="preserve"> </v>
      </c>
      <c r="N475" s="100" t="str">
        <f>IFERROR(VLOOKUP(Tablo520[[#This Row],[ÜRÜN KODU]],YMKODLARI!$A$1:$K$373,8,0)," ")</f>
        <v xml:space="preserve"> </v>
      </c>
      <c r="O475" s="100" t="str">
        <f>IFERROR(VLOOKUP(Tablo520[[#This Row],[HAMMADDE KODU]],Tablo1[#All],3,0)," ")</f>
        <v xml:space="preserve"> </v>
      </c>
      <c r="P475" s="100" t="str">
        <f>IFERROR(VLOOKUP(Tablo520[[#This Row],[HAMMADDE KODU]],Tablo1[#All],4,0)," ")</f>
        <v xml:space="preserve"> </v>
      </c>
      <c r="Q475" s="100" t="str">
        <f>IFERROR(VLOOKUP(Tablo520[[#This Row],[ÜRÜN KODU]],YMKODLARI!$A$1:$K$373,5,0)," ")</f>
        <v xml:space="preserve"> </v>
      </c>
      <c r="R475" s="100" t="str">
        <f>IFERROR(VLOOKUP(Tablo520[[#This Row],[ÜRÜN KODU]],YMKODLARI!$A$1:$K$373,6,0)," ")</f>
        <v xml:space="preserve"> </v>
      </c>
      <c r="S475" s="100" t="str">
        <f>IFERROR(Tablo520[[#This Row],[YOLLUK HARİÇ BASKI GRAMI]]/Tablo520[[#This Row],[KALIP GÖZ ADEDİ]]," ")</f>
        <v xml:space="preserve"> </v>
      </c>
      <c r="T475" s="100" t="str">
        <f t="shared" si="51"/>
        <v xml:space="preserve"> </v>
      </c>
      <c r="U475" s="100"/>
      <c r="V475" s="100" t="str">
        <f t="shared" si="50"/>
        <v xml:space="preserve"> </v>
      </c>
      <c r="W475" s="101">
        <f t="shared" si="52"/>
        <v>24</v>
      </c>
      <c r="X475" s="102">
        <f t="shared" si="53"/>
        <v>0</v>
      </c>
      <c r="Y475" s="100" t="str">
        <f t="shared" si="54"/>
        <v xml:space="preserve"> </v>
      </c>
      <c r="Z475" s="100" t="str">
        <f t="shared" si="55"/>
        <v xml:space="preserve"> </v>
      </c>
    </row>
    <row r="476" spans="1:26">
      <c r="A476" s="100"/>
      <c r="B476" s="100" t="str">
        <f>IFERROR(VLOOKUP(Tablo520[[#This Row],[ÜRÜN KODU]],YMKODLARI!$A$1:$K$373,2,0)," ")</f>
        <v xml:space="preserve"> </v>
      </c>
      <c r="C476" s="99"/>
      <c r="D476" s="100"/>
      <c r="E476" s="101"/>
      <c r="F476" s="101"/>
      <c r="G476" s="100" t="str">
        <f>IFERROR(VLOOKUP(Tablo520[[#This Row],[ÜRÜN KODU]],YMKODLARI!$A$1:$K$373,3,0)," ")</f>
        <v xml:space="preserve"> </v>
      </c>
      <c r="H476" s="100" t="str">
        <f>IFERROR(VLOOKUP(Tablo520[[#This Row],[ÜRÜN KODU]],YMKODLARI!$A$1:$K$373,4,0)," ")</f>
        <v xml:space="preserve"> </v>
      </c>
      <c r="I476" s="100"/>
      <c r="J476" s="100" t="str">
        <f>IFERROR(VLOOKUP(Tablo520[[#This Row],[ÜRÜN KODU]],YMKODLARI!$A$1:$K$373,9,0)," ")</f>
        <v xml:space="preserve"> </v>
      </c>
      <c r="K476" s="100" t="str">
        <f>IFERROR(VLOOKUP(Tablo520[[#This Row],[BOYA KODU]],Tablo14[#All],4,0)," ")</f>
        <v xml:space="preserve"> </v>
      </c>
      <c r="L476" s="100" t="str">
        <f>IFERROR(VLOOKUP(Tablo520[[#This Row],[BOYA KODU]],Tablo14[#All],6,0)," ")</f>
        <v xml:space="preserve"> </v>
      </c>
      <c r="M476" s="100" t="str">
        <f t="shared" si="49"/>
        <v xml:space="preserve"> </v>
      </c>
      <c r="N476" s="100" t="str">
        <f>IFERROR(VLOOKUP(Tablo520[[#This Row],[ÜRÜN KODU]],YMKODLARI!$A$1:$K$373,8,0)," ")</f>
        <v xml:space="preserve"> </v>
      </c>
      <c r="O476" s="100" t="str">
        <f>IFERROR(VLOOKUP(Tablo520[[#This Row],[HAMMADDE KODU]],Tablo1[#All],3,0)," ")</f>
        <v xml:space="preserve"> </v>
      </c>
      <c r="P476" s="100" t="str">
        <f>IFERROR(VLOOKUP(Tablo520[[#This Row],[HAMMADDE KODU]],Tablo1[#All],4,0)," ")</f>
        <v xml:space="preserve"> </v>
      </c>
      <c r="Q476" s="100" t="str">
        <f>IFERROR(VLOOKUP(Tablo520[[#This Row],[ÜRÜN KODU]],YMKODLARI!$A$1:$K$373,5,0)," ")</f>
        <v xml:space="preserve"> </v>
      </c>
      <c r="R476" s="100" t="str">
        <f>IFERROR(VLOOKUP(Tablo520[[#This Row],[ÜRÜN KODU]],YMKODLARI!$A$1:$K$373,6,0)," ")</f>
        <v xml:space="preserve"> </v>
      </c>
      <c r="S476" s="100" t="str">
        <f>IFERROR(Tablo520[[#This Row],[YOLLUK HARİÇ BASKI GRAMI]]/Tablo520[[#This Row],[KALIP GÖZ ADEDİ]]," ")</f>
        <v xml:space="preserve"> </v>
      </c>
      <c r="T476" s="100" t="str">
        <f t="shared" si="51"/>
        <v xml:space="preserve"> </v>
      </c>
      <c r="U476" s="100"/>
      <c r="V476" s="100" t="str">
        <f t="shared" si="50"/>
        <v xml:space="preserve"> </v>
      </c>
      <c r="W476" s="101">
        <f t="shared" si="52"/>
        <v>24</v>
      </c>
      <c r="X476" s="102">
        <f t="shared" si="53"/>
        <v>0</v>
      </c>
      <c r="Y476" s="100" t="str">
        <f t="shared" si="54"/>
        <v xml:space="preserve"> </v>
      </c>
      <c r="Z476" s="100" t="str">
        <f t="shared" si="55"/>
        <v xml:space="preserve"> </v>
      </c>
    </row>
    <row r="477" spans="1:26">
      <c r="A477" s="100"/>
      <c r="B477" s="100" t="str">
        <f>IFERROR(VLOOKUP(Tablo520[[#This Row],[ÜRÜN KODU]],YMKODLARI!$A$1:$K$373,2,0)," ")</f>
        <v xml:space="preserve"> </v>
      </c>
      <c r="C477" s="99"/>
      <c r="D477" s="100"/>
      <c r="E477" s="101"/>
      <c r="F477" s="101"/>
      <c r="G477" s="100" t="str">
        <f>IFERROR(VLOOKUP(Tablo520[[#This Row],[ÜRÜN KODU]],YMKODLARI!$A$1:$K$373,3,0)," ")</f>
        <v xml:space="preserve"> </v>
      </c>
      <c r="H477" s="100" t="str">
        <f>IFERROR(VLOOKUP(Tablo520[[#This Row],[ÜRÜN KODU]],YMKODLARI!$A$1:$K$373,4,0)," ")</f>
        <v xml:space="preserve"> </v>
      </c>
      <c r="I477" s="100"/>
      <c r="J477" s="100" t="str">
        <f>IFERROR(VLOOKUP(Tablo520[[#This Row],[ÜRÜN KODU]],YMKODLARI!$A$1:$K$373,9,0)," ")</f>
        <v xml:space="preserve"> </v>
      </c>
      <c r="K477" s="100" t="str">
        <f>IFERROR(VLOOKUP(Tablo520[[#This Row],[BOYA KODU]],Tablo14[#All],4,0)," ")</f>
        <v xml:space="preserve"> </v>
      </c>
      <c r="L477" s="100" t="str">
        <f>IFERROR(VLOOKUP(Tablo520[[#This Row],[BOYA KODU]],Tablo14[#All],6,0)," ")</f>
        <v xml:space="preserve"> </v>
      </c>
      <c r="M477" s="100" t="str">
        <f t="shared" si="49"/>
        <v xml:space="preserve"> </v>
      </c>
      <c r="N477" s="100" t="str">
        <f>IFERROR(VLOOKUP(Tablo520[[#This Row],[ÜRÜN KODU]],YMKODLARI!$A$1:$K$373,8,0)," ")</f>
        <v xml:space="preserve"> </v>
      </c>
      <c r="O477" s="100" t="str">
        <f>IFERROR(VLOOKUP(Tablo520[[#This Row],[HAMMADDE KODU]],Tablo1[#All],3,0)," ")</f>
        <v xml:space="preserve"> </v>
      </c>
      <c r="P477" s="100" t="str">
        <f>IFERROR(VLOOKUP(Tablo520[[#This Row],[HAMMADDE KODU]],Tablo1[#All],4,0)," ")</f>
        <v xml:space="preserve"> </v>
      </c>
      <c r="Q477" s="100" t="str">
        <f>IFERROR(VLOOKUP(Tablo520[[#This Row],[ÜRÜN KODU]],YMKODLARI!$A$1:$K$373,5,0)," ")</f>
        <v xml:space="preserve"> </v>
      </c>
      <c r="R477" s="100" t="str">
        <f>IFERROR(VLOOKUP(Tablo520[[#This Row],[ÜRÜN KODU]],YMKODLARI!$A$1:$K$373,6,0)," ")</f>
        <v xml:space="preserve"> </v>
      </c>
      <c r="S477" s="100" t="str">
        <f>IFERROR(Tablo520[[#This Row],[YOLLUK HARİÇ BASKI GRAMI]]/Tablo520[[#This Row],[KALIP GÖZ ADEDİ]]," ")</f>
        <v xml:space="preserve"> </v>
      </c>
      <c r="T477" s="100" t="str">
        <f t="shared" si="51"/>
        <v xml:space="preserve"> </v>
      </c>
      <c r="U477" s="100"/>
      <c r="V477" s="100" t="str">
        <f t="shared" si="50"/>
        <v xml:space="preserve"> </v>
      </c>
      <c r="W477" s="101">
        <f t="shared" si="52"/>
        <v>24</v>
      </c>
      <c r="X477" s="102">
        <f t="shared" si="53"/>
        <v>0</v>
      </c>
      <c r="Y477" s="100" t="str">
        <f t="shared" si="54"/>
        <v xml:space="preserve"> </v>
      </c>
      <c r="Z477" s="100" t="str">
        <f t="shared" si="55"/>
        <v xml:space="preserve"> </v>
      </c>
    </row>
    <row r="478" spans="1:26">
      <c r="A478" s="100"/>
      <c r="B478" s="100" t="str">
        <f>IFERROR(VLOOKUP(Tablo520[[#This Row],[ÜRÜN KODU]],YMKODLARI!$A$1:$K$373,2,0)," ")</f>
        <v xml:space="preserve"> </v>
      </c>
      <c r="C478" s="99"/>
      <c r="D478" s="100"/>
      <c r="E478" s="101"/>
      <c r="F478" s="101"/>
      <c r="G478" s="100" t="str">
        <f>IFERROR(VLOOKUP(Tablo520[[#This Row],[ÜRÜN KODU]],YMKODLARI!$A$1:$K$373,3,0)," ")</f>
        <v xml:space="preserve"> </v>
      </c>
      <c r="H478" s="100" t="str">
        <f>IFERROR(VLOOKUP(Tablo520[[#This Row],[ÜRÜN KODU]],YMKODLARI!$A$1:$K$373,4,0)," ")</f>
        <v xml:space="preserve"> </v>
      </c>
      <c r="I478" s="100"/>
      <c r="J478" s="100" t="str">
        <f>IFERROR(VLOOKUP(Tablo520[[#This Row],[ÜRÜN KODU]],YMKODLARI!$A$1:$K$373,9,0)," ")</f>
        <v xml:space="preserve"> </v>
      </c>
      <c r="K478" s="100" t="str">
        <f>IFERROR(VLOOKUP(Tablo520[[#This Row],[BOYA KODU]],Tablo14[#All],4,0)," ")</f>
        <v xml:space="preserve"> </v>
      </c>
      <c r="L478" s="100" t="str">
        <f>IFERROR(VLOOKUP(Tablo520[[#This Row],[BOYA KODU]],Tablo14[#All],6,0)," ")</f>
        <v xml:space="preserve"> </v>
      </c>
      <c r="M478" s="100" t="str">
        <f t="shared" si="49"/>
        <v xml:space="preserve"> </v>
      </c>
      <c r="N478" s="100" t="str">
        <f>IFERROR(VLOOKUP(Tablo520[[#This Row],[ÜRÜN KODU]],YMKODLARI!$A$1:$K$373,8,0)," ")</f>
        <v xml:space="preserve"> </v>
      </c>
      <c r="O478" s="100" t="str">
        <f>IFERROR(VLOOKUP(Tablo520[[#This Row],[HAMMADDE KODU]],Tablo1[#All],3,0)," ")</f>
        <v xml:space="preserve"> </v>
      </c>
      <c r="P478" s="100" t="str">
        <f>IFERROR(VLOOKUP(Tablo520[[#This Row],[HAMMADDE KODU]],Tablo1[#All],4,0)," ")</f>
        <v xml:space="preserve"> </v>
      </c>
      <c r="Q478" s="100" t="str">
        <f>IFERROR(VLOOKUP(Tablo520[[#This Row],[ÜRÜN KODU]],YMKODLARI!$A$1:$K$373,5,0)," ")</f>
        <v xml:space="preserve"> </v>
      </c>
      <c r="R478" s="100" t="str">
        <f>IFERROR(VLOOKUP(Tablo520[[#This Row],[ÜRÜN KODU]],YMKODLARI!$A$1:$K$373,6,0)," ")</f>
        <v xml:space="preserve"> </v>
      </c>
      <c r="S478" s="100" t="str">
        <f>IFERROR(Tablo520[[#This Row],[YOLLUK HARİÇ BASKI GRAMI]]/Tablo520[[#This Row],[KALIP GÖZ ADEDİ]]," ")</f>
        <v xml:space="preserve"> </v>
      </c>
      <c r="T478" s="100" t="str">
        <f t="shared" si="51"/>
        <v xml:space="preserve"> </v>
      </c>
      <c r="U478" s="100"/>
      <c r="V478" s="100" t="str">
        <f t="shared" si="50"/>
        <v xml:space="preserve"> </v>
      </c>
      <c r="W478" s="101">
        <f t="shared" si="52"/>
        <v>24</v>
      </c>
      <c r="X478" s="102">
        <f t="shared" si="53"/>
        <v>0</v>
      </c>
      <c r="Y478" s="100" t="str">
        <f t="shared" si="54"/>
        <v xml:space="preserve"> </v>
      </c>
      <c r="Z478" s="100" t="str">
        <f t="shared" si="55"/>
        <v xml:space="preserve"> </v>
      </c>
    </row>
    <row r="479" spans="1:26">
      <c r="A479" s="100"/>
      <c r="B479" s="100" t="str">
        <f>IFERROR(VLOOKUP(Tablo520[[#This Row],[ÜRÜN KODU]],YMKODLARI!$A$1:$K$373,2,0)," ")</f>
        <v xml:space="preserve"> </v>
      </c>
      <c r="C479" s="99"/>
      <c r="D479" s="100"/>
      <c r="E479" s="101"/>
      <c r="F479" s="101"/>
      <c r="G479" s="100" t="str">
        <f>IFERROR(VLOOKUP(Tablo520[[#This Row],[ÜRÜN KODU]],YMKODLARI!$A$1:$K$373,3,0)," ")</f>
        <v xml:space="preserve"> </v>
      </c>
      <c r="H479" s="100" t="str">
        <f>IFERROR(VLOOKUP(Tablo520[[#This Row],[ÜRÜN KODU]],YMKODLARI!$A$1:$K$373,4,0)," ")</f>
        <v xml:space="preserve"> </v>
      </c>
      <c r="I479" s="100"/>
      <c r="J479" s="100" t="str">
        <f>IFERROR(VLOOKUP(Tablo520[[#This Row],[ÜRÜN KODU]],YMKODLARI!$A$1:$K$373,9,0)," ")</f>
        <v xml:space="preserve"> </v>
      </c>
      <c r="K479" s="100" t="str">
        <f>IFERROR(VLOOKUP(Tablo520[[#This Row],[BOYA KODU]],Tablo14[#All],4,0)," ")</f>
        <v xml:space="preserve"> </v>
      </c>
      <c r="L479" s="100" t="str">
        <f>IFERROR(VLOOKUP(Tablo520[[#This Row],[BOYA KODU]],Tablo14[#All],6,0)," ")</f>
        <v xml:space="preserve"> </v>
      </c>
      <c r="M479" s="100" t="str">
        <f t="shared" si="49"/>
        <v xml:space="preserve"> </v>
      </c>
      <c r="N479" s="100" t="str">
        <f>IFERROR(VLOOKUP(Tablo520[[#This Row],[ÜRÜN KODU]],YMKODLARI!$A$1:$K$373,8,0)," ")</f>
        <v xml:space="preserve"> </v>
      </c>
      <c r="O479" s="100" t="str">
        <f>IFERROR(VLOOKUP(Tablo520[[#This Row],[HAMMADDE KODU]],Tablo1[#All],3,0)," ")</f>
        <v xml:space="preserve"> </v>
      </c>
      <c r="P479" s="100" t="str">
        <f>IFERROR(VLOOKUP(Tablo520[[#This Row],[HAMMADDE KODU]],Tablo1[#All],4,0)," ")</f>
        <v xml:space="preserve"> </v>
      </c>
      <c r="Q479" s="100" t="str">
        <f>IFERROR(VLOOKUP(Tablo520[[#This Row],[ÜRÜN KODU]],YMKODLARI!$A$1:$K$373,5,0)," ")</f>
        <v xml:space="preserve"> </v>
      </c>
      <c r="R479" s="100" t="str">
        <f>IFERROR(VLOOKUP(Tablo520[[#This Row],[ÜRÜN KODU]],YMKODLARI!$A$1:$K$373,6,0)," ")</f>
        <v xml:space="preserve"> </v>
      </c>
      <c r="S479" s="100" t="str">
        <f>IFERROR(Tablo520[[#This Row],[YOLLUK HARİÇ BASKI GRAMI]]/Tablo520[[#This Row],[KALIP GÖZ ADEDİ]]," ")</f>
        <v xml:space="preserve"> </v>
      </c>
      <c r="T479" s="100" t="str">
        <f t="shared" si="51"/>
        <v xml:space="preserve"> </v>
      </c>
      <c r="U479" s="100"/>
      <c r="V479" s="100" t="str">
        <f t="shared" si="50"/>
        <v xml:space="preserve"> </v>
      </c>
      <c r="W479" s="101">
        <f t="shared" si="52"/>
        <v>24</v>
      </c>
      <c r="X479" s="102">
        <f t="shared" si="53"/>
        <v>0</v>
      </c>
      <c r="Y479" s="100" t="str">
        <f t="shared" si="54"/>
        <v xml:space="preserve"> </v>
      </c>
      <c r="Z479" s="100" t="str">
        <f t="shared" si="55"/>
        <v xml:space="preserve"> </v>
      </c>
    </row>
    <row r="480" spans="1:26">
      <c r="A480" s="100"/>
      <c r="B480" s="100" t="str">
        <f>IFERROR(VLOOKUP(Tablo520[[#This Row],[ÜRÜN KODU]],YMKODLARI!$A$1:$K$373,2,0)," ")</f>
        <v xml:space="preserve"> </v>
      </c>
      <c r="C480" s="99"/>
      <c r="D480" s="100"/>
      <c r="E480" s="101"/>
      <c r="F480" s="101"/>
      <c r="G480" s="100" t="str">
        <f>IFERROR(VLOOKUP(Tablo520[[#This Row],[ÜRÜN KODU]],YMKODLARI!$A$1:$K$373,3,0)," ")</f>
        <v xml:space="preserve"> </v>
      </c>
      <c r="H480" s="100" t="str">
        <f>IFERROR(VLOOKUP(Tablo520[[#This Row],[ÜRÜN KODU]],YMKODLARI!$A$1:$K$373,4,0)," ")</f>
        <v xml:space="preserve"> </v>
      </c>
      <c r="I480" s="100"/>
      <c r="J480" s="100" t="str">
        <f>IFERROR(VLOOKUP(Tablo520[[#This Row],[ÜRÜN KODU]],YMKODLARI!$A$1:$K$373,9,0)," ")</f>
        <v xml:space="preserve"> </v>
      </c>
      <c r="K480" s="100" t="str">
        <f>IFERROR(VLOOKUP(Tablo520[[#This Row],[BOYA KODU]],Tablo14[#All],4,0)," ")</f>
        <v xml:space="preserve"> </v>
      </c>
      <c r="L480" s="100" t="str">
        <f>IFERROR(VLOOKUP(Tablo520[[#This Row],[BOYA KODU]],Tablo14[#All],6,0)," ")</f>
        <v xml:space="preserve"> </v>
      </c>
      <c r="M480" s="100" t="str">
        <f t="shared" si="49"/>
        <v xml:space="preserve"> </v>
      </c>
      <c r="N480" s="100" t="str">
        <f>IFERROR(VLOOKUP(Tablo520[[#This Row],[ÜRÜN KODU]],YMKODLARI!$A$1:$K$373,8,0)," ")</f>
        <v xml:space="preserve"> </v>
      </c>
      <c r="O480" s="100" t="str">
        <f>IFERROR(VLOOKUP(Tablo520[[#This Row],[HAMMADDE KODU]],Tablo1[#All],3,0)," ")</f>
        <v xml:space="preserve"> </v>
      </c>
      <c r="P480" s="100" t="str">
        <f>IFERROR(VLOOKUP(Tablo520[[#This Row],[HAMMADDE KODU]],Tablo1[#All],4,0)," ")</f>
        <v xml:space="preserve"> </v>
      </c>
      <c r="Q480" s="100" t="str">
        <f>IFERROR(VLOOKUP(Tablo520[[#This Row],[ÜRÜN KODU]],YMKODLARI!$A$1:$K$373,5,0)," ")</f>
        <v xml:space="preserve"> </v>
      </c>
      <c r="R480" s="100" t="str">
        <f>IFERROR(VLOOKUP(Tablo520[[#This Row],[ÜRÜN KODU]],YMKODLARI!$A$1:$K$373,6,0)," ")</f>
        <v xml:space="preserve"> </v>
      </c>
      <c r="S480" s="100" t="str">
        <f>IFERROR(Tablo520[[#This Row],[YOLLUK HARİÇ BASKI GRAMI]]/Tablo520[[#This Row],[KALIP GÖZ ADEDİ]]," ")</f>
        <v xml:space="preserve"> </v>
      </c>
      <c r="T480" s="100" t="str">
        <f t="shared" si="51"/>
        <v xml:space="preserve"> </v>
      </c>
      <c r="U480" s="100"/>
      <c r="V480" s="100" t="str">
        <f t="shared" si="50"/>
        <v xml:space="preserve"> </v>
      </c>
      <c r="W480" s="101">
        <f t="shared" si="52"/>
        <v>24</v>
      </c>
      <c r="X480" s="102">
        <f t="shared" si="53"/>
        <v>0</v>
      </c>
      <c r="Y480" s="100" t="str">
        <f t="shared" si="54"/>
        <v xml:space="preserve"> </v>
      </c>
      <c r="Z480" s="100" t="str">
        <f t="shared" si="55"/>
        <v xml:space="preserve"> </v>
      </c>
    </row>
    <row r="481" spans="1:26">
      <c r="A481" s="100"/>
      <c r="B481" s="100" t="str">
        <f>IFERROR(VLOOKUP(Tablo520[[#This Row],[ÜRÜN KODU]],YMKODLARI!$A$1:$K$373,2,0)," ")</f>
        <v xml:space="preserve"> </v>
      </c>
      <c r="C481" s="99"/>
      <c r="D481" s="100"/>
      <c r="E481" s="101"/>
      <c r="F481" s="101"/>
      <c r="G481" s="100" t="str">
        <f>IFERROR(VLOOKUP(Tablo520[[#This Row],[ÜRÜN KODU]],YMKODLARI!$A$1:$K$373,3,0)," ")</f>
        <v xml:space="preserve"> </v>
      </c>
      <c r="H481" s="100" t="str">
        <f>IFERROR(VLOOKUP(Tablo520[[#This Row],[ÜRÜN KODU]],YMKODLARI!$A$1:$K$373,4,0)," ")</f>
        <v xml:space="preserve"> </v>
      </c>
      <c r="I481" s="100"/>
      <c r="J481" s="100" t="str">
        <f>IFERROR(VLOOKUP(Tablo520[[#This Row],[ÜRÜN KODU]],YMKODLARI!$A$1:$K$373,9,0)," ")</f>
        <v xml:space="preserve"> </v>
      </c>
      <c r="K481" s="100" t="str">
        <f>IFERROR(VLOOKUP(Tablo520[[#This Row],[BOYA KODU]],Tablo14[#All],4,0)," ")</f>
        <v xml:space="preserve"> </v>
      </c>
      <c r="L481" s="100" t="str">
        <f>IFERROR(VLOOKUP(Tablo520[[#This Row],[BOYA KODU]],Tablo14[#All],6,0)," ")</f>
        <v xml:space="preserve"> </v>
      </c>
      <c r="M481" s="100" t="str">
        <f t="shared" si="49"/>
        <v xml:space="preserve"> </v>
      </c>
      <c r="N481" s="100" t="str">
        <f>IFERROR(VLOOKUP(Tablo520[[#This Row],[ÜRÜN KODU]],YMKODLARI!$A$1:$K$373,8,0)," ")</f>
        <v xml:space="preserve"> </v>
      </c>
      <c r="O481" s="100" t="str">
        <f>IFERROR(VLOOKUP(Tablo520[[#This Row],[HAMMADDE KODU]],Tablo1[#All],3,0)," ")</f>
        <v xml:space="preserve"> </v>
      </c>
      <c r="P481" s="100" t="str">
        <f>IFERROR(VLOOKUP(Tablo520[[#This Row],[HAMMADDE KODU]],Tablo1[#All],4,0)," ")</f>
        <v xml:space="preserve"> </v>
      </c>
      <c r="Q481" s="100" t="str">
        <f>IFERROR(VLOOKUP(Tablo520[[#This Row],[ÜRÜN KODU]],YMKODLARI!$A$1:$K$373,5,0)," ")</f>
        <v xml:space="preserve"> </v>
      </c>
      <c r="R481" s="100" t="str">
        <f>IFERROR(VLOOKUP(Tablo520[[#This Row],[ÜRÜN KODU]],YMKODLARI!$A$1:$K$373,6,0)," ")</f>
        <v xml:space="preserve"> </v>
      </c>
      <c r="S481" s="100" t="str">
        <f>IFERROR(Tablo520[[#This Row],[YOLLUK HARİÇ BASKI GRAMI]]/Tablo520[[#This Row],[KALIP GÖZ ADEDİ]]," ")</f>
        <v xml:space="preserve"> </v>
      </c>
      <c r="T481" s="100" t="str">
        <f t="shared" si="51"/>
        <v xml:space="preserve"> </v>
      </c>
      <c r="U481" s="100"/>
      <c r="V481" s="100" t="str">
        <f t="shared" si="50"/>
        <v xml:space="preserve"> </v>
      </c>
      <c r="W481" s="101">
        <f t="shared" si="52"/>
        <v>24</v>
      </c>
      <c r="X481" s="102">
        <f t="shared" si="53"/>
        <v>0</v>
      </c>
      <c r="Y481" s="100" t="str">
        <f t="shared" si="54"/>
        <v xml:space="preserve"> </v>
      </c>
      <c r="Z481" s="100" t="str">
        <f t="shared" si="55"/>
        <v xml:space="preserve"> </v>
      </c>
    </row>
    <row r="482" spans="1:26">
      <c r="A482" s="100"/>
      <c r="B482" s="100" t="str">
        <f>IFERROR(VLOOKUP(Tablo520[[#This Row],[ÜRÜN KODU]],YMKODLARI!$A$1:$K$373,2,0)," ")</f>
        <v xml:space="preserve"> </v>
      </c>
      <c r="C482" s="99"/>
      <c r="D482" s="100"/>
      <c r="E482" s="101"/>
      <c r="F482" s="101"/>
      <c r="G482" s="100" t="str">
        <f>IFERROR(VLOOKUP(Tablo520[[#This Row],[ÜRÜN KODU]],YMKODLARI!$A$1:$K$373,3,0)," ")</f>
        <v xml:space="preserve"> </v>
      </c>
      <c r="H482" s="100" t="str">
        <f>IFERROR(VLOOKUP(Tablo520[[#This Row],[ÜRÜN KODU]],YMKODLARI!$A$1:$K$373,4,0)," ")</f>
        <v xml:space="preserve"> </v>
      </c>
      <c r="I482" s="100"/>
      <c r="J482" s="100" t="str">
        <f>IFERROR(VLOOKUP(Tablo520[[#This Row],[ÜRÜN KODU]],YMKODLARI!$A$1:$K$373,9,0)," ")</f>
        <v xml:space="preserve"> </v>
      </c>
      <c r="K482" s="100" t="str">
        <f>IFERROR(VLOOKUP(Tablo520[[#This Row],[BOYA KODU]],Tablo14[#All],4,0)," ")</f>
        <v xml:space="preserve"> </v>
      </c>
      <c r="L482" s="100" t="str">
        <f>IFERROR(VLOOKUP(Tablo520[[#This Row],[BOYA KODU]],Tablo14[#All],6,0)," ")</f>
        <v xml:space="preserve"> </v>
      </c>
      <c r="M482" s="100" t="str">
        <f t="shared" si="49"/>
        <v xml:space="preserve"> </v>
      </c>
      <c r="N482" s="100" t="str">
        <f>IFERROR(VLOOKUP(Tablo520[[#This Row],[ÜRÜN KODU]],YMKODLARI!$A$1:$K$373,8,0)," ")</f>
        <v xml:space="preserve"> </v>
      </c>
      <c r="O482" s="100" t="str">
        <f>IFERROR(VLOOKUP(Tablo520[[#This Row],[HAMMADDE KODU]],Tablo1[#All],3,0)," ")</f>
        <v xml:space="preserve"> </v>
      </c>
      <c r="P482" s="100" t="str">
        <f>IFERROR(VLOOKUP(Tablo520[[#This Row],[HAMMADDE KODU]],Tablo1[#All],4,0)," ")</f>
        <v xml:space="preserve"> </v>
      </c>
      <c r="Q482" s="100" t="str">
        <f>IFERROR(VLOOKUP(Tablo520[[#This Row],[ÜRÜN KODU]],YMKODLARI!$A$1:$K$373,5,0)," ")</f>
        <v xml:space="preserve"> </v>
      </c>
      <c r="R482" s="100" t="str">
        <f>IFERROR(VLOOKUP(Tablo520[[#This Row],[ÜRÜN KODU]],YMKODLARI!$A$1:$K$373,6,0)," ")</f>
        <v xml:space="preserve"> </v>
      </c>
      <c r="S482" s="100" t="str">
        <f>IFERROR(Tablo520[[#This Row],[YOLLUK HARİÇ BASKI GRAMI]]/Tablo520[[#This Row],[KALIP GÖZ ADEDİ]]," ")</f>
        <v xml:space="preserve"> </v>
      </c>
      <c r="T482" s="100" t="str">
        <f t="shared" si="51"/>
        <v xml:space="preserve"> </v>
      </c>
      <c r="U482" s="100"/>
      <c r="V482" s="100" t="str">
        <f t="shared" si="50"/>
        <v xml:space="preserve"> </v>
      </c>
      <c r="W482" s="101">
        <f t="shared" si="52"/>
        <v>24</v>
      </c>
      <c r="X482" s="102">
        <f t="shared" si="53"/>
        <v>0</v>
      </c>
      <c r="Y482" s="100" t="str">
        <f t="shared" si="54"/>
        <v xml:space="preserve"> </v>
      </c>
      <c r="Z482" s="100" t="str">
        <f t="shared" si="55"/>
        <v xml:space="preserve"> </v>
      </c>
    </row>
    <row r="483" spans="1:26">
      <c r="A483" s="100"/>
      <c r="B483" s="100" t="str">
        <f>IFERROR(VLOOKUP(Tablo520[[#This Row],[ÜRÜN KODU]],YMKODLARI!$A$1:$K$373,2,0)," ")</f>
        <v xml:space="preserve"> </v>
      </c>
      <c r="C483" s="99"/>
      <c r="D483" s="100"/>
      <c r="E483" s="101"/>
      <c r="F483" s="101"/>
      <c r="G483" s="100" t="str">
        <f>IFERROR(VLOOKUP(Tablo520[[#This Row],[ÜRÜN KODU]],YMKODLARI!$A$1:$K$373,3,0)," ")</f>
        <v xml:space="preserve"> </v>
      </c>
      <c r="H483" s="100" t="str">
        <f>IFERROR(VLOOKUP(Tablo520[[#This Row],[ÜRÜN KODU]],YMKODLARI!$A$1:$K$373,4,0)," ")</f>
        <v xml:space="preserve"> </v>
      </c>
      <c r="I483" s="100"/>
      <c r="J483" s="100" t="str">
        <f>IFERROR(VLOOKUP(Tablo520[[#This Row],[ÜRÜN KODU]],YMKODLARI!$A$1:$K$373,9,0)," ")</f>
        <v xml:space="preserve"> </v>
      </c>
      <c r="K483" s="100" t="str">
        <f>IFERROR(VLOOKUP(Tablo520[[#This Row],[BOYA KODU]],Tablo14[#All],4,0)," ")</f>
        <v xml:space="preserve"> </v>
      </c>
      <c r="L483" s="100" t="str">
        <f>IFERROR(VLOOKUP(Tablo520[[#This Row],[BOYA KODU]],Tablo14[#All],6,0)," ")</f>
        <v xml:space="preserve"> </v>
      </c>
      <c r="M483" s="100" t="str">
        <f t="shared" si="49"/>
        <v xml:space="preserve"> </v>
      </c>
      <c r="N483" s="100" t="str">
        <f>IFERROR(VLOOKUP(Tablo520[[#This Row],[ÜRÜN KODU]],YMKODLARI!$A$1:$K$373,8,0)," ")</f>
        <v xml:space="preserve"> </v>
      </c>
      <c r="O483" s="100" t="str">
        <f>IFERROR(VLOOKUP(Tablo520[[#This Row],[HAMMADDE KODU]],Tablo1[#All],3,0)," ")</f>
        <v xml:space="preserve"> </v>
      </c>
      <c r="P483" s="100" t="str">
        <f>IFERROR(VLOOKUP(Tablo520[[#This Row],[HAMMADDE KODU]],Tablo1[#All],4,0)," ")</f>
        <v xml:space="preserve"> </v>
      </c>
      <c r="Q483" s="100" t="str">
        <f>IFERROR(VLOOKUP(Tablo520[[#This Row],[ÜRÜN KODU]],YMKODLARI!$A$1:$K$373,5,0)," ")</f>
        <v xml:space="preserve"> </v>
      </c>
      <c r="R483" s="100" t="str">
        <f>IFERROR(VLOOKUP(Tablo520[[#This Row],[ÜRÜN KODU]],YMKODLARI!$A$1:$K$373,6,0)," ")</f>
        <v xml:space="preserve"> </v>
      </c>
      <c r="S483" s="100" t="str">
        <f>IFERROR(Tablo520[[#This Row],[YOLLUK HARİÇ BASKI GRAMI]]/Tablo520[[#This Row],[KALIP GÖZ ADEDİ]]," ")</f>
        <v xml:space="preserve"> </v>
      </c>
      <c r="T483" s="100" t="str">
        <f t="shared" si="51"/>
        <v xml:space="preserve"> </v>
      </c>
      <c r="U483" s="100"/>
      <c r="V483" s="100" t="str">
        <f t="shared" si="50"/>
        <v xml:space="preserve"> </v>
      </c>
      <c r="W483" s="101">
        <f t="shared" si="52"/>
        <v>24</v>
      </c>
      <c r="X483" s="102">
        <f t="shared" si="53"/>
        <v>0</v>
      </c>
      <c r="Y483" s="100" t="str">
        <f t="shared" si="54"/>
        <v xml:space="preserve"> </v>
      </c>
      <c r="Z483" s="100" t="str">
        <f t="shared" si="55"/>
        <v xml:space="preserve"> </v>
      </c>
    </row>
    <row r="484" spans="1:26">
      <c r="A484" s="100"/>
      <c r="B484" s="100" t="str">
        <f>IFERROR(VLOOKUP(Tablo520[[#This Row],[ÜRÜN KODU]],YMKODLARI!$A$1:$K$373,2,0)," ")</f>
        <v xml:space="preserve"> </v>
      </c>
      <c r="C484" s="99"/>
      <c r="D484" s="100"/>
      <c r="E484" s="101"/>
      <c r="F484" s="101"/>
      <c r="G484" s="100" t="str">
        <f>IFERROR(VLOOKUP(Tablo520[[#This Row],[ÜRÜN KODU]],YMKODLARI!$A$1:$K$373,3,0)," ")</f>
        <v xml:space="preserve"> </v>
      </c>
      <c r="H484" s="100" t="str">
        <f>IFERROR(VLOOKUP(Tablo520[[#This Row],[ÜRÜN KODU]],YMKODLARI!$A$1:$K$373,4,0)," ")</f>
        <v xml:space="preserve"> </v>
      </c>
      <c r="I484" s="100"/>
      <c r="J484" s="100" t="str">
        <f>IFERROR(VLOOKUP(Tablo520[[#This Row],[ÜRÜN KODU]],YMKODLARI!$A$1:$K$373,9,0)," ")</f>
        <v xml:space="preserve"> </v>
      </c>
      <c r="K484" s="100" t="str">
        <f>IFERROR(VLOOKUP(Tablo520[[#This Row],[BOYA KODU]],Tablo14[#All],4,0)," ")</f>
        <v xml:space="preserve"> </v>
      </c>
      <c r="L484" s="100" t="str">
        <f>IFERROR(VLOOKUP(Tablo520[[#This Row],[BOYA KODU]],Tablo14[#All],6,0)," ")</f>
        <v xml:space="preserve"> </v>
      </c>
      <c r="M484" s="100" t="str">
        <f t="shared" si="49"/>
        <v xml:space="preserve"> </v>
      </c>
      <c r="N484" s="100" t="str">
        <f>IFERROR(VLOOKUP(Tablo520[[#This Row],[ÜRÜN KODU]],YMKODLARI!$A$1:$K$373,8,0)," ")</f>
        <v xml:space="preserve"> </v>
      </c>
      <c r="O484" s="100" t="str">
        <f>IFERROR(VLOOKUP(Tablo520[[#This Row],[HAMMADDE KODU]],Tablo1[#All],3,0)," ")</f>
        <v xml:space="preserve"> </v>
      </c>
      <c r="P484" s="100" t="str">
        <f>IFERROR(VLOOKUP(Tablo520[[#This Row],[HAMMADDE KODU]],Tablo1[#All],4,0)," ")</f>
        <v xml:space="preserve"> </v>
      </c>
      <c r="Q484" s="100" t="str">
        <f>IFERROR(VLOOKUP(Tablo520[[#This Row],[ÜRÜN KODU]],YMKODLARI!$A$1:$K$373,5,0)," ")</f>
        <v xml:space="preserve"> </v>
      </c>
      <c r="R484" s="100" t="str">
        <f>IFERROR(VLOOKUP(Tablo520[[#This Row],[ÜRÜN KODU]],YMKODLARI!$A$1:$K$373,6,0)," ")</f>
        <v xml:space="preserve"> </v>
      </c>
      <c r="S484" s="100" t="str">
        <f>IFERROR(Tablo520[[#This Row],[YOLLUK HARİÇ BASKI GRAMI]]/Tablo520[[#This Row],[KALIP GÖZ ADEDİ]]," ")</f>
        <v xml:space="preserve"> </v>
      </c>
      <c r="T484" s="100" t="str">
        <f t="shared" si="51"/>
        <v xml:space="preserve"> </v>
      </c>
      <c r="U484" s="100"/>
      <c r="V484" s="100" t="str">
        <f t="shared" si="50"/>
        <v xml:space="preserve"> </v>
      </c>
      <c r="W484" s="101">
        <f t="shared" si="52"/>
        <v>24</v>
      </c>
      <c r="X484" s="102">
        <f t="shared" si="53"/>
        <v>0</v>
      </c>
      <c r="Y484" s="100" t="str">
        <f t="shared" si="54"/>
        <v xml:space="preserve"> </v>
      </c>
      <c r="Z484" s="100" t="str">
        <f t="shared" si="55"/>
        <v xml:space="preserve"> </v>
      </c>
    </row>
    <row r="485" spans="1:26">
      <c r="A485" s="100"/>
      <c r="B485" s="100" t="str">
        <f>IFERROR(VLOOKUP(Tablo520[[#This Row],[ÜRÜN KODU]],YMKODLARI!$A$1:$K$373,2,0)," ")</f>
        <v xml:space="preserve"> </v>
      </c>
      <c r="C485" s="99"/>
      <c r="D485" s="100"/>
      <c r="E485" s="101"/>
      <c r="F485" s="101"/>
      <c r="G485" s="100" t="str">
        <f>IFERROR(VLOOKUP(Tablo520[[#This Row],[ÜRÜN KODU]],YMKODLARI!$A$1:$K$373,3,0)," ")</f>
        <v xml:space="preserve"> </v>
      </c>
      <c r="H485" s="100" t="str">
        <f>IFERROR(VLOOKUP(Tablo520[[#This Row],[ÜRÜN KODU]],YMKODLARI!$A$1:$K$373,4,0)," ")</f>
        <v xml:space="preserve"> </v>
      </c>
      <c r="I485" s="100"/>
      <c r="J485" s="100" t="str">
        <f>IFERROR(VLOOKUP(Tablo520[[#This Row],[ÜRÜN KODU]],YMKODLARI!$A$1:$K$373,9,0)," ")</f>
        <v xml:space="preserve"> </v>
      </c>
      <c r="K485" s="100" t="str">
        <f>IFERROR(VLOOKUP(Tablo520[[#This Row],[BOYA KODU]],Tablo14[#All],4,0)," ")</f>
        <v xml:space="preserve"> </v>
      </c>
      <c r="L485" s="100" t="str">
        <f>IFERROR(VLOOKUP(Tablo520[[#This Row],[BOYA KODU]],Tablo14[#All],6,0)," ")</f>
        <v xml:space="preserve"> </v>
      </c>
      <c r="M485" s="100" t="str">
        <f t="shared" si="49"/>
        <v xml:space="preserve"> </v>
      </c>
      <c r="N485" s="100" t="str">
        <f>IFERROR(VLOOKUP(Tablo520[[#This Row],[ÜRÜN KODU]],YMKODLARI!$A$1:$K$373,8,0)," ")</f>
        <v xml:space="preserve"> </v>
      </c>
      <c r="O485" s="100" t="str">
        <f>IFERROR(VLOOKUP(Tablo520[[#This Row],[HAMMADDE KODU]],Tablo1[#All],3,0)," ")</f>
        <v xml:space="preserve"> </v>
      </c>
      <c r="P485" s="100" t="str">
        <f>IFERROR(VLOOKUP(Tablo520[[#This Row],[HAMMADDE KODU]],Tablo1[#All],4,0)," ")</f>
        <v xml:space="preserve"> </v>
      </c>
      <c r="Q485" s="100" t="str">
        <f>IFERROR(VLOOKUP(Tablo520[[#This Row],[ÜRÜN KODU]],YMKODLARI!$A$1:$K$373,5,0)," ")</f>
        <v xml:space="preserve"> </v>
      </c>
      <c r="R485" s="100" t="str">
        <f>IFERROR(VLOOKUP(Tablo520[[#This Row],[ÜRÜN KODU]],YMKODLARI!$A$1:$K$373,6,0)," ")</f>
        <v xml:space="preserve"> </v>
      </c>
      <c r="S485" s="100" t="str">
        <f>IFERROR(Tablo520[[#This Row],[YOLLUK HARİÇ BASKI GRAMI]]/Tablo520[[#This Row],[KALIP GÖZ ADEDİ]]," ")</f>
        <v xml:space="preserve"> </v>
      </c>
      <c r="T485" s="100" t="str">
        <f t="shared" si="51"/>
        <v xml:space="preserve"> </v>
      </c>
      <c r="U485" s="100"/>
      <c r="V485" s="100" t="str">
        <f t="shared" si="50"/>
        <v xml:space="preserve"> </v>
      </c>
      <c r="W485" s="101">
        <f t="shared" si="52"/>
        <v>24</v>
      </c>
      <c r="X485" s="102">
        <f t="shared" si="53"/>
        <v>0</v>
      </c>
      <c r="Y485" s="100" t="str">
        <f t="shared" si="54"/>
        <v xml:space="preserve"> </v>
      </c>
      <c r="Z485" s="100" t="str">
        <f t="shared" si="55"/>
        <v xml:space="preserve"> </v>
      </c>
    </row>
    <row r="486" spans="1:26">
      <c r="A486" s="100"/>
      <c r="B486" s="100" t="str">
        <f>IFERROR(VLOOKUP(Tablo520[[#This Row],[ÜRÜN KODU]],YMKODLARI!$A$1:$K$373,2,0)," ")</f>
        <v xml:space="preserve"> </v>
      </c>
      <c r="C486" s="99"/>
      <c r="D486" s="100"/>
      <c r="E486" s="101"/>
      <c r="F486" s="101"/>
      <c r="G486" s="100" t="str">
        <f>IFERROR(VLOOKUP(Tablo520[[#This Row],[ÜRÜN KODU]],YMKODLARI!$A$1:$K$373,3,0)," ")</f>
        <v xml:space="preserve"> </v>
      </c>
      <c r="H486" s="100" t="str">
        <f>IFERROR(VLOOKUP(Tablo520[[#This Row],[ÜRÜN KODU]],YMKODLARI!$A$1:$K$373,4,0)," ")</f>
        <v xml:space="preserve"> </v>
      </c>
      <c r="I486" s="100"/>
      <c r="J486" s="100" t="str">
        <f>IFERROR(VLOOKUP(Tablo520[[#This Row],[ÜRÜN KODU]],YMKODLARI!$A$1:$K$373,9,0)," ")</f>
        <v xml:space="preserve"> </v>
      </c>
      <c r="K486" s="100" t="str">
        <f>IFERROR(VLOOKUP(Tablo520[[#This Row],[BOYA KODU]],Tablo14[#All],4,0)," ")</f>
        <v xml:space="preserve"> </v>
      </c>
      <c r="L486" s="100" t="str">
        <f>IFERROR(VLOOKUP(Tablo520[[#This Row],[BOYA KODU]],Tablo14[#All],6,0)," ")</f>
        <v xml:space="preserve"> </v>
      </c>
      <c r="M486" s="100" t="str">
        <f t="shared" si="49"/>
        <v xml:space="preserve"> </v>
      </c>
      <c r="N486" s="100" t="str">
        <f>IFERROR(VLOOKUP(Tablo520[[#This Row],[ÜRÜN KODU]],YMKODLARI!$A$1:$K$373,8,0)," ")</f>
        <v xml:space="preserve"> </v>
      </c>
      <c r="O486" s="100" t="str">
        <f>IFERROR(VLOOKUP(Tablo520[[#This Row],[HAMMADDE KODU]],Tablo1[#All],3,0)," ")</f>
        <v xml:space="preserve"> </v>
      </c>
      <c r="P486" s="100" t="str">
        <f>IFERROR(VLOOKUP(Tablo520[[#This Row],[HAMMADDE KODU]],Tablo1[#All],4,0)," ")</f>
        <v xml:space="preserve"> </v>
      </c>
      <c r="Q486" s="100" t="str">
        <f>IFERROR(VLOOKUP(Tablo520[[#This Row],[ÜRÜN KODU]],YMKODLARI!$A$1:$K$373,5,0)," ")</f>
        <v xml:space="preserve"> </v>
      </c>
      <c r="R486" s="100" t="str">
        <f>IFERROR(VLOOKUP(Tablo520[[#This Row],[ÜRÜN KODU]],YMKODLARI!$A$1:$K$373,6,0)," ")</f>
        <v xml:space="preserve"> </v>
      </c>
      <c r="S486" s="100" t="str">
        <f>IFERROR(Tablo520[[#This Row],[YOLLUK HARİÇ BASKI GRAMI]]/Tablo520[[#This Row],[KALIP GÖZ ADEDİ]]," ")</f>
        <v xml:space="preserve"> </v>
      </c>
      <c r="T486" s="100" t="str">
        <f t="shared" si="51"/>
        <v xml:space="preserve"> </v>
      </c>
      <c r="U486" s="100"/>
      <c r="V486" s="100" t="str">
        <f t="shared" si="50"/>
        <v xml:space="preserve"> </v>
      </c>
      <c r="W486" s="101">
        <f t="shared" si="52"/>
        <v>24</v>
      </c>
      <c r="X486" s="102">
        <f t="shared" si="53"/>
        <v>0</v>
      </c>
      <c r="Y486" s="100" t="str">
        <f t="shared" si="54"/>
        <v xml:space="preserve"> </v>
      </c>
      <c r="Z486" s="100" t="str">
        <f t="shared" si="55"/>
        <v xml:space="preserve"> </v>
      </c>
    </row>
    <row r="487" spans="1:26">
      <c r="A487" s="100"/>
      <c r="B487" s="100" t="str">
        <f>IFERROR(VLOOKUP(Tablo520[[#This Row],[ÜRÜN KODU]],YMKODLARI!$A$1:$K$373,2,0)," ")</f>
        <v xml:space="preserve"> </v>
      </c>
      <c r="C487" s="99"/>
      <c r="D487" s="100"/>
      <c r="E487" s="101"/>
      <c r="F487" s="101"/>
      <c r="G487" s="100" t="str">
        <f>IFERROR(VLOOKUP(Tablo520[[#This Row],[ÜRÜN KODU]],YMKODLARI!$A$1:$K$373,3,0)," ")</f>
        <v xml:space="preserve"> </v>
      </c>
      <c r="H487" s="100" t="str">
        <f>IFERROR(VLOOKUP(Tablo520[[#This Row],[ÜRÜN KODU]],YMKODLARI!$A$1:$K$373,4,0)," ")</f>
        <v xml:space="preserve"> </v>
      </c>
      <c r="I487" s="100"/>
      <c r="J487" s="100" t="str">
        <f>IFERROR(VLOOKUP(Tablo520[[#This Row],[ÜRÜN KODU]],YMKODLARI!$A$1:$K$373,9,0)," ")</f>
        <v xml:space="preserve"> </v>
      </c>
      <c r="K487" s="100" t="str">
        <f>IFERROR(VLOOKUP(Tablo520[[#This Row],[BOYA KODU]],Tablo14[#All],4,0)," ")</f>
        <v xml:space="preserve"> </v>
      </c>
      <c r="L487" s="100" t="str">
        <f>IFERROR(VLOOKUP(Tablo520[[#This Row],[BOYA KODU]],Tablo14[#All],6,0)," ")</f>
        <v xml:space="preserve"> </v>
      </c>
      <c r="M487" s="100" t="str">
        <f t="shared" si="49"/>
        <v xml:space="preserve"> </v>
      </c>
      <c r="N487" s="100" t="str">
        <f>IFERROR(VLOOKUP(Tablo520[[#This Row],[ÜRÜN KODU]],YMKODLARI!$A$1:$K$373,8,0)," ")</f>
        <v xml:space="preserve"> </v>
      </c>
      <c r="O487" s="100" t="str">
        <f>IFERROR(VLOOKUP(Tablo520[[#This Row],[HAMMADDE KODU]],Tablo1[#All],3,0)," ")</f>
        <v xml:space="preserve"> </v>
      </c>
      <c r="P487" s="100" t="str">
        <f>IFERROR(VLOOKUP(Tablo520[[#This Row],[HAMMADDE KODU]],Tablo1[#All],4,0)," ")</f>
        <v xml:space="preserve"> </v>
      </c>
      <c r="Q487" s="100" t="str">
        <f>IFERROR(VLOOKUP(Tablo520[[#This Row],[ÜRÜN KODU]],YMKODLARI!$A$1:$K$373,5,0)," ")</f>
        <v xml:space="preserve"> </v>
      </c>
      <c r="R487" s="100" t="str">
        <f>IFERROR(VLOOKUP(Tablo520[[#This Row],[ÜRÜN KODU]],YMKODLARI!$A$1:$K$373,6,0)," ")</f>
        <v xml:space="preserve"> </v>
      </c>
      <c r="S487" s="100" t="str">
        <f>IFERROR(Tablo520[[#This Row],[YOLLUK HARİÇ BASKI GRAMI]]/Tablo520[[#This Row],[KALIP GÖZ ADEDİ]]," ")</f>
        <v xml:space="preserve"> </v>
      </c>
      <c r="T487" s="100" t="str">
        <f t="shared" si="51"/>
        <v xml:space="preserve"> </v>
      </c>
      <c r="U487" s="100"/>
      <c r="V487" s="100" t="str">
        <f t="shared" si="50"/>
        <v xml:space="preserve"> </v>
      </c>
      <c r="W487" s="101">
        <f t="shared" si="52"/>
        <v>24</v>
      </c>
      <c r="X487" s="102">
        <f t="shared" si="53"/>
        <v>0</v>
      </c>
      <c r="Y487" s="100" t="str">
        <f t="shared" si="54"/>
        <v xml:space="preserve"> </v>
      </c>
      <c r="Z487" s="100" t="str">
        <f t="shared" si="55"/>
        <v xml:space="preserve"> </v>
      </c>
    </row>
    <row r="488" spans="1:26">
      <c r="A488" s="100"/>
      <c r="B488" s="100" t="str">
        <f>IFERROR(VLOOKUP(Tablo520[[#This Row],[ÜRÜN KODU]],YMKODLARI!$A$1:$K$373,2,0)," ")</f>
        <v xml:space="preserve"> </v>
      </c>
      <c r="C488" s="99"/>
      <c r="D488" s="100"/>
      <c r="E488" s="101"/>
      <c r="F488" s="101"/>
      <c r="G488" s="100" t="str">
        <f>IFERROR(VLOOKUP(Tablo520[[#This Row],[ÜRÜN KODU]],YMKODLARI!$A$1:$K$373,3,0)," ")</f>
        <v xml:space="preserve"> </v>
      </c>
      <c r="H488" s="100" t="str">
        <f>IFERROR(VLOOKUP(Tablo520[[#This Row],[ÜRÜN KODU]],YMKODLARI!$A$1:$K$373,4,0)," ")</f>
        <v xml:space="preserve"> </v>
      </c>
      <c r="I488" s="100"/>
      <c r="J488" s="100" t="str">
        <f>IFERROR(VLOOKUP(Tablo520[[#This Row],[ÜRÜN KODU]],YMKODLARI!$A$1:$K$373,9,0)," ")</f>
        <v xml:space="preserve"> </v>
      </c>
      <c r="K488" s="100" t="str">
        <f>IFERROR(VLOOKUP(Tablo520[[#This Row],[BOYA KODU]],Tablo14[#All],4,0)," ")</f>
        <v xml:space="preserve"> </v>
      </c>
      <c r="L488" s="100" t="str">
        <f>IFERROR(VLOOKUP(Tablo520[[#This Row],[BOYA KODU]],Tablo14[#All],6,0)," ")</f>
        <v xml:space="preserve"> </v>
      </c>
      <c r="M488" s="100" t="str">
        <f t="shared" si="49"/>
        <v xml:space="preserve"> </v>
      </c>
      <c r="N488" s="100" t="str">
        <f>IFERROR(VLOOKUP(Tablo520[[#This Row],[ÜRÜN KODU]],YMKODLARI!$A$1:$K$373,8,0)," ")</f>
        <v xml:space="preserve"> </v>
      </c>
      <c r="O488" s="100" t="str">
        <f>IFERROR(VLOOKUP(Tablo520[[#This Row],[HAMMADDE KODU]],Tablo1[#All],3,0)," ")</f>
        <v xml:space="preserve"> </v>
      </c>
      <c r="P488" s="100" t="str">
        <f>IFERROR(VLOOKUP(Tablo520[[#This Row],[HAMMADDE KODU]],Tablo1[#All],4,0)," ")</f>
        <v xml:space="preserve"> </v>
      </c>
      <c r="Q488" s="100" t="str">
        <f>IFERROR(VLOOKUP(Tablo520[[#This Row],[ÜRÜN KODU]],YMKODLARI!$A$1:$K$373,5,0)," ")</f>
        <v xml:space="preserve"> </v>
      </c>
      <c r="R488" s="100" t="str">
        <f>IFERROR(VLOOKUP(Tablo520[[#This Row],[ÜRÜN KODU]],YMKODLARI!$A$1:$K$373,6,0)," ")</f>
        <v xml:space="preserve"> </v>
      </c>
      <c r="S488" s="100" t="str">
        <f>IFERROR(Tablo520[[#This Row],[YOLLUK HARİÇ BASKI GRAMI]]/Tablo520[[#This Row],[KALIP GÖZ ADEDİ]]," ")</f>
        <v xml:space="preserve"> </v>
      </c>
      <c r="T488" s="100" t="str">
        <f t="shared" si="51"/>
        <v xml:space="preserve"> </v>
      </c>
      <c r="U488" s="100"/>
      <c r="V488" s="100" t="str">
        <f t="shared" si="50"/>
        <v xml:space="preserve"> </v>
      </c>
      <c r="W488" s="101">
        <f t="shared" si="52"/>
        <v>24</v>
      </c>
      <c r="X488" s="102">
        <f t="shared" si="53"/>
        <v>0</v>
      </c>
      <c r="Y488" s="100" t="str">
        <f t="shared" si="54"/>
        <v xml:space="preserve"> </v>
      </c>
      <c r="Z488" s="100" t="str">
        <f t="shared" si="55"/>
        <v xml:space="preserve"> </v>
      </c>
    </row>
    <row r="489" spans="1:26">
      <c r="A489" s="100"/>
      <c r="B489" s="100" t="str">
        <f>IFERROR(VLOOKUP(Tablo520[[#This Row],[ÜRÜN KODU]],YMKODLARI!$A$1:$K$373,2,0)," ")</f>
        <v xml:space="preserve"> </v>
      </c>
      <c r="C489" s="99"/>
      <c r="D489" s="100"/>
      <c r="E489" s="101"/>
      <c r="F489" s="101"/>
      <c r="G489" s="100" t="str">
        <f>IFERROR(VLOOKUP(Tablo520[[#This Row],[ÜRÜN KODU]],YMKODLARI!$A$1:$K$373,3,0)," ")</f>
        <v xml:space="preserve"> </v>
      </c>
      <c r="H489" s="100" t="str">
        <f>IFERROR(VLOOKUP(Tablo520[[#This Row],[ÜRÜN KODU]],YMKODLARI!$A$1:$K$373,4,0)," ")</f>
        <v xml:space="preserve"> </v>
      </c>
      <c r="I489" s="100"/>
      <c r="J489" s="100" t="str">
        <f>IFERROR(VLOOKUP(Tablo520[[#This Row],[ÜRÜN KODU]],YMKODLARI!$A$1:$K$373,9,0)," ")</f>
        <v xml:space="preserve"> </v>
      </c>
      <c r="K489" s="100" t="str">
        <f>IFERROR(VLOOKUP(Tablo520[[#This Row],[BOYA KODU]],Tablo14[#All],4,0)," ")</f>
        <v xml:space="preserve"> </v>
      </c>
      <c r="L489" s="100" t="str">
        <f>IFERROR(VLOOKUP(Tablo520[[#This Row],[BOYA KODU]],Tablo14[#All],6,0)," ")</f>
        <v xml:space="preserve"> </v>
      </c>
      <c r="M489" s="100" t="str">
        <f t="shared" si="49"/>
        <v xml:space="preserve"> </v>
      </c>
      <c r="N489" s="100" t="str">
        <f>IFERROR(VLOOKUP(Tablo520[[#This Row],[ÜRÜN KODU]],YMKODLARI!$A$1:$K$373,8,0)," ")</f>
        <v xml:space="preserve"> </v>
      </c>
      <c r="O489" s="100" t="str">
        <f>IFERROR(VLOOKUP(Tablo520[[#This Row],[HAMMADDE KODU]],Tablo1[#All],3,0)," ")</f>
        <v xml:space="preserve"> </v>
      </c>
      <c r="P489" s="100" t="str">
        <f>IFERROR(VLOOKUP(Tablo520[[#This Row],[HAMMADDE KODU]],Tablo1[#All],4,0)," ")</f>
        <v xml:space="preserve"> </v>
      </c>
      <c r="Q489" s="100" t="str">
        <f>IFERROR(VLOOKUP(Tablo520[[#This Row],[ÜRÜN KODU]],YMKODLARI!$A$1:$K$373,5,0)," ")</f>
        <v xml:space="preserve"> </v>
      </c>
      <c r="R489" s="100" t="str">
        <f>IFERROR(VLOOKUP(Tablo520[[#This Row],[ÜRÜN KODU]],YMKODLARI!$A$1:$K$373,6,0)," ")</f>
        <v xml:space="preserve"> </v>
      </c>
      <c r="S489" s="100" t="str">
        <f>IFERROR(Tablo520[[#This Row],[YOLLUK HARİÇ BASKI GRAMI]]/Tablo520[[#This Row],[KALIP GÖZ ADEDİ]]," ")</f>
        <v xml:space="preserve"> </v>
      </c>
      <c r="T489" s="100" t="str">
        <f t="shared" si="51"/>
        <v xml:space="preserve"> </v>
      </c>
      <c r="U489" s="100"/>
      <c r="V489" s="100" t="str">
        <f t="shared" si="50"/>
        <v xml:space="preserve"> </v>
      </c>
      <c r="W489" s="101">
        <f t="shared" si="52"/>
        <v>24</v>
      </c>
      <c r="X489" s="102">
        <f t="shared" si="53"/>
        <v>0</v>
      </c>
      <c r="Y489" s="100" t="str">
        <f t="shared" si="54"/>
        <v xml:space="preserve"> </v>
      </c>
      <c r="Z489" s="100" t="str">
        <f t="shared" si="55"/>
        <v xml:space="preserve"> </v>
      </c>
    </row>
    <row r="490" spans="1:26">
      <c r="A490" s="100"/>
      <c r="B490" s="100" t="str">
        <f>IFERROR(VLOOKUP(Tablo520[[#This Row],[ÜRÜN KODU]],YMKODLARI!$A$1:$K$373,2,0)," ")</f>
        <v xml:space="preserve"> </v>
      </c>
      <c r="C490" s="99"/>
      <c r="D490" s="100"/>
      <c r="E490" s="101"/>
      <c r="F490" s="101"/>
      <c r="G490" s="100" t="str">
        <f>IFERROR(VLOOKUP(Tablo520[[#This Row],[ÜRÜN KODU]],YMKODLARI!$A$1:$K$373,3,0)," ")</f>
        <v xml:space="preserve"> </v>
      </c>
      <c r="H490" s="100" t="str">
        <f>IFERROR(VLOOKUP(Tablo520[[#This Row],[ÜRÜN KODU]],YMKODLARI!$A$1:$K$373,4,0)," ")</f>
        <v xml:space="preserve"> </v>
      </c>
      <c r="I490" s="100"/>
      <c r="J490" s="100" t="str">
        <f>IFERROR(VLOOKUP(Tablo520[[#This Row],[ÜRÜN KODU]],YMKODLARI!$A$1:$K$373,9,0)," ")</f>
        <v xml:space="preserve"> </v>
      </c>
      <c r="K490" s="100" t="str">
        <f>IFERROR(VLOOKUP(Tablo520[[#This Row],[BOYA KODU]],Tablo14[#All],4,0)," ")</f>
        <v xml:space="preserve"> </v>
      </c>
      <c r="L490" s="100" t="str">
        <f>IFERROR(VLOOKUP(Tablo520[[#This Row],[BOYA KODU]],Tablo14[#All],6,0)," ")</f>
        <v xml:space="preserve"> </v>
      </c>
      <c r="M490" s="100" t="str">
        <f t="shared" si="49"/>
        <v xml:space="preserve"> </v>
      </c>
      <c r="N490" s="100" t="str">
        <f>IFERROR(VLOOKUP(Tablo520[[#This Row],[ÜRÜN KODU]],YMKODLARI!$A$1:$K$373,8,0)," ")</f>
        <v xml:space="preserve"> </v>
      </c>
      <c r="O490" s="100" t="str">
        <f>IFERROR(VLOOKUP(Tablo520[[#This Row],[HAMMADDE KODU]],Tablo1[#All],3,0)," ")</f>
        <v xml:space="preserve"> </v>
      </c>
      <c r="P490" s="100" t="str">
        <f>IFERROR(VLOOKUP(Tablo520[[#This Row],[HAMMADDE KODU]],Tablo1[#All],4,0)," ")</f>
        <v xml:space="preserve"> </v>
      </c>
      <c r="Q490" s="100" t="str">
        <f>IFERROR(VLOOKUP(Tablo520[[#This Row],[ÜRÜN KODU]],YMKODLARI!$A$1:$K$373,5,0)," ")</f>
        <v xml:space="preserve"> </v>
      </c>
      <c r="R490" s="100" t="str">
        <f>IFERROR(VLOOKUP(Tablo520[[#This Row],[ÜRÜN KODU]],YMKODLARI!$A$1:$K$373,6,0)," ")</f>
        <v xml:space="preserve"> </v>
      </c>
      <c r="S490" s="100" t="str">
        <f>IFERROR(Tablo520[[#This Row],[YOLLUK HARİÇ BASKI GRAMI]]/Tablo520[[#This Row],[KALIP GÖZ ADEDİ]]," ")</f>
        <v xml:space="preserve"> </v>
      </c>
      <c r="T490" s="100" t="str">
        <f t="shared" si="51"/>
        <v xml:space="preserve"> </v>
      </c>
      <c r="U490" s="100"/>
      <c r="V490" s="100" t="str">
        <f t="shared" si="50"/>
        <v xml:space="preserve"> </v>
      </c>
      <c r="W490" s="101">
        <f t="shared" si="52"/>
        <v>24</v>
      </c>
      <c r="X490" s="102">
        <f t="shared" si="53"/>
        <v>0</v>
      </c>
      <c r="Y490" s="100" t="str">
        <f t="shared" si="54"/>
        <v xml:space="preserve"> </v>
      </c>
      <c r="Z490" s="100" t="str">
        <f t="shared" si="55"/>
        <v xml:space="preserve"> </v>
      </c>
    </row>
    <row r="491" spans="1:26">
      <c r="A491" s="100"/>
      <c r="B491" s="100" t="str">
        <f>IFERROR(VLOOKUP(Tablo520[[#This Row],[ÜRÜN KODU]],YMKODLARI!$A$1:$K$373,2,0)," ")</f>
        <v xml:space="preserve"> </v>
      </c>
      <c r="C491" s="99"/>
      <c r="D491" s="100"/>
      <c r="E491" s="101"/>
      <c r="F491" s="101"/>
      <c r="G491" s="100" t="str">
        <f>IFERROR(VLOOKUP(Tablo520[[#This Row],[ÜRÜN KODU]],YMKODLARI!$A$1:$K$373,3,0)," ")</f>
        <v xml:space="preserve"> </v>
      </c>
      <c r="H491" s="100" t="str">
        <f>IFERROR(VLOOKUP(Tablo520[[#This Row],[ÜRÜN KODU]],YMKODLARI!$A$1:$K$373,4,0)," ")</f>
        <v xml:space="preserve"> </v>
      </c>
      <c r="I491" s="100"/>
      <c r="J491" s="100" t="str">
        <f>IFERROR(VLOOKUP(Tablo520[[#This Row],[ÜRÜN KODU]],YMKODLARI!$A$1:$K$373,9,0)," ")</f>
        <v xml:space="preserve"> </v>
      </c>
      <c r="K491" s="100" t="str">
        <f>IFERROR(VLOOKUP(Tablo520[[#This Row],[BOYA KODU]],Tablo14[#All],4,0)," ")</f>
        <v xml:space="preserve"> </v>
      </c>
      <c r="L491" s="100" t="str">
        <f>IFERROR(VLOOKUP(Tablo520[[#This Row],[BOYA KODU]],Tablo14[#All],6,0)," ")</f>
        <v xml:space="preserve"> </v>
      </c>
      <c r="M491" s="100" t="str">
        <f t="shared" si="49"/>
        <v xml:space="preserve"> </v>
      </c>
      <c r="N491" s="100" t="str">
        <f>IFERROR(VLOOKUP(Tablo520[[#This Row],[ÜRÜN KODU]],YMKODLARI!$A$1:$K$373,8,0)," ")</f>
        <v xml:space="preserve"> </v>
      </c>
      <c r="O491" s="100" t="str">
        <f>IFERROR(VLOOKUP(Tablo520[[#This Row],[HAMMADDE KODU]],Tablo1[#All],3,0)," ")</f>
        <v xml:space="preserve"> </v>
      </c>
      <c r="P491" s="100" t="str">
        <f>IFERROR(VLOOKUP(Tablo520[[#This Row],[HAMMADDE KODU]],Tablo1[#All],4,0)," ")</f>
        <v xml:space="preserve"> </v>
      </c>
      <c r="Q491" s="100" t="str">
        <f>IFERROR(VLOOKUP(Tablo520[[#This Row],[ÜRÜN KODU]],YMKODLARI!$A$1:$K$373,5,0)," ")</f>
        <v xml:space="preserve"> </v>
      </c>
      <c r="R491" s="100" t="str">
        <f>IFERROR(VLOOKUP(Tablo520[[#This Row],[ÜRÜN KODU]],YMKODLARI!$A$1:$K$373,6,0)," ")</f>
        <v xml:space="preserve"> </v>
      </c>
      <c r="S491" s="100" t="str">
        <f>IFERROR(Tablo520[[#This Row],[YOLLUK HARİÇ BASKI GRAMI]]/Tablo520[[#This Row],[KALIP GÖZ ADEDİ]]," ")</f>
        <v xml:space="preserve"> </v>
      </c>
      <c r="T491" s="100" t="str">
        <f t="shared" si="51"/>
        <v xml:space="preserve"> </v>
      </c>
      <c r="U491" s="100"/>
      <c r="V491" s="100" t="str">
        <f t="shared" si="50"/>
        <v xml:space="preserve"> </v>
      </c>
      <c r="W491" s="101">
        <f t="shared" si="52"/>
        <v>24</v>
      </c>
      <c r="X491" s="102">
        <f t="shared" si="53"/>
        <v>0</v>
      </c>
      <c r="Y491" s="100" t="str">
        <f t="shared" si="54"/>
        <v xml:space="preserve"> </v>
      </c>
      <c r="Z491" s="100" t="str">
        <f t="shared" si="55"/>
        <v xml:space="preserve"> </v>
      </c>
    </row>
    <row r="492" spans="1:26">
      <c r="A492" s="100"/>
      <c r="B492" s="100" t="str">
        <f>IFERROR(VLOOKUP(Tablo520[[#This Row],[ÜRÜN KODU]],YMKODLARI!$A$1:$K$373,2,0)," ")</f>
        <v xml:space="preserve"> </v>
      </c>
      <c r="C492" s="99"/>
      <c r="D492" s="100"/>
      <c r="E492" s="101"/>
      <c r="F492" s="101"/>
      <c r="G492" s="100" t="str">
        <f>IFERROR(VLOOKUP(Tablo520[[#This Row],[ÜRÜN KODU]],YMKODLARI!$A$1:$K$373,3,0)," ")</f>
        <v xml:space="preserve"> </v>
      </c>
      <c r="H492" s="100" t="str">
        <f>IFERROR(VLOOKUP(Tablo520[[#This Row],[ÜRÜN KODU]],YMKODLARI!$A$1:$K$373,4,0)," ")</f>
        <v xml:space="preserve"> </v>
      </c>
      <c r="I492" s="100"/>
      <c r="J492" s="100" t="str">
        <f>IFERROR(VLOOKUP(Tablo520[[#This Row],[ÜRÜN KODU]],YMKODLARI!$A$1:$K$373,9,0)," ")</f>
        <v xml:space="preserve"> </v>
      </c>
      <c r="K492" s="100" t="str">
        <f>IFERROR(VLOOKUP(Tablo520[[#This Row],[BOYA KODU]],Tablo14[#All],4,0)," ")</f>
        <v xml:space="preserve"> </v>
      </c>
      <c r="L492" s="100" t="str">
        <f>IFERROR(VLOOKUP(Tablo520[[#This Row],[BOYA KODU]],Tablo14[#All],6,0)," ")</f>
        <v xml:space="preserve"> </v>
      </c>
      <c r="M492" s="100" t="str">
        <f t="shared" si="49"/>
        <v xml:space="preserve"> </v>
      </c>
      <c r="N492" s="100" t="str">
        <f>IFERROR(VLOOKUP(Tablo520[[#This Row],[ÜRÜN KODU]],YMKODLARI!$A$1:$K$373,8,0)," ")</f>
        <v xml:space="preserve"> </v>
      </c>
      <c r="O492" s="100" t="str">
        <f>IFERROR(VLOOKUP(Tablo520[[#This Row],[HAMMADDE KODU]],Tablo1[#All],3,0)," ")</f>
        <v xml:space="preserve"> </v>
      </c>
      <c r="P492" s="100" t="str">
        <f>IFERROR(VLOOKUP(Tablo520[[#This Row],[HAMMADDE KODU]],Tablo1[#All],4,0)," ")</f>
        <v xml:space="preserve"> </v>
      </c>
      <c r="Q492" s="100" t="str">
        <f>IFERROR(VLOOKUP(Tablo520[[#This Row],[ÜRÜN KODU]],YMKODLARI!$A$1:$K$373,5,0)," ")</f>
        <v xml:space="preserve"> </v>
      </c>
      <c r="R492" s="100" t="str">
        <f>IFERROR(VLOOKUP(Tablo520[[#This Row],[ÜRÜN KODU]],YMKODLARI!$A$1:$K$373,6,0)," ")</f>
        <v xml:space="preserve"> </v>
      </c>
      <c r="S492" s="100" t="str">
        <f>IFERROR(Tablo520[[#This Row],[YOLLUK HARİÇ BASKI GRAMI]]/Tablo520[[#This Row],[KALIP GÖZ ADEDİ]]," ")</f>
        <v xml:space="preserve"> </v>
      </c>
      <c r="T492" s="100" t="str">
        <f t="shared" si="51"/>
        <v xml:space="preserve"> </v>
      </c>
      <c r="U492" s="100"/>
      <c r="V492" s="100" t="str">
        <f t="shared" si="50"/>
        <v xml:space="preserve"> </v>
      </c>
      <c r="W492" s="101">
        <f t="shared" si="52"/>
        <v>24</v>
      </c>
      <c r="X492" s="102">
        <f t="shared" si="53"/>
        <v>0</v>
      </c>
      <c r="Y492" s="100" t="str">
        <f t="shared" si="54"/>
        <v xml:space="preserve"> </v>
      </c>
      <c r="Z492" s="100" t="str">
        <f t="shared" si="55"/>
        <v xml:space="preserve"> </v>
      </c>
    </row>
    <row r="493" spans="1:26">
      <c r="A493" s="100"/>
      <c r="B493" s="100" t="str">
        <f>IFERROR(VLOOKUP(Tablo520[[#This Row],[ÜRÜN KODU]],YMKODLARI!$A$1:$K$373,2,0)," ")</f>
        <v xml:space="preserve"> </v>
      </c>
      <c r="C493" s="99"/>
      <c r="D493" s="100"/>
      <c r="E493" s="101"/>
      <c r="F493" s="101"/>
      <c r="G493" s="100" t="str">
        <f>IFERROR(VLOOKUP(Tablo520[[#This Row],[ÜRÜN KODU]],YMKODLARI!$A$1:$K$373,3,0)," ")</f>
        <v xml:space="preserve"> </v>
      </c>
      <c r="H493" s="100" t="str">
        <f>IFERROR(VLOOKUP(Tablo520[[#This Row],[ÜRÜN KODU]],YMKODLARI!$A$1:$K$373,4,0)," ")</f>
        <v xml:space="preserve"> </v>
      </c>
      <c r="I493" s="100"/>
      <c r="J493" s="100" t="str">
        <f>IFERROR(VLOOKUP(Tablo520[[#This Row],[ÜRÜN KODU]],YMKODLARI!$A$1:$K$373,9,0)," ")</f>
        <v xml:space="preserve"> </v>
      </c>
      <c r="K493" s="100" t="str">
        <f>IFERROR(VLOOKUP(Tablo520[[#This Row],[BOYA KODU]],Tablo14[#All],4,0)," ")</f>
        <v xml:space="preserve"> </v>
      </c>
      <c r="L493" s="100" t="str">
        <f>IFERROR(VLOOKUP(Tablo520[[#This Row],[BOYA KODU]],Tablo14[#All],6,0)," ")</f>
        <v xml:space="preserve"> </v>
      </c>
      <c r="M493" s="100" t="str">
        <f t="shared" si="49"/>
        <v xml:space="preserve"> </v>
      </c>
      <c r="N493" s="100" t="str">
        <f>IFERROR(VLOOKUP(Tablo520[[#This Row],[ÜRÜN KODU]],YMKODLARI!$A$1:$K$373,8,0)," ")</f>
        <v xml:space="preserve"> </v>
      </c>
      <c r="O493" s="100" t="str">
        <f>IFERROR(VLOOKUP(Tablo520[[#This Row],[HAMMADDE KODU]],Tablo1[#All],3,0)," ")</f>
        <v xml:space="preserve"> </v>
      </c>
      <c r="P493" s="100" t="str">
        <f>IFERROR(VLOOKUP(Tablo520[[#This Row],[HAMMADDE KODU]],Tablo1[#All],4,0)," ")</f>
        <v xml:space="preserve"> </v>
      </c>
      <c r="Q493" s="100" t="str">
        <f>IFERROR(VLOOKUP(Tablo520[[#This Row],[ÜRÜN KODU]],YMKODLARI!$A$1:$K$373,5,0)," ")</f>
        <v xml:space="preserve"> </v>
      </c>
      <c r="R493" s="100" t="str">
        <f>IFERROR(VLOOKUP(Tablo520[[#This Row],[ÜRÜN KODU]],YMKODLARI!$A$1:$K$373,6,0)," ")</f>
        <v xml:space="preserve"> </v>
      </c>
      <c r="S493" s="100" t="str">
        <f>IFERROR(Tablo520[[#This Row],[YOLLUK HARİÇ BASKI GRAMI]]/Tablo520[[#This Row],[KALIP GÖZ ADEDİ]]," ")</f>
        <v xml:space="preserve"> </v>
      </c>
      <c r="T493" s="100" t="str">
        <f t="shared" si="51"/>
        <v xml:space="preserve"> </v>
      </c>
      <c r="U493" s="100"/>
      <c r="V493" s="100" t="str">
        <f t="shared" si="50"/>
        <v xml:space="preserve"> </v>
      </c>
      <c r="W493" s="101">
        <f t="shared" si="52"/>
        <v>24</v>
      </c>
      <c r="X493" s="102">
        <f t="shared" si="53"/>
        <v>0</v>
      </c>
      <c r="Y493" s="100" t="str">
        <f t="shared" si="54"/>
        <v xml:space="preserve"> </v>
      </c>
      <c r="Z493" s="100" t="str">
        <f t="shared" si="55"/>
        <v xml:space="preserve"> </v>
      </c>
    </row>
    <row r="494" spans="1:26">
      <c r="A494" s="100"/>
      <c r="B494" s="100" t="str">
        <f>IFERROR(VLOOKUP(Tablo520[[#This Row],[ÜRÜN KODU]],YMKODLARI!$A$1:$K$373,2,0)," ")</f>
        <v xml:space="preserve"> </v>
      </c>
      <c r="C494" s="99"/>
      <c r="D494" s="100"/>
      <c r="E494" s="101"/>
      <c r="F494" s="101"/>
      <c r="G494" s="100" t="str">
        <f>IFERROR(VLOOKUP(Tablo520[[#This Row],[ÜRÜN KODU]],YMKODLARI!$A$1:$K$373,3,0)," ")</f>
        <v xml:space="preserve"> </v>
      </c>
      <c r="H494" s="100" t="str">
        <f>IFERROR(VLOOKUP(Tablo520[[#This Row],[ÜRÜN KODU]],YMKODLARI!$A$1:$K$373,4,0)," ")</f>
        <v xml:space="preserve"> </v>
      </c>
      <c r="I494" s="100"/>
      <c r="J494" s="100" t="str">
        <f>IFERROR(VLOOKUP(Tablo520[[#This Row],[ÜRÜN KODU]],YMKODLARI!$A$1:$K$373,9,0)," ")</f>
        <v xml:space="preserve"> </v>
      </c>
      <c r="K494" s="100" t="str">
        <f>IFERROR(VLOOKUP(Tablo520[[#This Row],[BOYA KODU]],Tablo14[#All],4,0)," ")</f>
        <v xml:space="preserve"> </v>
      </c>
      <c r="L494" s="100" t="str">
        <f>IFERROR(VLOOKUP(Tablo520[[#This Row],[BOYA KODU]],Tablo14[#All],6,0)," ")</f>
        <v xml:space="preserve"> </v>
      </c>
      <c r="M494" s="100" t="str">
        <f t="shared" si="49"/>
        <v xml:space="preserve"> </v>
      </c>
      <c r="N494" s="100" t="str">
        <f>IFERROR(VLOOKUP(Tablo520[[#This Row],[ÜRÜN KODU]],YMKODLARI!$A$1:$K$373,8,0)," ")</f>
        <v xml:space="preserve"> </v>
      </c>
      <c r="O494" s="100" t="str">
        <f>IFERROR(VLOOKUP(Tablo520[[#This Row],[HAMMADDE KODU]],Tablo1[#All],3,0)," ")</f>
        <v xml:space="preserve"> </v>
      </c>
      <c r="P494" s="100" t="str">
        <f>IFERROR(VLOOKUP(Tablo520[[#This Row],[HAMMADDE KODU]],Tablo1[#All],4,0)," ")</f>
        <v xml:space="preserve"> </v>
      </c>
      <c r="Q494" s="100" t="str">
        <f>IFERROR(VLOOKUP(Tablo520[[#This Row],[ÜRÜN KODU]],YMKODLARI!$A$1:$K$373,5,0)," ")</f>
        <v xml:space="preserve"> </v>
      </c>
      <c r="R494" s="100" t="str">
        <f>IFERROR(VLOOKUP(Tablo520[[#This Row],[ÜRÜN KODU]],YMKODLARI!$A$1:$K$373,6,0)," ")</f>
        <v xml:space="preserve"> </v>
      </c>
      <c r="S494" s="100" t="str">
        <f>IFERROR(Tablo520[[#This Row],[YOLLUK HARİÇ BASKI GRAMI]]/Tablo520[[#This Row],[KALIP GÖZ ADEDİ]]," ")</f>
        <v xml:space="preserve"> </v>
      </c>
      <c r="T494" s="100" t="str">
        <f t="shared" si="51"/>
        <v xml:space="preserve"> </v>
      </c>
      <c r="U494" s="100"/>
      <c r="V494" s="100" t="str">
        <f t="shared" si="50"/>
        <v xml:space="preserve"> </v>
      </c>
      <c r="W494" s="101">
        <f t="shared" si="52"/>
        <v>24</v>
      </c>
      <c r="X494" s="102">
        <f t="shared" si="53"/>
        <v>0</v>
      </c>
      <c r="Y494" s="100" t="str">
        <f t="shared" si="54"/>
        <v xml:space="preserve"> </v>
      </c>
      <c r="Z494" s="100" t="str">
        <f t="shared" si="55"/>
        <v xml:space="preserve"> </v>
      </c>
    </row>
    <row r="495" spans="1:26">
      <c r="A495" s="100"/>
      <c r="B495" s="100" t="str">
        <f>IFERROR(VLOOKUP(Tablo520[[#This Row],[ÜRÜN KODU]],YMKODLARI!$A$1:$K$373,2,0)," ")</f>
        <v xml:space="preserve"> </v>
      </c>
      <c r="C495" s="99"/>
      <c r="D495" s="100"/>
      <c r="E495" s="101"/>
      <c r="F495" s="101"/>
      <c r="G495" s="100" t="str">
        <f>IFERROR(VLOOKUP(Tablo520[[#This Row],[ÜRÜN KODU]],YMKODLARI!$A$1:$K$373,3,0)," ")</f>
        <v xml:space="preserve"> </v>
      </c>
      <c r="H495" s="100" t="str">
        <f>IFERROR(VLOOKUP(Tablo520[[#This Row],[ÜRÜN KODU]],YMKODLARI!$A$1:$K$373,4,0)," ")</f>
        <v xml:space="preserve"> </v>
      </c>
      <c r="I495" s="100"/>
      <c r="J495" s="100" t="str">
        <f>IFERROR(VLOOKUP(Tablo520[[#This Row],[ÜRÜN KODU]],YMKODLARI!$A$1:$K$373,9,0)," ")</f>
        <v xml:space="preserve"> </v>
      </c>
      <c r="K495" s="100" t="str">
        <f>IFERROR(VLOOKUP(Tablo520[[#This Row],[BOYA KODU]],Tablo14[#All],4,0)," ")</f>
        <v xml:space="preserve"> </v>
      </c>
      <c r="L495" s="100" t="str">
        <f>IFERROR(VLOOKUP(Tablo520[[#This Row],[BOYA KODU]],Tablo14[#All],6,0)," ")</f>
        <v xml:space="preserve"> </v>
      </c>
      <c r="M495" s="100" t="str">
        <f t="shared" si="49"/>
        <v xml:space="preserve"> </v>
      </c>
      <c r="N495" s="100" t="str">
        <f>IFERROR(VLOOKUP(Tablo520[[#This Row],[ÜRÜN KODU]],YMKODLARI!$A$1:$K$373,8,0)," ")</f>
        <v xml:space="preserve"> </v>
      </c>
      <c r="O495" s="100" t="str">
        <f>IFERROR(VLOOKUP(Tablo520[[#This Row],[HAMMADDE KODU]],Tablo1[#All],3,0)," ")</f>
        <v xml:space="preserve"> </v>
      </c>
      <c r="P495" s="100" t="str">
        <f>IFERROR(VLOOKUP(Tablo520[[#This Row],[HAMMADDE KODU]],Tablo1[#All],4,0)," ")</f>
        <v xml:space="preserve"> </v>
      </c>
      <c r="Q495" s="100" t="str">
        <f>IFERROR(VLOOKUP(Tablo520[[#This Row],[ÜRÜN KODU]],YMKODLARI!$A$1:$K$373,5,0)," ")</f>
        <v xml:space="preserve"> </v>
      </c>
      <c r="R495" s="100" t="str">
        <f>IFERROR(VLOOKUP(Tablo520[[#This Row],[ÜRÜN KODU]],YMKODLARI!$A$1:$K$373,6,0)," ")</f>
        <v xml:space="preserve"> </v>
      </c>
      <c r="S495" s="100" t="str">
        <f>IFERROR(Tablo520[[#This Row],[YOLLUK HARİÇ BASKI GRAMI]]/Tablo520[[#This Row],[KALIP GÖZ ADEDİ]]," ")</f>
        <v xml:space="preserve"> </v>
      </c>
      <c r="T495" s="100" t="str">
        <f t="shared" si="51"/>
        <v xml:space="preserve"> </v>
      </c>
      <c r="U495" s="100"/>
      <c r="V495" s="100" t="str">
        <f t="shared" si="50"/>
        <v xml:space="preserve"> </v>
      </c>
      <c r="W495" s="101">
        <f t="shared" si="52"/>
        <v>24</v>
      </c>
      <c r="X495" s="102">
        <f t="shared" si="53"/>
        <v>0</v>
      </c>
      <c r="Y495" s="100" t="str">
        <f t="shared" si="54"/>
        <v xml:space="preserve"> </v>
      </c>
      <c r="Z495" s="100" t="str">
        <f t="shared" si="55"/>
        <v xml:space="preserve"> </v>
      </c>
    </row>
    <row r="496" spans="1:26">
      <c r="A496" s="100"/>
      <c r="B496" s="100" t="str">
        <f>IFERROR(VLOOKUP(Tablo520[[#This Row],[ÜRÜN KODU]],YMKODLARI!$A$1:$K$373,2,0)," ")</f>
        <v xml:space="preserve"> </v>
      </c>
      <c r="C496" s="99"/>
      <c r="D496" s="100"/>
      <c r="E496" s="101"/>
      <c r="F496" s="101"/>
      <c r="G496" s="100" t="str">
        <f>IFERROR(VLOOKUP(Tablo520[[#This Row],[ÜRÜN KODU]],YMKODLARI!$A$1:$K$373,3,0)," ")</f>
        <v xml:space="preserve"> </v>
      </c>
      <c r="H496" s="100" t="str">
        <f>IFERROR(VLOOKUP(Tablo520[[#This Row],[ÜRÜN KODU]],YMKODLARI!$A$1:$K$373,4,0)," ")</f>
        <v xml:space="preserve"> </v>
      </c>
      <c r="I496" s="100"/>
      <c r="J496" s="100" t="str">
        <f>IFERROR(VLOOKUP(Tablo520[[#This Row],[ÜRÜN KODU]],YMKODLARI!$A$1:$K$373,9,0)," ")</f>
        <v xml:space="preserve"> </v>
      </c>
      <c r="K496" s="100" t="str">
        <f>IFERROR(VLOOKUP(Tablo520[[#This Row],[BOYA KODU]],Tablo14[#All],4,0)," ")</f>
        <v xml:space="preserve"> </v>
      </c>
      <c r="L496" s="100" t="str">
        <f>IFERROR(VLOOKUP(Tablo520[[#This Row],[BOYA KODU]],Tablo14[#All],6,0)," ")</f>
        <v xml:space="preserve"> </v>
      </c>
      <c r="M496" s="100" t="str">
        <f t="shared" si="49"/>
        <v xml:space="preserve"> </v>
      </c>
      <c r="N496" s="100" t="str">
        <f>IFERROR(VLOOKUP(Tablo520[[#This Row],[ÜRÜN KODU]],YMKODLARI!$A$1:$K$373,8,0)," ")</f>
        <v xml:space="preserve"> </v>
      </c>
      <c r="O496" s="100" t="str">
        <f>IFERROR(VLOOKUP(Tablo520[[#This Row],[HAMMADDE KODU]],Tablo1[#All],3,0)," ")</f>
        <v xml:space="preserve"> </v>
      </c>
      <c r="P496" s="100" t="str">
        <f>IFERROR(VLOOKUP(Tablo520[[#This Row],[HAMMADDE KODU]],Tablo1[#All],4,0)," ")</f>
        <v xml:space="preserve"> </v>
      </c>
      <c r="Q496" s="100" t="str">
        <f>IFERROR(VLOOKUP(Tablo520[[#This Row],[ÜRÜN KODU]],YMKODLARI!$A$1:$K$373,5,0)," ")</f>
        <v xml:space="preserve"> </v>
      </c>
      <c r="R496" s="100" t="str">
        <f>IFERROR(VLOOKUP(Tablo520[[#This Row],[ÜRÜN KODU]],YMKODLARI!$A$1:$K$373,6,0)," ")</f>
        <v xml:space="preserve"> </v>
      </c>
      <c r="S496" s="100" t="str">
        <f>IFERROR(Tablo520[[#This Row],[YOLLUK HARİÇ BASKI GRAMI]]/Tablo520[[#This Row],[KALIP GÖZ ADEDİ]]," ")</f>
        <v xml:space="preserve"> </v>
      </c>
      <c r="T496" s="100" t="str">
        <f t="shared" si="51"/>
        <v xml:space="preserve"> </v>
      </c>
      <c r="U496" s="100"/>
      <c r="V496" s="100" t="str">
        <f t="shared" si="50"/>
        <v xml:space="preserve"> </v>
      </c>
      <c r="W496" s="101">
        <f t="shared" si="52"/>
        <v>24</v>
      </c>
      <c r="X496" s="102">
        <f t="shared" si="53"/>
        <v>0</v>
      </c>
      <c r="Y496" s="100" t="str">
        <f t="shared" si="54"/>
        <v xml:space="preserve"> </v>
      </c>
      <c r="Z496" s="100" t="str">
        <f t="shared" si="55"/>
        <v xml:space="preserve"> </v>
      </c>
    </row>
    <row r="497" spans="1:26">
      <c r="A497" s="100"/>
      <c r="B497" s="100" t="str">
        <f>IFERROR(VLOOKUP(Tablo520[[#This Row],[ÜRÜN KODU]],YMKODLARI!$A$1:$K$373,2,0)," ")</f>
        <v xml:space="preserve"> </v>
      </c>
      <c r="C497" s="99"/>
      <c r="D497" s="100"/>
      <c r="E497" s="101"/>
      <c r="F497" s="101"/>
      <c r="G497" s="100" t="str">
        <f>IFERROR(VLOOKUP(Tablo520[[#This Row],[ÜRÜN KODU]],YMKODLARI!$A$1:$K$373,3,0)," ")</f>
        <v xml:space="preserve"> </v>
      </c>
      <c r="H497" s="100" t="str">
        <f>IFERROR(VLOOKUP(Tablo520[[#This Row],[ÜRÜN KODU]],YMKODLARI!$A$1:$K$373,4,0)," ")</f>
        <v xml:space="preserve"> </v>
      </c>
      <c r="I497" s="100"/>
      <c r="J497" s="100" t="str">
        <f>IFERROR(VLOOKUP(Tablo520[[#This Row],[ÜRÜN KODU]],YMKODLARI!$A$1:$K$373,9,0)," ")</f>
        <v xml:space="preserve"> </v>
      </c>
      <c r="K497" s="100" t="str">
        <f>IFERROR(VLOOKUP(Tablo520[[#This Row],[BOYA KODU]],Tablo14[#All],4,0)," ")</f>
        <v xml:space="preserve"> </v>
      </c>
      <c r="L497" s="100" t="str">
        <f>IFERROR(VLOOKUP(Tablo520[[#This Row],[BOYA KODU]],Tablo14[#All],6,0)," ")</f>
        <v xml:space="preserve"> </v>
      </c>
      <c r="M497" s="100" t="str">
        <f t="shared" si="49"/>
        <v xml:space="preserve"> </v>
      </c>
      <c r="N497" s="100" t="str">
        <f>IFERROR(VLOOKUP(Tablo520[[#This Row],[ÜRÜN KODU]],YMKODLARI!$A$1:$K$373,8,0)," ")</f>
        <v xml:space="preserve"> </v>
      </c>
      <c r="O497" s="100" t="str">
        <f>IFERROR(VLOOKUP(Tablo520[[#This Row],[HAMMADDE KODU]],Tablo1[#All],3,0)," ")</f>
        <v xml:space="preserve"> </v>
      </c>
      <c r="P497" s="100" t="str">
        <f>IFERROR(VLOOKUP(Tablo520[[#This Row],[HAMMADDE KODU]],Tablo1[#All],4,0)," ")</f>
        <v xml:space="preserve"> </v>
      </c>
      <c r="Q497" s="100" t="str">
        <f>IFERROR(VLOOKUP(Tablo520[[#This Row],[ÜRÜN KODU]],YMKODLARI!$A$1:$K$373,5,0)," ")</f>
        <v xml:space="preserve"> </v>
      </c>
      <c r="R497" s="100" t="str">
        <f>IFERROR(VLOOKUP(Tablo520[[#This Row],[ÜRÜN KODU]],YMKODLARI!$A$1:$K$373,6,0)," ")</f>
        <v xml:space="preserve"> </v>
      </c>
      <c r="S497" s="100" t="str">
        <f>IFERROR(Tablo520[[#This Row],[YOLLUK HARİÇ BASKI GRAMI]]/Tablo520[[#This Row],[KALIP GÖZ ADEDİ]]," ")</f>
        <v xml:space="preserve"> </v>
      </c>
      <c r="T497" s="100" t="str">
        <f t="shared" si="51"/>
        <v xml:space="preserve"> </v>
      </c>
      <c r="U497" s="100"/>
      <c r="V497" s="100" t="str">
        <f t="shared" si="50"/>
        <v xml:space="preserve"> </v>
      </c>
      <c r="W497" s="101">
        <f t="shared" si="52"/>
        <v>24</v>
      </c>
      <c r="X497" s="102">
        <f t="shared" si="53"/>
        <v>0</v>
      </c>
      <c r="Y497" s="100" t="str">
        <f t="shared" si="54"/>
        <v xml:space="preserve"> </v>
      </c>
      <c r="Z497" s="100" t="str">
        <f t="shared" si="55"/>
        <v xml:space="preserve"> </v>
      </c>
    </row>
    <row r="498" spans="1:26">
      <c r="A498" s="100"/>
      <c r="B498" s="100" t="str">
        <f>IFERROR(VLOOKUP(Tablo520[[#This Row],[ÜRÜN KODU]],YMKODLARI!$A$1:$K$373,2,0)," ")</f>
        <v xml:space="preserve"> </v>
      </c>
      <c r="C498" s="99"/>
      <c r="D498" s="100"/>
      <c r="E498" s="101"/>
      <c r="F498" s="101"/>
      <c r="G498" s="100" t="str">
        <f>IFERROR(VLOOKUP(Tablo520[[#This Row],[ÜRÜN KODU]],YMKODLARI!$A$1:$K$373,3,0)," ")</f>
        <v xml:space="preserve"> </v>
      </c>
      <c r="H498" s="100" t="str">
        <f>IFERROR(VLOOKUP(Tablo520[[#This Row],[ÜRÜN KODU]],YMKODLARI!$A$1:$K$373,4,0)," ")</f>
        <v xml:space="preserve"> </v>
      </c>
      <c r="I498" s="100"/>
      <c r="J498" s="100" t="str">
        <f>IFERROR(VLOOKUP(Tablo520[[#This Row],[ÜRÜN KODU]],YMKODLARI!$A$1:$K$373,9,0)," ")</f>
        <v xml:space="preserve"> </v>
      </c>
      <c r="K498" s="100" t="str">
        <f>IFERROR(VLOOKUP(Tablo520[[#This Row],[BOYA KODU]],Tablo14[#All],4,0)," ")</f>
        <v xml:space="preserve"> </v>
      </c>
      <c r="L498" s="100" t="str">
        <f>IFERROR(VLOOKUP(Tablo520[[#This Row],[BOYA KODU]],Tablo14[#All],6,0)," ")</f>
        <v xml:space="preserve"> </v>
      </c>
      <c r="M498" s="100" t="str">
        <f t="shared" si="49"/>
        <v xml:space="preserve"> </v>
      </c>
      <c r="N498" s="100" t="str">
        <f>IFERROR(VLOOKUP(Tablo520[[#This Row],[ÜRÜN KODU]],YMKODLARI!$A$1:$K$373,8,0)," ")</f>
        <v xml:space="preserve"> </v>
      </c>
      <c r="O498" s="100" t="str">
        <f>IFERROR(VLOOKUP(Tablo520[[#This Row],[HAMMADDE KODU]],Tablo1[#All],3,0)," ")</f>
        <v xml:space="preserve"> </v>
      </c>
      <c r="P498" s="100" t="str">
        <f>IFERROR(VLOOKUP(Tablo520[[#This Row],[HAMMADDE KODU]],Tablo1[#All],4,0)," ")</f>
        <v xml:space="preserve"> </v>
      </c>
      <c r="Q498" s="100" t="str">
        <f>IFERROR(VLOOKUP(Tablo520[[#This Row],[ÜRÜN KODU]],YMKODLARI!$A$1:$K$373,5,0)," ")</f>
        <v xml:space="preserve"> </v>
      </c>
      <c r="R498" s="100" t="str">
        <f>IFERROR(VLOOKUP(Tablo520[[#This Row],[ÜRÜN KODU]],YMKODLARI!$A$1:$K$373,6,0)," ")</f>
        <v xml:space="preserve"> </v>
      </c>
      <c r="S498" s="100" t="str">
        <f>IFERROR(Tablo520[[#This Row],[YOLLUK HARİÇ BASKI GRAMI]]/Tablo520[[#This Row],[KALIP GÖZ ADEDİ]]," ")</f>
        <v xml:space="preserve"> </v>
      </c>
      <c r="T498" s="100" t="str">
        <f t="shared" si="51"/>
        <v xml:space="preserve"> </v>
      </c>
      <c r="U498" s="100"/>
      <c r="V498" s="100" t="str">
        <f t="shared" si="50"/>
        <v xml:space="preserve"> </v>
      </c>
      <c r="W498" s="101">
        <f t="shared" si="52"/>
        <v>24</v>
      </c>
      <c r="X498" s="102">
        <f t="shared" si="53"/>
        <v>0</v>
      </c>
      <c r="Y498" s="100" t="str">
        <f t="shared" si="54"/>
        <v xml:space="preserve"> </v>
      </c>
      <c r="Z498" s="100" t="str">
        <f t="shared" si="55"/>
        <v xml:space="preserve"> </v>
      </c>
    </row>
    <row r="499" spans="1:26">
      <c r="A499" s="100"/>
      <c r="B499" s="100" t="str">
        <f>IFERROR(VLOOKUP(Tablo520[[#This Row],[ÜRÜN KODU]],YMKODLARI!$A$1:$K$373,2,0)," ")</f>
        <v xml:space="preserve"> </v>
      </c>
      <c r="C499" s="99"/>
      <c r="D499" s="100"/>
      <c r="E499" s="101"/>
      <c r="F499" s="101"/>
      <c r="G499" s="100" t="str">
        <f>IFERROR(VLOOKUP(Tablo520[[#This Row],[ÜRÜN KODU]],YMKODLARI!$A$1:$K$373,3,0)," ")</f>
        <v xml:space="preserve"> </v>
      </c>
      <c r="H499" s="100" t="str">
        <f>IFERROR(VLOOKUP(Tablo520[[#This Row],[ÜRÜN KODU]],YMKODLARI!$A$1:$K$373,4,0)," ")</f>
        <v xml:space="preserve"> </v>
      </c>
      <c r="I499" s="100"/>
      <c r="J499" s="100" t="str">
        <f>IFERROR(VLOOKUP(Tablo520[[#This Row],[ÜRÜN KODU]],YMKODLARI!$A$1:$K$373,9,0)," ")</f>
        <v xml:space="preserve"> </v>
      </c>
      <c r="K499" s="100" t="str">
        <f>IFERROR(VLOOKUP(Tablo520[[#This Row],[BOYA KODU]],Tablo14[#All],4,0)," ")</f>
        <v xml:space="preserve"> </v>
      </c>
      <c r="L499" s="100" t="str">
        <f>IFERROR(VLOOKUP(Tablo520[[#This Row],[BOYA KODU]],Tablo14[#All],6,0)," ")</f>
        <v xml:space="preserve"> </v>
      </c>
      <c r="M499" s="100" t="str">
        <f t="shared" si="49"/>
        <v xml:space="preserve"> </v>
      </c>
      <c r="N499" s="100" t="str">
        <f>IFERROR(VLOOKUP(Tablo520[[#This Row],[ÜRÜN KODU]],YMKODLARI!$A$1:$K$373,8,0)," ")</f>
        <v xml:space="preserve"> </v>
      </c>
      <c r="O499" s="100" t="str">
        <f>IFERROR(VLOOKUP(Tablo520[[#This Row],[HAMMADDE KODU]],Tablo1[#All],3,0)," ")</f>
        <v xml:space="preserve"> </v>
      </c>
      <c r="P499" s="100" t="str">
        <f>IFERROR(VLOOKUP(Tablo520[[#This Row],[HAMMADDE KODU]],Tablo1[#All],4,0)," ")</f>
        <v xml:space="preserve"> </v>
      </c>
      <c r="Q499" s="100" t="str">
        <f>IFERROR(VLOOKUP(Tablo520[[#This Row],[ÜRÜN KODU]],YMKODLARI!$A$1:$K$373,5,0)," ")</f>
        <v xml:space="preserve"> </v>
      </c>
      <c r="R499" s="100" t="str">
        <f>IFERROR(VLOOKUP(Tablo520[[#This Row],[ÜRÜN KODU]],YMKODLARI!$A$1:$K$373,6,0)," ")</f>
        <v xml:space="preserve"> </v>
      </c>
      <c r="S499" s="100" t="str">
        <f>IFERROR(Tablo520[[#This Row],[YOLLUK HARİÇ BASKI GRAMI]]/Tablo520[[#This Row],[KALIP GÖZ ADEDİ]]," ")</f>
        <v xml:space="preserve"> </v>
      </c>
      <c r="T499" s="100" t="str">
        <f t="shared" si="51"/>
        <v xml:space="preserve"> </v>
      </c>
      <c r="U499" s="100"/>
      <c r="V499" s="100" t="str">
        <f t="shared" si="50"/>
        <v xml:space="preserve"> </v>
      </c>
      <c r="W499" s="101">
        <f t="shared" si="52"/>
        <v>24</v>
      </c>
      <c r="X499" s="102">
        <f t="shared" si="53"/>
        <v>0</v>
      </c>
      <c r="Y499" s="100" t="str">
        <f t="shared" si="54"/>
        <v xml:space="preserve"> </v>
      </c>
      <c r="Z499" s="100" t="str">
        <f t="shared" si="55"/>
        <v xml:space="preserve"> </v>
      </c>
    </row>
    <row r="500" spans="1:26">
      <c r="A500" s="100"/>
      <c r="B500" s="100" t="str">
        <f>IFERROR(VLOOKUP(Tablo520[[#This Row],[ÜRÜN KODU]],YMKODLARI!$A$1:$K$373,2,0)," ")</f>
        <v xml:space="preserve"> </v>
      </c>
      <c r="C500" s="99"/>
      <c r="D500" s="100"/>
      <c r="E500" s="101"/>
      <c r="F500" s="101"/>
      <c r="G500" s="100" t="str">
        <f>IFERROR(VLOOKUP(Tablo520[[#This Row],[ÜRÜN KODU]],YMKODLARI!$A$1:$K$373,3,0)," ")</f>
        <v xml:space="preserve"> </v>
      </c>
      <c r="H500" s="100" t="str">
        <f>IFERROR(VLOOKUP(Tablo520[[#This Row],[ÜRÜN KODU]],YMKODLARI!$A$1:$K$373,4,0)," ")</f>
        <v xml:space="preserve"> </v>
      </c>
      <c r="I500" s="100"/>
      <c r="J500" s="100" t="str">
        <f>IFERROR(VLOOKUP(Tablo520[[#This Row],[ÜRÜN KODU]],YMKODLARI!$A$1:$K$373,9,0)," ")</f>
        <v xml:space="preserve"> </v>
      </c>
      <c r="K500" s="100" t="str">
        <f>IFERROR(VLOOKUP(Tablo520[[#This Row],[BOYA KODU]],Tablo14[#All],4,0)," ")</f>
        <v xml:space="preserve"> </v>
      </c>
      <c r="L500" s="100" t="str">
        <f>IFERROR(VLOOKUP(Tablo520[[#This Row],[BOYA KODU]],Tablo14[#All],6,0)," ")</f>
        <v xml:space="preserve"> </v>
      </c>
      <c r="M500" s="100" t="str">
        <f t="shared" si="49"/>
        <v xml:space="preserve"> </v>
      </c>
      <c r="N500" s="100" t="str">
        <f>IFERROR(VLOOKUP(Tablo520[[#This Row],[ÜRÜN KODU]],YMKODLARI!$A$1:$K$373,8,0)," ")</f>
        <v xml:space="preserve"> </v>
      </c>
      <c r="O500" s="100" t="str">
        <f>IFERROR(VLOOKUP(Tablo520[[#This Row],[HAMMADDE KODU]],Tablo1[#All],3,0)," ")</f>
        <v xml:space="preserve"> </v>
      </c>
      <c r="P500" s="100" t="str">
        <f>IFERROR(VLOOKUP(Tablo520[[#This Row],[HAMMADDE KODU]],Tablo1[#All],4,0)," ")</f>
        <v xml:space="preserve"> </v>
      </c>
      <c r="Q500" s="100" t="str">
        <f>IFERROR(VLOOKUP(Tablo520[[#This Row],[ÜRÜN KODU]],YMKODLARI!$A$1:$K$373,5,0)," ")</f>
        <v xml:space="preserve"> </v>
      </c>
      <c r="R500" s="100" t="str">
        <f>IFERROR(VLOOKUP(Tablo520[[#This Row],[ÜRÜN KODU]],YMKODLARI!$A$1:$K$373,6,0)," ")</f>
        <v xml:space="preserve"> </v>
      </c>
      <c r="S500" s="100" t="str">
        <f>IFERROR(Tablo520[[#This Row],[YOLLUK HARİÇ BASKI GRAMI]]/Tablo520[[#This Row],[KALIP GÖZ ADEDİ]]," ")</f>
        <v xml:space="preserve"> </v>
      </c>
      <c r="T500" s="100" t="str">
        <f t="shared" si="51"/>
        <v xml:space="preserve"> </v>
      </c>
      <c r="U500" s="100"/>
      <c r="V500" s="100" t="str">
        <f t="shared" si="50"/>
        <v xml:space="preserve"> </v>
      </c>
      <c r="W500" s="101">
        <f t="shared" si="52"/>
        <v>24</v>
      </c>
      <c r="X500" s="102">
        <f t="shared" si="53"/>
        <v>0</v>
      </c>
      <c r="Y500" s="100" t="str">
        <f t="shared" si="54"/>
        <v xml:space="preserve"> </v>
      </c>
      <c r="Z500" s="100" t="str">
        <f t="shared" si="55"/>
        <v xml:space="preserve"> </v>
      </c>
    </row>
    <row r="501" spans="1:26">
      <c r="A501" s="100"/>
      <c r="B501" s="100" t="str">
        <f>IFERROR(VLOOKUP(Tablo520[[#This Row],[ÜRÜN KODU]],YMKODLARI!$A$1:$K$373,2,0)," ")</f>
        <v xml:space="preserve"> </v>
      </c>
      <c r="C501" s="99"/>
      <c r="D501" s="100"/>
      <c r="E501" s="101"/>
      <c r="F501" s="101"/>
      <c r="G501" s="100" t="str">
        <f>IFERROR(VLOOKUP(Tablo520[[#This Row],[ÜRÜN KODU]],YMKODLARI!$A$1:$K$373,3,0)," ")</f>
        <v xml:space="preserve"> </v>
      </c>
      <c r="H501" s="100" t="str">
        <f>IFERROR(VLOOKUP(Tablo520[[#This Row],[ÜRÜN KODU]],YMKODLARI!$A$1:$K$373,4,0)," ")</f>
        <v xml:space="preserve"> </v>
      </c>
      <c r="I501" s="100"/>
      <c r="J501" s="100" t="str">
        <f>IFERROR(VLOOKUP(Tablo520[[#This Row],[ÜRÜN KODU]],YMKODLARI!$A$1:$K$373,9,0)," ")</f>
        <v xml:space="preserve"> </v>
      </c>
      <c r="K501" s="100" t="str">
        <f>IFERROR(VLOOKUP(Tablo520[[#This Row],[BOYA KODU]],Tablo14[#All],4,0)," ")</f>
        <v xml:space="preserve"> </v>
      </c>
      <c r="L501" s="100" t="str">
        <f>IFERROR(VLOOKUP(Tablo520[[#This Row],[BOYA KODU]],Tablo14[#All],6,0)," ")</f>
        <v xml:space="preserve"> </v>
      </c>
      <c r="M501" s="100" t="str">
        <f t="shared" si="49"/>
        <v xml:space="preserve"> </v>
      </c>
      <c r="N501" s="100" t="str">
        <f>IFERROR(VLOOKUP(Tablo520[[#This Row],[ÜRÜN KODU]],YMKODLARI!$A$1:$K$373,8,0)," ")</f>
        <v xml:space="preserve"> </v>
      </c>
      <c r="O501" s="100" t="str">
        <f>IFERROR(VLOOKUP(Tablo520[[#This Row],[HAMMADDE KODU]],Tablo1[#All],3,0)," ")</f>
        <v xml:space="preserve"> </v>
      </c>
      <c r="P501" s="100" t="str">
        <f>IFERROR(VLOOKUP(Tablo520[[#This Row],[HAMMADDE KODU]],Tablo1[#All],4,0)," ")</f>
        <v xml:space="preserve"> </v>
      </c>
      <c r="Q501" s="100" t="str">
        <f>IFERROR(VLOOKUP(Tablo520[[#This Row],[ÜRÜN KODU]],YMKODLARI!$A$1:$K$373,5,0)," ")</f>
        <v xml:space="preserve"> </v>
      </c>
      <c r="R501" s="100" t="str">
        <f>IFERROR(VLOOKUP(Tablo520[[#This Row],[ÜRÜN KODU]],YMKODLARI!$A$1:$K$373,6,0)," ")</f>
        <v xml:space="preserve"> </v>
      </c>
      <c r="S501" s="100" t="str">
        <f>IFERROR(Tablo520[[#This Row],[YOLLUK HARİÇ BASKI GRAMI]]/Tablo520[[#This Row],[KALIP GÖZ ADEDİ]]," ")</f>
        <v xml:space="preserve"> </v>
      </c>
      <c r="T501" s="100" t="str">
        <f t="shared" si="51"/>
        <v xml:space="preserve"> </v>
      </c>
      <c r="U501" s="100"/>
      <c r="V501" s="100" t="str">
        <f t="shared" si="50"/>
        <v xml:space="preserve"> </v>
      </c>
      <c r="W501" s="101">
        <f t="shared" si="52"/>
        <v>24</v>
      </c>
      <c r="X501" s="102">
        <f t="shared" si="53"/>
        <v>0</v>
      </c>
      <c r="Y501" s="100" t="str">
        <f t="shared" si="54"/>
        <v xml:space="preserve"> </v>
      </c>
      <c r="Z501" s="100" t="str">
        <f t="shared" si="55"/>
        <v xml:space="preserve"> </v>
      </c>
    </row>
    <row r="502" spans="1:26">
      <c r="A502" s="100"/>
      <c r="B502" s="100" t="str">
        <f>IFERROR(VLOOKUP(Tablo520[[#This Row],[ÜRÜN KODU]],YMKODLARI!$A$1:$K$373,2,0)," ")</f>
        <v xml:space="preserve"> </v>
      </c>
      <c r="C502" s="99"/>
      <c r="D502" s="100"/>
      <c r="E502" s="101"/>
      <c r="F502" s="101"/>
      <c r="G502" s="100" t="str">
        <f>IFERROR(VLOOKUP(Tablo520[[#This Row],[ÜRÜN KODU]],YMKODLARI!$A$1:$K$373,3,0)," ")</f>
        <v xml:space="preserve"> </v>
      </c>
      <c r="H502" s="100" t="str">
        <f>IFERROR(VLOOKUP(Tablo520[[#This Row],[ÜRÜN KODU]],YMKODLARI!$A$1:$K$373,4,0)," ")</f>
        <v xml:space="preserve"> </v>
      </c>
      <c r="I502" s="100"/>
      <c r="J502" s="100" t="str">
        <f>IFERROR(VLOOKUP(Tablo520[[#This Row],[ÜRÜN KODU]],YMKODLARI!$A$1:$K$373,9,0)," ")</f>
        <v xml:space="preserve"> </v>
      </c>
      <c r="K502" s="100" t="str">
        <f>IFERROR(VLOOKUP(Tablo520[[#This Row],[BOYA KODU]],Tablo14[#All],4,0)," ")</f>
        <v xml:space="preserve"> </v>
      </c>
      <c r="L502" s="100" t="str">
        <f>IFERROR(VLOOKUP(Tablo520[[#This Row],[BOYA KODU]],Tablo14[#All],6,0)," ")</f>
        <v xml:space="preserve"> </v>
      </c>
      <c r="M502" s="100" t="str">
        <f t="shared" si="49"/>
        <v xml:space="preserve"> </v>
      </c>
      <c r="N502" s="100" t="str">
        <f>IFERROR(VLOOKUP(Tablo520[[#This Row],[ÜRÜN KODU]],YMKODLARI!$A$1:$K$373,8,0)," ")</f>
        <v xml:space="preserve"> </v>
      </c>
      <c r="O502" s="100" t="str">
        <f>IFERROR(VLOOKUP(Tablo520[[#This Row],[HAMMADDE KODU]],Tablo1[#All],3,0)," ")</f>
        <v xml:space="preserve"> </v>
      </c>
      <c r="P502" s="100" t="str">
        <f>IFERROR(VLOOKUP(Tablo520[[#This Row],[HAMMADDE KODU]],Tablo1[#All],4,0)," ")</f>
        <v xml:space="preserve"> </v>
      </c>
      <c r="Q502" s="100" t="str">
        <f>IFERROR(VLOOKUP(Tablo520[[#This Row],[ÜRÜN KODU]],YMKODLARI!$A$1:$K$373,5,0)," ")</f>
        <v xml:space="preserve"> </v>
      </c>
      <c r="R502" s="100" t="str">
        <f>IFERROR(VLOOKUP(Tablo520[[#This Row],[ÜRÜN KODU]],YMKODLARI!$A$1:$K$373,6,0)," ")</f>
        <v xml:space="preserve"> </v>
      </c>
      <c r="S502" s="100" t="str">
        <f>IFERROR(Tablo520[[#This Row],[YOLLUK HARİÇ BASKI GRAMI]]/Tablo520[[#This Row],[KALIP GÖZ ADEDİ]]," ")</f>
        <v xml:space="preserve"> </v>
      </c>
      <c r="T502" s="100" t="str">
        <f t="shared" si="51"/>
        <v xml:space="preserve"> </v>
      </c>
      <c r="U502" s="100"/>
      <c r="V502" s="100" t="str">
        <f t="shared" si="50"/>
        <v xml:space="preserve"> </v>
      </c>
      <c r="W502" s="101">
        <f t="shared" si="52"/>
        <v>24</v>
      </c>
      <c r="X502" s="102">
        <f t="shared" si="53"/>
        <v>0</v>
      </c>
      <c r="Y502" s="100" t="str">
        <f t="shared" si="54"/>
        <v xml:space="preserve"> </v>
      </c>
      <c r="Z502" s="100" t="str">
        <f t="shared" si="55"/>
        <v xml:space="preserve"> </v>
      </c>
    </row>
    <row r="503" spans="1:26">
      <c r="A503" s="100"/>
      <c r="B503" s="100" t="str">
        <f>IFERROR(VLOOKUP(Tablo520[[#This Row],[ÜRÜN KODU]],YMKODLARI!$A$1:$K$373,2,0)," ")</f>
        <v xml:space="preserve"> </v>
      </c>
      <c r="C503" s="99"/>
      <c r="D503" s="100"/>
      <c r="E503" s="101"/>
      <c r="F503" s="101"/>
      <c r="G503" s="100" t="str">
        <f>IFERROR(VLOOKUP(Tablo520[[#This Row],[ÜRÜN KODU]],YMKODLARI!$A$1:$K$373,3,0)," ")</f>
        <v xml:space="preserve"> </v>
      </c>
      <c r="H503" s="100" t="str">
        <f>IFERROR(VLOOKUP(Tablo520[[#This Row],[ÜRÜN KODU]],YMKODLARI!$A$1:$K$373,4,0)," ")</f>
        <v xml:space="preserve"> </v>
      </c>
      <c r="I503" s="100"/>
      <c r="J503" s="100" t="str">
        <f>IFERROR(VLOOKUP(Tablo520[[#This Row],[ÜRÜN KODU]],YMKODLARI!$A$1:$K$373,9,0)," ")</f>
        <v xml:space="preserve"> </v>
      </c>
      <c r="K503" s="100" t="str">
        <f>IFERROR(VLOOKUP(Tablo520[[#This Row],[BOYA KODU]],Tablo14[#All],4,0)," ")</f>
        <v xml:space="preserve"> </v>
      </c>
      <c r="L503" s="100" t="str">
        <f>IFERROR(VLOOKUP(Tablo520[[#This Row],[BOYA KODU]],Tablo14[#All],6,0)," ")</f>
        <v xml:space="preserve"> </v>
      </c>
      <c r="M503" s="100" t="str">
        <f t="shared" si="49"/>
        <v xml:space="preserve"> </v>
      </c>
      <c r="N503" s="100" t="str">
        <f>IFERROR(VLOOKUP(Tablo520[[#This Row],[ÜRÜN KODU]],YMKODLARI!$A$1:$K$373,8,0)," ")</f>
        <v xml:space="preserve"> </v>
      </c>
      <c r="O503" s="100" t="str">
        <f>IFERROR(VLOOKUP(Tablo520[[#This Row],[HAMMADDE KODU]],Tablo1[#All],3,0)," ")</f>
        <v xml:space="preserve"> </v>
      </c>
      <c r="P503" s="100" t="str">
        <f>IFERROR(VLOOKUP(Tablo520[[#This Row],[HAMMADDE KODU]],Tablo1[#All],4,0)," ")</f>
        <v xml:space="preserve"> </v>
      </c>
      <c r="Q503" s="100" t="str">
        <f>IFERROR(VLOOKUP(Tablo520[[#This Row],[ÜRÜN KODU]],YMKODLARI!$A$1:$K$373,5,0)," ")</f>
        <v xml:space="preserve"> </v>
      </c>
      <c r="R503" s="100" t="str">
        <f>IFERROR(VLOOKUP(Tablo520[[#This Row],[ÜRÜN KODU]],YMKODLARI!$A$1:$K$373,6,0)," ")</f>
        <v xml:space="preserve"> </v>
      </c>
      <c r="S503" s="100" t="str">
        <f>IFERROR(Tablo520[[#This Row],[YOLLUK HARİÇ BASKI GRAMI]]/Tablo520[[#This Row],[KALIP GÖZ ADEDİ]]," ")</f>
        <v xml:space="preserve"> </v>
      </c>
      <c r="T503" s="100" t="str">
        <f t="shared" si="51"/>
        <v xml:space="preserve"> </v>
      </c>
      <c r="U503" s="100"/>
      <c r="V503" s="100" t="str">
        <f t="shared" si="50"/>
        <v xml:space="preserve"> </v>
      </c>
      <c r="W503" s="101">
        <f t="shared" si="52"/>
        <v>24</v>
      </c>
      <c r="X503" s="102">
        <f t="shared" si="53"/>
        <v>0</v>
      </c>
      <c r="Y503" s="100" t="str">
        <f t="shared" si="54"/>
        <v xml:space="preserve"> </v>
      </c>
      <c r="Z503" s="100" t="str">
        <f t="shared" si="55"/>
        <v xml:space="preserve"> </v>
      </c>
    </row>
    <row r="504" spans="1:26">
      <c r="A504" s="100"/>
      <c r="B504" s="100" t="str">
        <f>IFERROR(VLOOKUP(Tablo520[[#This Row],[ÜRÜN KODU]],YMKODLARI!$A$1:$K$373,2,0)," ")</f>
        <v xml:space="preserve"> </v>
      </c>
      <c r="C504" s="99"/>
      <c r="D504" s="100"/>
      <c r="E504" s="101"/>
      <c r="F504" s="101"/>
      <c r="G504" s="100" t="str">
        <f>IFERROR(VLOOKUP(Tablo520[[#This Row],[ÜRÜN KODU]],YMKODLARI!$A$1:$K$373,3,0)," ")</f>
        <v xml:space="preserve"> </v>
      </c>
      <c r="H504" s="100" t="str">
        <f>IFERROR(VLOOKUP(Tablo520[[#This Row],[ÜRÜN KODU]],YMKODLARI!$A$1:$K$373,4,0)," ")</f>
        <v xml:space="preserve"> </v>
      </c>
      <c r="I504" s="100"/>
      <c r="J504" s="100" t="str">
        <f>IFERROR(VLOOKUP(Tablo520[[#This Row],[ÜRÜN KODU]],YMKODLARI!$A$1:$K$373,9,0)," ")</f>
        <v xml:space="preserve"> </v>
      </c>
      <c r="K504" s="100" t="str">
        <f>IFERROR(VLOOKUP(Tablo520[[#This Row],[BOYA KODU]],Tablo14[#All],4,0)," ")</f>
        <v xml:space="preserve"> </v>
      </c>
      <c r="L504" s="100" t="str">
        <f>IFERROR(VLOOKUP(Tablo520[[#This Row],[BOYA KODU]],Tablo14[#All],6,0)," ")</f>
        <v xml:space="preserve"> </v>
      </c>
      <c r="M504" s="100" t="str">
        <f t="shared" si="49"/>
        <v xml:space="preserve"> </v>
      </c>
      <c r="N504" s="100" t="str">
        <f>IFERROR(VLOOKUP(Tablo520[[#This Row],[ÜRÜN KODU]],YMKODLARI!$A$1:$K$373,8,0)," ")</f>
        <v xml:space="preserve"> </v>
      </c>
      <c r="O504" s="100" t="str">
        <f>IFERROR(VLOOKUP(Tablo520[[#This Row],[HAMMADDE KODU]],Tablo1[#All],3,0)," ")</f>
        <v xml:space="preserve"> </v>
      </c>
      <c r="P504" s="100" t="str">
        <f>IFERROR(VLOOKUP(Tablo520[[#This Row],[HAMMADDE KODU]],Tablo1[#All],4,0)," ")</f>
        <v xml:space="preserve"> </v>
      </c>
      <c r="Q504" s="100" t="str">
        <f>IFERROR(VLOOKUP(Tablo520[[#This Row],[ÜRÜN KODU]],YMKODLARI!$A$1:$K$373,5,0)," ")</f>
        <v xml:space="preserve"> </v>
      </c>
      <c r="R504" s="100" t="str">
        <f>IFERROR(VLOOKUP(Tablo520[[#This Row],[ÜRÜN KODU]],YMKODLARI!$A$1:$K$373,6,0)," ")</f>
        <v xml:space="preserve"> </v>
      </c>
      <c r="S504" s="100" t="str">
        <f>IFERROR(Tablo520[[#This Row],[YOLLUK HARİÇ BASKI GRAMI]]/Tablo520[[#This Row],[KALIP GÖZ ADEDİ]]," ")</f>
        <v xml:space="preserve"> </v>
      </c>
      <c r="T504" s="100" t="str">
        <f t="shared" si="51"/>
        <v xml:space="preserve"> </v>
      </c>
      <c r="U504" s="100"/>
      <c r="V504" s="100" t="str">
        <f t="shared" si="50"/>
        <v xml:space="preserve"> </v>
      </c>
      <c r="W504" s="101">
        <f t="shared" si="52"/>
        <v>24</v>
      </c>
      <c r="X504" s="102">
        <f t="shared" si="53"/>
        <v>0</v>
      </c>
      <c r="Y504" s="100" t="str">
        <f t="shared" si="54"/>
        <v xml:space="preserve"> </v>
      </c>
      <c r="Z504" s="100" t="str">
        <f t="shared" si="55"/>
        <v xml:space="preserve"> </v>
      </c>
    </row>
    <row r="505" spans="1:26">
      <c r="A505" s="100"/>
      <c r="B505" s="100" t="str">
        <f>IFERROR(VLOOKUP(Tablo520[[#This Row],[ÜRÜN KODU]],YMKODLARI!$A$1:$K$373,2,0)," ")</f>
        <v xml:space="preserve"> </v>
      </c>
      <c r="C505" s="99"/>
      <c r="D505" s="100"/>
      <c r="E505" s="101"/>
      <c r="F505" s="101"/>
      <c r="G505" s="100" t="str">
        <f>IFERROR(VLOOKUP(Tablo520[[#This Row],[ÜRÜN KODU]],YMKODLARI!$A$1:$K$373,3,0)," ")</f>
        <v xml:space="preserve"> </v>
      </c>
      <c r="H505" s="100" t="str">
        <f>IFERROR(VLOOKUP(Tablo520[[#This Row],[ÜRÜN KODU]],YMKODLARI!$A$1:$K$373,4,0)," ")</f>
        <v xml:space="preserve"> </v>
      </c>
      <c r="I505" s="100"/>
      <c r="J505" s="100" t="str">
        <f>IFERROR(VLOOKUP(Tablo520[[#This Row],[ÜRÜN KODU]],YMKODLARI!$A$1:$K$373,9,0)," ")</f>
        <v xml:space="preserve"> </v>
      </c>
      <c r="K505" s="100" t="str">
        <f>IFERROR(VLOOKUP(Tablo520[[#This Row],[BOYA KODU]],Tablo14[#All],4,0)," ")</f>
        <v xml:space="preserve"> </v>
      </c>
      <c r="L505" s="100" t="str">
        <f>IFERROR(VLOOKUP(Tablo520[[#This Row],[BOYA KODU]],Tablo14[#All],6,0)," ")</f>
        <v xml:space="preserve"> </v>
      </c>
      <c r="M505" s="100" t="str">
        <f t="shared" si="49"/>
        <v xml:space="preserve"> </v>
      </c>
      <c r="N505" s="100" t="str">
        <f>IFERROR(VLOOKUP(Tablo520[[#This Row],[ÜRÜN KODU]],YMKODLARI!$A$1:$K$373,8,0)," ")</f>
        <v xml:space="preserve"> </v>
      </c>
      <c r="O505" s="100" t="str">
        <f>IFERROR(VLOOKUP(Tablo520[[#This Row],[HAMMADDE KODU]],Tablo1[#All],3,0)," ")</f>
        <v xml:space="preserve"> </v>
      </c>
      <c r="P505" s="100" t="str">
        <f>IFERROR(VLOOKUP(Tablo520[[#This Row],[HAMMADDE KODU]],Tablo1[#All],4,0)," ")</f>
        <v xml:space="preserve"> </v>
      </c>
      <c r="Q505" s="100" t="str">
        <f>IFERROR(VLOOKUP(Tablo520[[#This Row],[ÜRÜN KODU]],YMKODLARI!$A$1:$K$373,5,0)," ")</f>
        <v xml:space="preserve"> </v>
      </c>
      <c r="R505" s="100" t="str">
        <f>IFERROR(VLOOKUP(Tablo520[[#This Row],[ÜRÜN KODU]],YMKODLARI!$A$1:$K$373,6,0)," ")</f>
        <v xml:space="preserve"> </v>
      </c>
      <c r="S505" s="100" t="str">
        <f>IFERROR(Tablo520[[#This Row],[YOLLUK HARİÇ BASKI GRAMI]]/Tablo520[[#This Row],[KALIP GÖZ ADEDİ]]," ")</f>
        <v xml:space="preserve"> </v>
      </c>
      <c r="T505" s="100" t="str">
        <f t="shared" si="51"/>
        <v xml:space="preserve"> </v>
      </c>
      <c r="U505" s="100"/>
      <c r="V505" s="100" t="str">
        <f t="shared" si="50"/>
        <v xml:space="preserve"> </v>
      </c>
      <c r="W505" s="101">
        <f t="shared" si="52"/>
        <v>24</v>
      </c>
      <c r="X505" s="102">
        <f t="shared" si="53"/>
        <v>0</v>
      </c>
      <c r="Y505" s="100" t="str">
        <f t="shared" si="54"/>
        <v xml:space="preserve"> </v>
      </c>
      <c r="Z505" s="100" t="str">
        <f t="shared" si="55"/>
        <v xml:space="preserve"> </v>
      </c>
    </row>
    <row r="506" spans="1:26">
      <c r="A506" s="100"/>
      <c r="B506" s="100" t="str">
        <f>IFERROR(VLOOKUP(Tablo520[[#This Row],[ÜRÜN KODU]],YMKODLARI!$A$1:$K$373,2,0)," ")</f>
        <v xml:space="preserve"> </v>
      </c>
      <c r="C506" s="99"/>
      <c r="D506" s="100"/>
      <c r="E506" s="101"/>
      <c r="F506" s="101"/>
      <c r="G506" s="100" t="str">
        <f>IFERROR(VLOOKUP(Tablo520[[#This Row],[ÜRÜN KODU]],YMKODLARI!$A$1:$K$373,3,0)," ")</f>
        <v xml:space="preserve"> </v>
      </c>
      <c r="H506" s="100" t="str">
        <f>IFERROR(VLOOKUP(Tablo520[[#This Row],[ÜRÜN KODU]],YMKODLARI!$A$1:$K$373,4,0)," ")</f>
        <v xml:space="preserve"> </v>
      </c>
      <c r="I506" s="100"/>
      <c r="J506" s="100" t="str">
        <f>IFERROR(VLOOKUP(Tablo520[[#This Row],[ÜRÜN KODU]],YMKODLARI!$A$1:$K$373,9,0)," ")</f>
        <v xml:space="preserve"> </v>
      </c>
      <c r="K506" s="100" t="str">
        <f>IFERROR(VLOOKUP(Tablo520[[#This Row],[BOYA KODU]],Tablo14[#All],4,0)," ")</f>
        <v xml:space="preserve"> </v>
      </c>
      <c r="L506" s="100" t="str">
        <f>IFERROR(VLOOKUP(Tablo520[[#This Row],[BOYA KODU]],Tablo14[#All],6,0)," ")</f>
        <v xml:space="preserve"> </v>
      </c>
      <c r="M506" s="100" t="str">
        <f t="shared" si="49"/>
        <v xml:space="preserve"> </v>
      </c>
      <c r="N506" s="100" t="str">
        <f>IFERROR(VLOOKUP(Tablo520[[#This Row],[ÜRÜN KODU]],YMKODLARI!$A$1:$K$373,8,0)," ")</f>
        <v xml:space="preserve"> </v>
      </c>
      <c r="O506" s="100" t="str">
        <f>IFERROR(VLOOKUP(Tablo520[[#This Row],[HAMMADDE KODU]],Tablo1[#All],3,0)," ")</f>
        <v xml:space="preserve"> </v>
      </c>
      <c r="P506" s="100" t="str">
        <f>IFERROR(VLOOKUP(Tablo520[[#This Row],[HAMMADDE KODU]],Tablo1[#All],4,0)," ")</f>
        <v xml:space="preserve"> </v>
      </c>
      <c r="Q506" s="100" t="str">
        <f>IFERROR(VLOOKUP(Tablo520[[#This Row],[ÜRÜN KODU]],YMKODLARI!$A$1:$K$373,5,0)," ")</f>
        <v xml:space="preserve"> </v>
      </c>
      <c r="R506" s="100" t="str">
        <f>IFERROR(VLOOKUP(Tablo520[[#This Row],[ÜRÜN KODU]],YMKODLARI!$A$1:$K$373,6,0)," ")</f>
        <v xml:space="preserve"> </v>
      </c>
      <c r="S506" s="100" t="str">
        <f>IFERROR(Tablo520[[#This Row],[YOLLUK HARİÇ BASKI GRAMI]]/Tablo520[[#This Row],[KALIP GÖZ ADEDİ]]," ")</f>
        <v xml:space="preserve"> </v>
      </c>
      <c r="T506" s="100" t="str">
        <f t="shared" si="51"/>
        <v xml:space="preserve"> </v>
      </c>
      <c r="U506" s="100"/>
      <c r="V506" s="100" t="str">
        <f t="shared" si="50"/>
        <v xml:space="preserve"> </v>
      </c>
      <c r="W506" s="101">
        <f t="shared" si="52"/>
        <v>24</v>
      </c>
      <c r="X506" s="102">
        <f t="shared" si="53"/>
        <v>0</v>
      </c>
      <c r="Y506" s="100" t="str">
        <f t="shared" si="54"/>
        <v xml:space="preserve"> </v>
      </c>
      <c r="Z506" s="100" t="str">
        <f t="shared" si="55"/>
        <v xml:space="preserve"> </v>
      </c>
    </row>
    <row r="507" spans="1:26">
      <c r="A507" s="100"/>
      <c r="B507" s="100" t="str">
        <f>IFERROR(VLOOKUP(Tablo520[[#This Row],[ÜRÜN KODU]],YMKODLARI!$A$1:$K$373,2,0)," ")</f>
        <v xml:space="preserve"> </v>
      </c>
      <c r="C507" s="99"/>
      <c r="D507" s="100"/>
      <c r="E507" s="101"/>
      <c r="F507" s="101"/>
      <c r="G507" s="100" t="str">
        <f>IFERROR(VLOOKUP(Tablo520[[#This Row],[ÜRÜN KODU]],YMKODLARI!$A$1:$K$373,3,0)," ")</f>
        <v xml:space="preserve"> </v>
      </c>
      <c r="H507" s="100" t="str">
        <f>IFERROR(VLOOKUP(Tablo520[[#This Row],[ÜRÜN KODU]],YMKODLARI!$A$1:$K$373,4,0)," ")</f>
        <v xml:space="preserve"> </v>
      </c>
      <c r="I507" s="100"/>
      <c r="J507" s="100" t="str">
        <f>IFERROR(VLOOKUP(Tablo520[[#This Row],[ÜRÜN KODU]],YMKODLARI!$A$1:$K$373,9,0)," ")</f>
        <v xml:space="preserve"> </v>
      </c>
      <c r="K507" s="100" t="str">
        <f>IFERROR(VLOOKUP(Tablo520[[#This Row],[BOYA KODU]],Tablo14[#All],4,0)," ")</f>
        <v xml:space="preserve"> </v>
      </c>
      <c r="L507" s="100" t="str">
        <f>IFERROR(VLOOKUP(Tablo520[[#This Row],[BOYA KODU]],Tablo14[#All],6,0)," ")</f>
        <v xml:space="preserve"> </v>
      </c>
      <c r="M507" s="100" t="str">
        <f t="shared" si="49"/>
        <v xml:space="preserve"> </v>
      </c>
      <c r="N507" s="100" t="str">
        <f>IFERROR(VLOOKUP(Tablo520[[#This Row],[ÜRÜN KODU]],YMKODLARI!$A$1:$K$373,8,0)," ")</f>
        <v xml:space="preserve"> </v>
      </c>
      <c r="O507" s="100" t="str">
        <f>IFERROR(VLOOKUP(Tablo520[[#This Row],[HAMMADDE KODU]],Tablo1[#All],3,0)," ")</f>
        <v xml:space="preserve"> </v>
      </c>
      <c r="P507" s="100" t="str">
        <f>IFERROR(VLOOKUP(Tablo520[[#This Row],[HAMMADDE KODU]],Tablo1[#All],4,0)," ")</f>
        <v xml:space="preserve"> </v>
      </c>
      <c r="Q507" s="100" t="str">
        <f>IFERROR(VLOOKUP(Tablo520[[#This Row],[ÜRÜN KODU]],YMKODLARI!$A$1:$K$373,5,0)," ")</f>
        <v xml:space="preserve"> </v>
      </c>
      <c r="R507" s="100" t="str">
        <f>IFERROR(VLOOKUP(Tablo520[[#This Row],[ÜRÜN KODU]],YMKODLARI!$A$1:$K$373,6,0)," ")</f>
        <v xml:space="preserve"> </v>
      </c>
      <c r="S507" s="100" t="str">
        <f>IFERROR(Tablo520[[#This Row],[YOLLUK HARİÇ BASKI GRAMI]]/Tablo520[[#This Row],[KALIP GÖZ ADEDİ]]," ")</f>
        <v xml:space="preserve"> </v>
      </c>
      <c r="T507" s="100" t="str">
        <f t="shared" si="51"/>
        <v xml:space="preserve"> </v>
      </c>
      <c r="U507" s="100"/>
      <c r="V507" s="100" t="str">
        <f t="shared" si="50"/>
        <v xml:space="preserve"> </v>
      </c>
      <c r="W507" s="101">
        <f t="shared" si="52"/>
        <v>24</v>
      </c>
      <c r="X507" s="102">
        <f t="shared" si="53"/>
        <v>0</v>
      </c>
      <c r="Y507" s="100" t="str">
        <f t="shared" si="54"/>
        <v xml:space="preserve"> </v>
      </c>
      <c r="Z507" s="100" t="str">
        <f t="shared" si="55"/>
        <v xml:space="preserve"> </v>
      </c>
    </row>
    <row r="508" spans="1:26">
      <c r="A508" s="100"/>
      <c r="B508" s="100" t="str">
        <f>IFERROR(VLOOKUP(Tablo520[[#This Row],[ÜRÜN KODU]],YMKODLARI!$A$1:$K$373,2,0)," ")</f>
        <v xml:space="preserve"> </v>
      </c>
      <c r="C508" s="99"/>
      <c r="D508" s="100"/>
      <c r="E508" s="101"/>
      <c r="F508" s="101"/>
      <c r="G508" s="100" t="str">
        <f>IFERROR(VLOOKUP(Tablo520[[#This Row],[ÜRÜN KODU]],YMKODLARI!$A$1:$K$373,3,0)," ")</f>
        <v xml:space="preserve"> </v>
      </c>
      <c r="H508" s="100" t="str">
        <f>IFERROR(VLOOKUP(Tablo520[[#This Row],[ÜRÜN KODU]],YMKODLARI!$A$1:$K$373,4,0)," ")</f>
        <v xml:space="preserve"> </v>
      </c>
      <c r="I508" s="100"/>
      <c r="J508" s="100" t="str">
        <f>IFERROR(VLOOKUP(Tablo520[[#This Row],[ÜRÜN KODU]],YMKODLARI!$A$1:$K$373,9,0)," ")</f>
        <v xml:space="preserve"> </v>
      </c>
      <c r="K508" s="100" t="str">
        <f>IFERROR(VLOOKUP(Tablo520[[#This Row],[BOYA KODU]],Tablo14[#All],4,0)," ")</f>
        <v xml:space="preserve"> </v>
      </c>
      <c r="L508" s="100" t="str">
        <f>IFERROR(VLOOKUP(Tablo520[[#This Row],[BOYA KODU]],Tablo14[#All],6,0)," ")</f>
        <v xml:space="preserve"> </v>
      </c>
      <c r="M508" s="100" t="str">
        <f t="shared" si="49"/>
        <v xml:space="preserve"> </v>
      </c>
      <c r="N508" s="100" t="str">
        <f>IFERROR(VLOOKUP(Tablo520[[#This Row],[ÜRÜN KODU]],YMKODLARI!$A$1:$K$373,8,0)," ")</f>
        <v xml:space="preserve"> </v>
      </c>
      <c r="O508" s="100" t="str">
        <f>IFERROR(VLOOKUP(Tablo520[[#This Row],[HAMMADDE KODU]],Tablo1[#All],3,0)," ")</f>
        <v xml:space="preserve"> </v>
      </c>
      <c r="P508" s="100" t="str">
        <f>IFERROR(VLOOKUP(Tablo520[[#This Row],[HAMMADDE KODU]],Tablo1[#All],4,0)," ")</f>
        <v xml:space="preserve"> </v>
      </c>
      <c r="Q508" s="100" t="str">
        <f>IFERROR(VLOOKUP(Tablo520[[#This Row],[ÜRÜN KODU]],YMKODLARI!$A$1:$K$373,5,0)," ")</f>
        <v xml:space="preserve"> </v>
      </c>
      <c r="R508" s="100" t="str">
        <f>IFERROR(VLOOKUP(Tablo520[[#This Row],[ÜRÜN KODU]],YMKODLARI!$A$1:$K$373,6,0)," ")</f>
        <v xml:space="preserve"> </v>
      </c>
      <c r="S508" s="100" t="str">
        <f>IFERROR(Tablo520[[#This Row],[YOLLUK HARİÇ BASKI GRAMI]]/Tablo520[[#This Row],[KALIP GÖZ ADEDİ]]," ")</f>
        <v xml:space="preserve"> </v>
      </c>
      <c r="T508" s="100" t="str">
        <f t="shared" si="51"/>
        <v xml:space="preserve"> </v>
      </c>
      <c r="U508" s="100"/>
      <c r="V508" s="100" t="str">
        <f t="shared" si="50"/>
        <v xml:space="preserve"> </v>
      </c>
      <c r="W508" s="101">
        <f t="shared" si="52"/>
        <v>24</v>
      </c>
      <c r="X508" s="102">
        <f t="shared" si="53"/>
        <v>0</v>
      </c>
      <c r="Y508" s="100" t="str">
        <f t="shared" si="54"/>
        <v xml:space="preserve"> </v>
      </c>
      <c r="Z508" s="100" t="str">
        <f t="shared" si="55"/>
        <v xml:space="preserve"> </v>
      </c>
    </row>
    <row r="509" spans="1:26">
      <c r="A509" s="100"/>
      <c r="B509" s="100" t="str">
        <f>IFERROR(VLOOKUP(Tablo520[[#This Row],[ÜRÜN KODU]],YMKODLARI!$A$1:$K$373,2,0)," ")</f>
        <v xml:space="preserve"> </v>
      </c>
      <c r="C509" s="99"/>
      <c r="D509" s="100"/>
      <c r="E509" s="101"/>
      <c r="F509" s="101"/>
      <c r="G509" s="100" t="str">
        <f>IFERROR(VLOOKUP(Tablo520[[#This Row],[ÜRÜN KODU]],YMKODLARI!$A$1:$K$373,3,0)," ")</f>
        <v xml:space="preserve"> </v>
      </c>
      <c r="H509" s="100" t="str">
        <f>IFERROR(VLOOKUP(Tablo520[[#This Row],[ÜRÜN KODU]],YMKODLARI!$A$1:$K$373,4,0)," ")</f>
        <v xml:space="preserve"> </v>
      </c>
      <c r="I509" s="100"/>
      <c r="J509" s="100" t="str">
        <f>IFERROR(VLOOKUP(Tablo520[[#This Row],[ÜRÜN KODU]],YMKODLARI!$A$1:$K$373,9,0)," ")</f>
        <v xml:space="preserve"> </v>
      </c>
      <c r="K509" s="100" t="str">
        <f>IFERROR(VLOOKUP(Tablo520[[#This Row],[BOYA KODU]],Tablo14[#All],4,0)," ")</f>
        <v xml:space="preserve"> </v>
      </c>
      <c r="L509" s="100" t="str">
        <f>IFERROR(VLOOKUP(Tablo520[[#This Row],[BOYA KODU]],Tablo14[#All],6,0)," ")</f>
        <v xml:space="preserve"> </v>
      </c>
      <c r="M509" s="100" t="str">
        <f t="shared" si="49"/>
        <v xml:space="preserve"> </v>
      </c>
      <c r="N509" s="100" t="str">
        <f>IFERROR(VLOOKUP(Tablo520[[#This Row],[ÜRÜN KODU]],YMKODLARI!$A$1:$K$373,8,0)," ")</f>
        <v xml:space="preserve"> </v>
      </c>
      <c r="O509" s="100" t="str">
        <f>IFERROR(VLOOKUP(Tablo520[[#This Row],[HAMMADDE KODU]],Tablo1[#All],3,0)," ")</f>
        <v xml:space="preserve"> </v>
      </c>
      <c r="P509" s="100" t="str">
        <f>IFERROR(VLOOKUP(Tablo520[[#This Row],[HAMMADDE KODU]],Tablo1[#All],4,0)," ")</f>
        <v xml:space="preserve"> </v>
      </c>
      <c r="Q509" s="100" t="str">
        <f>IFERROR(VLOOKUP(Tablo520[[#This Row],[ÜRÜN KODU]],YMKODLARI!$A$1:$K$373,5,0)," ")</f>
        <v xml:space="preserve"> </v>
      </c>
      <c r="R509" s="100" t="str">
        <f>IFERROR(VLOOKUP(Tablo520[[#This Row],[ÜRÜN KODU]],YMKODLARI!$A$1:$K$373,6,0)," ")</f>
        <v xml:space="preserve"> </v>
      </c>
      <c r="S509" s="100" t="str">
        <f>IFERROR(Tablo520[[#This Row],[YOLLUK HARİÇ BASKI GRAMI]]/Tablo520[[#This Row],[KALIP GÖZ ADEDİ]]," ")</f>
        <v xml:space="preserve"> </v>
      </c>
      <c r="T509" s="100" t="str">
        <f t="shared" si="51"/>
        <v xml:space="preserve"> </v>
      </c>
      <c r="U509" s="100"/>
      <c r="V509" s="100" t="str">
        <f t="shared" si="50"/>
        <v xml:space="preserve"> </v>
      </c>
      <c r="W509" s="101">
        <f t="shared" si="52"/>
        <v>24</v>
      </c>
      <c r="X509" s="102">
        <f t="shared" si="53"/>
        <v>0</v>
      </c>
      <c r="Y509" s="100" t="str">
        <f t="shared" si="54"/>
        <v xml:space="preserve"> </v>
      </c>
      <c r="Z509" s="100" t="str">
        <f t="shared" si="55"/>
        <v xml:space="preserve"> </v>
      </c>
    </row>
    <row r="510" spans="1:26">
      <c r="A510" s="100"/>
      <c r="B510" s="100" t="str">
        <f>IFERROR(VLOOKUP(Tablo520[[#This Row],[ÜRÜN KODU]],YMKODLARI!$A$1:$K$373,2,0)," ")</f>
        <v xml:space="preserve"> </v>
      </c>
      <c r="C510" s="99"/>
      <c r="D510" s="100"/>
      <c r="E510" s="101"/>
      <c r="F510" s="101"/>
      <c r="G510" s="100" t="str">
        <f>IFERROR(VLOOKUP(Tablo520[[#This Row],[ÜRÜN KODU]],YMKODLARI!$A$1:$K$373,3,0)," ")</f>
        <v xml:space="preserve"> </v>
      </c>
      <c r="H510" s="100" t="str">
        <f>IFERROR(VLOOKUP(Tablo520[[#This Row],[ÜRÜN KODU]],YMKODLARI!$A$1:$K$373,4,0)," ")</f>
        <v xml:space="preserve"> </v>
      </c>
      <c r="I510" s="100"/>
      <c r="J510" s="100" t="str">
        <f>IFERROR(VLOOKUP(Tablo520[[#This Row],[ÜRÜN KODU]],YMKODLARI!$A$1:$K$373,9,0)," ")</f>
        <v xml:space="preserve"> </v>
      </c>
      <c r="K510" s="100" t="str">
        <f>IFERROR(VLOOKUP(Tablo520[[#This Row],[BOYA KODU]],Tablo14[#All],4,0)," ")</f>
        <v xml:space="preserve"> </v>
      </c>
      <c r="L510" s="100" t="str">
        <f>IFERROR(VLOOKUP(Tablo520[[#This Row],[BOYA KODU]],Tablo14[#All],6,0)," ")</f>
        <v xml:space="preserve"> </v>
      </c>
      <c r="M510" s="100" t="str">
        <f t="shared" si="49"/>
        <v xml:space="preserve"> </v>
      </c>
      <c r="N510" s="100" t="str">
        <f>IFERROR(VLOOKUP(Tablo520[[#This Row],[ÜRÜN KODU]],YMKODLARI!$A$1:$K$373,8,0)," ")</f>
        <v xml:space="preserve"> </v>
      </c>
      <c r="O510" s="100" t="str">
        <f>IFERROR(VLOOKUP(Tablo520[[#This Row],[HAMMADDE KODU]],Tablo1[#All],3,0)," ")</f>
        <v xml:space="preserve"> </v>
      </c>
      <c r="P510" s="100" t="str">
        <f>IFERROR(VLOOKUP(Tablo520[[#This Row],[HAMMADDE KODU]],Tablo1[#All],4,0)," ")</f>
        <v xml:space="preserve"> </v>
      </c>
      <c r="Q510" s="100" t="str">
        <f>IFERROR(VLOOKUP(Tablo520[[#This Row],[ÜRÜN KODU]],YMKODLARI!$A$1:$K$373,5,0)," ")</f>
        <v xml:space="preserve"> </v>
      </c>
      <c r="R510" s="100" t="str">
        <f>IFERROR(VLOOKUP(Tablo520[[#This Row],[ÜRÜN KODU]],YMKODLARI!$A$1:$K$373,6,0)," ")</f>
        <v xml:space="preserve"> </v>
      </c>
      <c r="S510" s="100" t="str">
        <f>IFERROR(Tablo520[[#This Row],[YOLLUK HARİÇ BASKI GRAMI]]/Tablo520[[#This Row],[KALIP GÖZ ADEDİ]]," ")</f>
        <v xml:space="preserve"> </v>
      </c>
      <c r="T510" s="100" t="str">
        <f t="shared" si="51"/>
        <v xml:space="preserve"> </v>
      </c>
      <c r="U510" s="100"/>
      <c r="V510" s="100" t="str">
        <f t="shared" si="50"/>
        <v xml:space="preserve"> </v>
      </c>
      <c r="W510" s="101">
        <f t="shared" si="52"/>
        <v>24</v>
      </c>
      <c r="X510" s="102">
        <f t="shared" si="53"/>
        <v>0</v>
      </c>
      <c r="Y510" s="100" t="str">
        <f t="shared" si="54"/>
        <v xml:space="preserve"> </v>
      </c>
      <c r="Z510" s="100" t="str">
        <f t="shared" si="55"/>
        <v xml:space="preserve"> </v>
      </c>
    </row>
    <row r="511" spans="1:26">
      <c r="A511" s="100"/>
      <c r="B511" s="100" t="str">
        <f>IFERROR(VLOOKUP(Tablo520[[#This Row],[ÜRÜN KODU]],YMKODLARI!$A$1:$K$373,2,0)," ")</f>
        <v xml:space="preserve"> </v>
      </c>
      <c r="C511" s="99"/>
      <c r="D511" s="100"/>
      <c r="E511" s="101"/>
      <c r="F511" s="101"/>
      <c r="G511" s="100" t="str">
        <f>IFERROR(VLOOKUP(Tablo520[[#This Row],[ÜRÜN KODU]],YMKODLARI!$A$1:$K$373,3,0)," ")</f>
        <v xml:space="preserve"> </v>
      </c>
      <c r="H511" s="100" t="str">
        <f>IFERROR(VLOOKUP(Tablo520[[#This Row],[ÜRÜN KODU]],YMKODLARI!$A$1:$K$373,4,0)," ")</f>
        <v xml:space="preserve"> </v>
      </c>
      <c r="I511" s="100"/>
      <c r="J511" s="100" t="str">
        <f>IFERROR(VLOOKUP(Tablo520[[#This Row],[ÜRÜN KODU]],YMKODLARI!$A$1:$K$373,9,0)," ")</f>
        <v xml:space="preserve"> </v>
      </c>
      <c r="K511" s="100" t="str">
        <f>IFERROR(VLOOKUP(Tablo520[[#This Row],[BOYA KODU]],Tablo14[#All],4,0)," ")</f>
        <v xml:space="preserve"> </v>
      </c>
      <c r="L511" s="100" t="str">
        <f>IFERROR(VLOOKUP(Tablo520[[#This Row],[BOYA KODU]],Tablo14[#All],6,0)," ")</f>
        <v xml:space="preserve"> </v>
      </c>
      <c r="M511" s="100" t="str">
        <f t="shared" si="49"/>
        <v xml:space="preserve"> </v>
      </c>
      <c r="N511" s="100" t="str">
        <f>IFERROR(VLOOKUP(Tablo520[[#This Row],[ÜRÜN KODU]],YMKODLARI!$A$1:$K$373,8,0)," ")</f>
        <v xml:space="preserve"> </v>
      </c>
      <c r="O511" s="100" t="str">
        <f>IFERROR(VLOOKUP(Tablo520[[#This Row],[HAMMADDE KODU]],Tablo1[#All],3,0)," ")</f>
        <v xml:space="preserve"> </v>
      </c>
      <c r="P511" s="100" t="str">
        <f>IFERROR(VLOOKUP(Tablo520[[#This Row],[HAMMADDE KODU]],Tablo1[#All],4,0)," ")</f>
        <v xml:space="preserve"> </v>
      </c>
      <c r="Q511" s="100" t="str">
        <f>IFERROR(VLOOKUP(Tablo520[[#This Row],[ÜRÜN KODU]],YMKODLARI!$A$1:$K$373,5,0)," ")</f>
        <v xml:space="preserve"> </v>
      </c>
      <c r="R511" s="100" t="str">
        <f>IFERROR(VLOOKUP(Tablo520[[#This Row],[ÜRÜN KODU]],YMKODLARI!$A$1:$K$373,6,0)," ")</f>
        <v xml:space="preserve"> </v>
      </c>
      <c r="S511" s="100" t="str">
        <f>IFERROR(Tablo520[[#This Row],[YOLLUK HARİÇ BASKI GRAMI]]/Tablo520[[#This Row],[KALIP GÖZ ADEDİ]]," ")</f>
        <v xml:space="preserve"> </v>
      </c>
      <c r="T511" s="100" t="str">
        <f t="shared" si="51"/>
        <v xml:space="preserve"> </v>
      </c>
      <c r="U511" s="100"/>
      <c r="V511" s="100" t="str">
        <f t="shared" si="50"/>
        <v xml:space="preserve"> </v>
      </c>
      <c r="W511" s="101">
        <f t="shared" si="52"/>
        <v>24</v>
      </c>
      <c r="X511" s="102">
        <f t="shared" si="53"/>
        <v>0</v>
      </c>
      <c r="Y511" s="100" t="str">
        <f t="shared" si="54"/>
        <v xml:space="preserve"> </v>
      </c>
      <c r="Z511" s="100" t="str">
        <f t="shared" si="55"/>
        <v xml:space="preserve"> </v>
      </c>
    </row>
    <row r="512" spans="1:26">
      <c r="A512" s="100"/>
      <c r="B512" s="100" t="str">
        <f>IFERROR(VLOOKUP(Tablo520[[#This Row],[ÜRÜN KODU]],YMKODLARI!$A$1:$K$373,2,0)," ")</f>
        <v xml:space="preserve"> </v>
      </c>
      <c r="C512" s="99"/>
      <c r="D512" s="100"/>
      <c r="E512" s="101"/>
      <c r="F512" s="101"/>
      <c r="G512" s="100" t="str">
        <f>IFERROR(VLOOKUP(Tablo520[[#This Row],[ÜRÜN KODU]],YMKODLARI!$A$1:$K$373,3,0)," ")</f>
        <v xml:space="preserve"> </v>
      </c>
      <c r="H512" s="100" t="str">
        <f>IFERROR(VLOOKUP(Tablo520[[#This Row],[ÜRÜN KODU]],YMKODLARI!$A$1:$K$373,4,0)," ")</f>
        <v xml:space="preserve"> </v>
      </c>
      <c r="I512" s="100"/>
      <c r="J512" s="100" t="str">
        <f>IFERROR(VLOOKUP(Tablo520[[#This Row],[ÜRÜN KODU]],YMKODLARI!$A$1:$K$373,9,0)," ")</f>
        <v xml:space="preserve"> </v>
      </c>
      <c r="K512" s="100" t="str">
        <f>IFERROR(VLOOKUP(Tablo520[[#This Row],[BOYA KODU]],Tablo14[#All],4,0)," ")</f>
        <v xml:space="preserve"> </v>
      </c>
      <c r="L512" s="100" t="str">
        <f>IFERROR(VLOOKUP(Tablo520[[#This Row],[BOYA KODU]],Tablo14[#All],6,0)," ")</f>
        <v xml:space="preserve"> </v>
      </c>
      <c r="M512" s="100" t="str">
        <f t="shared" si="49"/>
        <v xml:space="preserve"> </v>
      </c>
      <c r="N512" s="100" t="str">
        <f>IFERROR(VLOOKUP(Tablo520[[#This Row],[ÜRÜN KODU]],YMKODLARI!$A$1:$K$373,8,0)," ")</f>
        <v xml:space="preserve"> </v>
      </c>
      <c r="O512" s="100" t="str">
        <f>IFERROR(VLOOKUP(Tablo520[[#This Row],[HAMMADDE KODU]],Tablo1[#All],3,0)," ")</f>
        <v xml:space="preserve"> </v>
      </c>
      <c r="P512" s="100" t="str">
        <f>IFERROR(VLOOKUP(Tablo520[[#This Row],[HAMMADDE KODU]],Tablo1[#All],4,0)," ")</f>
        <v xml:space="preserve"> </v>
      </c>
      <c r="Q512" s="100" t="str">
        <f>IFERROR(VLOOKUP(Tablo520[[#This Row],[ÜRÜN KODU]],YMKODLARI!$A$1:$K$373,5,0)," ")</f>
        <v xml:space="preserve"> </v>
      </c>
      <c r="R512" s="100" t="str">
        <f>IFERROR(VLOOKUP(Tablo520[[#This Row],[ÜRÜN KODU]],YMKODLARI!$A$1:$K$373,6,0)," ")</f>
        <v xml:space="preserve"> </v>
      </c>
      <c r="S512" s="100" t="str">
        <f>IFERROR(Tablo520[[#This Row],[YOLLUK HARİÇ BASKI GRAMI]]/Tablo520[[#This Row],[KALIP GÖZ ADEDİ]]," ")</f>
        <v xml:space="preserve"> </v>
      </c>
      <c r="T512" s="100" t="str">
        <f t="shared" si="51"/>
        <v xml:space="preserve"> </v>
      </c>
      <c r="U512" s="100"/>
      <c r="V512" s="100" t="str">
        <f t="shared" si="50"/>
        <v xml:space="preserve"> </v>
      </c>
      <c r="W512" s="101">
        <f t="shared" si="52"/>
        <v>24</v>
      </c>
      <c r="X512" s="102">
        <f t="shared" si="53"/>
        <v>0</v>
      </c>
      <c r="Y512" s="100" t="str">
        <f t="shared" si="54"/>
        <v xml:space="preserve"> </v>
      </c>
      <c r="Z512" s="100" t="str">
        <f t="shared" si="55"/>
        <v xml:space="preserve"> </v>
      </c>
    </row>
    <row r="513" spans="1:26">
      <c r="A513" s="100"/>
      <c r="B513" s="100" t="str">
        <f>IFERROR(VLOOKUP(Tablo520[[#This Row],[ÜRÜN KODU]],YMKODLARI!$A$1:$K$373,2,0)," ")</f>
        <v xml:space="preserve"> </v>
      </c>
      <c r="C513" s="99"/>
      <c r="D513" s="100"/>
      <c r="E513" s="101"/>
      <c r="F513" s="101"/>
      <c r="G513" s="100" t="str">
        <f>IFERROR(VLOOKUP(Tablo520[[#This Row],[ÜRÜN KODU]],YMKODLARI!$A$1:$K$373,3,0)," ")</f>
        <v xml:space="preserve"> </v>
      </c>
      <c r="H513" s="100" t="str">
        <f>IFERROR(VLOOKUP(Tablo520[[#This Row],[ÜRÜN KODU]],YMKODLARI!$A$1:$K$373,4,0)," ")</f>
        <v xml:space="preserve"> </v>
      </c>
      <c r="I513" s="100"/>
      <c r="J513" s="100" t="str">
        <f>IFERROR(VLOOKUP(Tablo520[[#This Row],[ÜRÜN KODU]],YMKODLARI!$A$1:$K$373,9,0)," ")</f>
        <v xml:space="preserve"> </v>
      </c>
      <c r="K513" s="100" t="str">
        <f>IFERROR(VLOOKUP(Tablo520[[#This Row],[BOYA KODU]],Tablo14[#All],4,0)," ")</f>
        <v xml:space="preserve"> </v>
      </c>
      <c r="L513" s="100" t="str">
        <f>IFERROR(VLOOKUP(Tablo520[[#This Row],[BOYA KODU]],Tablo14[#All],6,0)," ")</f>
        <v xml:space="preserve"> </v>
      </c>
      <c r="M513" s="100" t="str">
        <f t="shared" si="49"/>
        <v xml:space="preserve"> </v>
      </c>
      <c r="N513" s="100" t="str">
        <f>IFERROR(VLOOKUP(Tablo520[[#This Row],[ÜRÜN KODU]],YMKODLARI!$A$1:$K$373,8,0)," ")</f>
        <v xml:space="preserve"> </v>
      </c>
      <c r="O513" s="100" t="str">
        <f>IFERROR(VLOOKUP(Tablo520[[#This Row],[HAMMADDE KODU]],Tablo1[#All],3,0)," ")</f>
        <v xml:space="preserve"> </v>
      </c>
      <c r="P513" s="100" t="str">
        <f>IFERROR(VLOOKUP(Tablo520[[#This Row],[HAMMADDE KODU]],Tablo1[#All],4,0)," ")</f>
        <v xml:space="preserve"> </v>
      </c>
      <c r="Q513" s="100" t="str">
        <f>IFERROR(VLOOKUP(Tablo520[[#This Row],[ÜRÜN KODU]],YMKODLARI!$A$1:$K$373,5,0)," ")</f>
        <v xml:space="preserve"> </v>
      </c>
      <c r="R513" s="100" t="str">
        <f>IFERROR(VLOOKUP(Tablo520[[#This Row],[ÜRÜN KODU]],YMKODLARI!$A$1:$K$373,6,0)," ")</f>
        <v xml:space="preserve"> </v>
      </c>
      <c r="S513" s="100" t="str">
        <f>IFERROR(Tablo520[[#This Row],[YOLLUK HARİÇ BASKI GRAMI]]/Tablo520[[#This Row],[KALIP GÖZ ADEDİ]]," ")</f>
        <v xml:space="preserve"> </v>
      </c>
      <c r="T513" s="100" t="str">
        <f t="shared" si="51"/>
        <v xml:space="preserve"> </v>
      </c>
      <c r="U513" s="100"/>
      <c r="V513" s="100" t="str">
        <f t="shared" si="50"/>
        <v xml:space="preserve"> </v>
      </c>
      <c r="W513" s="101">
        <f t="shared" si="52"/>
        <v>24</v>
      </c>
      <c r="X513" s="102">
        <f t="shared" si="53"/>
        <v>0</v>
      </c>
      <c r="Y513" s="100" t="str">
        <f t="shared" si="54"/>
        <v xml:space="preserve"> </v>
      </c>
      <c r="Z513" s="100" t="str">
        <f t="shared" si="55"/>
        <v xml:space="preserve"> </v>
      </c>
    </row>
    <row r="514" spans="1:26">
      <c r="A514" s="100"/>
      <c r="B514" s="100" t="str">
        <f>IFERROR(VLOOKUP(Tablo520[[#This Row],[ÜRÜN KODU]],YMKODLARI!$A$1:$K$373,2,0)," ")</f>
        <v xml:space="preserve"> </v>
      </c>
      <c r="C514" s="99"/>
      <c r="D514" s="100"/>
      <c r="E514" s="101"/>
      <c r="F514" s="101"/>
      <c r="G514" s="100" t="str">
        <f>IFERROR(VLOOKUP(Tablo520[[#This Row],[ÜRÜN KODU]],YMKODLARI!$A$1:$K$373,3,0)," ")</f>
        <v xml:space="preserve"> </v>
      </c>
      <c r="H514" s="100" t="str">
        <f>IFERROR(VLOOKUP(Tablo520[[#This Row],[ÜRÜN KODU]],YMKODLARI!$A$1:$K$373,4,0)," ")</f>
        <v xml:space="preserve"> </v>
      </c>
      <c r="I514" s="100"/>
      <c r="J514" s="100" t="str">
        <f>IFERROR(VLOOKUP(Tablo520[[#This Row],[ÜRÜN KODU]],YMKODLARI!$A$1:$K$373,9,0)," ")</f>
        <v xml:space="preserve"> </v>
      </c>
      <c r="K514" s="100" t="str">
        <f>IFERROR(VLOOKUP(Tablo520[[#This Row],[BOYA KODU]],Tablo14[#All],4,0)," ")</f>
        <v xml:space="preserve"> </v>
      </c>
      <c r="L514" s="100" t="str">
        <f>IFERROR(VLOOKUP(Tablo520[[#This Row],[BOYA KODU]],Tablo14[#All],6,0)," ")</f>
        <v xml:space="preserve"> </v>
      </c>
      <c r="M514" s="100" t="str">
        <f t="shared" ref="M514:M571" si="56">IFERROR((I514*Q514)*L514," ")</f>
        <v xml:space="preserve"> </v>
      </c>
      <c r="N514" s="100" t="str">
        <f>IFERROR(VLOOKUP(Tablo520[[#This Row],[ÜRÜN KODU]],YMKODLARI!$A$1:$K$373,8,0)," ")</f>
        <v xml:space="preserve"> </v>
      </c>
      <c r="O514" s="100" t="str">
        <f>IFERROR(VLOOKUP(Tablo520[[#This Row],[HAMMADDE KODU]],Tablo1[#All],3,0)," ")</f>
        <v xml:space="preserve"> </v>
      </c>
      <c r="P514" s="100" t="str">
        <f>IFERROR(VLOOKUP(Tablo520[[#This Row],[HAMMADDE KODU]],Tablo1[#All],4,0)," ")</f>
        <v xml:space="preserve"> </v>
      </c>
      <c r="Q514" s="100" t="str">
        <f>IFERROR(VLOOKUP(Tablo520[[#This Row],[ÜRÜN KODU]],YMKODLARI!$A$1:$K$373,5,0)," ")</f>
        <v xml:space="preserve"> </v>
      </c>
      <c r="R514" s="100" t="str">
        <f>IFERROR(VLOOKUP(Tablo520[[#This Row],[ÜRÜN KODU]],YMKODLARI!$A$1:$K$373,6,0)," ")</f>
        <v xml:space="preserve"> </v>
      </c>
      <c r="S514" s="100" t="str">
        <f>IFERROR(Tablo520[[#This Row],[YOLLUK HARİÇ BASKI GRAMI]]/Tablo520[[#This Row],[KALIP GÖZ ADEDİ]]," ")</f>
        <v xml:space="preserve"> </v>
      </c>
      <c r="T514" s="100" t="str">
        <f t="shared" si="51"/>
        <v xml:space="preserve"> </v>
      </c>
      <c r="U514" s="100"/>
      <c r="V514" s="100" t="str">
        <f t="shared" ref="V514:V571" si="57">IFERROR(U514+(R514*I514) /1000," ")</f>
        <v xml:space="preserve"> </v>
      </c>
      <c r="W514" s="101">
        <f t="shared" si="52"/>
        <v>24</v>
      </c>
      <c r="X514" s="102">
        <f t="shared" si="53"/>
        <v>0</v>
      </c>
      <c r="Y514" s="100" t="str">
        <f t="shared" si="54"/>
        <v xml:space="preserve"> </v>
      </c>
      <c r="Z514" s="100" t="str">
        <f t="shared" si="55"/>
        <v xml:space="preserve"> </v>
      </c>
    </row>
    <row r="515" spans="1:26">
      <c r="A515" s="100"/>
      <c r="B515" s="100" t="str">
        <f>IFERROR(VLOOKUP(Tablo520[[#This Row],[ÜRÜN KODU]],YMKODLARI!$A$1:$K$373,2,0)," ")</f>
        <v xml:space="preserve"> </v>
      </c>
      <c r="C515" s="99"/>
      <c r="D515" s="100"/>
      <c r="E515" s="101"/>
      <c r="F515" s="101"/>
      <c r="G515" s="100" t="str">
        <f>IFERROR(VLOOKUP(Tablo520[[#This Row],[ÜRÜN KODU]],YMKODLARI!$A$1:$K$373,3,0)," ")</f>
        <v xml:space="preserve"> </v>
      </c>
      <c r="H515" s="100" t="str">
        <f>IFERROR(VLOOKUP(Tablo520[[#This Row],[ÜRÜN KODU]],YMKODLARI!$A$1:$K$373,4,0)," ")</f>
        <v xml:space="preserve"> </v>
      </c>
      <c r="I515" s="100"/>
      <c r="J515" s="100" t="str">
        <f>IFERROR(VLOOKUP(Tablo520[[#This Row],[ÜRÜN KODU]],YMKODLARI!$A$1:$K$373,9,0)," ")</f>
        <v xml:space="preserve"> </v>
      </c>
      <c r="K515" s="100" t="str">
        <f>IFERROR(VLOOKUP(Tablo520[[#This Row],[BOYA KODU]],Tablo14[#All],4,0)," ")</f>
        <v xml:space="preserve"> </v>
      </c>
      <c r="L515" s="100" t="str">
        <f>IFERROR(VLOOKUP(Tablo520[[#This Row],[BOYA KODU]],Tablo14[#All],6,0)," ")</f>
        <v xml:space="preserve"> </v>
      </c>
      <c r="M515" s="100" t="str">
        <f t="shared" si="56"/>
        <v xml:space="preserve"> </v>
      </c>
      <c r="N515" s="100" t="str">
        <f>IFERROR(VLOOKUP(Tablo520[[#This Row],[ÜRÜN KODU]],YMKODLARI!$A$1:$K$373,8,0)," ")</f>
        <v xml:space="preserve"> </v>
      </c>
      <c r="O515" s="100" t="str">
        <f>IFERROR(VLOOKUP(Tablo520[[#This Row],[HAMMADDE KODU]],Tablo1[#All],3,0)," ")</f>
        <v xml:space="preserve"> </v>
      </c>
      <c r="P515" s="100" t="str">
        <f>IFERROR(VLOOKUP(Tablo520[[#This Row],[HAMMADDE KODU]],Tablo1[#All],4,0)," ")</f>
        <v xml:space="preserve"> </v>
      </c>
      <c r="Q515" s="100" t="str">
        <f>IFERROR(VLOOKUP(Tablo520[[#This Row],[ÜRÜN KODU]],YMKODLARI!$A$1:$K$373,5,0)," ")</f>
        <v xml:space="preserve"> </v>
      </c>
      <c r="R515" s="100" t="str">
        <f>IFERROR(VLOOKUP(Tablo520[[#This Row],[ÜRÜN KODU]],YMKODLARI!$A$1:$K$373,6,0)," ")</f>
        <v xml:space="preserve"> </v>
      </c>
      <c r="S515" s="100" t="str">
        <f>IFERROR(Tablo520[[#This Row],[YOLLUK HARİÇ BASKI GRAMI]]/Tablo520[[#This Row],[KALIP GÖZ ADEDİ]]," ")</f>
        <v xml:space="preserve"> </v>
      </c>
      <c r="T515" s="100" t="str">
        <f t="shared" ref="T515:T571" si="58">IFERROR(Q515-R515," ")</f>
        <v xml:space="preserve"> </v>
      </c>
      <c r="U515" s="100"/>
      <c r="V515" s="100" t="str">
        <f t="shared" si="57"/>
        <v xml:space="preserve"> </v>
      </c>
      <c r="W515" s="101">
        <f t="shared" ref="W515:W571" si="59">IFERROR(24-(E515-F515)," ")</f>
        <v>24</v>
      </c>
      <c r="X515" s="102">
        <f t="shared" ref="X515:X571" si="60">IFERROR((W515-INT(W515))*24," ")</f>
        <v>0</v>
      </c>
      <c r="Y515" s="100" t="str">
        <f t="shared" ref="Y515:Y571" si="61">IFERROR(H515*I515/3600," ")</f>
        <v xml:space="preserve"> </v>
      </c>
      <c r="Z515" s="100" t="str">
        <f t="shared" ref="Z515:Z571" si="62">IFERROR(I515*G515," " )</f>
        <v xml:space="preserve"> </v>
      </c>
    </row>
    <row r="516" spans="1:26">
      <c r="A516" s="100"/>
      <c r="B516" s="100" t="str">
        <f>IFERROR(VLOOKUP(Tablo520[[#This Row],[ÜRÜN KODU]],YMKODLARI!$A$1:$K$373,2,0)," ")</f>
        <v xml:space="preserve"> </v>
      </c>
      <c r="C516" s="99"/>
      <c r="D516" s="100"/>
      <c r="E516" s="101"/>
      <c r="F516" s="101"/>
      <c r="G516" s="100" t="str">
        <f>IFERROR(VLOOKUP(Tablo520[[#This Row],[ÜRÜN KODU]],YMKODLARI!$A$1:$K$373,3,0)," ")</f>
        <v xml:space="preserve"> </v>
      </c>
      <c r="H516" s="100" t="str">
        <f>IFERROR(VLOOKUP(Tablo520[[#This Row],[ÜRÜN KODU]],YMKODLARI!$A$1:$K$373,4,0)," ")</f>
        <v xml:space="preserve"> </v>
      </c>
      <c r="I516" s="100"/>
      <c r="J516" s="100" t="str">
        <f>IFERROR(VLOOKUP(Tablo520[[#This Row],[ÜRÜN KODU]],YMKODLARI!$A$1:$K$373,9,0)," ")</f>
        <v xml:space="preserve"> </v>
      </c>
      <c r="K516" s="100" t="str">
        <f>IFERROR(VLOOKUP(Tablo520[[#This Row],[BOYA KODU]],Tablo14[#All],4,0)," ")</f>
        <v xml:space="preserve"> </v>
      </c>
      <c r="L516" s="100" t="str">
        <f>IFERROR(VLOOKUP(Tablo520[[#This Row],[BOYA KODU]],Tablo14[#All],6,0)," ")</f>
        <v xml:space="preserve"> </v>
      </c>
      <c r="M516" s="100" t="str">
        <f t="shared" si="56"/>
        <v xml:space="preserve"> </v>
      </c>
      <c r="N516" s="100" t="str">
        <f>IFERROR(VLOOKUP(Tablo520[[#This Row],[ÜRÜN KODU]],YMKODLARI!$A$1:$K$373,8,0)," ")</f>
        <v xml:space="preserve"> </v>
      </c>
      <c r="O516" s="100" t="str">
        <f>IFERROR(VLOOKUP(Tablo520[[#This Row],[HAMMADDE KODU]],Tablo1[#All],3,0)," ")</f>
        <v xml:space="preserve"> </v>
      </c>
      <c r="P516" s="100" t="str">
        <f>IFERROR(VLOOKUP(Tablo520[[#This Row],[HAMMADDE KODU]],Tablo1[#All],4,0)," ")</f>
        <v xml:space="preserve"> </v>
      </c>
      <c r="Q516" s="100" t="str">
        <f>IFERROR(VLOOKUP(Tablo520[[#This Row],[ÜRÜN KODU]],YMKODLARI!$A$1:$K$373,5,0)," ")</f>
        <v xml:space="preserve"> </v>
      </c>
      <c r="R516" s="100" t="str">
        <f>IFERROR(VLOOKUP(Tablo520[[#This Row],[ÜRÜN KODU]],YMKODLARI!$A$1:$K$373,6,0)," ")</f>
        <v xml:space="preserve"> </v>
      </c>
      <c r="S516" s="100" t="str">
        <f>IFERROR(Tablo520[[#This Row],[YOLLUK HARİÇ BASKI GRAMI]]/Tablo520[[#This Row],[KALIP GÖZ ADEDİ]]," ")</f>
        <v xml:space="preserve"> </v>
      </c>
      <c r="T516" s="100" t="str">
        <f t="shared" si="58"/>
        <v xml:space="preserve"> </v>
      </c>
      <c r="U516" s="100"/>
      <c r="V516" s="100" t="str">
        <f t="shared" si="57"/>
        <v xml:space="preserve"> </v>
      </c>
      <c r="W516" s="101">
        <f t="shared" si="59"/>
        <v>24</v>
      </c>
      <c r="X516" s="102">
        <f t="shared" si="60"/>
        <v>0</v>
      </c>
      <c r="Y516" s="100" t="str">
        <f t="shared" si="61"/>
        <v xml:space="preserve"> </v>
      </c>
      <c r="Z516" s="100" t="str">
        <f t="shared" si="62"/>
        <v xml:space="preserve"> </v>
      </c>
    </row>
    <row r="517" spans="1:26">
      <c r="A517" s="100"/>
      <c r="B517" s="100" t="str">
        <f>IFERROR(VLOOKUP(Tablo520[[#This Row],[ÜRÜN KODU]],YMKODLARI!$A$1:$K$373,2,0)," ")</f>
        <v xml:space="preserve"> </v>
      </c>
      <c r="C517" s="99"/>
      <c r="D517" s="100"/>
      <c r="E517" s="101"/>
      <c r="F517" s="101"/>
      <c r="G517" s="100" t="str">
        <f>IFERROR(VLOOKUP(Tablo520[[#This Row],[ÜRÜN KODU]],YMKODLARI!$A$1:$K$373,3,0)," ")</f>
        <v xml:space="preserve"> </v>
      </c>
      <c r="H517" s="100" t="str">
        <f>IFERROR(VLOOKUP(Tablo520[[#This Row],[ÜRÜN KODU]],YMKODLARI!$A$1:$K$373,4,0)," ")</f>
        <v xml:space="preserve"> </v>
      </c>
      <c r="I517" s="100"/>
      <c r="J517" s="100" t="str">
        <f>IFERROR(VLOOKUP(Tablo520[[#This Row],[ÜRÜN KODU]],YMKODLARI!$A$1:$K$373,9,0)," ")</f>
        <v xml:space="preserve"> </v>
      </c>
      <c r="K517" s="100" t="str">
        <f>IFERROR(VLOOKUP(Tablo520[[#This Row],[BOYA KODU]],Tablo14[#All],4,0)," ")</f>
        <v xml:space="preserve"> </v>
      </c>
      <c r="L517" s="100" t="str">
        <f>IFERROR(VLOOKUP(Tablo520[[#This Row],[BOYA KODU]],Tablo14[#All],6,0)," ")</f>
        <v xml:space="preserve"> </v>
      </c>
      <c r="M517" s="100" t="str">
        <f t="shared" si="56"/>
        <v xml:space="preserve"> </v>
      </c>
      <c r="N517" s="100" t="str">
        <f>IFERROR(VLOOKUP(Tablo520[[#This Row],[ÜRÜN KODU]],YMKODLARI!$A$1:$K$373,8,0)," ")</f>
        <v xml:space="preserve"> </v>
      </c>
      <c r="O517" s="100" t="str">
        <f>IFERROR(VLOOKUP(Tablo520[[#This Row],[HAMMADDE KODU]],Tablo1[#All],3,0)," ")</f>
        <v xml:space="preserve"> </v>
      </c>
      <c r="P517" s="100" t="str">
        <f>IFERROR(VLOOKUP(Tablo520[[#This Row],[HAMMADDE KODU]],Tablo1[#All],4,0)," ")</f>
        <v xml:space="preserve"> </v>
      </c>
      <c r="Q517" s="100" t="str">
        <f>IFERROR(VLOOKUP(Tablo520[[#This Row],[ÜRÜN KODU]],YMKODLARI!$A$1:$K$373,5,0)," ")</f>
        <v xml:space="preserve"> </v>
      </c>
      <c r="R517" s="100" t="str">
        <f>IFERROR(VLOOKUP(Tablo520[[#This Row],[ÜRÜN KODU]],YMKODLARI!$A$1:$K$373,6,0)," ")</f>
        <v xml:space="preserve"> </v>
      </c>
      <c r="S517" s="100" t="str">
        <f>IFERROR(Tablo520[[#This Row],[YOLLUK HARİÇ BASKI GRAMI]]/Tablo520[[#This Row],[KALIP GÖZ ADEDİ]]," ")</f>
        <v xml:space="preserve"> </v>
      </c>
      <c r="T517" s="100" t="str">
        <f t="shared" si="58"/>
        <v xml:space="preserve"> </v>
      </c>
      <c r="U517" s="100"/>
      <c r="V517" s="100" t="str">
        <f t="shared" si="57"/>
        <v xml:space="preserve"> </v>
      </c>
      <c r="W517" s="101">
        <f t="shared" si="59"/>
        <v>24</v>
      </c>
      <c r="X517" s="102">
        <f t="shared" si="60"/>
        <v>0</v>
      </c>
      <c r="Y517" s="100" t="str">
        <f t="shared" si="61"/>
        <v xml:space="preserve"> </v>
      </c>
      <c r="Z517" s="100" t="str">
        <f t="shared" si="62"/>
        <v xml:space="preserve"> </v>
      </c>
    </row>
    <row r="518" spans="1:26">
      <c r="A518" s="100"/>
      <c r="B518" s="100" t="str">
        <f>IFERROR(VLOOKUP(Tablo520[[#This Row],[ÜRÜN KODU]],YMKODLARI!$A$1:$K$373,2,0)," ")</f>
        <v xml:space="preserve"> </v>
      </c>
      <c r="C518" s="99"/>
      <c r="D518" s="100"/>
      <c r="E518" s="101"/>
      <c r="F518" s="101"/>
      <c r="G518" s="100" t="str">
        <f>IFERROR(VLOOKUP(Tablo520[[#This Row],[ÜRÜN KODU]],YMKODLARI!$A$1:$K$373,3,0)," ")</f>
        <v xml:space="preserve"> </v>
      </c>
      <c r="H518" s="100" t="str">
        <f>IFERROR(VLOOKUP(Tablo520[[#This Row],[ÜRÜN KODU]],YMKODLARI!$A$1:$K$373,4,0)," ")</f>
        <v xml:space="preserve"> </v>
      </c>
      <c r="I518" s="100"/>
      <c r="J518" s="100" t="str">
        <f>IFERROR(VLOOKUP(Tablo520[[#This Row],[ÜRÜN KODU]],YMKODLARI!$A$1:$K$373,9,0)," ")</f>
        <v xml:space="preserve"> </v>
      </c>
      <c r="K518" s="100" t="str">
        <f>IFERROR(VLOOKUP(Tablo520[[#This Row],[BOYA KODU]],Tablo14[#All],4,0)," ")</f>
        <v xml:space="preserve"> </v>
      </c>
      <c r="L518" s="100" t="str">
        <f>IFERROR(VLOOKUP(Tablo520[[#This Row],[BOYA KODU]],Tablo14[#All],6,0)," ")</f>
        <v xml:space="preserve"> </v>
      </c>
      <c r="M518" s="100" t="str">
        <f t="shared" si="56"/>
        <v xml:space="preserve"> </v>
      </c>
      <c r="N518" s="100" t="str">
        <f>IFERROR(VLOOKUP(Tablo520[[#This Row],[ÜRÜN KODU]],YMKODLARI!$A$1:$K$373,8,0)," ")</f>
        <v xml:space="preserve"> </v>
      </c>
      <c r="O518" s="100" t="str">
        <f>IFERROR(VLOOKUP(Tablo520[[#This Row],[HAMMADDE KODU]],Tablo1[#All],3,0)," ")</f>
        <v xml:space="preserve"> </v>
      </c>
      <c r="P518" s="100" t="str">
        <f>IFERROR(VLOOKUP(Tablo520[[#This Row],[HAMMADDE KODU]],Tablo1[#All],4,0)," ")</f>
        <v xml:space="preserve"> </v>
      </c>
      <c r="Q518" s="100" t="str">
        <f>IFERROR(VLOOKUP(Tablo520[[#This Row],[ÜRÜN KODU]],YMKODLARI!$A$1:$K$373,5,0)," ")</f>
        <v xml:space="preserve"> </v>
      </c>
      <c r="R518" s="100" t="str">
        <f>IFERROR(VLOOKUP(Tablo520[[#This Row],[ÜRÜN KODU]],YMKODLARI!$A$1:$K$373,6,0)," ")</f>
        <v xml:space="preserve"> </v>
      </c>
      <c r="S518" s="100" t="str">
        <f>IFERROR(Tablo520[[#This Row],[YOLLUK HARİÇ BASKI GRAMI]]/Tablo520[[#This Row],[KALIP GÖZ ADEDİ]]," ")</f>
        <v xml:space="preserve"> </v>
      </c>
      <c r="T518" s="100" t="str">
        <f t="shared" si="58"/>
        <v xml:space="preserve"> </v>
      </c>
      <c r="U518" s="100"/>
      <c r="V518" s="100" t="str">
        <f t="shared" si="57"/>
        <v xml:space="preserve"> </v>
      </c>
      <c r="W518" s="101">
        <f t="shared" si="59"/>
        <v>24</v>
      </c>
      <c r="X518" s="102">
        <f t="shared" si="60"/>
        <v>0</v>
      </c>
      <c r="Y518" s="100" t="str">
        <f t="shared" si="61"/>
        <v xml:space="preserve"> </v>
      </c>
      <c r="Z518" s="100" t="str">
        <f t="shared" si="62"/>
        <v xml:space="preserve"> </v>
      </c>
    </row>
    <row r="519" spans="1:26">
      <c r="A519" s="100"/>
      <c r="B519" s="100" t="str">
        <f>IFERROR(VLOOKUP(Tablo520[[#This Row],[ÜRÜN KODU]],YMKODLARI!$A$1:$K$373,2,0)," ")</f>
        <v xml:space="preserve"> </v>
      </c>
      <c r="C519" s="99"/>
      <c r="D519" s="100"/>
      <c r="E519" s="101"/>
      <c r="F519" s="101"/>
      <c r="G519" s="100" t="str">
        <f>IFERROR(VLOOKUP(Tablo520[[#This Row],[ÜRÜN KODU]],YMKODLARI!$A$1:$K$373,3,0)," ")</f>
        <v xml:space="preserve"> </v>
      </c>
      <c r="H519" s="100" t="str">
        <f>IFERROR(VLOOKUP(Tablo520[[#This Row],[ÜRÜN KODU]],YMKODLARI!$A$1:$K$373,4,0)," ")</f>
        <v xml:space="preserve"> </v>
      </c>
      <c r="I519" s="100"/>
      <c r="J519" s="100" t="str">
        <f>IFERROR(VLOOKUP(Tablo520[[#This Row],[ÜRÜN KODU]],YMKODLARI!$A$1:$K$373,9,0)," ")</f>
        <v xml:space="preserve"> </v>
      </c>
      <c r="K519" s="100" t="str">
        <f>IFERROR(VLOOKUP(Tablo520[[#This Row],[BOYA KODU]],Tablo14[#All],4,0)," ")</f>
        <v xml:space="preserve"> </v>
      </c>
      <c r="L519" s="100" t="str">
        <f>IFERROR(VLOOKUP(Tablo520[[#This Row],[BOYA KODU]],Tablo14[#All],6,0)," ")</f>
        <v xml:space="preserve"> </v>
      </c>
      <c r="M519" s="100" t="str">
        <f t="shared" si="56"/>
        <v xml:space="preserve"> </v>
      </c>
      <c r="N519" s="100" t="str">
        <f>IFERROR(VLOOKUP(Tablo520[[#This Row],[ÜRÜN KODU]],YMKODLARI!$A$1:$K$373,8,0)," ")</f>
        <v xml:space="preserve"> </v>
      </c>
      <c r="O519" s="100" t="str">
        <f>IFERROR(VLOOKUP(Tablo520[[#This Row],[HAMMADDE KODU]],Tablo1[#All],3,0)," ")</f>
        <v xml:space="preserve"> </v>
      </c>
      <c r="P519" s="100" t="str">
        <f>IFERROR(VLOOKUP(Tablo520[[#This Row],[HAMMADDE KODU]],Tablo1[#All],4,0)," ")</f>
        <v xml:space="preserve"> </v>
      </c>
      <c r="Q519" s="100" t="str">
        <f>IFERROR(VLOOKUP(Tablo520[[#This Row],[ÜRÜN KODU]],YMKODLARI!$A$1:$K$373,5,0)," ")</f>
        <v xml:space="preserve"> </v>
      </c>
      <c r="R519" s="100" t="str">
        <f>IFERROR(VLOOKUP(Tablo520[[#This Row],[ÜRÜN KODU]],YMKODLARI!$A$1:$K$373,6,0)," ")</f>
        <v xml:space="preserve"> </v>
      </c>
      <c r="S519" s="100" t="str">
        <f>IFERROR(Tablo520[[#This Row],[YOLLUK HARİÇ BASKI GRAMI]]/Tablo520[[#This Row],[KALIP GÖZ ADEDİ]]," ")</f>
        <v xml:space="preserve"> </v>
      </c>
      <c r="T519" s="100" t="str">
        <f t="shared" si="58"/>
        <v xml:space="preserve"> </v>
      </c>
      <c r="U519" s="100"/>
      <c r="V519" s="100" t="str">
        <f t="shared" si="57"/>
        <v xml:space="preserve"> </v>
      </c>
      <c r="W519" s="101">
        <f t="shared" si="59"/>
        <v>24</v>
      </c>
      <c r="X519" s="102">
        <f t="shared" si="60"/>
        <v>0</v>
      </c>
      <c r="Y519" s="100" t="str">
        <f t="shared" si="61"/>
        <v xml:space="preserve"> </v>
      </c>
      <c r="Z519" s="100" t="str">
        <f t="shared" si="62"/>
        <v xml:space="preserve"> </v>
      </c>
    </row>
    <row r="520" spans="1:26">
      <c r="A520" s="100"/>
      <c r="B520" s="100" t="str">
        <f>IFERROR(VLOOKUP(Tablo520[[#This Row],[ÜRÜN KODU]],YMKODLARI!$A$1:$K$373,2,0)," ")</f>
        <v xml:space="preserve"> </v>
      </c>
      <c r="C520" s="99"/>
      <c r="D520" s="100"/>
      <c r="E520" s="101"/>
      <c r="F520" s="101"/>
      <c r="G520" s="100" t="str">
        <f>IFERROR(VLOOKUP(Tablo520[[#This Row],[ÜRÜN KODU]],YMKODLARI!$A$1:$K$373,3,0)," ")</f>
        <v xml:space="preserve"> </v>
      </c>
      <c r="H520" s="100" t="str">
        <f>IFERROR(VLOOKUP(Tablo520[[#This Row],[ÜRÜN KODU]],YMKODLARI!$A$1:$K$373,4,0)," ")</f>
        <v xml:space="preserve"> </v>
      </c>
      <c r="I520" s="100"/>
      <c r="J520" s="100" t="str">
        <f>IFERROR(VLOOKUP(Tablo520[[#This Row],[ÜRÜN KODU]],YMKODLARI!$A$1:$K$373,9,0)," ")</f>
        <v xml:space="preserve"> </v>
      </c>
      <c r="K520" s="100" t="str">
        <f>IFERROR(VLOOKUP(Tablo520[[#This Row],[BOYA KODU]],Tablo14[#All],4,0)," ")</f>
        <v xml:space="preserve"> </v>
      </c>
      <c r="L520" s="100" t="str">
        <f>IFERROR(VLOOKUP(Tablo520[[#This Row],[BOYA KODU]],Tablo14[#All],6,0)," ")</f>
        <v xml:space="preserve"> </v>
      </c>
      <c r="M520" s="100" t="str">
        <f t="shared" si="56"/>
        <v xml:space="preserve"> </v>
      </c>
      <c r="N520" s="100" t="str">
        <f>IFERROR(VLOOKUP(Tablo520[[#This Row],[ÜRÜN KODU]],YMKODLARI!$A$1:$K$373,8,0)," ")</f>
        <v xml:space="preserve"> </v>
      </c>
      <c r="O520" s="100" t="str">
        <f>IFERROR(VLOOKUP(Tablo520[[#This Row],[HAMMADDE KODU]],Tablo1[#All],3,0)," ")</f>
        <v xml:space="preserve"> </v>
      </c>
      <c r="P520" s="100" t="str">
        <f>IFERROR(VLOOKUP(Tablo520[[#This Row],[HAMMADDE KODU]],Tablo1[#All],4,0)," ")</f>
        <v xml:space="preserve"> </v>
      </c>
      <c r="Q520" s="100" t="str">
        <f>IFERROR(VLOOKUP(Tablo520[[#This Row],[ÜRÜN KODU]],YMKODLARI!$A$1:$K$373,5,0)," ")</f>
        <v xml:space="preserve"> </v>
      </c>
      <c r="R520" s="100" t="str">
        <f>IFERROR(VLOOKUP(Tablo520[[#This Row],[ÜRÜN KODU]],YMKODLARI!$A$1:$K$373,6,0)," ")</f>
        <v xml:space="preserve"> </v>
      </c>
      <c r="S520" s="100" t="str">
        <f>IFERROR(Tablo520[[#This Row],[YOLLUK HARİÇ BASKI GRAMI]]/Tablo520[[#This Row],[KALIP GÖZ ADEDİ]]," ")</f>
        <v xml:space="preserve"> </v>
      </c>
      <c r="T520" s="100" t="str">
        <f t="shared" si="58"/>
        <v xml:space="preserve"> </v>
      </c>
      <c r="U520" s="100"/>
      <c r="V520" s="100" t="str">
        <f t="shared" si="57"/>
        <v xml:space="preserve"> </v>
      </c>
      <c r="W520" s="101">
        <f t="shared" si="59"/>
        <v>24</v>
      </c>
      <c r="X520" s="102">
        <f t="shared" si="60"/>
        <v>0</v>
      </c>
      <c r="Y520" s="100" t="str">
        <f t="shared" si="61"/>
        <v xml:space="preserve"> </v>
      </c>
      <c r="Z520" s="100" t="str">
        <f t="shared" si="62"/>
        <v xml:space="preserve"> </v>
      </c>
    </row>
    <row r="521" spans="1:26">
      <c r="A521" s="100"/>
      <c r="B521" s="100" t="str">
        <f>IFERROR(VLOOKUP(Tablo520[[#This Row],[ÜRÜN KODU]],YMKODLARI!$A$1:$K$373,2,0)," ")</f>
        <v xml:space="preserve"> </v>
      </c>
      <c r="C521" s="99"/>
      <c r="D521" s="100"/>
      <c r="E521" s="101"/>
      <c r="F521" s="101"/>
      <c r="G521" s="100" t="str">
        <f>IFERROR(VLOOKUP(Tablo520[[#This Row],[ÜRÜN KODU]],YMKODLARI!$A$1:$K$373,3,0)," ")</f>
        <v xml:space="preserve"> </v>
      </c>
      <c r="H521" s="100" t="str">
        <f>IFERROR(VLOOKUP(Tablo520[[#This Row],[ÜRÜN KODU]],YMKODLARI!$A$1:$K$373,4,0)," ")</f>
        <v xml:space="preserve"> </v>
      </c>
      <c r="I521" s="100"/>
      <c r="J521" s="100" t="str">
        <f>IFERROR(VLOOKUP(Tablo520[[#This Row],[ÜRÜN KODU]],YMKODLARI!$A$1:$K$373,9,0)," ")</f>
        <v xml:space="preserve"> </v>
      </c>
      <c r="K521" s="100" t="str">
        <f>IFERROR(VLOOKUP(Tablo520[[#This Row],[BOYA KODU]],Tablo14[#All],4,0)," ")</f>
        <v xml:space="preserve"> </v>
      </c>
      <c r="L521" s="100" t="str">
        <f>IFERROR(VLOOKUP(Tablo520[[#This Row],[BOYA KODU]],Tablo14[#All],6,0)," ")</f>
        <v xml:space="preserve"> </v>
      </c>
      <c r="M521" s="100" t="str">
        <f t="shared" si="56"/>
        <v xml:space="preserve"> </v>
      </c>
      <c r="N521" s="100" t="str">
        <f>IFERROR(VLOOKUP(Tablo520[[#This Row],[ÜRÜN KODU]],YMKODLARI!$A$1:$K$373,8,0)," ")</f>
        <v xml:space="preserve"> </v>
      </c>
      <c r="O521" s="100" t="str">
        <f>IFERROR(VLOOKUP(Tablo520[[#This Row],[HAMMADDE KODU]],Tablo1[#All],3,0)," ")</f>
        <v xml:space="preserve"> </v>
      </c>
      <c r="P521" s="100" t="str">
        <f>IFERROR(VLOOKUP(Tablo520[[#This Row],[HAMMADDE KODU]],Tablo1[#All],4,0)," ")</f>
        <v xml:space="preserve"> </v>
      </c>
      <c r="Q521" s="100" t="str">
        <f>IFERROR(VLOOKUP(Tablo520[[#This Row],[ÜRÜN KODU]],YMKODLARI!$A$1:$K$373,5,0)," ")</f>
        <v xml:space="preserve"> </v>
      </c>
      <c r="R521" s="100" t="str">
        <f>IFERROR(VLOOKUP(Tablo520[[#This Row],[ÜRÜN KODU]],YMKODLARI!$A$1:$K$373,6,0)," ")</f>
        <v xml:space="preserve"> </v>
      </c>
      <c r="S521" s="100" t="str">
        <f>IFERROR(Tablo520[[#This Row],[YOLLUK HARİÇ BASKI GRAMI]]/Tablo520[[#This Row],[KALIP GÖZ ADEDİ]]," ")</f>
        <v xml:space="preserve"> </v>
      </c>
      <c r="T521" s="100" t="str">
        <f t="shared" si="58"/>
        <v xml:space="preserve"> </v>
      </c>
      <c r="U521" s="100"/>
      <c r="V521" s="100" t="str">
        <f t="shared" si="57"/>
        <v xml:space="preserve"> </v>
      </c>
      <c r="W521" s="101">
        <f t="shared" si="59"/>
        <v>24</v>
      </c>
      <c r="X521" s="102">
        <f t="shared" si="60"/>
        <v>0</v>
      </c>
      <c r="Y521" s="100" t="str">
        <f t="shared" si="61"/>
        <v xml:space="preserve"> </v>
      </c>
      <c r="Z521" s="100" t="str">
        <f t="shared" si="62"/>
        <v xml:space="preserve"> </v>
      </c>
    </row>
    <row r="522" spans="1:26">
      <c r="A522" s="100"/>
      <c r="B522" s="100" t="str">
        <f>IFERROR(VLOOKUP(Tablo520[[#This Row],[ÜRÜN KODU]],YMKODLARI!$A$1:$K$373,2,0)," ")</f>
        <v xml:space="preserve"> </v>
      </c>
      <c r="C522" s="99"/>
      <c r="D522" s="100"/>
      <c r="E522" s="101"/>
      <c r="F522" s="101"/>
      <c r="G522" s="100" t="str">
        <f>IFERROR(VLOOKUP(Tablo520[[#This Row],[ÜRÜN KODU]],YMKODLARI!$A$1:$K$373,3,0)," ")</f>
        <v xml:space="preserve"> </v>
      </c>
      <c r="H522" s="100" t="str">
        <f>IFERROR(VLOOKUP(Tablo520[[#This Row],[ÜRÜN KODU]],YMKODLARI!$A$1:$K$373,4,0)," ")</f>
        <v xml:space="preserve"> </v>
      </c>
      <c r="I522" s="100"/>
      <c r="J522" s="100" t="str">
        <f>IFERROR(VLOOKUP(Tablo520[[#This Row],[ÜRÜN KODU]],YMKODLARI!$A$1:$K$373,9,0)," ")</f>
        <v xml:space="preserve"> </v>
      </c>
      <c r="K522" s="100" t="str">
        <f>IFERROR(VLOOKUP(Tablo520[[#This Row],[BOYA KODU]],Tablo14[#All],4,0)," ")</f>
        <v xml:space="preserve"> </v>
      </c>
      <c r="L522" s="100" t="str">
        <f>IFERROR(VLOOKUP(Tablo520[[#This Row],[BOYA KODU]],Tablo14[#All],6,0)," ")</f>
        <v xml:space="preserve"> </v>
      </c>
      <c r="M522" s="100" t="str">
        <f t="shared" si="56"/>
        <v xml:space="preserve"> </v>
      </c>
      <c r="N522" s="100" t="str">
        <f>IFERROR(VLOOKUP(Tablo520[[#This Row],[ÜRÜN KODU]],YMKODLARI!$A$1:$K$373,8,0)," ")</f>
        <v xml:space="preserve"> </v>
      </c>
      <c r="O522" s="100" t="str">
        <f>IFERROR(VLOOKUP(Tablo520[[#This Row],[HAMMADDE KODU]],Tablo1[#All],3,0)," ")</f>
        <v xml:space="preserve"> </v>
      </c>
      <c r="P522" s="100" t="str">
        <f>IFERROR(VLOOKUP(Tablo520[[#This Row],[HAMMADDE KODU]],Tablo1[#All],4,0)," ")</f>
        <v xml:space="preserve"> </v>
      </c>
      <c r="Q522" s="100" t="str">
        <f>IFERROR(VLOOKUP(Tablo520[[#This Row],[ÜRÜN KODU]],YMKODLARI!$A$1:$K$373,5,0)," ")</f>
        <v xml:space="preserve"> </v>
      </c>
      <c r="R522" s="100" t="str">
        <f>IFERROR(VLOOKUP(Tablo520[[#This Row],[ÜRÜN KODU]],YMKODLARI!$A$1:$K$373,6,0)," ")</f>
        <v xml:space="preserve"> </v>
      </c>
      <c r="S522" s="100" t="str">
        <f>IFERROR(Tablo520[[#This Row],[YOLLUK HARİÇ BASKI GRAMI]]/Tablo520[[#This Row],[KALIP GÖZ ADEDİ]]," ")</f>
        <v xml:space="preserve"> </v>
      </c>
      <c r="T522" s="100" t="str">
        <f t="shared" si="58"/>
        <v xml:space="preserve"> </v>
      </c>
      <c r="U522" s="100"/>
      <c r="V522" s="100" t="str">
        <f t="shared" si="57"/>
        <v xml:space="preserve"> </v>
      </c>
      <c r="W522" s="101">
        <f t="shared" si="59"/>
        <v>24</v>
      </c>
      <c r="X522" s="102">
        <f t="shared" si="60"/>
        <v>0</v>
      </c>
      <c r="Y522" s="100" t="str">
        <f t="shared" si="61"/>
        <v xml:space="preserve"> </v>
      </c>
      <c r="Z522" s="100" t="str">
        <f t="shared" si="62"/>
        <v xml:space="preserve"> </v>
      </c>
    </row>
    <row r="523" spans="1:26">
      <c r="A523" s="100"/>
      <c r="B523" s="100" t="str">
        <f>IFERROR(VLOOKUP(Tablo520[[#This Row],[ÜRÜN KODU]],YMKODLARI!$A$1:$K$373,2,0)," ")</f>
        <v xml:space="preserve"> </v>
      </c>
      <c r="C523" s="99"/>
      <c r="D523" s="100"/>
      <c r="E523" s="101"/>
      <c r="F523" s="101"/>
      <c r="G523" s="100" t="str">
        <f>IFERROR(VLOOKUP(Tablo520[[#This Row],[ÜRÜN KODU]],YMKODLARI!$A$1:$K$373,3,0)," ")</f>
        <v xml:space="preserve"> </v>
      </c>
      <c r="H523" s="100" t="str">
        <f>IFERROR(VLOOKUP(Tablo520[[#This Row],[ÜRÜN KODU]],YMKODLARI!$A$1:$K$373,4,0)," ")</f>
        <v xml:space="preserve"> </v>
      </c>
      <c r="I523" s="100"/>
      <c r="J523" s="100" t="str">
        <f>IFERROR(VLOOKUP(Tablo520[[#This Row],[ÜRÜN KODU]],YMKODLARI!$A$1:$K$373,9,0)," ")</f>
        <v xml:space="preserve"> </v>
      </c>
      <c r="K523" s="100" t="str">
        <f>IFERROR(VLOOKUP(Tablo520[[#This Row],[BOYA KODU]],Tablo14[#All],4,0)," ")</f>
        <v xml:space="preserve"> </v>
      </c>
      <c r="L523" s="100" t="str">
        <f>IFERROR(VLOOKUP(Tablo520[[#This Row],[BOYA KODU]],Tablo14[#All],6,0)," ")</f>
        <v xml:space="preserve"> </v>
      </c>
      <c r="M523" s="100" t="str">
        <f t="shared" si="56"/>
        <v xml:space="preserve"> </v>
      </c>
      <c r="N523" s="100" t="str">
        <f>IFERROR(VLOOKUP(Tablo520[[#This Row],[ÜRÜN KODU]],YMKODLARI!$A$1:$K$373,8,0)," ")</f>
        <v xml:space="preserve"> </v>
      </c>
      <c r="O523" s="100" t="str">
        <f>IFERROR(VLOOKUP(Tablo520[[#This Row],[HAMMADDE KODU]],Tablo1[#All],3,0)," ")</f>
        <v xml:space="preserve"> </v>
      </c>
      <c r="P523" s="100" t="str">
        <f>IFERROR(VLOOKUP(Tablo520[[#This Row],[HAMMADDE KODU]],Tablo1[#All],4,0)," ")</f>
        <v xml:space="preserve"> </v>
      </c>
      <c r="Q523" s="100" t="str">
        <f>IFERROR(VLOOKUP(Tablo520[[#This Row],[ÜRÜN KODU]],YMKODLARI!$A$1:$K$373,5,0)," ")</f>
        <v xml:space="preserve"> </v>
      </c>
      <c r="R523" s="100" t="str">
        <f>IFERROR(VLOOKUP(Tablo520[[#This Row],[ÜRÜN KODU]],YMKODLARI!$A$1:$K$373,6,0)," ")</f>
        <v xml:space="preserve"> </v>
      </c>
      <c r="S523" s="100" t="str">
        <f>IFERROR(Tablo520[[#This Row],[YOLLUK HARİÇ BASKI GRAMI]]/Tablo520[[#This Row],[KALIP GÖZ ADEDİ]]," ")</f>
        <v xml:space="preserve"> </v>
      </c>
      <c r="T523" s="100" t="str">
        <f t="shared" si="58"/>
        <v xml:space="preserve"> </v>
      </c>
      <c r="U523" s="100"/>
      <c r="V523" s="100" t="str">
        <f t="shared" si="57"/>
        <v xml:space="preserve"> </v>
      </c>
      <c r="W523" s="101">
        <f t="shared" si="59"/>
        <v>24</v>
      </c>
      <c r="X523" s="102">
        <f t="shared" si="60"/>
        <v>0</v>
      </c>
      <c r="Y523" s="100" t="str">
        <f t="shared" si="61"/>
        <v xml:space="preserve"> </v>
      </c>
      <c r="Z523" s="100" t="str">
        <f t="shared" si="62"/>
        <v xml:space="preserve"> </v>
      </c>
    </row>
    <row r="524" spans="1:26">
      <c r="A524" s="100"/>
      <c r="B524" s="100" t="str">
        <f>IFERROR(VLOOKUP(Tablo520[[#This Row],[ÜRÜN KODU]],YMKODLARI!$A$1:$K$373,2,0)," ")</f>
        <v xml:space="preserve"> </v>
      </c>
      <c r="C524" s="99"/>
      <c r="D524" s="100"/>
      <c r="E524" s="101"/>
      <c r="F524" s="101"/>
      <c r="G524" s="100" t="str">
        <f>IFERROR(VLOOKUP(Tablo520[[#This Row],[ÜRÜN KODU]],YMKODLARI!$A$1:$K$373,3,0)," ")</f>
        <v xml:space="preserve"> </v>
      </c>
      <c r="H524" s="100" t="str">
        <f>IFERROR(VLOOKUP(Tablo520[[#This Row],[ÜRÜN KODU]],YMKODLARI!$A$1:$K$373,4,0)," ")</f>
        <v xml:space="preserve"> </v>
      </c>
      <c r="I524" s="100"/>
      <c r="J524" s="100" t="str">
        <f>IFERROR(VLOOKUP(Tablo520[[#This Row],[ÜRÜN KODU]],YMKODLARI!$A$1:$K$373,9,0)," ")</f>
        <v xml:space="preserve"> </v>
      </c>
      <c r="K524" s="100" t="str">
        <f>IFERROR(VLOOKUP(Tablo520[[#This Row],[BOYA KODU]],Tablo14[#All],4,0)," ")</f>
        <v xml:space="preserve"> </v>
      </c>
      <c r="L524" s="100" t="str">
        <f>IFERROR(VLOOKUP(Tablo520[[#This Row],[BOYA KODU]],Tablo14[#All],6,0)," ")</f>
        <v xml:space="preserve"> </v>
      </c>
      <c r="M524" s="100" t="str">
        <f t="shared" si="56"/>
        <v xml:space="preserve"> </v>
      </c>
      <c r="N524" s="100" t="str">
        <f>IFERROR(VLOOKUP(Tablo520[[#This Row],[ÜRÜN KODU]],YMKODLARI!$A$1:$K$373,8,0)," ")</f>
        <v xml:space="preserve"> </v>
      </c>
      <c r="O524" s="100" t="str">
        <f>IFERROR(VLOOKUP(Tablo520[[#This Row],[HAMMADDE KODU]],Tablo1[#All],3,0)," ")</f>
        <v xml:space="preserve"> </v>
      </c>
      <c r="P524" s="100" t="str">
        <f>IFERROR(VLOOKUP(Tablo520[[#This Row],[HAMMADDE KODU]],Tablo1[#All],4,0)," ")</f>
        <v xml:space="preserve"> </v>
      </c>
      <c r="Q524" s="100" t="str">
        <f>IFERROR(VLOOKUP(Tablo520[[#This Row],[ÜRÜN KODU]],YMKODLARI!$A$1:$K$373,5,0)," ")</f>
        <v xml:space="preserve"> </v>
      </c>
      <c r="R524" s="100" t="str">
        <f>IFERROR(VLOOKUP(Tablo520[[#This Row],[ÜRÜN KODU]],YMKODLARI!$A$1:$K$373,6,0)," ")</f>
        <v xml:space="preserve"> </v>
      </c>
      <c r="S524" s="100" t="str">
        <f>IFERROR(Tablo520[[#This Row],[YOLLUK HARİÇ BASKI GRAMI]]/Tablo520[[#This Row],[KALIP GÖZ ADEDİ]]," ")</f>
        <v xml:space="preserve"> </v>
      </c>
      <c r="T524" s="100" t="str">
        <f t="shared" si="58"/>
        <v xml:space="preserve"> </v>
      </c>
      <c r="U524" s="100"/>
      <c r="V524" s="100" t="str">
        <f t="shared" si="57"/>
        <v xml:space="preserve"> </v>
      </c>
      <c r="W524" s="101">
        <f t="shared" si="59"/>
        <v>24</v>
      </c>
      <c r="X524" s="102">
        <f t="shared" si="60"/>
        <v>0</v>
      </c>
      <c r="Y524" s="100" t="str">
        <f t="shared" si="61"/>
        <v xml:space="preserve"> </v>
      </c>
      <c r="Z524" s="100" t="str">
        <f t="shared" si="62"/>
        <v xml:space="preserve"> </v>
      </c>
    </row>
    <row r="525" spans="1:26">
      <c r="A525" s="100"/>
      <c r="B525" s="100" t="str">
        <f>IFERROR(VLOOKUP(Tablo520[[#This Row],[ÜRÜN KODU]],YMKODLARI!$A$1:$K$373,2,0)," ")</f>
        <v xml:space="preserve"> </v>
      </c>
      <c r="C525" s="99"/>
      <c r="D525" s="100"/>
      <c r="E525" s="101"/>
      <c r="F525" s="101"/>
      <c r="G525" s="100" t="str">
        <f>IFERROR(VLOOKUP(Tablo520[[#This Row],[ÜRÜN KODU]],YMKODLARI!$A$1:$K$373,3,0)," ")</f>
        <v xml:space="preserve"> </v>
      </c>
      <c r="H525" s="100" t="str">
        <f>IFERROR(VLOOKUP(Tablo520[[#This Row],[ÜRÜN KODU]],YMKODLARI!$A$1:$K$373,4,0)," ")</f>
        <v xml:space="preserve"> </v>
      </c>
      <c r="I525" s="100"/>
      <c r="J525" s="100" t="str">
        <f>IFERROR(VLOOKUP(Tablo520[[#This Row],[ÜRÜN KODU]],YMKODLARI!$A$1:$K$373,9,0)," ")</f>
        <v xml:space="preserve"> </v>
      </c>
      <c r="K525" s="100" t="str">
        <f>IFERROR(VLOOKUP(Tablo520[[#This Row],[BOYA KODU]],Tablo14[#All],4,0)," ")</f>
        <v xml:space="preserve"> </v>
      </c>
      <c r="L525" s="100" t="str">
        <f>IFERROR(VLOOKUP(Tablo520[[#This Row],[BOYA KODU]],Tablo14[#All],6,0)," ")</f>
        <v xml:space="preserve"> </v>
      </c>
      <c r="M525" s="100" t="str">
        <f t="shared" si="56"/>
        <v xml:space="preserve"> </v>
      </c>
      <c r="N525" s="100" t="str">
        <f>IFERROR(VLOOKUP(Tablo520[[#This Row],[ÜRÜN KODU]],YMKODLARI!$A$1:$K$373,8,0)," ")</f>
        <v xml:space="preserve"> </v>
      </c>
      <c r="O525" s="100" t="str">
        <f>IFERROR(VLOOKUP(Tablo520[[#This Row],[HAMMADDE KODU]],Tablo1[#All],3,0)," ")</f>
        <v xml:space="preserve"> </v>
      </c>
      <c r="P525" s="100" t="str">
        <f>IFERROR(VLOOKUP(Tablo520[[#This Row],[HAMMADDE KODU]],Tablo1[#All],4,0)," ")</f>
        <v xml:space="preserve"> </v>
      </c>
      <c r="Q525" s="100" t="str">
        <f>IFERROR(VLOOKUP(Tablo520[[#This Row],[ÜRÜN KODU]],YMKODLARI!$A$1:$K$373,5,0)," ")</f>
        <v xml:space="preserve"> </v>
      </c>
      <c r="R525" s="100" t="str">
        <f>IFERROR(VLOOKUP(Tablo520[[#This Row],[ÜRÜN KODU]],YMKODLARI!$A$1:$K$373,6,0)," ")</f>
        <v xml:space="preserve"> </v>
      </c>
      <c r="S525" s="100" t="str">
        <f>IFERROR(Tablo520[[#This Row],[YOLLUK HARİÇ BASKI GRAMI]]/Tablo520[[#This Row],[KALIP GÖZ ADEDİ]]," ")</f>
        <v xml:space="preserve"> </v>
      </c>
      <c r="T525" s="100" t="str">
        <f t="shared" si="58"/>
        <v xml:space="preserve"> </v>
      </c>
      <c r="U525" s="100"/>
      <c r="V525" s="100" t="str">
        <f t="shared" si="57"/>
        <v xml:space="preserve"> </v>
      </c>
      <c r="W525" s="101">
        <f t="shared" si="59"/>
        <v>24</v>
      </c>
      <c r="X525" s="102">
        <f t="shared" si="60"/>
        <v>0</v>
      </c>
      <c r="Y525" s="100" t="str">
        <f t="shared" si="61"/>
        <v xml:space="preserve"> </v>
      </c>
      <c r="Z525" s="100" t="str">
        <f t="shared" si="62"/>
        <v xml:space="preserve"> </v>
      </c>
    </row>
    <row r="526" spans="1:26">
      <c r="A526" s="100"/>
      <c r="B526" s="100" t="str">
        <f>IFERROR(VLOOKUP(Tablo520[[#This Row],[ÜRÜN KODU]],YMKODLARI!$A$1:$K$373,2,0)," ")</f>
        <v xml:space="preserve"> </v>
      </c>
      <c r="C526" s="99"/>
      <c r="D526" s="100"/>
      <c r="E526" s="101"/>
      <c r="F526" s="101"/>
      <c r="G526" s="100" t="str">
        <f>IFERROR(VLOOKUP(Tablo520[[#This Row],[ÜRÜN KODU]],YMKODLARI!$A$1:$K$373,3,0)," ")</f>
        <v xml:space="preserve"> </v>
      </c>
      <c r="H526" s="100" t="str">
        <f>IFERROR(VLOOKUP(Tablo520[[#This Row],[ÜRÜN KODU]],YMKODLARI!$A$1:$K$373,4,0)," ")</f>
        <v xml:space="preserve"> </v>
      </c>
      <c r="I526" s="100"/>
      <c r="J526" s="100" t="str">
        <f>IFERROR(VLOOKUP(Tablo520[[#This Row],[ÜRÜN KODU]],YMKODLARI!$A$1:$K$373,9,0)," ")</f>
        <v xml:space="preserve"> </v>
      </c>
      <c r="K526" s="100" t="str">
        <f>IFERROR(VLOOKUP(Tablo520[[#This Row],[BOYA KODU]],Tablo14[#All],4,0)," ")</f>
        <v xml:space="preserve"> </v>
      </c>
      <c r="L526" s="100" t="str">
        <f>IFERROR(VLOOKUP(Tablo520[[#This Row],[BOYA KODU]],Tablo14[#All],6,0)," ")</f>
        <v xml:space="preserve"> </v>
      </c>
      <c r="M526" s="100" t="str">
        <f t="shared" si="56"/>
        <v xml:space="preserve"> </v>
      </c>
      <c r="N526" s="100" t="str">
        <f>IFERROR(VLOOKUP(Tablo520[[#This Row],[ÜRÜN KODU]],YMKODLARI!$A$1:$K$373,8,0)," ")</f>
        <v xml:space="preserve"> </v>
      </c>
      <c r="O526" s="100" t="str">
        <f>IFERROR(VLOOKUP(Tablo520[[#This Row],[HAMMADDE KODU]],Tablo1[#All],3,0)," ")</f>
        <v xml:space="preserve"> </v>
      </c>
      <c r="P526" s="100" t="str">
        <f>IFERROR(VLOOKUP(Tablo520[[#This Row],[HAMMADDE KODU]],Tablo1[#All],4,0)," ")</f>
        <v xml:space="preserve"> </v>
      </c>
      <c r="Q526" s="100" t="str">
        <f>IFERROR(VLOOKUP(Tablo520[[#This Row],[ÜRÜN KODU]],YMKODLARI!$A$1:$K$373,5,0)," ")</f>
        <v xml:space="preserve"> </v>
      </c>
      <c r="R526" s="100" t="str">
        <f>IFERROR(VLOOKUP(Tablo520[[#This Row],[ÜRÜN KODU]],YMKODLARI!$A$1:$K$373,6,0)," ")</f>
        <v xml:space="preserve"> </v>
      </c>
      <c r="S526" s="100" t="str">
        <f>IFERROR(Tablo520[[#This Row],[YOLLUK HARİÇ BASKI GRAMI]]/Tablo520[[#This Row],[KALIP GÖZ ADEDİ]]," ")</f>
        <v xml:space="preserve"> </v>
      </c>
      <c r="T526" s="100" t="str">
        <f t="shared" si="58"/>
        <v xml:space="preserve"> </v>
      </c>
      <c r="U526" s="100"/>
      <c r="V526" s="100" t="str">
        <f t="shared" si="57"/>
        <v xml:space="preserve"> </v>
      </c>
      <c r="W526" s="101">
        <f t="shared" si="59"/>
        <v>24</v>
      </c>
      <c r="X526" s="102">
        <f t="shared" si="60"/>
        <v>0</v>
      </c>
      <c r="Y526" s="100" t="str">
        <f t="shared" si="61"/>
        <v xml:space="preserve"> </v>
      </c>
      <c r="Z526" s="100" t="str">
        <f t="shared" si="62"/>
        <v xml:space="preserve"> </v>
      </c>
    </row>
    <row r="527" spans="1:26">
      <c r="A527" s="100"/>
      <c r="B527" s="100" t="str">
        <f>IFERROR(VLOOKUP(Tablo520[[#This Row],[ÜRÜN KODU]],YMKODLARI!$A$1:$K$373,2,0)," ")</f>
        <v xml:space="preserve"> </v>
      </c>
      <c r="C527" s="99"/>
      <c r="D527" s="100"/>
      <c r="E527" s="101"/>
      <c r="F527" s="101"/>
      <c r="G527" s="100" t="str">
        <f>IFERROR(VLOOKUP(Tablo520[[#This Row],[ÜRÜN KODU]],YMKODLARI!$A$1:$K$373,3,0)," ")</f>
        <v xml:space="preserve"> </v>
      </c>
      <c r="H527" s="100" t="str">
        <f>IFERROR(VLOOKUP(Tablo520[[#This Row],[ÜRÜN KODU]],YMKODLARI!$A$1:$K$373,4,0)," ")</f>
        <v xml:space="preserve"> </v>
      </c>
      <c r="I527" s="100"/>
      <c r="J527" s="100" t="str">
        <f>IFERROR(VLOOKUP(Tablo520[[#This Row],[ÜRÜN KODU]],YMKODLARI!$A$1:$K$373,9,0)," ")</f>
        <v xml:space="preserve"> </v>
      </c>
      <c r="K527" s="100" t="str">
        <f>IFERROR(VLOOKUP(Tablo520[[#This Row],[BOYA KODU]],Tablo14[#All],4,0)," ")</f>
        <v xml:space="preserve"> </v>
      </c>
      <c r="L527" s="100" t="str">
        <f>IFERROR(VLOOKUP(Tablo520[[#This Row],[BOYA KODU]],Tablo14[#All],6,0)," ")</f>
        <v xml:space="preserve"> </v>
      </c>
      <c r="M527" s="100" t="str">
        <f t="shared" si="56"/>
        <v xml:space="preserve"> </v>
      </c>
      <c r="N527" s="100" t="str">
        <f>IFERROR(VLOOKUP(Tablo520[[#This Row],[ÜRÜN KODU]],YMKODLARI!$A$1:$K$373,8,0)," ")</f>
        <v xml:space="preserve"> </v>
      </c>
      <c r="O527" s="100" t="str">
        <f>IFERROR(VLOOKUP(Tablo520[[#This Row],[HAMMADDE KODU]],Tablo1[#All],3,0)," ")</f>
        <v xml:space="preserve"> </v>
      </c>
      <c r="P527" s="100" t="str">
        <f>IFERROR(VLOOKUP(Tablo520[[#This Row],[HAMMADDE KODU]],Tablo1[#All],4,0)," ")</f>
        <v xml:space="preserve"> </v>
      </c>
      <c r="Q527" s="100" t="str">
        <f>IFERROR(VLOOKUP(Tablo520[[#This Row],[ÜRÜN KODU]],YMKODLARI!$A$1:$K$373,5,0)," ")</f>
        <v xml:space="preserve"> </v>
      </c>
      <c r="R527" s="100" t="str">
        <f>IFERROR(VLOOKUP(Tablo520[[#This Row],[ÜRÜN KODU]],YMKODLARI!$A$1:$K$373,6,0)," ")</f>
        <v xml:space="preserve"> </v>
      </c>
      <c r="S527" s="100" t="str">
        <f>IFERROR(Tablo520[[#This Row],[YOLLUK HARİÇ BASKI GRAMI]]/Tablo520[[#This Row],[KALIP GÖZ ADEDİ]]," ")</f>
        <v xml:space="preserve"> </v>
      </c>
      <c r="T527" s="100" t="str">
        <f t="shared" si="58"/>
        <v xml:space="preserve"> </v>
      </c>
      <c r="U527" s="100"/>
      <c r="V527" s="100" t="str">
        <f t="shared" si="57"/>
        <v xml:space="preserve"> </v>
      </c>
      <c r="W527" s="101">
        <f t="shared" si="59"/>
        <v>24</v>
      </c>
      <c r="X527" s="102">
        <f t="shared" si="60"/>
        <v>0</v>
      </c>
      <c r="Y527" s="100" t="str">
        <f t="shared" si="61"/>
        <v xml:space="preserve"> </v>
      </c>
      <c r="Z527" s="100" t="str">
        <f t="shared" si="62"/>
        <v xml:space="preserve"> </v>
      </c>
    </row>
    <row r="528" spans="1:26">
      <c r="A528" s="100"/>
      <c r="B528" s="100" t="str">
        <f>IFERROR(VLOOKUP(Tablo520[[#This Row],[ÜRÜN KODU]],YMKODLARI!$A$1:$K$373,2,0)," ")</f>
        <v xml:space="preserve"> </v>
      </c>
      <c r="C528" s="99"/>
      <c r="D528" s="100"/>
      <c r="E528" s="101"/>
      <c r="F528" s="101"/>
      <c r="G528" s="100" t="str">
        <f>IFERROR(VLOOKUP(Tablo520[[#This Row],[ÜRÜN KODU]],YMKODLARI!$A$1:$K$373,3,0)," ")</f>
        <v xml:space="preserve"> </v>
      </c>
      <c r="H528" s="100" t="str">
        <f>IFERROR(VLOOKUP(Tablo520[[#This Row],[ÜRÜN KODU]],YMKODLARI!$A$1:$K$373,4,0)," ")</f>
        <v xml:space="preserve"> </v>
      </c>
      <c r="I528" s="100"/>
      <c r="J528" s="100" t="str">
        <f>IFERROR(VLOOKUP(Tablo520[[#This Row],[ÜRÜN KODU]],YMKODLARI!$A$1:$K$373,9,0)," ")</f>
        <v xml:space="preserve"> </v>
      </c>
      <c r="K528" s="100" t="str">
        <f>IFERROR(VLOOKUP(Tablo520[[#This Row],[BOYA KODU]],Tablo14[#All],4,0)," ")</f>
        <v xml:space="preserve"> </v>
      </c>
      <c r="L528" s="100" t="str">
        <f>IFERROR(VLOOKUP(Tablo520[[#This Row],[BOYA KODU]],Tablo14[#All],6,0)," ")</f>
        <v xml:space="preserve"> </v>
      </c>
      <c r="M528" s="100" t="str">
        <f t="shared" si="56"/>
        <v xml:space="preserve"> </v>
      </c>
      <c r="N528" s="100" t="str">
        <f>IFERROR(VLOOKUP(Tablo520[[#This Row],[ÜRÜN KODU]],YMKODLARI!$A$1:$K$373,8,0)," ")</f>
        <v xml:space="preserve"> </v>
      </c>
      <c r="O528" s="100" t="str">
        <f>IFERROR(VLOOKUP(Tablo520[[#This Row],[HAMMADDE KODU]],Tablo1[#All],3,0)," ")</f>
        <v xml:space="preserve"> </v>
      </c>
      <c r="P528" s="100" t="str">
        <f>IFERROR(VLOOKUP(Tablo520[[#This Row],[HAMMADDE KODU]],Tablo1[#All],4,0)," ")</f>
        <v xml:space="preserve"> </v>
      </c>
      <c r="Q528" s="100" t="str">
        <f>IFERROR(VLOOKUP(Tablo520[[#This Row],[ÜRÜN KODU]],YMKODLARI!$A$1:$K$373,5,0)," ")</f>
        <v xml:space="preserve"> </v>
      </c>
      <c r="R528" s="100" t="str">
        <f>IFERROR(VLOOKUP(Tablo520[[#This Row],[ÜRÜN KODU]],YMKODLARI!$A$1:$K$373,6,0)," ")</f>
        <v xml:space="preserve"> </v>
      </c>
      <c r="S528" s="100" t="str">
        <f>IFERROR(Tablo520[[#This Row],[YOLLUK HARİÇ BASKI GRAMI]]/Tablo520[[#This Row],[KALIP GÖZ ADEDİ]]," ")</f>
        <v xml:space="preserve"> </v>
      </c>
      <c r="T528" s="100" t="str">
        <f t="shared" si="58"/>
        <v xml:space="preserve"> </v>
      </c>
      <c r="U528" s="100"/>
      <c r="V528" s="100" t="str">
        <f t="shared" si="57"/>
        <v xml:space="preserve"> </v>
      </c>
      <c r="W528" s="101">
        <f t="shared" si="59"/>
        <v>24</v>
      </c>
      <c r="X528" s="102">
        <f t="shared" si="60"/>
        <v>0</v>
      </c>
      <c r="Y528" s="100" t="str">
        <f t="shared" si="61"/>
        <v xml:space="preserve"> </v>
      </c>
      <c r="Z528" s="100" t="str">
        <f t="shared" si="62"/>
        <v xml:space="preserve"> </v>
      </c>
    </row>
    <row r="529" spans="1:26">
      <c r="A529" s="100"/>
      <c r="B529" s="100" t="str">
        <f>IFERROR(VLOOKUP(Tablo520[[#This Row],[ÜRÜN KODU]],YMKODLARI!$A$1:$K$373,2,0)," ")</f>
        <v xml:space="preserve"> </v>
      </c>
      <c r="C529" s="99"/>
      <c r="D529" s="100"/>
      <c r="E529" s="101"/>
      <c r="F529" s="101"/>
      <c r="G529" s="100" t="str">
        <f>IFERROR(VLOOKUP(Tablo520[[#This Row],[ÜRÜN KODU]],YMKODLARI!$A$1:$K$373,3,0)," ")</f>
        <v xml:space="preserve"> </v>
      </c>
      <c r="H529" s="100" t="str">
        <f>IFERROR(VLOOKUP(Tablo520[[#This Row],[ÜRÜN KODU]],YMKODLARI!$A$1:$K$373,4,0)," ")</f>
        <v xml:space="preserve"> </v>
      </c>
      <c r="I529" s="100"/>
      <c r="J529" s="100" t="str">
        <f>IFERROR(VLOOKUP(Tablo520[[#This Row],[ÜRÜN KODU]],YMKODLARI!$A$1:$K$373,9,0)," ")</f>
        <v xml:space="preserve"> </v>
      </c>
      <c r="K529" s="100" t="str">
        <f>IFERROR(VLOOKUP(Tablo520[[#This Row],[BOYA KODU]],Tablo14[#All],4,0)," ")</f>
        <v xml:space="preserve"> </v>
      </c>
      <c r="L529" s="100" t="str">
        <f>IFERROR(VLOOKUP(Tablo520[[#This Row],[BOYA KODU]],Tablo14[#All],6,0)," ")</f>
        <v xml:space="preserve"> </v>
      </c>
      <c r="M529" s="100" t="str">
        <f t="shared" si="56"/>
        <v xml:space="preserve"> </v>
      </c>
      <c r="N529" s="100" t="str">
        <f>IFERROR(VLOOKUP(Tablo520[[#This Row],[ÜRÜN KODU]],YMKODLARI!$A$1:$K$373,8,0)," ")</f>
        <v xml:space="preserve"> </v>
      </c>
      <c r="O529" s="100" t="str">
        <f>IFERROR(VLOOKUP(Tablo520[[#This Row],[HAMMADDE KODU]],Tablo1[#All],3,0)," ")</f>
        <v xml:space="preserve"> </v>
      </c>
      <c r="P529" s="100" t="str">
        <f>IFERROR(VLOOKUP(Tablo520[[#This Row],[HAMMADDE KODU]],Tablo1[#All],4,0)," ")</f>
        <v xml:space="preserve"> </v>
      </c>
      <c r="Q529" s="100" t="str">
        <f>IFERROR(VLOOKUP(Tablo520[[#This Row],[ÜRÜN KODU]],YMKODLARI!$A$1:$K$373,5,0)," ")</f>
        <v xml:space="preserve"> </v>
      </c>
      <c r="R529" s="100" t="str">
        <f>IFERROR(VLOOKUP(Tablo520[[#This Row],[ÜRÜN KODU]],YMKODLARI!$A$1:$K$373,6,0)," ")</f>
        <v xml:space="preserve"> </v>
      </c>
      <c r="S529" s="100" t="str">
        <f>IFERROR(Tablo520[[#This Row],[YOLLUK HARİÇ BASKI GRAMI]]/Tablo520[[#This Row],[KALIP GÖZ ADEDİ]]," ")</f>
        <v xml:space="preserve"> </v>
      </c>
      <c r="T529" s="100" t="str">
        <f t="shared" si="58"/>
        <v xml:space="preserve"> </v>
      </c>
      <c r="U529" s="100"/>
      <c r="V529" s="100" t="str">
        <f t="shared" si="57"/>
        <v xml:space="preserve"> </v>
      </c>
      <c r="W529" s="101">
        <f t="shared" si="59"/>
        <v>24</v>
      </c>
      <c r="X529" s="102">
        <f t="shared" si="60"/>
        <v>0</v>
      </c>
      <c r="Y529" s="100" t="str">
        <f t="shared" si="61"/>
        <v xml:space="preserve"> </v>
      </c>
      <c r="Z529" s="100" t="str">
        <f t="shared" si="62"/>
        <v xml:space="preserve"> </v>
      </c>
    </row>
    <row r="530" spans="1:26">
      <c r="A530" s="100"/>
      <c r="B530" s="100" t="str">
        <f>IFERROR(VLOOKUP(Tablo520[[#This Row],[ÜRÜN KODU]],YMKODLARI!$A$1:$K$373,2,0)," ")</f>
        <v xml:space="preserve"> </v>
      </c>
      <c r="C530" s="99"/>
      <c r="D530" s="100"/>
      <c r="E530" s="101"/>
      <c r="F530" s="101"/>
      <c r="G530" s="100" t="str">
        <f>IFERROR(VLOOKUP(Tablo520[[#This Row],[ÜRÜN KODU]],YMKODLARI!$A$1:$K$373,3,0)," ")</f>
        <v xml:space="preserve"> </v>
      </c>
      <c r="H530" s="100" t="str">
        <f>IFERROR(VLOOKUP(Tablo520[[#This Row],[ÜRÜN KODU]],YMKODLARI!$A$1:$K$373,4,0)," ")</f>
        <v xml:space="preserve"> </v>
      </c>
      <c r="I530" s="100"/>
      <c r="J530" s="100" t="str">
        <f>IFERROR(VLOOKUP(Tablo520[[#This Row],[ÜRÜN KODU]],YMKODLARI!$A$1:$K$373,9,0)," ")</f>
        <v xml:space="preserve"> </v>
      </c>
      <c r="K530" s="100" t="str">
        <f>IFERROR(VLOOKUP(Tablo520[[#This Row],[BOYA KODU]],Tablo14[#All],4,0)," ")</f>
        <v xml:space="preserve"> </v>
      </c>
      <c r="L530" s="100" t="str">
        <f>IFERROR(VLOOKUP(Tablo520[[#This Row],[BOYA KODU]],Tablo14[#All],6,0)," ")</f>
        <v xml:space="preserve"> </v>
      </c>
      <c r="M530" s="100" t="str">
        <f t="shared" si="56"/>
        <v xml:space="preserve"> </v>
      </c>
      <c r="N530" s="100" t="str">
        <f>IFERROR(VLOOKUP(Tablo520[[#This Row],[ÜRÜN KODU]],YMKODLARI!$A$1:$K$373,8,0)," ")</f>
        <v xml:space="preserve"> </v>
      </c>
      <c r="O530" s="100" t="str">
        <f>IFERROR(VLOOKUP(Tablo520[[#This Row],[HAMMADDE KODU]],Tablo1[#All],3,0)," ")</f>
        <v xml:space="preserve"> </v>
      </c>
      <c r="P530" s="100" t="str">
        <f>IFERROR(VLOOKUP(Tablo520[[#This Row],[HAMMADDE KODU]],Tablo1[#All],4,0)," ")</f>
        <v xml:space="preserve"> </v>
      </c>
      <c r="Q530" s="100" t="str">
        <f>IFERROR(VLOOKUP(Tablo520[[#This Row],[ÜRÜN KODU]],YMKODLARI!$A$1:$K$373,5,0)," ")</f>
        <v xml:space="preserve"> </v>
      </c>
      <c r="R530" s="100" t="str">
        <f>IFERROR(VLOOKUP(Tablo520[[#This Row],[ÜRÜN KODU]],YMKODLARI!$A$1:$K$373,6,0)," ")</f>
        <v xml:space="preserve"> </v>
      </c>
      <c r="S530" s="100" t="str">
        <f>IFERROR(Tablo520[[#This Row],[YOLLUK HARİÇ BASKI GRAMI]]/Tablo520[[#This Row],[KALIP GÖZ ADEDİ]]," ")</f>
        <v xml:space="preserve"> </v>
      </c>
      <c r="T530" s="100" t="str">
        <f t="shared" si="58"/>
        <v xml:space="preserve"> </v>
      </c>
      <c r="U530" s="100"/>
      <c r="V530" s="100" t="str">
        <f t="shared" si="57"/>
        <v xml:space="preserve"> </v>
      </c>
      <c r="W530" s="101">
        <f t="shared" si="59"/>
        <v>24</v>
      </c>
      <c r="X530" s="102">
        <f t="shared" si="60"/>
        <v>0</v>
      </c>
      <c r="Y530" s="100" t="str">
        <f t="shared" si="61"/>
        <v xml:space="preserve"> </v>
      </c>
      <c r="Z530" s="100" t="str">
        <f t="shared" si="62"/>
        <v xml:space="preserve"> </v>
      </c>
    </row>
    <row r="531" spans="1:26">
      <c r="A531" s="100"/>
      <c r="B531" s="100" t="str">
        <f>IFERROR(VLOOKUP(Tablo520[[#This Row],[ÜRÜN KODU]],YMKODLARI!$A$1:$K$373,2,0)," ")</f>
        <v xml:space="preserve"> </v>
      </c>
      <c r="C531" s="99"/>
      <c r="D531" s="100"/>
      <c r="E531" s="101"/>
      <c r="F531" s="101"/>
      <c r="G531" s="100" t="str">
        <f>IFERROR(VLOOKUP(Tablo520[[#This Row],[ÜRÜN KODU]],YMKODLARI!$A$1:$K$373,3,0)," ")</f>
        <v xml:space="preserve"> </v>
      </c>
      <c r="H531" s="100" t="str">
        <f>IFERROR(VLOOKUP(Tablo520[[#This Row],[ÜRÜN KODU]],YMKODLARI!$A$1:$K$373,4,0)," ")</f>
        <v xml:space="preserve"> </v>
      </c>
      <c r="I531" s="100"/>
      <c r="J531" s="100" t="str">
        <f>IFERROR(VLOOKUP(Tablo520[[#This Row],[ÜRÜN KODU]],YMKODLARI!$A$1:$K$373,9,0)," ")</f>
        <v xml:space="preserve"> </v>
      </c>
      <c r="K531" s="100" t="str">
        <f>IFERROR(VLOOKUP(Tablo520[[#This Row],[BOYA KODU]],Tablo14[#All],4,0)," ")</f>
        <v xml:space="preserve"> </v>
      </c>
      <c r="L531" s="100" t="str">
        <f>IFERROR(VLOOKUP(Tablo520[[#This Row],[BOYA KODU]],Tablo14[#All],6,0)," ")</f>
        <v xml:space="preserve"> </v>
      </c>
      <c r="M531" s="100" t="str">
        <f t="shared" si="56"/>
        <v xml:space="preserve"> </v>
      </c>
      <c r="N531" s="100" t="str">
        <f>IFERROR(VLOOKUP(Tablo520[[#This Row],[ÜRÜN KODU]],YMKODLARI!$A$1:$K$373,8,0)," ")</f>
        <v xml:space="preserve"> </v>
      </c>
      <c r="O531" s="100" t="str">
        <f>IFERROR(VLOOKUP(Tablo520[[#This Row],[HAMMADDE KODU]],Tablo1[#All],3,0)," ")</f>
        <v xml:space="preserve"> </v>
      </c>
      <c r="P531" s="100" t="str">
        <f>IFERROR(VLOOKUP(Tablo520[[#This Row],[HAMMADDE KODU]],Tablo1[#All],4,0)," ")</f>
        <v xml:space="preserve"> </v>
      </c>
      <c r="Q531" s="100" t="str">
        <f>IFERROR(VLOOKUP(Tablo520[[#This Row],[ÜRÜN KODU]],YMKODLARI!$A$1:$K$373,5,0)," ")</f>
        <v xml:space="preserve"> </v>
      </c>
      <c r="R531" s="100" t="str">
        <f>IFERROR(VLOOKUP(Tablo520[[#This Row],[ÜRÜN KODU]],YMKODLARI!$A$1:$K$373,6,0)," ")</f>
        <v xml:space="preserve"> </v>
      </c>
      <c r="S531" s="100" t="str">
        <f>IFERROR(Tablo520[[#This Row],[YOLLUK HARİÇ BASKI GRAMI]]/Tablo520[[#This Row],[KALIP GÖZ ADEDİ]]," ")</f>
        <v xml:space="preserve"> </v>
      </c>
      <c r="T531" s="100" t="str">
        <f t="shared" si="58"/>
        <v xml:space="preserve"> </v>
      </c>
      <c r="U531" s="100"/>
      <c r="V531" s="100" t="str">
        <f t="shared" si="57"/>
        <v xml:space="preserve"> </v>
      </c>
      <c r="W531" s="101">
        <f t="shared" si="59"/>
        <v>24</v>
      </c>
      <c r="X531" s="102">
        <f t="shared" si="60"/>
        <v>0</v>
      </c>
      <c r="Y531" s="100" t="str">
        <f t="shared" si="61"/>
        <v xml:space="preserve"> </v>
      </c>
      <c r="Z531" s="100" t="str">
        <f t="shared" si="62"/>
        <v xml:space="preserve"> </v>
      </c>
    </row>
    <row r="532" spans="1:26">
      <c r="A532" s="100"/>
      <c r="B532" s="100" t="str">
        <f>IFERROR(VLOOKUP(Tablo520[[#This Row],[ÜRÜN KODU]],YMKODLARI!$A$1:$K$373,2,0)," ")</f>
        <v xml:space="preserve"> </v>
      </c>
      <c r="C532" s="99"/>
      <c r="D532" s="100"/>
      <c r="E532" s="101"/>
      <c r="F532" s="101"/>
      <c r="G532" s="100" t="str">
        <f>IFERROR(VLOOKUP(Tablo520[[#This Row],[ÜRÜN KODU]],YMKODLARI!$A$1:$K$373,3,0)," ")</f>
        <v xml:space="preserve"> </v>
      </c>
      <c r="H532" s="100" t="str">
        <f>IFERROR(VLOOKUP(Tablo520[[#This Row],[ÜRÜN KODU]],YMKODLARI!$A$1:$K$373,4,0)," ")</f>
        <v xml:space="preserve"> </v>
      </c>
      <c r="I532" s="100"/>
      <c r="J532" s="100" t="str">
        <f>IFERROR(VLOOKUP(Tablo520[[#This Row],[ÜRÜN KODU]],YMKODLARI!$A$1:$K$373,9,0)," ")</f>
        <v xml:space="preserve"> </v>
      </c>
      <c r="K532" s="100" t="str">
        <f>IFERROR(VLOOKUP(Tablo520[[#This Row],[BOYA KODU]],Tablo14[#All],4,0)," ")</f>
        <v xml:space="preserve"> </v>
      </c>
      <c r="L532" s="100" t="str">
        <f>IFERROR(VLOOKUP(Tablo520[[#This Row],[BOYA KODU]],Tablo14[#All],6,0)," ")</f>
        <v xml:space="preserve"> </v>
      </c>
      <c r="M532" s="100" t="str">
        <f t="shared" si="56"/>
        <v xml:space="preserve"> </v>
      </c>
      <c r="N532" s="100" t="str">
        <f>IFERROR(VLOOKUP(Tablo520[[#This Row],[ÜRÜN KODU]],YMKODLARI!$A$1:$K$373,8,0)," ")</f>
        <v xml:space="preserve"> </v>
      </c>
      <c r="O532" s="100" t="str">
        <f>IFERROR(VLOOKUP(Tablo520[[#This Row],[HAMMADDE KODU]],Tablo1[#All],3,0)," ")</f>
        <v xml:space="preserve"> </v>
      </c>
      <c r="P532" s="100" t="str">
        <f>IFERROR(VLOOKUP(Tablo520[[#This Row],[HAMMADDE KODU]],Tablo1[#All],4,0)," ")</f>
        <v xml:space="preserve"> </v>
      </c>
      <c r="Q532" s="100" t="str">
        <f>IFERROR(VLOOKUP(Tablo520[[#This Row],[ÜRÜN KODU]],YMKODLARI!$A$1:$K$373,5,0)," ")</f>
        <v xml:space="preserve"> </v>
      </c>
      <c r="R532" s="100" t="str">
        <f>IFERROR(VLOOKUP(Tablo520[[#This Row],[ÜRÜN KODU]],YMKODLARI!$A$1:$K$373,6,0)," ")</f>
        <v xml:space="preserve"> </v>
      </c>
      <c r="S532" s="100" t="str">
        <f>IFERROR(Tablo520[[#This Row],[YOLLUK HARİÇ BASKI GRAMI]]/Tablo520[[#This Row],[KALIP GÖZ ADEDİ]]," ")</f>
        <v xml:space="preserve"> </v>
      </c>
      <c r="T532" s="100" t="str">
        <f t="shared" si="58"/>
        <v xml:space="preserve"> </v>
      </c>
      <c r="U532" s="100"/>
      <c r="V532" s="100" t="str">
        <f t="shared" si="57"/>
        <v xml:space="preserve"> </v>
      </c>
      <c r="W532" s="101">
        <f t="shared" si="59"/>
        <v>24</v>
      </c>
      <c r="X532" s="102">
        <f t="shared" si="60"/>
        <v>0</v>
      </c>
      <c r="Y532" s="100" t="str">
        <f t="shared" si="61"/>
        <v xml:space="preserve"> </v>
      </c>
      <c r="Z532" s="100" t="str">
        <f t="shared" si="62"/>
        <v xml:space="preserve"> </v>
      </c>
    </row>
    <row r="533" spans="1:26">
      <c r="A533" s="100"/>
      <c r="B533" s="100" t="str">
        <f>IFERROR(VLOOKUP(Tablo520[[#This Row],[ÜRÜN KODU]],YMKODLARI!$A$1:$K$373,2,0)," ")</f>
        <v xml:space="preserve"> </v>
      </c>
      <c r="C533" s="99"/>
      <c r="D533" s="100"/>
      <c r="E533" s="101"/>
      <c r="F533" s="101"/>
      <c r="G533" s="100" t="str">
        <f>IFERROR(VLOOKUP(Tablo520[[#This Row],[ÜRÜN KODU]],YMKODLARI!$A$1:$K$373,3,0)," ")</f>
        <v xml:space="preserve"> </v>
      </c>
      <c r="H533" s="100" t="str">
        <f>IFERROR(VLOOKUP(Tablo520[[#This Row],[ÜRÜN KODU]],YMKODLARI!$A$1:$K$373,4,0)," ")</f>
        <v xml:space="preserve"> </v>
      </c>
      <c r="I533" s="100"/>
      <c r="J533" s="100" t="str">
        <f>IFERROR(VLOOKUP(Tablo520[[#This Row],[ÜRÜN KODU]],YMKODLARI!$A$1:$K$373,9,0)," ")</f>
        <v xml:space="preserve"> </v>
      </c>
      <c r="K533" s="100" t="str">
        <f>IFERROR(VLOOKUP(Tablo520[[#This Row],[BOYA KODU]],Tablo14[#All],4,0)," ")</f>
        <v xml:space="preserve"> </v>
      </c>
      <c r="L533" s="100" t="str">
        <f>IFERROR(VLOOKUP(Tablo520[[#This Row],[BOYA KODU]],Tablo14[#All],6,0)," ")</f>
        <v xml:space="preserve"> </v>
      </c>
      <c r="M533" s="100" t="str">
        <f t="shared" si="56"/>
        <v xml:space="preserve"> </v>
      </c>
      <c r="N533" s="100" t="str">
        <f>IFERROR(VLOOKUP(Tablo520[[#This Row],[ÜRÜN KODU]],YMKODLARI!$A$1:$K$373,8,0)," ")</f>
        <v xml:space="preserve"> </v>
      </c>
      <c r="O533" s="100" t="str">
        <f>IFERROR(VLOOKUP(Tablo520[[#This Row],[HAMMADDE KODU]],Tablo1[#All],3,0)," ")</f>
        <v xml:space="preserve"> </v>
      </c>
      <c r="P533" s="100" t="str">
        <f>IFERROR(VLOOKUP(Tablo520[[#This Row],[HAMMADDE KODU]],Tablo1[#All],4,0)," ")</f>
        <v xml:space="preserve"> </v>
      </c>
      <c r="Q533" s="100" t="str">
        <f>IFERROR(VLOOKUP(Tablo520[[#This Row],[ÜRÜN KODU]],YMKODLARI!$A$1:$K$373,5,0)," ")</f>
        <v xml:space="preserve"> </v>
      </c>
      <c r="R533" s="100" t="str">
        <f>IFERROR(VLOOKUP(Tablo520[[#This Row],[ÜRÜN KODU]],YMKODLARI!$A$1:$K$373,6,0)," ")</f>
        <v xml:space="preserve"> </v>
      </c>
      <c r="S533" s="100" t="str">
        <f>IFERROR(Tablo520[[#This Row],[YOLLUK HARİÇ BASKI GRAMI]]/Tablo520[[#This Row],[KALIP GÖZ ADEDİ]]," ")</f>
        <v xml:space="preserve"> </v>
      </c>
      <c r="T533" s="100" t="str">
        <f t="shared" si="58"/>
        <v xml:space="preserve"> </v>
      </c>
      <c r="U533" s="100"/>
      <c r="V533" s="100" t="str">
        <f t="shared" si="57"/>
        <v xml:space="preserve"> </v>
      </c>
      <c r="W533" s="101">
        <f t="shared" si="59"/>
        <v>24</v>
      </c>
      <c r="X533" s="102">
        <f t="shared" si="60"/>
        <v>0</v>
      </c>
      <c r="Y533" s="100" t="str">
        <f t="shared" si="61"/>
        <v xml:space="preserve"> </v>
      </c>
      <c r="Z533" s="100" t="str">
        <f t="shared" si="62"/>
        <v xml:space="preserve"> </v>
      </c>
    </row>
    <row r="534" spans="1:26">
      <c r="A534" s="100"/>
      <c r="B534" s="100" t="str">
        <f>IFERROR(VLOOKUP(Tablo520[[#This Row],[ÜRÜN KODU]],YMKODLARI!$A$1:$K$373,2,0)," ")</f>
        <v xml:space="preserve"> </v>
      </c>
      <c r="C534" s="99"/>
      <c r="D534" s="100"/>
      <c r="E534" s="101"/>
      <c r="F534" s="101"/>
      <c r="G534" s="100" t="str">
        <f>IFERROR(VLOOKUP(Tablo520[[#This Row],[ÜRÜN KODU]],YMKODLARI!$A$1:$K$373,3,0)," ")</f>
        <v xml:space="preserve"> </v>
      </c>
      <c r="H534" s="100" t="str">
        <f>IFERROR(VLOOKUP(Tablo520[[#This Row],[ÜRÜN KODU]],YMKODLARI!$A$1:$K$373,4,0)," ")</f>
        <v xml:space="preserve"> </v>
      </c>
      <c r="I534" s="100"/>
      <c r="J534" s="100" t="str">
        <f>IFERROR(VLOOKUP(Tablo520[[#This Row],[ÜRÜN KODU]],YMKODLARI!$A$1:$K$373,9,0)," ")</f>
        <v xml:space="preserve"> </v>
      </c>
      <c r="K534" s="100" t="str">
        <f>IFERROR(VLOOKUP(Tablo520[[#This Row],[BOYA KODU]],Tablo14[#All],4,0)," ")</f>
        <v xml:space="preserve"> </v>
      </c>
      <c r="L534" s="100" t="str">
        <f>IFERROR(VLOOKUP(Tablo520[[#This Row],[BOYA KODU]],Tablo14[#All],6,0)," ")</f>
        <v xml:space="preserve"> </v>
      </c>
      <c r="M534" s="100" t="str">
        <f t="shared" si="56"/>
        <v xml:space="preserve"> </v>
      </c>
      <c r="N534" s="100" t="str">
        <f>IFERROR(VLOOKUP(Tablo520[[#This Row],[ÜRÜN KODU]],YMKODLARI!$A$1:$K$373,8,0)," ")</f>
        <v xml:space="preserve"> </v>
      </c>
      <c r="O534" s="100" t="str">
        <f>IFERROR(VLOOKUP(Tablo520[[#This Row],[HAMMADDE KODU]],Tablo1[#All],3,0)," ")</f>
        <v xml:space="preserve"> </v>
      </c>
      <c r="P534" s="100" t="str">
        <f>IFERROR(VLOOKUP(Tablo520[[#This Row],[HAMMADDE KODU]],Tablo1[#All],4,0)," ")</f>
        <v xml:space="preserve"> </v>
      </c>
      <c r="Q534" s="100" t="str">
        <f>IFERROR(VLOOKUP(Tablo520[[#This Row],[ÜRÜN KODU]],YMKODLARI!$A$1:$K$373,5,0)," ")</f>
        <v xml:space="preserve"> </v>
      </c>
      <c r="R534" s="100" t="str">
        <f>IFERROR(VLOOKUP(Tablo520[[#This Row],[ÜRÜN KODU]],YMKODLARI!$A$1:$K$373,6,0)," ")</f>
        <v xml:space="preserve"> </v>
      </c>
      <c r="S534" s="100" t="str">
        <f>IFERROR(Tablo520[[#This Row],[YOLLUK HARİÇ BASKI GRAMI]]/Tablo520[[#This Row],[KALIP GÖZ ADEDİ]]," ")</f>
        <v xml:space="preserve"> </v>
      </c>
      <c r="T534" s="100" t="str">
        <f t="shared" si="58"/>
        <v xml:space="preserve"> </v>
      </c>
      <c r="U534" s="100"/>
      <c r="V534" s="100" t="str">
        <f t="shared" si="57"/>
        <v xml:space="preserve"> </v>
      </c>
      <c r="W534" s="101">
        <f t="shared" si="59"/>
        <v>24</v>
      </c>
      <c r="X534" s="102">
        <f t="shared" si="60"/>
        <v>0</v>
      </c>
      <c r="Y534" s="100" t="str">
        <f t="shared" si="61"/>
        <v xml:space="preserve"> </v>
      </c>
      <c r="Z534" s="100" t="str">
        <f t="shared" si="62"/>
        <v xml:space="preserve"> </v>
      </c>
    </row>
    <row r="535" spans="1:26">
      <c r="A535" s="100"/>
      <c r="B535" s="100" t="str">
        <f>IFERROR(VLOOKUP(Tablo520[[#This Row],[ÜRÜN KODU]],YMKODLARI!$A$1:$K$373,2,0)," ")</f>
        <v xml:space="preserve"> </v>
      </c>
      <c r="C535" s="99"/>
      <c r="D535" s="100"/>
      <c r="E535" s="101"/>
      <c r="F535" s="101"/>
      <c r="G535" s="100" t="str">
        <f>IFERROR(VLOOKUP(Tablo520[[#This Row],[ÜRÜN KODU]],YMKODLARI!$A$1:$K$373,3,0)," ")</f>
        <v xml:space="preserve"> </v>
      </c>
      <c r="H535" s="100" t="str">
        <f>IFERROR(VLOOKUP(Tablo520[[#This Row],[ÜRÜN KODU]],YMKODLARI!$A$1:$K$373,4,0)," ")</f>
        <v xml:space="preserve"> </v>
      </c>
      <c r="I535" s="100"/>
      <c r="J535" s="100" t="str">
        <f>IFERROR(VLOOKUP(Tablo520[[#This Row],[ÜRÜN KODU]],YMKODLARI!$A$1:$K$373,9,0)," ")</f>
        <v xml:space="preserve"> </v>
      </c>
      <c r="K535" s="100" t="str">
        <f>IFERROR(VLOOKUP(Tablo520[[#This Row],[BOYA KODU]],Tablo14[#All],4,0)," ")</f>
        <v xml:space="preserve"> </v>
      </c>
      <c r="L535" s="100" t="str">
        <f>IFERROR(VLOOKUP(Tablo520[[#This Row],[BOYA KODU]],Tablo14[#All],6,0)," ")</f>
        <v xml:space="preserve"> </v>
      </c>
      <c r="M535" s="100" t="str">
        <f t="shared" si="56"/>
        <v xml:space="preserve"> </v>
      </c>
      <c r="N535" s="100" t="str">
        <f>IFERROR(VLOOKUP(Tablo520[[#This Row],[ÜRÜN KODU]],YMKODLARI!$A$1:$K$373,8,0)," ")</f>
        <v xml:space="preserve"> </v>
      </c>
      <c r="O535" s="100" t="str">
        <f>IFERROR(VLOOKUP(Tablo520[[#This Row],[HAMMADDE KODU]],Tablo1[#All],3,0)," ")</f>
        <v xml:space="preserve"> </v>
      </c>
      <c r="P535" s="100" t="str">
        <f>IFERROR(VLOOKUP(Tablo520[[#This Row],[HAMMADDE KODU]],Tablo1[#All],4,0)," ")</f>
        <v xml:space="preserve"> </v>
      </c>
      <c r="Q535" s="100" t="str">
        <f>IFERROR(VLOOKUP(Tablo520[[#This Row],[ÜRÜN KODU]],YMKODLARI!$A$1:$K$373,5,0)," ")</f>
        <v xml:space="preserve"> </v>
      </c>
      <c r="R535" s="100" t="str">
        <f>IFERROR(VLOOKUP(Tablo520[[#This Row],[ÜRÜN KODU]],YMKODLARI!$A$1:$K$373,6,0)," ")</f>
        <v xml:space="preserve"> </v>
      </c>
      <c r="S535" s="100" t="str">
        <f>IFERROR(Tablo520[[#This Row],[YOLLUK HARİÇ BASKI GRAMI]]/Tablo520[[#This Row],[KALIP GÖZ ADEDİ]]," ")</f>
        <v xml:space="preserve"> </v>
      </c>
      <c r="T535" s="100" t="str">
        <f t="shared" si="58"/>
        <v xml:space="preserve"> </v>
      </c>
      <c r="U535" s="100"/>
      <c r="V535" s="100" t="str">
        <f t="shared" si="57"/>
        <v xml:space="preserve"> </v>
      </c>
      <c r="W535" s="101">
        <f t="shared" si="59"/>
        <v>24</v>
      </c>
      <c r="X535" s="102">
        <f t="shared" si="60"/>
        <v>0</v>
      </c>
      <c r="Y535" s="100" t="str">
        <f t="shared" si="61"/>
        <v xml:space="preserve"> </v>
      </c>
      <c r="Z535" s="100" t="str">
        <f t="shared" si="62"/>
        <v xml:space="preserve"> </v>
      </c>
    </row>
    <row r="536" spans="1:26">
      <c r="A536" s="100"/>
      <c r="B536" s="100" t="str">
        <f>IFERROR(VLOOKUP(Tablo520[[#This Row],[ÜRÜN KODU]],YMKODLARI!$A$1:$K$373,2,0)," ")</f>
        <v xml:space="preserve"> </v>
      </c>
      <c r="C536" s="99"/>
      <c r="D536" s="100"/>
      <c r="E536" s="101"/>
      <c r="F536" s="101"/>
      <c r="G536" s="100" t="str">
        <f>IFERROR(VLOOKUP(Tablo520[[#This Row],[ÜRÜN KODU]],YMKODLARI!$A$1:$K$373,3,0)," ")</f>
        <v xml:space="preserve"> </v>
      </c>
      <c r="H536" s="100" t="str">
        <f>IFERROR(VLOOKUP(Tablo520[[#This Row],[ÜRÜN KODU]],YMKODLARI!$A$1:$K$373,4,0)," ")</f>
        <v xml:space="preserve"> </v>
      </c>
      <c r="I536" s="100"/>
      <c r="J536" s="100" t="str">
        <f>IFERROR(VLOOKUP(Tablo520[[#This Row],[ÜRÜN KODU]],YMKODLARI!$A$1:$K$373,9,0)," ")</f>
        <v xml:space="preserve"> </v>
      </c>
      <c r="K536" s="100" t="str">
        <f>IFERROR(VLOOKUP(Tablo520[[#This Row],[BOYA KODU]],Tablo14[#All],4,0)," ")</f>
        <v xml:space="preserve"> </v>
      </c>
      <c r="L536" s="100" t="str">
        <f>IFERROR(VLOOKUP(Tablo520[[#This Row],[BOYA KODU]],Tablo14[#All],6,0)," ")</f>
        <v xml:space="preserve"> </v>
      </c>
      <c r="M536" s="100" t="str">
        <f t="shared" si="56"/>
        <v xml:space="preserve"> </v>
      </c>
      <c r="N536" s="100" t="str">
        <f>IFERROR(VLOOKUP(Tablo520[[#This Row],[ÜRÜN KODU]],YMKODLARI!$A$1:$K$373,8,0)," ")</f>
        <v xml:space="preserve"> </v>
      </c>
      <c r="O536" s="100" t="str">
        <f>IFERROR(VLOOKUP(Tablo520[[#This Row],[HAMMADDE KODU]],Tablo1[#All],3,0)," ")</f>
        <v xml:space="preserve"> </v>
      </c>
      <c r="P536" s="100" t="str">
        <f>IFERROR(VLOOKUP(Tablo520[[#This Row],[HAMMADDE KODU]],Tablo1[#All],4,0)," ")</f>
        <v xml:space="preserve"> </v>
      </c>
      <c r="Q536" s="100" t="str">
        <f>IFERROR(VLOOKUP(Tablo520[[#This Row],[ÜRÜN KODU]],YMKODLARI!$A$1:$K$373,5,0)," ")</f>
        <v xml:space="preserve"> </v>
      </c>
      <c r="R536" s="100" t="str">
        <f>IFERROR(VLOOKUP(Tablo520[[#This Row],[ÜRÜN KODU]],YMKODLARI!$A$1:$K$373,6,0)," ")</f>
        <v xml:space="preserve"> </v>
      </c>
      <c r="S536" s="100" t="str">
        <f>IFERROR(Tablo520[[#This Row],[YOLLUK HARİÇ BASKI GRAMI]]/Tablo520[[#This Row],[KALIP GÖZ ADEDİ]]," ")</f>
        <v xml:space="preserve"> </v>
      </c>
      <c r="T536" s="100" t="str">
        <f t="shared" si="58"/>
        <v xml:space="preserve"> </v>
      </c>
      <c r="U536" s="100"/>
      <c r="V536" s="100" t="str">
        <f t="shared" si="57"/>
        <v xml:space="preserve"> </v>
      </c>
      <c r="W536" s="101">
        <f t="shared" si="59"/>
        <v>24</v>
      </c>
      <c r="X536" s="102">
        <f t="shared" si="60"/>
        <v>0</v>
      </c>
      <c r="Y536" s="100" t="str">
        <f t="shared" si="61"/>
        <v xml:space="preserve"> </v>
      </c>
      <c r="Z536" s="100" t="str">
        <f t="shared" si="62"/>
        <v xml:space="preserve"> </v>
      </c>
    </row>
    <row r="537" spans="1:26">
      <c r="A537" s="100"/>
      <c r="B537" s="100" t="str">
        <f>IFERROR(VLOOKUP(Tablo520[[#This Row],[ÜRÜN KODU]],YMKODLARI!$A$1:$K$373,2,0)," ")</f>
        <v xml:space="preserve"> </v>
      </c>
      <c r="C537" s="99"/>
      <c r="D537" s="100"/>
      <c r="E537" s="101"/>
      <c r="F537" s="101"/>
      <c r="G537" s="100" t="str">
        <f>IFERROR(VLOOKUP(Tablo520[[#This Row],[ÜRÜN KODU]],YMKODLARI!$A$1:$K$373,3,0)," ")</f>
        <v xml:space="preserve"> </v>
      </c>
      <c r="H537" s="100" t="str">
        <f>IFERROR(VLOOKUP(Tablo520[[#This Row],[ÜRÜN KODU]],YMKODLARI!$A$1:$K$373,4,0)," ")</f>
        <v xml:space="preserve"> </v>
      </c>
      <c r="I537" s="100"/>
      <c r="J537" s="100" t="str">
        <f>IFERROR(VLOOKUP(Tablo520[[#This Row],[ÜRÜN KODU]],YMKODLARI!$A$1:$K$373,9,0)," ")</f>
        <v xml:space="preserve"> </v>
      </c>
      <c r="K537" s="100" t="str">
        <f>IFERROR(VLOOKUP(Tablo520[[#This Row],[BOYA KODU]],Tablo14[#All],4,0)," ")</f>
        <v xml:space="preserve"> </v>
      </c>
      <c r="L537" s="100" t="str">
        <f>IFERROR(VLOOKUP(Tablo520[[#This Row],[BOYA KODU]],Tablo14[#All],6,0)," ")</f>
        <v xml:space="preserve"> </v>
      </c>
      <c r="M537" s="100" t="str">
        <f t="shared" si="56"/>
        <v xml:space="preserve"> </v>
      </c>
      <c r="N537" s="100" t="str">
        <f>IFERROR(VLOOKUP(Tablo520[[#This Row],[ÜRÜN KODU]],YMKODLARI!$A$1:$K$373,8,0)," ")</f>
        <v xml:space="preserve"> </v>
      </c>
      <c r="O537" s="100" t="str">
        <f>IFERROR(VLOOKUP(Tablo520[[#This Row],[HAMMADDE KODU]],Tablo1[#All],3,0)," ")</f>
        <v xml:space="preserve"> </v>
      </c>
      <c r="P537" s="100" t="str">
        <f>IFERROR(VLOOKUP(Tablo520[[#This Row],[HAMMADDE KODU]],Tablo1[#All],4,0)," ")</f>
        <v xml:space="preserve"> </v>
      </c>
      <c r="Q537" s="100" t="str">
        <f>IFERROR(VLOOKUP(Tablo520[[#This Row],[ÜRÜN KODU]],YMKODLARI!$A$1:$K$373,5,0)," ")</f>
        <v xml:space="preserve"> </v>
      </c>
      <c r="R537" s="100" t="str">
        <f>IFERROR(VLOOKUP(Tablo520[[#This Row],[ÜRÜN KODU]],YMKODLARI!$A$1:$K$373,6,0)," ")</f>
        <v xml:space="preserve"> </v>
      </c>
      <c r="S537" s="100" t="str">
        <f>IFERROR(Tablo520[[#This Row],[YOLLUK HARİÇ BASKI GRAMI]]/Tablo520[[#This Row],[KALIP GÖZ ADEDİ]]," ")</f>
        <v xml:space="preserve"> </v>
      </c>
      <c r="T537" s="100" t="str">
        <f t="shared" si="58"/>
        <v xml:space="preserve"> </v>
      </c>
      <c r="U537" s="100"/>
      <c r="V537" s="100" t="str">
        <f t="shared" si="57"/>
        <v xml:space="preserve"> </v>
      </c>
      <c r="W537" s="101">
        <f t="shared" si="59"/>
        <v>24</v>
      </c>
      <c r="X537" s="102">
        <f t="shared" si="60"/>
        <v>0</v>
      </c>
      <c r="Y537" s="100" t="str">
        <f t="shared" si="61"/>
        <v xml:space="preserve"> </v>
      </c>
      <c r="Z537" s="100" t="str">
        <f t="shared" si="62"/>
        <v xml:space="preserve"> </v>
      </c>
    </row>
    <row r="538" spans="1:26">
      <c r="A538" s="100"/>
      <c r="B538" s="100" t="str">
        <f>IFERROR(VLOOKUP(Tablo520[[#This Row],[ÜRÜN KODU]],YMKODLARI!$A$1:$K$373,2,0)," ")</f>
        <v xml:space="preserve"> </v>
      </c>
      <c r="C538" s="99"/>
      <c r="D538" s="100"/>
      <c r="E538" s="101"/>
      <c r="F538" s="101"/>
      <c r="G538" s="100" t="str">
        <f>IFERROR(VLOOKUP(Tablo520[[#This Row],[ÜRÜN KODU]],YMKODLARI!$A$1:$K$373,3,0)," ")</f>
        <v xml:space="preserve"> </v>
      </c>
      <c r="H538" s="100" t="str">
        <f>IFERROR(VLOOKUP(Tablo520[[#This Row],[ÜRÜN KODU]],YMKODLARI!$A$1:$K$373,4,0)," ")</f>
        <v xml:space="preserve"> </v>
      </c>
      <c r="I538" s="100"/>
      <c r="J538" s="100" t="str">
        <f>IFERROR(VLOOKUP(Tablo520[[#This Row],[ÜRÜN KODU]],YMKODLARI!$A$1:$K$373,9,0)," ")</f>
        <v xml:space="preserve"> </v>
      </c>
      <c r="K538" s="100" t="str">
        <f>IFERROR(VLOOKUP(Tablo520[[#This Row],[BOYA KODU]],Tablo14[#All],4,0)," ")</f>
        <v xml:space="preserve"> </v>
      </c>
      <c r="L538" s="100" t="str">
        <f>IFERROR(VLOOKUP(Tablo520[[#This Row],[BOYA KODU]],Tablo14[#All],6,0)," ")</f>
        <v xml:space="preserve"> </v>
      </c>
      <c r="M538" s="100" t="str">
        <f t="shared" si="56"/>
        <v xml:space="preserve"> </v>
      </c>
      <c r="N538" s="100" t="str">
        <f>IFERROR(VLOOKUP(Tablo520[[#This Row],[ÜRÜN KODU]],YMKODLARI!$A$1:$K$373,8,0)," ")</f>
        <v xml:space="preserve"> </v>
      </c>
      <c r="O538" s="100" t="str">
        <f>IFERROR(VLOOKUP(Tablo520[[#This Row],[HAMMADDE KODU]],Tablo1[#All],3,0)," ")</f>
        <v xml:space="preserve"> </v>
      </c>
      <c r="P538" s="100" t="str">
        <f>IFERROR(VLOOKUP(Tablo520[[#This Row],[HAMMADDE KODU]],Tablo1[#All],4,0)," ")</f>
        <v xml:space="preserve"> </v>
      </c>
      <c r="Q538" s="100" t="str">
        <f>IFERROR(VLOOKUP(Tablo520[[#This Row],[ÜRÜN KODU]],YMKODLARI!$A$1:$K$373,5,0)," ")</f>
        <v xml:space="preserve"> </v>
      </c>
      <c r="R538" s="100" t="str">
        <f>IFERROR(VLOOKUP(Tablo520[[#This Row],[ÜRÜN KODU]],YMKODLARI!$A$1:$K$373,6,0)," ")</f>
        <v xml:space="preserve"> </v>
      </c>
      <c r="S538" s="100" t="str">
        <f>IFERROR(Tablo520[[#This Row],[YOLLUK HARİÇ BASKI GRAMI]]/Tablo520[[#This Row],[KALIP GÖZ ADEDİ]]," ")</f>
        <v xml:space="preserve"> </v>
      </c>
      <c r="T538" s="100" t="str">
        <f t="shared" si="58"/>
        <v xml:space="preserve"> </v>
      </c>
      <c r="U538" s="100"/>
      <c r="V538" s="100" t="str">
        <f t="shared" si="57"/>
        <v xml:space="preserve"> </v>
      </c>
      <c r="W538" s="101">
        <f t="shared" si="59"/>
        <v>24</v>
      </c>
      <c r="X538" s="102">
        <f t="shared" si="60"/>
        <v>0</v>
      </c>
      <c r="Y538" s="100" t="str">
        <f t="shared" si="61"/>
        <v xml:space="preserve"> </v>
      </c>
      <c r="Z538" s="100" t="str">
        <f t="shared" si="62"/>
        <v xml:space="preserve"> </v>
      </c>
    </row>
    <row r="539" spans="1:26">
      <c r="A539" s="100"/>
      <c r="B539" s="100" t="str">
        <f>IFERROR(VLOOKUP(Tablo520[[#This Row],[ÜRÜN KODU]],YMKODLARI!$A$1:$K$373,2,0)," ")</f>
        <v xml:space="preserve"> </v>
      </c>
      <c r="C539" s="99"/>
      <c r="D539" s="100"/>
      <c r="E539" s="101"/>
      <c r="F539" s="101"/>
      <c r="G539" s="100" t="str">
        <f>IFERROR(VLOOKUP(Tablo520[[#This Row],[ÜRÜN KODU]],YMKODLARI!$A$1:$K$373,3,0)," ")</f>
        <v xml:space="preserve"> </v>
      </c>
      <c r="H539" s="100" t="str">
        <f>IFERROR(VLOOKUP(Tablo520[[#This Row],[ÜRÜN KODU]],YMKODLARI!$A$1:$K$373,4,0)," ")</f>
        <v xml:space="preserve"> </v>
      </c>
      <c r="I539" s="100"/>
      <c r="J539" s="100" t="str">
        <f>IFERROR(VLOOKUP(Tablo520[[#This Row],[ÜRÜN KODU]],YMKODLARI!$A$1:$K$373,9,0)," ")</f>
        <v xml:space="preserve"> </v>
      </c>
      <c r="K539" s="100" t="str">
        <f>IFERROR(VLOOKUP(Tablo520[[#This Row],[BOYA KODU]],Tablo14[#All],4,0)," ")</f>
        <v xml:space="preserve"> </v>
      </c>
      <c r="L539" s="100" t="str">
        <f>IFERROR(VLOOKUP(Tablo520[[#This Row],[BOYA KODU]],Tablo14[#All],6,0)," ")</f>
        <v xml:space="preserve"> </v>
      </c>
      <c r="M539" s="100" t="str">
        <f t="shared" si="56"/>
        <v xml:space="preserve"> </v>
      </c>
      <c r="N539" s="100" t="str">
        <f>IFERROR(VLOOKUP(Tablo520[[#This Row],[ÜRÜN KODU]],YMKODLARI!$A$1:$K$373,8,0)," ")</f>
        <v xml:space="preserve"> </v>
      </c>
      <c r="O539" s="100" t="str">
        <f>IFERROR(VLOOKUP(Tablo520[[#This Row],[HAMMADDE KODU]],Tablo1[#All],3,0)," ")</f>
        <v xml:space="preserve"> </v>
      </c>
      <c r="P539" s="100" t="str">
        <f>IFERROR(VLOOKUP(Tablo520[[#This Row],[HAMMADDE KODU]],Tablo1[#All],4,0)," ")</f>
        <v xml:space="preserve"> </v>
      </c>
      <c r="Q539" s="100" t="str">
        <f>IFERROR(VLOOKUP(Tablo520[[#This Row],[ÜRÜN KODU]],YMKODLARI!$A$1:$K$373,5,0)," ")</f>
        <v xml:space="preserve"> </v>
      </c>
      <c r="R539" s="100" t="str">
        <f>IFERROR(VLOOKUP(Tablo520[[#This Row],[ÜRÜN KODU]],YMKODLARI!$A$1:$K$373,6,0)," ")</f>
        <v xml:space="preserve"> </v>
      </c>
      <c r="S539" s="100" t="str">
        <f>IFERROR(Tablo520[[#This Row],[YOLLUK HARİÇ BASKI GRAMI]]/Tablo520[[#This Row],[KALIP GÖZ ADEDİ]]," ")</f>
        <v xml:space="preserve"> </v>
      </c>
      <c r="T539" s="100" t="str">
        <f t="shared" si="58"/>
        <v xml:space="preserve"> </v>
      </c>
      <c r="U539" s="100"/>
      <c r="V539" s="100" t="str">
        <f t="shared" si="57"/>
        <v xml:space="preserve"> </v>
      </c>
      <c r="W539" s="101">
        <f t="shared" si="59"/>
        <v>24</v>
      </c>
      <c r="X539" s="102">
        <f t="shared" si="60"/>
        <v>0</v>
      </c>
      <c r="Y539" s="100" t="str">
        <f t="shared" si="61"/>
        <v xml:space="preserve"> </v>
      </c>
      <c r="Z539" s="100" t="str">
        <f t="shared" si="62"/>
        <v xml:space="preserve"> </v>
      </c>
    </row>
    <row r="540" spans="1:26">
      <c r="A540" s="100"/>
      <c r="B540" s="100" t="str">
        <f>IFERROR(VLOOKUP(Tablo520[[#This Row],[ÜRÜN KODU]],YMKODLARI!$A$1:$K$373,2,0)," ")</f>
        <v xml:space="preserve"> </v>
      </c>
      <c r="C540" s="99"/>
      <c r="D540" s="100"/>
      <c r="E540" s="101"/>
      <c r="F540" s="101"/>
      <c r="G540" s="100" t="str">
        <f>IFERROR(VLOOKUP(Tablo520[[#This Row],[ÜRÜN KODU]],YMKODLARI!$A$1:$K$373,3,0)," ")</f>
        <v xml:space="preserve"> </v>
      </c>
      <c r="H540" s="100" t="str">
        <f>IFERROR(VLOOKUP(Tablo520[[#This Row],[ÜRÜN KODU]],YMKODLARI!$A$1:$K$373,4,0)," ")</f>
        <v xml:space="preserve"> </v>
      </c>
      <c r="I540" s="100"/>
      <c r="J540" s="100" t="str">
        <f>IFERROR(VLOOKUP(Tablo520[[#This Row],[ÜRÜN KODU]],YMKODLARI!$A$1:$K$373,9,0)," ")</f>
        <v xml:space="preserve"> </v>
      </c>
      <c r="K540" s="100" t="str">
        <f>IFERROR(VLOOKUP(Tablo520[[#This Row],[BOYA KODU]],Tablo14[#All],4,0)," ")</f>
        <v xml:space="preserve"> </v>
      </c>
      <c r="L540" s="100" t="str">
        <f>IFERROR(VLOOKUP(Tablo520[[#This Row],[BOYA KODU]],Tablo14[#All],6,0)," ")</f>
        <v xml:space="preserve"> </v>
      </c>
      <c r="M540" s="100" t="str">
        <f t="shared" si="56"/>
        <v xml:space="preserve"> </v>
      </c>
      <c r="N540" s="100" t="str">
        <f>IFERROR(VLOOKUP(Tablo520[[#This Row],[ÜRÜN KODU]],YMKODLARI!$A$1:$K$373,8,0)," ")</f>
        <v xml:space="preserve"> </v>
      </c>
      <c r="O540" s="100" t="str">
        <f>IFERROR(VLOOKUP(Tablo520[[#This Row],[HAMMADDE KODU]],Tablo1[#All],3,0)," ")</f>
        <v xml:space="preserve"> </v>
      </c>
      <c r="P540" s="100" t="str">
        <f>IFERROR(VLOOKUP(Tablo520[[#This Row],[HAMMADDE KODU]],Tablo1[#All],4,0)," ")</f>
        <v xml:space="preserve"> </v>
      </c>
      <c r="Q540" s="100" t="str">
        <f>IFERROR(VLOOKUP(Tablo520[[#This Row],[ÜRÜN KODU]],YMKODLARI!$A$1:$K$373,5,0)," ")</f>
        <v xml:space="preserve"> </v>
      </c>
      <c r="R540" s="100" t="str">
        <f>IFERROR(VLOOKUP(Tablo520[[#This Row],[ÜRÜN KODU]],YMKODLARI!$A$1:$K$373,6,0)," ")</f>
        <v xml:space="preserve"> </v>
      </c>
      <c r="S540" s="100" t="str">
        <f>IFERROR(Tablo520[[#This Row],[YOLLUK HARİÇ BASKI GRAMI]]/Tablo520[[#This Row],[KALIP GÖZ ADEDİ]]," ")</f>
        <v xml:space="preserve"> </v>
      </c>
      <c r="T540" s="100" t="str">
        <f t="shared" si="58"/>
        <v xml:space="preserve"> </v>
      </c>
      <c r="U540" s="100"/>
      <c r="V540" s="100" t="str">
        <f t="shared" si="57"/>
        <v xml:space="preserve"> </v>
      </c>
      <c r="W540" s="101">
        <f t="shared" si="59"/>
        <v>24</v>
      </c>
      <c r="X540" s="102">
        <f t="shared" si="60"/>
        <v>0</v>
      </c>
      <c r="Y540" s="100" t="str">
        <f t="shared" si="61"/>
        <v xml:space="preserve"> </v>
      </c>
      <c r="Z540" s="100" t="str">
        <f t="shared" si="62"/>
        <v xml:space="preserve"> </v>
      </c>
    </row>
    <row r="541" spans="1:26">
      <c r="A541" s="100"/>
      <c r="B541" s="100" t="str">
        <f>IFERROR(VLOOKUP(Tablo520[[#This Row],[ÜRÜN KODU]],YMKODLARI!$A$1:$K$373,2,0)," ")</f>
        <v xml:space="preserve"> </v>
      </c>
      <c r="C541" s="99"/>
      <c r="D541" s="100"/>
      <c r="E541" s="101"/>
      <c r="F541" s="101"/>
      <c r="G541" s="100" t="str">
        <f>IFERROR(VLOOKUP(Tablo520[[#This Row],[ÜRÜN KODU]],YMKODLARI!$A$1:$K$373,3,0)," ")</f>
        <v xml:space="preserve"> </v>
      </c>
      <c r="H541" s="100" t="str">
        <f>IFERROR(VLOOKUP(Tablo520[[#This Row],[ÜRÜN KODU]],YMKODLARI!$A$1:$K$373,4,0)," ")</f>
        <v xml:space="preserve"> </v>
      </c>
      <c r="I541" s="100"/>
      <c r="J541" s="100" t="str">
        <f>IFERROR(VLOOKUP(Tablo520[[#This Row],[ÜRÜN KODU]],YMKODLARI!$A$1:$K$373,9,0)," ")</f>
        <v xml:space="preserve"> </v>
      </c>
      <c r="K541" s="100" t="str">
        <f>IFERROR(VLOOKUP(Tablo520[[#This Row],[BOYA KODU]],Tablo14[#All],4,0)," ")</f>
        <v xml:space="preserve"> </v>
      </c>
      <c r="L541" s="100" t="str">
        <f>IFERROR(VLOOKUP(Tablo520[[#This Row],[BOYA KODU]],Tablo14[#All],6,0)," ")</f>
        <v xml:space="preserve"> </v>
      </c>
      <c r="M541" s="100" t="str">
        <f t="shared" si="56"/>
        <v xml:space="preserve"> </v>
      </c>
      <c r="N541" s="100" t="str">
        <f>IFERROR(VLOOKUP(Tablo520[[#This Row],[ÜRÜN KODU]],YMKODLARI!$A$1:$K$373,8,0)," ")</f>
        <v xml:space="preserve"> </v>
      </c>
      <c r="O541" s="100" t="str">
        <f>IFERROR(VLOOKUP(Tablo520[[#This Row],[HAMMADDE KODU]],Tablo1[#All],3,0)," ")</f>
        <v xml:space="preserve"> </v>
      </c>
      <c r="P541" s="100" t="str">
        <f>IFERROR(VLOOKUP(Tablo520[[#This Row],[HAMMADDE KODU]],Tablo1[#All],4,0)," ")</f>
        <v xml:space="preserve"> </v>
      </c>
      <c r="Q541" s="100" t="str">
        <f>IFERROR(VLOOKUP(Tablo520[[#This Row],[ÜRÜN KODU]],YMKODLARI!$A$1:$K$373,5,0)," ")</f>
        <v xml:space="preserve"> </v>
      </c>
      <c r="R541" s="100" t="str">
        <f>IFERROR(VLOOKUP(Tablo520[[#This Row],[ÜRÜN KODU]],YMKODLARI!$A$1:$K$373,6,0)," ")</f>
        <v xml:space="preserve"> </v>
      </c>
      <c r="S541" s="100" t="str">
        <f>IFERROR(Tablo520[[#This Row],[YOLLUK HARİÇ BASKI GRAMI]]/Tablo520[[#This Row],[KALIP GÖZ ADEDİ]]," ")</f>
        <v xml:space="preserve"> </v>
      </c>
      <c r="T541" s="100" t="str">
        <f t="shared" si="58"/>
        <v xml:space="preserve"> </v>
      </c>
      <c r="U541" s="100"/>
      <c r="V541" s="100" t="str">
        <f t="shared" si="57"/>
        <v xml:space="preserve"> </v>
      </c>
      <c r="W541" s="101">
        <f t="shared" si="59"/>
        <v>24</v>
      </c>
      <c r="X541" s="102">
        <f t="shared" si="60"/>
        <v>0</v>
      </c>
      <c r="Y541" s="100" t="str">
        <f t="shared" si="61"/>
        <v xml:space="preserve"> </v>
      </c>
      <c r="Z541" s="100" t="str">
        <f t="shared" si="62"/>
        <v xml:space="preserve"> </v>
      </c>
    </row>
    <row r="542" spans="1:26">
      <c r="A542" s="100"/>
      <c r="B542" s="100" t="str">
        <f>IFERROR(VLOOKUP(Tablo520[[#This Row],[ÜRÜN KODU]],YMKODLARI!$A$1:$K$373,2,0)," ")</f>
        <v xml:space="preserve"> </v>
      </c>
      <c r="C542" s="99"/>
      <c r="D542" s="100"/>
      <c r="E542" s="101"/>
      <c r="F542" s="101"/>
      <c r="G542" s="100" t="str">
        <f>IFERROR(VLOOKUP(Tablo520[[#This Row],[ÜRÜN KODU]],YMKODLARI!$A$1:$K$373,3,0)," ")</f>
        <v xml:space="preserve"> </v>
      </c>
      <c r="H542" s="100" t="str">
        <f>IFERROR(VLOOKUP(Tablo520[[#This Row],[ÜRÜN KODU]],YMKODLARI!$A$1:$K$373,4,0)," ")</f>
        <v xml:space="preserve"> </v>
      </c>
      <c r="I542" s="100"/>
      <c r="J542" s="100" t="str">
        <f>IFERROR(VLOOKUP(Tablo520[[#This Row],[ÜRÜN KODU]],YMKODLARI!$A$1:$K$373,9,0)," ")</f>
        <v xml:space="preserve"> </v>
      </c>
      <c r="K542" s="100" t="str">
        <f>IFERROR(VLOOKUP(Tablo520[[#This Row],[BOYA KODU]],Tablo14[#All],4,0)," ")</f>
        <v xml:space="preserve"> </v>
      </c>
      <c r="L542" s="100" t="str">
        <f>IFERROR(VLOOKUP(Tablo520[[#This Row],[BOYA KODU]],Tablo14[#All],6,0)," ")</f>
        <v xml:space="preserve"> </v>
      </c>
      <c r="M542" s="100" t="str">
        <f t="shared" si="56"/>
        <v xml:space="preserve"> </v>
      </c>
      <c r="N542" s="100" t="str">
        <f>IFERROR(VLOOKUP(Tablo520[[#This Row],[ÜRÜN KODU]],YMKODLARI!$A$1:$K$373,8,0)," ")</f>
        <v xml:space="preserve"> </v>
      </c>
      <c r="O542" s="100" t="str">
        <f>IFERROR(VLOOKUP(Tablo520[[#This Row],[HAMMADDE KODU]],Tablo1[#All],3,0)," ")</f>
        <v xml:space="preserve"> </v>
      </c>
      <c r="P542" s="100" t="str">
        <f>IFERROR(VLOOKUP(Tablo520[[#This Row],[HAMMADDE KODU]],Tablo1[#All],4,0)," ")</f>
        <v xml:space="preserve"> </v>
      </c>
      <c r="Q542" s="100" t="str">
        <f>IFERROR(VLOOKUP(Tablo520[[#This Row],[ÜRÜN KODU]],YMKODLARI!$A$1:$K$373,5,0)," ")</f>
        <v xml:space="preserve"> </v>
      </c>
      <c r="R542" s="100" t="str">
        <f>IFERROR(VLOOKUP(Tablo520[[#This Row],[ÜRÜN KODU]],YMKODLARI!$A$1:$K$373,6,0)," ")</f>
        <v xml:space="preserve"> </v>
      </c>
      <c r="S542" s="100" t="str">
        <f>IFERROR(Tablo520[[#This Row],[YOLLUK HARİÇ BASKI GRAMI]]/Tablo520[[#This Row],[KALIP GÖZ ADEDİ]]," ")</f>
        <v xml:space="preserve"> </v>
      </c>
      <c r="T542" s="100" t="str">
        <f t="shared" si="58"/>
        <v xml:space="preserve"> </v>
      </c>
      <c r="U542" s="100"/>
      <c r="V542" s="100" t="str">
        <f t="shared" si="57"/>
        <v xml:space="preserve"> </v>
      </c>
      <c r="W542" s="101">
        <f t="shared" si="59"/>
        <v>24</v>
      </c>
      <c r="X542" s="102">
        <f t="shared" si="60"/>
        <v>0</v>
      </c>
      <c r="Y542" s="100" t="str">
        <f t="shared" si="61"/>
        <v xml:space="preserve"> </v>
      </c>
      <c r="Z542" s="100" t="str">
        <f t="shared" si="62"/>
        <v xml:space="preserve"> </v>
      </c>
    </row>
    <row r="543" spans="1:26">
      <c r="A543" s="100"/>
      <c r="B543" s="100" t="str">
        <f>IFERROR(VLOOKUP(Tablo520[[#This Row],[ÜRÜN KODU]],YMKODLARI!$A$1:$K$373,2,0)," ")</f>
        <v xml:space="preserve"> </v>
      </c>
      <c r="C543" s="99"/>
      <c r="D543" s="100"/>
      <c r="E543" s="101"/>
      <c r="F543" s="101"/>
      <c r="G543" s="100" t="str">
        <f>IFERROR(VLOOKUP(Tablo520[[#This Row],[ÜRÜN KODU]],YMKODLARI!$A$1:$K$373,3,0)," ")</f>
        <v xml:space="preserve"> </v>
      </c>
      <c r="H543" s="100" t="str">
        <f>IFERROR(VLOOKUP(Tablo520[[#This Row],[ÜRÜN KODU]],YMKODLARI!$A$1:$K$373,4,0)," ")</f>
        <v xml:space="preserve"> </v>
      </c>
      <c r="I543" s="100"/>
      <c r="J543" s="100" t="str">
        <f>IFERROR(VLOOKUP(Tablo520[[#This Row],[ÜRÜN KODU]],YMKODLARI!$A$1:$K$373,9,0)," ")</f>
        <v xml:space="preserve"> </v>
      </c>
      <c r="K543" s="100" t="str">
        <f>IFERROR(VLOOKUP(Tablo520[[#This Row],[BOYA KODU]],Tablo14[#All],4,0)," ")</f>
        <v xml:space="preserve"> </v>
      </c>
      <c r="L543" s="100" t="str">
        <f>IFERROR(VLOOKUP(Tablo520[[#This Row],[BOYA KODU]],Tablo14[#All],6,0)," ")</f>
        <v xml:space="preserve"> </v>
      </c>
      <c r="M543" s="100" t="str">
        <f t="shared" si="56"/>
        <v xml:space="preserve"> </v>
      </c>
      <c r="N543" s="100" t="str">
        <f>IFERROR(VLOOKUP(Tablo520[[#This Row],[ÜRÜN KODU]],YMKODLARI!$A$1:$K$373,8,0)," ")</f>
        <v xml:space="preserve"> </v>
      </c>
      <c r="O543" s="100" t="str">
        <f>IFERROR(VLOOKUP(Tablo520[[#This Row],[HAMMADDE KODU]],Tablo1[#All],3,0)," ")</f>
        <v xml:space="preserve"> </v>
      </c>
      <c r="P543" s="100" t="str">
        <f>IFERROR(VLOOKUP(Tablo520[[#This Row],[HAMMADDE KODU]],Tablo1[#All],4,0)," ")</f>
        <v xml:space="preserve"> </v>
      </c>
      <c r="Q543" s="100" t="str">
        <f>IFERROR(VLOOKUP(Tablo520[[#This Row],[ÜRÜN KODU]],YMKODLARI!$A$1:$K$373,5,0)," ")</f>
        <v xml:space="preserve"> </v>
      </c>
      <c r="R543" s="100" t="str">
        <f>IFERROR(VLOOKUP(Tablo520[[#This Row],[ÜRÜN KODU]],YMKODLARI!$A$1:$K$373,6,0)," ")</f>
        <v xml:space="preserve"> </v>
      </c>
      <c r="S543" s="100" t="str">
        <f>IFERROR(Tablo520[[#This Row],[YOLLUK HARİÇ BASKI GRAMI]]/Tablo520[[#This Row],[KALIP GÖZ ADEDİ]]," ")</f>
        <v xml:space="preserve"> </v>
      </c>
      <c r="T543" s="100" t="str">
        <f t="shared" si="58"/>
        <v xml:space="preserve"> </v>
      </c>
      <c r="U543" s="100"/>
      <c r="V543" s="100" t="str">
        <f t="shared" si="57"/>
        <v xml:space="preserve"> </v>
      </c>
      <c r="W543" s="101">
        <f t="shared" si="59"/>
        <v>24</v>
      </c>
      <c r="X543" s="102">
        <f t="shared" si="60"/>
        <v>0</v>
      </c>
      <c r="Y543" s="100" t="str">
        <f t="shared" si="61"/>
        <v xml:space="preserve"> </v>
      </c>
      <c r="Z543" s="100" t="str">
        <f t="shared" si="62"/>
        <v xml:space="preserve"> </v>
      </c>
    </row>
    <row r="544" spans="1:26">
      <c r="A544" s="100"/>
      <c r="B544" s="100" t="str">
        <f>IFERROR(VLOOKUP(Tablo520[[#This Row],[ÜRÜN KODU]],YMKODLARI!$A$1:$K$373,2,0)," ")</f>
        <v xml:space="preserve"> </v>
      </c>
      <c r="C544" s="99"/>
      <c r="D544" s="100"/>
      <c r="E544" s="101"/>
      <c r="F544" s="101"/>
      <c r="G544" s="100" t="str">
        <f>IFERROR(VLOOKUP(Tablo520[[#This Row],[ÜRÜN KODU]],YMKODLARI!$A$1:$K$373,3,0)," ")</f>
        <v xml:space="preserve"> </v>
      </c>
      <c r="H544" s="100" t="str">
        <f>IFERROR(VLOOKUP(Tablo520[[#This Row],[ÜRÜN KODU]],YMKODLARI!$A$1:$K$373,4,0)," ")</f>
        <v xml:space="preserve"> </v>
      </c>
      <c r="I544" s="100"/>
      <c r="J544" s="100" t="str">
        <f>IFERROR(VLOOKUP(Tablo520[[#This Row],[ÜRÜN KODU]],YMKODLARI!$A$1:$K$373,9,0)," ")</f>
        <v xml:space="preserve"> </v>
      </c>
      <c r="K544" s="100" t="str">
        <f>IFERROR(VLOOKUP(Tablo520[[#This Row],[BOYA KODU]],Tablo14[#All],4,0)," ")</f>
        <v xml:space="preserve"> </v>
      </c>
      <c r="L544" s="100" t="str">
        <f>IFERROR(VLOOKUP(Tablo520[[#This Row],[BOYA KODU]],Tablo14[#All],6,0)," ")</f>
        <v xml:space="preserve"> </v>
      </c>
      <c r="M544" s="100" t="str">
        <f t="shared" si="56"/>
        <v xml:space="preserve"> </v>
      </c>
      <c r="N544" s="100" t="str">
        <f>IFERROR(VLOOKUP(Tablo520[[#This Row],[ÜRÜN KODU]],YMKODLARI!$A$1:$K$373,8,0)," ")</f>
        <v xml:space="preserve"> </v>
      </c>
      <c r="O544" s="100" t="str">
        <f>IFERROR(VLOOKUP(Tablo520[[#This Row],[HAMMADDE KODU]],Tablo1[#All],3,0)," ")</f>
        <v xml:space="preserve"> </v>
      </c>
      <c r="P544" s="100" t="str">
        <f>IFERROR(VLOOKUP(Tablo520[[#This Row],[HAMMADDE KODU]],Tablo1[#All],4,0)," ")</f>
        <v xml:space="preserve"> </v>
      </c>
      <c r="Q544" s="100" t="str">
        <f>IFERROR(VLOOKUP(Tablo520[[#This Row],[ÜRÜN KODU]],YMKODLARI!$A$1:$K$373,5,0)," ")</f>
        <v xml:space="preserve"> </v>
      </c>
      <c r="R544" s="100" t="str">
        <f>IFERROR(VLOOKUP(Tablo520[[#This Row],[ÜRÜN KODU]],YMKODLARI!$A$1:$K$373,6,0)," ")</f>
        <v xml:space="preserve"> </v>
      </c>
      <c r="S544" s="100" t="str">
        <f>IFERROR(Tablo520[[#This Row],[YOLLUK HARİÇ BASKI GRAMI]]/Tablo520[[#This Row],[KALIP GÖZ ADEDİ]]," ")</f>
        <v xml:space="preserve"> </v>
      </c>
      <c r="T544" s="100" t="str">
        <f t="shared" si="58"/>
        <v xml:space="preserve"> </v>
      </c>
      <c r="U544" s="100"/>
      <c r="V544" s="100" t="str">
        <f t="shared" si="57"/>
        <v xml:space="preserve"> </v>
      </c>
      <c r="W544" s="101">
        <f t="shared" si="59"/>
        <v>24</v>
      </c>
      <c r="X544" s="102">
        <f t="shared" si="60"/>
        <v>0</v>
      </c>
      <c r="Y544" s="100" t="str">
        <f t="shared" si="61"/>
        <v xml:space="preserve"> </v>
      </c>
      <c r="Z544" s="100" t="str">
        <f t="shared" si="62"/>
        <v xml:space="preserve"> </v>
      </c>
    </row>
    <row r="545" spans="1:26">
      <c r="A545" s="100"/>
      <c r="B545" s="100" t="str">
        <f>IFERROR(VLOOKUP(Tablo520[[#This Row],[ÜRÜN KODU]],YMKODLARI!$A$1:$K$373,2,0)," ")</f>
        <v xml:space="preserve"> </v>
      </c>
      <c r="C545" s="99"/>
      <c r="D545" s="100"/>
      <c r="E545" s="101"/>
      <c r="F545" s="101"/>
      <c r="G545" s="100" t="str">
        <f>IFERROR(VLOOKUP(Tablo520[[#This Row],[ÜRÜN KODU]],YMKODLARI!$A$1:$K$373,3,0)," ")</f>
        <v xml:space="preserve"> </v>
      </c>
      <c r="H545" s="100" t="str">
        <f>IFERROR(VLOOKUP(Tablo520[[#This Row],[ÜRÜN KODU]],YMKODLARI!$A$1:$K$373,4,0)," ")</f>
        <v xml:space="preserve"> </v>
      </c>
      <c r="I545" s="100"/>
      <c r="J545" s="100" t="str">
        <f>IFERROR(VLOOKUP(Tablo520[[#This Row],[ÜRÜN KODU]],YMKODLARI!$A$1:$K$373,9,0)," ")</f>
        <v xml:space="preserve"> </v>
      </c>
      <c r="K545" s="100" t="str">
        <f>IFERROR(VLOOKUP(Tablo520[[#This Row],[BOYA KODU]],Tablo14[#All],4,0)," ")</f>
        <v xml:space="preserve"> </v>
      </c>
      <c r="L545" s="100" t="str">
        <f>IFERROR(VLOOKUP(Tablo520[[#This Row],[BOYA KODU]],Tablo14[#All],6,0)," ")</f>
        <v xml:space="preserve"> </v>
      </c>
      <c r="M545" s="100" t="str">
        <f t="shared" si="56"/>
        <v xml:space="preserve"> </v>
      </c>
      <c r="N545" s="100" t="str">
        <f>IFERROR(VLOOKUP(Tablo520[[#This Row],[ÜRÜN KODU]],YMKODLARI!$A$1:$K$373,8,0)," ")</f>
        <v xml:space="preserve"> </v>
      </c>
      <c r="O545" s="100" t="str">
        <f>IFERROR(VLOOKUP(Tablo520[[#This Row],[HAMMADDE KODU]],Tablo1[#All],3,0)," ")</f>
        <v xml:space="preserve"> </v>
      </c>
      <c r="P545" s="100" t="str">
        <f>IFERROR(VLOOKUP(Tablo520[[#This Row],[HAMMADDE KODU]],Tablo1[#All],4,0)," ")</f>
        <v xml:space="preserve"> </v>
      </c>
      <c r="Q545" s="100" t="str">
        <f>IFERROR(VLOOKUP(Tablo520[[#This Row],[ÜRÜN KODU]],YMKODLARI!$A$1:$K$373,5,0)," ")</f>
        <v xml:space="preserve"> </v>
      </c>
      <c r="R545" s="100" t="str">
        <f>IFERROR(VLOOKUP(Tablo520[[#This Row],[ÜRÜN KODU]],YMKODLARI!$A$1:$K$373,6,0)," ")</f>
        <v xml:space="preserve"> </v>
      </c>
      <c r="S545" s="100" t="str">
        <f>IFERROR(Tablo520[[#This Row],[YOLLUK HARİÇ BASKI GRAMI]]/Tablo520[[#This Row],[KALIP GÖZ ADEDİ]]," ")</f>
        <v xml:space="preserve"> </v>
      </c>
      <c r="T545" s="100" t="str">
        <f t="shared" si="58"/>
        <v xml:space="preserve"> </v>
      </c>
      <c r="U545" s="100"/>
      <c r="V545" s="100" t="str">
        <f t="shared" si="57"/>
        <v xml:space="preserve"> </v>
      </c>
      <c r="W545" s="101">
        <f t="shared" si="59"/>
        <v>24</v>
      </c>
      <c r="X545" s="102">
        <f t="shared" si="60"/>
        <v>0</v>
      </c>
      <c r="Y545" s="100" t="str">
        <f t="shared" si="61"/>
        <v xml:space="preserve"> </v>
      </c>
      <c r="Z545" s="100" t="str">
        <f t="shared" si="62"/>
        <v xml:space="preserve"> </v>
      </c>
    </row>
    <row r="546" spans="1:26">
      <c r="A546" s="100"/>
      <c r="B546" s="100" t="str">
        <f>IFERROR(VLOOKUP(Tablo520[[#This Row],[ÜRÜN KODU]],YMKODLARI!$A$1:$K$373,2,0)," ")</f>
        <v xml:space="preserve"> </v>
      </c>
      <c r="C546" s="99"/>
      <c r="D546" s="100"/>
      <c r="E546" s="101"/>
      <c r="F546" s="101"/>
      <c r="G546" s="100" t="str">
        <f>IFERROR(VLOOKUP(Tablo520[[#This Row],[ÜRÜN KODU]],YMKODLARI!$A$1:$K$373,3,0)," ")</f>
        <v xml:space="preserve"> </v>
      </c>
      <c r="H546" s="100" t="str">
        <f>IFERROR(VLOOKUP(Tablo520[[#This Row],[ÜRÜN KODU]],YMKODLARI!$A$1:$K$373,4,0)," ")</f>
        <v xml:space="preserve"> </v>
      </c>
      <c r="I546" s="100"/>
      <c r="J546" s="100" t="str">
        <f>IFERROR(VLOOKUP(Tablo520[[#This Row],[ÜRÜN KODU]],YMKODLARI!$A$1:$K$373,9,0)," ")</f>
        <v xml:space="preserve"> </v>
      </c>
      <c r="K546" s="100" t="str">
        <f>IFERROR(VLOOKUP(Tablo520[[#This Row],[BOYA KODU]],Tablo14[#All],4,0)," ")</f>
        <v xml:space="preserve"> </v>
      </c>
      <c r="L546" s="100" t="str">
        <f>IFERROR(VLOOKUP(Tablo520[[#This Row],[BOYA KODU]],Tablo14[#All],6,0)," ")</f>
        <v xml:space="preserve"> </v>
      </c>
      <c r="M546" s="100" t="str">
        <f t="shared" si="56"/>
        <v xml:space="preserve"> </v>
      </c>
      <c r="N546" s="100" t="str">
        <f>IFERROR(VLOOKUP(Tablo520[[#This Row],[ÜRÜN KODU]],YMKODLARI!$A$1:$K$373,8,0)," ")</f>
        <v xml:space="preserve"> </v>
      </c>
      <c r="O546" s="100" t="str">
        <f>IFERROR(VLOOKUP(Tablo520[[#This Row],[HAMMADDE KODU]],Tablo1[#All],3,0)," ")</f>
        <v xml:space="preserve"> </v>
      </c>
      <c r="P546" s="100" t="str">
        <f>IFERROR(VLOOKUP(Tablo520[[#This Row],[HAMMADDE KODU]],Tablo1[#All],4,0)," ")</f>
        <v xml:space="preserve"> </v>
      </c>
      <c r="Q546" s="100" t="str">
        <f>IFERROR(VLOOKUP(Tablo520[[#This Row],[ÜRÜN KODU]],YMKODLARI!$A$1:$K$373,5,0)," ")</f>
        <v xml:space="preserve"> </v>
      </c>
      <c r="R546" s="100" t="str">
        <f>IFERROR(VLOOKUP(Tablo520[[#This Row],[ÜRÜN KODU]],YMKODLARI!$A$1:$K$373,6,0)," ")</f>
        <v xml:space="preserve"> </v>
      </c>
      <c r="S546" s="100" t="str">
        <f>IFERROR(Tablo520[[#This Row],[YOLLUK HARİÇ BASKI GRAMI]]/Tablo520[[#This Row],[KALIP GÖZ ADEDİ]]," ")</f>
        <v xml:space="preserve"> </v>
      </c>
      <c r="T546" s="100" t="str">
        <f t="shared" si="58"/>
        <v xml:space="preserve"> </v>
      </c>
      <c r="U546" s="100"/>
      <c r="V546" s="100" t="str">
        <f t="shared" si="57"/>
        <v xml:space="preserve"> </v>
      </c>
      <c r="W546" s="101">
        <f t="shared" si="59"/>
        <v>24</v>
      </c>
      <c r="X546" s="102">
        <f t="shared" si="60"/>
        <v>0</v>
      </c>
      <c r="Y546" s="100" t="str">
        <f t="shared" si="61"/>
        <v xml:space="preserve"> </v>
      </c>
      <c r="Z546" s="100" t="str">
        <f t="shared" si="62"/>
        <v xml:space="preserve"> </v>
      </c>
    </row>
    <row r="547" spans="1:26">
      <c r="A547" s="100"/>
      <c r="B547" s="100" t="str">
        <f>IFERROR(VLOOKUP(Tablo520[[#This Row],[ÜRÜN KODU]],YMKODLARI!$A$1:$K$373,2,0)," ")</f>
        <v xml:space="preserve"> </v>
      </c>
      <c r="C547" s="99"/>
      <c r="D547" s="100"/>
      <c r="E547" s="101"/>
      <c r="F547" s="101"/>
      <c r="G547" s="100" t="str">
        <f>IFERROR(VLOOKUP(Tablo520[[#This Row],[ÜRÜN KODU]],YMKODLARI!$A$1:$K$373,3,0)," ")</f>
        <v xml:space="preserve"> </v>
      </c>
      <c r="H547" s="100" t="str">
        <f>IFERROR(VLOOKUP(Tablo520[[#This Row],[ÜRÜN KODU]],YMKODLARI!$A$1:$K$373,4,0)," ")</f>
        <v xml:space="preserve"> </v>
      </c>
      <c r="I547" s="100"/>
      <c r="J547" s="100" t="str">
        <f>IFERROR(VLOOKUP(Tablo520[[#This Row],[ÜRÜN KODU]],YMKODLARI!$A$1:$K$373,9,0)," ")</f>
        <v xml:space="preserve"> </v>
      </c>
      <c r="K547" s="100" t="str">
        <f>IFERROR(VLOOKUP(Tablo520[[#This Row],[BOYA KODU]],Tablo14[#All],4,0)," ")</f>
        <v xml:space="preserve"> </v>
      </c>
      <c r="L547" s="100" t="str">
        <f>IFERROR(VLOOKUP(Tablo520[[#This Row],[BOYA KODU]],Tablo14[#All],6,0)," ")</f>
        <v xml:space="preserve"> </v>
      </c>
      <c r="M547" s="100" t="str">
        <f t="shared" si="56"/>
        <v xml:space="preserve"> </v>
      </c>
      <c r="N547" s="100" t="str">
        <f>IFERROR(VLOOKUP(Tablo520[[#This Row],[ÜRÜN KODU]],YMKODLARI!$A$1:$K$373,8,0)," ")</f>
        <v xml:space="preserve"> </v>
      </c>
      <c r="O547" s="100" t="str">
        <f>IFERROR(VLOOKUP(Tablo520[[#This Row],[HAMMADDE KODU]],Tablo1[#All],3,0)," ")</f>
        <v xml:space="preserve"> </v>
      </c>
      <c r="P547" s="100" t="str">
        <f>IFERROR(VLOOKUP(Tablo520[[#This Row],[HAMMADDE KODU]],Tablo1[#All],4,0)," ")</f>
        <v xml:space="preserve"> </v>
      </c>
      <c r="Q547" s="100" t="str">
        <f>IFERROR(VLOOKUP(Tablo520[[#This Row],[ÜRÜN KODU]],YMKODLARI!$A$1:$K$373,5,0)," ")</f>
        <v xml:space="preserve"> </v>
      </c>
      <c r="R547" s="100" t="str">
        <f>IFERROR(VLOOKUP(Tablo520[[#This Row],[ÜRÜN KODU]],YMKODLARI!$A$1:$K$373,6,0)," ")</f>
        <v xml:space="preserve"> </v>
      </c>
      <c r="S547" s="100" t="str">
        <f>IFERROR(Tablo520[[#This Row],[YOLLUK HARİÇ BASKI GRAMI]]/Tablo520[[#This Row],[KALIP GÖZ ADEDİ]]," ")</f>
        <v xml:space="preserve"> </v>
      </c>
      <c r="T547" s="100" t="str">
        <f t="shared" si="58"/>
        <v xml:space="preserve"> </v>
      </c>
      <c r="U547" s="100"/>
      <c r="V547" s="100" t="str">
        <f t="shared" si="57"/>
        <v xml:space="preserve"> </v>
      </c>
      <c r="W547" s="101">
        <f t="shared" si="59"/>
        <v>24</v>
      </c>
      <c r="X547" s="102">
        <f t="shared" si="60"/>
        <v>0</v>
      </c>
      <c r="Y547" s="100" t="str">
        <f t="shared" si="61"/>
        <v xml:space="preserve"> </v>
      </c>
      <c r="Z547" s="100" t="str">
        <f t="shared" si="62"/>
        <v xml:space="preserve"> </v>
      </c>
    </row>
    <row r="548" spans="1:26">
      <c r="A548" s="100"/>
      <c r="B548" s="100" t="str">
        <f>IFERROR(VLOOKUP(Tablo520[[#This Row],[ÜRÜN KODU]],YMKODLARI!$A$1:$K$373,2,0)," ")</f>
        <v xml:space="preserve"> </v>
      </c>
      <c r="C548" s="99"/>
      <c r="D548" s="100"/>
      <c r="E548" s="101"/>
      <c r="F548" s="101"/>
      <c r="G548" s="100" t="str">
        <f>IFERROR(VLOOKUP(Tablo520[[#This Row],[ÜRÜN KODU]],YMKODLARI!$A$1:$K$373,3,0)," ")</f>
        <v xml:space="preserve"> </v>
      </c>
      <c r="H548" s="100" t="str">
        <f>IFERROR(VLOOKUP(Tablo520[[#This Row],[ÜRÜN KODU]],YMKODLARI!$A$1:$K$373,4,0)," ")</f>
        <v xml:space="preserve"> </v>
      </c>
      <c r="I548" s="100"/>
      <c r="J548" s="100" t="str">
        <f>IFERROR(VLOOKUP(Tablo520[[#This Row],[ÜRÜN KODU]],YMKODLARI!$A$1:$K$373,9,0)," ")</f>
        <v xml:space="preserve"> </v>
      </c>
      <c r="K548" s="100" t="str">
        <f>IFERROR(VLOOKUP(Tablo520[[#This Row],[BOYA KODU]],Tablo14[#All],4,0)," ")</f>
        <v xml:space="preserve"> </v>
      </c>
      <c r="L548" s="100" t="str">
        <f>IFERROR(VLOOKUP(Tablo520[[#This Row],[BOYA KODU]],Tablo14[#All],6,0)," ")</f>
        <v xml:space="preserve"> </v>
      </c>
      <c r="M548" s="100" t="str">
        <f t="shared" si="56"/>
        <v xml:space="preserve"> </v>
      </c>
      <c r="N548" s="100" t="str">
        <f>IFERROR(VLOOKUP(Tablo520[[#This Row],[ÜRÜN KODU]],YMKODLARI!$A$1:$K$373,8,0)," ")</f>
        <v xml:space="preserve"> </v>
      </c>
      <c r="O548" s="100" t="str">
        <f>IFERROR(VLOOKUP(Tablo520[[#This Row],[HAMMADDE KODU]],Tablo1[#All],3,0)," ")</f>
        <v xml:space="preserve"> </v>
      </c>
      <c r="P548" s="100" t="str">
        <f>IFERROR(VLOOKUP(Tablo520[[#This Row],[HAMMADDE KODU]],Tablo1[#All],4,0)," ")</f>
        <v xml:space="preserve"> </v>
      </c>
      <c r="Q548" s="100" t="str">
        <f>IFERROR(VLOOKUP(Tablo520[[#This Row],[ÜRÜN KODU]],YMKODLARI!$A$1:$K$373,5,0)," ")</f>
        <v xml:space="preserve"> </v>
      </c>
      <c r="R548" s="100" t="str">
        <f>IFERROR(VLOOKUP(Tablo520[[#This Row],[ÜRÜN KODU]],YMKODLARI!$A$1:$K$373,6,0)," ")</f>
        <v xml:space="preserve"> </v>
      </c>
      <c r="S548" s="100" t="str">
        <f>IFERROR(Tablo520[[#This Row],[YOLLUK HARİÇ BASKI GRAMI]]/Tablo520[[#This Row],[KALIP GÖZ ADEDİ]]," ")</f>
        <v xml:space="preserve"> </v>
      </c>
      <c r="T548" s="100" t="str">
        <f t="shared" si="58"/>
        <v xml:space="preserve"> </v>
      </c>
      <c r="U548" s="100"/>
      <c r="V548" s="100" t="str">
        <f t="shared" si="57"/>
        <v xml:space="preserve"> </v>
      </c>
      <c r="W548" s="101">
        <f t="shared" si="59"/>
        <v>24</v>
      </c>
      <c r="X548" s="102">
        <f t="shared" si="60"/>
        <v>0</v>
      </c>
      <c r="Y548" s="100" t="str">
        <f t="shared" si="61"/>
        <v xml:space="preserve"> </v>
      </c>
      <c r="Z548" s="100" t="str">
        <f t="shared" si="62"/>
        <v xml:space="preserve"> </v>
      </c>
    </row>
    <row r="549" spans="1:26">
      <c r="A549" s="100"/>
      <c r="B549" s="100" t="str">
        <f>IFERROR(VLOOKUP(Tablo520[[#This Row],[ÜRÜN KODU]],YMKODLARI!$A$1:$K$373,2,0)," ")</f>
        <v xml:space="preserve"> </v>
      </c>
      <c r="C549" s="99"/>
      <c r="D549" s="100"/>
      <c r="E549" s="101"/>
      <c r="F549" s="101"/>
      <c r="G549" s="100" t="str">
        <f>IFERROR(VLOOKUP(Tablo520[[#This Row],[ÜRÜN KODU]],YMKODLARI!$A$1:$K$373,3,0)," ")</f>
        <v xml:space="preserve"> </v>
      </c>
      <c r="H549" s="100" t="str">
        <f>IFERROR(VLOOKUP(Tablo520[[#This Row],[ÜRÜN KODU]],YMKODLARI!$A$1:$K$373,4,0)," ")</f>
        <v xml:space="preserve"> </v>
      </c>
      <c r="I549" s="100"/>
      <c r="J549" s="100" t="str">
        <f>IFERROR(VLOOKUP(Tablo520[[#This Row],[ÜRÜN KODU]],YMKODLARI!$A$1:$K$373,9,0)," ")</f>
        <v xml:space="preserve"> </v>
      </c>
      <c r="K549" s="100" t="str">
        <f>IFERROR(VLOOKUP(Tablo520[[#This Row],[BOYA KODU]],Tablo14[#All],4,0)," ")</f>
        <v xml:space="preserve"> </v>
      </c>
      <c r="L549" s="100" t="str">
        <f>IFERROR(VLOOKUP(Tablo520[[#This Row],[BOYA KODU]],Tablo14[#All],6,0)," ")</f>
        <v xml:space="preserve"> </v>
      </c>
      <c r="M549" s="100" t="str">
        <f t="shared" si="56"/>
        <v xml:space="preserve"> </v>
      </c>
      <c r="N549" s="100" t="str">
        <f>IFERROR(VLOOKUP(Tablo520[[#This Row],[ÜRÜN KODU]],YMKODLARI!$A$1:$K$373,8,0)," ")</f>
        <v xml:space="preserve"> </v>
      </c>
      <c r="O549" s="100" t="str">
        <f>IFERROR(VLOOKUP(Tablo520[[#This Row],[HAMMADDE KODU]],Tablo1[#All],3,0)," ")</f>
        <v xml:space="preserve"> </v>
      </c>
      <c r="P549" s="100" t="str">
        <f>IFERROR(VLOOKUP(Tablo520[[#This Row],[HAMMADDE KODU]],Tablo1[#All],4,0)," ")</f>
        <v xml:space="preserve"> </v>
      </c>
      <c r="Q549" s="100" t="str">
        <f>IFERROR(VLOOKUP(Tablo520[[#This Row],[ÜRÜN KODU]],YMKODLARI!$A$1:$K$373,5,0)," ")</f>
        <v xml:space="preserve"> </v>
      </c>
      <c r="R549" s="100" t="str">
        <f>IFERROR(VLOOKUP(Tablo520[[#This Row],[ÜRÜN KODU]],YMKODLARI!$A$1:$K$373,6,0)," ")</f>
        <v xml:space="preserve"> </v>
      </c>
      <c r="S549" s="100" t="str">
        <f>IFERROR(Tablo520[[#This Row],[YOLLUK HARİÇ BASKI GRAMI]]/Tablo520[[#This Row],[KALIP GÖZ ADEDİ]]," ")</f>
        <v xml:space="preserve"> </v>
      </c>
      <c r="T549" s="100" t="str">
        <f t="shared" si="58"/>
        <v xml:space="preserve"> </v>
      </c>
      <c r="U549" s="100"/>
      <c r="V549" s="100" t="str">
        <f t="shared" si="57"/>
        <v xml:space="preserve"> </v>
      </c>
      <c r="W549" s="101">
        <f t="shared" si="59"/>
        <v>24</v>
      </c>
      <c r="X549" s="102">
        <f t="shared" si="60"/>
        <v>0</v>
      </c>
      <c r="Y549" s="100" t="str">
        <f t="shared" si="61"/>
        <v xml:space="preserve"> </v>
      </c>
      <c r="Z549" s="100" t="str">
        <f t="shared" si="62"/>
        <v xml:space="preserve"> </v>
      </c>
    </row>
    <row r="550" spans="1:26">
      <c r="A550" s="100"/>
      <c r="B550" s="100" t="str">
        <f>IFERROR(VLOOKUP(Tablo520[[#This Row],[ÜRÜN KODU]],YMKODLARI!$A$1:$K$373,2,0)," ")</f>
        <v xml:space="preserve"> </v>
      </c>
      <c r="C550" s="99"/>
      <c r="D550" s="100"/>
      <c r="E550" s="101"/>
      <c r="F550" s="101"/>
      <c r="G550" s="100" t="str">
        <f>IFERROR(VLOOKUP(Tablo520[[#This Row],[ÜRÜN KODU]],YMKODLARI!$A$1:$K$373,3,0)," ")</f>
        <v xml:space="preserve"> </v>
      </c>
      <c r="H550" s="100" t="str">
        <f>IFERROR(VLOOKUP(Tablo520[[#This Row],[ÜRÜN KODU]],YMKODLARI!$A$1:$K$373,4,0)," ")</f>
        <v xml:space="preserve"> </v>
      </c>
      <c r="I550" s="100"/>
      <c r="J550" s="100" t="str">
        <f>IFERROR(VLOOKUP(Tablo520[[#This Row],[ÜRÜN KODU]],YMKODLARI!$A$1:$K$373,9,0)," ")</f>
        <v xml:space="preserve"> </v>
      </c>
      <c r="K550" s="100" t="str">
        <f>IFERROR(VLOOKUP(Tablo520[[#This Row],[BOYA KODU]],Tablo14[#All],4,0)," ")</f>
        <v xml:space="preserve"> </v>
      </c>
      <c r="L550" s="100" t="str">
        <f>IFERROR(VLOOKUP(Tablo520[[#This Row],[BOYA KODU]],Tablo14[#All],6,0)," ")</f>
        <v xml:space="preserve"> </v>
      </c>
      <c r="M550" s="100" t="str">
        <f t="shared" si="56"/>
        <v xml:space="preserve"> </v>
      </c>
      <c r="N550" s="100" t="str">
        <f>IFERROR(VLOOKUP(Tablo520[[#This Row],[ÜRÜN KODU]],YMKODLARI!$A$1:$K$373,8,0)," ")</f>
        <v xml:space="preserve"> </v>
      </c>
      <c r="O550" s="100" t="str">
        <f>IFERROR(VLOOKUP(Tablo520[[#This Row],[HAMMADDE KODU]],Tablo1[#All],3,0)," ")</f>
        <v xml:space="preserve"> </v>
      </c>
      <c r="P550" s="100" t="str">
        <f>IFERROR(VLOOKUP(Tablo520[[#This Row],[HAMMADDE KODU]],Tablo1[#All],4,0)," ")</f>
        <v xml:space="preserve"> </v>
      </c>
      <c r="Q550" s="100" t="str">
        <f>IFERROR(VLOOKUP(Tablo520[[#This Row],[ÜRÜN KODU]],YMKODLARI!$A$1:$K$373,5,0)," ")</f>
        <v xml:space="preserve"> </v>
      </c>
      <c r="R550" s="100" t="str">
        <f>IFERROR(VLOOKUP(Tablo520[[#This Row],[ÜRÜN KODU]],YMKODLARI!$A$1:$K$373,6,0)," ")</f>
        <v xml:space="preserve"> </v>
      </c>
      <c r="S550" s="100" t="str">
        <f>IFERROR(Tablo520[[#This Row],[YOLLUK HARİÇ BASKI GRAMI]]/Tablo520[[#This Row],[KALIP GÖZ ADEDİ]]," ")</f>
        <v xml:space="preserve"> </v>
      </c>
      <c r="T550" s="100" t="str">
        <f t="shared" si="58"/>
        <v xml:space="preserve"> </v>
      </c>
      <c r="U550" s="100"/>
      <c r="V550" s="100" t="str">
        <f t="shared" si="57"/>
        <v xml:space="preserve"> </v>
      </c>
      <c r="W550" s="101">
        <f t="shared" si="59"/>
        <v>24</v>
      </c>
      <c r="X550" s="102">
        <f t="shared" si="60"/>
        <v>0</v>
      </c>
      <c r="Y550" s="100" t="str">
        <f t="shared" si="61"/>
        <v xml:space="preserve"> </v>
      </c>
      <c r="Z550" s="100" t="str">
        <f t="shared" si="62"/>
        <v xml:space="preserve"> </v>
      </c>
    </row>
    <row r="551" spans="1:26">
      <c r="A551" s="100"/>
      <c r="B551" s="100" t="str">
        <f>IFERROR(VLOOKUP(Tablo520[[#This Row],[ÜRÜN KODU]],YMKODLARI!$A$1:$K$373,2,0)," ")</f>
        <v xml:space="preserve"> </v>
      </c>
      <c r="C551" s="99"/>
      <c r="D551" s="100"/>
      <c r="E551" s="101"/>
      <c r="F551" s="101"/>
      <c r="G551" s="100" t="str">
        <f>IFERROR(VLOOKUP(Tablo520[[#This Row],[ÜRÜN KODU]],YMKODLARI!$A$1:$K$373,3,0)," ")</f>
        <v xml:space="preserve"> </v>
      </c>
      <c r="H551" s="100" t="str">
        <f>IFERROR(VLOOKUP(Tablo520[[#This Row],[ÜRÜN KODU]],YMKODLARI!$A$1:$K$373,4,0)," ")</f>
        <v xml:space="preserve"> </v>
      </c>
      <c r="I551" s="100"/>
      <c r="J551" s="100" t="str">
        <f>IFERROR(VLOOKUP(Tablo520[[#This Row],[ÜRÜN KODU]],YMKODLARI!$A$1:$K$373,9,0)," ")</f>
        <v xml:space="preserve"> </v>
      </c>
      <c r="K551" s="100" t="str">
        <f>IFERROR(VLOOKUP(Tablo520[[#This Row],[BOYA KODU]],Tablo14[#All],4,0)," ")</f>
        <v xml:space="preserve"> </v>
      </c>
      <c r="L551" s="100" t="str">
        <f>IFERROR(VLOOKUP(Tablo520[[#This Row],[BOYA KODU]],Tablo14[#All],6,0)," ")</f>
        <v xml:space="preserve"> </v>
      </c>
      <c r="M551" s="100" t="str">
        <f t="shared" si="56"/>
        <v xml:space="preserve"> </v>
      </c>
      <c r="N551" s="100" t="str">
        <f>IFERROR(VLOOKUP(Tablo520[[#This Row],[ÜRÜN KODU]],YMKODLARI!$A$1:$K$373,8,0)," ")</f>
        <v xml:space="preserve"> </v>
      </c>
      <c r="O551" s="100" t="str">
        <f>IFERROR(VLOOKUP(Tablo520[[#This Row],[HAMMADDE KODU]],Tablo1[#All],3,0)," ")</f>
        <v xml:space="preserve"> </v>
      </c>
      <c r="P551" s="100" t="str">
        <f>IFERROR(VLOOKUP(Tablo520[[#This Row],[HAMMADDE KODU]],Tablo1[#All],4,0)," ")</f>
        <v xml:space="preserve"> </v>
      </c>
      <c r="Q551" s="100" t="str">
        <f>IFERROR(VLOOKUP(Tablo520[[#This Row],[ÜRÜN KODU]],YMKODLARI!$A$1:$K$373,5,0)," ")</f>
        <v xml:space="preserve"> </v>
      </c>
      <c r="R551" s="100" t="str">
        <f>IFERROR(VLOOKUP(Tablo520[[#This Row],[ÜRÜN KODU]],YMKODLARI!$A$1:$K$373,6,0)," ")</f>
        <v xml:space="preserve"> </v>
      </c>
      <c r="S551" s="100" t="str">
        <f>IFERROR(Tablo520[[#This Row],[YOLLUK HARİÇ BASKI GRAMI]]/Tablo520[[#This Row],[KALIP GÖZ ADEDİ]]," ")</f>
        <v xml:space="preserve"> </v>
      </c>
      <c r="T551" s="100" t="str">
        <f t="shared" si="58"/>
        <v xml:space="preserve"> </v>
      </c>
      <c r="U551" s="100"/>
      <c r="V551" s="100" t="str">
        <f t="shared" si="57"/>
        <v xml:space="preserve"> </v>
      </c>
      <c r="W551" s="101">
        <f t="shared" si="59"/>
        <v>24</v>
      </c>
      <c r="X551" s="102">
        <f t="shared" si="60"/>
        <v>0</v>
      </c>
      <c r="Y551" s="100" t="str">
        <f t="shared" si="61"/>
        <v xml:space="preserve"> </v>
      </c>
      <c r="Z551" s="100" t="str">
        <f t="shared" si="62"/>
        <v xml:space="preserve"> </v>
      </c>
    </row>
    <row r="552" spans="1:26">
      <c r="A552" s="100"/>
      <c r="B552" s="100" t="str">
        <f>IFERROR(VLOOKUP(Tablo520[[#This Row],[ÜRÜN KODU]],YMKODLARI!$A$1:$K$373,2,0)," ")</f>
        <v xml:space="preserve"> </v>
      </c>
      <c r="C552" s="99"/>
      <c r="D552" s="100"/>
      <c r="E552" s="101"/>
      <c r="F552" s="101"/>
      <c r="G552" s="100" t="str">
        <f>IFERROR(VLOOKUP(Tablo520[[#This Row],[ÜRÜN KODU]],YMKODLARI!$A$1:$K$373,3,0)," ")</f>
        <v xml:space="preserve"> </v>
      </c>
      <c r="H552" s="100" t="str">
        <f>IFERROR(VLOOKUP(Tablo520[[#This Row],[ÜRÜN KODU]],YMKODLARI!$A$1:$K$373,4,0)," ")</f>
        <v xml:space="preserve"> </v>
      </c>
      <c r="I552" s="100"/>
      <c r="J552" s="100" t="str">
        <f>IFERROR(VLOOKUP(Tablo520[[#This Row],[ÜRÜN KODU]],YMKODLARI!$A$1:$K$373,9,0)," ")</f>
        <v xml:space="preserve"> </v>
      </c>
      <c r="K552" s="100" t="str">
        <f>IFERROR(VLOOKUP(Tablo520[[#This Row],[BOYA KODU]],Tablo14[#All],4,0)," ")</f>
        <v xml:space="preserve"> </v>
      </c>
      <c r="L552" s="100" t="str">
        <f>IFERROR(VLOOKUP(Tablo520[[#This Row],[BOYA KODU]],Tablo14[#All],6,0)," ")</f>
        <v xml:space="preserve"> </v>
      </c>
      <c r="M552" s="100" t="str">
        <f t="shared" si="56"/>
        <v xml:space="preserve"> </v>
      </c>
      <c r="N552" s="100" t="str">
        <f>IFERROR(VLOOKUP(Tablo520[[#This Row],[ÜRÜN KODU]],YMKODLARI!$A$1:$K$373,8,0)," ")</f>
        <v xml:space="preserve"> </v>
      </c>
      <c r="O552" s="100" t="str">
        <f>IFERROR(VLOOKUP(Tablo520[[#This Row],[HAMMADDE KODU]],Tablo1[#All],3,0)," ")</f>
        <v xml:space="preserve"> </v>
      </c>
      <c r="P552" s="100" t="str">
        <f>IFERROR(VLOOKUP(Tablo520[[#This Row],[HAMMADDE KODU]],Tablo1[#All],4,0)," ")</f>
        <v xml:space="preserve"> </v>
      </c>
      <c r="Q552" s="100" t="str">
        <f>IFERROR(VLOOKUP(Tablo520[[#This Row],[ÜRÜN KODU]],YMKODLARI!$A$1:$K$373,5,0)," ")</f>
        <v xml:space="preserve"> </v>
      </c>
      <c r="R552" s="100" t="str">
        <f>IFERROR(VLOOKUP(Tablo520[[#This Row],[ÜRÜN KODU]],YMKODLARI!$A$1:$K$373,6,0)," ")</f>
        <v xml:space="preserve"> </v>
      </c>
      <c r="S552" s="100" t="str">
        <f>IFERROR(Tablo520[[#This Row],[YOLLUK HARİÇ BASKI GRAMI]]/Tablo520[[#This Row],[KALIP GÖZ ADEDİ]]," ")</f>
        <v xml:space="preserve"> </v>
      </c>
      <c r="T552" s="100" t="str">
        <f t="shared" si="58"/>
        <v xml:space="preserve"> </v>
      </c>
      <c r="U552" s="100"/>
      <c r="V552" s="100" t="str">
        <f t="shared" si="57"/>
        <v xml:space="preserve"> </v>
      </c>
      <c r="W552" s="101">
        <f t="shared" si="59"/>
        <v>24</v>
      </c>
      <c r="X552" s="102">
        <f t="shared" si="60"/>
        <v>0</v>
      </c>
      <c r="Y552" s="100" t="str">
        <f t="shared" si="61"/>
        <v xml:space="preserve"> </v>
      </c>
      <c r="Z552" s="100" t="str">
        <f t="shared" si="62"/>
        <v xml:space="preserve"> </v>
      </c>
    </row>
    <row r="553" spans="1:26">
      <c r="A553" s="100"/>
      <c r="B553" s="100" t="str">
        <f>IFERROR(VLOOKUP(Tablo520[[#This Row],[ÜRÜN KODU]],YMKODLARI!$A$1:$K$373,2,0)," ")</f>
        <v xml:space="preserve"> </v>
      </c>
      <c r="C553" s="99"/>
      <c r="D553" s="100"/>
      <c r="E553" s="101"/>
      <c r="F553" s="101"/>
      <c r="G553" s="100" t="str">
        <f>IFERROR(VLOOKUP(Tablo520[[#This Row],[ÜRÜN KODU]],YMKODLARI!$A$1:$K$373,3,0)," ")</f>
        <v xml:space="preserve"> </v>
      </c>
      <c r="H553" s="100" t="str">
        <f>IFERROR(VLOOKUP(Tablo520[[#This Row],[ÜRÜN KODU]],YMKODLARI!$A$1:$K$373,4,0)," ")</f>
        <v xml:space="preserve"> </v>
      </c>
      <c r="I553" s="100"/>
      <c r="J553" s="100" t="str">
        <f>IFERROR(VLOOKUP(Tablo520[[#This Row],[ÜRÜN KODU]],YMKODLARI!$A$1:$K$373,9,0)," ")</f>
        <v xml:space="preserve"> </v>
      </c>
      <c r="K553" s="100" t="str">
        <f>IFERROR(VLOOKUP(Tablo520[[#This Row],[BOYA KODU]],Tablo14[#All],4,0)," ")</f>
        <v xml:space="preserve"> </v>
      </c>
      <c r="L553" s="100" t="str">
        <f>IFERROR(VLOOKUP(Tablo520[[#This Row],[BOYA KODU]],Tablo14[#All],6,0)," ")</f>
        <v xml:space="preserve"> </v>
      </c>
      <c r="M553" s="100" t="str">
        <f t="shared" si="56"/>
        <v xml:space="preserve"> </v>
      </c>
      <c r="N553" s="100" t="str">
        <f>IFERROR(VLOOKUP(Tablo520[[#This Row],[ÜRÜN KODU]],YMKODLARI!$A$1:$K$373,8,0)," ")</f>
        <v xml:space="preserve"> </v>
      </c>
      <c r="O553" s="100" t="str">
        <f>IFERROR(VLOOKUP(Tablo520[[#This Row],[HAMMADDE KODU]],Tablo1[#All],3,0)," ")</f>
        <v xml:space="preserve"> </v>
      </c>
      <c r="P553" s="100" t="str">
        <f>IFERROR(VLOOKUP(Tablo520[[#This Row],[HAMMADDE KODU]],Tablo1[#All],4,0)," ")</f>
        <v xml:space="preserve"> </v>
      </c>
      <c r="Q553" s="100" t="str">
        <f>IFERROR(VLOOKUP(Tablo520[[#This Row],[ÜRÜN KODU]],YMKODLARI!$A$1:$K$373,5,0)," ")</f>
        <v xml:space="preserve"> </v>
      </c>
      <c r="R553" s="100" t="str">
        <f>IFERROR(VLOOKUP(Tablo520[[#This Row],[ÜRÜN KODU]],YMKODLARI!$A$1:$K$373,6,0)," ")</f>
        <v xml:space="preserve"> </v>
      </c>
      <c r="S553" s="100" t="str">
        <f>IFERROR(Tablo520[[#This Row],[YOLLUK HARİÇ BASKI GRAMI]]/Tablo520[[#This Row],[KALIP GÖZ ADEDİ]]," ")</f>
        <v xml:space="preserve"> </v>
      </c>
      <c r="T553" s="100" t="str">
        <f t="shared" si="58"/>
        <v xml:space="preserve"> </v>
      </c>
      <c r="U553" s="100"/>
      <c r="V553" s="100" t="str">
        <f t="shared" si="57"/>
        <v xml:space="preserve"> </v>
      </c>
      <c r="W553" s="101">
        <f t="shared" si="59"/>
        <v>24</v>
      </c>
      <c r="X553" s="102">
        <f t="shared" si="60"/>
        <v>0</v>
      </c>
      <c r="Y553" s="100" t="str">
        <f t="shared" si="61"/>
        <v xml:space="preserve"> </v>
      </c>
      <c r="Z553" s="100" t="str">
        <f t="shared" si="62"/>
        <v xml:space="preserve"> </v>
      </c>
    </row>
    <row r="554" spans="1:26">
      <c r="A554" s="100"/>
      <c r="B554" s="100" t="str">
        <f>IFERROR(VLOOKUP(Tablo520[[#This Row],[ÜRÜN KODU]],YMKODLARI!$A$1:$K$373,2,0)," ")</f>
        <v xml:space="preserve"> </v>
      </c>
      <c r="C554" s="99"/>
      <c r="D554" s="100"/>
      <c r="E554" s="101"/>
      <c r="F554" s="101"/>
      <c r="G554" s="100" t="str">
        <f>IFERROR(VLOOKUP(Tablo520[[#This Row],[ÜRÜN KODU]],YMKODLARI!$A$1:$K$373,3,0)," ")</f>
        <v xml:space="preserve"> </v>
      </c>
      <c r="H554" s="100" t="str">
        <f>IFERROR(VLOOKUP(Tablo520[[#This Row],[ÜRÜN KODU]],YMKODLARI!$A$1:$K$373,4,0)," ")</f>
        <v xml:space="preserve"> </v>
      </c>
      <c r="I554" s="100"/>
      <c r="J554" s="100" t="str">
        <f>IFERROR(VLOOKUP(Tablo520[[#This Row],[ÜRÜN KODU]],YMKODLARI!$A$1:$K$373,9,0)," ")</f>
        <v xml:space="preserve"> </v>
      </c>
      <c r="K554" s="100" t="str">
        <f>IFERROR(VLOOKUP(Tablo520[[#This Row],[BOYA KODU]],Tablo14[#All],4,0)," ")</f>
        <v xml:space="preserve"> </v>
      </c>
      <c r="L554" s="100" t="str">
        <f>IFERROR(VLOOKUP(Tablo520[[#This Row],[BOYA KODU]],Tablo14[#All],6,0)," ")</f>
        <v xml:space="preserve"> </v>
      </c>
      <c r="M554" s="100" t="str">
        <f t="shared" si="56"/>
        <v xml:space="preserve"> </v>
      </c>
      <c r="N554" s="100" t="str">
        <f>IFERROR(VLOOKUP(Tablo520[[#This Row],[ÜRÜN KODU]],YMKODLARI!$A$1:$K$373,8,0)," ")</f>
        <v xml:space="preserve"> </v>
      </c>
      <c r="O554" s="100" t="str">
        <f>IFERROR(VLOOKUP(Tablo520[[#This Row],[HAMMADDE KODU]],Tablo1[#All],3,0)," ")</f>
        <v xml:space="preserve"> </v>
      </c>
      <c r="P554" s="100" t="str">
        <f>IFERROR(VLOOKUP(Tablo520[[#This Row],[HAMMADDE KODU]],Tablo1[#All],4,0)," ")</f>
        <v xml:space="preserve"> </v>
      </c>
      <c r="Q554" s="100" t="str">
        <f>IFERROR(VLOOKUP(Tablo520[[#This Row],[ÜRÜN KODU]],YMKODLARI!$A$1:$K$373,5,0)," ")</f>
        <v xml:space="preserve"> </v>
      </c>
      <c r="R554" s="100" t="str">
        <f>IFERROR(VLOOKUP(Tablo520[[#This Row],[ÜRÜN KODU]],YMKODLARI!$A$1:$K$373,6,0)," ")</f>
        <v xml:space="preserve"> </v>
      </c>
      <c r="S554" s="100" t="str">
        <f>IFERROR(Tablo520[[#This Row],[YOLLUK HARİÇ BASKI GRAMI]]/Tablo520[[#This Row],[KALIP GÖZ ADEDİ]]," ")</f>
        <v xml:space="preserve"> </v>
      </c>
      <c r="T554" s="100" t="str">
        <f t="shared" si="58"/>
        <v xml:space="preserve"> </v>
      </c>
      <c r="U554" s="100"/>
      <c r="V554" s="100" t="str">
        <f t="shared" si="57"/>
        <v xml:space="preserve"> </v>
      </c>
      <c r="W554" s="101">
        <f t="shared" si="59"/>
        <v>24</v>
      </c>
      <c r="X554" s="102">
        <f t="shared" si="60"/>
        <v>0</v>
      </c>
      <c r="Y554" s="100" t="str">
        <f t="shared" si="61"/>
        <v xml:space="preserve"> </v>
      </c>
      <c r="Z554" s="100" t="str">
        <f t="shared" si="62"/>
        <v xml:space="preserve"> </v>
      </c>
    </row>
    <row r="555" spans="1:26">
      <c r="A555" s="100"/>
      <c r="B555" s="100" t="str">
        <f>IFERROR(VLOOKUP(Tablo520[[#This Row],[ÜRÜN KODU]],YMKODLARI!$A$1:$K$373,2,0)," ")</f>
        <v xml:space="preserve"> </v>
      </c>
      <c r="C555" s="99"/>
      <c r="D555" s="100"/>
      <c r="E555" s="101"/>
      <c r="F555" s="101"/>
      <c r="G555" s="100" t="str">
        <f>IFERROR(VLOOKUP(Tablo520[[#This Row],[ÜRÜN KODU]],YMKODLARI!$A$1:$K$373,3,0)," ")</f>
        <v xml:space="preserve"> </v>
      </c>
      <c r="H555" s="100" t="str">
        <f>IFERROR(VLOOKUP(Tablo520[[#This Row],[ÜRÜN KODU]],YMKODLARI!$A$1:$K$373,4,0)," ")</f>
        <v xml:space="preserve"> </v>
      </c>
      <c r="I555" s="100"/>
      <c r="J555" s="100" t="str">
        <f>IFERROR(VLOOKUP(Tablo520[[#This Row],[ÜRÜN KODU]],YMKODLARI!$A$1:$K$373,9,0)," ")</f>
        <v xml:space="preserve"> </v>
      </c>
      <c r="K555" s="100" t="str">
        <f>IFERROR(VLOOKUP(Tablo520[[#This Row],[BOYA KODU]],Tablo14[#All],4,0)," ")</f>
        <v xml:space="preserve"> </v>
      </c>
      <c r="L555" s="100" t="str">
        <f>IFERROR(VLOOKUP(Tablo520[[#This Row],[BOYA KODU]],Tablo14[#All],6,0)," ")</f>
        <v xml:space="preserve"> </v>
      </c>
      <c r="M555" s="100" t="str">
        <f t="shared" si="56"/>
        <v xml:space="preserve"> </v>
      </c>
      <c r="N555" s="100" t="str">
        <f>IFERROR(VLOOKUP(Tablo520[[#This Row],[ÜRÜN KODU]],YMKODLARI!$A$1:$K$373,8,0)," ")</f>
        <v xml:space="preserve"> </v>
      </c>
      <c r="O555" s="100" t="str">
        <f>IFERROR(VLOOKUP(Tablo520[[#This Row],[HAMMADDE KODU]],Tablo1[#All],3,0)," ")</f>
        <v xml:space="preserve"> </v>
      </c>
      <c r="P555" s="100" t="str">
        <f>IFERROR(VLOOKUP(Tablo520[[#This Row],[HAMMADDE KODU]],Tablo1[#All],4,0)," ")</f>
        <v xml:space="preserve"> </v>
      </c>
      <c r="Q555" s="100" t="str">
        <f>IFERROR(VLOOKUP(Tablo520[[#This Row],[ÜRÜN KODU]],YMKODLARI!$A$1:$K$373,5,0)," ")</f>
        <v xml:space="preserve"> </v>
      </c>
      <c r="R555" s="100" t="str">
        <f>IFERROR(VLOOKUP(Tablo520[[#This Row],[ÜRÜN KODU]],YMKODLARI!$A$1:$K$373,6,0)," ")</f>
        <v xml:space="preserve"> </v>
      </c>
      <c r="S555" s="100" t="str">
        <f>IFERROR(Tablo520[[#This Row],[YOLLUK HARİÇ BASKI GRAMI]]/Tablo520[[#This Row],[KALIP GÖZ ADEDİ]]," ")</f>
        <v xml:space="preserve"> </v>
      </c>
      <c r="T555" s="100" t="str">
        <f t="shared" si="58"/>
        <v xml:space="preserve"> </v>
      </c>
      <c r="U555" s="100"/>
      <c r="V555" s="100" t="str">
        <f t="shared" si="57"/>
        <v xml:space="preserve"> </v>
      </c>
      <c r="W555" s="101">
        <f t="shared" si="59"/>
        <v>24</v>
      </c>
      <c r="X555" s="102">
        <f t="shared" si="60"/>
        <v>0</v>
      </c>
      <c r="Y555" s="100" t="str">
        <f t="shared" si="61"/>
        <v xml:space="preserve"> </v>
      </c>
      <c r="Z555" s="100" t="str">
        <f t="shared" si="62"/>
        <v xml:space="preserve"> </v>
      </c>
    </row>
    <row r="556" spans="1:26">
      <c r="A556" s="100"/>
      <c r="B556" s="100" t="str">
        <f>IFERROR(VLOOKUP(Tablo520[[#This Row],[ÜRÜN KODU]],YMKODLARI!$A$1:$K$373,2,0)," ")</f>
        <v xml:space="preserve"> </v>
      </c>
      <c r="C556" s="99"/>
      <c r="D556" s="100"/>
      <c r="E556" s="101"/>
      <c r="F556" s="101"/>
      <c r="G556" s="100" t="str">
        <f>IFERROR(VLOOKUP(Tablo520[[#This Row],[ÜRÜN KODU]],YMKODLARI!$A$1:$K$373,3,0)," ")</f>
        <v xml:space="preserve"> </v>
      </c>
      <c r="H556" s="100" t="str">
        <f>IFERROR(VLOOKUP(Tablo520[[#This Row],[ÜRÜN KODU]],YMKODLARI!$A$1:$K$373,4,0)," ")</f>
        <v xml:space="preserve"> </v>
      </c>
      <c r="I556" s="100"/>
      <c r="J556" s="100" t="str">
        <f>IFERROR(VLOOKUP(Tablo520[[#This Row],[ÜRÜN KODU]],YMKODLARI!$A$1:$K$373,9,0)," ")</f>
        <v xml:space="preserve"> </v>
      </c>
      <c r="K556" s="100" t="str">
        <f>IFERROR(VLOOKUP(Tablo520[[#This Row],[BOYA KODU]],Tablo14[#All],4,0)," ")</f>
        <v xml:space="preserve"> </v>
      </c>
      <c r="L556" s="100" t="str">
        <f>IFERROR(VLOOKUP(Tablo520[[#This Row],[BOYA KODU]],Tablo14[#All],6,0)," ")</f>
        <v xml:space="preserve"> </v>
      </c>
      <c r="M556" s="100" t="str">
        <f t="shared" si="56"/>
        <v xml:space="preserve"> </v>
      </c>
      <c r="N556" s="100" t="str">
        <f>IFERROR(VLOOKUP(Tablo520[[#This Row],[ÜRÜN KODU]],YMKODLARI!$A$1:$K$373,8,0)," ")</f>
        <v xml:space="preserve"> </v>
      </c>
      <c r="O556" s="100" t="str">
        <f>IFERROR(VLOOKUP(Tablo520[[#This Row],[HAMMADDE KODU]],Tablo1[#All],3,0)," ")</f>
        <v xml:space="preserve"> </v>
      </c>
      <c r="P556" s="100" t="str">
        <f>IFERROR(VLOOKUP(Tablo520[[#This Row],[HAMMADDE KODU]],Tablo1[#All],4,0)," ")</f>
        <v xml:space="preserve"> </v>
      </c>
      <c r="Q556" s="100" t="str">
        <f>IFERROR(VLOOKUP(Tablo520[[#This Row],[ÜRÜN KODU]],YMKODLARI!$A$1:$K$373,5,0)," ")</f>
        <v xml:space="preserve"> </v>
      </c>
      <c r="R556" s="100" t="str">
        <f>IFERROR(VLOOKUP(Tablo520[[#This Row],[ÜRÜN KODU]],YMKODLARI!$A$1:$K$373,6,0)," ")</f>
        <v xml:space="preserve"> </v>
      </c>
      <c r="S556" s="100" t="str">
        <f>IFERROR(Tablo520[[#This Row],[YOLLUK HARİÇ BASKI GRAMI]]/Tablo520[[#This Row],[KALIP GÖZ ADEDİ]]," ")</f>
        <v xml:space="preserve"> </v>
      </c>
      <c r="T556" s="100" t="str">
        <f t="shared" si="58"/>
        <v xml:space="preserve"> </v>
      </c>
      <c r="U556" s="100"/>
      <c r="V556" s="100" t="str">
        <f t="shared" si="57"/>
        <v xml:space="preserve"> </v>
      </c>
      <c r="W556" s="101">
        <f t="shared" si="59"/>
        <v>24</v>
      </c>
      <c r="X556" s="102">
        <f t="shared" si="60"/>
        <v>0</v>
      </c>
      <c r="Y556" s="100" t="str">
        <f t="shared" si="61"/>
        <v xml:space="preserve"> </v>
      </c>
      <c r="Z556" s="100" t="str">
        <f t="shared" si="62"/>
        <v xml:space="preserve"> </v>
      </c>
    </row>
    <row r="557" spans="1:26">
      <c r="A557" s="100"/>
      <c r="B557" s="100" t="str">
        <f>IFERROR(VLOOKUP(Tablo520[[#This Row],[ÜRÜN KODU]],YMKODLARI!$A$1:$K$373,2,0)," ")</f>
        <v xml:space="preserve"> </v>
      </c>
      <c r="C557" s="99"/>
      <c r="D557" s="100"/>
      <c r="E557" s="101"/>
      <c r="F557" s="101"/>
      <c r="G557" s="100" t="str">
        <f>IFERROR(VLOOKUP(Tablo520[[#This Row],[ÜRÜN KODU]],YMKODLARI!$A$1:$K$373,3,0)," ")</f>
        <v xml:space="preserve"> </v>
      </c>
      <c r="H557" s="100" t="str">
        <f>IFERROR(VLOOKUP(Tablo520[[#This Row],[ÜRÜN KODU]],YMKODLARI!$A$1:$K$373,4,0)," ")</f>
        <v xml:space="preserve"> </v>
      </c>
      <c r="I557" s="100"/>
      <c r="J557" s="100" t="str">
        <f>IFERROR(VLOOKUP(Tablo520[[#This Row],[ÜRÜN KODU]],YMKODLARI!$A$1:$K$373,9,0)," ")</f>
        <v xml:space="preserve"> </v>
      </c>
      <c r="K557" s="100" t="str">
        <f>IFERROR(VLOOKUP(Tablo520[[#This Row],[BOYA KODU]],Tablo14[#All],4,0)," ")</f>
        <v xml:space="preserve"> </v>
      </c>
      <c r="L557" s="100" t="str">
        <f>IFERROR(VLOOKUP(Tablo520[[#This Row],[BOYA KODU]],Tablo14[#All],6,0)," ")</f>
        <v xml:space="preserve"> </v>
      </c>
      <c r="M557" s="100" t="str">
        <f t="shared" si="56"/>
        <v xml:space="preserve"> </v>
      </c>
      <c r="N557" s="100" t="str">
        <f>IFERROR(VLOOKUP(Tablo520[[#This Row],[ÜRÜN KODU]],YMKODLARI!$A$1:$K$373,8,0)," ")</f>
        <v xml:space="preserve"> </v>
      </c>
      <c r="O557" s="100" t="str">
        <f>IFERROR(VLOOKUP(Tablo520[[#This Row],[HAMMADDE KODU]],Tablo1[#All],3,0)," ")</f>
        <v xml:space="preserve"> </v>
      </c>
      <c r="P557" s="100" t="str">
        <f>IFERROR(VLOOKUP(Tablo520[[#This Row],[HAMMADDE KODU]],Tablo1[#All],4,0)," ")</f>
        <v xml:space="preserve"> </v>
      </c>
      <c r="Q557" s="100" t="str">
        <f>IFERROR(VLOOKUP(Tablo520[[#This Row],[ÜRÜN KODU]],YMKODLARI!$A$1:$K$373,5,0)," ")</f>
        <v xml:space="preserve"> </v>
      </c>
      <c r="R557" s="100" t="str">
        <f>IFERROR(VLOOKUP(Tablo520[[#This Row],[ÜRÜN KODU]],YMKODLARI!$A$1:$K$373,6,0)," ")</f>
        <v xml:space="preserve"> </v>
      </c>
      <c r="S557" s="100" t="str">
        <f>IFERROR(Tablo520[[#This Row],[YOLLUK HARİÇ BASKI GRAMI]]/Tablo520[[#This Row],[KALIP GÖZ ADEDİ]]," ")</f>
        <v xml:space="preserve"> </v>
      </c>
      <c r="T557" s="100" t="str">
        <f t="shared" si="58"/>
        <v xml:space="preserve"> </v>
      </c>
      <c r="U557" s="100"/>
      <c r="V557" s="100" t="str">
        <f t="shared" si="57"/>
        <v xml:space="preserve"> </v>
      </c>
      <c r="W557" s="101">
        <f t="shared" si="59"/>
        <v>24</v>
      </c>
      <c r="X557" s="102">
        <f t="shared" si="60"/>
        <v>0</v>
      </c>
      <c r="Y557" s="100" t="str">
        <f t="shared" si="61"/>
        <v xml:space="preserve"> </v>
      </c>
      <c r="Z557" s="100" t="str">
        <f t="shared" si="62"/>
        <v xml:space="preserve"> </v>
      </c>
    </row>
    <row r="558" spans="1:26">
      <c r="A558" s="100"/>
      <c r="B558" s="100" t="str">
        <f>IFERROR(VLOOKUP(Tablo520[[#This Row],[ÜRÜN KODU]],YMKODLARI!$A$1:$K$373,2,0)," ")</f>
        <v xml:space="preserve"> </v>
      </c>
      <c r="C558" s="99"/>
      <c r="D558" s="100"/>
      <c r="E558" s="101"/>
      <c r="F558" s="101"/>
      <c r="G558" s="100" t="str">
        <f>IFERROR(VLOOKUP(Tablo520[[#This Row],[ÜRÜN KODU]],YMKODLARI!$A$1:$K$373,3,0)," ")</f>
        <v xml:space="preserve"> </v>
      </c>
      <c r="H558" s="100" t="str">
        <f>IFERROR(VLOOKUP(Tablo520[[#This Row],[ÜRÜN KODU]],YMKODLARI!$A$1:$K$373,4,0)," ")</f>
        <v xml:space="preserve"> </v>
      </c>
      <c r="I558" s="100"/>
      <c r="J558" s="100" t="str">
        <f>IFERROR(VLOOKUP(Tablo520[[#This Row],[ÜRÜN KODU]],YMKODLARI!$A$1:$K$373,9,0)," ")</f>
        <v xml:space="preserve"> </v>
      </c>
      <c r="K558" s="100" t="str">
        <f>IFERROR(VLOOKUP(Tablo520[[#This Row],[BOYA KODU]],Tablo14[#All],4,0)," ")</f>
        <v xml:space="preserve"> </v>
      </c>
      <c r="L558" s="100" t="str">
        <f>IFERROR(VLOOKUP(Tablo520[[#This Row],[BOYA KODU]],Tablo14[#All],6,0)," ")</f>
        <v xml:space="preserve"> </v>
      </c>
      <c r="M558" s="100" t="str">
        <f t="shared" si="56"/>
        <v xml:space="preserve"> </v>
      </c>
      <c r="N558" s="100" t="str">
        <f>IFERROR(VLOOKUP(Tablo520[[#This Row],[ÜRÜN KODU]],YMKODLARI!$A$1:$K$373,8,0)," ")</f>
        <v xml:space="preserve"> </v>
      </c>
      <c r="O558" s="100" t="str">
        <f>IFERROR(VLOOKUP(Tablo520[[#This Row],[HAMMADDE KODU]],Tablo1[#All],3,0)," ")</f>
        <v xml:space="preserve"> </v>
      </c>
      <c r="P558" s="100" t="str">
        <f>IFERROR(VLOOKUP(Tablo520[[#This Row],[HAMMADDE KODU]],Tablo1[#All],4,0)," ")</f>
        <v xml:space="preserve"> </v>
      </c>
      <c r="Q558" s="100" t="str">
        <f>IFERROR(VLOOKUP(Tablo520[[#This Row],[ÜRÜN KODU]],YMKODLARI!$A$1:$K$373,5,0)," ")</f>
        <v xml:space="preserve"> </v>
      </c>
      <c r="R558" s="100" t="str">
        <f>IFERROR(VLOOKUP(Tablo520[[#This Row],[ÜRÜN KODU]],YMKODLARI!$A$1:$K$373,6,0)," ")</f>
        <v xml:space="preserve"> </v>
      </c>
      <c r="S558" s="100" t="str">
        <f>IFERROR(Tablo520[[#This Row],[YOLLUK HARİÇ BASKI GRAMI]]/Tablo520[[#This Row],[KALIP GÖZ ADEDİ]]," ")</f>
        <v xml:space="preserve"> </v>
      </c>
      <c r="T558" s="100" t="str">
        <f t="shared" si="58"/>
        <v xml:space="preserve"> </v>
      </c>
      <c r="U558" s="100"/>
      <c r="V558" s="100" t="str">
        <f t="shared" si="57"/>
        <v xml:space="preserve"> </v>
      </c>
      <c r="W558" s="101">
        <f t="shared" si="59"/>
        <v>24</v>
      </c>
      <c r="X558" s="102">
        <f t="shared" si="60"/>
        <v>0</v>
      </c>
      <c r="Y558" s="100" t="str">
        <f t="shared" si="61"/>
        <v xml:space="preserve"> </v>
      </c>
      <c r="Z558" s="100" t="str">
        <f t="shared" si="62"/>
        <v xml:space="preserve"> </v>
      </c>
    </row>
    <row r="559" spans="1:26">
      <c r="A559" s="100"/>
      <c r="B559" s="100" t="str">
        <f>IFERROR(VLOOKUP(Tablo520[[#This Row],[ÜRÜN KODU]],YMKODLARI!$A$1:$K$373,2,0)," ")</f>
        <v xml:space="preserve"> </v>
      </c>
      <c r="C559" s="99"/>
      <c r="D559" s="100"/>
      <c r="E559" s="101"/>
      <c r="F559" s="101"/>
      <c r="G559" s="100" t="str">
        <f>IFERROR(VLOOKUP(Tablo520[[#This Row],[ÜRÜN KODU]],YMKODLARI!$A$1:$K$373,3,0)," ")</f>
        <v xml:space="preserve"> </v>
      </c>
      <c r="H559" s="100" t="str">
        <f>IFERROR(VLOOKUP(Tablo520[[#This Row],[ÜRÜN KODU]],YMKODLARI!$A$1:$K$373,4,0)," ")</f>
        <v xml:space="preserve"> </v>
      </c>
      <c r="I559" s="100"/>
      <c r="J559" s="100" t="str">
        <f>IFERROR(VLOOKUP(Tablo520[[#This Row],[ÜRÜN KODU]],YMKODLARI!$A$1:$K$373,9,0)," ")</f>
        <v xml:space="preserve"> </v>
      </c>
      <c r="K559" s="100" t="str">
        <f>IFERROR(VLOOKUP(Tablo520[[#This Row],[BOYA KODU]],Tablo14[#All],4,0)," ")</f>
        <v xml:space="preserve"> </v>
      </c>
      <c r="L559" s="100" t="str">
        <f>IFERROR(VLOOKUP(Tablo520[[#This Row],[BOYA KODU]],Tablo14[#All],6,0)," ")</f>
        <v xml:space="preserve"> </v>
      </c>
      <c r="M559" s="100" t="str">
        <f t="shared" si="56"/>
        <v xml:space="preserve"> </v>
      </c>
      <c r="N559" s="100" t="str">
        <f>IFERROR(VLOOKUP(Tablo520[[#This Row],[ÜRÜN KODU]],YMKODLARI!$A$1:$K$373,8,0)," ")</f>
        <v xml:space="preserve"> </v>
      </c>
      <c r="O559" s="100" t="str">
        <f>IFERROR(VLOOKUP(Tablo520[[#This Row],[HAMMADDE KODU]],Tablo1[#All],3,0)," ")</f>
        <v xml:space="preserve"> </v>
      </c>
      <c r="P559" s="100" t="str">
        <f>IFERROR(VLOOKUP(Tablo520[[#This Row],[HAMMADDE KODU]],Tablo1[#All],4,0)," ")</f>
        <v xml:space="preserve"> </v>
      </c>
      <c r="Q559" s="100" t="str">
        <f>IFERROR(VLOOKUP(Tablo520[[#This Row],[ÜRÜN KODU]],YMKODLARI!$A$1:$K$373,5,0)," ")</f>
        <v xml:space="preserve"> </v>
      </c>
      <c r="R559" s="100" t="str">
        <f>IFERROR(VLOOKUP(Tablo520[[#This Row],[ÜRÜN KODU]],YMKODLARI!$A$1:$K$373,6,0)," ")</f>
        <v xml:space="preserve"> </v>
      </c>
      <c r="S559" s="100" t="str">
        <f>IFERROR(Tablo520[[#This Row],[YOLLUK HARİÇ BASKI GRAMI]]/Tablo520[[#This Row],[KALIP GÖZ ADEDİ]]," ")</f>
        <v xml:space="preserve"> </v>
      </c>
      <c r="T559" s="100" t="str">
        <f t="shared" si="58"/>
        <v xml:space="preserve"> </v>
      </c>
      <c r="U559" s="100"/>
      <c r="V559" s="100" t="str">
        <f t="shared" si="57"/>
        <v xml:space="preserve"> </v>
      </c>
      <c r="W559" s="101">
        <f t="shared" si="59"/>
        <v>24</v>
      </c>
      <c r="X559" s="102">
        <f t="shared" si="60"/>
        <v>0</v>
      </c>
      <c r="Y559" s="100" t="str">
        <f t="shared" si="61"/>
        <v xml:space="preserve"> </v>
      </c>
      <c r="Z559" s="100" t="str">
        <f t="shared" si="62"/>
        <v xml:space="preserve"> </v>
      </c>
    </row>
    <row r="560" spans="1:26">
      <c r="A560" s="100"/>
      <c r="B560" s="100" t="str">
        <f>IFERROR(VLOOKUP(Tablo520[[#This Row],[ÜRÜN KODU]],YMKODLARI!$A$1:$K$373,2,0)," ")</f>
        <v xml:space="preserve"> </v>
      </c>
      <c r="C560" s="99"/>
      <c r="D560" s="100"/>
      <c r="E560" s="101"/>
      <c r="F560" s="101"/>
      <c r="G560" s="100" t="str">
        <f>IFERROR(VLOOKUP(Tablo520[[#This Row],[ÜRÜN KODU]],YMKODLARI!$A$1:$K$373,3,0)," ")</f>
        <v xml:space="preserve"> </v>
      </c>
      <c r="H560" s="100" t="str">
        <f>IFERROR(VLOOKUP(Tablo520[[#This Row],[ÜRÜN KODU]],YMKODLARI!$A$1:$K$373,4,0)," ")</f>
        <v xml:space="preserve"> </v>
      </c>
      <c r="I560" s="100"/>
      <c r="J560" s="100" t="str">
        <f>IFERROR(VLOOKUP(Tablo520[[#This Row],[ÜRÜN KODU]],YMKODLARI!$A$1:$K$373,9,0)," ")</f>
        <v xml:space="preserve"> </v>
      </c>
      <c r="K560" s="100" t="str">
        <f>IFERROR(VLOOKUP(Tablo520[[#This Row],[BOYA KODU]],Tablo14[#All],4,0)," ")</f>
        <v xml:space="preserve"> </v>
      </c>
      <c r="L560" s="100" t="str">
        <f>IFERROR(VLOOKUP(Tablo520[[#This Row],[BOYA KODU]],Tablo14[#All],6,0)," ")</f>
        <v xml:space="preserve"> </v>
      </c>
      <c r="M560" s="100" t="str">
        <f t="shared" si="56"/>
        <v xml:space="preserve"> </v>
      </c>
      <c r="N560" s="100" t="str">
        <f>IFERROR(VLOOKUP(Tablo520[[#This Row],[ÜRÜN KODU]],YMKODLARI!$A$1:$K$373,8,0)," ")</f>
        <v xml:space="preserve"> </v>
      </c>
      <c r="O560" s="100" t="str">
        <f>IFERROR(VLOOKUP(Tablo520[[#This Row],[HAMMADDE KODU]],Tablo1[#All],3,0)," ")</f>
        <v xml:space="preserve"> </v>
      </c>
      <c r="P560" s="100" t="str">
        <f>IFERROR(VLOOKUP(Tablo520[[#This Row],[HAMMADDE KODU]],Tablo1[#All],4,0)," ")</f>
        <v xml:space="preserve"> </v>
      </c>
      <c r="Q560" s="100" t="str">
        <f>IFERROR(VLOOKUP(Tablo520[[#This Row],[ÜRÜN KODU]],YMKODLARI!$A$1:$K$373,5,0)," ")</f>
        <v xml:space="preserve"> </v>
      </c>
      <c r="R560" s="100" t="str">
        <f>IFERROR(VLOOKUP(Tablo520[[#This Row],[ÜRÜN KODU]],YMKODLARI!$A$1:$K$373,6,0)," ")</f>
        <v xml:space="preserve"> </v>
      </c>
      <c r="S560" s="100" t="str">
        <f>IFERROR(Tablo520[[#This Row],[YOLLUK HARİÇ BASKI GRAMI]]/Tablo520[[#This Row],[KALIP GÖZ ADEDİ]]," ")</f>
        <v xml:space="preserve"> </v>
      </c>
      <c r="T560" s="100" t="str">
        <f t="shared" si="58"/>
        <v xml:space="preserve"> </v>
      </c>
      <c r="U560" s="100"/>
      <c r="V560" s="100" t="str">
        <f t="shared" si="57"/>
        <v xml:space="preserve"> </v>
      </c>
      <c r="W560" s="101">
        <f t="shared" si="59"/>
        <v>24</v>
      </c>
      <c r="X560" s="102">
        <f t="shared" si="60"/>
        <v>0</v>
      </c>
      <c r="Y560" s="100" t="str">
        <f t="shared" si="61"/>
        <v xml:space="preserve"> </v>
      </c>
      <c r="Z560" s="100" t="str">
        <f t="shared" si="62"/>
        <v xml:space="preserve"> </v>
      </c>
    </row>
    <row r="561" spans="1:26">
      <c r="A561" s="100"/>
      <c r="B561" s="100" t="str">
        <f>IFERROR(VLOOKUP(Tablo520[[#This Row],[ÜRÜN KODU]],YMKODLARI!$A$1:$K$373,2,0)," ")</f>
        <v xml:space="preserve"> </v>
      </c>
      <c r="C561" s="99"/>
      <c r="D561" s="100"/>
      <c r="E561" s="101"/>
      <c r="F561" s="101"/>
      <c r="G561" s="100" t="str">
        <f>IFERROR(VLOOKUP(Tablo520[[#This Row],[ÜRÜN KODU]],YMKODLARI!$A$1:$K$373,3,0)," ")</f>
        <v xml:space="preserve"> </v>
      </c>
      <c r="H561" s="100" t="str">
        <f>IFERROR(VLOOKUP(Tablo520[[#This Row],[ÜRÜN KODU]],YMKODLARI!$A$1:$K$373,4,0)," ")</f>
        <v xml:space="preserve"> </v>
      </c>
      <c r="I561" s="100"/>
      <c r="J561" s="100" t="str">
        <f>IFERROR(VLOOKUP(Tablo520[[#This Row],[ÜRÜN KODU]],YMKODLARI!$A$1:$K$373,9,0)," ")</f>
        <v xml:space="preserve"> </v>
      </c>
      <c r="K561" s="100" t="str">
        <f>IFERROR(VLOOKUP(Tablo520[[#This Row],[BOYA KODU]],Tablo14[#All],4,0)," ")</f>
        <v xml:space="preserve"> </v>
      </c>
      <c r="L561" s="100" t="str">
        <f>IFERROR(VLOOKUP(Tablo520[[#This Row],[BOYA KODU]],Tablo14[#All],6,0)," ")</f>
        <v xml:space="preserve"> </v>
      </c>
      <c r="M561" s="100" t="str">
        <f t="shared" si="56"/>
        <v xml:space="preserve"> </v>
      </c>
      <c r="N561" s="100" t="str">
        <f>IFERROR(VLOOKUP(Tablo520[[#This Row],[ÜRÜN KODU]],YMKODLARI!$A$1:$K$373,8,0)," ")</f>
        <v xml:space="preserve"> </v>
      </c>
      <c r="O561" s="100" t="str">
        <f>IFERROR(VLOOKUP(Tablo520[[#This Row],[HAMMADDE KODU]],Tablo1[#All],3,0)," ")</f>
        <v xml:space="preserve"> </v>
      </c>
      <c r="P561" s="100" t="str">
        <f>IFERROR(VLOOKUP(Tablo520[[#This Row],[HAMMADDE KODU]],Tablo1[#All],4,0)," ")</f>
        <v xml:space="preserve"> </v>
      </c>
      <c r="Q561" s="100" t="str">
        <f>IFERROR(VLOOKUP(Tablo520[[#This Row],[ÜRÜN KODU]],YMKODLARI!$A$1:$K$373,5,0)," ")</f>
        <v xml:space="preserve"> </v>
      </c>
      <c r="R561" s="100" t="str">
        <f>IFERROR(VLOOKUP(Tablo520[[#This Row],[ÜRÜN KODU]],YMKODLARI!$A$1:$K$373,6,0)," ")</f>
        <v xml:space="preserve"> </v>
      </c>
      <c r="S561" s="100" t="str">
        <f>IFERROR(Tablo520[[#This Row],[YOLLUK HARİÇ BASKI GRAMI]]/Tablo520[[#This Row],[KALIP GÖZ ADEDİ]]," ")</f>
        <v xml:space="preserve"> </v>
      </c>
      <c r="T561" s="100" t="str">
        <f t="shared" si="58"/>
        <v xml:space="preserve"> </v>
      </c>
      <c r="U561" s="100"/>
      <c r="V561" s="100" t="str">
        <f t="shared" si="57"/>
        <v xml:space="preserve"> </v>
      </c>
      <c r="W561" s="101">
        <f t="shared" si="59"/>
        <v>24</v>
      </c>
      <c r="X561" s="102">
        <f t="shared" si="60"/>
        <v>0</v>
      </c>
      <c r="Y561" s="100" t="str">
        <f t="shared" si="61"/>
        <v xml:space="preserve"> </v>
      </c>
      <c r="Z561" s="100" t="str">
        <f t="shared" si="62"/>
        <v xml:space="preserve"> </v>
      </c>
    </row>
    <row r="562" spans="1:26">
      <c r="A562" s="100"/>
      <c r="B562" s="100" t="str">
        <f>IFERROR(VLOOKUP(Tablo520[[#This Row],[ÜRÜN KODU]],YMKODLARI!$A$1:$K$373,2,0)," ")</f>
        <v xml:space="preserve"> </v>
      </c>
      <c r="C562" s="99"/>
      <c r="D562" s="100"/>
      <c r="E562" s="101"/>
      <c r="F562" s="101"/>
      <c r="G562" s="100" t="str">
        <f>IFERROR(VLOOKUP(Tablo520[[#This Row],[ÜRÜN KODU]],YMKODLARI!$A$1:$K$373,3,0)," ")</f>
        <v xml:space="preserve"> </v>
      </c>
      <c r="H562" s="100" t="str">
        <f>IFERROR(VLOOKUP(Tablo520[[#This Row],[ÜRÜN KODU]],YMKODLARI!$A$1:$K$373,4,0)," ")</f>
        <v xml:space="preserve"> </v>
      </c>
      <c r="I562" s="100"/>
      <c r="J562" s="100" t="str">
        <f>IFERROR(VLOOKUP(Tablo520[[#This Row],[ÜRÜN KODU]],YMKODLARI!$A$1:$K$373,9,0)," ")</f>
        <v xml:space="preserve"> </v>
      </c>
      <c r="K562" s="100" t="str">
        <f>IFERROR(VLOOKUP(Tablo520[[#This Row],[BOYA KODU]],Tablo14[#All],4,0)," ")</f>
        <v xml:space="preserve"> </v>
      </c>
      <c r="L562" s="100" t="str">
        <f>IFERROR(VLOOKUP(Tablo520[[#This Row],[BOYA KODU]],Tablo14[#All],6,0)," ")</f>
        <v xml:space="preserve"> </v>
      </c>
      <c r="M562" s="100" t="str">
        <f t="shared" si="56"/>
        <v xml:space="preserve"> </v>
      </c>
      <c r="N562" s="100" t="str">
        <f>IFERROR(VLOOKUP(Tablo520[[#This Row],[ÜRÜN KODU]],YMKODLARI!$A$1:$K$373,8,0)," ")</f>
        <v xml:space="preserve"> </v>
      </c>
      <c r="O562" s="100" t="str">
        <f>IFERROR(VLOOKUP(Tablo520[[#This Row],[HAMMADDE KODU]],Tablo1[#All],3,0)," ")</f>
        <v xml:space="preserve"> </v>
      </c>
      <c r="P562" s="100" t="str">
        <f>IFERROR(VLOOKUP(Tablo520[[#This Row],[HAMMADDE KODU]],Tablo1[#All],4,0)," ")</f>
        <v xml:space="preserve"> </v>
      </c>
      <c r="Q562" s="100" t="str">
        <f>IFERROR(VLOOKUP(Tablo520[[#This Row],[ÜRÜN KODU]],YMKODLARI!$A$1:$K$373,5,0)," ")</f>
        <v xml:space="preserve"> </v>
      </c>
      <c r="R562" s="100" t="str">
        <f>IFERROR(VLOOKUP(Tablo520[[#This Row],[ÜRÜN KODU]],YMKODLARI!$A$1:$K$373,6,0)," ")</f>
        <v xml:space="preserve"> </v>
      </c>
      <c r="S562" s="100" t="str">
        <f>IFERROR(Tablo520[[#This Row],[YOLLUK HARİÇ BASKI GRAMI]]/Tablo520[[#This Row],[KALIP GÖZ ADEDİ]]," ")</f>
        <v xml:space="preserve"> </v>
      </c>
      <c r="T562" s="100" t="str">
        <f t="shared" si="58"/>
        <v xml:space="preserve"> </v>
      </c>
      <c r="U562" s="100"/>
      <c r="V562" s="100" t="str">
        <f t="shared" si="57"/>
        <v xml:space="preserve"> </v>
      </c>
      <c r="W562" s="101">
        <f t="shared" si="59"/>
        <v>24</v>
      </c>
      <c r="X562" s="102">
        <f t="shared" si="60"/>
        <v>0</v>
      </c>
      <c r="Y562" s="100" t="str">
        <f t="shared" si="61"/>
        <v xml:space="preserve"> </v>
      </c>
      <c r="Z562" s="100" t="str">
        <f t="shared" si="62"/>
        <v xml:space="preserve"> </v>
      </c>
    </row>
    <row r="563" spans="1:26">
      <c r="A563" s="100"/>
      <c r="B563" s="100" t="str">
        <f>IFERROR(VLOOKUP(Tablo520[[#This Row],[ÜRÜN KODU]],YMKODLARI!$A$1:$K$373,2,0)," ")</f>
        <v xml:space="preserve"> </v>
      </c>
      <c r="C563" s="99"/>
      <c r="D563" s="100"/>
      <c r="E563" s="101"/>
      <c r="F563" s="101"/>
      <c r="G563" s="100" t="str">
        <f>IFERROR(VLOOKUP(Tablo520[[#This Row],[ÜRÜN KODU]],YMKODLARI!$A$1:$K$373,3,0)," ")</f>
        <v xml:space="preserve"> </v>
      </c>
      <c r="H563" s="100" t="str">
        <f>IFERROR(VLOOKUP(Tablo520[[#This Row],[ÜRÜN KODU]],YMKODLARI!$A$1:$K$373,4,0)," ")</f>
        <v xml:space="preserve"> </v>
      </c>
      <c r="I563" s="100"/>
      <c r="J563" s="100" t="str">
        <f>IFERROR(VLOOKUP(Tablo520[[#This Row],[ÜRÜN KODU]],YMKODLARI!$A$1:$K$373,9,0)," ")</f>
        <v xml:space="preserve"> </v>
      </c>
      <c r="K563" s="100" t="str">
        <f>IFERROR(VLOOKUP(Tablo520[[#This Row],[BOYA KODU]],Tablo14[#All],4,0)," ")</f>
        <v xml:space="preserve"> </v>
      </c>
      <c r="L563" s="100" t="str">
        <f>IFERROR(VLOOKUP(Tablo520[[#This Row],[BOYA KODU]],Tablo14[#All],6,0)," ")</f>
        <v xml:space="preserve"> </v>
      </c>
      <c r="M563" s="100" t="str">
        <f t="shared" si="56"/>
        <v xml:space="preserve"> </v>
      </c>
      <c r="N563" s="100" t="str">
        <f>IFERROR(VLOOKUP(Tablo520[[#This Row],[ÜRÜN KODU]],YMKODLARI!$A$1:$K$373,8,0)," ")</f>
        <v xml:space="preserve"> </v>
      </c>
      <c r="O563" s="100" t="str">
        <f>IFERROR(VLOOKUP(Tablo520[[#This Row],[HAMMADDE KODU]],Tablo1[#All],3,0)," ")</f>
        <v xml:space="preserve"> </v>
      </c>
      <c r="P563" s="100" t="str">
        <f>IFERROR(VLOOKUP(Tablo520[[#This Row],[HAMMADDE KODU]],Tablo1[#All],4,0)," ")</f>
        <v xml:space="preserve"> </v>
      </c>
      <c r="Q563" s="100" t="str">
        <f>IFERROR(VLOOKUP(Tablo520[[#This Row],[ÜRÜN KODU]],YMKODLARI!$A$1:$K$373,5,0)," ")</f>
        <v xml:space="preserve"> </v>
      </c>
      <c r="R563" s="100" t="str">
        <f>IFERROR(VLOOKUP(Tablo520[[#This Row],[ÜRÜN KODU]],YMKODLARI!$A$1:$K$373,6,0)," ")</f>
        <v xml:space="preserve"> </v>
      </c>
      <c r="S563" s="100" t="str">
        <f>IFERROR(Tablo520[[#This Row],[YOLLUK HARİÇ BASKI GRAMI]]/Tablo520[[#This Row],[KALIP GÖZ ADEDİ]]," ")</f>
        <v xml:space="preserve"> </v>
      </c>
      <c r="T563" s="100" t="str">
        <f t="shared" si="58"/>
        <v xml:space="preserve"> </v>
      </c>
      <c r="U563" s="100"/>
      <c r="V563" s="100" t="str">
        <f t="shared" si="57"/>
        <v xml:space="preserve"> </v>
      </c>
      <c r="W563" s="101">
        <f t="shared" si="59"/>
        <v>24</v>
      </c>
      <c r="X563" s="102">
        <f t="shared" si="60"/>
        <v>0</v>
      </c>
      <c r="Y563" s="100" t="str">
        <f t="shared" si="61"/>
        <v xml:space="preserve"> </v>
      </c>
      <c r="Z563" s="100" t="str">
        <f t="shared" si="62"/>
        <v xml:space="preserve"> </v>
      </c>
    </row>
    <row r="564" spans="1:26">
      <c r="A564" s="100"/>
      <c r="B564" s="100" t="str">
        <f>IFERROR(VLOOKUP(Tablo520[[#This Row],[ÜRÜN KODU]],YMKODLARI!$A$1:$K$373,2,0)," ")</f>
        <v xml:space="preserve"> </v>
      </c>
      <c r="C564" s="99"/>
      <c r="D564" s="100"/>
      <c r="E564" s="101"/>
      <c r="F564" s="101"/>
      <c r="G564" s="100" t="str">
        <f>IFERROR(VLOOKUP(Tablo520[[#This Row],[ÜRÜN KODU]],YMKODLARI!$A$1:$K$373,3,0)," ")</f>
        <v xml:space="preserve"> </v>
      </c>
      <c r="H564" s="100" t="str">
        <f>IFERROR(VLOOKUP(Tablo520[[#This Row],[ÜRÜN KODU]],YMKODLARI!$A$1:$K$373,4,0)," ")</f>
        <v xml:space="preserve"> </v>
      </c>
      <c r="I564" s="100"/>
      <c r="J564" s="100" t="str">
        <f>IFERROR(VLOOKUP(Tablo520[[#This Row],[ÜRÜN KODU]],YMKODLARI!$A$1:$K$373,9,0)," ")</f>
        <v xml:space="preserve"> </v>
      </c>
      <c r="K564" s="100" t="str">
        <f>IFERROR(VLOOKUP(Tablo520[[#This Row],[BOYA KODU]],Tablo14[#All],4,0)," ")</f>
        <v xml:space="preserve"> </v>
      </c>
      <c r="L564" s="100" t="str">
        <f>IFERROR(VLOOKUP(Tablo520[[#This Row],[BOYA KODU]],Tablo14[#All],6,0)," ")</f>
        <v xml:space="preserve"> </v>
      </c>
      <c r="M564" s="100" t="str">
        <f t="shared" si="56"/>
        <v xml:space="preserve"> </v>
      </c>
      <c r="N564" s="100" t="str">
        <f>IFERROR(VLOOKUP(Tablo520[[#This Row],[ÜRÜN KODU]],YMKODLARI!$A$1:$K$373,8,0)," ")</f>
        <v xml:space="preserve"> </v>
      </c>
      <c r="O564" s="100" t="str">
        <f>IFERROR(VLOOKUP(Tablo520[[#This Row],[HAMMADDE KODU]],Tablo1[#All],3,0)," ")</f>
        <v xml:space="preserve"> </v>
      </c>
      <c r="P564" s="100" t="str">
        <f>IFERROR(VLOOKUP(Tablo520[[#This Row],[HAMMADDE KODU]],Tablo1[#All],4,0)," ")</f>
        <v xml:space="preserve"> </v>
      </c>
      <c r="Q564" s="100" t="str">
        <f>IFERROR(VLOOKUP(Tablo520[[#This Row],[ÜRÜN KODU]],YMKODLARI!$A$1:$K$373,5,0)," ")</f>
        <v xml:space="preserve"> </v>
      </c>
      <c r="R564" s="100" t="str">
        <f>IFERROR(VLOOKUP(Tablo520[[#This Row],[ÜRÜN KODU]],YMKODLARI!$A$1:$K$373,6,0)," ")</f>
        <v xml:space="preserve"> </v>
      </c>
      <c r="S564" s="100" t="str">
        <f>IFERROR(Tablo520[[#This Row],[YOLLUK HARİÇ BASKI GRAMI]]/Tablo520[[#This Row],[KALIP GÖZ ADEDİ]]," ")</f>
        <v xml:space="preserve"> </v>
      </c>
      <c r="T564" s="100" t="str">
        <f t="shared" si="58"/>
        <v xml:space="preserve"> </v>
      </c>
      <c r="U564" s="100"/>
      <c r="V564" s="100" t="str">
        <f t="shared" si="57"/>
        <v xml:space="preserve"> </v>
      </c>
      <c r="W564" s="101">
        <f t="shared" si="59"/>
        <v>24</v>
      </c>
      <c r="X564" s="102">
        <f t="shared" si="60"/>
        <v>0</v>
      </c>
      <c r="Y564" s="100" t="str">
        <f t="shared" si="61"/>
        <v xml:space="preserve"> </v>
      </c>
      <c r="Z564" s="100" t="str">
        <f t="shared" si="62"/>
        <v xml:space="preserve"> </v>
      </c>
    </row>
    <row r="565" spans="1:26">
      <c r="A565" s="100"/>
      <c r="B565" s="100" t="str">
        <f>IFERROR(VLOOKUP(Tablo520[[#This Row],[ÜRÜN KODU]],YMKODLARI!$A$1:$K$373,2,0)," ")</f>
        <v xml:space="preserve"> </v>
      </c>
      <c r="C565" s="99"/>
      <c r="D565" s="100"/>
      <c r="E565" s="101"/>
      <c r="F565" s="101"/>
      <c r="G565" s="100" t="str">
        <f>IFERROR(VLOOKUP(Tablo520[[#This Row],[ÜRÜN KODU]],YMKODLARI!$A$1:$K$373,3,0)," ")</f>
        <v xml:space="preserve"> </v>
      </c>
      <c r="H565" s="100" t="str">
        <f>IFERROR(VLOOKUP(Tablo520[[#This Row],[ÜRÜN KODU]],YMKODLARI!$A$1:$K$373,4,0)," ")</f>
        <v xml:space="preserve"> </v>
      </c>
      <c r="I565" s="100"/>
      <c r="J565" s="100" t="str">
        <f>IFERROR(VLOOKUP(Tablo520[[#This Row],[ÜRÜN KODU]],YMKODLARI!$A$1:$K$373,9,0)," ")</f>
        <v xml:space="preserve"> </v>
      </c>
      <c r="K565" s="100" t="str">
        <f>IFERROR(VLOOKUP(Tablo520[[#This Row],[BOYA KODU]],Tablo14[#All],4,0)," ")</f>
        <v xml:space="preserve"> </v>
      </c>
      <c r="L565" s="100" t="str">
        <f>IFERROR(VLOOKUP(Tablo520[[#This Row],[BOYA KODU]],Tablo14[#All],6,0)," ")</f>
        <v xml:space="preserve"> </v>
      </c>
      <c r="M565" s="100" t="str">
        <f t="shared" si="56"/>
        <v xml:space="preserve"> </v>
      </c>
      <c r="N565" s="100" t="str">
        <f>IFERROR(VLOOKUP(Tablo520[[#This Row],[ÜRÜN KODU]],YMKODLARI!$A$1:$K$373,8,0)," ")</f>
        <v xml:space="preserve"> </v>
      </c>
      <c r="O565" s="100" t="str">
        <f>IFERROR(VLOOKUP(Tablo520[[#This Row],[HAMMADDE KODU]],Tablo1[#All],3,0)," ")</f>
        <v xml:space="preserve"> </v>
      </c>
      <c r="P565" s="100" t="str">
        <f>IFERROR(VLOOKUP(Tablo520[[#This Row],[HAMMADDE KODU]],Tablo1[#All],4,0)," ")</f>
        <v xml:space="preserve"> </v>
      </c>
      <c r="Q565" s="100" t="str">
        <f>IFERROR(VLOOKUP(Tablo520[[#This Row],[ÜRÜN KODU]],YMKODLARI!$A$1:$K$373,5,0)," ")</f>
        <v xml:space="preserve"> </v>
      </c>
      <c r="R565" s="100" t="str">
        <f>IFERROR(VLOOKUP(Tablo520[[#This Row],[ÜRÜN KODU]],YMKODLARI!$A$1:$K$373,6,0)," ")</f>
        <v xml:space="preserve"> </v>
      </c>
      <c r="S565" s="100" t="str">
        <f>IFERROR(Tablo520[[#This Row],[YOLLUK HARİÇ BASKI GRAMI]]/Tablo520[[#This Row],[KALIP GÖZ ADEDİ]]," ")</f>
        <v xml:space="preserve"> </v>
      </c>
      <c r="T565" s="100" t="str">
        <f t="shared" si="58"/>
        <v xml:space="preserve"> </v>
      </c>
      <c r="U565" s="100"/>
      <c r="V565" s="100" t="str">
        <f t="shared" si="57"/>
        <v xml:space="preserve"> </v>
      </c>
      <c r="W565" s="101">
        <f t="shared" si="59"/>
        <v>24</v>
      </c>
      <c r="X565" s="102">
        <f t="shared" si="60"/>
        <v>0</v>
      </c>
      <c r="Y565" s="100" t="str">
        <f t="shared" si="61"/>
        <v xml:space="preserve"> </v>
      </c>
      <c r="Z565" s="100" t="str">
        <f t="shared" si="62"/>
        <v xml:space="preserve"> </v>
      </c>
    </row>
    <row r="566" spans="1:26">
      <c r="A566" s="100"/>
      <c r="B566" s="100" t="str">
        <f>IFERROR(VLOOKUP(Tablo520[[#This Row],[ÜRÜN KODU]],YMKODLARI!$A$1:$K$373,2,0)," ")</f>
        <v xml:space="preserve"> </v>
      </c>
      <c r="C566" s="99"/>
      <c r="D566" s="100"/>
      <c r="E566" s="101"/>
      <c r="F566" s="101"/>
      <c r="G566" s="100" t="str">
        <f>IFERROR(VLOOKUP(Tablo520[[#This Row],[ÜRÜN KODU]],YMKODLARI!$A$1:$K$373,3,0)," ")</f>
        <v xml:space="preserve"> </v>
      </c>
      <c r="H566" s="100" t="str">
        <f>IFERROR(VLOOKUP(Tablo520[[#This Row],[ÜRÜN KODU]],YMKODLARI!$A$1:$K$373,4,0)," ")</f>
        <v xml:space="preserve"> </v>
      </c>
      <c r="I566" s="100"/>
      <c r="J566" s="100" t="str">
        <f>IFERROR(VLOOKUP(Tablo520[[#This Row],[ÜRÜN KODU]],YMKODLARI!$A$1:$K$373,9,0)," ")</f>
        <v xml:space="preserve"> </v>
      </c>
      <c r="K566" s="100" t="str">
        <f>IFERROR(VLOOKUP(Tablo520[[#This Row],[BOYA KODU]],Tablo14[#All],4,0)," ")</f>
        <v xml:space="preserve"> </v>
      </c>
      <c r="L566" s="100" t="str">
        <f>IFERROR(VLOOKUP(Tablo520[[#This Row],[BOYA KODU]],Tablo14[#All],6,0)," ")</f>
        <v xml:space="preserve"> </v>
      </c>
      <c r="M566" s="100" t="str">
        <f t="shared" si="56"/>
        <v xml:space="preserve"> </v>
      </c>
      <c r="N566" s="100" t="str">
        <f>IFERROR(VLOOKUP(Tablo520[[#This Row],[ÜRÜN KODU]],YMKODLARI!$A$1:$K$373,8,0)," ")</f>
        <v xml:space="preserve"> </v>
      </c>
      <c r="O566" s="100" t="str">
        <f>IFERROR(VLOOKUP(Tablo520[[#This Row],[HAMMADDE KODU]],Tablo1[#All],3,0)," ")</f>
        <v xml:space="preserve"> </v>
      </c>
      <c r="P566" s="100" t="str">
        <f>IFERROR(VLOOKUP(Tablo520[[#This Row],[HAMMADDE KODU]],Tablo1[#All],4,0)," ")</f>
        <v xml:space="preserve"> </v>
      </c>
      <c r="Q566" s="100" t="str">
        <f>IFERROR(VLOOKUP(Tablo520[[#This Row],[ÜRÜN KODU]],YMKODLARI!$A$1:$K$373,5,0)," ")</f>
        <v xml:space="preserve"> </v>
      </c>
      <c r="R566" s="100" t="str">
        <f>IFERROR(VLOOKUP(Tablo520[[#This Row],[ÜRÜN KODU]],YMKODLARI!$A$1:$K$373,6,0)," ")</f>
        <v xml:space="preserve"> </v>
      </c>
      <c r="S566" s="100" t="str">
        <f>IFERROR(Tablo520[[#This Row],[YOLLUK HARİÇ BASKI GRAMI]]/Tablo520[[#This Row],[KALIP GÖZ ADEDİ]]," ")</f>
        <v xml:space="preserve"> </v>
      </c>
      <c r="T566" s="100" t="str">
        <f t="shared" si="58"/>
        <v xml:space="preserve"> </v>
      </c>
      <c r="U566" s="100"/>
      <c r="V566" s="100" t="str">
        <f t="shared" si="57"/>
        <v xml:space="preserve"> </v>
      </c>
      <c r="W566" s="101">
        <f t="shared" si="59"/>
        <v>24</v>
      </c>
      <c r="X566" s="102">
        <f t="shared" si="60"/>
        <v>0</v>
      </c>
      <c r="Y566" s="100" t="str">
        <f t="shared" si="61"/>
        <v xml:space="preserve"> </v>
      </c>
      <c r="Z566" s="100" t="str">
        <f t="shared" si="62"/>
        <v xml:space="preserve"> </v>
      </c>
    </row>
    <row r="567" spans="1:26">
      <c r="A567" s="100"/>
      <c r="B567" s="100" t="str">
        <f>IFERROR(VLOOKUP(Tablo520[[#This Row],[ÜRÜN KODU]],YMKODLARI!$A$1:$K$373,2,0)," ")</f>
        <v xml:space="preserve"> </v>
      </c>
      <c r="C567" s="99"/>
      <c r="D567" s="100"/>
      <c r="E567" s="101"/>
      <c r="F567" s="101"/>
      <c r="G567" s="100" t="str">
        <f>IFERROR(VLOOKUP(Tablo520[[#This Row],[ÜRÜN KODU]],YMKODLARI!$A$1:$K$373,3,0)," ")</f>
        <v xml:space="preserve"> </v>
      </c>
      <c r="H567" s="100" t="str">
        <f>IFERROR(VLOOKUP(Tablo520[[#This Row],[ÜRÜN KODU]],YMKODLARI!$A$1:$K$373,4,0)," ")</f>
        <v xml:space="preserve"> </v>
      </c>
      <c r="I567" s="100"/>
      <c r="J567" s="100" t="str">
        <f>IFERROR(VLOOKUP(Tablo520[[#This Row],[ÜRÜN KODU]],YMKODLARI!$A$1:$K$373,9,0)," ")</f>
        <v xml:space="preserve"> </v>
      </c>
      <c r="K567" s="100" t="str">
        <f>IFERROR(VLOOKUP(Tablo520[[#This Row],[BOYA KODU]],Tablo14[#All],4,0)," ")</f>
        <v xml:space="preserve"> </v>
      </c>
      <c r="L567" s="100" t="str">
        <f>IFERROR(VLOOKUP(Tablo520[[#This Row],[BOYA KODU]],Tablo14[#All],6,0)," ")</f>
        <v xml:space="preserve"> </v>
      </c>
      <c r="M567" s="100" t="str">
        <f t="shared" si="56"/>
        <v xml:space="preserve"> </v>
      </c>
      <c r="N567" s="100" t="str">
        <f>IFERROR(VLOOKUP(Tablo520[[#This Row],[ÜRÜN KODU]],YMKODLARI!$A$1:$K$373,8,0)," ")</f>
        <v xml:space="preserve"> </v>
      </c>
      <c r="O567" s="100" t="str">
        <f>IFERROR(VLOOKUP(Tablo520[[#This Row],[HAMMADDE KODU]],Tablo1[#All],3,0)," ")</f>
        <v xml:space="preserve"> </v>
      </c>
      <c r="P567" s="100" t="str">
        <f>IFERROR(VLOOKUP(Tablo520[[#This Row],[HAMMADDE KODU]],Tablo1[#All],4,0)," ")</f>
        <v xml:space="preserve"> </v>
      </c>
      <c r="Q567" s="100" t="str">
        <f>IFERROR(VLOOKUP(Tablo520[[#This Row],[ÜRÜN KODU]],YMKODLARI!$A$1:$K$373,5,0)," ")</f>
        <v xml:space="preserve"> </v>
      </c>
      <c r="R567" s="100" t="str">
        <f>IFERROR(VLOOKUP(Tablo520[[#This Row],[ÜRÜN KODU]],YMKODLARI!$A$1:$K$373,6,0)," ")</f>
        <v xml:space="preserve"> </v>
      </c>
      <c r="S567" s="100" t="str">
        <f>IFERROR(Tablo520[[#This Row],[YOLLUK HARİÇ BASKI GRAMI]]/Tablo520[[#This Row],[KALIP GÖZ ADEDİ]]," ")</f>
        <v xml:space="preserve"> </v>
      </c>
      <c r="T567" s="100" t="str">
        <f t="shared" si="58"/>
        <v xml:space="preserve"> </v>
      </c>
      <c r="U567" s="100"/>
      <c r="V567" s="100" t="str">
        <f t="shared" si="57"/>
        <v xml:space="preserve"> </v>
      </c>
      <c r="W567" s="101">
        <f t="shared" si="59"/>
        <v>24</v>
      </c>
      <c r="X567" s="102">
        <f t="shared" si="60"/>
        <v>0</v>
      </c>
      <c r="Y567" s="100" t="str">
        <f t="shared" si="61"/>
        <v xml:space="preserve"> </v>
      </c>
      <c r="Z567" s="100" t="str">
        <f t="shared" si="62"/>
        <v xml:space="preserve"> </v>
      </c>
    </row>
    <row r="568" spans="1:26">
      <c r="A568" s="100"/>
      <c r="B568" s="100" t="str">
        <f>IFERROR(VLOOKUP(Tablo520[[#This Row],[ÜRÜN KODU]],YMKODLARI!$A$1:$K$373,2,0)," ")</f>
        <v xml:space="preserve"> </v>
      </c>
      <c r="C568" s="99"/>
      <c r="D568" s="100"/>
      <c r="E568" s="101"/>
      <c r="F568" s="101"/>
      <c r="G568" s="100" t="str">
        <f>IFERROR(VLOOKUP(Tablo520[[#This Row],[ÜRÜN KODU]],YMKODLARI!$A$1:$K$373,3,0)," ")</f>
        <v xml:space="preserve"> </v>
      </c>
      <c r="H568" s="100" t="str">
        <f>IFERROR(VLOOKUP(Tablo520[[#This Row],[ÜRÜN KODU]],YMKODLARI!$A$1:$K$373,4,0)," ")</f>
        <v xml:space="preserve"> </v>
      </c>
      <c r="I568" s="100"/>
      <c r="J568" s="100" t="str">
        <f>IFERROR(VLOOKUP(Tablo520[[#This Row],[ÜRÜN KODU]],YMKODLARI!$A$1:$K$373,9,0)," ")</f>
        <v xml:space="preserve"> </v>
      </c>
      <c r="K568" s="100" t="str">
        <f>IFERROR(VLOOKUP(Tablo520[[#This Row],[BOYA KODU]],Tablo14[#All],4,0)," ")</f>
        <v xml:space="preserve"> </v>
      </c>
      <c r="L568" s="100" t="str">
        <f>IFERROR(VLOOKUP(Tablo520[[#This Row],[BOYA KODU]],Tablo14[#All],6,0)," ")</f>
        <v xml:space="preserve"> </v>
      </c>
      <c r="M568" s="100" t="str">
        <f t="shared" si="56"/>
        <v xml:space="preserve"> </v>
      </c>
      <c r="N568" s="100" t="str">
        <f>IFERROR(VLOOKUP(Tablo520[[#This Row],[ÜRÜN KODU]],YMKODLARI!$A$1:$K$373,8,0)," ")</f>
        <v xml:space="preserve"> </v>
      </c>
      <c r="O568" s="100" t="str">
        <f>IFERROR(VLOOKUP(Tablo520[[#This Row],[HAMMADDE KODU]],Tablo1[#All],3,0)," ")</f>
        <v xml:space="preserve"> </v>
      </c>
      <c r="P568" s="100" t="str">
        <f>IFERROR(VLOOKUP(Tablo520[[#This Row],[HAMMADDE KODU]],Tablo1[#All],4,0)," ")</f>
        <v xml:space="preserve"> </v>
      </c>
      <c r="Q568" s="100" t="str">
        <f>IFERROR(VLOOKUP(Tablo520[[#This Row],[ÜRÜN KODU]],YMKODLARI!$A$1:$K$373,5,0)," ")</f>
        <v xml:space="preserve"> </v>
      </c>
      <c r="R568" s="100" t="str">
        <f>IFERROR(VLOOKUP(Tablo520[[#This Row],[ÜRÜN KODU]],YMKODLARI!$A$1:$K$373,6,0)," ")</f>
        <v xml:space="preserve"> </v>
      </c>
      <c r="S568" s="100" t="str">
        <f>IFERROR(Tablo520[[#This Row],[YOLLUK HARİÇ BASKI GRAMI]]/Tablo520[[#This Row],[KALIP GÖZ ADEDİ]]," ")</f>
        <v xml:space="preserve"> </v>
      </c>
      <c r="T568" s="100" t="str">
        <f t="shared" si="58"/>
        <v xml:space="preserve"> </v>
      </c>
      <c r="U568" s="100"/>
      <c r="V568" s="100" t="str">
        <f t="shared" si="57"/>
        <v xml:space="preserve"> </v>
      </c>
      <c r="W568" s="101">
        <f t="shared" si="59"/>
        <v>24</v>
      </c>
      <c r="X568" s="102">
        <f t="shared" si="60"/>
        <v>0</v>
      </c>
      <c r="Y568" s="100" t="str">
        <f t="shared" si="61"/>
        <v xml:space="preserve"> </v>
      </c>
      <c r="Z568" s="100" t="str">
        <f t="shared" si="62"/>
        <v xml:space="preserve"> </v>
      </c>
    </row>
    <row r="569" spans="1:26">
      <c r="A569" s="100"/>
      <c r="B569" s="100" t="str">
        <f>IFERROR(VLOOKUP(Tablo520[[#This Row],[ÜRÜN KODU]],YMKODLARI!$A$1:$K$373,2,0)," ")</f>
        <v xml:space="preserve"> </v>
      </c>
      <c r="C569" s="99"/>
      <c r="D569" s="100"/>
      <c r="E569" s="101"/>
      <c r="F569" s="101"/>
      <c r="G569" s="100" t="str">
        <f>IFERROR(VLOOKUP(Tablo520[[#This Row],[ÜRÜN KODU]],YMKODLARI!$A$1:$K$373,3,0)," ")</f>
        <v xml:space="preserve"> </v>
      </c>
      <c r="H569" s="100" t="str">
        <f>IFERROR(VLOOKUP(Tablo520[[#This Row],[ÜRÜN KODU]],YMKODLARI!$A$1:$K$373,4,0)," ")</f>
        <v xml:space="preserve"> </v>
      </c>
      <c r="I569" s="100"/>
      <c r="J569" s="100" t="str">
        <f>IFERROR(VLOOKUP(Tablo520[[#This Row],[ÜRÜN KODU]],YMKODLARI!$A$1:$K$373,9,0)," ")</f>
        <v xml:space="preserve"> </v>
      </c>
      <c r="K569" s="100" t="str">
        <f>IFERROR(VLOOKUP(Tablo520[[#This Row],[BOYA KODU]],Tablo14[#All],4,0)," ")</f>
        <v xml:space="preserve"> </v>
      </c>
      <c r="L569" s="100" t="str">
        <f>IFERROR(VLOOKUP(Tablo520[[#This Row],[BOYA KODU]],Tablo14[#All],6,0)," ")</f>
        <v xml:space="preserve"> </v>
      </c>
      <c r="M569" s="100" t="str">
        <f t="shared" si="56"/>
        <v xml:space="preserve"> </v>
      </c>
      <c r="N569" s="100" t="str">
        <f>IFERROR(VLOOKUP(Tablo520[[#This Row],[ÜRÜN KODU]],YMKODLARI!$A$1:$K$373,8,0)," ")</f>
        <v xml:space="preserve"> </v>
      </c>
      <c r="O569" s="100" t="str">
        <f>IFERROR(VLOOKUP(Tablo520[[#This Row],[HAMMADDE KODU]],Tablo1[#All],3,0)," ")</f>
        <v xml:space="preserve"> </v>
      </c>
      <c r="P569" s="100" t="str">
        <f>IFERROR(VLOOKUP(Tablo520[[#This Row],[HAMMADDE KODU]],Tablo1[#All],4,0)," ")</f>
        <v xml:space="preserve"> </v>
      </c>
      <c r="Q569" s="100" t="str">
        <f>IFERROR(VLOOKUP(Tablo520[[#This Row],[ÜRÜN KODU]],YMKODLARI!$A$1:$K$373,5,0)," ")</f>
        <v xml:space="preserve"> </v>
      </c>
      <c r="R569" s="100" t="str">
        <f>IFERROR(VLOOKUP(Tablo520[[#This Row],[ÜRÜN KODU]],YMKODLARI!$A$1:$K$373,6,0)," ")</f>
        <v xml:space="preserve"> </v>
      </c>
      <c r="S569" s="100" t="str">
        <f>IFERROR(Tablo520[[#This Row],[YOLLUK HARİÇ BASKI GRAMI]]/Tablo520[[#This Row],[KALIP GÖZ ADEDİ]]," ")</f>
        <v xml:space="preserve"> </v>
      </c>
      <c r="T569" s="100" t="str">
        <f t="shared" si="58"/>
        <v xml:space="preserve"> </v>
      </c>
      <c r="U569" s="100"/>
      <c r="V569" s="100" t="str">
        <f t="shared" si="57"/>
        <v xml:space="preserve"> </v>
      </c>
      <c r="W569" s="101">
        <f t="shared" si="59"/>
        <v>24</v>
      </c>
      <c r="X569" s="102">
        <f t="shared" si="60"/>
        <v>0</v>
      </c>
      <c r="Y569" s="100" t="str">
        <f t="shared" si="61"/>
        <v xml:space="preserve"> </v>
      </c>
      <c r="Z569" s="100" t="str">
        <f t="shared" si="62"/>
        <v xml:space="preserve"> </v>
      </c>
    </row>
    <row r="570" spans="1:26">
      <c r="A570" s="100"/>
      <c r="B570" s="100" t="str">
        <f>IFERROR(VLOOKUP(Tablo520[[#This Row],[ÜRÜN KODU]],YMKODLARI!$A$1:$K$373,2,0)," ")</f>
        <v xml:space="preserve"> </v>
      </c>
      <c r="C570" s="99"/>
      <c r="D570" s="100"/>
      <c r="E570" s="101"/>
      <c r="F570" s="101"/>
      <c r="G570" s="100" t="str">
        <f>IFERROR(VLOOKUP(Tablo520[[#This Row],[ÜRÜN KODU]],YMKODLARI!$A$1:$K$373,3,0)," ")</f>
        <v xml:space="preserve"> </v>
      </c>
      <c r="H570" s="100" t="str">
        <f>IFERROR(VLOOKUP(Tablo520[[#This Row],[ÜRÜN KODU]],YMKODLARI!$A$1:$K$373,4,0)," ")</f>
        <v xml:space="preserve"> </v>
      </c>
      <c r="I570" s="100"/>
      <c r="J570" s="100" t="str">
        <f>IFERROR(VLOOKUP(Tablo520[[#This Row],[ÜRÜN KODU]],YMKODLARI!$A$1:$K$373,9,0)," ")</f>
        <v xml:space="preserve"> </v>
      </c>
      <c r="K570" s="100" t="str">
        <f>IFERROR(VLOOKUP(Tablo520[[#This Row],[BOYA KODU]],Tablo14[#All],4,0)," ")</f>
        <v xml:space="preserve"> </v>
      </c>
      <c r="L570" s="100" t="str">
        <f>IFERROR(VLOOKUP(Tablo520[[#This Row],[BOYA KODU]],Tablo14[#All],6,0)," ")</f>
        <v xml:space="preserve"> </v>
      </c>
      <c r="M570" s="100" t="str">
        <f t="shared" si="56"/>
        <v xml:space="preserve"> </v>
      </c>
      <c r="N570" s="100" t="str">
        <f>IFERROR(VLOOKUP(Tablo520[[#This Row],[ÜRÜN KODU]],YMKODLARI!$A$1:$K$373,8,0)," ")</f>
        <v xml:space="preserve"> </v>
      </c>
      <c r="O570" s="100" t="str">
        <f>IFERROR(VLOOKUP(Tablo520[[#This Row],[HAMMADDE KODU]],Tablo1[#All],3,0)," ")</f>
        <v xml:space="preserve"> </v>
      </c>
      <c r="P570" s="100" t="str">
        <f>IFERROR(VLOOKUP(Tablo520[[#This Row],[HAMMADDE KODU]],Tablo1[#All],4,0)," ")</f>
        <v xml:space="preserve"> </v>
      </c>
      <c r="Q570" s="100" t="str">
        <f>IFERROR(VLOOKUP(Tablo520[[#This Row],[ÜRÜN KODU]],YMKODLARI!$A$1:$K$373,5,0)," ")</f>
        <v xml:space="preserve"> </v>
      </c>
      <c r="R570" s="100" t="str">
        <f>IFERROR(VLOOKUP(Tablo520[[#This Row],[ÜRÜN KODU]],YMKODLARI!$A$1:$K$373,6,0)," ")</f>
        <v xml:space="preserve"> </v>
      </c>
      <c r="S570" s="100" t="str">
        <f>IFERROR(Tablo520[[#This Row],[YOLLUK HARİÇ BASKI GRAMI]]/Tablo520[[#This Row],[KALIP GÖZ ADEDİ]]," ")</f>
        <v xml:space="preserve"> </v>
      </c>
      <c r="T570" s="100" t="str">
        <f t="shared" si="58"/>
        <v xml:space="preserve"> </v>
      </c>
      <c r="U570" s="100"/>
      <c r="V570" s="100" t="str">
        <f t="shared" si="57"/>
        <v xml:space="preserve"> </v>
      </c>
      <c r="W570" s="101">
        <f t="shared" si="59"/>
        <v>24</v>
      </c>
      <c r="X570" s="102">
        <f t="shared" si="60"/>
        <v>0</v>
      </c>
      <c r="Y570" s="100" t="str">
        <f t="shared" si="61"/>
        <v xml:space="preserve"> </v>
      </c>
      <c r="Z570" s="100" t="str">
        <f t="shared" si="62"/>
        <v xml:space="preserve"> </v>
      </c>
    </row>
    <row r="571" spans="1:26">
      <c r="A571" s="100"/>
      <c r="B571" s="100" t="str">
        <f>IFERROR(VLOOKUP(Tablo520[[#This Row],[ÜRÜN KODU]],YMKODLARI!$A$1:$K$373,2,0)," ")</f>
        <v xml:space="preserve"> </v>
      </c>
      <c r="C571" s="99"/>
      <c r="D571" s="100"/>
      <c r="E571" s="101"/>
      <c r="F571" s="101"/>
      <c r="G571" s="100" t="str">
        <f>IFERROR(VLOOKUP(Tablo520[[#This Row],[ÜRÜN KODU]],YMKODLARI!$A$1:$K$373,3,0)," ")</f>
        <v xml:space="preserve"> </v>
      </c>
      <c r="H571" s="100" t="str">
        <f>IFERROR(VLOOKUP(Tablo520[[#This Row],[ÜRÜN KODU]],YMKODLARI!$A$1:$K$373,4,0)," ")</f>
        <v xml:space="preserve"> </v>
      </c>
      <c r="I571" s="100"/>
      <c r="J571" s="100" t="str">
        <f>IFERROR(VLOOKUP(Tablo520[[#This Row],[ÜRÜN KODU]],YMKODLARI!$A$1:$K$373,9,0)," ")</f>
        <v xml:space="preserve"> </v>
      </c>
      <c r="K571" s="100" t="str">
        <f>IFERROR(VLOOKUP(Tablo520[[#This Row],[BOYA KODU]],Tablo14[#All],4,0)," ")</f>
        <v xml:space="preserve"> </v>
      </c>
      <c r="L571" s="100" t="str">
        <f>IFERROR(VLOOKUP(Tablo520[[#This Row],[BOYA KODU]],Tablo14[#All],6,0)," ")</f>
        <v xml:space="preserve"> </v>
      </c>
      <c r="M571" s="100" t="str">
        <f t="shared" si="56"/>
        <v xml:space="preserve"> </v>
      </c>
      <c r="N571" s="100" t="str">
        <f>IFERROR(VLOOKUP(Tablo520[[#This Row],[ÜRÜN KODU]],YMKODLARI!$A$1:$K$373,8,0)," ")</f>
        <v xml:space="preserve"> </v>
      </c>
      <c r="O571" s="100" t="str">
        <f>IFERROR(VLOOKUP(Tablo520[[#This Row],[HAMMADDE KODU]],Tablo1[#All],3,0)," ")</f>
        <v xml:space="preserve"> </v>
      </c>
      <c r="P571" s="100" t="str">
        <f>IFERROR(VLOOKUP(Tablo520[[#This Row],[HAMMADDE KODU]],Tablo1[#All],4,0)," ")</f>
        <v xml:space="preserve"> </v>
      </c>
      <c r="Q571" s="100" t="str">
        <f>IFERROR(VLOOKUP(Tablo520[[#This Row],[ÜRÜN KODU]],YMKODLARI!$A$1:$K$373,5,0)," ")</f>
        <v xml:space="preserve"> </v>
      </c>
      <c r="R571" s="100" t="str">
        <f>IFERROR(VLOOKUP(Tablo520[[#This Row],[ÜRÜN KODU]],YMKODLARI!$A$1:$K$373,6,0)," ")</f>
        <v xml:space="preserve"> </v>
      </c>
      <c r="S571" s="100" t="str">
        <f>IFERROR(Tablo520[[#This Row],[YOLLUK HARİÇ BASKI GRAMI]]/Tablo520[[#This Row],[KALIP GÖZ ADEDİ]]," ")</f>
        <v xml:space="preserve"> </v>
      </c>
      <c r="T571" s="100" t="str">
        <f t="shared" si="58"/>
        <v xml:space="preserve"> </v>
      </c>
      <c r="U571" s="100"/>
      <c r="V571" s="100" t="str">
        <f t="shared" si="57"/>
        <v xml:space="preserve"> </v>
      </c>
      <c r="W571" s="101">
        <f t="shared" si="59"/>
        <v>24</v>
      </c>
      <c r="X571" s="102">
        <f t="shared" si="60"/>
        <v>0</v>
      </c>
      <c r="Y571" s="100" t="str">
        <f t="shared" si="61"/>
        <v xml:space="preserve"> </v>
      </c>
      <c r="Z571" s="100" t="str">
        <f t="shared" si="62"/>
        <v xml:space="preserve"> </v>
      </c>
    </row>
  </sheetData>
  <sheetProtection password="CC17" sheet="1" objects="1" scenarios="1" selectLockedCells="1"/>
  <protectedRanges>
    <protectedRange password="CC09" sqref="U1:U1048576 I1:I1048576 A1:A1048576 C1:F1048576" name="Girişler"/>
  </protectedRanges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>
  <sheetPr codeName="Sayfa12"/>
  <dimension ref="A1:E953"/>
  <sheetViews>
    <sheetView workbookViewId="0">
      <pane ySplit="1" topLeftCell="A866" activePane="bottomLeft" state="frozen"/>
      <selection activeCell="F19" sqref="F19"/>
      <selection pane="bottomLeft" activeCell="E876" sqref="E876"/>
    </sheetView>
  </sheetViews>
  <sheetFormatPr defaultRowHeight="15"/>
  <cols>
    <col min="1" max="1" width="18.5703125" style="48" bestFit="1" customWidth="1"/>
    <col min="2" max="2" width="33.85546875" style="48" bestFit="1" customWidth="1"/>
    <col min="3" max="3" width="13.85546875" style="49" customWidth="1"/>
    <col min="4" max="4" width="13.42578125" style="48" customWidth="1"/>
    <col min="5" max="5" width="10.140625" style="48" customWidth="1"/>
    <col min="6" max="16384" width="9.140625" style="48"/>
  </cols>
  <sheetData>
    <row r="1" spans="1:5" ht="49.5" customHeight="1">
      <c r="A1" s="122" t="s">
        <v>250</v>
      </c>
      <c r="B1" s="122" t="s">
        <v>251</v>
      </c>
      <c r="C1" s="123" t="s">
        <v>252</v>
      </c>
      <c r="D1" s="122" t="s">
        <v>253</v>
      </c>
      <c r="E1" s="122" t="s">
        <v>254</v>
      </c>
    </row>
    <row r="2" spans="1:5" ht="15" customHeight="1">
      <c r="A2" s="124" t="s">
        <v>26</v>
      </c>
      <c r="B2" s="124" t="str">
        <f>IFERROR(VLOOKUP(Tablo8[[#This Row],[ ÜRÜN KODU]],YMKODLARI!$A$1:$H$383,2,0)," " )</f>
        <v>DAMAK EMZİK UCU 1 NO</v>
      </c>
      <c r="C2" s="125">
        <v>43836</v>
      </c>
      <c r="D2" s="124">
        <v>20820</v>
      </c>
      <c r="E2" s="124" t="s">
        <v>255</v>
      </c>
    </row>
    <row r="3" spans="1:5" ht="15" customHeight="1">
      <c r="A3" s="124" t="s">
        <v>42</v>
      </c>
      <c r="B3" s="124" t="str">
        <f>IFERROR(VLOOKUP(Tablo8[[#This Row],[ ÜRÜN KODU]],YMKODLARI!$A$1:$H$383,2,0)," " )</f>
        <v>DAMAK EMZİK UCU 2 NO</v>
      </c>
      <c r="C3" s="125">
        <v>43836</v>
      </c>
      <c r="D3" s="124">
        <v>28000</v>
      </c>
      <c r="E3" s="124" t="s">
        <v>255</v>
      </c>
    </row>
    <row r="4" spans="1:5" ht="15" customHeight="1">
      <c r="A4" s="124" t="s">
        <v>34</v>
      </c>
      <c r="B4" s="124" t="str">
        <f>IFERROR(VLOOKUP(Tablo8[[#This Row],[ ÜRÜN KODU]],YMKODLARI!$A$1:$H$383,2,0)," " )</f>
        <v>BİBERON KLASİK  UC 1 NO</v>
      </c>
      <c r="C4" s="125">
        <v>43836</v>
      </c>
      <c r="D4" s="124">
        <v>11000</v>
      </c>
      <c r="E4" s="124" t="s">
        <v>255</v>
      </c>
    </row>
    <row r="5" spans="1:5" ht="15" customHeight="1">
      <c r="A5" s="124" t="s">
        <v>124</v>
      </c>
      <c r="B5" s="124" t="str">
        <f>IFERROR(VLOOKUP(Tablo8[[#This Row],[ ÜRÜN KODU]],YMKODLARI!$A$1:$H$383,2,0)," " )</f>
        <v>DAMAK EMZİK GÖVDE</v>
      </c>
      <c r="C5" s="125">
        <v>43836</v>
      </c>
      <c r="D5" s="124">
        <v>27214</v>
      </c>
      <c r="E5" s="124" t="s">
        <v>255</v>
      </c>
    </row>
    <row r="6" spans="1:5" ht="15" customHeight="1">
      <c r="A6" s="124" t="s">
        <v>125</v>
      </c>
      <c r="B6" s="124" t="str">
        <f>IFERROR(VLOOKUP(Tablo8[[#This Row],[ ÜRÜN KODU]],YMKODLARI!$A$1:$H$383,2,0)," " )</f>
        <v>DAMAK EMZİK GÖVDE</v>
      </c>
      <c r="C6" s="125">
        <v>43836</v>
      </c>
      <c r="D6" s="124">
        <v>8200</v>
      </c>
      <c r="E6" s="124" t="s">
        <v>255</v>
      </c>
    </row>
    <row r="7" spans="1:5" ht="15" customHeight="1">
      <c r="A7" s="124" t="s">
        <v>209</v>
      </c>
      <c r="B7" s="124" t="str">
        <f>IFERROR(VLOOKUP(Tablo8[[#This Row],[ ÜRÜN KODU]],YMKODLARI!$A$1:$H$383,2,0)," " )</f>
        <v>125 ml BARDAK SULUK</v>
      </c>
      <c r="C7" s="125">
        <v>43836</v>
      </c>
      <c r="D7" s="124">
        <v>3528</v>
      </c>
      <c r="E7" s="124" t="s">
        <v>255</v>
      </c>
    </row>
    <row r="8" spans="1:5" ht="15" customHeight="1">
      <c r="A8" s="124" t="s">
        <v>28</v>
      </c>
      <c r="B8" s="124" t="str">
        <f>IFERROR(VLOOKUP(Tablo8[[#This Row],[ ÜRÜN KODU]],YMKODLARI!$A$1:$H$383,2,0)," " )</f>
        <v>BİBERON KLASİK  UC 2 NO</v>
      </c>
      <c r="C8" s="125">
        <v>43839</v>
      </c>
      <c r="D8" s="124">
        <v>23000</v>
      </c>
      <c r="E8" s="124" t="s">
        <v>255</v>
      </c>
    </row>
    <row r="9" spans="1:5" ht="15" customHeight="1">
      <c r="A9" s="124" t="s">
        <v>42</v>
      </c>
      <c r="B9" s="124" t="str">
        <f>IFERROR(VLOOKUP(Tablo8[[#This Row],[ ÜRÜN KODU]],YMKODLARI!$A$1:$H$383,2,0)," " )</f>
        <v>DAMAK EMZİK UCU 2 NO</v>
      </c>
      <c r="C9" s="125">
        <v>43839</v>
      </c>
      <c r="D9" s="124">
        <v>15240</v>
      </c>
      <c r="E9" s="124" t="s">
        <v>255</v>
      </c>
    </row>
    <row r="10" spans="1:5" ht="15" customHeight="1">
      <c r="A10" s="124" t="s">
        <v>34</v>
      </c>
      <c r="B10" s="124" t="str">
        <f>IFERROR(VLOOKUP(Tablo8[[#This Row],[ ÜRÜN KODU]],YMKODLARI!$A$1:$H$383,2,0)," " )</f>
        <v>BİBERON KLASİK  UC 1 NO</v>
      </c>
      <c r="C10" s="125">
        <v>43839</v>
      </c>
      <c r="D10" s="124">
        <v>33000</v>
      </c>
      <c r="E10" s="124" t="s">
        <v>255</v>
      </c>
    </row>
    <row r="11" spans="1:5" ht="15" customHeight="1">
      <c r="A11" s="124" t="s">
        <v>126</v>
      </c>
      <c r="B11" s="124" t="str">
        <f>IFERROR(VLOOKUP(Tablo8[[#This Row],[ ÜRÜN KODU]],YMKODLARI!$A$1:$H$383,2,0)," " )</f>
        <v>DAMAK EMZİK GÖVDE</v>
      </c>
      <c r="C11" s="125">
        <v>43839</v>
      </c>
      <c r="D11" s="124">
        <v>16640</v>
      </c>
      <c r="E11" s="124" t="s">
        <v>255</v>
      </c>
    </row>
    <row r="12" spans="1:5" ht="15" customHeight="1">
      <c r="A12" s="124" t="s">
        <v>28</v>
      </c>
      <c r="B12" s="124" t="str">
        <f>IFERROR(VLOOKUP(Tablo8[[#This Row],[ ÜRÜN KODU]],YMKODLARI!$A$1:$H$383,2,0)," " )</f>
        <v>BİBERON KLASİK  UC 2 NO</v>
      </c>
      <c r="C12" s="125">
        <v>43840</v>
      </c>
      <c r="D12" s="124">
        <v>9000</v>
      </c>
      <c r="E12" s="124" t="s">
        <v>255</v>
      </c>
    </row>
    <row r="13" spans="1:5" ht="15" customHeight="1">
      <c r="A13" s="124" t="s">
        <v>34</v>
      </c>
      <c r="B13" s="124" t="str">
        <f>IFERROR(VLOOKUP(Tablo8[[#This Row],[ ÜRÜN KODU]],YMKODLARI!$A$1:$H$383,2,0)," " )</f>
        <v>BİBERON KLASİK  UC 1 NO</v>
      </c>
      <c r="C13" s="125">
        <v>43840</v>
      </c>
      <c r="D13" s="124">
        <v>18000</v>
      </c>
      <c r="E13" s="124" t="s">
        <v>255</v>
      </c>
    </row>
    <row r="14" spans="1:5" ht="15" customHeight="1">
      <c r="A14" s="124" t="s">
        <v>202</v>
      </c>
      <c r="B14" s="124" t="str">
        <f>IFERROR(VLOOKUP(Tablo8[[#This Row],[ ÜRÜN KODU]],YMKODLARI!$A$1:$H$383,2,0)," " )</f>
        <v xml:space="preserve"> BİBERON VİDA</v>
      </c>
      <c r="C14" s="125">
        <v>43840</v>
      </c>
      <c r="D14" s="124">
        <v>3000</v>
      </c>
      <c r="E14" s="124" t="s">
        <v>255</v>
      </c>
    </row>
    <row r="15" spans="1:5" ht="15" customHeight="1">
      <c r="A15" s="124" t="s">
        <v>34</v>
      </c>
      <c r="B15" s="124" t="str">
        <f>IFERROR(VLOOKUP(Tablo8[[#This Row],[ ÜRÜN KODU]],YMKODLARI!$A$1:$H$383,2,0)," " )</f>
        <v>BİBERON KLASİK  UC 1 NO</v>
      </c>
      <c r="C15" s="125">
        <v>43843</v>
      </c>
      <c r="D15" s="124">
        <v>5000</v>
      </c>
      <c r="E15" s="124" t="s">
        <v>255</v>
      </c>
    </row>
    <row r="16" spans="1:5" ht="15" customHeight="1">
      <c r="A16" s="124" t="s">
        <v>28</v>
      </c>
      <c r="B16" s="124" t="str">
        <f>IFERROR(VLOOKUP(Tablo8[[#This Row],[ ÜRÜN KODU]],YMKODLARI!$A$1:$H$383,2,0)," " )</f>
        <v>BİBERON KLASİK  UC 2 NO</v>
      </c>
      <c r="C16" s="125">
        <v>43843</v>
      </c>
      <c r="D16" s="124">
        <v>21000</v>
      </c>
      <c r="E16" s="124" t="s">
        <v>255</v>
      </c>
    </row>
    <row r="17" spans="1:5" ht="15" customHeight="1">
      <c r="A17" s="124" t="s">
        <v>202</v>
      </c>
      <c r="B17" s="124" t="str">
        <f>IFERROR(VLOOKUP(Tablo8[[#This Row],[ ÜRÜN KODU]],YMKODLARI!$A$1:$H$383,2,0)," " )</f>
        <v xml:space="preserve"> BİBERON VİDA</v>
      </c>
      <c r="C17" s="125">
        <v>43843</v>
      </c>
      <c r="D17" s="124">
        <v>5106</v>
      </c>
      <c r="E17" s="124" t="s">
        <v>255</v>
      </c>
    </row>
    <row r="18" spans="1:5" ht="15" customHeight="1">
      <c r="A18" s="124" t="s">
        <v>34</v>
      </c>
      <c r="B18" s="124" t="str">
        <f>IFERROR(VLOOKUP(Tablo8[[#This Row],[ ÜRÜN KODU]],YMKODLARI!$A$1:$H$383,2,0)," " )</f>
        <v>BİBERON KLASİK  UC 1 NO</v>
      </c>
      <c r="C18" s="125">
        <v>43844</v>
      </c>
      <c r="D18" s="124">
        <v>11000</v>
      </c>
      <c r="E18" s="124" t="s">
        <v>255</v>
      </c>
    </row>
    <row r="19" spans="1:5" ht="15" customHeight="1">
      <c r="A19" s="124" t="s">
        <v>28</v>
      </c>
      <c r="B19" s="124" t="str">
        <f>IFERROR(VLOOKUP(Tablo8[[#This Row],[ ÜRÜN KODU]],YMKODLARI!$A$1:$H$383,2,0)," " )</f>
        <v>BİBERON KLASİK  UC 2 NO</v>
      </c>
      <c r="C19" s="125">
        <v>43844</v>
      </c>
      <c r="D19" s="124">
        <v>6000</v>
      </c>
      <c r="E19" s="124" t="s">
        <v>255</v>
      </c>
    </row>
    <row r="20" spans="1:5" ht="15" customHeight="1">
      <c r="A20" s="124" t="s">
        <v>203</v>
      </c>
      <c r="B20" s="124" t="str">
        <f>IFERROR(VLOOKUP(Tablo8[[#This Row],[ ÜRÜN KODU]],YMKODLARI!$A$1:$H$383,2,0)," " )</f>
        <v xml:space="preserve"> BİBERON VİDA</v>
      </c>
      <c r="C20" s="125">
        <v>43844</v>
      </c>
      <c r="D20" s="124">
        <v>4285</v>
      </c>
      <c r="E20" s="124" t="s">
        <v>255</v>
      </c>
    </row>
    <row r="21" spans="1:5" ht="15" customHeight="1">
      <c r="A21" s="124" t="s">
        <v>34</v>
      </c>
      <c r="B21" s="124" t="str">
        <f>IFERROR(VLOOKUP(Tablo8[[#This Row],[ ÜRÜN KODU]],YMKODLARI!$A$1:$H$383,2,0)," " )</f>
        <v>BİBERON KLASİK  UC 1 NO</v>
      </c>
      <c r="C21" s="125">
        <v>43845</v>
      </c>
      <c r="D21" s="124">
        <v>5000</v>
      </c>
      <c r="E21" s="124" t="s">
        <v>255</v>
      </c>
    </row>
    <row r="22" spans="1:5" ht="15" customHeight="1">
      <c r="A22" s="124" t="s">
        <v>28</v>
      </c>
      <c r="B22" s="124" t="str">
        <f>IFERROR(VLOOKUP(Tablo8[[#This Row],[ ÜRÜN KODU]],YMKODLARI!$A$1:$H$383,2,0)," " )</f>
        <v>BİBERON KLASİK  UC 2 NO</v>
      </c>
      <c r="C22" s="125">
        <v>43845</v>
      </c>
      <c r="D22" s="124">
        <v>1805</v>
      </c>
      <c r="E22" s="124" t="s">
        <v>255</v>
      </c>
    </row>
    <row r="23" spans="1:5" ht="15" customHeight="1">
      <c r="A23" s="124" t="s">
        <v>43</v>
      </c>
      <c r="B23" s="124" t="str">
        <f>IFERROR(VLOOKUP(Tablo8[[#This Row],[ ÜRÜN KODU]],YMKODLARI!$A$1:$H$383,2,0)," " )</f>
        <v>BİBERON DAMAK UC 3 NO</v>
      </c>
      <c r="C23" s="125">
        <v>43845</v>
      </c>
      <c r="D23" s="124">
        <v>3000</v>
      </c>
      <c r="E23" s="124" t="s">
        <v>255</v>
      </c>
    </row>
    <row r="24" spans="1:5" ht="15" customHeight="1">
      <c r="A24" s="124" t="s">
        <v>126</v>
      </c>
      <c r="B24" s="124" t="str">
        <f>IFERROR(VLOOKUP(Tablo8[[#This Row],[ ÜRÜN KODU]],YMKODLARI!$A$1:$H$383,2,0)," " )</f>
        <v>DAMAK EMZİK GÖVDE</v>
      </c>
      <c r="C24" s="125">
        <v>43845</v>
      </c>
      <c r="D24" s="124">
        <v>3470</v>
      </c>
      <c r="E24" s="124" t="s">
        <v>255</v>
      </c>
    </row>
    <row r="25" spans="1:5" ht="15" customHeight="1">
      <c r="A25" s="124" t="s">
        <v>127</v>
      </c>
      <c r="B25" s="124" t="str">
        <f>IFERROR(VLOOKUP(Tablo8[[#This Row],[ ÜRÜN KODU]],YMKODLARI!$A$1:$H$383,2,0)," " )</f>
        <v>DAMAK EMZİK GÖVDE</v>
      </c>
      <c r="C25" s="125">
        <v>43845</v>
      </c>
      <c r="D25" s="124">
        <v>3377</v>
      </c>
      <c r="E25" s="124" t="s">
        <v>255</v>
      </c>
    </row>
    <row r="26" spans="1:5" ht="15" customHeight="1">
      <c r="A26" s="124" t="s">
        <v>210</v>
      </c>
      <c r="B26" s="124" t="str">
        <f>IFERROR(VLOOKUP(Tablo8[[#This Row],[ ÜRÜN KODU]],YMKODLARI!$A$1:$H$383,2,0)," " )</f>
        <v xml:space="preserve"> BİBERON VİDA</v>
      </c>
      <c r="C26" s="125">
        <v>43845</v>
      </c>
      <c r="D26" s="124">
        <v>6000</v>
      </c>
      <c r="E26" s="124" t="s">
        <v>255</v>
      </c>
    </row>
    <row r="27" spans="1:5" ht="15" customHeight="1">
      <c r="A27" s="124" t="s">
        <v>31</v>
      </c>
      <c r="B27" s="124" t="str">
        <f>IFERROR(VLOOKUP(Tablo8[[#This Row],[ ÜRÜN KODU]],YMKODLARI!$A$1:$H$383,2,0)," " )</f>
        <v>KLASİK EMZİK UÇ NO 2</v>
      </c>
      <c r="C27" s="125">
        <v>43846</v>
      </c>
      <c r="D27" s="124">
        <v>3000</v>
      </c>
      <c r="E27" s="124" t="s">
        <v>255</v>
      </c>
    </row>
    <row r="28" spans="1:5" ht="15" customHeight="1">
      <c r="A28" s="124" t="s">
        <v>43</v>
      </c>
      <c r="B28" s="124" t="str">
        <f>IFERROR(VLOOKUP(Tablo8[[#This Row],[ ÜRÜN KODU]],YMKODLARI!$A$1:$H$383,2,0)," " )</f>
        <v>BİBERON DAMAK UC 3 NO</v>
      </c>
      <c r="C28" s="125">
        <v>43846</v>
      </c>
      <c r="D28" s="124">
        <v>2000</v>
      </c>
      <c r="E28" s="124" t="s">
        <v>255</v>
      </c>
    </row>
    <row r="29" spans="1:5" ht="15" customHeight="1">
      <c r="A29" s="124" t="s">
        <v>34</v>
      </c>
      <c r="B29" s="124" t="str">
        <f>IFERROR(VLOOKUP(Tablo8[[#This Row],[ ÜRÜN KODU]],YMKODLARI!$A$1:$H$383,2,0)," " )</f>
        <v>BİBERON KLASİK  UC 1 NO</v>
      </c>
      <c r="C29" s="125">
        <v>43846</v>
      </c>
      <c r="D29" s="124">
        <v>6000</v>
      </c>
      <c r="E29" s="124" t="s">
        <v>255</v>
      </c>
    </row>
    <row r="30" spans="1:5" ht="15" customHeight="1">
      <c r="A30" s="124" t="s">
        <v>128</v>
      </c>
      <c r="B30" s="124" t="str">
        <f>IFERROR(VLOOKUP(Tablo8[[#This Row],[ ÜRÜN KODU]],YMKODLARI!$A$1:$H$383,2,0)," " )</f>
        <v>DAMAK EMZİK GÖVDE</v>
      </c>
      <c r="C30" s="125">
        <v>43846</v>
      </c>
      <c r="D30" s="124">
        <v>3467</v>
      </c>
      <c r="E30" s="124" t="s">
        <v>255</v>
      </c>
    </row>
    <row r="31" spans="1:5" ht="15" customHeight="1">
      <c r="A31" s="124" t="s">
        <v>125</v>
      </c>
      <c r="B31" s="124" t="str">
        <f>IFERROR(VLOOKUP(Tablo8[[#This Row],[ ÜRÜN KODU]],YMKODLARI!$A$1:$H$383,2,0)," " )</f>
        <v>DAMAK EMZİK GÖVDE</v>
      </c>
      <c r="C31" s="125">
        <v>43846</v>
      </c>
      <c r="D31" s="124">
        <v>3000</v>
      </c>
      <c r="E31" s="124" t="s">
        <v>255</v>
      </c>
    </row>
    <row r="32" spans="1:5" ht="15" customHeight="1">
      <c r="A32" s="124" t="s">
        <v>124</v>
      </c>
      <c r="B32" s="124" t="str">
        <f>IFERROR(VLOOKUP(Tablo8[[#This Row],[ ÜRÜN KODU]],YMKODLARI!$A$1:$H$383,2,0)," " )</f>
        <v>DAMAK EMZİK GÖVDE</v>
      </c>
      <c r="C32" s="125">
        <v>43846</v>
      </c>
      <c r="D32" s="124">
        <v>1130</v>
      </c>
      <c r="E32" s="124" t="s">
        <v>255</v>
      </c>
    </row>
    <row r="33" spans="1:5" ht="15" customHeight="1">
      <c r="A33" s="124" t="s">
        <v>211</v>
      </c>
      <c r="B33" s="124" t="str">
        <f>IFERROR(VLOOKUP(Tablo8[[#This Row],[ ÜRÜN KODU]],YMKODLARI!$A$1:$H$383,2,0)," " )</f>
        <v xml:space="preserve"> BİBERON VİDA</v>
      </c>
      <c r="C33" s="125">
        <v>43846</v>
      </c>
      <c r="D33" s="124">
        <v>2000</v>
      </c>
      <c r="E33" s="124" t="s">
        <v>255</v>
      </c>
    </row>
    <row r="34" spans="1:5" ht="15" customHeight="1">
      <c r="A34" s="124" t="s">
        <v>210</v>
      </c>
      <c r="B34" s="124" t="str">
        <f>IFERROR(VLOOKUP(Tablo8[[#This Row],[ ÜRÜN KODU]],YMKODLARI!$A$1:$H$383,2,0)," " )</f>
        <v xml:space="preserve"> BİBERON VİDA</v>
      </c>
      <c r="C34" s="125">
        <v>43846</v>
      </c>
      <c r="D34" s="124">
        <v>2000</v>
      </c>
      <c r="E34" s="124" t="s">
        <v>255</v>
      </c>
    </row>
    <row r="35" spans="1:5" ht="15" customHeight="1">
      <c r="A35" s="124" t="s">
        <v>34</v>
      </c>
      <c r="B35" s="124" t="str">
        <f>IFERROR(VLOOKUP(Tablo8[[#This Row],[ ÜRÜN KODU]],YMKODLARI!$A$1:$H$383,2,0)," " )</f>
        <v>BİBERON KLASİK  UC 1 NO</v>
      </c>
      <c r="C35" s="125">
        <v>43847</v>
      </c>
      <c r="D35" s="124">
        <v>6000</v>
      </c>
      <c r="E35" s="124" t="s">
        <v>255</v>
      </c>
    </row>
    <row r="36" spans="1:5" ht="15" customHeight="1">
      <c r="A36" s="124" t="s">
        <v>43</v>
      </c>
      <c r="B36" s="124" t="str">
        <f>IFERROR(VLOOKUP(Tablo8[[#This Row],[ ÜRÜN KODU]],YMKODLARI!$A$1:$H$383,2,0)," " )</f>
        <v>BİBERON DAMAK UC 3 NO</v>
      </c>
      <c r="C36" s="125">
        <v>43847</v>
      </c>
      <c r="D36" s="124">
        <v>3000</v>
      </c>
      <c r="E36" s="124" t="s">
        <v>255</v>
      </c>
    </row>
    <row r="37" spans="1:5" ht="15" customHeight="1">
      <c r="A37" s="124" t="s">
        <v>129</v>
      </c>
      <c r="B37" s="124" t="str">
        <f>IFERROR(VLOOKUP(Tablo8[[#This Row],[ ÜRÜN KODU]],YMKODLARI!$A$1:$H$383,2,0)," " )</f>
        <v>DAMAK EMZİK TIPA</v>
      </c>
      <c r="C37" s="125">
        <v>43847</v>
      </c>
      <c r="D37" s="124">
        <v>6080</v>
      </c>
      <c r="E37" s="124" t="s">
        <v>255</v>
      </c>
    </row>
    <row r="38" spans="1:5" ht="15" customHeight="1">
      <c r="A38" s="124" t="s">
        <v>211</v>
      </c>
      <c r="B38" s="124" t="str">
        <f>IFERROR(VLOOKUP(Tablo8[[#This Row],[ ÜRÜN KODU]],YMKODLARI!$A$1:$H$383,2,0)," " )</f>
        <v xml:space="preserve"> BİBERON VİDA</v>
      </c>
      <c r="C38" s="125">
        <v>43847</v>
      </c>
      <c r="D38" s="124">
        <v>5000</v>
      </c>
      <c r="E38" s="124" t="s">
        <v>255</v>
      </c>
    </row>
    <row r="39" spans="1:5" ht="15" customHeight="1">
      <c r="A39" s="124" t="s">
        <v>31</v>
      </c>
      <c r="B39" s="124" t="str">
        <f>IFERROR(VLOOKUP(Tablo8[[#This Row],[ ÜRÜN KODU]],YMKODLARI!$A$1:$H$383,2,0)," " )</f>
        <v>KLASİK EMZİK UÇ NO 2</v>
      </c>
      <c r="C39" s="125">
        <v>43851</v>
      </c>
      <c r="D39" s="124">
        <v>6000</v>
      </c>
      <c r="E39" s="124" t="s">
        <v>255</v>
      </c>
    </row>
    <row r="40" spans="1:5" ht="15" customHeight="1">
      <c r="A40" s="124" t="s">
        <v>43</v>
      </c>
      <c r="B40" s="124" t="str">
        <f>IFERROR(VLOOKUP(Tablo8[[#This Row],[ ÜRÜN KODU]],YMKODLARI!$A$1:$H$383,2,0)," " )</f>
        <v>BİBERON DAMAK UC 3 NO</v>
      </c>
      <c r="C40" s="125">
        <v>43851</v>
      </c>
      <c r="D40" s="124">
        <v>2000</v>
      </c>
      <c r="E40" s="124" t="s">
        <v>255</v>
      </c>
    </row>
    <row r="41" spans="1:5" ht="15" customHeight="1">
      <c r="A41" s="124" t="s">
        <v>34</v>
      </c>
      <c r="B41" s="124" t="str">
        <f>IFERROR(VLOOKUP(Tablo8[[#This Row],[ ÜRÜN KODU]],YMKODLARI!$A$1:$H$383,2,0)," " )</f>
        <v>BİBERON KLASİK  UC 1 NO</v>
      </c>
      <c r="C41" s="125">
        <v>43851</v>
      </c>
      <c r="D41" s="124">
        <v>5000</v>
      </c>
      <c r="E41" s="124" t="s">
        <v>255</v>
      </c>
    </row>
    <row r="42" spans="1:5" ht="15" customHeight="1">
      <c r="A42" s="124" t="s">
        <v>130</v>
      </c>
      <c r="B42" s="124" t="str">
        <f>IFERROR(VLOOKUP(Tablo8[[#This Row],[ ÜRÜN KODU]],YMKODLARI!$A$1:$H$383,2,0)," " )</f>
        <v>DAMAK EMZİK TIPA</v>
      </c>
      <c r="C42" s="125">
        <v>43851</v>
      </c>
      <c r="D42" s="124">
        <v>2350</v>
      </c>
      <c r="E42" s="124" t="s">
        <v>255</v>
      </c>
    </row>
    <row r="43" spans="1:5" ht="15" customHeight="1">
      <c r="A43" s="124" t="s">
        <v>131</v>
      </c>
      <c r="B43" s="124" t="str">
        <f>IFERROR(VLOOKUP(Tablo8[[#This Row],[ ÜRÜN KODU]],YMKODLARI!$A$1:$H$383,2,0)," " )</f>
        <v>DAMAK EMZİK TIPA</v>
      </c>
      <c r="C43" s="125">
        <v>43851</v>
      </c>
      <c r="D43" s="124">
        <v>3814</v>
      </c>
      <c r="E43" s="124" t="s">
        <v>255</v>
      </c>
    </row>
    <row r="44" spans="1:5" ht="15" customHeight="1">
      <c r="A44" s="124" t="s">
        <v>211</v>
      </c>
      <c r="B44" s="124" t="str">
        <f>IFERROR(VLOOKUP(Tablo8[[#This Row],[ ÜRÜN KODU]],YMKODLARI!$A$1:$H$383,2,0)," " )</f>
        <v xml:space="preserve"> BİBERON VİDA</v>
      </c>
      <c r="C44" s="125">
        <v>43851</v>
      </c>
      <c r="D44" s="124">
        <v>1015</v>
      </c>
      <c r="E44" s="124" t="s">
        <v>255</v>
      </c>
    </row>
    <row r="45" spans="1:5" ht="15" customHeight="1">
      <c r="A45" s="124" t="s">
        <v>204</v>
      </c>
      <c r="B45" s="124" t="str">
        <f>IFERROR(VLOOKUP(Tablo8[[#This Row],[ ÜRÜN KODU]],YMKODLARI!$A$1:$H$383,2,0)," " )</f>
        <v xml:space="preserve"> BİBERON VİDA</v>
      </c>
      <c r="C45" s="125">
        <v>43851</v>
      </c>
      <c r="D45" s="124">
        <v>4380</v>
      </c>
      <c r="E45" s="124" t="s">
        <v>255</v>
      </c>
    </row>
    <row r="46" spans="1:5" ht="15" customHeight="1">
      <c r="A46" s="124" t="s">
        <v>31</v>
      </c>
      <c r="B46" s="124" t="str">
        <f>IFERROR(VLOOKUP(Tablo8[[#This Row],[ ÜRÜN KODU]],YMKODLARI!$A$1:$H$383,2,0)," " )</f>
        <v>KLASİK EMZİK UÇ NO 2</v>
      </c>
      <c r="C46" s="125">
        <v>43851</v>
      </c>
      <c r="D46" s="124">
        <v>8000</v>
      </c>
      <c r="E46" s="124" t="s">
        <v>255</v>
      </c>
    </row>
    <row r="47" spans="1:5" ht="15" customHeight="1">
      <c r="A47" s="124" t="s">
        <v>43</v>
      </c>
      <c r="B47" s="124" t="str">
        <f>IFERROR(VLOOKUP(Tablo8[[#This Row],[ ÜRÜN KODU]],YMKODLARI!$A$1:$H$383,2,0)," " )</f>
        <v>BİBERON DAMAK UC 3 NO</v>
      </c>
      <c r="C47" s="125">
        <v>43851</v>
      </c>
      <c r="D47" s="124">
        <v>1023</v>
      </c>
      <c r="E47" s="124" t="s">
        <v>255</v>
      </c>
    </row>
    <row r="48" spans="1:5" ht="15" customHeight="1">
      <c r="A48" s="124" t="s">
        <v>34</v>
      </c>
      <c r="B48" s="124" t="str">
        <f>IFERROR(VLOOKUP(Tablo8[[#This Row],[ ÜRÜN KODU]],YMKODLARI!$A$1:$H$383,2,0)," " )</f>
        <v>BİBERON KLASİK  UC 1 NO</v>
      </c>
      <c r="C48" s="125">
        <v>43851</v>
      </c>
      <c r="D48" s="124">
        <v>4000</v>
      </c>
      <c r="E48" s="124" t="s">
        <v>255</v>
      </c>
    </row>
    <row r="49" spans="1:5" ht="15" customHeight="1">
      <c r="A49" s="124" t="s">
        <v>132</v>
      </c>
      <c r="B49" s="124" t="str">
        <f>IFERROR(VLOOKUP(Tablo8[[#This Row],[ ÜRÜN KODU]],YMKODLARI!$A$1:$H$383,2,0)," " )</f>
        <v>KİRAZ EMZİK TIPA</v>
      </c>
      <c r="C49" s="125">
        <v>43851</v>
      </c>
      <c r="D49" s="124">
        <v>3712</v>
      </c>
      <c r="E49" s="124" t="s">
        <v>255</v>
      </c>
    </row>
    <row r="50" spans="1:5" ht="15" customHeight="1">
      <c r="A50" s="124" t="s">
        <v>133</v>
      </c>
      <c r="B50" s="124" t="str">
        <f>IFERROR(VLOOKUP(Tablo8[[#This Row],[ ÜRÜN KODU]],YMKODLARI!$A$1:$H$383,2,0)," " )</f>
        <v>KİRAZ EMZİK TIPA</v>
      </c>
      <c r="C50" s="125">
        <v>43851</v>
      </c>
      <c r="D50" s="124">
        <v>3428</v>
      </c>
      <c r="E50" s="124" t="s">
        <v>255</v>
      </c>
    </row>
    <row r="51" spans="1:5" ht="15" customHeight="1">
      <c r="A51" s="124" t="s">
        <v>212</v>
      </c>
      <c r="B51" s="124" t="str">
        <f>IFERROR(VLOOKUP(Tablo8[[#This Row],[ ÜRÜN KODU]],YMKODLARI!$A$1:$H$383,2,0)," " )</f>
        <v xml:space="preserve"> BİBERON VİDA</v>
      </c>
      <c r="C51" s="125">
        <v>43851</v>
      </c>
      <c r="D51" s="124">
        <v>4040</v>
      </c>
      <c r="E51" s="124" t="s">
        <v>255</v>
      </c>
    </row>
    <row r="52" spans="1:5" ht="15" customHeight="1">
      <c r="A52" s="124" t="s">
        <v>31</v>
      </c>
      <c r="B52" s="124" t="str">
        <f>IFERROR(VLOOKUP(Tablo8[[#This Row],[ ÜRÜN KODU]],YMKODLARI!$A$1:$H$383,2,0)," " )</f>
        <v>KLASİK EMZİK UÇ NO 2</v>
      </c>
      <c r="C52" s="125">
        <v>43857</v>
      </c>
      <c r="D52" s="124">
        <v>12000</v>
      </c>
      <c r="E52" s="124" t="s">
        <v>255</v>
      </c>
    </row>
    <row r="53" spans="1:5" ht="15" customHeight="1">
      <c r="A53" s="124" t="s">
        <v>42</v>
      </c>
      <c r="B53" s="124" t="str">
        <f>IFERROR(VLOOKUP(Tablo8[[#This Row],[ ÜRÜN KODU]],YMKODLARI!$A$1:$H$383,2,0)," " )</f>
        <v>DAMAK EMZİK UCU 2 NO</v>
      </c>
      <c r="C53" s="125">
        <v>43857</v>
      </c>
      <c r="D53" s="124">
        <v>14000</v>
      </c>
      <c r="E53" s="124" t="s">
        <v>255</v>
      </c>
    </row>
    <row r="54" spans="1:5" ht="15" customHeight="1">
      <c r="A54" s="124" t="s">
        <v>34</v>
      </c>
      <c r="B54" s="124" t="str">
        <f>IFERROR(VLOOKUP(Tablo8[[#This Row],[ ÜRÜN KODU]],YMKODLARI!$A$1:$H$383,2,0)," " )</f>
        <v>BİBERON KLASİK  UC 1 NO</v>
      </c>
      <c r="C54" s="125">
        <v>43857</v>
      </c>
      <c r="D54" s="124">
        <v>23000</v>
      </c>
      <c r="E54" s="124" t="s">
        <v>255</v>
      </c>
    </row>
    <row r="55" spans="1:5" ht="15" customHeight="1">
      <c r="A55" s="124" t="s">
        <v>55</v>
      </c>
      <c r="B55" s="124" t="str">
        <f>IFERROR(VLOOKUP(Tablo8[[#This Row],[ ÜRÜN KODU]],YMKODLARI!$A$1:$H$383,2,0)," " )</f>
        <v>BİBERON SEYAHAT TIPASI</v>
      </c>
      <c r="C55" s="125">
        <v>43857</v>
      </c>
      <c r="D55" s="124">
        <v>9560</v>
      </c>
      <c r="E55" s="124" t="s">
        <v>255</v>
      </c>
    </row>
    <row r="56" spans="1:5" ht="15" customHeight="1">
      <c r="A56" s="124" t="s">
        <v>135</v>
      </c>
      <c r="B56" s="124" t="str">
        <f>IFERROR(VLOOKUP(Tablo8[[#This Row],[ ÜRÜN KODU]],YMKODLARI!$A$1:$H$383,2,0)," " )</f>
        <v>KLASİK EMZİK GÖVDE</v>
      </c>
      <c r="C56" s="125">
        <v>43857</v>
      </c>
      <c r="D56" s="124">
        <v>10890</v>
      </c>
      <c r="E56" s="124" t="s">
        <v>255</v>
      </c>
    </row>
    <row r="57" spans="1:5" ht="15" customHeight="1">
      <c r="A57" s="124" t="s">
        <v>134</v>
      </c>
      <c r="B57" s="124" t="str">
        <f>IFERROR(VLOOKUP(Tablo8[[#This Row],[ ÜRÜN KODU]],YMKODLARI!$A$1:$H$383,2,0)," " )</f>
        <v>KİRAZ EMZİK TIPA</v>
      </c>
      <c r="C57" s="125">
        <v>43857</v>
      </c>
      <c r="D57" s="124">
        <v>1049</v>
      </c>
      <c r="E57" s="124" t="s">
        <v>255</v>
      </c>
    </row>
    <row r="58" spans="1:5" ht="15" customHeight="1">
      <c r="A58" s="124" t="s">
        <v>31</v>
      </c>
      <c r="B58" s="124" t="str">
        <f>IFERROR(VLOOKUP(Tablo8[[#This Row],[ ÜRÜN KODU]],YMKODLARI!$A$1:$H$383,2,0)," " )</f>
        <v>KLASİK EMZİK UÇ NO 2</v>
      </c>
      <c r="C58" s="125">
        <v>43858</v>
      </c>
      <c r="D58" s="124">
        <v>15000</v>
      </c>
      <c r="E58" s="124" t="s">
        <v>255</v>
      </c>
    </row>
    <row r="59" spans="1:5" ht="15" customHeight="1">
      <c r="A59" s="124" t="s">
        <v>42</v>
      </c>
      <c r="B59" s="124" t="str">
        <f>IFERROR(VLOOKUP(Tablo8[[#This Row],[ ÜRÜN KODU]],YMKODLARI!$A$1:$H$383,2,0)," " )</f>
        <v>DAMAK EMZİK UCU 2 NO</v>
      </c>
      <c r="C59" s="125">
        <v>43858</v>
      </c>
      <c r="D59" s="124">
        <v>14300</v>
      </c>
      <c r="E59" s="124" t="s">
        <v>255</v>
      </c>
    </row>
    <row r="60" spans="1:5" ht="15" customHeight="1">
      <c r="A60" s="124" t="s">
        <v>34</v>
      </c>
      <c r="B60" s="124" t="str">
        <f>IFERROR(VLOOKUP(Tablo8[[#This Row],[ ÜRÜN KODU]],YMKODLARI!$A$1:$H$383,2,0)," " )</f>
        <v>BİBERON KLASİK  UC 1 NO</v>
      </c>
      <c r="C60" s="125">
        <v>43858</v>
      </c>
      <c r="D60" s="124">
        <v>3000</v>
      </c>
      <c r="E60" s="124" t="s">
        <v>255</v>
      </c>
    </row>
    <row r="61" spans="1:5" ht="15" customHeight="1">
      <c r="A61" s="124" t="s">
        <v>55</v>
      </c>
      <c r="B61" s="124" t="str">
        <f>IFERROR(VLOOKUP(Tablo8[[#This Row],[ ÜRÜN KODU]],YMKODLARI!$A$1:$H$383,2,0)," " )</f>
        <v>BİBERON SEYAHAT TIPASI</v>
      </c>
      <c r="C61" s="125">
        <v>43858</v>
      </c>
      <c r="D61" s="124">
        <v>20000</v>
      </c>
      <c r="E61" s="124" t="s">
        <v>255</v>
      </c>
    </row>
    <row r="62" spans="1:5" ht="15" customHeight="1">
      <c r="A62" s="124" t="s">
        <v>136</v>
      </c>
      <c r="B62" s="124" t="str">
        <f>IFERROR(VLOOKUP(Tablo8[[#This Row],[ ÜRÜN KODU]],YMKODLARI!$A$1:$H$383,2,0)," " )</f>
        <v>DAMAK EMZİK TIPA</v>
      </c>
      <c r="C62" s="125">
        <v>43858</v>
      </c>
      <c r="D62" s="124">
        <v>16000</v>
      </c>
      <c r="E62" s="124" t="s">
        <v>255</v>
      </c>
    </row>
    <row r="63" spans="1:5" ht="15" customHeight="1">
      <c r="A63" s="124" t="s">
        <v>31</v>
      </c>
      <c r="B63" s="124" t="str">
        <f>IFERROR(VLOOKUP(Tablo8[[#This Row],[ ÜRÜN KODU]],YMKODLARI!$A$1:$H$383,2,0)," " )</f>
        <v>KLASİK EMZİK UÇ NO 2</v>
      </c>
      <c r="C63" s="125">
        <v>43861</v>
      </c>
      <c r="D63" s="124">
        <v>6925</v>
      </c>
      <c r="E63" s="124" t="s">
        <v>255</v>
      </c>
    </row>
    <row r="64" spans="1:5" ht="15" customHeight="1">
      <c r="A64" s="124" t="s">
        <v>26</v>
      </c>
      <c r="B64" s="124" t="str">
        <f>IFERROR(VLOOKUP(Tablo8[[#This Row],[ ÜRÜN KODU]],YMKODLARI!$A$1:$H$383,2,0)," " )</f>
        <v>DAMAK EMZİK UCU 1 NO</v>
      </c>
      <c r="C64" s="125">
        <v>43861</v>
      </c>
      <c r="D64" s="124">
        <v>18000</v>
      </c>
      <c r="E64" s="124" t="s">
        <v>255</v>
      </c>
    </row>
    <row r="65" spans="1:5" ht="15" customHeight="1">
      <c r="A65" s="124" t="s">
        <v>34</v>
      </c>
      <c r="B65" s="124" t="str">
        <f>IFERROR(VLOOKUP(Tablo8[[#This Row],[ ÜRÜN KODU]],YMKODLARI!$A$1:$H$383,2,0)," " )</f>
        <v>BİBERON KLASİK  UC 1 NO</v>
      </c>
      <c r="C65" s="125">
        <v>43861</v>
      </c>
      <c r="D65" s="124">
        <v>5000</v>
      </c>
      <c r="E65" s="124" t="s">
        <v>255</v>
      </c>
    </row>
    <row r="66" spans="1:5" ht="15" customHeight="1">
      <c r="A66" s="124" t="s">
        <v>55</v>
      </c>
      <c r="B66" s="124" t="str">
        <f>IFERROR(VLOOKUP(Tablo8[[#This Row],[ ÜRÜN KODU]],YMKODLARI!$A$1:$H$383,2,0)," " )</f>
        <v>BİBERON SEYAHAT TIPASI</v>
      </c>
      <c r="C66" s="125">
        <v>43861</v>
      </c>
      <c r="D66" s="124">
        <v>15600</v>
      </c>
      <c r="E66" s="124" t="s">
        <v>255</v>
      </c>
    </row>
    <row r="67" spans="1:5" ht="15" customHeight="1">
      <c r="A67" s="124" t="s">
        <v>136</v>
      </c>
      <c r="B67" s="124" t="str">
        <f>IFERROR(VLOOKUP(Tablo8[[#This Row],[ ÜRÜN KODU]],YMKODLARI!$A$1:$H$383,2,0)," " )</f>
        <v>DAMAK EMZİK TIPA</v>
      </c>
      <c r="C67" s="125">
        <v>43861</v>
      </c>
      <c r="D67" s="124">
        <v>20000</v>
      </c>
      <c r="E67" s="124" t="s">
        <v>255</v>
      </c>
    </row>
    <row r="68" spans="1:5" ht="15" customHeight="1">
      <c r="A68" s="124" t="s">
        <v>176</v>
      </c>
      <c r="B68" s="124" t="str">
        <f>IFERROR(VLOOKUP(Tablo8[[#This Row],[ ÜRÜN KODU]],YMKODLARI!$A$1:$H$383,2,0)," " )</f>
        <v xml:space="preserve">BİBERON KAPAĞI </v>
      </c>
      <c r="C68" s="125">
        <v>43861</v>
      </c>
      <c r="D68" s="124">
        <v>2000</v>
      </c>
      <c r="E68" s="124" t="s">
        <v>255</v>
      </c>
    </row>
    <row r="69" spans="1:5" ht="15" customHeight="1">
      <c r="A69" s="124" t="s">
        <v>26</v>
      </c>
      <c r="B69" s="124" t="str">
        <f>IFERROR(VLOOKUP(Tablo8[[#This Row],[ ÜRÜN KODU]],YMKODLARI!$A$1:$H$383,2,0)," " )</f>
        <v>DAMAK EMZİK UCU 1 NO</v>
      </c>
      <c r="C69" s="125">
        <v>43864</v>
      </c>
      <c r="D69" s="124">
        <v>6000</v>
      </c>
      <c r="E69" s="124" t="s">
        <v>256</v>
      </c>
    </row>
    <row r="70" spans="1:5" ht="15" customHeight="1">
      <c r="A70" s="124" t="s">
        <v>34</v>
      </c>
      <c r="B70" s="124" t="str">
        <f>IFERROR(VLOOKUP(Tablo8[[#This Row],[ ÜRÜN KODU]],YMKODLARI!$A$1:$H$383,2,0)," " )</f>
        <v>BİBERON KLASİK  UC 1 NO</v>
      </c>
      <c r="C70" s="125">
        <v>43864</v>
      </c>
      <c r="D70" s="124">
        <v>6000</v>
      </c>
      <c r="E70" s="124" t="s">
        <v>256</v>
      </c>
    </row>
    <row r="71" spans="1:5" ht="15" customHeight="1">
      <c r="A71" s="124" t="s">
        <v>136</v>
      </c>
      <c r="B71" s="124" t="str">
        <f>IFERROR(VLOOKUP(Tablo8[[#This Row],[ ÜRÜN KODU]],YMKODLARI!$A$1:$H$383,2,0)," " )</f>
        <v>DAMAK EMZİK TIPA</v>
      </c>
      <c r="C71" s="125">
        <v>43864</v>
      </c>
      <c r="D71" s="124">
        <v>3060</v>
      </c>
      <c r="E71" s="124" t="s">
        <v>256</v>
      </c>
    </row>
    <row r="72" spans="1:5" ht="15" customHeight="1">
      <c r="A72" s="124" t="s">
        <v>137</v>
      </c>
      <c r="B72" s="124" t="str">
        <f>IFERROR(VLOOKUP(Tablo8[[#This Row],[ ÜRÜN KODU]],YMKODLARI!$A$1:$H$383,2,0)," " )</f>
        <v>DAMAK EMZİK GÖVDE</v>
      </c>
      <c r="C72" s="125">
        <v>43864</v>
      </c>
      <c r="D72" s="124">
        <v>4000</v>
      </c>
      <c r="E72" s="124" t="s">
        <v>256</v>
      </c>
    </row>
    <row r="73" spans="1:5" ht="15" customHeight="1">
      <c r="A73" s="124" t="s">
        <v>176</v>
      </c>
      <c r="B73" s="124" t="str">
        <f>IFERROR(VLOOKUP(Tablo8[[#This Row],[ ÜRÜN KODU]],YMKODLARI!$A$1:$H$383,2,0)," " )</f>
        <v xml:space="preserve">BİBERON KAPAĞI </v>
      </c>
      <c r="C73" s="125">
        <v>43864</v>
      </c>
      <c r="D73" s="124">
        <v>1404</v>
      </c>
      <c r="E73" s="124" t="s">
        <v>256</v>
      </c>
    </row>
    <row r="74" spans="1:5" ht="15" customHeight="1">
      <c r="A74" s="124" t="s">
        <v>26</v>
      </c>
      <c r="B74" s="124" t="str">
        <f>IFERROR(VLOOKUP(Tablo8[[#This Row],[ ÜRÜN KODU]],YMKODLARI!$A$1:$H$383,2,0)," " )</f>
        <v>DAMAK EMZİK UCU 1 NO</v>
      </c>
      <c r="C74" s="125">
        <v>43865</v>
      </c>
      <c r="D74" s="124">
        <v>6000</v>
      </c>
      <c r="E74" s="124" t="s">
        <v>256</v>
      </c>
    </row>
    <row r="75" spans="1:5" ht="15" customHeight="1">
      <c r="A75" s="124" t="s">
        <v>34</v>
      </c>
      <c r="B75" s="124" t="str">
        <f>IFERROR(VLOOKUP(Tablo8[[#This Row],[ ÜRÜN KODU]],YMKODLARI!$A$1:$H$383,2,0)," " )</f>
        <v>BİBERON KLASİK  UC 1 NO</v>
      </c>
      <c r="C75" s="125">
        <v>43865</v>
      </c>
      <c r="D75" s="124">
        <v>6000</v>
      </c>
      <c r="E75" s="124" t="s">
        <v>256</v>
      </c>
    </row>
    <row r="76" spans="1:5">
      <c r="A76" s="124" t="s">
        <v>163</v>
      </c>
      <c r="B76" s="124" t="str">
        <f>IFERROR(VLOOKUP(Tablo8[[#This Row],[ ÜRÜN KODU]],YMKODLARI!$A$1:$H$383,2,0)," " )</f>
        <v>DAMAK EMZİK GÖVDE</v>
      </c>
      <c r="C76" s="125">
        <v>43865</v>
      </c>
      <c r="D76" s="124">
        <v>314</v>
      </c>
      <c r="E76" s="124" t="s">
        <v>256</v>
      </c>
    </row>
    <row r="77" spans="1:5" ht="15" customHeight="1">
      <c r="A77" s="124" t="s">
        <v>213</v>
      </c>
      <c r="B77" s="124" t="str">
        <f>IFERROR(VLOOKUP(Tablo8[[#This Row],[ ÜRÜN KODU]],YMKODLARI!$A$1:$H$383,2,0)," " )</f>
        <v>GENİŞ AĞIZ BİBERON KAPAĞI</v>
      </c>
      <c r="C77" s="125">
        <v>43865</v>
      </c>
      <c r="D77" s="124">
        <v>9600</v>
      </c>
      <c r="E77" s="124" t="s">
        <v>256</v>
      </c>
    </row>
    <row r="78" spans="1:5" ht="15" customHeight="1">
      <c r="A78" s="124" t="s">
        <v>26</v>
      </c>
      <c r="B78" s="124" t="str">
        <f>IFERROR(VLOOKUP(Tablo8[[#This Row],[ ÜRÜN KODU]],YMKODLARI!$A$1:$H$383,2,0)," " )</f>
        <v>DAMAK EMZİK UCU 1 NO</v>
      </c>
      <c r="C78" s="125">
        <v>43866</v>
      </c>
      <c r="D78" s="124">
        <v>6000</v>
      </c>
      <c r="E78" s="124" t="s">
        <v>256</v>
      </c>
    </row>
    <row r="79" spans="1:5" ht="15" customHeight="1">
      <c r="A79" s="124" t="s">
        <v>34</v>
      </c>
      <c r="B79" s="124" t="str">
        <f>IFERROR(VLOOKUP(Tablo8[[#This Row],[ ÜRÜN KODU]],YMKODLARI!$A$1:$H$383,2,0)," " )</f>
        <v>BİBERON KLASİK  UC 1 NO</v>
      </c>
      <c r="C79" s="125">
        <v>43866</v>
      </c>
      <c r="D79" s="124">
        <v>6000</v>
      </c>
      <c r="E79" s="124" t="s">
        <v>256</v>
      </c>
    </row>
    <row r="80" spans="1:5" ht="15" customHeight="1">
      <c r="A80" s="124" t="s">
        <v>137</v>
      </c>
      <c r="B80" s="124" t="str">
        <f>IFERROR(VLOOKUP(Tablo8[[#This Row],[ ÜRÜN KODU]],YMKODLARI!$A$1:$H$383,2,0)," " )</f>
        <v>DAMAK EMZİK GÖVDE</v>
      </c>
      <c r="C80" s="125">
        <v>43866</v>
      </c>
      <c r="D80" s="124">
        <v>200</v>
      </c>
      <c r="E80" s="124" t="s">
        <v>256</v>
      </c>
    </row>
    <row r="81" spans="1:5" ht="15" customHeight="1">
      <c r="A81" s="124" t="s">
        <v>213</v>
      </c>
      <c r="B81" s="124" t="str">
        <f>IFERROR(VLOOKUP(Tablo8[[#This Row],[ ÜRÜN KODU]],YMKODLARI!$A$1:$H$383,2,0)," " )</f>
        <v>GENİŞ AĞIZ BİBERON KAPAĞI</v>
      </c>
      <c r="C81" s="125">
        <v>43866</v>
      </c>
      <c r="D81" s="124">
        <v>2989</v>
      </c>
      <c r="E81" s="124" t="s">
        <v>256</v>
      </c>
    </row>
    <row r="82" spans="1:5" ht="15" customHeight="1">
      <c r="A82" s="124" t="s">
        <v>176</v>
      </c>
      <c r="B82" s="124" t="str">
        <f>IFERROR(VLOOKUP(Tablo8[[#This Row],[ ÜRÜN KODU]],YMKODLARI!$A$1:$H$383,2,0)," " )</f>
        <v xml:space="preserve">BİBERON KAPAĞI </v>
      </c>
      <c r="C82" s="125">
        <v>43866</v>
      </c>
      <c r="D82" s="124">
        <v>5000</v>
      </c>
      <c r="E82" s="124" t="s">
        <v>256</v>
      </c>
    </row>
    <row r="83" spans="1:5" ht="15" customHeight="1">
      <c r="A83" s="124" t="s">
        <v>26</v>
      </c>
      <c r="B83" s="124" t="str">
        <f>IFERROR(VLOOKUP(Tablo8[[#This Row],[ ÜRÜN KODU]],YMKODLARI!$A$1:$H$383,2,0)," " )</f>
        <v>DAMAK EMZİK UCU 1 NO</v>
      </c>
      <c r="C83" s="125">
        <v>43867</v>
      </c>
      <c r="D83" s="124">
        <v>8000</v>
      </c>
      <c r="E83" s="124" t="s">
        <v>256</v>
      </c>
    </row>
    <row r="84" spans="1:5" ht="15" customHeight="1">
      <c r="A84" s="124" t="s">
        <v>34</v>
      </c>
      <c r="B84" s="124" t="str">
        <f>IFERROR(VLOOKUP(Tablo8[[#This Row],[ ÜRÜN KODU]],YMKODLARI!$A$1:$H$383,2,0)," " )</f>
        <v>BİBERON KLASİK  UC 1 NO</v>
      </c>
      <c r="C84" s="125">
        <v>43867</v>
      </c>
      <c r="D84" s="124">
        <v>5000</v>
      </c>
      <c r="E84" s="124" t="s">
        <v>256</v>
      </c>
    </row>
    <row r="85" spans="1:5" ht="15" customHeight="1">
      <c r="A85" s="124" t="s">
        <v>137</v>
      </c>
      <c r="B85" s="124" t="str">
        <f>IFERROR(VLOOKUP(Tablo8[[#This Row],[ ÜRÜN KODU]],YMKODLARI!$A$1:$H$383,2,0)," " )</f>
        <v>DAMAK EMZİK GÖVDE</v>
      </c>
      <c r="C85" s="125">
        <v>43867</v>
      </c>
      <c r="D85" s="124">
        <v>1247</v>
      </c>
      <c r="E85" s="124" t="s">
        <v>256</v>
      </c>
    </row>
    <row r="86" spans="1:5" ht="15" customHeight="1">
      <c r="A86" s="124" t="s">
        <v>138</v>
      </c>
      <c r="B86" s="124" t="str">
        <f>IFERROR(VLOOKUP(Tablo8[[#This Row],[ ÜRÜN KODU]],YMKODLARI!$A$1:$H$383,2,0)," " )</f>
        <v>KURBAĞA DİŞ KAŞIYICI TUTACAK</v>
      </c>
      <c r="C86" s="125">
        <v>43867</v>
      </c>
      <c r="D86" s="124">
        <v>2139</v>
      </c>
      <c r="E86" s="124" t="s">
        <v>256</v>
      </c>
    </row>
    <row r="87" spans="1:5" ht="15" customHeight="1">
      <c r="A87" s="124" t="s">
        <v>176</v>
      </c>
      <c r="B87" s="124" t="str">
        <f>IFERROR(VLOOKUP(Tablo8[[#This Row],[ ÜRÜN KODU]],YMKODLARI!$A$1:$H$383,2,0)," " )</f>
        <v xml:space="preserve">BİBERON KAPAĞI </v>
      </c>
      <c r="C87" s="125">
        <v>43867</v>
      </c>
      <c r="D87" s="124">
        <v>1500</v>
      </c>
      <c r="E87" s="124" t="s">
        <v>256</v>
      </c>
    </row>
    <row r="88" spans="1:5" ht="15" customHeight="1">
      <c r="A88" s="124" t="s">
        <v>26</v>
      </c>
      <c r="B88" s="124" t="str">
        <f>IFERROR(VLOOKUP(Tablo8[[#This Row],[ ÜRÜN KODU]],YMKODLARI!$A$1:$H$383,2,0)," " )</f>
        <v>DAMAK EMZİK UCU 1 NO</v>
      </c>
      <c r="C88" s="125">
        <v>43868</v>
      </c>
      <c r="D88" s="124">
        <v>6000</v>
      </c>
      <c r="E88" s="124" t="s">
        <v>256</v>
      </c>
    </row>
    <row r="89" spans="1:5" ht="15" customHeight="1">
      <c r="A89" s="124" t="s">
        <v>34</v>
      </c>
      <c r="B89" s="124" t="str">
        <f>IFERROR(VLOOKUP(Tablo8[[#This Row],[ ÜRÜN KODU]],YMKODLARI!$A$1:$H$383,2,0)," " )</f>
        <v>BİBERON KLASİK  UC 1 NO</v>
      </c>
      <c r="C89" s="125">
        <v>43868</v>
      </c>
      <c r="D89" s="124">
        <v>6000</v>
      </c>
      <c r="E89" s="124" t="s">
        <v>256</v>
      </c>
    </row>
    <row r="90" spans="1:5" ht="15" customHeight="1">
      <c r="A90" s="124" t="s">
        <v>139</v>
      </c>
      <c r="B90" s="124" t="str">
        <f>IFERROR(VLOOKUP(Tablo8[[#This Row],[ ÜRÜN KODU]],YMKODLARI!$A$1:$H$383,2,0)," " )</f>
        <v>KURBAĞA DİŞ KAŞIYICI TUTACAK</v>
      </c>
      <c r="C90" s="125">
        <v>43868</v>
      </c>
      <c r="D90" s="124">
        <v>2062</v>
      </c>
      <c r="E90" s="124" t="s">
        <v>256</v>
      </c>
    </row>
    <row r="91" spans="1:5" ht="15" customHeight="1">
      <c r="A91" s="124" t="s">
        <v>34</v>
      </c>
      <c r="B91" s="124" t="str">
        <f>IFERROR(VLOOKUP(Tablo8[[#This Row],[ ÜRÜN KODU]],YMKODLARI!$A$1:$H$383,2,0)," " )</f>
        <v>BİBERON KLASİK  UC 1 NO</v>
      </c>
      <c r="C91" s="125">
        <v>43871</v>
      </c>
      <c r="D91" s="124">
        <v>9000</v>
      </c>
      <c r="E91" s="124" t="s">
        <v>256</v>
      </c>
    </row>
    <row r="92" spans="1:5" ht="15" customHeight="1">
      <c r="A92" s="124" t="s">
        <v>137</v>
      </c>
      <c r="B92" s="124" t="str">
        <f>IFERROR(VLOOKUP(Tablo8[[#This Row],[ ÜRÜN KODU]],YMKODLARI!$A$1:$H$383,2,0)," " )</f>
        <v>DAMAK EMZİK GÖVDE</v>
      </c>
      <c r="C92" s="125">
        <v>43871</v>
      </c>
      <c r="D92" s="124">
        <v>2000</v>
      </c>
      <c r="E92" s="124" t="s">
        <v>256</v>
      </c>
    </row>
    <row r="93" spans="1:5" ht="15" customHeight="1">
      <c r="A93" s="124" t="s">
        <v>26</v>
      </c>
      <c r="B93" s="124" t="str">
        <f>IFERROR(VLOOKUP(Tablo8[[#This Row],[ ÜRÜN KODU]],YMKODLARI!$A$1:$H$383,2,0)," " )</f>
        <v>DAMAK EMZİK UCU 1 NO</v>
      </c>
      <c r="C93" s="125">
        <v>43872</v>
      </c>
      <c r="D93" s="124">
        <v>10000</v>
      </c>
      <c r="E93" s="124" t="s">
        <v>256</v>
      </c>
    </row>
    <row r="94" spans="1:5" ht="15" customHeight="1">
      <c r="A94" s="124" t="s">
        <v>34</v>
      </c>
      <c r="B94" s="124" t="str">
        <f>IFERROR(VLOOKUP(Tablo8[[#This Row],[ ÜRÜN KODU]],YMKODLARI!$A$1:$H$383,2,0)," " )</f>
        <v>BİBERON KLASİK  UC 1 NO</v>
      </c>
      <c r="C94" s="125">
        <v>43872</v>
      </c>
      <c r="D94" s="124">
        <v>4000</v>
      </c>
      <c r="E94" s="124" t="s">
        <v>256</v>
      </c>
    </row>
    <row r="95" spans="1:5" ht="15" customHeight="1">
      <c r="A95" s="124" t="s">
        <v>26</v>
      </c>
      <c r="B95" s="124" t="str">
        <f>IFERROR(VLOOKUP(Tablo8[[#This Row],[ ÜRÜN KODU]],YMKODLARI!$A$1:$H$383,2,0)," " )</f>
        <v>DAMAK EMZİK UCU 1 NO</v>
      </c>
      <c r="C95" s="125">
        <v>43879</v>
      </c>
      <c r="D95" s="124">
        <v>22000</v>
      </c>
      <c r="E95" s="124" t="s">
        <v>256</v>
      </c>
    </row>
    <row r="96" spans="1:5" ht="15" customHeight="1">
      <c r="A96" s="124" t="s">
        <v>34</v>
      </c>
      <c r="B96" s="124" t="str">
        <f>IFERROR(VLOOKUP(Tablo8[[#This Row],[ ÜRÜN KODU]],YMKODLARI!$A$1:$H$383,2,0)," " )</f>
        <v>BİBERON KLASİK  UC 1 NO</v>
      </c>
      <c r="C96" s="125">
        <v>43879</v>
      </c>
      <c r="D96" s="124">
        <v>25000</v>
      </c>
      <c r="E96" s="124" t="s">
        <v>256</v>
      </c>
    </row>
    <row r="97" spans="1:5" ht="15" customHeight="1">
      <c r="A97" s="124" t="s">
        <v>137</v>
      </c>
      <c r="B97" s="124" t="str">
        <f>IFERROR(VLOOKUP(Tablo8[[#This Row],[ ÜRÜN KODU]],YMKODLARI!$A$1:$H$383,2,0)," " )</f>
        <v>DAMAK EMZİK GÖVDE</v>
      </c>
      <c r="C97" s="125">
        <v>43879</v>
      </c>
      <c r="D97" s="124">
        <v>180</v>
      </c>
      <c r="E97" s="124" t="s">
        <v>256</v>
      </c>
    </row>
    <row r="98" spans="1:5" ht="15" customHeight="1">
      <c r="A98" s="124" t="s">
        <v>140</v>
      </c>
      <c r="B98" s="124" t="str">
        <f>IFERROR(VLOOKUP(Tablo8[[#This Row],[ ÜRÜN KODU]],YMKODLARI!$A$1:$H$383,2,0)," " )</f>
        <v>NEŞELİ ÇINGIRAK</v>
      </c>
      <c r="C98" s="125">
        <v>43879</v>
      </c>
      <c r="D98" s="124">
        <v>1025</v>
      </c>
      <c r="E98" s="124" t="s">
        <v>256</v>
      </c>
    </row>
    <row r="99" spans="1:5" ht="15" customHeight="1">
      <c r="A99" s="124" t="s">
        <v>142</v>
      </c>
      <c r="B99" s="124" t="str">
        <f>IFERROR(VLOOKUP(Tablo8[[#This Row],[ ÜRÜN KODU]],YMKODLARI!$A$1:$H$383,2,0)," " )</f>
        <v>NEŞELİ ÇINGIRAK</v>
      </c>
      <c r="C99" s="125">
        <v>43879</v>
      </c>
      <c r="D99" s="124">
        <v>1019</v>
      </c>
      <c r="E99" s="124" t="s">
        <v>256</v>
      </c>
    </row>
    <row r="100" spans="1:5" ht="15" customHeight="1">
      <c r="A100" s="124" t="s">
        <v>143</v>
      </c>
      <c r="B100" s="124" t="str">
        <f>IFERROR(VLOOKUP(Tablo8[[#This Row],[ ÜRÜN KODU]],YMKODLARI!$A$1:$H$383,2,0)," " )</f>
        <v>NEŞELİ ÇINGIRAK</v>
      </c>
      <c r="C100" s="125">
        <v>43879</v>
      </c>
      <c r="D100" s="124">
        <v>1039</v>
      </c>
      <c r="E100" s="124" t="s">
        <v>256</v>
      </c>
    </row>
    <row r="101" spans="1:5" ht="15" customHeight="1">
      <c r="A101" s="124" t="s">
        <v>144</v>
      </c>
      <c r="B101" s="124" t="str">
        <f>IFERROR(VLOOKUP(Tablo8[[#This Row],[ ÜRÜN KODU]],YMKODLARI!$A$1:$H$383,2,0)," " )</f>
        <v>NEŞELİ ÇINGIRAK</v>
      </c>
      <c r="C101" s="125">
        <v>43879</v>
      </c>
      <c r="D101" s="124">
        <v>1050</v>
      </c>
      <c r="E101" s="124" t="s">
        <v>256</v>
      </c>
    </row>
    <row r="102" spans="1:5" ht="15" customHeight="1">
      <c r="A102" s="124" t="s">
        <v>145</v>
      </c>
      <c r="B102" s="124" t="str">
        <f>IFERROR(VLOOKUP(Tablo8[[#This Row],[ ÜRÜN KODU]],YMKODLARI!$A$1:$H$383,2,0)," " )</f>
        <v>NEŞELİ ÇINGIRAK</v>
      </c>
      <c r="C102" s="125">
        <v>43879</v>
      </c>
      <c r="D102" s="124">
        <v>520</v>
      </c>
      <c r="E102" s="124" t="s">
        <v>256</v>
      </c>
    </row>
    <row r="103" spans="1:5" ht="15" customHeight="1">
      <c r="A103" s="124" t="s">
        <v>146</v>
      </c>
      <c r="B103" s="124" t="str">
        <f>IFERROR(VLOOKUP(Tablo8[[#This Row],[ ÜRÜN KODU]],YMKODLARI!$A$1:$H$383,2,0)," " )</f>
        <v>NEŞELİ ÇINGIRAK</v>
      </c>
      <c r="C103" s="125">
        <v>43879</v>
      </c>
      <c r="D103" s="124">
        <v>520</v>
      </c>
      <c r="E103" s="124" t="s">
        <v>256</v>
      </c>
    </row>
    <row r="104" spans="1:5" ht="15" customHeight="1">
      <c r="A104" s="124" t="s">
        <v>147</v>
      </c>
      <c r="B104" s="124" t="str">
        <f>IFERROR(VLOOKUP(Tablo8[[#This Row],[ ÜRÜN KODU]],YMKODLARI!$A$1:$H$383,2,0)," " )</f>
        <v>NEŞELİ ÇINGIRAK</v>
      </c>
      <c r="C104" s="125">
        <v>43879</v>
      </c>
      <c r="D104" s="124">
        <v>559</v>
      </c>
      <c r="E104" s="124" t="s">
        <v>256</v>
      </c>
    </row>
    <row r="105" spans="1:5" ht="15" customHeight="1">
      <c r="A105" s="124" t="s">
        <v>148</v>
      </c>
      <c r="B105" s="124" t="str">
        <f>IFERROR(VLOOKUP(Tablo8[[#This Row],[ ÜRÜN KODU]],YMKODLARI!$A$1:$H$383,2,0)," " )</f>
        <v>NEŞELİ ÇINGIRAK</v>
      </c>
      <c r="C105" s="125">
        <v>43879</v>
      </c>
      <c r="D105" s="124">
        <v>570</v>
      </c>
      <c r="E105" s="124" t="s">
        <v>256</v>
      </c>
    </row>
    <row r="106" spans="1:5" ht="15" customHeight="1">
      <c r="A106" s="124" t="s">
        <v>149</v>
      </c>
      <c r="B106" s="124" t="str">
        <f>IFERROR(VLOOKUP(Tablo8[[#This Row],[ ÜRÜN KODU]],YMKODLARI!$A$1:$H$383,2,0)," " )</f>
        <v>NEŞELİ ÇINGIRAK</v>
      </c>
      <c r="C106" s="125">
        <v>43879</v>
      </c>
      <c r="D106" s="124">
        <v>545</v>
      </c>
      <c r="E106" s="124" t="s">
        <v>256</v>
      </c>
    </row>
    <row r="107" spans="1:5" ht="15" customHeight="1">
      <c r="A107" s="124" t="s">
        <v>150</v>
      </c>
      <c r="B107" s="124" t="str">
        <f>IFERROR(VLOOKUP(Tablo8[[#This Row],[ ÜRÜN KODU]],YMKODLARI!$A$1:$H$383,2,0)," " )</f>
        <v>NEŞELİ ÇINGIRAK</v>
      </c>
      <c r="C107" s="125">
        <v>43879</v>
      </c>
      <c r="D107" s="124">
        <v>518</v>
      </c>
      <c r="E107" s="124" t="s">
        <v>256</v>
      </c>
    </row>
    <row r="108" spans="1:5" ht="15" customHeight="1">
      <c r="A108" s="124" t="s">
        <v>151</v>
      </c>
      <c r="B108" s="124" t="str">
        <f>IFERROR(VLOOKUP(Tablo8[[#This Row],[ ÜRÜN KODU]],YMKODLARI!$A$1:$H$383,2,0)," " )</f>
        <v>NEŞELİ ÇINGIRAK</v>
      </c>
      <c r="C108" s="125">
        <v>43879</v>
      </c>
      <c r="D108" s="124">
        <v>540</v>
      </c>
      <c r="E108" s="124" t="s">
        <v>256</v>
      </c>
    </row>
    <row r="109" spans="1:5" ht="15" customHeight="1">
      <c r="A109" s="124" t="s">
        <v>152</v>
      </c>
      <c r="B109" s="124" t="str">
        <f>IFERROR(VLOOKUP(Tablo8[[#This Row],[ ÜRÜN KODU]],YMKODLARI!$A$1:$H$383,2,0)," " )</f>
        <v>NEŞELİ ÇINGIRAK</v>
      </c>
      <c r="C109" s="125">
        <v>43879</v>
      </c>
      <c r="D109" s="124">
        <v>595</v>
      </c>
      <c r="E109" s="124" t="s">
        <v>256</v>
      </c>
    </row>
    <row r="110" spans="1:5" ht="15" customHeight="1">
      <c r="A110" s="124" t="s">
        <v>157</v>
      </c>
      <c r="B110" s="124" t="str">
        <f>IFERROR(VLOOKUP(Tablo8[[#This Row],[ ÜRÜN KODU]],YMKODLARI!$A$1:$H$383,2,0)," " )</f>
        <v>NEŞELİ ÇINGIRAK</v>
      </c>
      <c r="C110" s="125">
        <v>43879</v>
      </c>
      <c r="D110" s="124">
        <v>521</v>
      </c>
      <c r="E110" s="124" t="s">
        <v>256</v>
      </c>
    </row>
    <row r="111" spans="1:5" ht="15" customHeight="1">
      <c r="A111" s="124" t="s">
        <v>158</v>
      </c>
      <c r="B111" s="124" t="str">
        <f>IFERROR(VLOOKUP(Tablo8[[#This Row],[ ÜRÜN KODU]],YMKODLARI!$A$1:$H$383,2,0)," " )</f>
        <v>NEŞELİ ÇINGIRAK</v>
      </c>
      <c r="C111" s="125">
        <v>43879</v>
      </c>
      <c r="D111" s="124">
        <v>476</v>
      </c>
      <c r="E111" s="124" t="s">
        <v>256</v>
      </c>
    </row>
    <row r="112" spans="1:5" ht="15" customHeight="1">
      <c r="A112" s="124" t="s">
        <v>159</v>
      </c>
      <c r="B112" s="124" t="str">
        <f>IFERROR(VLOOKUP(Tablo8[[#This Row],[ ÜRÜN KODU]],YMKODLARI!$A$1:$H$383,2,0)," " )</f>
        <v>NEŞELİ ÇINGIRAK</v>
      </c>
      <c r="C112" s="125">
        <v>43879</v>
      </c>
      <c r="D112" s="124">
        <v>427</v>
      </c>
      <c r="E112" s="124" t="s">
        <v>256</v>
      </c>
    </row>
    <row r="113" spans="1:5" ht="15" customHeight="1">
      <c r="A113" s="124" t="s">
        <v>160</v>
      </c>
      <c r="B113" s="124" t="str">
        <f>IFERROR(VLOOKUP(Tablo8[[#This Row],[ ÜRÜN KODU]],YMKODLARI!$A$1:$H$383,2,0)," " )</f>
        <v>NEŞELİ ÇINGIRAK</v>
      </c>
      <c r="C113" s="125">
        <v>43879</v>
      </c>
      <c r="D113" s="124">
        <v>536</v>
      </c>
      <c r="E113" s="124" t="s">
        <v>256</v>
      </c>
    </row>
    <row r="114" spans="1:5" ht="15" customHeight="1">
      <c r="A114" s="124" t="s">
        <v>153</v>
      </c>
      <c r="B114" s="124" t="str">
        <f>IFERROR(VLOOKUP(Tablo8[[#This Row],[ ÜRÜN KODU]],YMKODLARI!$A$1:$H$383,2,0)," " )</f>
        <v>NEŞELİ ÇINGIRAK</v>
      </c>
      <c r="C114" s="125">
        <v>43879</v>
      </c>
      <c r="D114" s="124">
        <v>605</v>
      </c>
      <c r="E114" s="124" t="s">
        <v>256</v>
      </c>
    </row>
    <row r="115" spans="1:5" ht="15" customHeight="1">
      <c r="A115" s="124" t="s">
        <v>154</v>
      </c>
      <c r="B115" s="124" t="str">
        <f>IFERROR(VLOOKUP(Tablo8[[#This Row],[ ÜRÜN KODU]],YMKODLARI!$A$1:$H$383,2,0)," " )</f>
        <v>NEŞELİ ÇINGIRAK</v>
      </c>
      <c r="C115" s="125">
        <v>43879</v>
      </c>
      <c r="D115" s="124">
        <v>536</v>
      </c>
      <c r="E115" s="124" t="s">
        <v>256</v>
      </c>
    </row>
    <row r="116" spans="1:5" ht="15" customHeight="1">
      <c r="A116" s="124" t="s">
        <v>155</v>
      </c>
      <c r="B116" s="124" t="str">
        <f>IFERROR(VLOOKUP(Tablo8[[#This Row],[ ÜRÜN KODU]],YMKODLARI!$A$1:$H$383,2,0)," " )</f>
        <v>NEŞELİ ÇINGIRAK</v>
      </c>
      <c r="C116" s="125">
        <v>43879</v>
      </c>
      <c r="D116" s="124">
        <v>548</v>
      </c>
      <c r="E116" s="124" t="s">
        <v>256</v>
      </c>
    </row>
    <row r="117" spans="1:5" ht="15" customHeight="1">
      <c r="A117" s="124" t="s">
        <v>156</v>
      </c>
      <c r="B117" s="124" t="str">
        <f>IFERROR(VLOOKUP(Tablo8[[#This Row],[ ÜRÜN KODU]],YMKODLARI!$A$1:$H$383,2,0)," " )</f>
        <v>NEŞELİ ÇINGIRAK</v>
      </c>
      <c r="C117" s="125">
        <v>43879</v>
      </c>
      <c r="D117" s="124">
        <v>617</v>
      </c>
      <c r="E117" s="124" t="s">
        <v>256</v>
      </c>
    </row>
    <row r="118" spans="1:5" ht="15" customHeight="1">
      <c r="A118" s="124" t="s">
        <v>176</v>
      </c>
      <c r="B118" s="124" t="str">
        <f>IFERROR(VLOOKUP(Tablo8[[#This Row],[ ÜRÜN KODU]],YMKODLARI!$A$1:$H$383,2,0)," " )</f>
        <v xml:space="preserve">BİBERON KAPAĞI </v>
      </c>
      <c r="C118" s="125">
        <v>43879</v>
      </c>
      <c r="D118" s="124">
        <v>20748</v>
      </c>
      <c r="E118" s="124" t="s">
        <v>256</v>
      </c>
    </row>
    <row r="119" spans="1:5" ht="15" customHeight="1">
      <c r="A119" s="124" t="s">
        <v>34</v>
      </c>
      <c r="B119" s="124" t="str">
        <f>IFERROR(VLOOKUP(Tablo8[[#This Row],[ ÜRÜN KODU]],YMKODLARI!$A$1:$H$383,2,0)," " )</f>
        <v>BİBERON KLASİK  UC 1 NO</v>
      </c>
      <c r="C119" s="125">
        <v>43879</v>
      </c>
      <c r="D119" s="124">
        <v>9000</v>
      </c>
      <c r="E119" s="124" t="s">
        <v>256</v>
      </c>
    </row>
    <row r="120" spans="1:5" ht="15" customHeight="1">
      <c r="A120" s="124" t="s">
        <v>56</v>
      </c>
      <c r="B120" s="124" t="str">
        <f>IFERROR(VLOOKUP(Tablo8[[#This Row],[ ÜRÜN KODU]],YMKODLARI!$A$1:$H$383,2,0)," " )</f>
        <v>DAMAK EMZİK SAP</v>
      </c>
      <c r="C120" s="125">
        <v>43879</v>
      </c>
      <c r="D120" s="124">
        <v>4090</v>
      </c>
      <c r="E120" s="124" t="s">
        <v>256</v>
      </c>
    </row>
    <row r="121" spans="1:5" ht="15" customHeight="1">
      <c r="A121" s="124" t="s">
        <v>130</v>
      </c>
      <c r="B121" s="124" t="str">
        <f>IFERROR(VLOOKUP(Tablo8[[#This Row],[ ÜRÜN KODU]],YMKODLARI!$A$1:$H$383,2,0)," " )</f>
        <v>DAMAK EMZİK TIPA</v>
      </c>
      <c r="C121" s="125">
        <v>43879</v>
      </c>
      <c r="D121" s="124">
        <v>11530</v>
      </c>
      <c r="E121" s="124" t="s">
        <v>256</v>
      </c>
    </row>
    <row r="122" spans="1:5" ht="15" customHeight="1">
      <c r="A122" s="124" t="s">
        <v>202</v>
      </c>
      <c r="B122" s="124" t="str">
        <f>IFERROR(VLOOKUP(Tablo8[[#This Row],[ ÜRÜN KODU]],YMKODLARI!$A$1:$H$383,2,0)," " )</f>
        <v xml:space="preserve"> BİBERON VİDA</v>
      </c>
      <c r="C122" s="125">
        <v>43879</v>
      </c>
      <c r="D122" s="124">
        <v>4000</v>
      </c>
      <c r="E122" s="124" t="s">
        <v>256</v>
      </c>
    </row>
    <row r="123" spans="1:5" ht="15" customHeight="1">
      <c r="A123" s="124" t="s">
        <v>26</v>
      </c>
      <c r="B123" s="124" t="str">
        <f>IFERROR(VLOOKUP(Tablo8[[#This Row],[ ÜRÜN KODU]],YMKODLARI!$A$1:$H$383,2,0)," " )</f>
        <v>DAMAK EMZİK UCU 1 NO</v>
      </c>
      <c r="C123" s="125">
        <v>43880</v>
      </c>
      <c r="D123" s="124">
        <v>16740</v>
      </c>
      <c r="E123" s="124" t="s">
        <v>256</v>
      </c>
    </row>
    <row r="124" spans="1:5" ht="15" customHeight="1">
      <c r="A124" s="124" t="s">
        <v>56</v>
      </c>
      <c r="B124" s="124" t="str">
        <f>IFERROR(VLOOKUP(Tablo8[[#This Row],[ ÜRÜN KODU]],YMKODLARI!$A$1:$H$383,2,0)," " )</f>
        <v>DAMAK EMZİK SAP</v>
      </c>
      <c r="C124" s="125">
        <v>43880</v>
      </c>
      <c r="D124" s="124">
        <v>3960</v>
      </c>
      <c r="E124" s="124" t="s">
        <v>256</v>
      </c>
    </row>
    <row r="125" spans="1:5" ht="15" customHeight="1">
      <c r="A125" s="124" t="s">
        <v>161</v>
      </c>
      <c r="B125" s="124" t="str">
        <f>IFERROR(VLOOKUP(Tablo8[[#This Row],[ ÜRÜN KODU]],YMKODLARI!$A$1:$H$383,2,0)," " )</f>
        <v>DAMAK EMZİK TIPA</v>
      </c>
      <c r="C125" s="125">
        <v>43880</v>
      </c>
      <c r="D125" s="124">
        <v>11030</v>
      </c>
      <c r="E125" s="124" t="s">
        <v>256</v>
      </c>
    </row>
    <row r="126" spans="1:5" ht="15" customHeight="1">
      <c r="A126" s="124" t="s">
        <v>202</v>
      </c>
      <c r="B126" s="124" t="str">
        <f>IFERROR(VLOOKUP(Tablo8[[#This Row],[ ÜRÜN KODU]],YMKODLARI!$A$1:$H$383,2,0)," " )</f>
        <v xml:space="preserve"> BİBERON VİDA</v>
      </c>
      <c r="C126" s="125">
        <v>43880</v>
      </c>
      <c r="D126" s="124">
        <v>700</v>
      </c>
      <c r="E126" s="124" t="s">
        <v>256</v>
      </c>
    </row>
    <row r="127" spans="1:5" ht="15" customHeight="1">
      <c r="A127" s="124" t="s">
        <v>205</v>
      </c>
      <c r="B127" s="124" t="str">
        <f>IFERROR(VLOOKUP(Tablo8[[#This Row],[ ÜRÜN KODU]],YMKODLARI!$A$1:$H$383,2,0)," " )</f>
        <v>KULPLU BİBERON VİDA</v>
      </c>
      <c r="C127" s="125">
        <v>43880</v>
      </c>
      <c r="D127" s="124">
        <v>2074</v>
      </c>
      <c r="E127" s="124" t="s">
        <v>256</v>
      </c>
    </row>
    <row r="128" spans="1:5" ht="15" customHeight="1">
      <c r="A128" s="124" t="s">
        <v>34</v>
      </c>
      <c r="B128" s="124" t="str">
        <f>IFERROR(VLOOKUP(Tablo8[[#This Row],[ ÜRÜN KODU]],YMKODLARI!$A$1:$H$383,2,0)," " )</f>
        <v>BİBERON KLASİK  UC 1 NO</v>
      </c>
      <c r="C128" s="125">
        <v>43881</v>
      </c>
      <c r="D128" s="124">
        <v>9000</v>
      </c>
      <c r="E128" s="124" t="s">
        <v>256</v>
      </c>
    </row>
    <row r="129" spans="1:5" ht="15" customHeight="1">
      <c r="A129" s="124" t="s">
        <v>206</v>
      </c>
      <c r="B129" s="124" t="str">
        <f>IFERROR(VLOOKUP(Tablo8[[#This Row],[ ÜRÜN KODU]],YMKODLARI!$A$1:$H$383,2,0)," " )</f>
        <v>KULPLU BİBERON VİDA</v>
      </c>
      <c r="C129" s="125">
        <v>43881</v>
      </c>
      <c r="D129" s="124">
        <v>3518</v>
      </c>
      <c r="E129" s="124" t="s">
        <v>256</v>
      </c>
    </row>
    <row r="130" spans="1:5" ht="15" customHeight="1">
      <c r="A130" s="124" t="s">
        <v>42</v>
      </c>
      <c r="B130" s="124" t="str">
        <f>IFERROR(VLOOKUP(Tablo8[[#This Row],[ ÜRÜN KODU]],YMKODLARI!$A$1:$H$383,2,0)," " )</f>
        <v>DAMAK EMZİK UCU 2 NO</v>
      </c>
      <c r="C130" s="125">
        <v>43885</v>
      </c>
      <c r="D130" s="124">
        <v>12000</v>
      </c>
      <c r="E130" s="124" t="s">
        <v>256</v>
      </c>
    </row>
    <row r="131" spans="1:5" ht="15" customHeight="1">
      <c r="A131" s="124" t="s">
        <v>34</v>
      </c>
      <c r="B131" s="124" t="str">
        <f>IFERROR(VLOOKUP(Tablo8[[#This Row],[ ÜRÜN KODU]],YMKODLARI!$A$1:$H$383,2,0)," " )</f>
        <v>BİBERON KLASİK  UC 1 NO</v>
      </c>
      <c r="C131" s="125">
        <v>43885</v>
      </c>
      <c r="D131" s="124">
        <v>12000</v>
      </c>
      <c r="E131" s="124" t="s">
        <v>256</v>
      </c>
    </row>
    <row r="132" spans="1:5" ht="15" customHeight="1">
      <c r="A132" s="124" t="s">
        <v>59</v>
      </c>
      <c r="B132" s="124" t="str">
        <f>IFERROR(VLOOKUP(Tablo8[[#This Row],[ ÜRÜN KODU]],YMKODLARI!$A$1:$H$383,2,0)," " )</f>
        <v>EMZİK SAKLAMA KUTUSU ÜST</v>
      </c>
      <c r="C132" s="125">
        <v>43885</v>
      </c>
      <c r="D132" s="124">
        <v>1592</v>
      </c>
      <c r="E132" s="124" t="s">
        <v>256</v>
      </c>
    </row>
    <row r="133" spans="1:5" ht="15" customHeight="1">
      <c r="A133" s="124" t="s">
        <v>62</v>
      </c>
      <c r="B133" s="124" t="str">
        <f>IFERROR(VLOOKUP(Tablo8[[#This Row],[ ÜRÜN KODU]],YMKODLARI!$A$1:$H$383,2,0)," " )</f>
        <v>EMZİK SAKLAMA KUTUSU ALT</v>
      </c>
      <c r="C133" s="125">
        <v>43885</v>
      </c>
      <c r="D133" s="124">
        <v>1597</v>
      </c>
      <c r="E133" s="124" t="s">
        <v>256</v>
      </c>
    </row>
    <row r="134" spans="1:5" ht="15" customHeight="1">
      <c r="A134" s="124" t="s">
        <v>57</v>
      </c>
      <c r="B134" s="124" t="str">
        <f>IFERROR(VLOOKUP(Tablo8[[#This Row],[ ÜRÜN KODU]],YMKODLARI!$A$1:$H$383,2,0)," " )</f>
        <v>EMZİK SAKLAMA KUTUSU ÜST</v>
      </c>
      <c r="C134" s="125">
        <v>43885</v>
      </c>
      <c r="D134" s="124">
        <v>1004</v>
      </c>
      <c r="E134" s="124" t="s">
        <v>256</v>
      </c>
    </row>
    <row r="135" spans="1:5" ht="15" customHeight="1">
      <c r="A135" s="124" t="s">
        <v>58</v>
      </c>
      <c r="B135" s="124" t="str">
        <f>IFERROR(VLOOKUP(Tablo8[[#This Row],[ ÜRÜN KODU]],YMKODLARI!$A$1:$H$383,2,0)," " )</f>
        <v>EMZİK SAKLAMA KUTUSU ALT</v>
      </c>
      <c r="C135" s="125">
        <v>43885</v>
      </c>
      <c r="D135" s="124">
        <v>1010</v>
      </c>
      <c r="E135" s="124" t="s">
        <v>256</v>
      </c>
    </row>
    <row r="136" spans="1:5" ht="15" customHeight="1">
      <c r="A136" s="124" t="s">
        <v>162</v>
      </c>
      <c r="B136" s="124" t="str">
        <f>IFERROR(VLOOKUP(Tablo8[[#This Row],[ ÜRÜN KODU]],YMKODLARI!$A$1:$H$383,2,0)," " )</f>
        <v>DAMAK EMZİK GÖVDE</v>
      </c>
      <c r="C136" s="125">
        <v>43885</v>
      </c>
      <c r="D136" s="124">
        <v>6155</v>
      </c>
      <c r="E136" s="124" t="s">
        <v>256</v>
      </c>
    </row>
    <row r="137" spans="1:5">
      <c r="A137" s="124" t="s">
        <v>163</v>
      </c>
      <c r="B137" s="124" t="str">
        <f>IFERROR(VLOOKUP(Tablo8[[#This Row],[ ÜRÜN KODU]],YMKODLARI!$A$1:$H$383,2,0)," " )</f>
        <v>DAMAK EMZİK GÖVDE</v>
      </c>
      <c r="C137" s="125">
        <v>43885</v>
      </c>
      <c r="D137" s="124">
        <v>9000</v>
      </c>
      <c r="E137" s="124" t="s">
        <v>256</v>
      </c>
    </row>
    <row r="138" spans="1:5" ht="15" customHeight="1">
      <c r="A138" s="124" t="s">
        <v>34</v>
      </c>
      <c r="B138" s="124" t="str">
        <f>IFERROR(VLOOKUP(Tablo8[[#This Row],[ ÜRÜN KODU]],YMKODLARI!$A$1:$H$383,2,0)," " )</f>
        <v>BİBERON KLASİK  UC 1 NO</v>
      </c>
      <c r="C138" s="125">
        <v>43886</v>
      </c>
      <c r="D138" s="124">
        <v>9000</v>
      </c>
      <c r="E138" s="124" t="s">
        <v>256</v>
      </c>
    </row>
    <row r="139" spans="1:5" ht="15" customHeight="1">
      <c r="A139" s="124" t="s">
        <v>60</v>
      </c>
      <c r="B139" s="124" t="str">
        <f>IFERROR(VLOOKUP(Tablo8[[#This Row],[ ÜRÜN KODU]],YMKODLARI!$A$1:$H$383,2,0)," " )</f>
        <v>EMZİK SAKLAMA KUTUSU ÜST</v>
      </c>
      <c r="C139" s="125">
        <v>43886</v>
      </c>
      <c r="D139" s="124">
        <v>2094</v>
      </c>
      <c r="E139" s="124" t="s">
        <v>256</v>
      </c>
    </row>
    <row r="140" spans="1:5" ht="15" customHeight="1">
      <c r="A140" s="124" t="s">
        <v>61</v>
      </c>
      <c r="B140" s="124" t="str">
        <f>IFERROR(VLOOKUP(Tablo8[[#This Row],[ ÜRÜN KODU]],YMKODLARI!$A$1:$H$383,2,0)," " )</f>
        <v>EMZİK SAKLAMA KUTUSU ALT</v>
      </c>
      <c r="C140" s="125">
        <v>43886</v>
      </c>
      <c r="D140" s="124">
        <v>2066</v>
      </c>
      <c r="E140" s="124" t="s">
        <v>256</v>
      </c>
    </row>
    <row r="141" spans="1:5">
      <c r="A141" s="124" t="s">
        <v>163</v>
      </c>
      <c r="B141" s="124" t="str">
        <f>IFERROR(VLOOKUP(Tablo8[[#This Row],[ ÜRÜN KODU]],YMKODLARI!$A$1:$H$383,2,0)," " )</f>
        <v>DAMAK EMZİK GÖVDE</v>
      </c>
      <c r="C141" s="125">
        <v>43886</v>
      </c>
      <c r="D141" s="124">
        <v>7280</v>
      </c>
      <c r="E141" s="124" t="s">
        <v>256</v>
      </c>
    </row>
    <row r="142" spans="1:5" ht="15" customHeight="1">
      <c r="A142" s="124" t="s">
        <v>137</v>
      </c>
      <c r="B142" s="124" t="str">
        <f>IFERROR(VLOOKUP(Tablo8[[#This Row],[ ÜRÜN KODU]],YMKODLARI!$A$1:$H$383,2,0)," " )</f>
        <v>DAMAK EMZİK GÖVDE</v>
      </c>
      <c r="C142" s="125">
        <v>43886</v>
      </c>
      <c r="D142" s="124">
        <v>4000</v>
      </c>
      <c r="E142" s="124" t="s">
        <v>256</v>
      </c>
    </row>
    <row r="143" spans="1:5" ht="15" customHeight="1">
      <c r="A143" s="124" t="s">
        <v>32</v>
      </c>
      <c r="B143" s="124" t="str">
        <f>IFERROR(VLOOKUP(Tablo8[[#This Row],[ ÜRÜN KODU]],YMKODLARI!$A$1:$H$383,2,0)," " )</f>
        <v>GENİŞ AĞIZ BİBERON UCU</v>
      </c>
      <c r="C143" s="125">
        <v>43887</v>
      </c>
      <c r="D143" s="124">
        <v>2500</v>
      </c>
      <c r="E143" s="124" t="s">
        <v>256</v>
      </c>
    </row>
    <row r="144" spans="1:5" ht="15" customHeight="1">
      <c r="A144" s="124" t="s">
        <v>34</v>
      </c>
      <c r="B144" s="124" t="str">
        <f>IFERROR(VLOOKUP(Tablo8[[#This Row],[ ÜRÜN KODU]],YMKODLARI!$A$1:$H$383,2,0)," " )</f>
        <v>BİBERON KLASİK  UC 1 NO</v>
      </c>
      <c r="C144" s="125">
        <v>43887</v>
      </c>
      <c r="D144" s="124">
        <v>4000</v>
      </c>
      <c r="E144" s="124" t="s">
        <v>256</v>
      </c>
    </row>
    <row r="145" spans="1:5" ht="15" customHeight="1">
      <c r="A145" s="124" t="s">
        <v>137</v>
      </c>
      <c r="B145" s="124" t="str">
        <f>IFERROR(VLOOKUP(Tablo8[[#This Row],[ ÜRÜN KODU]],YMKODLARI!$A$1:$H$383,2,0)," " )</f>
        <v>DAMAK EMZİK GÖVDE</v>
      </c>
      <c r="C145" s="125">
        <v>43887</v>
      </c>
      <c r="D145" s="124">
        <v>16000</v>
      </c>
      <c r="E145" s="124" t="s">
        <v>256</v>
      </c>
    </row>
    <row r="146" spans="1:5" ht="15" customHeight="1">
      <c r="A146" s="124" t="s">
        <v>32</v>
      </c>
      <c r="B146" s="124" t="str">
        <f>IFERROR(VLOOKUP(Tablo8[[#This Row],[ ÜRÜN KODU]],YMKODLARI!$A$1:$H$383,2,0)," " )</f>
        <v>GENİŞ AĞIZ BİBERON UCU</v>
      </c>
      <c r="C146" s="125">
        <v>43888</v>
      </c>
      <c r="D146" s="124">
        <v>500</v>
      </c>
      <c r="E146" s="124" t="s">
        <v>256</v>
      </c>
    </row>
    <row r="147" spans="1:5" ht="15" customHeight="1">
      <c r="A147" s="124" t="s">
        <v>34</v>
      </c>
      <c r="B147" s="124" t="str">
        <f>IFERROR(VLOOKUP(Tablo8[[#This Row],[ ÜRÜN KODU]],YMKODLARI!$A$1:$H$383,2,0)," " )</f>
        <v>BİBERON KLASİK  UC 1 NO</v>
      </c>
      <c r="C147" s="125">
        <v>43888</v>
      </c>
      <c r="D147" s="124">
        <v>7900</v>
      </c>
      <c r="E147" s="124" t="s">
        <v>256</v>
      </c>
    </row>
    <row r="148" spans="1:5" ht="15" customHeight="1">
      <c r="A148" s="124" t="s">
        <v>50</v>
      </c>
      <c r="B148" s="124" t="str">
        <f>IFERROR(VLOOKUP(Tablo8[[#This Row],[ ÜRÜN KODU]],YMKODLARI!$A$1:$H$383,2,0)," " )</f>
        <v>BURUN POMPASI</v>
      </c>
      <c r="C148" s="125">
        <v>43888</v>
      </c>
      <c r="D148" s="124">
        <v>1200</v>
      </c>
      <c r="E148" s="124" t="s">
        <v>256</v>
      </c>
    </row>
    <row r="149" spans="1:5" ht="15" customHeight="1">
      <c r="A149" s="124" t="s">
        <v>137</v>
      </c>
      <c r="B149" s="124" t="str">
        <f>IFERROR(VLOOKUP(Tablo8[[#This Row],[ ÜRÜN KODU]],YMKODLARI!$A$1:$H$383,2,0)," " )</f>
        <v>DAMAK EMZİK GÖVDE</v>
      </c>
      <c r="C149" s="125">
        <v>43888</v>
      </c>
      <c r="D149" s="124">
        <v>10439</v>
      </c>
      <c r="E149" s="124" t="s">
        <v>256</v>
      </c>
    </row>
    <row r="150" spans="1:5" ht="15" customHeight="1">
      <c r="A150" s="124" t="s">
        <v>32</v>
      </c>
      <c r="B150" s="124" t="str">
        <f>IFERROR(VLOOKUP(Tablo8[[#This Row],[ ÜRÜN KODU]],YMKODLARI!$A$1:$H$383,2,0)," " )</f>
        <v>GENİŞ AĞIZ BİBERON UCU</v>
      </c>
      <c r="C150" s="125">
        <v>43893</v>
      </c>
      <c r="D150" s="124">
        <v>12254</v>
      </c>
      <c r="E150" s="124" t="s">
        <v>257</v>
      </c>
    </row>
    <row r="151" spans="1:5" ht="15" customHeight="1">
      <c r="A151" s="124" t="s">
        <v>42</v>
      </c>
      <c r="B151" s="124" t="str">
        <f>IFERROR(VLOOKUP(Tablo8[[#This Row],[ ÜRÜN KODU]],YMKODLARI!$A$1:$H$383,2,0)," " )</f>
        <v>DAMAK EMZİK UCU 2 NO</v>
      </c>
      <c r="C151" s="125">
        <v>43893</v>
      </c>
      <c r="D151" s="124">
        <v>4000</v>
      </c>
      <c r="E151" s="124" t="s">
        <v>257</v>
      </c>
    </row>
    <row r="152" spans="1:5">
      <c r="A152" s="124" t="s">
        <v>163</v>
      </c>
      <c r="B152" s="124" t="str">
        <f>IFERROR(VLOOKUP(Tablo8[[#This Row],[ ÜRÜN KODU]],YMKODLARI!$A$1:$H$383,2,0)," " )</f>
        <v>DAMAK EMZİK GÖVDE</v>
      </c>
      <c r="C152" s="125">
        <v>43893</v>
      </c>
      <c r="D152" s="124">
        <v>3755</v>
      </c>
      <c r="E152" s="124" t="s">
        <v>257</v>
      </c>
    </row>
    <row r="153" spans="1:5" ht="15" customHeight="1">
      <c r="A153" s="124" t="s">
        <v>50</v>
      </c>
      <c r="B153" s="124" t="str">
        <f>IFERROR(VLOOKUP(Tablo8[[#This Row],[ ÜRÜN KODU]],YMKODLARI!$A$1:$H$383,2,0)," " )</f>
        <v>BURUN POMPASI</v>
      </c>
      <c r="C153" s="125">
        <v>43893</v>
      </c>
      <c r="D153" s="124">
        <v>600</v>
      </c>
      <c r="E153" s="124" t="s">
        <v>257</v>
      </c>
    </row>
    <row r="154" spans="1:5" ht="15" customHeight="1">
      <c r="A154" s="124" t="s">
        <v>42</v>
      </c>
      <c r="B154" s="124" t="str">
        <f>IFERROR(VLOOKUP(Tablo8[[#This Row],[ ÜRÜN KODU]],YMKODLARI!$A$1:$H$383,2,0)," " )</f>
        <v>DAMAK EMZİK UCU 2 NO</v>
      </c>
      <c r="C154" s="125">
        <v>43894</v>
      </c>
      <c r="D154" s="124">
        <v>18000</v>
      </c>
      <c r="E154" s="124" t="s">
        <v>257</v>
      </c>
    </row>
    <row r="155" spans="1:5" ht="15" customHeight="1">
      <c r="A155" s="124" t="s">
        <v>50</v>
      </c>
      <c r="B155" s="124" t="str">
        <f>IFERROR(VLOOKUP(Tablo8[[#This Row],[ ÜRÜN KODU]],YMKODLARI!$A$1:$H$383,2,0)," " )</f>
        <v>BURUN POMPASI</v>
      </c>
      <c r="C155" s="125">
        <v>43894</v>
      </c>
      <c r="D155" s="124">
        <v>492</v>
      </c>
      <c r="E155" s="124" t="s">
        <v>257</v>
      </c>
    </row>
    <row r="156" spans="1:5" ht="15" customHeight="1">
      <c r="A156" s="124" t="s">
        <v>32</v>
      </c>
      <c r="B156" s="124" t="str">
        <f>IFERROR(VLOOKUP(Tablo8[[#This Row],[ ÜRÜN KODU]],YMKODLARI!$A$1:$H$383,2,0)," " )</f>
        <v>GENİŞ AĞIZ BİBERON UCU</v>
      </c>
      <c r="C156" s="125">
        <v>43895</v>
      </c>
      <c r="D156" s="124">
        <v>286</v>
      </c>
      <c r="E156" s="124" t="s">
        <v>257</v>
      </c>
    </row>
    <row r="157" spans="1:5" ht="15" customHeight="1">
      <c r="A157" s="124" t="s">
        <v>42</v>
      </c>
      <c r="B157" s="124" t="str">
        <f>IFERROR(VLOOKUP(Tablo8[[#This Row],[ ÜRÜN KODU]],YMKODLARI!$A$1:$H$383,2,0)," " )</f>
        <v>DAMAK EMZİK UCU 2 NO</v>
      </c>
      <c r="C157" s="125">
        <v>43895</v>
      </c>
      <c r="D157" s="124">
        <v>16000</v>
      </c>
      <c r="E157" s="124" t="s">
        <v>257</v>
      </c>
    </row>
    <row r="158" spans="1:5" ht="15" customHeight="1">
      <c r="A158" s="124" t="s">
        <v>135</v>
      </c>
      <c r="B158" s="124" t="str">
        <f>IFERROR(VLOOKUP(Tablo8[[#This Row],[ ÜRÜN KODU]],YMKODLARI!$A$1:$H$383,2,0)," " )</f>
        <v>KLASİK EMZİK GÖVDE</v>
      </c>
      <c r="C158" s="125">
        <v>43895</v>
      </c>
      <c r="D158" s="124">
        <v>6000</v>
      </c>
      <c r="E158" s="124" t="s">
        <v>257</v>
      </c>
    </row>
    <row r="159" spans="1:5" ht="15" customHeight="1">
      <c r="A159" s="124" t="s">
        <v>34</v>
      </c>
      <c r="B159" s="124" t="str">
        <f>IFERROR(VLOOKUP(Tablo8[[#This Row],[ ÜRÜN KODU]],YMKODLARI!$A$1:$H$383,2,0)," " )</f>
        <v>BİBERON KLASİK  UC 1 NO</v>
      </c>
      <c r="C159" s="125">
        <v>43900</v>
      </c>
      <c r="D159" s="124">
        <v>10000</v>
      </c>
      <c r="E159" s="124" t="s">
        <v>257</v>
      </c>
    </row>
    <row r="160" spans="1:5" ht="15" customHeight="1">
      <c r="A160" s="124" t="s">
        <v>28</v>
      </c>
      <c r="B160" s="124" t="str">
        <f>IFERROR(VLOOKUP(Tablo8[[#This Row],[ ÜRÜN KODU]],YMKODLARI!$A$1:$H$383,2,0)," " )</f>
        <v>BİBERON KLASİK  UC 2 NO</v>
      </c>
      <c r="C160" s="125">
        <v>43900</v>
      </c>
      <c r="D160" s="124">
        <v>10000</v>
      </c>
      <c r="E160" s="124" t="s">
        <v>257</v>
      </c>
    </row>
    <row r="161" spans="1:5" ht="15" customHeight="1">
      <c r="A161" s="124" t="s">
        <v>42</v>
      </c>
      <c r="B161" s="124" t="str">
        <f>IFERROR(VLOOKUP(Tablo8[[#This Row],[ ÜRÜN KODU]],YMKODLARI!$A$1:$H$383,2,0)," " )</f>
        <v>DAMAK EMZİK UCU 2 NO</v>
      </c>
      <c r="C161" s="125">
        <v>43900</v>
      </c>
      <c r="D161" s="124">
        <v>31220</v>
      </c>
      <c r="E161" s="124" t="s">
        <v>257</v>
      </c>
    </row>
    <row r="162" spans="1:5" ht="15" customHeight="1">
      <c r="A162" s="124" t="s">
        <v>214</v>
      </c>
      <c r="B162" s="124" t="str">
        <f>IFERROR(VLOOKUP(Tablo8[[#This Row],[ ÜRÜN KODU]],YMKODLARI!$A$1:$H$383,2,0)," " )</f>
        <v>EMZİK KAPAĞI</v>
      </c>
      <c r="C162" s="125">
        <v>43900</v>
      </c>
      <c r="D162" s="124">
        <v>6000</v>
      </c>
      <c r="E162" s="124" t="s">
        <v>257</v>
      </c>
    </row>
    <row r="163" spans="1:5" ht="15" customHeight="1">
      <c r="A163" s="124" t="s">
        <v>135</v>
      </c>
      <c r="B163" s="124" t="str">
        <f>IFERROR(VLOOKUP(Tablo8[[#This Row],[ ÜRÜN KODU]],YMKODLARI!$A$1:$H$383,2,0)," " )</f>
        <v>KLASİK EMZİK GÖVDE</v>
      </c>
      <c r="C163" s="125">
        <v>43900</v>
      </c>
      <c r="D163" s="124">
        <v>10650</v>
      </c>
      <c r="E163" s="124" t="s">
        <v>257</v>
      </c>
    </row>
    <row r="164" spans="1:5" ht="15" customHeight="1">
      <c r="A164" s="124" t="s">
        <v>34</v>
      </c>
      <c r="B164" s="124" t="str">
        <f>IFERROR(VLOOKUP(Tablo8[[#This Row],[ ÜRÜN KODU]],YMKODLARI!$A$1:$H$383,2,0)," " )</f>
        <v>BİBERON KLASİK  UC 1 NO</v>
      </c>
      <c r="C164" s="125">
        <v>43901</v>
      </c>
      <c r="D164" s="124">
        <v>17000</v>
      </c>
      <c r="E164" s="124" t="s">
        <v>257</v>
      </c>
    </row>
    <row r="165" spans="1:5" ht="15" customHeight="1">
      <c r="A165" s="124" t="s">
        <v>28</v>
      </c>
      <c r="B165" s="124" t="str">
        <f>IFERROR(VLOOKUP(Tablo8[[#This Row],[ ÜRÜN KODU]],YMKODLARI!$A$1:$H$383,2,0)," " )</f>
        <v>BİBERON KLASİK  UC 2 NO</v>
      </c>
      <c r="C165" s="125">
        <v>43901</v>
      </c>
      <c r="D165" s="124">
        <v>14000</v>
      </c>
      <c r="E165" s="124" t="s">
        <v>257</v>
      </c>
    </row>
    <row r="166" spans="1:5" ht="15" customHeight="1">
      <c r="A166" s="124" t="s">
        <v>39</v>
      </c>
      <c r="B166" s="124" t="str">
        <f>IFERROR(VLOOKUP(Tablo8[[#This Row],[ ÜRÜN KODU]],YMKODLARI!$A$1:$H$383,2,0)," " )</f>
        <v>DAMAK EMZİK UCU 3 NO</v>
      </c>
      <c r="C166" s="125">
        <v>43901</v>
      </c>
      <c r="D166" s="124">
        <v>10000</v>
      </c>
      <c r="E166" s="124" t="s">
        <v>257</v>
      </c>
    </row>
    <row r="167" spans="1:5" ht="15" customHeight="1">
      <c r="A167" s="124" t="s">
        <v>214</v>
      </c>
      <c r="B167" s="124" t="str">
        <f>IFERROR(VLOOKUP(Tablo8[[#This Row],[ ÜRÜN KODU]],YMKODLARI!$A$1:$H$383,2,0)," " )</f>
        <v>EMZİK KAPAĞI</v>
      </c>
      <c r="C167" s="125">
        <v>43901</v>
      </c>
      <c r="D167" s="124">
        <v>4000</v>
      </c>
      <c r="E167" s="124" t="s">
        <v>257</v>
      </c>
    </row>
    <row r="168" spans="1:5" ht="15" customHeight="1">
      <c r="A168" s="124" t="s">
        <v>34</v>
      </c>
      <c r="B168" s="124" t="str">
        <f>IFERROR(VLOOKUP(Tablo8[[#This Row],[ ÜRÜN KODU]],YMKODLARI!$A$1:$H$383,2,0)," " )</f>
        <v>BİBERON KLASİK  UC 1 NO</v>
      </c>
      <c r="C168" s="125">
        <v>43902</v>
      </c>
      <c r="D168" s="124">
        <v>12000</v>
      </c>
      <c r="E168" s="124" t="s">
        <v>257</v>
      </c>
    </row>
    <row r="169" spans="1:5" ht="15" customHeight="1">
      <c r="A169" s="124" t="s">
        <v>28</v>
      </c>
      <c r="B169" s="124" t="str">
        <f>IFERROR(VLOOKUP(Tablo8[[#This Row],[ ÜRÜN KODU]],YMKODLARI!$A$1:$H$383,2,0)," " )</f>
        <v>BİBERON KLASİK  UC 2 NO</v>
      </c>
      <c r="C169" s="125">
        <v>43902</v>
      </c>
      <c r="D169" s="124">
        <v>14000</v>
      </c>
      <c r="E169" s="124" t="s">
        <v>257</v>
      </c>
    </row>
    <row r="170" spans="1:5" ht="15" customHeight="1">
      <c r="A170" s="124" t="s">
        <v>39</v>
      </c>
      <c r="B170" s="124" t="str">
        <f>IFERROR(VLOOKUP(Tablo8[[#This Row],[ ÜRÜN KODU]],YMKODLARI!$A$1:$H$383,2,0)," " )</f>
        <v>DAMAK EMZİK UCU 3 NO</v>
      </c>
      <c r="C170" s="125">
        <v>43902</v>
      </c>
      <c r="D170" s="124">
        <v>2000</v>
      </c>
      <c r="E170" s="124" t="s">
        <v>257</v>
      </c>
    </row>
    <row r="171" spans="1:5" ht="15" customHeight="1">
      <c r="A171" s="124" t="s">
        <v>34</v>
      </c>
      <c r="B171" s="124" t="str">
        <f>IFERROR(VLOOKUP(Tablo8[[#This Row],[ ÜRÜN KODU]],YMKODLARI!$A$1:$H$383,2,0)," " )</f>
        <v>BİBERON KLASİK  UC 1 NO</v>
      </c>
      <c r="C171" s="125">
        <v>43903</v>
      </c>
      <c r="D171" s="124">
        <v>12000</v>
      </c>
      <c r="E171" s="124" t="s">
        <v>257</v>
      </c>
    </row>
    <row r="172" spans="1:5" ht="15" customHeight="1">
      <c r="A172" s="124" t="s">
        <v>28</v>
      </c>
      <c r="B172" s="124" t="str">
        <f>IFERROR(VLOOKUP(Tablo8[[#This Row],[ ÜRÜN KODU]],YMKODLARI!$A$1:$H$383,2,0)," " )</f>
        <v>BİBERON KLASİK  UC 2 NO</v>
      </c>
      <c r="C172" s="125">
        <v>43903</v>
      </c>
      <c r="D172" s="124">
        <v>13000</v>
      </c>
      <c r="E172" s="124" t="s">
        <v>257</v>
      </c>
    </row>
    <row r="173" spans="1:5" ht="15" customHeight="1">
      <c r="A173" s="124" t="s">
        <v>39</v>
      </c>
      <c r="B173" s="124" t="str">
        <f>IFERROR(VLOOKUP(Tablo8[[#This Row],[ ÜRÜN KODU]],YMKODLARI!$A$1:$H$383,2,0)," " )</f>
        <v>DAMAK EMZİK UCU 3 NO</v>
      </c>
      <c r="C173" s="125">
        <v>43903</v>
      </c>
      <c r="D173" s="124">
        <v>4000</v>
      </c>
      <c r="E173" s="124" t="s">
        <v>257</v>
      </c>
    </row>
    <row r="174" spans="1:5" ht="15" customHeight="1">
      <c r="A174" s="124" t="s">
        <v>214</v>
      </c>
      <c r="B174" s="124" t="str">
        <f>IFERROR(VLOOKUP(Tablo8[[#This Row],[ ÜRÜN KODU]],YMKODLARI!$A$1:$H$383,2,0)," " )</f>
        <v>EMZİK KAPAĞI</v>
      </c>
      <c r="C174" s="125">
        <v>43903</v>
      </c>
      <c r="D174" s="124">
        <v>6000</v>
      </c>
      <c r="E174" s="124" t="s">
        <v>257</v>
      </c>
    </row>
    <row r="175" spans="1:5" ht="15" customHeight="1">
      <c r="A175" s="124" t="s">
        <v>34</v>
      </c>
      <c r="B175" s="124" t="str">
        <f>IFERROR(VLOOKUP(Tablo8[[#This Row],[ ÜRÜN KODU]],YMKODLARI!$A$1:$H$383,2,0)," " )</f>
        <v>BİBERON KLASİK  UC 1 NO</v>
      </c>
      <c r="C175" s="125">
        <v>43906</v>
      </c>
      <c r="D175" s="124">
        <v>8000</v>
      </c>
      <c r="E175" s="124" t="s">
        <v>257</v>
      </c>
    </row>
    <row r="176" spans="1:5" ht="15" customHeight="1">
      <c r="A176" s="124" t="s">
        <v>28</v>
      </c>
      <c r="B176" s="124" t="str">
        <f>IFERROR(VLOOKUP(Tablo8[[#This Row],[ ÜRÜN KODU]],YMKODLARI!$A$1:$H$383,2,0)," " )</f>
        <v>BİBERON KLASİK  UC 2 NO</v>
      </c>
      <c r="C176" s="125">
        <v>43906</v>
      </c>
      <c r="D176" s="124">
        <v>11000</v>
      </c>
      <c r="E176" s="124" t="s">
        <v>257</v>
      </c>
    </row>
    <row r="177" spans="1:5" ht="15" customHeight="1">
      <c r="A177" s="124" t="s">
        <v>39</v>
      </c>
      <c r="B177" s="124" t="str">
        <f>IFERROR(VLOOKUP(Tablo8[[#This Row],[ ÜRÜN KODU]],YMKODLARI!$A$1:$H$383,2,0)," " )</f>
        <v>DAMAK EMZİK UCU 3 NO</v>
      </c>
      <c r="C177" s="125">
        <v>43906</v>
      </c>
      <c r="D177" s="124">
        <v>16000</v>
      </c>
      <c r="E177" s="124" t="s">
        <v>257</v>
      </c>
    </row>
    <row r="178" spans="1:5" ht="15" customHeight="1">
      <c r="A178" s="124" t="s">
        <v>214</v>
      </c>
      <c r="B178" s="124" t="str">
        <f>IFERROR(VLOOKUP(Tablo8[[#This Row],[ ÜRÜN KODU]],YMKODLARI!$A$1:$H$383,2,0)," " )</f>
        <v>EMZİK KAPAĞI</v>
      </c>
      <c r="C178" s="125">
        <v>43906</v>
      </c>
      <c r="D178" s="124">
        <v>4110</v>
      </c>
      <c r="E178" s="124" t="s">
        <v>257</v>
      </c>
    </row>
    <row r="179" spans="1:5" ht="15" customHeight="1">
      <c r="A179" s="124" t="s">
        <v>34</v>
      </c>
      <c r="B179" s="124" t="str">
        <f>IFERROR(VLOOKUP(Tablo8[[#This Row],[ ÜRÜN KODU]],YMKODLARI!$A$1:$H$383,2,0)," " )</f>
        <v>BİBERON KLASİK  UC 1 NO</v>
      </c>
      <c r="C179" s="125">
        <v>43908</v>
      </c>
      <c r="D179" s="124">
        <v>18000</v>
      </c>
      <c r="E179" s="124" t="s">
        <v>257</v>
      </c>
    </row>
    <row r="180" spans="1:5" ht="15" customHeight="1">
      <c r="A180" s="124" t="s">
        <v>28</v>
      </c>
      <c r="B180" s="124" t="str">
        <f>IFERROR(VLOOKUP(Tablo8[[#This Row],[ ÜRÜN KODU]],YMKODLARI!$A$1:$H$383,2,0)," " )</f>
        <v>BİBERON KLASİK  UC 2 NO</v>
      </c>
      <c r="C180" s="125">
        <v>43908</v>
      </c>
      <c r="D180" s="124">
        <v>19000</v>
      </c>
      <c r="E180" s="124" t="s">
        <v>257</v>
      </c>
    </row>
    <row r="181" spans="1:5" ht="15" customHeight="1">
      <c r="A181" s="124" t="s">
        <v>39</v>
      </c>
      <c r="B181" s="124" t="str">
        <f>IFERROR(VLOOKUP(Tablo8[[#This Row],[ ÜRÜN KODU]],YMKODLARI!$A$1:$H$383,2,0)," " )</f>
        <v>DAMAK EMZİK UCU 3 NO</v>
      </c>
      <c r="C181" s="125">
        <v>43908</v>
      </c>
      <c r="D181" s="124">
        <v>15000</v>
      </c>
      <c r="E181" s="124" t="s">
        <v>257</v>
      </c>
    </row>
    <row r="182" spans="1:5" ht="15" customHeight="1">
      <c r="A182" s="124" t="s">
        <v>34</v>
      </c>
      <c r="B182" s="124" t="str">
        <f>IFERROR(VLOOKUP(Tablo8[[#This Row],[ ÜRÜN KODU]],YMKODLARI!$A$1:$H$383,2,0)," " )</f>
        <v>BİBERON KLASİK  UC 1 NO</v>
      </c>
      <c r="C182" s="125">
        <v>43910</v>
      </c>
      <c r="D182" s="124">
        <v>23000</v>
      </c>
      <c r="E182" s="124" t="s">
        <v>257</v>
      </c>
    </row>
    <row r="183" spans="1:5" ht="15" customHeight="1">
      <c r="A183" s="124" t="s">
        <v>28</v>
      </c>
      <c r="B183" s="124" t="str">
        <f>IFERROR(VLOOKUP(Tablo8[[#This Row],[ ÜRÜN KODU]],YMKODLARI!$A$1:$H$383,2,0)," " )</f>
        <v>BİBERON KLASİK  UC 2 NO</v>
      </c>
      <c r="C183" s="125">
        <v>43910</v>
      </c>
      <c r="D183" s="124">
        <v>13250</v>
      </c>
      <c r="E183" s="124" t="s">
        <v>257</v>
      </c>
    </row>
    <row r="184" spans="1:5" ht="15" customHeight="1">
      <c r="A184" s="124" t="s">
        <v>57</v>
      </c>
      <c r="B184" s="124" t="str">
        <f>IFERROR(VLOOKUP(Tablo8[[#This Row],[ ÜRÜN KODU]],YMKODLARI!$A$1:$H$383,2,0)," " )</f>
        <v>EMZİK SAKLAMA KUTUSU ÜST</v>
      </c>
      <c r="C184" s="125">
        <v>43910</v>
      </c>
      <c r="D184" s="124">
        <v>515</v>
      </c>
      <c r="E184" s="124" t="s">
        <v>257</v>
      </c>
    </row>
    <row r="185" spans="1:5" ht="15" customHeight="1">
      <c r="A185" s="124" t="s">
        <v>58</v>
      </c>
      <c r="B185" s="124" t="str">
        <f>IFERROR(VLOOKUP(Tablo8[[#This Row],[ ÜRÜN KODU]],YMKODLARI!$A$1:$H$383,2,0)," " )</f>
        <v>EMZİK SAKLAMA KUTUSU ALT</v>
      </c>
      <c r="C185" s="125">
        <v>43910</v>
      </c>
      <c r="D185" s="124">
        <v>515</v>
      </c>
      <c r="E185" s="124" t="s">
        <v>257</v>
      </c>
    </row>
    <row r="186" spans="1:5" ht="15" customHeight="1">
      <c r="A186" s="124" t="s">
        <v>59</v>
      </c>
      <c r="B186" s="124" t="str">
        <f>IFERROR(VLOOKUP(Tablo8[[#This Row],[ ÜRÜN KODU]],YMKODLARI!$A$1:$H$383,2,0)," " )</f>
        <v>EMZİK SAKLAMA KUTUSU ÜST</v>
      </c>
      <c r="C186" s="125">
        <v>43910</v>
      </c>
      <c r="D186" s="124">
        <v>500</v>
      </c>
      <c r="E186" s="124" t="s">
        <v>257</v>
      </c>
    </row>
    <row r="187" spans="1:5" ht="15" customHeight="1">
      <c r="A187" s="124" t="s">
        <v>62</v>
      </c>
      <c r="B187" s="124" t="str">
        <f>IFERROR(VLOOKUP(Tablo8[[#This Row],[ ÜRÜN KODU]],YMKODLARI!$A$1:$H$383,2,0)," " )</f>
        <v>EMZİK SAKLAMA KUTUSU ALT</v>
      </c>
      <c r="C187" s="125">
        <v>43910</v>
      </c>
      <c r="D187" s="124">
        <v>493</v>
      </c>
      <c r="E187" s="124" t="s">
        <v>257</v>
      </c>
    </row>
    <row r="188" spans="1:5" ht="15" customHeight="1">
      <c r="A188" s="124" t="s">
        <v>60</v>
      </c>
      <c r="B188" s="124" t="str">
        <f>IFERROR(VLOOKUP(Tablo8[[#This Row],[ ÜRÜN KODU]],YMKODLARI!$A$1:$H$383,2,0)," " )</f>
        <v>EMZİK SAKLAMA KUTUSU ÜST</v>
      </c>
      <c r="C188" s="125">
        <v>43910</v>
      </c>
      <c r="D188" s="124">
        <v>489</v>
      </c>
      <c r="E188" s="124" t="s">
        <v>257</v>
      </c>
    </row>
    <row r="189" spans="1:5" ht="15" customHeight="1">
      <c r="A189" s="124" t="s">
        <v>60</v>
      </c>
      <c r="B189" s="124" t="str">
        <f>IFERROR(VLOOKUP(Tablo8[[#This Row],[ ÜRÜN KODU]],YMKODLARI!$A$1:$H$383,2,0)," " )</f>
        <v>EMZİK SAKLAMA KUTUSU ÜST</v>
      </c>
      <c r="C189" s="125">
        <v>43910</v>
      </c>
      <c r="D189" s="124">
        <v>486</v>
      </c>
      <c r="E189" s="124" t="s">
        <v>257</v>
      </c>
    </row>
    <row r="190" spans="1:5" ht="15" customHeight="1">
      <c r="A190" s="124" t="s">
        <v>39</v>
      </c>
      <c r="B190" s="124" t="str">
        <f>IFERROR(VLOOKUP(Tablo8[[#This Row],[ ÜRÜN KODU]],YMKODLARI!$A$1:$H$383,2,0)," " )</f>
        <v>DAMAK EMZİK UCU 3 NO</v>
      </c>
      <c r="C190" s="125">
        <v>43910</v>
      </c>
      <c r="D190" s="124">
        <v>19660</v>
      </c>
      <c r="E190" s="124" t="s">
        <v>257</v>
      </c>
    </row>
    <row r="191" spans="1:5" ht="15" customHeight="1">
      <c r="A191" s="124" t="s">
        <v>42</v>
      </c>
      <c r="B191" s="124" t="str">
        <f>IFERROR(VLOOKUP(Tablo8[[#This Row],[ ÜRÜN KODU]],YMKODLARI!$A$1:$H$383,2,0)," " )</f>
        <v>DAMAK EMZİK UCU 2 NO</v>
      </c>
      <c r="C191" s="125">
        <v>43910</v>
      </c>
      <c r="D191" s="124">
        <v>8000</v>
      </c>
      <c r="E191" s="124" t="s">
        <v>257</v>
      </c>
    </row>
    <row r="192" spans="1:5" ht="15" customHeight="1">
      <c r="A192" s="124" t="s">
        <v>34</v>
      </c>
      <c r="B192" s="124" t="str">
        <f>IFERROR(VLOOKUP(Tablo8[[#This Row],[ ÜRÜN KODU]],YMKODLARI!$A$1:$H$383,2,0)," " )</f>
        <v>BİBERON KLASİK  UC 1 NO</v>
      </c>
      <c r="C192" s="125">
        <v>43913</v>
      </c>
      <c r="D192" s="124">
        <v>9000</v>
      </c>
      <c r="E192" s="124" t="s">
        <v>257</v>
      </c>
    </row>
    <row r="193" spans="1:5" ht="15" customHeight="1">
      <c r="A193" s="124" t="s">
        <v>42</v>
      </c>
      <c r="B193" s="124" t="str">
        <f>IFERROR(VLOOKUP(Tablo8[[#This Row],[ ÜRÜN KODU]],YMKODLARI!$A$1:$H$383,2,0)," " )</f>
        <v>DAMAK EMZİK UCU 2 NO</v>
      </c>
      <c r="C193" s="125">
        <v>43913</v>
      </c>
      <c r="D193" s="124">
        <v>12000</v>
      </c>
      <c r="E193" s="124" t="s">
        <v>257</v>
      </c>
    </row>
    <row r="194" spans="1:5" ht="15" customHeight="1">
      <c r="A194" s="124" t="s">
        <v>53</v>
      </c>
      <c r="B194" s="124" t="str">
        <f>IFERROR(VLOOKUP(Tablo8[[#This Row],[ ÜRÜN KODU]],YMKODLARI!$A$1:$H$383,2,0)," " )</f>
        <v xml:space="preserve">SİLİKON MAMA KAŞIĞI UCU </v>
      </c>
      <c r="C194" s="125">
        <v>43913</v>
      </c>
      <c r="D194" s="124">
        <v>3000</v>
      </c>
      <c r="E194" s="124" t="s">
        <v>257</v>
      </c>
    </row>
    <row r="195" spans="1:5" ht="15" customHeight="1">
      <c r="A195" s="124" t="s">
        <v>34</v>
      </c>
      <c r="B195" s="124" t="str">
        <f>IFERROR(VLOOKUP(Tablo8[[#This Row],[ ÜRÜN KODU]],YMKODLARI!$A$1:$H$383,2,0)," " )</f>
        <v>BİBERON KLASİK  UC 1 NO</v>
      </c>
      <c r="C195" s="125">
        <v>43914</v>
      </c>
      <c r="D195" s="124">
        <v>16000</v>
      </c>
      <c r="E195" s="124" t="s">
        <v>257</v>
      </c>
    </row>
    <row r="196" spans="1:5" ht="15" customHeight="1">
      <c r="A196" s="124" t="s">
        <v>42</v>
      </c>
      <c r="B196" s="124" t="str">
        <f>IFERROR(VLOOKUP(Tablo8[[#This Row],[ ÜRÜN KODU]],YMKODLARI!$A$1:$H$383,2,0)," " )</f>
        <v>DAMAK EMZİK UCU 2 NO</v>
      </c>
      <c r="C196" s="125">
        <v>43914</v>
      </c>
      <c r="D196" s="124">
        <v>4000</v>
      </c>
      <c r="E196" s="124" t="s">
        <v>257</v>
      </c>
    </row>
    <row r="197" spans="1:5" ht="15" customHeight="1">
      <c r="A197" s="124" t="s">
        <v>53</v>
      </c>
      <c r="B197" s="124" t="str">
        <f>IFERROR(VLOOKUP(Tablo8[[#This Row],[ ÜRÜN KODU]],YMKODLARI!$A$1:$H$383,2,0)," " )</f>
        <v xml:space="preserve">SİLİKON MAMA KAŞIĞI UCU </v>
      </c>
      <c r="C197" s="125">
        <v>43914</v>
      </c>
      <c r="D197" s="124">
        <v>9000</v>
      </c>
      <c r="E197" s="124" t="s">
        <v>257</v>
      </c>
    </row>
    <row r="198" spans="1:5" ht="15" customHeight="1">
      <c r="A198" s="124" t="s">
        <v>63</v>
      </c>
      <c r="B198" s="124" t="str">
        <f>IFERROR(VLOOKUP(Tablo8[[#This Row],[ ÜRÜN KODU]],YMKODLARI!$A$1:$H$383,2,0)," " )</f>
        <v>DAMAK EMZİK SAP</v>
      </c>
      <c r="C198" s="125">
        <v>43914</v>
      </c>
      <c r="D198" s="124">
        <v>21000</v>
      </c>
      <c r="E198" s="124" t="s">
        <v>257</v>
      </c>
    </row>
    <row r="199" spans="1:5" ht="15" customHeight="1">
      <c r="A199" s="124" t="s">
        <v>34</v>
      </c>
      <c r="B199" s="124" t="str">
        <f>IFERROR(VLOOKUP(Tablo8[[#This Row],[ ÜRÜN KODU]],YMKODLARI!$A$1:$H$383,2,0)," " )</f>
        <v>BİBERON KLASİK  UC 1 NO</v>
      </c>
      <c r="C199" s="125">
        <v>43915</v>
      </c>
      <c r="D199" s="124">
        <v>7000</v>
      </c>
      <c r="E199" s="124" t="s">
        <v>257</v>
      </c>
    </row>
    <row r="200" spans="1:5" ht="15" customHeight="1">
      <c r="A200" s="124" t="s">
        <v>42</v>
      </c>
      <c r="B200" s="124" t="str">
        <f>IFERROR(VLOOKUP(Tablo8[[#This Row],[ ÜRÜN KODU]],YMKODLARI!$A$1:$H$383,2,0)," " )</f>
        <v>DAMAK EMZİK UCU 2 NO</v>
      </c>
      <c r="C200" s="125">
        <v>43915</v>
      </c>
      <c r="D200" s="124">
        <v>6000</v>
      </c>
      <c r="E200" s="124" t="s">
        <v>257</v>
      </c>
    </row>
    <row r="201" spans="1:5" ht="15" customHeight="1">
      <c r="A201" s="124" t="s">
        <v>53</v>
      </c>
      <c r="B201" s="124" t="str">
        <f>IFERROR(VLOOKUP(Tablo8[[#This Row],[ ÜRÜN KODU]],YMKODLARI!$A$1:$H$383,2,0)," " )</f>
        <v xml:space="preserve">SİLİKON MAMA KAŞIĞI UCU </v>
      </c>
      <c r="C201" s="125">
        <v>43915</v>
      </c>
      <c r="D201" s="124">
        <v>7987</v>
      </c>
      <c r="E201" s="124" t="s">
        <v>257</v>
      </c>
    </row>
    <row r="202" spans="1:5" ht="15" customHeight="1">
      <c r="A202" s="124" t="s">
        <v>63</v>
      </c>
      <c r="B202" s="124" t="str">
        <f>IFERROR(VLOOKUP(Tablo8[[#This Row],[ ÜRÜN KODU]],YMKODLARI!$A$1:$H$383,2,0)," " )</f>
        <v>DAMAK EMZİK SAP</v>
      </c>
      <c r="C202" s="125">
        <v>43915</v>
      </c>
      <c r="D202" s="124">
        <v>27000</v>
      </c>
      <c r="E202" s="124" t="s">
        <v>257</v>
      </c>
    </row>
    <row r="203" spans="1:5">
      <c r="A203" s="124" t="s">
        <v>163</v>
      </c>
      <c r="B203" s="124" t="str">
        <f>IFERROR(VLOOKUP(Tablo8[[#This Row],[ ÜRÜN KODU]],YMKODLARI!$A$1:$H$383,2,0)," " )</f>
        <v>DAMAK EMZİK GÖVDE</v>
      </c>
      <c r="C203" s="125">
        <v>43915</v>
      </c>
      <c r="D203" s="124">
        <v>34000</v>
      </c>
      <c r="E203" s="124" t="s">
        <v>257</v>
      </c>
    </row>
    <row r="204" spans="1:5" ht="15" customHeight="1">
      <c r="A204" s="124" t="s">
        <v>215</v>
      </c>
      <c r="B204" s="124" t="str">
        <f>IFERROR(VLOOKUP(Tablo8[[#This Row],[ ÜRÜN KODU]],YMKODLARI!$A$1:$H$383,2,0)," " )</f>
        <v>MAMA KAŞIĞI SAP</v>
      </c>
      <c r="C204" s="125">
        <v>43915</v>
      </c>
      <c r="D204" s="124">
        <v>5185</v>
      </c>
      <c r="E204" s="124" t="s">
        <v>257</v>
      </c>
    </row>
    <row r="205" spans="1:5" ht="15" customHeight="1">
      <c r="A205" s="124" t="s">
        <v>217</v>
      </c>
      <c r="B205" s="124" t="str">
        <f>IFERROR(VLOOKUP(Tablo8[[#This Row],[ ÜRÜN KODU]],YMKODLARI!$A$1:$H$383,2,0)," " )</f>
        <v>MAMA KAŞIĞI SAP</v>
      </c>
      <c r="C205" s="125">
        <v>43915</v>
      </c>
      <c r="D205" s="124">
        <v>3108</v>
      </c>
      <c r="E205" s="124" t="s">
        <v>257</v>
      </c>
    </row>
    <row r="206" spans="1:5" ht="15" customHeight="1">
      <c r="A206" s="124" t="s">
        <v>216</v>
      </c>
      <c r="B206" s="124" t="str">
        <f>IFERROR(VLOOKUP(Tablo8[[#This Row],[ ÜRÜN KODU]],YMKODLARI!$A$1:$H$383,2,0)," " )</f>
        <v>MAMA KAŞIĞI SAP</v>
      </c>
      <c r="C206" s="125">
        <v>43915</v>
      </c>
      <c r="D206" s="124">
        <v>3000</v>
      </c>
      <c r="E206" s="124" t="s">
        <v>257</v>
      </c>
    </row>
    <row r="207" spans="1:5" ht="15" customHeight="1">
      <c r="A207" s="124" t="s">
        <v>34</v>
      </c>
      <c r="B207" s="124" t="str">
        <f>IFERROR(VLOOKUP(Tablo8[[#This Row],[ ÜRÜN KODU]],YMKODLARI!$A$1:$H$383,2,0)," " )</f>
        <v>BİBERON KLASİK  UC 1 NO</v>
      </c>
      <c r="C207" s="125">
        <v>43916</v>
      </c>
      <c r="D207" s="124">
        <v>18000</v>
      </c>
      <c r="E207" s="124" t="s">
        <v>257</v>
      </c>
    </row>
    <row r="208" spans="1:5" ht="15" customHeight="1">
      <c r="A208" s="124" t="s">
        <v>63</v>
      </c>
      <c r="B208" s="124" t="str">
        <f>IFERROR(VLOOKUP(Tablo8[[#This Row],[ ÜRÜN KODU]],YMKODLARI!$A$1:$H$383,2,0)," " )</f>
        <v>DAMAK EMZİK SAP</v>
      </c>
      <c r="C208" s="125">
        <v>43916</v>
      </c>
      <c r="D208" s="124">
        <v>35000</v>
      </c>
      <c r="E208" s="124" t="s">
        <v>257</v>
      </c>
    </row>
    <row r="209" spans="1:5">
      <c r="A209" s="124" t="s">
        <v>163</v>
      </c>
      <c r="B209" s="124" t="str">
        <f>IFERROR(VLOOKUP(Tablo8[[#This Row],[ ÜRÜN KODU]],YMKODLARI!$A$1:$H$383,2,0)," " )</f>
        <v>DAMAK EMZİK GÖVDE</v>
      </c>
      <c r="C209" s="125">
        <v>43916</v>
      </c>
      <c r="D209" s="124">
        <v>14000</v>
      </c>
      <c r="E209" s="124" t="s">
        <v>257</v>
      </c>
    </row>
    <row r="210" spans="1:5" ht="15" customHeight="1">
      <c r="A210" s="124" t="s">
        <v>218</v>
      </c>
      <c r="B210" s="124" t="str">
        <f>IFERROR(VLOOKUP(Tablo8[[#This Row],[ ÜRÜN KODU]],YMKODLARI!$A$1:$H$383,2,0)," " )</f>
        <v>GENİŞ AĞIZ BİBERON KULP</v>
      </c>
      <c r="C210" s="125">
        <v>43916</v>
      </c>
      <c r="D210" s="124">
        <v>3060</v>
      </c>
      <c r="E210" s="124" t="s">
        <v>257</v>
      </c>
    </row>
    <row r="211" spans="1:5" ht="15" customHeight="1">
      <c r="A211" s="124" t="s">
        <v>219</v>
      </c>
      <c r="B211" s="124" t="str">
        <f>IFERROR(VLOOKUP(Tablo8[[#This Row],[ ÜRÜN KODU]],YMKODLARI!$A$1:$H$383,2,0)," " )</f>
        <v>GENİŞ AĞIZ BİBERON KULP</v>
      </c>
      <c r="C211" s="125">
        <v>43916</v>
      </c>
      <c r="D211" s="124">
        <v>2976</v>
      </c>
      <c r="E211" s="124" t="s">
        <v>257</v>
      </c>
    </row>
    <row r="212" spans="1:5" ht="15" customHeight="1">
      <c r="A212" s="124" t="s">
        <v>34</v>
      </c>
      <c r="B212" s="124" t="str">
        <f>IFERROR(VLOOKUP(Tablo8[[#This Row],[ ÜRÜN KODU]],YMKODLARI!$A$1:$H$383,2,0)," " )</f>
        <v>BİBERON KLASİK  UC 1 NO</v>
      </c>
      <c r="C212" s="125">
        <v>43920</v>
      </c>
      <c r="D212" s="124">
        <v>9000</v>
      </c>
      <c r="E212" s="124" t="s">
        <v>257</v>
      </c>
    </row>
    <row r="213" spans="1:5" ht="15" customHeight="1">
      <c r="A213" s="124" t="s">
        <v>42</v>
      </c>
      <c r="B213" s="124" t="str">
        <f>IFERROR(VLOOKUP(Tablo8[[#This Row],[ ÜRÜN KODU]],YMKODLARI!$A$1:$H$383,2,0)," " )</f>
        <v>DAMAK EMZİK UCU 2 NO</v>
      </c>
      <c r="C213" s="125">
        <v>43920</v>
      </c>
      <c r="D213" s="124">
        <v>18000</v>
      </c>
      <c r="E213" s="124" t="s">
        <v>257</v>
      </c>
    </row>
    <row r="214" spans="1:5">
      <c r="A214" s="124" t="s">
        <v>163</v>
      </c>
      <c r="B214" s="124" t="str">
        <f>IFERROR(VLOOKUP(Tablo8[[#This Row],[ ÜRÜN KODU]],YMKODLARI!$A$1:$H$383,2,0)," " )</f>
        <v>DAMAK EMZİK GÖVDE</v>
      </c>
      <c r="C214" s="125">
        <v>43920</v>
      </c>
      <c r="D214" s="124">
        <v>28000</v>
      </c>
      <c r="E214" s="124" t="s">
        <v>257</v>
      </c>
    </row>
    <row r="215" spans="1:5" ht="15" customHeight="1">
      <c r="A215" s="124" t="s">
        <v>165</v>
      </c>
      <c r="B215" s="124" t="str">
        <f>IFERROR(VLOOKUP(Tablo8[[#This Row],[ ÜRÜN KODU]],YMKODLARI!$A$1:$H$383,2,0)," " )</f>
        <v>MAMA TABAĞI KAPAĞI</v>
      </c>
      <c r="C215" s="125">
        <v>43920</v>
      </c>
      <c r="D215" s="124">
        <v>423</v>
      </c>
      <c r="E215" s="124" t="s">
        <v>257</v>
      </c>
    </row>
    <row r="216" spans="1:5" ht="15" customHeight="1">
      <c r="A216" s="124" t="s">
        <v>63</v>
      </c>
      <c r="B216" s="124" t="str">
        <f>IFERROR(VLOOKUP(Tablo8[[#This Row],[ ÜRÜN KODU]],YMKODLARI!$A$1:$H$383,2,0)," " )</f>
        <v>DAMAK EMZİK SAP</v>
      </c>
      <c r="C216" s="125">
        <v>43920</v>
      </c>
      <c r="D216" s="124">
        <v>53080</v>
      </c>
      <c r="E216" s="124" t="s">
        <v>257</v>
      </c>
    </row>
    <row r="217" spans="1:5" ht="15" customHeight="1">
      <c r="A217" s="124" t="s">
        <v>130</v>
      </c>
      <c r="B217" s="124" t="str">
        <f>IFERROR(VLOOKUP(Tablo8[[#This Row],[ ÜRÜN KODU]],YMKODLARI!$A$1:$H$383,2,0)," " )</f>
        <v>DAMAK EMZİK TIPA</v>
      </c>
      <c r="C217" s="125">
        <v>43920</v>
      </c>
      <c r="D217" s="124">
        <v>24000</v>
      </c>
      <c r="E217" s="124" t="s">
        <v>257</v>
      </c>
    </row>
    <row r="218" spans="1:5" ht="15" customHeight="1">
      <c r="A218" s="124" t="s">
        <v>34</v>
      </c>
      <c r="B218" s="124" t="str">
        <f>IFERROR(VLOOKUP(Tablo8[[#This Row],[ ÜRÜN KODU]],YMKODLARI!$A$1:$H$383,2,0)," " )</f>
        <v>BİBERON KLASİK  UC 1 NO</v>
      </c>
      <c r="C218" s="125">
        <v>43921</v>
      </c>
      <c r="D218" s="124">
        <v>9000</v>
      </c>
      <c r="E218" s="124" t="s">
        <v>257</v>
      </c>
    </row>
    <row r="219" spans="1:5" ht="15" customHeight="1">
      <c r="A219" s="124" t="s">
        <v>42</v>
      </c>
      <c r="B219" s="124" t="str">
        <f>IFERROR(VLOOKUP(Tablo8[[#This Row],[ ÜRÜN KODU]],YMKODLARI!$A$1:$H$383,2,0)," " )</f>
        <v>DAMAK EMZİK UCU 2 NO</v>
      </c>
      <c r="C219" s="125">
        <v>43921</v>
      </c>
      <c r="D219" s="124">
        <v>18000</v>
      </c>
      <c r="E219" s="124" t="s">
        <v>257</v>
      </c>
    </row>
    <row r="220" spans="1:5">
      <c r="A220" s="124" t="s">
        <v>163</v>
      </c>
      <c r="B220" s="124" t="str">
        <f>IFERROR(VLOOKUP(Tablo8[[#This Row],[ ÜRÜN KODU]],YMKODLARI!$A$1:$H$383,2,0)," " )</f>
        <v>DAMAK EMZİK GÖVDE</v>
      </c>
      <c r="C220" s="125">
        <v>43921</v>
      </c>
      <c r="D220" s="124">
        <v>29000</v>
      </c>
      <c r="E220" s="124" t="s">
        <v>257</v>
      </c>
    </row>
    <row r="221" spans="1:5" ht="15" customHeight="1">
      <c r="A221" s="124" t="s">
        <v>130</v>
      </c>
      <c r="B221" s="124" t="str">
        <f>IFERROR(VLOOKUP(Tablo8[[#This Row],[ ÜRÜN KODU]],YMKODLARI!$A$1:$H$383,2,0)," " )</f>
        <v>DAMAK EMZİK TIPA</v>
      </c>
      <c r="C221" s="125">
        <v>43921</v>
      </c>
      <c r="D221" s="124">
        <v>24000</v>
      </c>
      <c r="E221" s="124" t="s">
        <v>257</v>
      </c>
    </row>
    <row r="222" spans="1:5" ht="15" customHeight="1">
      <c r="A222" s="124" t="s">
        <v>34</v>
      </c>
      <c r="B222" s="124" t="str">
        <f>IFERROR(VLOOKUP(Tablo8[[#This Row],[ ÜRÜN KODU]],YMKODLARI!$A$1:$H$383,2,0)," " )</f>
        <v>BİBERON KLASİK  UC 1 NO</v>
      </c>
      <c r="C222" s="125">
        <v>43922</v>
      </c>
      <c r="D222" s="124">
        <v>14000</v>
      </c>
      <c r="E222" s="124" t="s">
        <v>258</v>
      </c>
    </row>
    <row r="223" spans="1:5" ht="15" customHeight="1">
      <c r="A223" s="124" t="s">
        <v>42</v>
      </c>
      <c r="B223" s="124" t="str">
        <f>IFERROR(VLOOKUP(Tablo8[[#This Row],[ ÜRÜN KODU]],YMKODLARI!$A$1:$H$383,2,0)," " )</f>
        <v>DAMAK EMZİK UCU 2 NO</v>
      </c>
      <c r="C223" s="125">
        <v>43922</v>
      </c>
      <c r="D223" s="124">
        <v>8000</v>
      </c>
      <c r="E223" s="124" t="s">
        <v>258</v>
      </c>
    </row>
    <row r="224" spans="1:5">
      <c r="A224" s="124" t="s">
        <v>163</v>
      </c>
      <c r="B224" s="124" t="str">
        <f>IFERROR(VLOOKUP(Tablo8[[#This Row],[ ÜRÜN KODU]],YMKODLARI!$A$1:$H$383,2,0)," " )</f>
        <v>DAMAK EMZİK GÖVDE</v>
      </c>
      <c r="C224" s="125">
        <v>43922</v>
      </c>
      <c r="D224" s="124">
        <v>26000</v>
      </c>
      <c r="E224" s="124" t="s">
        <v>258</v>
      </c>
    </row>
    <row r="225" spans="1:5" ht="15" customHeight="1">
      <c r="A225" s="124" t="s">
        <v>130</v>
      </c>
      <c r="B225" s="124" t="str">
        <f>IFERROR(VLOOKUP(Tablo8[[#This Row],[ ÜRÜN KODU]],YMKODLARI!$A$1:$H$383,2,0)," " )</f>
        <v>DAMAK EMZİK TIPA</v>
      </c>
      <c r="C225" s="125">
        <v>43922</v>
      </c>
      <c r="D225" s="124">
        <v>27945</v>
      </c>
      <c r="E225" s="124" t="s">
        <v>258</v>
      </c>
    </row>
    <row r="226" spans="1:5" ht="15" customHeight="1">
      <c r="A226" s="124" t="s">
        <v>34</v>
      </c>
      <c r="B226" s="124" t="str">
        <f>IFERROR(VLOOKUP(Tablo8[[#This Row],[ ÜRÜN KODU]],YMKODLARI!$A$1:$H$383,2,0)," " )</f>
        <v>BİBERON KLASİK  UC 1 NO</v>
      </c>
      <c r="C226" s="125">
        <v>43923</v>
      </c>
      <c r="D226" s="124">
        <v>14000</v>
      </c>
      <c r="E226" s="124" t="s">
        <v>258</v>
      </c>
    </row>
    <row r="227" spans="1:5" ht="15" customHeight="1">
      <c r="A227" s="124" t="s">
        <v>42</v>
      </c>
      <c r="B227" s="124" t="str">
        <f>IFERROR(VLOOKUP(Tablo8[[#This Row],[ ÜRÜN KODU]],YMKODLARI!$A$1:$H$383,2,0)," " )</f>
        <v>DAMAK EMZİK UCU 2 NO</v>
      </c>
      <c r="C227" s="125">
        <v>43923</v>
      </c>
      <c r="D227" s="124">
        <v>8000</v>
      </c>
      <c r="E227" s="124" t="s">
        <v>258</v>
      </c>
    </row>
    <row r="228" spans="1:5">
      <c r="A228" s="124" t="s">
        <v>163</v>
      </c>
      <c r="B228" s="124" t="str">
        <f>IFERROR(VLOOKUP(Tablo8[[#This Row],[ ÜRÜN KODU]],YMKODLARI!$A$1:$H$383,2,0)," " )</f>
        <v>DAMAK EMZİK GÖVDE</v>
      </c>
      <c r="C228" s="125">
        <v>43923</v>
      </c>
      <c r="D228" s="124">
        <v>6194</v>
      </c>
      <c r="E228" s="124" t="s">
        <v>258</v>
      </c>
    </row>
    <row r="229" spans="1:5" ht="15" customHeight="1">
      <c r="A229" s="124" t="s">
        <v>124</v>
      </c>
      <c r="B229" s="124" t="str">
        <f>IFERROR(VLOOKUP(Tablo8[[#This Row],[ ÜRÜN KODU]],YMKODLARI!$A$1:$H$383,2,0)," " )</f>
        <v>DAMAK EMZİK GÖVDE</v>
      </c>
      <c r="C229" s="125">
        <v>43923</v>
      </c>
      <c r="D229" s="124">
        <v>21000</v>
      </c>
      <c r="E229" s="124" t="s">
        <v>258</v>
      </c>
    </row>
    <row r="230" spans="1:5" ht="15" customHeight="1">
      <c r="A230" s="124" t="s">
        <v>129</v>
      </c>
      <c r="B230" s="124" t="str">
        <f>IFERROR(VLOOKUP(Tablo8[[#This Row],[ ÜRÜN KODU]],YMKODLARI!$A$1:$H$383,2,0)," " )</f>
        <v>DAMAK EMZİK TIPA</v>
      </c>
      <c r="C230" s="125">
        <v>43923</v>
      </c>
      <c r="D230" s="124">
        <v>20000</v>
      </c>
      <c r="E230" s="124" t="s">
        <v>258</v>
      </c>
    </row>
    <row r="231" spans="1:5" ht="15" customHeight="1">
      <c r="A231" s="124" t="s">
        <v>34</v>
      </c>
      <c r="B231" s="124" t="str">
        <f>IFERROR(VLOOKUP(Tablo8[[#This Row],[ ÜRÜN KODU]],YMKODLARI!$A$1:$H$383,2,0)," " )</f>
        <v>BİBERON KLASİK  UC 1 NO</v>
      </c>
      <c r="C231" s="125">
        <v>43924</v>
      </c>
      <c r="D231" s="124">
        <v>9000</v>
      </c>
      <c r="E231" s="124" t="s">
        <v>258</v>
      </c>
    </row>
    <row r="232" spans="1:5" ht="15" customHeight="1">
      <c r="A232" s="124" t="s">
        <v>64</v>
      </c>
      <c r="B232" s="124" t="str">
        <f>IFERROR(VLOOKUP(Tablo8[[#This Row],[ ÜRÜN KODU]],YMKODLARI!$A$1:$H$383,2,0)," " )</f>
        <v>DAMAK EMZİK SAP</v>
      </c>
      <c r="C232" s="125">
        <v>43924</v>
      </c>
      <c r="D232" s="124">
        <v>26000</v>
      </c>
      <c r="E232" s="124" t="s">
        <v>258</v>
      </c>
    </row>
    <row r="233" spans="1:5" ht="15" customHeight="1">
      <c r="A233" s="124" t="s">
        <v>124</v>
      </c>
      <c r="B233" s="124" t="str">
        <f>IFERROR(VLOOKUP(Tablo8[[#This Row],[ ÜRÜN KODU]],YMKODLARI!$A$1:$H$383,2,0)," " )</f>
        <v>DAMAK EMZİK GÖVDE</v>
      </c>
      <c r="C233" s="125">
        <v>43924</v>
      </c>
      <c r="D233" s="124">
        <v>26000</v>
      </c>
      <c r="E233" s="124" t="s">
        <v>258</v>
      </c>
    </row>
    <row r="234" spans="1:5" ht="15" customHeight="1">
      <c r="A234" s="124" t="s">
        <v>129</v>
      </c>
      <c r="B234" s="124" t="str">
        <f>IFERROR(VLOOKUP(Tablo8[[#This Row],[ ÜRÜN KODU]],YMKODLARI!$A$1:$H$383,2,0)," " )</f>
        <v>DAMAK EMZİK TIPA</v>
      </c>
      <c r="C234" s="125">
        <v>43924</v>
      </c>
      <c r="D234" s="124">
        <v>20000</v>
      </c>
      <c r="E234" s="124" t="s">
        <v>258</v>
      </c>
    </row>
    <row r="235" spans="1:5" ht="15" customHeight="1">
      <c r="A235" s="124" t="s">
        <v>34</v>
      </c>
      <c r="B235" s="124" t="str">
        <f>IFERROR(VLOOKUP(Tablo8[[#This Row],[ ÜRÜN KODU]],YMKODLARI!$A$1:$H$383,2,0)," " )</f>
        <v>BİBERON KLASİK  UC 1 NO</v>
      </c>
      <c r="C235" s="125">
        <v>43927</v>
      </c>
      <c r="D235" s="124">
        <v>10000</v>
      </c>
      <c r="E235" s="124" t="s">
        <v>258</v>
      </c>
    </row>
    <row r="236" spans="1:5" ht="15" customHeight="1">
      <c r="A236" s="124" t="s">
        <v>129</v>
      </c>
      <c r="B236" s="124" t="str">
        <f>IFERROR(VLOOKUP(Tablo8[[#This Row],[ ÜRÜN KODU]],YMKODLARI!$A$1:$H$383,2,0)," " )</f>
        <v>DAMAK EMZİK TIPA</v>
      </c>
      <c r="C236" s="125">
        <v>43927</v>
      </c>
      <c r="D236" s="124">
        <v>24000</v>
      </c>
      <c r="E236" s="124" t="s">
        <v>258</v>
      </c>
    </row>
    <row r="237" spans="1:5" ht="15" customHeight="1">
      <c r="A237" s="124" t="s">
        <v>34</v>
      </c>
      <c r="B237" s="124" t="str">
        <f>IFERROR(VLOOKUP(Tablo8[[#This Row],[ ÜRÜN KODU]],YMKODLARI!$A$1:$H$383,2,0)," " )</f>
        <v>BİBERON KLASİK  UC 1 NO</v>
      </c>
      <c r="C237" s="125">
        <v>43928</v>
      </c>
      <c r="D237" s="124">
        <v>7000</v>
      </c>
      <c r="E237" s="124" t="s">
        <v>258</v>
      </c>
    </row>
    <row r="238" spans="1:5" ht="15" customHeight="1">
      <c r="A238" s="124" t="s">
        <v>42</v>
      </c>
      <c r="B238" s="124" t="str">
        <f>IFERROR(VLOOKUP(Tablo8[[#This Row],[ ÜRÜN KODU]],YMKODLARI!$A$1:$H$383,2,0)," " )</f>
        <v>DAMAK EMZİK UCU 2 NO</v>
      </c>
      <c r="C238" s="125">
        <v>43928</v>
      </c>
      <c r="D238" s="124">
        <v>17000</v>
      </c>
      <c r="E238" s="124" t="s">
        <v>258</v>
      </c>
    </row>
    <row r="239" spans="1:5" ht="15" customHeight="1">
      <c r="A239" s="124" t="s">
        <v>64</v>
      </c>
      <c r="B239" s="124" t="str">
        <f>IFERROR(VLOOKUP(Tablo8[[#This Row],[ ÜRÜN KODU]],YMKODLARI!$A$1:$H$383,2,0)," " )</f>
        <v>DAMAK EMZİK SAP</v>
      </c>
      <c r="C239" s="125">
        <v>43928</v>
      </c>
      <c r="D239" s="124">
        <v>30000</v>
      </c>
      <c r="E239" s="124" t="s">
        <v>258</v>
      </c>
    </row>
    <row r="240" spans="1:5" ht="15" customHeight="1">
      <c r="A240" s="124" t="s">
        <v>124</v>
      </c>
      <c r="B240" s="124" t="str">
        <f>IFERROR(VLOOKUP(Tablo8[[#This Row],[ ÜRÜN KODU]],YMKODLARI!$A$1:$H$383,2,0)," " )</f>
        <v>DAMAK EMZİK GÖVDE</v>
      </c>
      <c r="C240" s="125">
        <v>43928</v>
      </c>
      <c r="D240" s="124">
        <v>23373</v>
      </c>
      <c r="E240" s="124" t="s">
        <v>258</v>
      </c>
    </row>
    <row r="241" spans="1:5" ht="15" customHeight="1">
      <c r="A241" s="124" t="s">
        <v>129</v>
      </c>
      <c r="B241" s="124" t="str">
        <f>IFERROR(VLOOKUP(Tablo8[[#This Row],[ ÜRÜN KODU]],YMKODLARI!$A$1:$H$383,2,0)," " )</f>
        <v>DAMAK EMZİK TIPA</v>
      </c>
      <c r="C241" s="125">
        <v>43928</v>
      </c>
      <c r="D241" s="124">
        <v>5722</v>
      </c>
      <c r="E241" s="124" t="s">
        <v>258</v>
      </c>
    </row>
    <row r="242" spans="1:5" ht="15" customHeight="1">
      <c r="A242" s="124" t="s">
        <v>34</v>
      </c>
      <c r="B242" s="124" t="str">
        <f>IFERROR(VLOOKUP(Tablo8[[#This Row],[ ÜRÜN KODU]],YMKODLARI!$A$1:$H$383,2,0)," " )</f>
        <v>BİBERON KLASİK  UC 1 NO</v>
      </c>
      <c r="C242" s="125">
        <v>43929</v>
      </c>
      <c r="D242" s="124">
        <v>6000</v>
      </c>
      <c r="E242" s="124" t="s">
        <v>258</v>
      </c>
    </row>
    <row r="243" spans="1:5" ht="15" customHeight="1">
      <c r="A243" s="124" t="s">
        <v>26</v>
      </c>
      <c r="B243" s="124" t="str">
        <f>IFERROR(VLOOKUP(Tablo8[[#This Row],[ ÜRÜN KODU]],YMKODLARI!$A$1:$H$383,2,0)," " )</f>
        <v>DAMAK EMZİK UCU 1 NO</v>
      </c>
      <c r="C243" s="125">
        <v>43929</v>
      </c>
      <c r="D243" s="124">
        <v>9000</v>
      </c>
      <c r="E243" s="124" t="s">
        <v>258</v>
      </c>
    </row>
    <row r="244" spans="1:5" ht="15" customHeight="1">
      <c r="A244" s="124" t="s">
        <v>66</v>
      </c>
      <c r="B244" s="124" t="str">
        <f>IFERROR(VLOOKUP(Tablo8[[#This Row],[ ÜRÜN KODU]],YMKODLARI!$A$1:$H$383,2,0)," " )</f>
        <v>DAMAK EMZİK SAP</v>
      </c>
      <c r="C244" s="125">
        <v>43929</v>
      </c>
      <c r="D244" s="124">
        <v>13000</v>
      </c>
      <c r="E244" s="124" t="s">
        <v>258</v>
      </c>
    </row>
    <row r="245" spans="1:5" ht="15" customHeight="1">
      <c r="A245" s="124" t="s">
        <v>126</v>
      </c>
      <c r="B245" s="124" t="str">
        <f>IFERROR(VLOOKUP(Tablo8[[#This Row],[ ÜRÜN KODU]],YMKODLARI!$A$1:$H$383,2,0)," " )</f>
        <v>DAMAK EMZİK GÖVDE</v>
      </c>
      <c r="C245" s="125">
        <v>43929</v>
      </c>
      <c r="D245" s="124">
        <v>7000</v>
      </c>
      <c r="E245" s="124" t="s">
        <v>258</v>
      </c>
    </row>
    <row r="246" spans="1:5" ht="15" customHeight="1">
      <c r="A246" s="124" t="s">
        <v>220</v>
      </c>
      <c r="B246" s="124" t="str">
        <f>IFERROR(VLOOKUP(Tablo8[[#This Row],[ ÜRÜN KODU]],YMKODLARI!$A$1:$H$383,2,0)," " )</f>
        <v>DAMAK EMZİK TIPA</v>
      </c>
      <c r="C246" s="125">
        <v>43929</v>
      </c>
      <c r="D246" s="124">
        <v>13000</v>
      </c>
      <c r="E246" s="124" t="s">
        <v>258</v>
      </c>
    </row>
    <row r="247" spans="1:5" ht="15" customHeight="1">
      <c r="A247" s="124" t="s">
        <v>221</v>
      </c>
      <c r="B247" s="124" t="str">
        <f>IFERROR(VLOOKUP(Tablo8[[#This Row],[ ÜRÜN KODU]],YMKODLARI!$A$1:$H$383,2,0)," " )</f>
        <v>DAMAK EMZİK TIPA</v>
      </c>
      <c r="C247" s="125">
        <v>43929</v>
      </c>
      <c r="D247" s="124">
        <v>3100</v>
      </c>
      <c r="E247" s="124" t="s">
        <v>258</v>
      </c>
    </row>
    <row r="248" spans="1:5" ht="15" customHeight="1">
      <c r="A248" s="124" t="s">
        <v>34</v>
      </c>
      <c r="B248" s="124" t="str">
        <f>IFERROR(VLOOKUP(Tablo8[[#This Row],[ ÜRÜN KODU]],YMKODLARI!$A$1:$H$383,2,0)," " )</f>
        <v>BİBERON KLASİK  UC 1 NO</v>
      </c>
      <c r="C248" s="125">
        <v>43930</v>
      </c>
      <c r="D248" s="124">
        <v>4000</v>
      </c>
      <c r="E248" s="124" t="s">
        <v>258</v>
      </c>
    </row>
    <row r="249" spans="1:5" ht="15" customHeight="1">
      <c r="A249" s="124" t="s">
        <v>26</v>
      </c>
      <c r="B249" s="124" t="str">
        <f>IFERROR(VLOOKUP(Tablo8[[#This Row],[ ÜRÜN KODU]],YMKODLARI!$A$1:$H$383,2,0)," " )</f>
        <v>DAMAK EMZİK UCU 1 NO</v>
      </c>
      <c r="C249" s="125">
        <v>43930</v>
      </c>
      <c r="D249" s="124">
        <v>5000</v>
      </c>
      <c r="E249" s="124" t="s">
        <v>258</v>
      </c>
    </row>
    <row r="250" spans="1:5" ht="15" customHeight="1">
      <c r="A250" s="124" t="s">
        <v>66</v>
      </c>
      <c r="B250" s="124" t="str">
        <f>IFERROR(VLOOKUP(Tablo8[[#This Row],[ ÜRÜN KODU]],YMKODLARI!$A$1:$H$383,2,0)," " )</f>
        <v>DAMAK EMZİK SAP</v>
      </c>
      <c r="C250" s="125">
        <v>43930</v>
      </c>
      <c r="D250" s="124">
        <v>8855</v>
      </c>
      <c r="E250" s="124" t="s">
        <v>258</v>
      </c>
    </row>
    <row r="251" spans="1:5" ht="15" customHeight="1">
      <c r="A251" s="124" t="s">
        <v>64</v>
      </c>
      <c r="B251" s="124" t="str">
        <f>IFERROR(VLOOKUP(Tablo8[[#This Row],[ ÜRÜN KODU]],YMKODLARI!$A$1:$H$383,2,0)," " )</f>
        <v>DAMAK EMZİK SAP</v>
      </c>
      <c r="C251" s="125">
        <v>43930</v>
      </c>
      <c r="D251" s="124">
        <v>10207</v>
      </c>
      <c r="E251" s="124" t="s">
        <v>258</v>
      </c>
    </row>
    <row r="252" spans="1:5" ht="15" customHeight="1">
      <c r="A252" s="124" t="s">
        <v>67</v>
      </c>
      <c r="B252" s="124" t="str">
        <f>IFERROR(VLOOKUP(Tablo8[[#This Row],[ ÜRÜN KODU]],YMKODLARI!$A$1:$H$383,2,0)," " )</f>
        <v>DAMAK EMZİK SAP</v>
      </c>
      <c r="C252" s="125">
        <v>43930</v>
      </c>
      <c r="D252" s="124">
        <v>13000</v>
      </c>
      <c r="E252" s="124" t="s">
        <v>258</v>
      </c>
    </row>
    <row r="253" spans="1:5" ht="15" customHeight="1">
      <c r="A253" s="124" t="s">
        <v>221</v>
      </c>
      <c r="B253" s="124" t="str">
        <f>IFERROR(VLOOKUP(Tablo8[[#This Row],[ ÜRÜN KODU]],YMKODLARI!$A$1:$H$383,2,0)," " )</f>
        <v>DAMAK EMZİK TIPA</v>
      </c>
      <c r="C253" s="125">
        <v>43930</v>
      </c>
      <c r="D253" s="124">
        <v>11500</v>
      </c>
      <c r="E253" s="124" t="s">
        <v>258</v>
      </c>
    </row>
    <row r="254" spans="1:5" ht="15" customHeight="1">
      <c r="A254" s="124" t="s">
        <v>220</v>
      </c>
      <c r="B254" s="124" t="str">
        <f>IFERROR(VLOOKUP(Tablo8[[#This Row],[ ÜRÜN KODU]],YMKODLARI!$A$1:$H$383,2,0)," " )</f>
        <v>DAMAK EMZİK TIPA</v>
      </c>
      <c r="C254" s="125">
        <v>43930</v>
      </c>
      <c r="D254" s="124">
        <v>1673</v>
      </c>
      <c r="E254" s="124" t="s">
        <v>258</v>
      </c>
    </row>
    <row r="255" spans="1:5" ht="15" customHeight="1">
      <c r="A255" s="124" t="s">
        <v>126</v>
      </c>
      <c r="B255" s="124" t="str">
        <f>IFERROR(VLOOKUP(Tablo8[[#This Row],[ ÜRÜN KODU]],YMKODLARI!$A$1:$H$383,2,0)," " )</f>
        <v>DAMAK EMZİK GÖVDE</v>
      </c>
      <c r="C255" s="125">
        <v>43930</v>
      </c>
      <c r="D255" s="124">
        <v>7376</v>
      </c>
      <c r="E255" s="124" t="s">
        <v>258</v>
      </c>
    </row>
    <row r="256" spans="1:5" ht="15" customHeight="1">
      <c r="A256" s="124" t="s">
        <v>34</v>
      </c>
      <c r="B256" s="124" t="str">
        <f>IFERROR(VLOOKUP(Tablo8[[#This Row],[ ÜRÜN KODU]],YMKODLARI!$A$1:$H$383,2,0)," " )</f>
        <v>BİBERON KLASİK  UC 1 NO</v>
      </c>
      <c r="C256" s="125">
        <v>43931</v>
      </c>
      <c r="D256" s="124">
        <v>12000</v>
      </c>
      <c r="E256" s="124" t="s">
        <v>258</v>
      </c>
    </row>
    <row r="257" spans="1:5" ht="15" customHeight="1">
      <c r="A257" s="124" t="s">
        <v>68</v>
      </c>
      <c r="B257" s="124" t="str">
        <f>IFERROR(VLOOKUP(Tablo8[[#This Row],[ ÜRÜN KODU]],YMKODLARI!$A$1:$H$383,2,0)," " )</f>
        <v>DAMAK EMZİK SAP</v>
      </c>
      <c r="C257" s="125">
        <v>43931</v>
      </c>
      <c r="D257" s="124">
        <v>15000</v>
      </c>
      <c r="E257" s="124" t="s">
        <v>258</v>
      </c>
    </row>
    <row r="258" spans="1:5" ht="15" customHeight="1">
      <c r="A258" s="124" t="s">
        <v>67</v>
      </c>
      <c r="B258" s="124" t="str">
        <f>IFERROR(VLOOKUP(Tablo8[[#This Row],[ ÜRÜN KODU]],YMKODLARI!$A$1:$H$383,2,0)," " )</f>
        <v>DAMAK EMZİK SAP</v>
      </c>
      <c r="C258" s="125">
        <v>43931</v>
      </c>
      <c r="D258" s="124">
        <v>15000</v>
      </c>
      <c r="E258" s="124" t="s">
        <v>258</v>
      </c>
    </row>
    <row r="259" spans="1:5" ht="15" customHeight="1">
      <c r="A259" s="124" t="s">
        <v>125</v>
      </c>
      <c r="B259" s="124" t="str">
        <f>IFERROR(VLOOKUP(Tablo8[[#This Row],[ ÜRÜN KODU]],YMKODLARI!$A$1:$H$383,2,0)," " )</f>
        <v>DAMAK EMZİK GÖVDE</v>
      </c>
      <c r="C259" s="125">
        <v>43931</v>
      </c>
      <c r="D259" s="124">
        <v>13000</v>
      </c>
      <c r="E259" s="124" t="s">
        <v>258</v>
      </c>
    </row>
    <row r="260" spans="1:5" ht="15" customHeight="1">
      <c r="A260" s="124" t="s">
        <v>127</v>
      </c>
      <c r="B260" s="124" t="str">
        <f>IFERROR(VLOOKUP(Tablo8[[#This Row],[ ÜRÜN KODU]],YMKODLARI!$A$1:$H$383,2,0)," " )</f>
        <v>DAMAK EMZİK GÖVDE</v>
      </c>
      <c r="C260" s="125">
        <v>43931</v>
      </c>
      <c r="D260" s="124">
        <v>15436</v>
      </c>
      <c r="E260" s="124" t="s">
        <v>258</v>
      </c>
    </row>
    <row r="261" spans="1:5" ht="15" customHeight="1">
      <c r="A261" s="124" t="s">
        <v>221</v>
      </c>
      <c r="B261" s="124" t="str">
        <f>IFERROR(VLOOKUP(Tablo8[[#This Row],[ ÜRÜN KODU]],YMKODLARI!$A$1:$H$383,2,0)," " )</f>
        <v>DAMAK EMZİK TIPA</v>
      </c>
      <c r="C261" s="125">
        <v>43931</v>
      </c>
      <c r="D261" s="124">
        <v>11000</v>
      </c>
      <c r="E261" s="124" t="s">
        <v>258</v>
      </c>
    </row>
    <row r="262" spans="1:5" ht="15" customHeight="1">
      <c r="A262" s="124" t="s">
        <v>26</v>
      </c>
      <c r="B262" s="124" t="str">
        <f>IFERROR(VLOOKUP(Tablo8[[#This Row],[ ÜRÜN KODU]],YMKODLARI!$A$1:$H$383,2,0)," " )</f>
        <v>DAMAK EMZİK UCU 1 NO</v>
      </c>
      <c r="C262" s="125">
        <v>43934</v>
      </c>
      <c r="D262" s="124">
        <v>12000</v>
      </c>
      <c r="E262" s="124" t="s">
        <v>258</v>
      </c>
    </row>
    <row r="263" spans="1:5" ht="15" customHeight="1">
      <c r="A263" s="124" t="s">
        <v>161</v>
      </c>
      <c r="B263" s="124" t="str">
        <f>IFERROR(VLOOKUP(Tablo8[[#This Row],[ ÜRÜN KODU]],YMKODLARI!$A$1:$H$383,2,0)," " )</f>
        <v>DAMAK EMZİK TIPA</v>
      </c>
      <c r="C263" s="125">
        <v>43934</v>
      </c>
      <c r="D263" s="124">
        <v>7350</v>
      </c>
      <c r="E263" s="124" t="s">
        <v>258</v>
      </c>
    </row>
    <row r="264" spans="1:5" ht="15" customHeight="1">
      <c r="A264" s="124" t="s">
        <v>34</v>
      </c>
      <c r="B264" s="124" t="str">
        <f>IFERROR(VLOOKUP(Tablo8[[#This Row],[ ÜRÜN KODU]],YMKODLARI!$A$1:$H$383,2,0)," " )</f>
        <v>BİBERON KLASİK  UC 1 NO</v>
      </c>
      <c r="C264" s="125">
        <v>43935</v>
      </c>
      <c r="D264" s="124">
        <v>15000</v>
      </c>
      <c r="E264" s="124" t="s">
        <v>258</v>
      </c>
    </row>
    <row r="265" spans="1:5" ht="15" customHeight="1">
      <c r="A265" s="124" t="s">
        <v>26</v>
      </c>
      <c r="B265" s="124" t="str">
        <f>IFERROR(VLOOKUP(Tablo8[[#This Row],[ ÜRÜN KODU]],YMKODLARI!$A$1:$H$383,2,0)," " )</f>
        <v>DAMAK EMZİK UCU 1 NO</v>
      </c>
      <c r="C265" s="125">
        <v>43935</v>
      </c>
      <c r="D265" s="124">
        <v>20000</v>
      </c>
      <c r="E265" s="124" t="s">
        <v>258</v>
      </c>
    </row>
    <row r="266" spans="1:5" ht="15" customHeight="1">
      <c r="A266" s="124" t="s">
        <v>68</v>
      </c>
      <c r="B266" s="124" t="str">
        <f>IFERROR(VLOOKUP(Tablo8[[#This Row],[ ÜRÜN KODU]],YMKODLARI!$A$1:$H$383,2,0)," " )</f>
        <v>DAMAK EMZİK SAP</v>
      </c>
      <c r="C266" s="125">
        <v>43935</v>
      </c>
      <c r="D266" s="124">
        <v>7930</v>
      </c>
      <c r="E266" s="124" t="s">
        <v>258</v>
      </c>
    </row>
    <row r="267" spans="1:5" ht="15" customHeight="1">
      <c r="A267" s="124" t="s">
        <v>56</v>
      </c>
      <c r="B267" s="124" t="str">
        <f>IFERROR(VLOOKUP(Tablo8[[#This Row],[ ÜRÜN KODU]],YMKODLARI!$A$1:$H$383,2,0)," " )</f>
        <v>DAMAK EMZİK SAP</v>
      </c>
      <c r="C267" s="125">
        <v>43935</v>
      </c>
      <c r="D267" s="124">
        <v>13000</v>
      </c>
      <c r="E267" s="124" t="s">
        <v>258</v>
      </c>
    </row>
    <row r="268" spans="1:5" ht="15" customHeight="1">
      <c r="A268" s="124" t="s">
        <v>125</v>
      </c>
      <c r="B268" s="124" t="str">
        <f>IFERROR(VLOOKUP(Tablo8[[#This Row],[ ÜRÜN KODU]],YMKODLARI!$A$1:$H$383,2,0)," " )</f>
        <v>DAMAK EMZİK GÖVDE</v>
      </c>
      <c r="C268" s="125">
        <v>43935</v>
      </c>
      <c r="D268" s="124">
        <v>9180</v>
      </c>
      <c r="E268" s="124" t="s">
        <v>258</v>
      </c>
    </row>
    <row r="269" spans="1:5" ht="15" customHeight="1">
      <c r="A269" s="124" t="s">
        <v>162</v>
      </c>
      <c r="B269" s="124" t="str">
        <f>IFERROR(VLOOKUP(Tablo8[[#This Row],[ ÜRÜN KODU]],YMKODLARI!$A$1:$H$383,2,0)," " )</f>
        <v>DAMAK EMZİK GÖVDE</v>
      </c>
      <c r="C269" s="125">
        <v>43935</v>
      </c>
      <c r="D269" s="124">
        <v>12000</v>
      </c>
      <c r="E269" s="124" t="s">
        <v>258</v>
      </c>
    </row>
    <row r="270" spans="1:5" ht="15" customHeight="1">
      <c r="A270" s="124" t="s">
        <v>131</v>
      </c>
      <c r="B270" s="124" t="str">
        <f>IFERROR(VLOOKUP(Tablo8[[#This Row],[ ÜRÜN KODU]],YMKODLARI!$A$1:$H$383,2,0)," " )</f>
        <v>DAMAK EMZİK TIPA</v>
      </c>
      <c r="C270" s="125">
        <v>43935</v>
      </c>
      <c r="D270" s="124">
        <v>12000</v>
      </c>
      <c r="E270" s="124" t="s">
        <v>258</v>
      </c>
    </row>
    <row r="271" spans="1:5" ht="15" customHeight="1">
      <c r="A271" s="124" t="s">
        <v>161</v>
      </c>
      <c r="B271" s="124" t="str">
        <f>IFERROR(VLOOKUP(Tablo8[[#This Row],[ ÜRÜN KODU]],YMKODLARI!$A$1:$H$383,2,0)," " )</f>
        <v>DAMAK EMZİK TIPA</v>
      </c>
      <c r="C271" s="125">
        <v>43935</v>
      </c>
      <c r="D271" s="124">
        <v>1570</v>
      </c>
      <c r="E271" s="124" t="s">
        <v>258</v>
      </c>
    </row>
    <row r="272" spans="1:5" ht="15" customHeight="1">
      <c r="A272" s="124" t="s">
        <v>26</v>
      </c>
      <c r="B272" s="124" t="str">
        <f>IFERROR(VLOOKUP(Tablo8[[#This Row],[ ÜRÜN KODU]],YMKODLARI!$A$1:$H$383,2,0)," " )</f>
        <v>DAMAK EMZİK UCU 1 NO</v>
      </c>
      <c r="C272" s="125">
        <v>43936</v>
      </c>
      <c r="D272" s="124">
        <v>18000</v>
      </c>
      <c r="E272" s="124" t="s">
        <v>258</v>
      </c>
    </row>
    <row r="273" spans="1:5" ht="15" customHeight="1">
      <c r="A273" s="124" t="s">
        <v>131</v>
      </c>
      <c r="B273" s="124" t="str">
        <f>IFERROR(VLOOKUP(Tablo8[[#This Row],[ ÜRÜN KODU]],YMKODLARI!$A$1:$H$383,2,0)," " )</f>
        <v>DAMAK EMZİK TIPA</v>
      </c>
      <c r="C273" s="125">
        <v>43936</v>
      </c>
      <c r="D273" s="124">
        <v>8000</v>
      </c>
      <c r="E273" s="124" t="s">
        <v>258</v>
      </c>
    </row>
    <row r="274" spans="1:5" ht="15" customHeight="1">
      <c r="A274" s="124" t="s">
        <v>34</v>
      </c>
      <c r="B274" s="124" t="str">
        <f>IFERROR(VLOOKUP(Tablo8[[#This Row],[ ÜRÜN KODU]],YMKODLARI!$A$1:$H$383,2,0)," " )</f>
        <v>BİBERON KLASİK  UC 1 NO</v>
      </c>
      <c r="C274" s="125">
        <v>43937</v>
      </c>
      <c r="D274" s="124">
        <v>24000</v>
      </c>
      <c r="E274" s="124" t="s">
        <v>258</v>
      </c>
    </row>
    <row r="275" spans="1:5" ht="15" customHeight="1">
      <c r="A275" s="124" t="s">
        <v>26</v>
      </c>
      <c r="B275" s="124" t="str">
        <f>IFERROR(VLOOKUP(Tablo8[[#This Row],[ ÜRÜN KODU]],YMKODLARI!$A$1:$H$383,2,0)," " )</f>
        <v>DAMAK EMZİK UCU 1 NO</v>
      </c>
      <c r="C275" s="125">
        <v>43937</v>
      </c>
      <c r="D275" s="124">
        <v>13000</v>
      </c>
      <c r="E275" s="124" t="s">
        <v>258</v>
      </c>
    </row>
    <row r="276" spans="1:5" ht="15" customHeight="1">
      <c r="A276" s="124" t="s">
        <v>56</v>
      </c>
      <c r="B276" s="124" t="str">
        <f>IFERROR(VLOOKUP(Tablo8[[#This Row],[ ÜRÜN KODU]],YMKODLARI!$A$1:$H$383,2,0)," " )</f>
        <v>DAMAK EMZİK SAP</v>
      </c>
      <c r="C276" s="125">
        <v>43937</v>
      </c>
      <c r="D276" s="124">
        <v>12332</v>
      </c>
      <c r="E276" s="124" t="s">
        <v>258</v>
      </c>
    </row>
    <row r="277" spans="1:5" ht="15" customHeight="1">
      <c r="A277" s="124" t="s">
        <v>162</v>
      </c>
      <c r="B277" s="124" t="str">
        <f>IFERROR(VLOOKUP(Tablo8[[#This Row],[ ÜRÜN KODU]],YMKODLARI!$A$1:$H$383,2,0)," " )</f>
        <v>DAMAK EMZİK GÖVDE</v>
      </c>
      <c r="C277" s="125">
        <v>43937</v>
      </c>
      <c r="D277" s="124">
        <v>15000</v>
      </c>
      <c r="E277" s="124" t="s">
        <v>258</v>
      </c>
    </row>
    <row r="278" spans="1:5" ht="15" customHeight="1">
      <c r="A278" s="124" t="s">
        <v>127</v>
      </c>
      <c r="B278" s="124" t="str">
        <f>IFERROR(VLOOKUP(Tablo8[[#This Row],[ ÜRÜN KODU]],YMKODLARI!$A$1:$H$383,2,0)," " )</f>
        <v>DAMAK EMZİK GÖVDE</v>
      </c>
      <c r="C278" s="125">
        <v>43937</v>
      </c>
      <c r="D278" s="124">
        <v>3595</v>
      </c>
      <c r="E278" s="124" t="s">
        <v>258</v>
      </c>
    </row>
    <row r="279" spans="1:5" ht="15" customHeight="1">
      <c r="A279" s="124" t="s">
        <v>125</v>
      </c>
      <c r="B279" s="124" t="str">
        <f>IFERROR(VLOOKUP(Tablo8[[#This Row],[ ÜRÜN KODU]],YMKODLARI!$A$1:$H$383,2,0)," " )</f>
        <v>DAMAK EMZİK GÖVDE</v>
      </c>
      <c r="C279" s="125">
        <v>43937</v>
      </c>
      <c r="D279" s="124">
        <v>2000</v>
      </c>
      <c r="E279" s="124" t="s">
        <v>258</v>
      </c>
    </row>
    <row r="280" spans="1:5" ht="15" customHeight="1">
      <c r="A280" s="124" t="s">
        <v>131</v>
      </c>
      <c r="B280" s="124" t="str">
        <f>IFERROR(VLOOKUP(Tablo8[[#This Row],[ ÜRÜN KODU]],YMKODLARI!$A$1:$H$383,2,0)," " )</f>
        <v>DAMAK EMZİK TIPA</v>
      </c>
      <c r="C280" s="125">
        <v>43937</v>
      </c>
      <c r="D280" s="124">
        <v>8000</v>
      </c>
      <c r="E280" s="124" t="s">
        <v>258</v>
      </c>
    </row>
    <row r="281" spans="1:5" ht="15" customHeight="1">
      <c r="A281" s="124" t="s">
        <v>34</v>
      </c>
      <c r="B281" s="124" t="str">
        <f>IFERROR(VLOOKUP(Tablo8[[#This Row],[ ÜRÜN KODU]],YMKODLARI!$A$1:$H$383,2,0)," " )</f>
        <v>BİBERON KLASİK  UC 1 NO</v>
      </c>
      <c r="C281" s="125">
        <v>43938</v>
      </c>
      <c r="D281" s="124">
        <v>12713</v>
      </c>
      <c r="E281" s="124" t="s">
        <v>258</v>
      </c>
    </row>
    <row r="282" spans="1:5" ht="15" customHeight="1">
      <c r="A282" s="124" t="s">
        <v>28</v>
      </c>
      <c r="B282" s="124" t="str">
        <f>IFERROR(VLOOKUP(Tablo8[[#This Row],[ ÜRÜN KODU]],YMKODLARI!$A$1:$H$383,2,0)," " )</f>
        <v>BİBERON KLASİK  UC 2 NO</v>
      </c>
      <c r="C282" s="125">
        <v>43938</v>
      </c>
      <c r="D282" s="124">
        <v>3000</v>
      </c>
      <c r="E282" s="124" t="s">
        <v>258</v>
      </c>
    </row>
    <row r="283" spans="1:5" ht="15" customHeight="1">
      <c r="A283" s="124" t="s">
        <v>26</v>
      </c>
      <c r="B283" s="124" t="str">
        <f>IFERROR(VLOOKUP(Tablo8[[#This Row],[ ÜRÜN KODU]],YMKODLARI!$A$1:$H$383,2,0)," " )</f>
        <v>DAMAK EMZİK UCU 1 NO</v>
      </c>
      <c r="C283" s="125">
        <v>43938</v>
      </c>
      <c r="D283" s="124">
        <v>23000</v>
      </c>
      <c r="E283" s="124" t="s">
        <v>258</v>
      </c>
    </row>
    <row r="284" spans="1:5" ht="15" customHeight="1">
      <c r="A284" s="124" t="s">
        <v>67</v>
      </c>
      <c r="B284" s="124" t="str">
        <f>IFERROR(VLOOKUP(Tablo8[[#This Row],[ ÜRÜN KODU]],YMKODLARI!$A$1:$H$383,2,0)," " )</f>
        <v>DAMAK EMZİK SAP</v>
      </c>
      <c r="C284" s="125">
        <v>43938</v>
      </c>
      <c r="D284" s="124">
        <v>29000</v>
      </c>
      <c r="E284" s="124" t="s">
        <v>258</v>
      </c>
    </row>
    <row r="285" spans="1:5" ht="15" customHeight="1">
      <c r="A285" s="124" t="s">
        <v>68</v>
      </c>
      <c r="B285" s="124" t="str">
        <f>IFERROR(VLOOKUP(Tablo8[[#This Row],[ ÜRÜN KODU]],YMKODLARI!$A$1:$H$383,2,0)," " )</f>
        <v>DAMAK EMZİK SAP</v>
      </c>
      <c r="C285" s="125">
        <v>43938</v>
      </c>
      <c r="D285" s="124">
        <v>11000</v>
      </c>
      <c r="E285" s="124" t="s">
        <v>258</v>
      </c>
    </row>
    <row r="286" spans="1:5" ht="15" customHeight="1">
      <c r="A286" s="124" t="s">
        <v>125</v>
      </c>
      <c r="B286" s="124" t="str">
        <f>IFERROR(VLOOKUP(Tablo8[[#This Row],[ ÜRÜN KODU]],YMKODLARI!$A$1:$H$383,2,0)," " )</f>
        <v>DAMAK EMZİK GÖVDE</v>
      </c>
      <c r="C286" s="125">
        <v>43938</v>
      </c>
      <c r="D286" s="124">
        <v>12000</v>
      </c>
      <c r="E286" s="124" t="s">
        <v>258</v>
      </c>
    </row>
    <row r="287" spans="1:5" ht="15" customHeight="1">
      <c r="A287" s="124" t="s">
        <v>127</v>
      </c>
      <c r="B287" s="124" t="str">
        <f>IFERROR(VLOOKUP(Tablo8[[#This Row],[ ÜRÜN KODU]],YMKODLARI!$A$1:$H$383,2,0)," " )</f>
        <v>DAMAK EMZİK GÖVDE</v>
      </c>
      <c r="C287" s="125">
        <v>43938</v>
      </c>
      <c r="D287" s="124">
        <v>8000</v>
      </c>
      <c r="E287" s="124" t="s">
        <v>258</v>
      </c>
    </row>
    <row r="288" spans="1:5" ht="15" customHeight="1">
      <c r="A288" s="124" t="s">
        <v>131</v>
      </c>
      <c r="B288" s="124" t="str">
        <f>IFERROR(VLOOKUP(Tablo8[[#This Row],[ ÜRÜN KODU]],YMKODLARI!$A$1:$H$383,2,0)," " )</f>
        <v>DAMAK EMZİK TIPA</v>
      </c>
      <c r="C288" s="125">
        <v>43938</v>
      </c>
      <c r="D288" s="124">
        <v>16000</v>
      </c>
      <c r="E288" s="124" t="s">
        <v>258</v>
      </c>
    </row>
    <row r="289" spans="1:5" ht="15" customHeight="1">
      <c r="A289" s="124" t="s">
        <v>26</v>
      </c>
      <c r="B289" s="124" t="str">
        <f>IFERROR(VLOOKUP(Tablo8[[#This Row],[ ÜRÜN KODU]],YMKODLARI!$A$1:$H$383,2,0)," " )</f>
        <v>DAMAK EMZİK UCU 1 NO</v>
      </c>
      <c r="C289" s="125">
        <v>43941</v>
      </c>
      <c r="D289" s="124">
        <v>3000</v>
      </c>
      <c r="E289" s="124" t="s">
        <v>258</v>
      </c>
    </row>
    <row r="290" spans="1:5" ht="15" customHeight="1">
      <c r="A290" s="124" t="s">
        <v>68</v>
      </c>
      <c r="B290" s="124" t="str">
        <f>IFERROR(VLOOKUP(Tablo8[[#This Row],[ ÜRÜN KODU]],YMKODLARI!$A$1:$H$383,2,0)," " )</f>
        <v>DAMAK EMZİK SAP</v>
      </c>
      <c r="C290" s="125">
        <v>43941</v>
      </c>
      <c r="D290" s="124">
        <v>11000</v>
      </c>
      <c r="E290" s="124" t="s">
        <v>258</v>
      </c>
    </row>
    <row r="291" spans="1:5" ht="15" customHeight="1">
      <c r="A291" s="124" t="s">
        <v>125</v>
      </c>
      <c r="B291" s="124" t="str">
        <f>IFERROR(VLOOKUP(Tablo8[[#This Row],[ ÜRÜN KODU]],YMKODLARI!$A$1:$H$383,2,0)," " )</f>
        <v>DAMAK EMZİK GÖVDE</v>
      </c>
      <c r="C291" s="125">
        <v>43941</v>
      </c>
      <c r="D291" s="124">
        <v>15000</v>
      </c>
      <c r="E291" s="124" t="s">
        <v>258</v>
      </c>
    </row>
    <row r="292" spans="1:5" ht="15" customHeight="1">
      <c r="A292" s="124" t="s">
        <v>131</v>
      </c>
      <c r="B292" s="124" t="str">
        <f>IFERROR(VLOOKUP(Tablo8[[#This Row],[ ÜRÜN KODU]],YMKODLARI!$A$1:$H$383,2,0)," " )</f>
        <v>DAMAK EMZİK TIPA</v>
      </c>
      <c r="C292" s="125">
        <v>43941</v>
      </c>
      <c r="D292" s="124">
        <v>3057</v>
      </c>
      <c r="E292" s="124" t="s">
        <v>258</v>
      </c>
    </row>
    <row r="293" spans="1:5" ht="15" customHeight="1">
      <c r="A293" s="124" t="s">
        <v>161</v>
      </c>
      <c r="B293" s="124" t="str">
        <f>IFERROR(VLOOKUP(Tablo8[[#This Row],[ ÜRÜN KODU]],YMKODLARI!$A$1:$H$383,2,0)," " )</f>
        <v>DAMAK EMZİK TIPA</v>
      </c>
      <c r="C293" s="125">
        <v>43941</v>
      </c>
      <c r="D293" s="124">
        <v>4000</v>
      </c>
      <c r="E293" s="124" t="s">
        <v>258</v>
      </c>
    </row>
    <row r="294" spans="1:5" ht="15" customHeight="1">
      <c r="A294" s="124" t="s">
        <v>28</v>
      </c>
      <c r="B294" s="124" t="str">
        <f>IFERROR(VLOOKUP(Tablo8[[#This Row],[ ÜRÜN KODU]],YMKODLARI!$A$1:$H$383,2,0)," " )</f>
        <v>BİBERON KLASİK  UC 2 NO</v>
      </c>
      <c r="C294" s="125">
        <v>43942</v>
      </c>
      <c r="D294" s="124">
        <v>16000</v>
      </c>
      <c r="E294" s="124" t="s">
        <v>258</v>
      </c>
    </row>
    <row r="295" spans="1:5" ht="15" customHeight="1">
      <c r="A295" s="124" t="s">
        <v>26</v>
      </c>
      <c r="B295" s="124" t="str">
        <f>IFERROR(VLOOKUP(Tablo8[[#This Row],[ ÜRÜN KODU]],YMKODLARI!$A$1:$H$383,2,0)," " )</f>
        <v>DAMAK EMZİK UCU 1 NO</v>
      </c>
      <c r="C295" s="125">
        <v>43942</v>
      </c>
      <c r="D295" s="124">
        <v>19000</v>
      </c>
      <c r="E295" s="124" t="s">
        <v>258</v>
      </c>
    </row>
    <row r="296" spans="1:5" ht="15" customHeight="1">
      <c r="A296" s="124" t="s">
        <v>68</v>
      </c>
      <c r="B296" s="124" t="str">
        <f>IFERROR(VLOOKUP(Tablo8[[#This Row],[ ÜRÜN KODU]],YMKODLARI!$A$1:$H$383,2,0)," " )</f>
        <v>DAMAK EMZİK SAP</v>
      </c>
      <c r="C296" s="125">
        <v>43942</v>
      </c>
      <c r="D296" s="124">
        <v>9000</v>
      </c>
      <c r="E296" s="124" t="s">
        <v>258</v>
      </c>
    </row>
    <row r="297" spans="1:5" ht="15" customHeight="1">
      <c r="A297" s="124" t="s">
        <v>66</v>
      </c>
      <c r="B297" s="124" t="str">
        <f>IFERROR(VLOOKUP(Tablo8[[#This Row],[ ÜRÜN KODU]],YMKODLARI!$A$1:$H$383,2,0)," " )</f>
        <v>DAMAK EMZİK SAP</v>
      </c>
      <c r="C297" s="125">
        <v>43942</v>
      </c>
      <c r="D297" s="124">
        <v>14000</v>
      </c>
      <c r="E297" s="124" t="s">
        <v>258</v>
      </c>
    </row>
    <row r="298" spans="1:5" ht="15" customHeight="1">
      <c r="A298" s="124" t="s">
        <v>69</v>
      </c>
      <c r="B298" s="124" t="str">
        <f>IFERROR(VLOOKUP(Tablo8[[#This Row],[ ÜRÜN KODU]],YMKODLARI!$A$1:$H$383,2,0)," " )</f>
        <v>DAMAK EMZİK SAP</v>
      </c>
      <c r="C298" s="125">
        <v>43942</v>
      </c>
      <c r="D298" s="124">
        <v>7055</v>
      </c>
      <c r="E298" s="124" t="s">
        <v>258</v>
      </c>
    </row>
    <row r="299" spans="1:5" ht="15" customHeight="1">
      <c r="A299" s="124" t="s">
        <v>70</v>
      </c>
      <c r="B299" s="124" t="str">
        <f>IFERROR(VLOOKUP(Tablo8[[#This Row],[ ÜRÜN KODU]],YMKODLARI!$A$1:$H$383,2,0)," " )</f>
        <v>DAMAK EMZİK SAP</v>
      </c>
      <c r="C299" s="125">
        <v>43942</v>
      </c>
      <c r="D299" s="124">
        <v>4705</v>
      </c>
      <c r="E299" s="124" t="s">
        <v>258</v>
      </c>
    </row>
    <row r="300" spans="1:5" ht="15" customHeight="1">
      <c r="A300" s="124" t="s">
        <v>125</v>
      </c>
      <c r="B300" s="124" t="str">
        <f>IFERROR(VLOOKUP(Tablo8[[#This Row],[ ÜRÜN KODU]],YMKODLARI!$A$1:$H$383,2,0)," " )</f>
        <v>DAMAK EMZİK GÖVDE</v>
      </c>
      <c r="C300" s="125">
        <v>43942</v>
      </c>
      <c r="D300" s="124">
        <v>9000</v>
      </c>
      <c r="E300" s="124" t="s">
        <v>258</v>
      </c>
    </row>
    <row r="301" spans="1:5" ht="15" customHeight="1">
      <c r="A301" s="124" t="s">
        <v>161</v>
      </c>
      <c r="B301" s="124" t="str">
        <f>IFERROR(VLOOKUP(Tablo8[[#This Row],[ ÜRÜN KODU]],YMKODLARI!$A$1:$H$383,2,0)," " )</f>
        <v>DAMAK EMZİK TIPA</v>
      </c>
      <c r="C301" s="125">
        <v>43942</v>
      </c>
      <c r="D301" s="124">
        <v>6019</v>
      </c>
      <c r="E301" s="124" t="s">
        <v>258</v>
      </c>
    </row>
    <row r="302" spans="1:5" ht="15" customHeight="1">
      <c r="A302" s="124" t="s">
        <v>131</v>
      </c>
      <c r="B302" s="124" t="str">
        <f>IFERROR(VLOOKUP(Tablo8[[#This Row],[ ÜRÜN KODU]],YMKODLARI!$A$1:$H$383,2,0)," " )</f>
        <v>DAMAK EMZİK TIPA</v>
      </c>
      <c r="C302" s="125">
        <v>43942</v>
      </c>
      <c r="D302" s="124">
        <v>4000</v>
      </c>
      <c r="E302" s="124" t="s">
        <v>258</v>
      </c>
    </row>
    <row r="303" spans="1:5" ht="15" customHeight="1">
      <c r="A303" s="124" t="s">
        <v>28</v>
      </c>
      <c r="B303" s="124" t="str">
        <f>IFERROR(VLOOKUP(Tablo8[[#This Row],[ ÜRÜN KODU]],YMKODLARI!$A$1:$H$383,2,0)," " )</f>
        <v>BİBERON KLASİK  UC 2 NO</v>
      </c>
      <c r="C303" s="125">
        <v>43943</v>
      </c>
      <c r="D303" s="124">
        <v>2777</v>
      </c>
      <c r="E303" s="124" t="s">
        <v>258</v>
      </c>
    </row>
    <row r="304" spans="1:5" ht="15" customHeight="1">
      <c r="A304" s="124" t="s">
        <v>26</v>
      </c>
      <c r="B304" s="124" t="str">
        <f>IFERROR(VLOOKUP(Tablo8[[#This Row],[ ÜRÜN KODU]],YMKODLARI!$A$1:$H$383,2,0)," " )</f>
        <v>DAMAK EMZİK UCU 1 NO</v>
      </c>
      <c r="C304" s="125">
        <v>43943</v>
      </c>
      <c r="D304" s="124">
        <v>12000</v>
      </c>
      <c r="E304" s="124" t="s">
        <v>258</v>
      </c>
    </row>
    <row r="305" spans="1:5" ht="15" customHeight="1">
      <c r="A305" s="124" t="s">
        <v>56</v>
      </c>
      <c r="B305" s="124" t="str">
        <f>IFERROR(VLOOKUP(Tablo8[[#This Row],[ ÜRÜN KODU]],YMKODLARI!$A$1:$H$383,2,0)," " )</f>
        <v>DAMAK EMZİK SAP</v>
      </c>
      <c r="C305" s="125">
        <v>43943</v>
      </c>
      <c r="D305" s="124">
        <v>3230</v>
      </c>
      <c r="E305" s="124" t="s">
        <v>258</v>
      </c>
    </row>
    <row r="306" spans="1:5" ht="15" customHeight="1">
      <c r="A306" s="124" t="s">
        <v>129</v>
      </c>
      <c r="B306" s="124" t="str">
        <f>IFERROR(VLOOKUP(Tablo8[[#This Row],[ ÜRÜN KODU]],YMKODLARI!$A$1:$H$383,2,0)," " )</f>
        <v>DAMAK EMZİK TIPA</v>
      </c>
      <c r="C306" s="125">
        <v>43943</v>
      </c>
      <c r="D306" s="124">
        <v>16000</v>
      </c>
      <c r="E306" s="124" t="s">
        <v>258</v>
      </c>
    </row>
    <row r="307" spans="1:5" ht="15" customHeight="1">
      <c r="A307" s="124" t="s">
        <v>129</v>
      </c>
      <c r="B307" s="124" t="str">
        <f>IFERROR(VLOOKUP(Tablo8[[#This Row],[ ÜRÜN KODU]],YMKODLARI!$A$1:$H$383,2,0)," " )</f>
        <v>DAMAK EMZİK TIPA</v>
      </c>
      <c r="C307" s="125">
        <v>43948</v>
      </c>
      <c r="D307" s="124">
        <v>4000</v>
      </c>
      <c r="E307" s="124" t="s">
        <v>258</v>
      </c>
    </row>
    <row r="308" spans="1:5" ht="15" customHeight="1">
      <c r="A308" s="124" t="s">
        <v>34</v>
      </c>
      <c r="B308" s="124" t="str">
        <f>IFERROR(VLOOKUP(Tablo8[[#This Row],[ ÜRÜN KODU]],YMKODLARI!$A$1:$H$383,2,0)," " )</f>
        <v>BİBERON KLASİK  UC 1 NO</v>
      </c>
      <c r="C308" s="125">
        <v>43949</v>
      </c>
      <c r="D308" s="124">
        <v>3000</v>
      </c>
      <c r="E308" s="124" t="s">
        <v>258</v>
      </c>
    </row>
    <row r="309" spans="1:5" ht="15" customHeight="1">
      <c r="A309" s="124" t="s">
        <v>28</v>
      </c>
      <c r="B309" s="124" t="str">
        <f>IFERROR(VLOOKUP(Tablo8[[#This Row],[ ÜRÜN KODU]],YMKODLARI!$A$1:$H$383,2,0)," " )</f>
        <v>BİBERON KLASİK  UC 2 NO</v>
      </c>
      <c r="C309" s="125">
        <v>43949</v>
      </c>
      <c r="D309" s="124">
        <v>1000</v>
      </c>
      <c r="E309" s="124" t="s">
        <v>258</v>
      </c>
    </row>
    <row r="310" spans="1:5" ht="15" customHeight="1">
      <c r="A310" s="124" t="s">
        <v>26</v>
      </c>
      <c r="B310" s="124" t="str">
        <f>IFERROR(VLOOKUP(Tablo8[[#This Row],[ ÜRÜN KODU]],YMKODLARI!$A$1:$H$383,2,0)," " )</f>
        <v>DAMAK EMZİK UCU 1 NO</v>
      </c>
      <c r="C310" s="125">
        <v>43949</v>
      </c>
      <c r="D310" s="124">
        <v>8000</v>
      </c>
      <c r="E310" s="124" t="s">
        <v>258</v>
      </c>
    </row>
    <row r="311" spans="1:5" ht="15" customHeight="1">
      <c r="A311" s="124" t="s">
        <v>126</v>
      </c>
      <c r="B311" s="124" t="str">
        <f>IFERROR(VLOOKUP(Tablo8[[#This Row],[ ÜRÜN KODU]],YMKODLARI!$A$1:$H$383,2,0)," " )</f>
        <v>DAMAK EMZİK GÖVDE</v>
      </c>
      <c r="C311" s="125">
        <v>43949</v>
      </c>
      <c r="D311" s="124">
        <v>8000</v>
      </c>
      <c r="E311" s="124" t="s">
        <v>258</v>
      </c>
    </row>
    <row r="312" spans="1:5" ht="15" customHeight="1">
      <c r="A312" s="124" t="s">
        <v>129</v>
      </c>
      <c r="B312" s="124" t="str">
        <f>IFERROR(VLOOKUP(Tablo8[[#This Row],[ ÜRÜN KODU]],YMKODLARI!$A$1:$H$383,2,0)," " )</f>
        <v>DAMAK EMZİK TIPA</v>
      </c>
      <c r="C312" s="125">
        <v>43949</v>
      </c>
      <c r="D312" s="124">
        <v>8000</v>
      </c>
      <c r="E312" s="124" t="s">
        <v>258</v>
      </c>
    </row>
    <row r="313" spans="1:5" ht="15" customHeight="1">
      <c r="A313" s="124" t="s">
        <v>34</v>
      </c>
      <c r="B313" s="124" t="str">
        <f>IFERROR(VLOOKUP(Tablo8[[#This Row],[ ÜRÜN KODU]],YMKODLARI!$A$1:$H$383,2,0)," " )</f>
        <v>BİBERON KLASİK  UC 1 NO</v>
      </c>
      <c r="C313" s="125">
        <v>43951</v>
      </c>
      <c r="D313" s="124">
        <v>6000</v>
      </c>
      <c r="E313" s="124" t="s">
        <v>258</v>
      </c>
    </row>
    <row r="314" spans="1:5" ht="15" customHeight="1">
      <c r="A314" s="124" t="s">
        <v>26</v>
      </c>
      <c r="B314" s="124" t="str">
        <f>IFERROR(VLOOKUP(Tablo8[[#This Row],[ ÜRÜN KODU]],YMKODLARI!$A$1:$H$383,2,0)," " )</f>
        <v>DAMAK EMZİK UCU 1 NO</v>
      </c>
      <c r="C314" s="125">
        <v>43951</v>
      </c>
      <c r="D314" s="124">
        <v>18000</v>
      </c>
      <c r="E314" s="124" t="s">
        <v>258</v>
      </c>
    </row>
    <row r="315" spans="1:5" ht="15" customHeight="1">
      <c r="A315" s="124" t="s">
        <v>127</v>
      </c>
      <c r="B315" s="124" t="str">
        <f>IFERROR(VLOOKUP(Tablo8[[#This Row],[ ÜRÜN KODU]],YMKODLARI!$A$1:$H$383,2,0)," " )</f>
        <v>DAMAK EMZİK GÖVDE</v>
      </c>
      <c r="C315" s="125">
        <v>43951</v>
      </c>
      <c r="D315" s="124">
        <v>23000</v>
      </c>
      <c r="E315" s="124" t="s">
        <v>258</v>
      </c>
    </row>
    <row r="316" spans="1:5" ht="15" customHeight="1">
      <c r="A316" s="124" t="s">
        <v>126</v>
      </c>
      <c r="B316" s="124" t="str">
        <f>IFERROR(VLOOKUP(Tablo8[[#This Row],[ ÜRÜN KODU]],YMKODLARI!$A$1:$H$383,2,0)," " )</f>
        <v>DAMAK EMZİK GÖVDE</v>
      </c>
      <c r="C316" s="125">
        <v>43951</v>
      </c>
      <c r="D316" s="124">
        <v>8120</v>
      </c>
      <c r="E316" s="124" t="s">
        <v>258</v>
      </c>
    </row>
    <row r="317" spans="1:5" ht="15" customHeight="1">
      <c r="A317" s="124" t="s">
        <v>129</v>
      </c>
      <c r="B317" s="124" t="str">
        <f>IFERROR(VLOOKUP(Tablo8[[#This Row],[ ÜRÜN KODU]],YMKODLARI!$A$1:$H$383,2,0)," " )</f>
        <v>DAMAK EMZİK TIPA</v>
      </c>
      <c r="C317" s="125">
        <v>43951</v>
      </c>
      <c r="D317" s="124">
        <v>20000</v>
      </c>
      <c r="E317" s="124" t="s">
        <v>258</v>
      </c>
    </row>
    <row r="318" spans="1:5" ht="15" customHeight="1">
      <c r="A318" s="124" t="s">
        <v>34</v>
      </c>
      <c r="B318" s="124" t="str">
        <f>IFERROR(VLOOKUP(Tablo8[[#This Row],[ ÜRÜN KODU]],YMKODLARI!$A$1:$H$383,2,0)," " )</f>
        <v>BİBERON KLASİK  UC 1 NO</v>
      </c>
      <c r="C318" s="125">
        <v>43956</v>
      </c>
      <c r="D318" s="124">
        <v>14000</v>
      </c>
      <c r="E318" s="124" t="s">
        <v>259</v>
      </c>
    </row>
    <row r="319" spans="1:5" ht="15" customHeight="1">
      <c r="A319" s="124" t="s">
        <v>26</v>
      </c>
      <c r="B319" s="124" t="str">
        <f>IFERROR(VLOOKUP(Tablo8[[#This Row],[ ÜRÜN KODU]],YMKODLARI!$A$1:$H$383,2,0)," " )</f>
        <v>DAMAK EMZİK UCU 1 NO</v>
      </c>
      <c r="C319" s="125">
        <v>43956</v>
      </c>
      <c r="D319" s="124">
        <v>22000</v>
      </c>
      <c r="E319" s="124" t="s">
        <v>259</v>
      </c>
    </row>
    <row r="320" spans="1:5" ht="15" customHeight="1">
      <c r="A320" s="124" t="s">
        <v>166</v>
      </c>
      <c r="B320" s="124" t="str">
        <f>IFERROR(VLOOKUP(Tablo8[[#This Row],[ ÜRÜN KODU]],YMKODLARI!$A$1:$H$383,2,0)," " )</f>
        <v>DAMAK EMZİK GÖVDE</v>
      </c>
      <c r="C320" s="125">
        <v>43956</v>
      </c>
      <c r="D320" s="124">
        <v>4203</v>
      </c>
      <c r="E320" s="124" t="s">
        <v>259</v>
      </c>
    </row>
    <row r="321" spans="1:5" ht="15" customHeight="1">
      <c r="A321" s="124" t="s">
        <v>127</v>
      </c>
      <c r="B321" s="124" t="str">
        <f>IFERROR(VLOOKUP(Tablo8[[#This Row],[ ÜRÜN KODU]],YMKODLARI!$A$1:$H$383,2,0)," " )</f>
        <v>DAMAK EMZİK GÖVDE</v>
      </c>
      <c r="C321" s="125">
        <v>43956</v>
      </c>
      <c r="D321" s="124">
        <v>11000</v>
      </c>
      <c r="E321" s="124" t="s">
        <v>259</v>
      </c>
    </row>
    <row r="322" spans="1:5" ht="15" customHeight="1">
      <c r="A322" s="124" t="s">
        <v>124</v>
      </c>
      <c r="B322" s="124" t="str">
        <f>IFERROR(VLOOKUP(Tablo8[[#This Row],[ ÜRÜN KODU]],YMKODLARI!$A$1:$H$383,2,0)," " )</f>
        <v>DAMAK EMZİK GÖVDE</v>
      </c>
      <c r="C322" s="125">
        <v>43956</v>
      </c>
      <c r="D322" s="124">
        <v>3995</v>
      </c>
      <c r="E322" s="124" t="s">
        <v>259</v>
      </c>
    </row>
    <row r="323" spans="1:5" ht="15" customHeight="1">
      <c r="A323" s="124" t="s">
        <v>129</v>
      </c>
      <c r="B323" s="124" t="str">
        <f>IFERROR(VLOOKUP(Tablo8[[#This Row],[ ÜRÜN KODU]],YMKODLARI!$A$1:$H$383,2,0)," " )</f>
        <v>DAMAK EMZİK TIPA</v>
      </c>
      <c r="C323" s="125">
        <v>43956</v>
      </c>
      <c r="D323" s="124">
        <v>21602</v>
      </c>
      <c r="E323" s="124" t="s">
        <v>259</v>
      </c>
    </row>
    <row r="324" spans="1:5" ht="15" customHeight="1">
      <c r="A324" s="124" t="s">
        <v>34</v>
      </c>
      <c r="B324" s="124" t="str">
        <f>IFERROR(VLOOKUP(Tablo8[[#This Row],[ ÜRÜN KODU]],YMKODLARI!$A$1:$H$383,2,0)," " )</f>
        <v>BİBERON KLASİK  UC 1 NO</v>
      </c>
      <c r="C324" s="125">
        <v>43957</v>
      </c>
      <c r="D324" s="124">
        <v>18000</v>
      </c>
      <c r="E324" s="124" t="s">
        <v>259</v>
      </c>
    </row>
    <row r="325" spans="1:5" ht="15" customHeight="1">
      <c r="A325" s="124" t="s">
        <v>26</v>
      </c>
      <c r="B325" s="124" t="str">
        <f>IFERROR(VLOOKUP(Tablo8[[#This Row],[ ÜRÜN KODU]],YMKODLARI!$A$1:$H$383,2,0)," " )</f>
        <v>DAMAK EMZİK UCU 1 NO</v>
      </c>
      <c r="C325" s="125">
        <v>43957</v>
      </c>
      <c r="D325" s="124">
        <v>18000</v>
      </c>
      <c r="E325" s="124" t="s">
        <v>259</v>
      </c>
    </row>
    <row r="326" spans="1:5" ht="15" customHeight="1">
      <c r="A326" s="124" t="s">
        <v>167</v>
      </c>
      <c r="B326" s="124" t="str">
        <f>IFERROR(VLOOKUP(Tablo8[[#This Row],[ ÜRÜN KODU]],YMKODLARI!$A$1:$H$383,2,0)," " )</f>
        <v>DAMAK EMZİK GÖVDE</v>
      </c>
      <c r="C326" s="125">
        <v>43957</v>
      </c>
      <c r="D326" s="124">
        <v>668</v>
      </c>
      <c r="E326" s="124" t="s">
        <v>259</v>
      </c>
    </row>
    <row r="327" spans="1:5" ht="15" customHeight="1">
      <c r="A327" s="124" t="s">
        <v>168</v>
      </c>
      <c r="B327" s="124" t="str">
        <f>IFERROR(VLOOKUP(Tablo8[[#This Row],[ ÜRÜN KODU]],YMKODLARI!$A$1:$H$383,2,0)," " )</f>
        <v>DAMAK EMZİK GÖVDE</v>
      </c>
      <c r="C327" s="125">
        <v>43957</v>
      </c>
      <c r="D327" s="124">
        <v>4165</v>
      </c>
      <c r="E327" s="124" t="s">
        <v>259</v>
      </c>
    </row>
    <row r="328" spans="1:5" ht="15" customHeight="1">
      <c r="A328" s="124" t="s">
        <v>221</v>
      </c>
      <c r="B328" s="124" t="str">
        <f>IFERROR(VLOOKUP(Tablo8[[#This Row],[ ÜRÜN KODU]],YMKODLARI!$A$1:$H$383,2,0)," " )</f>
        <v>DAMAK EMZİK TIPA</v>
      </c>
      <c r="C328" s="125">
        <v>43957</v>
      </c>
      <c r="D328" s="124">
        <v>12000</v>
      </c>
      <c r="E328" s="124" t="s">
        <v>259</v>
      </c>
    </row>
    <row r="329" spans="1:5" ht="15" customHeight="1">
      <c r="A329" s="124" t="s">
        <v>34</v>
      </c>
      <c r="B329" s="124" t="str">
        <f>IFERROR(VLOOKUP(Tablo8[[#This Row],[ ÜRÜN KODU]],YMKODLARI!$A$1:$H$383,2,0)," " )</f>
        <v>BİBERON KLASİK  UC 1 NO</v>
      </c>
      <c r="C329" s="125">
        <v>43958</v>
      </c>
      <c r="D329" s="124">
        <v>10000</v>
      </c>
      <c r="E329" s="124" t="s">
        <v>259</v>
      </c>
    </row>
    <row r="330" spans="1:5" ht="15" customHeight="1">
      <c r="A330" s="124" t="s">
        <v>26</v>
      </c>
      <c r="B330" s="124" t="str">
        <f>IFERROR(VLOOKUP(Tablo8[[#This Row],[ ÜRÜN KODU]],YMKODLARI!$A$1:$H$383,2,0)," " )</f>
        <v>DAMAK EMZİK UCU 1 NO</v>
      </c>
      <c r="C330" s="125">
        <v>43958</v>
      </c>
      <c r="D330" s="124">
        <v>16000</v>
      </c>
      <c r="E330" s="124" t="s">
        <v>259</v>
      </c>
    </row>
    <row r="331" spans="1:5" ht="15" customHeight="1">
      <c r="A331" s="124" t="s">
        <v>169</v>
      </c>
      <c r="B331" s="124" t="str">
        <f>IFERROR(VLOOKUP(Tablo8[[#This Row],[ ÜRÜN KODU]],YMKODLARI!$A$1:$H$383,2,0)," " )</f>
        <v>DAMAK EMZİK GÖVDE</v>
      </c>
      <c r="C331" s="125">
        <v>43958</v>
      </c>
      <c r="D331" s="124">
        <v>10000</v>
      </c>
      <c r="E331" s="124" t="s">
        <v>259</v>
      </c>
    </row>
    <row r="332" spans="1:5" ht="15" customHeight="1">
      <c r="A332" s="124" t="s">
        <v>221</v>
      </c>
      <c r="B332" s="124" t="str">
        <f>IFERROR(VLOOKUP(Tablo8[[#This Row],[ ÜRÜN KODU]],YMKODLARI!$A$1:$H$383,2,0)," " )</f>
        <v>DAMAK EMZİK TIPA</v>
      </c>
      <c r="C332" s="125">
        <v>43958</v>
      </c>
      <c r="D332" s="124">
        <v>12000</v>
      </c>
      <c r="E332" s="124" t="s">
        <v>259</v>
      </c>
    </row>
    <row r="333" spans="1:5" ht="15" customHeight="1">
      <c r="A333" s="124" t="s">
        <v>34</v>
      </c>
      <c r="B333" s="124" t="str">
        <f>IFERROR(VLOOKUP(Tablo8[[#This Row],[ ÜRÜN KODU]],YMKODLARI!$A$1:$H$383,2,0)," " )</f>
        <v>BİBERON KLASİK  UC 1 NO</v>
      </c>
      <c r="C333" s="125">
        <v>43959</v>
      </c>
      <c r="D333" s="124">
        <v>15000</v>
      </c>
      <c r="E333" s="124" t="s">
        <v>259</v>
      </c>
    </row>
    <row r="334" spans="1:5" ht="15" customHeight="1">
      <c r="A334" s="124" t="s">
        <v>26</v>
      </c>
      <c r="B334" s="124" t="str">
        <f>IFERROR(VLOOKUP(Tablo8[[#This Row],[ ÜRÜN KODU]],YMKODLARI!$A$1:$H$383,2,0)," " )</f>
        <v>DAMAK EMZİK UCU 1 NO</v>
      </c>
      <c r="C334" s="125">
        <v>43959</v>
      </c>
      <c r="D334" s="124">
        <v>24000</v>
      </c>
      <c r="E334" s="124" t="s">
        <v>259</v>
      </c>
    </row>
    <row r="335" spans="1:5" ht="15" customHeight="1">
      <c r="A335" s="124" t="s">
        <v>166</v>
      </c>
      <c r="B335" s="124" t="str">
        <f>IFERROR(VLOOKUP(Tablo8[[#This Row],[ ÜRÜN KODU]],YMKODLARI!$A$1:$H$383,2,0)," " )</f>
        <v>DAMAK EMZİK GÖVDE</v>
      </c>
      <c r="C335" s="125">
        <v>43959</v>
      </c>
      <c r="D335" s="124">
        <v>12000</v>
      </c>
      <c r="E335" s="124" t="s">
        <v>259</v>
      </c>
    </row>
    <row r="336" spans="1:5" ht="15" customHeight="1">
      <c r="A336" s="124" t="s">
        <v>124</v>
      </c>
      <c r="B336" s="124" t="str">
        <f>IFERROR(VLOOKUP(Tablo8[[#This Row],[ ÜRÜN KODU]],YMKODLARI!$A$1:$H$383,2,0)," " )</f>
        <v>DAMAK EMZİK GÖVDE</v>
      </c>
      <c r="C336" s="125">
        <v>43959</v>
      </c>
      <c r="D336" s="124">
        <v>1387</v>
      </c>
      <c r="E336" s="124" t="s">
        <v>259</v>
      </c>
    </row>
    <row r="337" spans="1:5" ht="15" customHeight="1">
      <c r="A337" s="124" t="s">
        <v>221</v>
      </c>
      <c r="B337" s="124" t="str">
        <f>IFERROR(VLOOKUP(Tablo8[[#This Row],[ ÜRÜN KODU]],YMKODLARI!$A$1:$H$383,2,0)," " )</f>
        <v>DAMAK EMZİK TIPA</v>
      </c>
      <c r="C337" s="125">
        <v>43959</v>
      </c>
      <c r="D337" s="124">
        <v>4583</v>
      </c>
      <c r="E337" s="124" t="s">
        <v>259</v>
      </c>
    </row>
    <row r="338" spans="1:5" ht="15" customHeight="1">
      <c r="A338" s="124" t="s">
        <v>220</v>
      </c>
      <c r="B338" s="124" t="str">
        <f>IFERROR(VLOOKUP(Tablo8[[#This Row],[ ÜRÜN KODU]],YMKODLARI!$A$1:$H$383,2,0)," " )</f>
        <v>DAMAK EMZİK TIPA</v>
      </c>
      <c r="C338" s="125">
        <v>43959</v>
      </c>
      <c r="D338" s="124">
        <v>4000</v>
      </c>
      <c r="E338" s="124" t="s">
        <v>259</v>
      </c>
    </row>
    <row r="339" spans="1:5" ht="15" customHeight="1">
      <c r="A339" s="124" t="s">
        <v>26</v>
      </c>
      <c r="B339" s="124" t="str">
        <f>IFERROR(VLOOKUP(Tablo8[[#This Row],[ ÜRÜN KODU]],YMKODLARI!$A$1:$H$383,2,0)," " )</f>
        <v>DAMAK EMZİK UCU 1 NO</v>
      </c>
      <c r="C339" s="125">
        <v>43962</v>
      </c>
      <c r="D339" s="124">
        <v>19000</v>
      </c>
      <c r="E339" s="124" t="s">
        <v>259</v>
      </c>
    </row>
    <row r="340" spans="1:5" ht="15" customHeight="1">
      <c r="A340" s="124" t="s">
        <v>220</v>
      </c>
      <c r="B340" s="124" t="str">
        <f>IFERROR(VLOOKUP(Tablo8[[#This Row],[ ÜRÜN KODU]],YMKODLARI!$A$1:$H$383,2,0)," " )</f>
        <v>DAMAK EMZİK TIPA</v>
      </c>
      <c r="C340" s="125">
        <v>43962</v>
      </c>
      <c r="D340" s="124">
        <v>8000</v>
      </c>
      <c r="E340" s="124" t="s">
        <v>259</v>
      </c>
    </row>
    <row r="341" spans="1:5" ht="15" customHeight="1">
      <c r="A341" s="124" t="s">
        <v>34</v>
      </c>
      <c r="B341" s="124" t="str">
        <f>IFERROR(VLOOKUP(Tablo8[[#This Row],[ ÜRÜN KODU]],YMKODLARI!$A$1:$H$383,2,0)," " )</f>
        <v>BİBERON KLASİK  UC 1 NO</v>
      </c>
      <c r="C341" s="125">
        <v>43963</v>
      </c>
      <c r="D341" s="124">
        <v>25000</v>
      </c>
      <c r="E341" s="124" t="s">
        <v>259</v>
      </c>
    </row>
    <row r="342" spans="1:5" ht="15" customHeight="1">
      <c r="A342" s="124" t="s">
        <v>26</v>
      </c>
      <c r="B342" s="124" t="str">
        <f>IFERROR(VLOOKUP(Tablo8[[#This Row],[ ÜRÜN KODU]],YMKODLARI!$A$1:$H$383,2,0)," " )</f>
        <v>DAMAK EMZİK UCU 1 NO</v>
      </c>
      <c r="C342" s="125">
        <v>43963</v>
      </c>
      <c r="D342" s="124">
        <v>4000</v>
      </c>
      <c r="E342" s="124" t="s">
        <v>259</v>
      </c>
    </row>
    <row r="343" spans="1:5" ht="15" customHeight="1">
      <c r="A343" s="124" t="s">
        <v>220</v>
      </c>
      <c r="B343" s="124" t="str">
        <f>IFERROR(VLOOKUP(Tablo8[[#This Row],[ ÜRÜN KODU]],YMKODLARI!$A$1:$H$383,2,0)," " )</f>
        <v>DAMAK EMZİK TIPA</v>
      </c>
      <c r="C343" s="125">
        <v>43963</v>
      </c>
      <c r="D343" s="124">
        <v>13312</v>
      </c>
      <c r="E343" s="124" t="s">
        <v>259</v>
      </c>
    </row>
    <row r="344" spans="1:5" ht="15" customHeight="1">
      <c r="A344" s="124" t="s">
        <v>34</v>
      </c>
      <c r="B344" s="124" t="str">
        <f>IFERROR(VLOOKUP(Tablo8[[#This Row],[ ÜRÜN KODU]],YMKODLARI!$A$1:$H$383,2,0)," " )</f>
        <v>BİBERON KLASİK  UC 1 NO</v>
      </c>
      <c r="C344" s="125">
        <v>43964</v>
      </c>
      <c r="D344" s="124">
        <v>18000</v>
      </c>
      <c r="E344" s="124" t="s">
        <v>259</v>
      </c>
    </row>
    <row r="345" spans="1:5" ht="15" customHeight="1">
      <c r="A345" s="124" t="s">
        <v>42</v>
      </c>
      <c r="B345" s="124" t="str">
        <f>IFERROR(VLOOKUP(Tablo8[[#This Row],[ ÜRÜN KODU]],YMKODLARI!$A$1:$H$383,2,0)," " )</f>
        <v>DAMAK EMZİK UCU 2 NO</v>
      </c>
      <c r="C345" s="125">
        <v>43964</v>
      </c>
      <c r="D345" s="124">
        <v>18000</v>
      </c>
      <c r="E345" s="124" t="s">
        <v>259</v>
      </c>
    </row>
    <row r="346" spans="1:5" ht="15" customHeight="1">
      <c r="A346" s="124" t="s">
        <v>170</v>
      </c>
      <c r="B346" s="124" t="str">
        <f>IFERROR(VLOOKUP(Tablo8[[#This Row],[ ÜRÜN KODU]],YMKODLARI!$A$1:$H$383,2,0)," " )</f>
        <v>UYKU EMZİK TIPA</v>
      </c>
      <c r="C346" s="125">
        <v>43964</v>
      </c>
      <c r="D346" s="124">
        <v>10543</v>
      </c>
      <c r="E346" s="124" t="s">
        <v>259</v>
      </c>
    </row>
    <row r="347" spans="1:5" ht="15" customHeight="1">
      <c r="A347" s="124" t="s">
        <v>34</v>
      </c>
      <c r="B347" s="124" t="str">
        <f>IFERROR(VLOOKUP(Tablo8[[#This Row],[ ÜRÜN KODU]],YMKODLARI!$A$1:$H$383,2,0)," " )</f>
        <v>BİBERON KLASİK  UC 1 NO</v>
      </c>
      <c r="C347" s="125">
        <v>43965</v>
      </c>
      <c r="D347" s="124">
        <v>9000</v>
      </c>
      <c r="E347" s="124" t="s">
        <v>259</v>
      </c>
    </row>
    <row r="348" spans="1:5" ht="15" customHeight="1">
      <c r="A348" s="124" t="s">
        <v>42</v>
      </c>
      <c r="B348" s="124" t="str">
        <f>IFERROR(VLOOKUP(Tablo8[[#This Row],[ ÜRÜN KODU]],YMKODLARI!$A$1:$H$383,2,0)," " )</f>
        <v>DAMAK EMZİK UCU 2 NO</v>
      </c>
      <c r="C348" s="125">
        <v>43965</v>
      </c>
      <c r="D348" s="124">
        <v>35000</v>
      </c>
      <c r="E348" s="124" t="s">
        <v>259</v>
      </c>
    </row>
    <row r="349" spans="1:5" ht="15" customHeight="1">
      <c r="A349" s="124" t="s">
        <v>34</v>
      </c>
      <c r="B349" s="124" t="str">
        <f>IFERROR(VLOOKUP(Tablo8[[#This Row],[ ÜRÜN KODU]],YMKODLARI!$A$1:$H$383,2,0)," " )</f>
        <v>BİBERON KLASİK  UC 1 NO</v>
      </c>
      <c r="C349" s="125">
        <v>43966</v>
      </c>
      <c r="D349" s="124">
        <v>25000</v>
      </c>
      <c r="E349" s="124" t="s">
        <v>259</v>
      </c>
    </row>
    <row r="350" spans="1:5" ht="15" customHeight="1">
      <c r="A350" s="124" t="s">
        <v>172</v>
      </c>
      <c r="B350" s="124" t="str">
        <f>IFERROR(VLOOKUP(Tablo8[[#This Row],[ ÜRÜN KODU]],YMKODLARI!$A$1:$H$383,2,0)," " )</f>
        <v>UYKU EMZİK TIPA</v>
      </c>
      <c r="C350" s="125">
        <v>43966</v>
      </c>
      <c r="D350" s="124">
        <v>10175</v>
      </c>
      <c r="E350" s="124" t="s">
        <v>259</v>
      </c>
    </row>
    <row r="351" spans="1:5" ht="15" customHeight="1">
      <c r="A351" s="124" t="s">
        <v>173</v>
      </c>
      <c r="B351" s="124" t="str">
        <f>IFERROR(VLOOKUP(Tablo8[[#This Row],[ ÜRÜN KODU]],YMKODLARI!$A$1:$H$383,2,0)," " )</f>
        <v>UYKU EMZİK TIPA</v>
      </c>
      <c r="C351" s="125">
        <v>43966</v>
      </c>
      <c r="D351" s="124">
        <v>3000</v>
      </c>
      <c r="E351" s="124" t="s">
        <v>259</v>
      </c>
    </row>
    <row r="352" spans="1:5" ht="15" customHeight="1">
      <c r="A352" s="124" t="s">
        <v>42</v>
      </c>
      <c r="B352" s="124" t="str">
        <f>IFERROR(VLOOKUP(Tablo8[[#This Row],[ ÜRÜN KODU]],YMKODLARI!$A$1:$H$383,2,0)," " )</f>
        <v>DAMAK EMZİK UCU 2 NO</v>
      </c>
      <c r="C352" s="125">
        <v>43971</v>
      </c>
      <c r="D352" s="124">
        <v>18000</v>
      </c>
      <c r="E352" s="124" t="s">
        <v>259</v>
      </c>
    </row>
    <row r="353" spans="1:5" ht="15" customHeight="1">
      <c r="A353" s="124" t="s">
        <v>173</v>
      </c>
      <c r="B353" s="124" t="str">
        <f>IFERROR(VLOOKUP(Tablo8[[#This Row],[ ÜRÜN KODU]],YMKODLARI!$A$1:$H$383,2,0)," " )</f>
        <v>UYKU EMZİK TIPA</v>
      </c>
      <c r="C353" s="125">
        <v>43971</v>
      </c>
      <c r="D353" s="124">
        <v>7500</v>
      </c>
      <c r="E353" s="124" t="s">
        <v>259</v>
      </c>
    </row>
    <row r="354" spans="1:5" ht="15" customHeight="1">
      <c r="A354" s="124" t="s">
        <v>34</v>
      </c>
      <c r="B354" s="124" t="str">
        <f>IFERROR(VLOOKUP(Tablo8[[#This Row],[ ÜRÜN KODU]],YMKODLARI!$A$1:$H$383,2,0)," " )</f>
        <v>BİBERON KLASİK  UC 1 NO</v>
      </c>
      <c r="C354" s="125">
        <v>43972</v>
      </c>
      <c r="D354" s="124">
        <v>9000</v>
      </c>
      <c r="E354" s="124" t="s">
        <v>259</v>
      </c>
    </row>
    <row r="355" spans="1:5" ht="15" customHeight="1">
      <c r="A355" s="124" t="s">
        <v>174</v>
      </c>
      <c r="B355" s="124" t="str">
        <f>IFERROR(VLOOKUP(Tablo8[[#This Row],[ ÜRÜN KODU]],YMKODLARI!$A$1:$H$383,2,0)," " )</f>
        <v>UYKU EMZİK TIPA</v>
      </c>
      <c r="C355" s="125">
        <v>43972</v>
      </c>
      <c r="D355" s="124">
        <v>10362</v>
      </c>
      <c r="E355" s="124" t="s">
        <v>259</v>
      </c>
    </row>
    <row r="356" spans="1:5" ht="15" customHeight="1">
      <c r="A356" s="124" t="s">
        <v>102</v>
      </c>
      <c r="B356" s="124" t="str">
        <f>IFERROR(VLOOKUP(Tablo8[[#This Row],[ ÜRÜN KODU]],YMKODLARI!$A$1:$H$383,2,0)," " )</f>
        <v>EMZİK ASKISI KISKAÇ ERKEK</v>
      </c>
      <c r="C356" s="125">
        <v>43972</v>
      </c>
      <c r="D356" s="124">
        <v>4612</v>
      </c>
      <c r="E356" s="124" t="s">
        <v>259</v>
      </c>
    </row>
    <row r="357" spans="1:5" ht="15" customHeight="1">
      <c r="A357" s="124" t="s">
        <v>103</v>
      </c>
      <c r="B357" s="124" t="str">
        <f>IFERROR(VLOOKUP(Tablo8[[#This Row],[ ÜRÜN KODU]],YMKODLARI!$A$1:$H$383,2,0)," " )</f>
        <v>EMZİK ASKISI KISKAÇ DİŞİ</v>
      </c>
      <c r="C357" s="125">
        <v>43972</v>
      </c>
      <c r="D357" s="124">
        <v>4612</v>
      </c>
      <c r="E357" s="124" t="s">
        <v>259</v>
      </c>
    </row>
    <row r="358" spans="1:5" ht="15" customHeight="1">
      <c r="A358" s="124" t="s">
        <v>71</v>
      </c>
      <c r="B358" s="124" t="str">
        <f>IFERROR(VLOOKUP(Tablo8[[#This Row],[ ÜRÜN KODU]],YMKODLARI!$A$1:$H$383,2,0)," " )</f>
        <v>EMZİK ASKISI KISKAÇ ERKEK</v>
      </c>
      <c r="C358" s="125">
        <v>43972</v>
      </c>
      <c r="D358" s="124">
        <v>376</v>
      </c>
      <c r="E358" s="124" t="s">
        <v>259</v>
      </c>
    </row>
    <row r="359" spans="1:5" ht="15" customHeight="1">
      <c r="A359" s="124" t="s">
        <v>72</v>
      </c>
      <c r="B359" s="124" t="str">
        <f>IFERROR(VLOOKUP(Tablo8[[#This Row],[ ÜRÜN KODU]],YMKODLARI!$A$1:$H$383,2,0)," " )</f>
        <v>EMZİK ASKISI KISKAÇ DİŞİ</v>
      </c>
      <c r="C359" s="125">
        <v>43972</v>
      </c>
      <c r="D359" s="124">
        <v>376</v>
      </c>
      <c r="E359" s="124" t="s">
        <v>259</v>
      </c>
    </row>
    <row r="360" spans="1:5" ht="15" customHeight="1">
      <c r="A360" s="124" t="s">
        <v>34</v>
      </c>
      <c r="B360" s="124" t="str">
        <f>IFERROR(VLOOKUP(Tablo8[[#This Row],[ ÜRÜN KODU]],YMKODLARI!$A$1:$H$383,2,0)," " )</f>
        <v>BİBERON KLASİK  UC 1 NO</v>
      </c>
      <c r="C360" s="125">
        <v>43973</v>
      </c>
      <c r="D360" s="124">
        <v>5000</v>
      </c>
      <c r="E360" s="124" t="s">
        <v>259</v>
      </c>
    </row>
    <row r="361" spans="1:5" ht="15" customHeight="1">
      <c r="A361" s="124" t="s">
        <v>42</v>
      </c>
      <c r="B361" s="124" t="str">
        <f>IFERROR(VLOOKUP(Tablo8[[#This Row],[ ÜRÜN KODU]],YMKODLARI!$A$1:$H$383,2,0)," " )</f>
        <v>DAMAK EMZİK UCU 2 NO</v>
      </c>
      <c r="C361" s="125">
        <v>43973</v>
      </c>
      <c r="D361" s="124">
        <v>8000</v>
      </c>
      <c r="E361" s="124" t="s">
        <v>259</v>
      </c>
    </row>
    <row r="362" spans="1:5" ht="15" customHeight="1">
      <c r="A362" s="124" t="s">
        <v>212</v>
      </c>
      <c r="B362" s="124" t="str">
        <f>IFERROR(VLOOKUP(Tablo8[[#This Row],[ ÜRÜN KODU]],YMKODLARI!$A$1:$H$383,2,0)," " )</f>
        <v xml:space="preserve"> BİBERON VİDA</v>
      </c>
      <c r="C362" s="125">
        <v>43973</v>
      </c>
      <c r="D362" s="124">
        <v>4291</v>
      </c>
      <c r="E362" s="124" t="s">
        <v>259</v>
      </c>
    </row>
    <row r="363" spans="1:5" ht="15" customHeight="1">
      <c r="A363" s="124" t="s">
        <v>34</v>
      </c>
      <c r="B363" s="124" t="str">
        <f>IFERROR(VLOOKUP(Tablo8[[#This Row],[ ÜRÜN KODU]],YMKODLARI!$A$1:$H$383,2,0)," " )</f>
        <v>BİBERON KLASİK  UC 1 NO</v>
      </c>
      <c r="C363" s="125">
        <v>43978</v>
      </c>
      <c r="D363" s="124">
        <v>5000</v>
      </c>
      <c r="E363" s="124" t="s">
        <v>259</v>
      </c>
    </row>
    <row r="364" spans="1:5" ht="15" customHeight="1">
      <c r="A364" s="124" t="s">
        <v>42</v>
      </c>
      <c r="B364" s="124" t="str">
        <f>IFERROR(VLOOKUP(Tablo8[[#This Row],[ ÜRÜN KODU]],YMKODLARI!$A$1:$H$383,2,0)," " )</f>
        <v>DAMAK EMZİK UCU 2 NO</v>
      </c>
      <c r="C364" s="125">
        <v>43978</v>
      </c>
      <c r="D364" s="124">
        <v>9000</v>
      </c>
      <c r="E364" s="124" t="s">
        <v>259</v>
      </c>
    </row>
    <row r="365" spans="1:5" ht="15" customHeight="1">
      <c r="A365" s="124" t="s">
        <v>75</v>
      </c>
      <c r="B365" s="124" t="str">
        <f>IFERROR(VLOOKUP(Tablo8[[#This Row],[ ÜRÜN KODU]],YMKODLARI!$A$1:$H$383,2,0)," " )</f>
        <v>MAMA KAŞIĞI TIPA</v>
      </c>
      <c r="C365" s="125">
        <v>43978</v>
      </c>
      <c r="D365" s="124">
        <v>10110</v>
      </c>
      <c r="E365" s="124" t="s">
        <v>259</v>
      </c>
    </row>
    <row r="366" spans="1:5" ht="15" customHeight="1">
      <c r="A366" s="124" t="s">
        <v>210</v>
      </c>
      <c r="B366" s="124" t="str">
        <f>IFERROR(VLOOKUP(Tablo8[[#This Row],[ ÜRÜN KODU]],YMKODLARI!$A$1:$H$383,2,0)," " )</f>
        <v xml:space="preserve"> BİBERON VİDA</v>
      </c>
      <c r="C366" s="125">
        <v>43978</v>
      </c>
      <c r="D366" s="124">
        <v>5050</v>
      </c>
      <c r="E366" s="124" t="s">
        <v>259</v>
      </c>
    </row>
    <row r="367" spans="1:5" ht="15" customHeight="1">
      <c r="A367" s="124" t="s">
        <v>175</v>
      </c>
      <c r="B367" s="124" t="str">
        <f>IFERROR(VLOOKUP(Tablo8[[#This Row],[ ÜRÜN KODU]],YMKODLARI!$A$1:$H$383,2,0)," " )</f>
        <v>UYKU EMZİK TIPA</v>
      </c>
      <c r="C367" s="125">
        <v>43978</v>
      </c>
      <c r="D367" s="124">
        <v>10335</v>
      </c>
      <c r="E367" s="124" t="s">
        <v>259</v>
      </c>
    </row>
    <row r="368" spans="1:5" ht="15" customHeight="1">
      <c r="A368" s="124" t="s">
        <v>34</v>
      </c>
      <c r="B368" s="124" t="str">
        <f>IFERROR(VLOOKUP(Tablo8[[#This Row],[ ÜRÜN KODU]],YMKODLARI!$A$1:$H$383,2,0)," " )</f>
        <v>BİBERON KLASİK  UC 1 NO</v>
      </c>
      <c r="C368" s="125">
        <v>43980</v>
      </c>
      <c r="D368" s="124">
        <v>7000</v>
      </c>
      <c r="E368" s="124" t="s">
        <v>259</v>
      </c>
    </row>
    <row r="369" spans="1:5" ht="15" customHeight="1">
      <c r="A369" s="124" t="s">
        <v>42</v>
      </c>
      <c r="B369" s="124" t="str">
        <f>IFERROR(VLOOKUP(Tablo8[[#This Row],[ ÜRÜN KODU]],YMKODLARI!$A$1:$H$383,2,0)," " )</f>
        <v>DAMAK EMZİK UCU 2 NO</v>
      </c>
      <c r="C369" s="125">
        <v>43980</v>
      </c>
      <c r="D369" s="124">
        <v>4000</v>
      </c>
      <c r="E369" s="124" t="s">
        <v>259</v>
      </c>
    </row>
    <row r="370" spans="1:5" ht="15" customHeight="1">
      <c r="A370" s="124" t="s">
        <v>202</v>
      </c>
      <c r="B370" s="124" t="str">
        <f>IFERROR(VLOOKUP(Tablo8[[#This Row],[ ÜRÜN KODU]],YMKODLARI!$A$1:$H$383,2,0)," " )</f>
        <v xml:space="preserve"> BİBERON VİDA</v>
      </c>
      <c r="C370" s="125">
        <v>43980</v>
      </c>
      <c r="D370" s="124">
        <v>5000</v>
      </c>
      <c r="E370" s="124" t="s">
        <v>259</v>
      </c>
    </row>
    <row r="371" spans="1:5" ht="15" customHeight="1">
      <c r="A371" s="124" t="s">
        <v>176</v>
      </c>
      <c r="B371" s="124" t="str">
        <f>IFERROR(VLOOKUP(Tablo8[[#This Row],[ ÜRÜN KODU]],YMKODLARI!$A$1:$H$383,2,0)," " )</f>
        <v xml:space="preserve">BİBERON KAPAĞI </v>
      </c>
      <c r="C371" s="125">
        <v>43980</v>
      </c>
      <c r="D371" s="124">
        <v>5500</v>
      </c>
      <c r="E371" s="124" t="s">
        <v>259</v>
      </c>
    </row>
    <row r="372" spans="1:5" ht="15" customHeight="1">
      <c r="A372" s="124" t="s">
        <v>32</v>
      </c>
      <c r="B372" s="124" t="str">
        <f>IFERROR(VLOOKUP(Tablo8[[#This Row],[ ÜRÜN KODU]],YMKODLARI!$A$1:$H$383,2,0)," " )</f>
        <v>GENİŞ AĞIZ BİBERON UCU</v>
      </c>
      <c r="C372" s="125">
        <v>43983</v>
      </c>
      <c r="D372" s="124">
        <v>3500</v>
      </c>
      <c r="E372" s="124" t="s">
        <v>260</v>
      </c>
    </row>
    <row r="373" spans="1:5" ht="15" customHeight="1">
      <c r="A373" s="124" t="s">
        <v>42</v>
      </c>
      <c r="B373" s="124" t="str">
        <f>IFERROR(VLOOKUP(Tablo8[[#This Row],[ ÜRÜN KODU]],YMKODLARI!$A$1:$H$383,2,0)," " )</f>
        <v>DAMAK EMZİK UCU 2 NO</v>
      </c>
      <c r="C373" s="125">
        <v>43983</v>
      </c>
      <c r="D373" s="124">
        <v>4000</v>
      </c>
      <c r="E373" s="124" t="s">
        <v>260</v>
      </c>
    </row>
    <row r="374" spans="1:5" ht="15" customHeight="1">
      <c r="A374" s="124" t="s">
        <v>202</v>
      </c>
      <c r="B374" s="124" t="str">
        <f>IFERROR(VLOOKUP(Tablo8[[#This Row],[ ÜRÜN KODU]],YMKODLARI!$A$1:$H$383,2,0)," " )</f>
        <v xml:space="preserve"> BİBERON VİDA</v>
      </c>
      <c r="C374" s="125">
        <v>43983</v>
      </c>
      <c r="D374" s="124">
        <v>2000</v>
      </c>
      <c r="E374" s="124" t="s">
        <v>260</v>
      </c>
    </row>
    <row r="375" spans="1:5" ht="15" customHeight="1">
      <c r="A375" s="124" t="s">
        <v>176</v>
      </c>
      <c r="B375" s="124" t="str">
        <f>IFERROR(VLOOKUP(Tablo8[[#This Row],[ ÜRÜN KODU]],YMKODLARI!$A$1:$H$383,2,0)," " )</f>
        <v xml:space="preserve">BİBERON KAPAĞI </v>
      </c>
      <c r="C375" s="125">
        <v>43983</v>
      </c>
      <c r="D375" s="124">
        <v>8500</v>
      </c>
      <c r="E375" s="124" t="s">
        <v>260</v>
      </c>
    </row>
    <row r="376" spans="1:5" ht="15" customHeight="1">
      <c r="A376" s="124" t="s">
        <v>32</v>
      </c>
      <c r="B376" s="124" t="str">
        <f>IFERROR(VLOOKUP(Tablo8[[#This Row],[ ÜRÜN KODU]],YMKODLARI!$A$1:$H$383,2,0)," " )</f>
        <v>GENİŞ AĞIZ BİBERON UCU</v>
      </c>
      <c r="C376" s="125">
        <v>43984</v>
      </c>
      <c r="D376" s="124">
        <v>9000</v>
      </c>
      <c r="E376" s="124" t="s">
        <v>260</v>
      </c>
    </row>
    <row r="377" spans="1:5" ht="15" customHeight="1">
      <c r="A377" s="124" t="s">
        <v>77</v>
      </c>
      <c r="B377" s="124" t="str">
        <f>IFERROR(VLOOKUP(Tablo8[[#This Row],[ ÜRÜN KODU]],YMKODLARI!$A$1:$H$383,2,0)," " )</f>
        <v>MAMA KAŞIĞI TIPA</v>
      </c>
      <c r="C377" s="125">
        <v>43984</v>
      </c>
      <c r="D377" s="124">
        <v>8598</v>
      </c>
      <c r="E377" s="124" t="s">
        <v>260</v>
      </c>
    </row>
    <row r="378" spans="1:5" ht="15" customHeight="1">
      <c r="A378" s="124" t="s">
        <v>76</v>
      </c>
      <c r="B378" s="124" t="str">
        <f>IFERROR(VLOOKUP(Tablo8[[#This Row],[ ÜRÜN KODU]],YMKODLARI!$A$1:$H$383,2,0)," " )</f>
        <v>MAMA KAŞIĞI TIPA</v>
      </c>
      <c r="C378" s="125">
        <v>43984</v>
      </c>
      <c r="D378" s="124">
        <v>10000</v>
      </c>
      <c r="E378" s="124" t="s">
        <v>260</v>
      </c>
    </row>
    <row r="379" spans="1:5" ht="15" customHeight="1">
      <c r="A379" s="124" t="s">
        <v>78</v>
      </c>
      <c r="B379" s="124" t="str">
        <f>IFERROR(VLOOKUP(Tablo8[[#This Row],[ ÜRÜN KODU]],YMKODLARI!$A$1:$H$383,2,0)," " )</f>
        <v>MAMA KAŞIĞI TIPA</v>
      </c>
      <c r="C379" s="125">
        <v>43984</v>
      </c>
      <c r="D379" s="124">
        <v>675</v>
      </c>
      <c r="E379" s="124" t="s">
        <v>260</v>
      </c>
    </row>
    <row r="380" spans="1:5" ht="15" customHeight="1">
      <c r="A380" s="124" t="s">
        <v>176</v>
      </c>
      <c r="B380" s="124" t="str">
        <f>IFERROR(VLOOKUP(Tablo8[[#This Row],[ ÜRÜN KODU]],YMKODLARI!$A$1:$H$383,2,0)," " )</f>
        <v xml:space="preserve">BİBERON KAPAĞI </v>
      </c>
      <c r="C380" s="125">
        <v>43984</v>
      </c>
      <c r="D380" s="124">
        <v>10000</v>
      </c>
      <c r="E380" s="124" t="s">
        <v>260</v>
      </c>
    </row>
    <row r="381" spans="1:5" ht="15" customHeight="1">
      <c r="A381" s="124" t="s">
        <v>202</v>
      </c>
      <c r="B381" s="124" t="str">
        <f>IFERROR(VLOOKUP(Tablo8[[#This Row],[ ÜRÜN KODU]],YMKODLARI!$A$1:$H$383,2,0)," " )</f>
        <v xml:space="preserve"> BİBERON VİDA</v>
      </c>
      <c r="C381" s="125">
        <v>43984</v>
      </c>
      <c r="D381" s="124">
        <v>5714</v>
      </c>
      <c r="E381" s="124" t="s">
        <v>260</v>
      </c>
    </row>
    <row r="382" spans="1:5" ht="15" customHeight="1">
      <c r="A382" s="124" t="s">
        <v>34</v>
      </c>
      <c r="B382" s="124" t="str">
        <f>IFERROR(VLOOKUP(Tablo8[[#This Row],[ ÜRÜN KODU]],YMKODLARI!$A$1:$H$383,2,0)," " )</f>
        <v>BİBERON KLASİK  UC 1 NO</v>
      </c>
      <c r="C382" s="125">
        <v>43985</v>
      </c>
      <c r="D382" s="124">
        <v>4000</v>
      </c>
      <c r="E382" s="124" t="s">
        <v>260</v>
      </c>
    </row>
    <row r="383" spans="1:5" ht="15" customHeight="1">
      <c r="A383" s="124" t="s">
        <v>42</v>
      </c>
      <c r="B383" s="124" t="str">
        <f>IFERROR(VLOOKUP(Tablo8[[#This Row],[ ÜRÜN KODU]],YMKODLARI!$A$1:$H$383,2,0)," " )</f>
        <v>DAMAK EMZİK UCU 2 NO</v>
      </c>
      <c r="C383" s="125">
        <v>43985</v>
      </c>
      <c r="D383" s="124">
        <v>2000</v>
      </c>
      <c r="E383" s="124" t="s">
        <v>260</v>
      </c>
    </row>
    <row r="384" spans="1:5" ht="15" customHeight="1">
      <c r="A384" s="124" t="s">
        <v>55</v>
      </c>
      <c r="B384" s="124" t="str">
        <f>IFERROR(VLOOKUP(Tablo8[[#This Row],[ ÜRÜN KODU]],YMKODLARI!$A$1:$H$383,2,0)," " )</f>
        <v>BİBERON SEYAHAT TIPASI</v>
      </c>
      <c r="C384" s="125">
        <v>43985</v>
      </c>
      <c r="D384" s="124">
        <v>6000</v>
      </c>
      <c r="E384" s="124" t="s">
        <v>260</v>
      </c>
    </row>
    <row r="385" spans="1:5" ht="15" customHeight="1">
      <c r="A385" s="124" t="s">
        <v>164</v>
      </c>
      <c r="B385" s="124" t="str">
        <f>IFERROR(VLOOKUP(Tablo8[[#This Row],[ ÜRÜN KODU]],YMKODLARI!$A$1:$H$383,2,0)," " )</f>
        <v>YENİ DAMAK GÖVDE</v>
      </c>
      <c r="C385" s="125">
        <v>43985</v>
      </c>
      <c r="D385" s="124">
        <v>1000</v>
      </c>
      <c r="E385" s="124" t="s">
        <v>260</v>
      </c>
    </row>
    <row r="386" spans="1:5" ht="15" customHeight="1">
      <c r="A386" s="124" t="s">
        <v>203</v>
      </c>
      <c r="B386" s="124" t="str">
        <f>IFERROR(VLOOKUP(Tablo8[[#This Row],[ ÜRÜN KODU]],YMKODLARI!$A$1:$H$383,2,0)," " )</f>
        <v xml:space="preserve"> BİBERON VİDA</v>
      </c>
      <c r="C386" s="125">
        <v>43985</v>
      </c>
      <c r="D386" s="124">
        <v>4592</v>
      </c>
      <c r="E386" s="124" t="s">
        <v>260</v>
      </c>
    </row>
    <row r="387" spans="1:5" ht="15" customHeight="1">
      <c r="A387" s="124" t="s">
        <v>34</v>
      </c>
      <c r="B387" s="124" t="str">
        <f>IFERROR(VLOOKUP(Tablo8[[#This Row],[ ÜRÜN KODU]],YMKODLARI!$A$1:$H$383,2,0)," " )</f>
        <v>BİBERON KLASİK  UC 1 NO</v>
      </c>
      <c r="C387" s="125">
        <v>43986</v>
      </c>
      <c r="D387" s="124">
        <v>15000</v>
      </c>
      <c r="E387" s="124" t="s">
        <v>260</v>
      </c>
    </row>
    <row r="388" spans="1:5" ht="15" customHeight="1">
      <c r="A388" s="124" t="s">
        <v>32</v>
      </c>
      <c r="B388" s="124" t="str">
        <f>IFERROR(VLOOKUP(Tablo8[[#This Row],[ ÜRÜN KODU]],YMKODLARI!$A$1:$H$383,2,0)," " )</f>
        <v>GENİŞ AĞIZ BİBERON UCU</v>
      </c>
      <c r="C388" s="125">
        <v>43986</v>
      </c>
      <c r="D388" s="124">
        <v>1500</v>
      </c>
      <c r="E388" s="124" t="s">
        <v>260</v>
      </c>
    </row>
    <row r="389" spans="1:5" ht="15" customHeight="1">
      <c r="A389" s="124" t="s">
        <v>55</v>
      </c>
      <c r="B389" s="124" t="str">
        <f>IFERROR(VLOOKUP(Tablo8[[#This Row],[ ÜRÜN KODU]],YMKODLARI!$A$1:$H$383,2,0)," " )</f>
        <v>BİBERON SEYAHAT TIPASI</v>
      </c>
      <c r="C389" s="125">
        <v>43986</v>
      </c>
      <c r="D389" s="124">
        <v>10667</v>
      </c>
      <c r="E389" s="124" t="s">
        <v>260</v>
      </c>
    </row>
    <row r="390" spans="1:5" ht="15" customHeight="1">
      <c r="A390" s="124" t="s">
        <v>211</v>
      </c>
      <c r="B390" s="124" t="str">
        <f>IFERROR(VLOOKUP(Tablo8[[#This Row],[ ÜRÜN KODU]],YMKODLARI!$A$1:$H$383,2,0)," " )</f>
        <v xml:space="preserve"> BİBERON VİDA</v>
      </c>
      <c r="C390" s="125">
        <v>43986</v>
      </c>
      <c r="D390" s="124">
        <v>5243</v>
      </c>
      <c r="E390" s="124" t="s">
        <v>260</v>
      </c>
    </row>
    <row r="391" spans="1:5" ht="15" customHeight="1">
      <c r="A391" s="124" t="s">
        <v>32</v>
      </c>
      <c r="B391" s="124" t="str">
        <f>IFERROR(VLOOKUP(Tablo8[[#This Row],[ ÜRÜN KODU]],YMKODLARI!$A$1:$H$383,2,0)," " )</f>
        <v>GENİŞ AĞIZ BİBERON UCU</v>
      </c>
      <c r="C391" s="125">
        <v>43987</v>
      </c>
      <c r="D391" s="124">
        <v>4500</v>
      </c>
      <c r="E391" s="124" t="s">
        <v>260</v>
      </c>
    </row>
    <row r="392" spans="1:5" ht="15" customHeight="1">
      <c r="A392" s="124" t="s">
        <v>164</v>
      </c>
      <c r="B392" s="124" t="str">
        <f>IFERROR(VLOOKUP(Tablo8[[#This Row],[ ÜRÜN KODU]],YMKODLARI!$A$1:$H$383,2,0)," " )</f>
        <v>YENİ DAMAK GÖVDE</v>
      </c>
      <c r="C392" s="125">
        <v>43987</v>
      </c>
      <c r="D392" s="124">
        <v>11000</v>
      </c>
      <c r="E392" s="124" t="s">
        <v>260</v>
      </c>
    </row>
    <row r="393" spans="1:5" ht="15" customHeight="1">
      <c r="A393" s="124" t="s">
        <v>79</v>
      </c>
      <c r="B393" s="124" t="str">
        <f>IFERROR(VLOOKUP(Tablo8[[#This Row],[ ÜRÜN KODU]],YMKODLARI!$A$1:$H$383,2,0)," " )</f>
        <v>YENİ EMZİK TIPASI</v>
      </c>
      <c r="C393" s="125">
        <v>43987</v>
      </c>
      <c r="D393" s="124">
        <v>13000</v>
      </c>
      <c r="E393" s="124" t="s">
        <v>260</v>
      </c>
    </row>
    <row r="394" spans="1:5" ht="15" customHeight="1">
      <c r="A394" s="124" t="s">
        <v>204</v>
      </c>
      <c r="B394" s="124" t="str">
        <f>IFERROR(VLOOKUP(Tablo8[[#This Row],[ ÜRÜN KODU]],YMKODLARI!$A$1:$H$383,2,0)," " )</f>
        <v xml:space="preserve"> BİBERON VİDA</v>
      </c>
      <c r="C394" s="125">
        <v>43987</v>
      </c>
      <c r="D394" s="124">
        <v>3368</v>
      </c>
      <c r="E394" s="124" t="s">
        <v>260</v>
      </c>
    </row>
    <row r="395" spans="1:5" ht="15" customHeight="1">
      <c r="A395" s="124" t="s">
        <v>34</v>
      </c>
      <c r="B395" s="124" t="str">
        <f>IFERROR(VLOOKUP(Tablo8[[#This Row],[ ÜRÜN KODU]],YMKODLARI!$A$1:$H$383,2,0)," " )</f>
        <v>BİBERON KLASİK  UC 1 NO</v>
      </c>
      <c r="C395" s="125">
        <v>43990</v>
      </c>
      <c r="D395" s="124">
        <v>9000</v>
      </c>
      <c r="E395" s="124" t="s">
        <v>260</v>
      </c>
    </row>
    <row r="396" spans="1:5" ht="15" customHeight="1">
      <c r="A396" s="124" t="s">
        <v>79</v>
      </c>
      <c r="B396" s="124" t="str">
        <f>IFERROR(VLOOKUP(Tablo8[[#This Row],[ ÜRÜN KODU]],YMKODLARI!$A$1:$H$383,2,0)," " )</f>
        <v>YENİ EMZİK TIPASI</v>
      </c>
      <c r="C396" s="125">
        <v>43990</v>
      </c>
      <c r="D396" s="124">
        <v>7402</v>
      </c>
      <c r="E396" s="124" t="s">
        <v>260</v>
      </c>
    </row>
    <row r="397" spans="1:5" ht="15" customHeight="1">
      <c r="A397" s="124" t="s">
        <v>164</v>
      </c>
      <c r="B397" s="124" t="str">
        <f>IFERROR(VLOOKUP(Tablo8[[#This Row],[ ÜRÜN KODU]],YMKODLARI!$A$1:$H$383,2,0)," " )</f>
        <v>YENİ DAMAK GÖVDE</v>
      </c>
      <c r="C397" s="125">
        <v>43990</v>
      </c>
      <c r="D397" s="124">
        <v>6381</v>
      </c>
      <c r="E397" s="124" t="s">
        <v>260</v>
      </c>
    </row>
    <row r="398" spans="1:5" ht="15" customHeight="1">
      <c r="A398" s="124" t="s">
        <v>32</v>
      </c>
      <c r="B398" s="124" t="str">
        <f>IFERROR(VLOOKUP(Tablo8[[#This Row],[ ÜRÜN KODU]],YMKODLARI!$A$1:$H$383,2,0)," " )</f>
        <v>GENİŞ AĞIZ BİBERON UCU</v>
      </c>
      <c r="C398" s="125">
        <v>43991</v>
      </c>
      <c r="D398" s="124">
        <v>4500</v>
      </c>
      <c r="E398" s="124" t="s">
        <v>260</v>
      </c>
    </row>
    <row r="399" spans="1:5" ht="15" customHeight="1">
      <c r="A399" s="124" t="s">
        <v>222</v>
      </c>
      <c r="B399" s="124" t="str">
        <f>IFERROR(VLOOKUP(Tablo8[[#This Row],[ ÜRÜN KODU]],YMKODLARI!$A$1:$H$383,2,0)," " )</f>
        <v>YENİ EMZİK KAPAĞI</v>
      </c>
      <c r="C399" s="125">
        <v>43991</v>
      </c>
      <c r="D399" s="124">
        <v>7200</v>
      </c>
      <c r="E399" s="124" t="s">
        <v>260</v>
      </c>
    </row>
    <row r="400" spans="1:5" ht="15" customHeight="1">
      <c r="A400" s="124" t="s">
        <v>79</v>
      </c>
      <c r="B400" s="124" t="str">
        <f>IFERROR(VLOOKUP(Tablo8[[#This Row],[ ÜRÜN KODU]],YMKODLARI!$A$1:$H$383,2,0)," " )</f>
        <v>YENİ EMZİK TIPASI</v>
      </c>
      <c r="C400" s="125">
        <v>43991</v>
      </c>
      <c r="D400" s="124">
        <v>8476</v>
      </c>
      <c r="E400" s="124" t="s">
        <v>260</v>
      </c>
    </row>
    <row r="401" spans="1:5" ht="15" customHeight="1">
      <c r="A401" s="124" t="s">
        <v>34</v>
      </c>
      <c r="B401" s="124" t="str">
        <f>IFERROR(VLOOKUP(Tablo8[[#This Row],[ ÜRÜN KODU]],YMKODLARI!$A$1:$H$383,2,0)," " )</f>
        <v>BİBERON KLASİK  UC 1 NO</v>
      </c>
      <c r="C401" s="125">
        <v>43992</v>
      </c>
      <c r="D401" s="124">
        <v>2000</v>
      </c>
      <c r="E401" s="124" t="s">
        <v>260</v>
      </c>
    </row>
    <row r="402" spans="1:5" ht="15" customHeight="1">
      <c r="A402" s="124" t="s">
        <v>46</v>
      </c>
      <c r="B402" s="124" t="str">
        <f>IFERROR(VLOOKUP(Tablo8[[#This Row],[ ÜRÜN KODU]],YMKODLARI!$A$1:$H$383,2,0)," " )</f>
        <v>BİBERON KLASİK  UC 3 NO</v>
      </c>
      <c r="C402" s="125">
        <v>43992</v>
      </c>
      <c r="D402" s="124">
        <v>6000</v>
      </c>
      <c r="E402" s="124" t="s">
        <v>260</v>
      </c>
    </row>
    <row r="403" spans="1:5" ht="15" customHeight="1">
      <c r="A403" s="124" t="s">
        <v>80</v>
      </c>
      <c r="B403" s="124" t="str">
        <f>IFERROR(VLOOKUP(Tablo8[[#This Row],[ ÜRÜN KODU]],YMKODLARI!$A$1:$H$383,2,0)," " )</f>
        <v>60 ml BARDAK SULUK</v>
      </c>
      <c r="C403" s="125">
        <v>43992</v>
      </c>
      <c r="D403" s="124">
        <v>1600</v>
      </c>
      <c r="E403" s="124" t="s">
        <v>260</v>
      </c>
    </row>
    <row r="404" spans="1:5" ht="15" customHeight="1">
      <c r="A404" s="124" t="s">
        <v>222</v>
      </c>
      <c r="B404" s="124" t="str">
        <f>IFERROR(VLOOKUP(Tablo8[[#This Row],[ ÜRÜN KODU]],YMKODLARI!$A$1:$H$383,2,0)," " )</f>
        <v>YENİ EMZİK KAPAĞI</v>
      </c>
      <c r="C404" s="125">
        <v>43992</v>
      </c>
      <c r="D404" s="124">
        <v>6926</v>
      </c>
      <c r="E404" s="124" t="s">
        <v>260</v>
      </c>
    </row>
    <row r="405" spans="1:5" ht="15" customHeight="1">
      <c r="A405" s="124" t="s">
        <v>34</v>
      </c>
      <c r="B405" s="124" t="str">
        <f>IFERROR(VLOOKUP(Tablo8[[#This Row],[ ÜRÜN KODU]],YMKODLARI!$A$1:$H$383,2,0)," " )</f>
        <v>BİBERON KLASİK  UC 1 NO</v>
      </c>
      <c r="C405" s="125">
        <v>43993</v>
      </c>
      <c r="D405" s="124">
        <v>9000</v>
      </c>
      <c r="E405" s="124" t="s">
        <v>260</v>
      </c>
    </row>
    <row r="406" spans="1:5" ht="15" customHeight="1">
      <c r="A406" s="124" t="s">
        <v>138</v>
      </c>
      <c r="B406" s="124" t="str">
        <f>IFERROR(VLOOKUP(Tablo8[[#This Row],[ ÜRÜN KODU]],YMKODLARI!$A$1:$H$383,2,0)," " )</f>
        <v>KURBAĞA DİŞ KAŞIYICI TUTACAK</v>
      </c>
      <c r="C406" s="125">
        <v>43993</v>
      </c>
      <c r="D406" s="124">
        <v>1160</v>
      </c>
      <c r="E406" s="124" t="s">
        <v>260</v>
      </c>
    </row>
    <row r="407" spans="1:5" ht="15" customHeight="1">
      <c r="A407" s="124" t="s">
        <v>138</v>
      </c>
      <c r="B407" s="124" t="str">
        <f>IFERROR(VLOOKUP(Tablo8[[#This Row],[ ÜRÜN KODU]],YMKODLARI!$A$1:$H$383,2,0)," " )</f>
        <v>KURBAĞA DİŞ KAŞIYICI TUTACAK</v>
      </c>
      <c r="C407" s="125">
        <v>43993</v>
      </c>
      <c r="D407" s="124">
        <v>0</v>
      </c>
      <c r="E407" s="124" t="s">
        <v>260</v>
      </c>
    </row>
    <row r="408" spans="1:5" ht="15" customHeight="1">
      <c r="A408" s="124" t="s">
        <v>223</v>
      </c>
      <c r="B408" s="124" t="str">
        <f>IFERROR(VLOOKUP(Tablo8[[#This Row],[ ÜRÜN KODU]],YMKODLARI!$A$1:$H$383,2,0)," " )</f>
        <v>EMZİK ASKISI YUVARLAK GÖVDE</v>
      </c>
      <c r="C408" s="125">
        <v>43993</v>
      </c>
      <c r="D408" s="124">
        <v>4000</v>
      </c>
      <c r="E408" s="124" t="s">
        <v>260</v>
      </c>
    </row>
    <row r="409" spans="1:5" ht="15" customHeight="1">
      <c r="A409" s="124" t="s">
        <v>34</v>
      </c>
      <c r="B409" s="124" t="str">
        <f>IFERROR(VLOOKUP(Tablo8[[#This Row],[ ÜRÜN KODU]],YMKODLARI!$A$1:$H$383,2,0)," " )</f>
        <v>BİBERON KLASİK  UC 1 NO</v>
      </c>
      <c r="C409" s="125">
        <v>43994</v>
      </c>
      <c r="D409" s="124">
        <v>1000</v>
      </c>
      <c r="E409" s="124" t="s">
        <v>260</v>
      </c>
    </row>
    <row r="410" spans="1:5" ht="15" customHeight="1">
      <c r="A410" s="124" t="s">
        <v>46</v>
      </c>
      <c r="B410" s="124" t="str">
        <f>IFERROR(VLOOKUP(Tablo8[[#This Row],[ ÜRÜN KODU]],YMKODLARI!$A$1:$H$383,2,0)," " )</f>
        <v>BİBERON KLASİK  UC 3 NO</v>
      </c>
      <c r="C410" s="125">
        <v>43994</v>
      </c>
      <c r="D410" s="124">
        <v>5000</v>
      </c>
      <c r="E410" s="124" t="s">
        <v>260</v>
      </c>
    </row>
    <row r="411" spans="1:5" ht="15" customHeight="1">
      <c r="A411" s="124" t="s">
        <v>53</v>
      </c>
      <c r="B411" s="124" t="str">
        <f>IFERROR(VLOOKUP(Tablo8[[#This Row],[ ÜRÜN KODU]],YMKODLARI!$A$1:$H$383,2,0)," " )</f>
        <v xml:space="preserve">SİLİKON MAMA KAŞIĞI UCU </v>
      </c>
      <c r="C411" s="125">
        <v>43994</v>
      </c>
      <c r="D411" s="124">
        <v>3000</v>
      </c>
      <c r="E411" s="124" t="s">
        <v>260</v>
      </c>
    </row>
    <row r="412" spans="1:5" ht="15" customHeight="1">
      <c r="A412" s="124" t="s">
        <v>178</v>
      </c>
      <c r="B412" s="124" t="str">
        <f>IFERROR(VLOOKUP(Tablo8[[#This Row],[ ÜRÜN KODU]],YMKODLARI!$A$1:$H$383,2,0)," " )</f>
        <v>KURBAĞA DİŞ KAŞIYICI TUTACAK</v>
      </c>
      <c r="C412" s="125">
        <v>43994</v>
      </c>
      <c r="D412" s="124">
        <v>1000</v>
      </c>
      <c r="E412" s="124" t="s">
        <v>260</v>
      </c>
    </row>
    <row r="413" spans="1:5" ht="15" customHeight="1">
      <c r="A413" s="124" t="s">
        <v>139</v>
      </c>
      <c r="B413" s="124" t="str">
        <f>IFERROR(VLOOKUP(Tablo8[[#This Row],[ ÜRÜN KODU]],YMKODLARI!$A$1:$H$383,2,0)," " )</f>
        <v>KURBAĞA DİŞ KAŞIYICI TUTACAK</v>
      </c>
      <c r="C413" s="125">
        <v>43994</v>
      </c>
      <c r="D413" s="124">
        <v>1265</v>
      </c>
      <c r="E413" s="124" t="s">
        <v>260</v>
      </c>
    </row>
    <row r="414" spans="1:5" ht="15" customHeight="1">
      <c r="A414" s="124" t="s">
        <v>223</v>
      </c>
      <c r="B414" s="124" t="str">
        <f>IFERROR(VLOOKUP(Tablo8[[#This Row],[ ÜRÜN KODU]],YMKODLARI!$A$1:$H$383,2,0)," " )</f>
        <v>EMZİK ASKISI YUVARLAK GÖVDE</v>
      </c>
      <c r="C414" s="125">
        <v>43994</v>
      </c>
      <c r="D414" s="124">
        <v>7195</v>
      </c>
      <c r="E414" s="124" t="s">
        <v>260</v>
      </c>
    </row>
    <row r="415" spans="1:5" ht="15" customHeight="1">
      <c r="A415" s="124" t="s">
        <v>34</v>
      </c>
      <c r="B415" s="124" t="str">
        <f>IFERROR(VLOOKUP(Tablo8[[#This Row],[ ÜRÜN KODU]],YMKODLARI!$A$1:$H$383,2,0)," " )</f>
        <v>BİBERON KLASİK  UC 1 NO</v>
      </c>
      <c r="C415" s="125">
        <v>43997</v>
      </c>
      <c r="D415" s="124">
        <v>6000</v>
      </c>
      <c r="E415" s="124" t="s">
        <v>260</v>
      </c>
    </row>
    <row r="416" spans="1:5" ht="15" customHeight="1">
      <c r="A416" s="124" t="s">
        <v>53</v>
      </c>
      <c r="B416" s="124" t="str">
        <f>IFERROR(VLOOKUP(Tablo8[[#This Row],[ ÜRÜN KODU]],YMKODLARI!$A$1:$H$383,2,0)," " )</f>
        <v xml:space="preserve">SİLİKON MAMA KAŞIĞI UCU </v>
      </c>
      <c r="C416" s="125">
        <v>43997</v>
      </c>
      <c r="D416" s="124">
        <v>3000</v>
      </c>
      <c r="E416" s="124" t="s">
        <v>260</v>
      </c>
    </row>
    <row r="417" spans="1:5" ht="15" customHeight="1">
      <c r="A417" s="124" t="s">
        <v>224</v>
      </c>
      <c r="B417" s="124" t="str">
        <f>IFERROR(VLOOKUP(Tablo8[[#This Row],[ ÜRÜN KODU]],YMKODLARI!$A$1:$H$383,2,0)," " )</f>
        <v>EMZİK ASKISI YUVARLAK MANDAL</v>
      </c>
      <c r="C417" s="125">
        <v>43997</v>
      </c>
      <c r="D417" s="124">
        <v>5000</v>
      </c>
      <c r="E417" s="124" t="s">
        <v>260</v>
      </c>
    </row>
    <row r="418" spans="1:5" ht="15" customHeight="1">
      <c r="A418" s="124" t="s">
        <v>34</v>
      </c>
      <c r="B418" s="124" t="str">
        <f>IFERROR(VLOOKUP(Tablo8[[#This Row],[ ÜRÜN KODU]],YMKODLARI!$A$1:$H$383,2,0)," " )</f>
        <v>BİBERON KLASİK  UC 1 NO</v>
      </c>
      <c r="C418" s="125">
        <v>43998</v>
      </c>
      <c r="D418" s="124">
        <v>6000</v>
      </c>
      <c r="E418" s="124" t="s">
        <v>260</v>
      </c>
    </row>
    <row r="419" spans="1:5" ht="15" customHeight="1">
      <c r="A419" s="124" t="s">
        <v>53</v>
      </c>
      <c r="B419" s="124" t="str">
        <f>IFERROR(VLOOKUP(Tablo8[[#This Row],[ ÜRÜN KODU]],YMKODLARI!$A$1:$H$383,2,0)," " )</f>
        <v xml:space="preserve">SİLİKON MAMA KAŞIĞI UCU </v>
      </c>
      <c r="C419" s="125">
        <v>43998</v>
      </c>
      <c r="D419" s="124">
        <v>3000</v>
      </c>
      <c r="E419" s="124" t="s">
        <v>260</v>
      </c>
    </row>
    <row r="420" spans="1:5" ht="15" customHeight="1">
      <c r="A420" s="124" t="s">
        <v>82</v>
      </c>
      <c r="B420" s="124" t="str">
        <f>IFERROR(VLOOKUP(Tablo8[[#This Row],[ ÜRÜN KODU]],YMKODLARI!$A$1:$H$383,2,0)," " )</f>
        <v>SULUK 30ml KAPAK</v>
      </c>
      <c r="C420" s="125">
        <v>43998</v>
      </c>
      <c r="D420" s="124">
        <v>3530</v>
      </c>
      <c r="E420" s="124" t="s">
        <v>260</v>
      </c>
    </row>
    <row r="421" spans="1:5" ht="15" customHeight="1">
      <c r="A421" s="124" t="s">
        <v>81</v>
      </c>
      <c r="B421" s="124" t="str">
        <f>IFERROR(VLOOKUP(Tablo8[[#This Row],[ ÜRÜN KODU]],YMKODLARI!$A$1:$H$383,2,0)," " )</f>
        <v>SULUK 30ml KAPAK</v>
      </c>
      <c r="C421" s="125">
        <v>43998</v>
      </c>
      <c r="D421" s="124">
        <v>2271</v>
      </c>
      <c r="E421" s="124" t="s">
        <v>260</v>
      </c>
    </row>
    <row r="422" spans="1:5" ht="15" customHeight="1">
      <c r="A422" s="124" t="s">
        <v>224</v>
      </c>
      <c r="B422" s="124" t="str">
        <f>IFERROR(VLOOKUP(Tablo8[[#This Row],[ ÜRÜN KODU]],YMKODLARI!$A$1:$H$383,2,0)," " )</f>
        <v>EMZİK ASKISI YUVARLAK MANDAL</v>
      </c>
      <c r="C422" s="125">
        <v>43998</v>
      </c>
      <c r="D422" s="124">
        <v>9052</v>
      </c>
      <c r="E422" s="124" t="s">
        <v>260</v>
      </c>
    </row>
    <row r="423" spans="1:5" ht="15" customHeight="1">
      <c r="A423" s="124" t="s">
        <v>145</v>
      </c>
      <c r="B423" s="124" t="str">
        <f>IFERROR(VLOOKUP(Tablo8[[#This Row],[ ÜRÜN KODU]],YMKODLARI!$A$1:$H$383,2,0)," " )</f>
        <v>NEŞELİ ÇINGIRAK</v>
      </c>
      <c r="C423" s="125">
        <v>43998</v>
      </c>
      <c r="D423" s="124">
        <v>1000</v>
      </c>
      <c r="E423" s="124" t="s">
        <v>260</v>
      </c>
    </row>
    <row r="424" spans="1:5" ht="15" customHeight="1">
      <c r="A424" s="124" t="s">
        <v>148</v>
      </c>
      <c r="B424" s="124" t="str">
        <f>IFERROR(VLOOKUP(Tablo8[[#This Row],[ ÜRÜN KODU]],YMKODLARI!$A$1:$H$383,2,0)," " )</f>
        <v>NEŞELİ ÇINGIRAK</v>
      </c>
      <c r="C424" s="125">
        <v>43998</v>
      </c>
      <c r="D424" s="124">
        <v>1000</v>
      </c>
      <c r="E424" s="124" t="s">
        <v>260</v>
      </c>
    </row>
    <row r="425" spans="1:5" ht="15" customHeight="1">
      <c r="A425" s="124" t="s">
        <v>147</v>
      </c>
      <c r="B425" s="124" t="str">
        <f>IFERROR(VLOOKUP(Tablo8[[#This Row],[ ÜRÜN KODU]],YMKODLARI!$A$1:$H$383,2,0)," " )</f>
        <v>NEŞELİ ÇINGIRAK</v>
      </c>
      <c r="C425" s="125">
        <v>43998</v>
      </c>
      <c r="D425" s="124">
        <v>1000</v>
      </c>
      <c r="E425" s="124" t="s">
        <v>260</v>
      </c>
    </row>
    <row r="426" spans="1:5" ht="15" customHeight="1">
      <c r="A426" s="124" t="s">
        <v>146</v>
      </c>
      <c r="B426" s="124" t="str">
        <f>IFERROR(VLOOKUP(Tablo8[[#This Row],[ ÜRÜN KODU]],YMKODLARI!$A$1:$H$383,2,0)," " )</f>
        <v>NEŞELİ ÇINGIRAK</v>
      </c>
      <c r="C426" s="125">
        <v>43998</v>
      </c>
      <c r="D426" s="124">
        <v>1000</v>
      </c>
      <c r="E426" s="124" t="s">
        <v>260</v>
      </c>
    </row>
    <row r="427" spans="1:5" ht="15" customHeight="1">
      <c r="A427" s="124" t="s">
        <v>34</v>
      </c>
      <c r="B427" s="124" t="str">
        <f>IFERROR(VLOOKUP(Tablo8[[#This Row],[ ÜRÜN KODU]],YMKODLARI!$A$1:$H$383,2,0)," " )</f>
        <v>BİBERON KLASİK  UC 1 NO</v>
      </c>
      <c r="C427" s="125">
        <v>43999</v>
      </c>
      <c r="D427" s="124">
        <v>5000</v>
      </c>
      <c r="E427" s="124" t="s">
        <v>260</v>
      </c>
    </row>
    <row r="428" spans="1:5" ht="15" customHeight="1">
      <c r="A428" s="124" t="s">
        <v>53</v>
      </c>
      <c r="B428" s="124" t="str">
        <f>IFERROR(VLOOKUP(Tablo8[[#This Row],[ ÜRÜN KODU]],YMKODLARI!$A$1:$H$383,2,0)," " )</f>
        <v xml:space="preserve">SİLİKON MAMA KAŞIĞI UCU </v>
      </c>
      <c r="C428" s="125">
        <v>43999</v>
      </c>
      <c r="D428" s="124">
        <v>3000</v>
      </c>
      <c r="E428" s="124" t="s">
        <v>260</v>
      </c>
    </row>
    <row r="429" spans="1:5" ht="15" customHeight="1">
      <c r="A429" s="124" t="s">
        <v>145</v>
      </c>
      <c r="B429" s="124" t="str">
        <f>IFERROR(VLOOKUP(Tablo8[[#This Row],[ ÜRÜN KODU]],YMKODLARI!$A$1:$H$383,2,0)," " )</f>
        <v>NEŞELİ ÇINGIRAK</v>
      </c>
      <c r="C429" s="125">
        <v>43999</v>
      </c>
      <c r="D429" s="124">
        <v>1000</v>
      </c>
      <c r="E429" s="124" t="s">
        <v>260</v>
      </c>
    </row>
    <row r="430" spans="1:5" ht="15" customHeight="1">
      <c r="A430" s="124" t="s">
        <v>148</v>
      </c>
      <c r="B430" s="124" t="str">
        <f>IFERROR(VLOOKUP(Tablo8[[#This Row],[ ÜRÜN KODU]],YMKODLARI!$A$1:$H$383,2,0)," " )</f>
        <v>NEŞELİ ÇINGIRAK</v>
      </c>
      <c r="C430" s="125">
        <v>43999</v>
      </c>
      <c r="D430" s="124">
        <v>1000</v>
      </c>
      <c r="E430" s="124" t="s">
        <v>260</v>
      </c>
    </row>
    <row r="431" spans="1:5" ht="15" customHeight="1">
      <c r="A431" s="124" t="s">
        <v>147</v>
      </c>
      <c r="B431" s="124" t="str">
        <f>IFERROR(VLOOKUP(Tablo8[[#This Row],[ ÜRÜN KODU]],YMKODLARI!$A$1:$H$383,2,0)," " )</f>
        <v>NEŞELİ ÇINGIRAK</v>
      </c>
      <c r="C431" s="125">
        <v>43999</v>
      </c>
      <c r="D431" s="124">
        <v>1000</v>
      </c>
      <c r="E431" s="124" t="s">
        <v>260</v>
      </c>
    </row>
    <row r="432" spans="1:5" ht="15" customHeight="1">
      <c r="A432" s="124" t="s">
        <v>146</v>
      </c>
      <c r="B432" s="124" t="str">
        <f>IFERROR(VLOOKUP(Tablo8[[#This Row],[ ÜRÜN KODU]],YMKODLARI!$A$1:$H$383,2,0)," " )</f>
        <v>NEŞELİ ÇINGIRAK</v>
      </c>
      <c r="C432" s="125">
        <v>43999</v>
      </c>
      <c r="D432" s="124">
        <v>1000</v>
      </c>
      <c r="E432" s="124" t="s">
        <v>260</v>
      </c>
    </row>
    <row r="433" spans="1:5" ht="15" customHeight="1">
      <c r="A433" s="124" t="s">
        <v>34</v>
      </c>
      <c r="B433" s="124" t="str">
        <f>IFERROR(VLOOKUP(Tablo8[[#This Row],[ ÜRÜN KODU]],YMKODLARI!$A$1:$H$383,2,0)," " )</f>
        <v>BİBERON KLASİK  UC 1 NO</v>
      </c>
      <c r="C433" s="125">
        <v>44000</v>
      </c>
      <c r="D433" s="124">
        <v>6000</v>
      </c>
      <c r="E433" s="124" t="s">
        <v>260</v>
      </c>
    </row>
    <row r="434" spans="1:5" ht="15" customHeight="1">
      <c r="A434" s="124" t="s">
        <v>53</v>
      </c>
      <c r="B434" s="124" t="str">
        <f>IFERROR(VLOOKUP(Tablo8[[#This Row],[ ÜRÜN KODU]],YMKODLARI!$A$1:$H$383,2,0)," " )</f>
        <v xml:space="preserve">SİLİKON MAMA KAŞIĞI UCU </v>
      </c>
      <c r="C434" s="125">
        <v>44000</v>
      </c>
      <c r="D434" s="124">
        <v>3000</v>
      </c>
      <c r="E434" s="124" t="s">
        <v>260</v>
      </c>
    </row>
    <row r="435" spans="1:5" ht="15" customHeight="1">
      <c r="A435" s="124" t="s">
        <v>145</v>
      </c>
      <c r="B435" s="124" t="str">
        <f>IFERROR(VLOOKUP(Tablo8[[#This Row],[ ÜRÜN KODU]],YMKODLARI!$A$1:$H$383,2,0)," " )</f>
        <v>NEŞELİ ÇINGIRAK</v>
      </c>
      <c r="C435" s="125">
        <v>44000</v>
      </c>
      <c r="D435" s="124">
        <v>2635</v>
      </c>
      <c r="E435" s="124" t="s">
        <v>260</v>
      </c>
    </row>
    <row r="436" spans="1:5" ht="15" customHeight="1">
      <c r="A436" s="124" t="s">
        <v>148</v>
      </c>
      <c r="B436" s="124" t="str">
        <f>IFERROR(VLOOKUP(Tablo8[[#This Row],[ ÜRÜN KODU]],YMKODLARI!$A$1:$H$383,2,0)," " )</f>
        <v>NEŞELİ ÇINGIRAK</v>
      </c>
      <c r="C436" s="125">
        <v>44000</v>
      </c>
      <c r="D436" s="124">
        <v>2635</v>
      </c>
      <c r="E436" s="124" t="s">
        <v>260</v>
      </c>
    </row>
    <row r="437" spans="1:5" ht="15" customHeight="1">
      <c r="A437" s="124" t="s">
        <v>147</v>
      </c>
      <c r="B437" s="124" t="str">
        <f>IFERROR(VLOOKUP(Tablo8[[#This Row],[ ÜRÜN KODU]],YMKODLARI!$A$1:$H$383,2,0)," " )</f>
        <v>NEŞELİ ÇINGIRAK</v>
      </c>
      <c r="C437" s="125">
        <v>44000</v>
      </c>
      <c r="D437" s="124">
        <v>2635</v>
      </c>
      <c r="E437" s="124" t="s">
        <v>260</v>
      </c>
    </row>
    <row r="438" spans="1:5" ht="15" customHeight="1">
      <c r="A438" s="124" t="s">
        <v>146</v>
      </c>
      <c r="B438" s="124" t="str">
        <f>IFERROR(VLOOKUP(Tablo8[[#This Row],[ ÜRÜN KODU]],YMKODLARI!$A$1:$H$383,2,0)," " )</f>
        <v>NEŞELİ ÇINGIRAK</v>
      </c>
      <c r="C438" s="125">
        <v>44000</v>
      </c>
      <c r="D438" s="124">
        <v>2635</v>
      </c>
      <c r="E438" s="124" t="s">
        <v>260</v>
      </c>
    </row>
    <row r="439" spans="1:5" ht="15" customHeight="1">
      <c r="A439" s="124" t="s">
        <v>225</v>
      </c>
      <c r="B439" s="124" t="str">
        <f>IFERROR(VLOOKUP(Tablo8[[#This Row],[ ÜRÜN KODU]],YMKODLARI!$A$1:$H$383,2,0)," " )</f>
        <v>TİRLE ZURNA</v>
      </c>
      <c r="C439" s="125">
        <v>44000</v>
      </c>
      <c r="D439" s="124">
        <v>2320</v>
      </c>
      <c r="E439" s="124" t="s">
        <v>260</v>
      </c>
    </row>
    <row r="440" spans="1:5" ht="15" customHeight="1">
      <c r="A440" s="124" t="s">
        <v>34</v>
      </c>
      <c r="B440" s="124" t="str">
        <f>IFERROR(VLOOKUP(Tablo8[[#This Row],[ ÜRÜN KODU]],YMKODLARI!$A$1:$H$383,2,0)," " )</f>
        <v>BİBERON KLASİK  UC 1 NO</v>
      </c>
      <c r="C440" s="125">
        <v>44001</v>
      </c>
      <c r="D440" s="124">
        <v>14000</v>
      </c>
      <c r="E440" s="124" t="s">
        <v>260</v>
      </c>
    </row>
    <row r="441" spans="1:5" ht="15" customHeight="1">
      <c r="A441" s="124" t="s">
        <v>53</v>
      </c>
      <c r="B441" s="124" t="str">
        <f>IFERROR(VLOOKUP(Tablo8[[#This Row],[ ÜRÜN KODU]],YMKODLARI!$A$1:$H$383,2,0)," " )</f>
        <v xml:space="preserve">SİLİKON MAMA KAŞIĞI UCU </v>
      </c>
      <c r="C441" s="125">
        <v>44001</v>
      </c>
      <c r="D441" s="124">
        <v>4000</v>
      </c>
      <c r="E441" s="124" t="s">
        <v>260</v>
      </c>
    </row>
    <row r="442" spans="1:5" ht="15" customHeight="1">
      <c r="A442" s="124" t="s">
        <v>32</v>
      </c>
      <c r="B442" s="124" t="str">
        <f>IFERROR(VLOOKUP(Tablo8[[#This Row],[ ÜRÜN KODU]],YMKODLARI!$A$1:$H$383,2,0)," " )</f>
        <v>GENİŞ AĞIZ BİBERON UCU</v>
      </c>
      <c r="C442" s="125">
        <v>44001</v>
      </c>
      <c r="D442" s="124">
        <v>1000</v>
      </c>
      <c r="E442" s="124" t="s">
        <v>260</v>
      </c>
    </row>
    <row r="443" spans="1:5" ht="15" customHeight="1">
      <c r="A443" s="124" t="s">
        <v>140</v>
      </c>
      <c r="B443" s="124" t="str">
        <f>IFERROR(VLOOKUP(Tablo8[[#This Row],[ ÜRÜN KODU]],YMKODLARI!$A$1:$H$383,2,0)," " )</f>
        <v>NEŞELİ ÇINGIRAK</v>
      </c>
      <c r="C443" s="125">
        <v>44001</v>
      </c>
      <c r="D443" s="124">
        <v>1000</v>
      </c>
      <c r="E443" s="124" t="s">
        <v>260</v>
      </c>
    </row>
    <row r="444" spans="1:5" ht="15" customHeight="1">
      <c r="A444" s="124" t="s">
        <v>144</v>
      </c>
      <c r="B444" s="124" t="str">
        <f>IFERROR(VLOOKUP(Tablo8[[#This Row],[ ÜRÜN KODU]],YMKODLARI!$A$1:$H$383,2,0)," " )</f>
        <v>NEŞELİ ÇINGIRAK</v>
      </c>
      <c r="C444" s="125">
        <v>44001</v>
      </c>
      <c r="D444" s="124">
        <v>1000</v>
      </c>
      <c r="E444" s="124" t="s">
        <v>260</v>
      </c>
    </row>
    <row r="445" spans="1:5" ht="15" customHeight="1">
      <c r="A445" s="124" t="s">
        <v>143</v>
      </c>
      <c r="B445" s="124" t="str">
        <f>IFERROR(VLOOKUP(Tablo8[[#This Row],[ ÜRÜN KODU]],YMKODLARI!$A$1:$H$383,2,0)," " )</f>
        <v>NEŞELİ ÇINGIRAK</v>
      </c>
      <c r="C445" s="125">
        <v>44001</v>
      </c>
      <c r="D445" s="124">
        <v>1000</v>
      </c>
      <c r="E445" s="124" t="s">
        <v>260</v>
      </c>
    </row>
    <row r="446" spans="1:5" ht="15" customHeight="1">
      <c r="A446" s="124" t="s">
        <v>142</v>
      </c>
      <c r="B446" s="124" t="str">
        <f>IFERROR(VLOOKUP(Tablo8[[#This Row],[ ÜRÜN KODU]],YMKODLARI!$A$1:$H$383,2,0)," " )</f>
        <v>NEŞELİ ÇINGIRAK</v>
      </c>
      <c r="C446" s="125">
        <v>44001</v>
      </c>
      <c r="D446" s="124">
        <v>1000</v>
      </c>
      <c r="E446" s="124" t="s">
        <v>260</v>
      </c>
    </row>
    <row r="447" spans="1:5" ht="15" customHeight="1">
      <c r="A447" s="124" t="s">
        <v>34</v>
      </c>
      <c r="B447" s="124" t="str">
        <f>IFERROR(VLOOKUP(Tablo8[[#This Row],[ ÜRÜN KODU]],YMKODLARI!$A$1:$H$383,2,0)," " )</f>
        <v>BİBERON KLASİK  UC 1 NO</v>
      </c>
      <c r="C447" s="125">
        <v>44004</v>
      </c>
      <c r="D447" s="124">
        <v>6000</v>
      </c>
      <c r="E447" s="124" t="s">
        <v>260</v>
      </c>
    </row>
    <row r="448" spans="1:5" ht="15" customHeight="1">
      <c r="A448" s="124" t="s">
        <v>32</v>
      </c>
      <c r="B448" s="124" t="str">
        <f>IFERROR(VLOOKUP(Tablo8[[#This Row],[ ÜRÜN KODU]],YMKODLARI!$A$1:$H$383,2,0)," " )</f>
        <v>GENİŞ AĞIZ BİBERON UCU</v>
      </c>
      <c r="C448" s="125">
        <v>44004</v>
      </c>
      <c r="D448" s="124">
        <v>1500</v>
      </c>
      <c r="E448" s="124" t="s">
        <v>260</v>
      </c>
    </row>
    <row r="449" spans="1:5" ht="15" customHeight="1">
      <c r="A449" s="124" t="s">
        <v>140</v>
      </c>
      <c r="B449" s="124" t="str">
        <f>IFERROR(VLOOKUP(Tablo8[[#This Row],[ ÜRÜN KODU]],YMKODLARI!$A$1:$H$383,2,0)," " )</f>
        <v>NEŞELİ ÇINGIRAK</v>
      </c>
      <c r="C449" s="125">
        <v>44004</v>
      </c>
      <c r="D449" s="124">
        <v>1000</v>
      </c>
      <c r="E449" s="124" t="s">
        <v>260</v>
      </c>
    </row>
    <row r="450" spans="1:5" ht="15" customHeight="1">
      <c r="A450" s="124" t="s">
        <v>144</v>
      </c>
      <c r="B450" s="124" t="str">
        <f>IFERROR(VLOOKUP(Tablo8[[#This Row],[ ÜRÜN KODU]],YMKODLARI!$A$1:$H$383,2,0)," " )</f>
        <v>NEŞELİ ÇINGIRAK</v>
      </c>
      <c r="C450" s="125">
        <v>44004</v>
      </c>
      <c r="D450" s="124">
        <v>1000</v>
      </c>
      <c r="E450" s="124" t="s">
        <v>260</v>
      </c>
    </row>
    <row r="451" spans="1:5" ht="15" customHeight="1">
      <c r="A451" s="124" t="s">
        <v>143</v>
      </c>
      <c r="B451" s="124" t="str">
        <f>IFERROR(VLOOKUP(Tablo8[[#This Row],[ ÜRÜN KODU]],YMKODLARI!$A$1:$H$383,2,0)," " )</f>
        <v>NEŞELİ ÇINGIRAK</v>
      </c>
      <c r="C451" s="125">
        <v>44004</v>
      </c>
      <c r="D451" s="124">
        <v>1000</v>
      </c>
      <c r="E451" s="124" t="s">
        <v>260</v>
      </c>
    </row>
    <row r="452" spans="1:5" ht="15" customHeight="1">
      <c r="A452" s="124" t="s">
        <v>142</v>
      </c>
      <c r="B452" s="124" t="str">
        <f>IFERROR(VLOOKUP(Tablo8[[#This Row],[ ÜRÜN KODU]],YMKODLARI!$A$1:$H$383,2,0)," " )</f>
        <v>NEŞELİ ÇINGIRAK</v>
      </c>
      <c r="C452" s="125">
        <v>44004</v>
      </c>
      <c r="D452" s="124">
        <v>1000</v>
      </c>
      <c r="E452" s="124" t="s">
        <v>260</v>
      </c>
    </row>
    <row r="453" spans="1:5" ht="15" customHeight="1">
      <c r="A453" s="124" t="s">
        <v>34</v>
      </c>
      <c r="B453" s="124" t="str">
        <f>IFERROR(VLOOKUP(Tablo8[[#This Row],[ ÜRÜN KODU]],YMKODLARI!$A$1:$H$383,2,0)," " )</f>
        <v>BİBERON KLASİK  UC 1 NO</v>
      </c>
      <c r="C453" s="125">
        <v>44005</v>
      </c>
      <c r="D453" s="124">
        <v>9000</v>
      </c>
      <c r="E453" s="124" t="s">
        <v>260</v>
      </c>
    </row>
    <row r="454" spans="1:5" ht="15" customHeight="1">
      <c r="A454" s="124" t="s">
        <v>140</v>
      </c>
      <c r="B454" s="124" t="str">
        <f>IFERROR(VLOOKUP(Tablo8[[#This Row],[ ÜRÜN KODU]],YMKODLARI!$A$1:$H$383,2,0)," " )</f>
        <v>NEŞELİ ÇINGIRAK</v>
      </c>
      <c r="C454" s="125">
        <v>44005</v>
      </c>
      <c r="D454" s="124">
        <v>1000</v>
      </c>
      <c r="E454" s="124" t="s">
        <v>260</v>
      </c>
    </row>
    <row r="455" spans="1:5" ht="15" customHeight="1">
      <c r="A455" s="124" t="s">
        <v>144</v>
      </c>
      <c r="B455" s="124" t="str">
        <f>IFERROR(VLOOKUP(Tablo8[[#This Row],[ ÜRÜN KODU]],YMKODLARI!$A$1:$H$383,2,0)," " )</f>
        <v>NEŞELİ ÇINGIRAK</v>
      </c>
      <c r="C455" s="125">
        <v>44005</v>
      </c>
      <c r="D455" s="124">
        <v>1000</v>
      </c>
      <c r="E455" s="124" t="s">
        <v>260</v>
      </c>
    </row>
    <row r="456" spans="1:5" ht="15" customHeight="1">
      <c r="A456" s="124" t="s">
        <v>143</v>
      </c>
      <c r="B456" s="124" t="str">
        <f>IFERROR(VLOOKUP(Tablo8[[#This Row],[ ÜRÜN KODU]],YMKODLARI!$A$1:$H$383,2,0)," " )</f>
        <v>NEŞELİ ÇINGIRAK</v>
      </c>
      <c r="C456" s="125">
        <v>44005</v>
      </c>
      <c r="D456" s="124">
        <v>1000</v>
      </c>
      <c r="E456" s="124" t="s">
        <v>260</v>
      </c>
    </row>
    <row r="457" spans="1:5" ht="15" customHeight="1">
      <c r="A457" s="124" t="s">
        <v>142</v>
      </c>
      <c r="B457" s="124" t="str">
        <f>IFERROR(VLOOKUP(Tablo8[[#This Row],[ ÜRÜN KODU]],YMKODLARI!$A$1:$H$383,2,0)," " )</f>
        <v>NEŞELİ ÇINGIRAK</v>
      </c>
      <c r="C457" s="125">
        <v>44005</v>
      </c>
      <c r="D457" s="124">
        <v>1000</v>
      </c>
      <c r="E457" s="124" t="s">
        <v>260</v>
      </c>
    </row>
    <row r="458" spans="1:5" ht="15" customHeight="1">
      <c r="A458" s="124" t="s">
        <v>226</v>
      </c>
      <c r="B458" s="124" t="str">
        <f>IFERROR(VLOOKUP(Tablo8[[#This Row],[ ÜRÜN KODU]],YMKODLARI!$A$1:$H$383,2,0)," " )</f>
        <v>SAÇ FIRÇASI</v>
      </c>
      <c r="C458" s="125">
        <v>44005</v>
      </c>
      <c r="D458" s="124">
        <v>1479</v>
      </c>
      <c r="E458" s="124" t="s">
        <v>260</v>
      </c>
    </row>
    <row r="459" spans="1:5" ht="15" customHeight="1">
      <c r="A459" s="124" t="s">
        <v>227</v>
      </c>
      <c r="B459" s="124" t="str">
        <f>IFERROR(VLOOKUP(Tablo8[[#This Row],[ ÜRÜN KODU]],YMKODLARI!$A$1:$H$383,2,0)," " )</f>
        <v>SAÇ TARAĞI</v>
      </c>
      <c r="C459" s="125">
        <v>44005</v>
      </c>
      <c r="D459" s="124">
        <v>1500</v>
      </c>
      <c r="E459" s="124" t="s">
        <v>260</v>
      </c>
    </row>
    <row r="460" spans="1:5" ht="15" customHeight="1">
      <c r="A460" s="124" t="s">
        <v>34</v>
      </c>
      <c r="B460" s="124" t="str">
        <f>IFERROR(VLOOKUP(Tablo8[[#This Row],[ ÜRÜN KODU]],YMKODLARI!$A$1:$H$383,2,0)," " )</f>
        <v>BİBERON KLASİK  UC 1 NO</v>
      </c>
      <c r="C460" s="125">
        <v>44007</v>
      </c>
      <c r="D460" s="124">
        <v>16000</v>
      </c>
      <c r="E460" s="124" t="s">
        <v>260</v>
      </c>
    </row>
    <row r="461" spans="1:5" ht="15" customHeight="1">
      <c r="A461" s="124" t="s">
        <v>228</v>
      </c>
      <c r="B461" s="124" t="str">
        <f>IFERROR(VLOOKUP(Tablo8[[#This Row],[ ÜRÜN KODU]],YMKODLARI!$A$1:$H$383,2,0)," " )</f>
        <v>SAÇ FIRÇASI</v>
      </c>
      <c r="C461" s="125">
        <v>44007</v>
      </c>
      <c r="D461" s="124">
        <v>1527</v>
      </c>
      <c r="E461" s="124" t="s">
        <v>260</v>
      </c>
    </row>
    <row r="462" spans="1:5" ht="15" customHeight="1">
      <c r="A462" s="124" t="s">
        <v>229</v>
      </c>
      <c r="B462" s="124" t="str">
        <f>IFERROR(VLOOKUP(Tablo8[[#This Row],[ ÜRÜN KODU]],YMKODLARI!$A$1:$H$383,2,0)," " )</f>
        <v>SAÇ TARAĞI</v>
      </c>
      <c r="C462" s="125">
        <v>44007</v>
      </c>
      <c r="D462" s="124">
        <v>1511</v>
      </c>
      <c r="E462" s="124" t="s">
        <v>260</v>
      </c>
    </row>
    <row r="463" spans="1:5" ht="15" customHeight="1">
      <c r="A463" s="124" t="s">
        <v>32</v>
      </c>
      <c r="B463" s="124" t="str">
        <f>IFERROR(VLOOKUP(Tablo8[[#This Row],[ ÜRÜN KODU]],YMKODLARI!$A$1:$H$383,2,0)," " )</f>
        <v>GENİŞ AĞIZ BİBERON UCU</v>
      </c>
      <c r="C463" s="125">
        <v>44007</v>
      </c>
      <c r="D463" s="124">
        <v>1000</v>
      </c>
      <c r="E463" s="124" t="s">
        <v>260</v>
      </c>
    </row>
    <row r="464" spans="1:5" ht="15" customHeight="1">
      <c r="A464" s="124" t="s">
        <v>83</v>
      </c>
      <c r="B464" s="124" t="str">
        <f>IFERROR(VLOOKUP(Tablo8[[#This Row],[ ÜRÜN KODU]],YMKODLARI!$A$1:$H$383,2,0)," " )</f>
        <v>DAMAK EMZİK SAP</v>
      </c>
      <c r="C464" s="125">
        <v>44007</v>
      </c>
      <c r="D464" s="124">
        <v>3078</v>
      </c>
      <c r="E464" s="124" t="s">
        <v>260</v>
      </c>
    </row>
    <row r="465" spans="1:5" ht="15" customHeight="1">
      <c r="A465" s="124" t="s">
        <v>84</v>
      </c>
      <c r="B465" s="124" t="str">
        <f>IFERROR(VLOOKUP(Tablo8[[#This Row],[ ÜRÜN KODU]],YMKODLARI!$A$1:$H$383,2,0)," " )</f>
        <v>DAMAK EMZİK SAP</v>
      </c>
      <c r="C465" s="125">
        <v>44007</v>
      </c>
      <c r="D465" s="124">
        <v>7780</v>
      </c>
      <c r="E465" s="124" t="s">
        <v>260</v>
      </c>
    </row>
    <row r="466" spans="1:5" ht="15" customHeight="1">
      <c r="A466" s="124" t="s">
        <v>140</v>
      </c>
      <c r="B466" s="124" t="str">
        <f>IFERROR(VLOOKUP(Tablo8[[#This Row],[ ÜRÜN KODU]],YMKODLARI!$A$1:$H$383,2,0)," " )</f>
        <v>NEŞELİ ÇINGIRAK</v>
      </c>
      <c r="C466" s="125">
        <v>44007</v>
      </c>
      <c r="D466" s="124">
        <v>2389</v>
      </c>
      <c r="E466" s="124" t="s">
        <v>260</v>
      </c>
    </row>
    <row r="467" spans="1:5" ht="15" customHeight="1">
      <c r="A467" s="124" t="s">
        <v>144</v>
      </c>
      <c r="B467" s="124" t="str">
        <f>IFERROR(VLOOKUP(Tablo8[[#This Row],[ ÜRÜN KODU]],YMKODLARI!$A$1:$H$383,2,0)," " )</f>
        <v>NEŞELİ ÇINGIRAK</v>
      </c>
      <c r="C467" s="125">
        <v>44007</v>
      </c>
      <c r="D467" s="124">
        <v>2386</v>
      </c>
      <c r="E467" s="124" t="s">
        <v>260</v>
      </c>
    </row>
    <row r="468" spans="1:5" ht="15" customHeight="1">
      <c r="A468" s="124" t="s">
        <v>143</v>
      </c>
      <c r="B468" s="124" t="str">
        <f>IFERROR(VLOOKUP(Tablo8[[#This Row],[ ÜRÜN KODU]],YMKODLARI!$A$1:$H$383,2,0)," " )</f>
        <v>NEŞELİ ÇINGIRAK</v>
      </c>
      <c r="C468" s="125">
        <v>44007</v>
      </c>
      <c r="D468" s="124">
        <v>2338</v>
      </c>
      <c r="E468" s="124" t="s">
        <v>260</v>
      </c>
    </row>
    <row r="469" spans="1:5" ht="15" customHeight="1">
      <c r="A469" s="124" t="s">
        <v>142</v>
      </c>
      <c r="B469" s="124" t="str">
        <f>IFERROR(VLOOKUP(Tablo8[[#This Row],[ ÜRÜN KODU]],YMKODLARI!$A$1:$H$383,2,0)," " )</f>
        <v>NEŞELİ ÇINGIRAK</v>
      </c>
      <c r="C469" s="125">
        <v>44007</v>
      </c>
      <c r="D469" s="124">
        <v>2350</v>
      </c>
      <c r="E469" s="124" t="s">
        <v>260</v>
      </c>
    </row>
    <row r="470" spans="1:5" ht="15" customHeight="1">
      <c r="A470" s="124" t="s">
        <v>34</v>
      </c>
      <c r="B470" s="124" t="str">
        <f>IFERROR(VLOOKUP(Tablo8[[#This Row],[ ÜRÜN KODU]],YMKODLARI!$A$1:$H$383,2,0)," " )</f>
        <v>BİBERON KLASİK  UC 1 NO</v>
      </c>
      <c r="C470" s="125">
        <v>44008</v>
      </c>
      <c r="D470" s="124">
        <v>9000</v>
      </c>
      <c r="E470" s="124" t="s">
        <v>260</v>
      </c>
    </row>
    <row r="471" spans="1:5" ht="15" customHeight="1">
      <c r="A471" s="124" t="s">
        <v>188</v>
      </c>
      <c r="B471" s="124" t="str">
        <f>IFERROR(VLOOKUP(Tablo8[[#This Row],[ ÜRÜN KODU]],YMKODLARI!$A$1:$H$383,2,0)," " )</f>
        <v>YENİ DAMAK GÖVDE</v>
      </c>
      <c r="C471" s="125">
        <v>44008</v>
      </c>
      <c r="D471" s="124">
        <v>5370</v>
      </c>
      <c r="E471" s="124" t="s">
        <v>260</v>
      </c>
    </row>
    <row r="472" spans="1:5" ht="15" customHeight="1">
      <c r="A472" s="124" t="s">
        <v>86</v>
      </c>
      <c r="B472" s="124" t="str">
        <f>IFERROR(VLOOKUP(Tablo8[[#This Row],[ ÜRÜN KODU]],YMKODLARI!$A$1:$H$383,2,0)," " )</f>
        <v>DAMAK EMZİK SAP</v>
      </c>
      <c r="C472" s="125">
        <v>44008</v>
      </c>
      <c r="D472" s="124">
        <v>11947</v>
      </c>
      <c r="E472" s="124" t="s">
        <v>260</v>
      </c>
    </row>
    <row r="473" spans="1:5" ht="15" customHeight="1">
      <c r="A473" s="124" t="s">
        <v>85</v>
      </c>
      <c r="B473" s="124" t="str">
        <f>IFERROR(VLOOKUP(Tablo8[[#This Row],[ ÜRÜN KODU]],YMKODLARI!$A$1:$H$383,2,0)," " )</f>
        <v>DAMAK EMZİK SAP</v>
      </c>
      <c r="C473" s="125">
        <v>44008</v>
      </c>
      <c r="D473" s="124">
        <v>7796</v>
      </c>
      <c r="E473" s="124" t="s">
        <v>260</v>
      </c>
    </row>
    <row r="474" spans="1:5" ht="15" customHeight="1">
      <c r="A474" s="124" t="s">
        <v>70</v>
      </c>
      <c r="B474" s="124" t="str">
        <f>IFERROR(VLOOKUP(Tablo8[[#This Row],[ ÜRÜN KODU]],YMKODLARI!$A$1:$H$383,2,0)," " )</f>
        <v>DAMAK EMZİK SAP</v>
      </c>
      <c r="C474" s="125">
        <v>44008</v>
      </c>
      <c r="D474" s="124">
        <v>3543</v>
      </c>
      <c r="E474" s="124" t="s">
        <v>260</v>
      </c>
    </row>
    <row r="475" spans="1:5" ht="15" customHeight="1">
      <c r="A475" s="124" t="s">
        <v>230</v>
      </c>
      <c r="B475" s="124" t="str">
        <f>IFERROR(VLOOKUP(Tablo8[[#This Row],[ ÜRÜN KODU]],YMKODLARI!$A$1:$H$383,2,0)," " )</f>
        <v>SAÇ FIRÇASI</v>
      </c>
      <c r="C475" s="125">
        <v>44008</v>
      </c>
      <c r="D475" s="124">
        <v>1000</v>
      </c>
      <c r="E475" s="124" t="s">
        <v>260</v>
      </c>
    </row>
    <row r="476" spans="1:5" ht="15" customHeight="1">
      <c r="A476" s="124" t="s">
        <v>231</v>
      </c>
      <c r="B476" s="124" t="str">
        <f>IFERROR(VLOOKUP(Tablo8[[#This Row],[ ÜRÜN KODU]],YMKODLARI!$A$1:$H$383,2,0)," " )</f>
        <v>SAÇ TARAĞI</v>
      </c>
      <c r="C476" s="125">
        <v>44008</v>
      </c>
      <c r="D476" s="124">
        <v>1000</v>
      </c>
      <c r="E476" s="124" t="s">
        <v>260</v>
      </c>
    </row>
    <row r="477" spans="1:5" ht="15" customHeight="1">
      <c r="A477" s="124" t="s">
        <v>34</v>
      </c>
      <c r="B477" s="124" t="str">
        <f>IFERROR(VLOOKUP(Tablo8[[#This Row],[ ÜRÜN KODU]],YMKODLARI!$A$1:$H$383,2,0)," " )</f>
        <v>BİBERON KLASİK  UC 1 NO</v>
      </c>
      <c r="C477" s="125">
        <v>44011</v>
      </c>
      <c r="D477" s="124">
        <v>9000</v>
      </c>
      <c r="E477" s="124" t="s">
        <v>260</v>
      </c>
    </row>
    <row r="478" spans="1:5" ht="15" customHeight="1">
      <c r="A478" s="124" t="s">
        <v>124</v>
      </c>
      <c r="B478" s="124" t="str">
        <f>IFERROR(VLOOKUP(Tablo8[[#This Row],[ ÜRÜN KODU]],YMKODLARI!$A$1:$H$383,2,0)," " )</f>
        <v>DAMAK EMZİK GÖVDE</v>
      </c>
      <c r="C478" s="125">
        <v>44011</v>
      </c>
      <c r="D478" s="124">
        <v>5530</v>
      </c>
      <c r="E478" s="124" t="s">
        <v>260</v>
      </c>
    </row>
    <row r="479" spans="1:5" ht="15" customHeight="1">
      <c r="A479" s="124" t="s">
        <v>188</v>
      </c>
      <c r="B479" s="124" t="str">
        <f>IFERROR(VLOOKUP(Tablo8[[#This Row],[ ÜRÜN KODU]],YMKODLARI!$A$1:$H$383,2,0)," " )</f>
        <v>YENİ DAMAK GÖVDE</v>
      </c>
      <c r="C479" s="125">
        <v>44011</v>
      </c>
      <c r="D479" s="124">
        <v>818</v>
      </c>
      <c r="E479" s="124" t="s">
        <v>260</v>
      </c>
    </row>
    <row r="480" spans="1:5" ht="15" customHeight="1">
      <c r="A480" s="124" t="s">
        <v>230</v>
      </c>
      <c r="B480" s="124" t="str">
        <f>IFERROR(VLOOKUP(Tablo8[[#This Row],[ ÜRÜN KODU]],YMKODLARI!$A$1:$H$383,2,0)," " )</f>
        <v>SAÇ FIRÇASI</v>
      </c>
      <c r="C480" s="125">
        <v>44011</v>
      </c>
      <c r="D480" s="124">
        <v>500</v>
      </c>
      <c r="E480" s="124" t="s">
        <v>260</v>
      </c>
    </row>
    <row r="481" spans="1:5" ht="15" customHeight="1">
      <c r="A481" s="124" t="s">
        <v>231</v>
      </c>
      <c r="B481" s="124" t="str">
        <f>IFERROR(VLOOKUP(Tablo8[[#This Row],[ ÜRÜN KODU]],YMKODLARI!$A$1:$H$383,2,0)," " )</f>
        <v>SAÇ TARAĞI</v>
      </c>
      <c r="C481" s="125">
        <v>44011</v>
      </c>
      <c r="D481" s="124">
        <v>500</v>
      </c>
      <c r="E481" s="124" t="s">
        <v>260</v>
      </c>
    </row>
    <row r="482" spans="1:5" ht="15" customHeight="1">
      <c r="A482" s="124" t="s">
        <v>34</v>
      </c>
      <c r="B482" s="124" t="str">
        <f>IFERROR(VLOOKUP(Tablo8[[#This Row],[ ÜRÜN KODU]],YMKODLARI!$A$1:$H$383,2,0)," " )</f>
        <v>BİBERON KLASİK  UC 1 NO</v>
      </c>
      <c r="C482" s="125">
        <v>44012</v>
      </c>
      <c r="D482" s="124">
        <v>8000</v>
      </c>
      <c r="E482" s="124" t="s">
        <v>260</v>
      </c>
    </row>
    <row r="483" spans="1:5" ht="15" customHeight="1">
      <c r="A483" s="124" t="s">
        <v>137</v>
      </c>
      <c r="B483" s="124" t="str">
        <f>IFERROR(VLOOKUP(Tablo8[[#This Row],[ ÜRÜN KODU]],YMKODLARI!$A$1:$H$383,2,0)," " )</f>
        <v>DAMAK EMZİK GÖVDE</v>
      </c>
      <c r="C483" s="125">
        <v>44012</v>
      </c>
      <c r="D483" s="124">
        <v>7000</v>
      </c>
      <c r="E483" s="124" t="s">
        <v>260</v>
      </c>
    </row>
    <row r="484" spans="1:5" ht="15" customHeight="1">
      <c r="A484" s="124" t="s">
        <v>215</v>
      </c>
      <c r="B484" s="124" t="str">
        <f>IFERROR(VLOOKUP(Tablo8[[#This Row],[ ÜRÜN KODU]],YMKODLARI!$A$1:$H$383,2,0)," " )</f>
        <v>MAMA KAŞIĞI SAP</v>
      </c>
      <c r="C484" s="125">
        <v>44012</v>
      </c>
      <c r="D484" s="124">
        <v>11000</v>
      </c>
      <c r="E484" s="124" t="s">
        <v>260</v>
      </c>
    </row>
    <row r="485" spans="1:5" ht="15" customHeight="1">
      <c r="A485" s="124" t="s">
        <v>34</v>
      </c>
      <c r="B485" s="124" t="str">
        <f>IFERROR(VLOOKUP(Tablo8[[#This Row],[ ÜRÜN KODU]],YMKODLARI!$A$1:$H$383,2,0)," " )</f>
        <v>BİBERON KLASİK  UC 1 NO</v>
      </c>
      <c r="C485" s="125">
        <v>44013</v>
      </c>
      <c r="D485" s="124">
        <v>8000</v>
      </c>
      <c r="E485" s="124" t="s">
        <v>261</v>
      </c>
    </row>
    <row r="486" spans="1:5" ht="15" customHeight="1">
      <c r="A486" s="124" t="s">
        <v>137</v>
      </c>
      <c r="B486" s="124" t="str">
        <f>IFERROR(VLOOKUP(Tablo8[[#This Row],[ ÜRÜN KODU]],YMKODLARI!$A$1:$H$383,2,0)," " )</f>
        <v>DAMAK EMZİK GÖVDE</v>
      </c>
      <c r="C486" s="125">
        <v>44013</v>
      </c>
      <c r="D486" s="124">
        <v>4489</v>
      </c>
      <c r="E486" s="124" t="s">
        <v>261</v>
      </c>
    </row>
    <row r="487" spans="1:5" ht="15" customHeight="1">
      <c r="A487" s="124" t="s">
        <v>169</v>
      </c>
      <c r="B487" s="124" t="str">
        <f>IFERROR(VLOOKUP(Tablo8[[#This Row],[ ÜRÜN KODU]],YMKODLARI!$A$1:$H$383,2,0)," " )</f>
        <v>DAMAK EMZİK GÖVDE</v>
      </c>
      <c r="C487" s="125">
        <v>44013</v>
      </c>
      <c r="D487" s="124">
        <v>4000</v>
      </c>
      <c r="E487" s="124" t="s">
        <v>261</v>
      </c>
    </row>
    <row r="488" spans="1:5" ht="15" customHeight="1">
      <c r="A488" s="124" t="s">
        <v>217</v>
      </c>
      <c r="B488" s="124" t="str">
        <f>IFERROR(VLOOKUP(Tablo8[[#This Row],[ ÜRÜN KODU]],YMKODLARI!$A$1:$H$383,2,0)," " )</f>
        <v>MAMA KAŞIĞI SAP</v>
      </c>
      <c r="C488" s="125">
        <v>44013</v>
      </c>
      <c r="D488" s="124">
        <v>5125</v>
      </c>
      <c r="E488" s="124" t="s">
        <v>261</v>
      </c>
    </row>
    <row r="489" spans="1:5" ht="15" customHeight="1">
      <c r="A489" s="124" t="s">
        <v>215</v>
      </c>
      <c r="B489" s="124" t="str">
        <f>IFERROR(VLOOKUP(Tablo8[[#This Row],[ ÜRÜN KODU]],YMKODLARI!$A$1:$H$383,2,0)," " )</f>
        <v>MAMA KAŞIĞI SAP</v>
      </c>
      <c r="C489" s="125">
        <v>44013</v>
      </c>
      <c r="D489" s="124">
        <v>4600</v>
      </c>
      <c r="E489" s="124" t="s">
        <v>261</v>
      </c>
    </row>
    <row r="490" spans="1:5" ht="15" customHeight="1">
      <c r="A490" s="124" t="s">
        <v>216</v>
      </c>
      <c r="B490" s="124" t="str">
        <f>IFERROR(VLOOKUP(Tablo8[[#This Row],[ ÜRÜN KODU]],YMKODLARI!$A$1:$H$383,2,0)," " )</f>
        <v>MAMA KAŞIĞI SAP</v>
      </c>
      <c r="C490" s="125">
        <v>44013</v>
      </c>
      <c r="D490" s="124">
        <v>5296</v>
      </c>
      <c r="E490" s="124" t="s">
        <v>261</v>
      </c>
    </row>
    <row r="491" spans="1:5" ht="15" customHeight="1">
      <c r="A491" s="124" t="s">
        <v>34</v>
      </c>
      <c r="B491" s="124" t="str">
        <f>IFERROR(VLOOKUP(Tablo8[[#This Row],[ ÜRÜN KODU]],YMKODLARI!$A$1:$H$383,2,0)," " )</f>
        <v>BİBERON KLASİK  UC 1 NO</v>
      </c>
      <c r="C491" s="125">
        <v>44014</v>
      </c>
      <c r="D491" s="124">
        <v>5000</v>
      </c>
      <c r="E491" s="124" t="s">
        <v>261</v>
      </c>
    </row>
    <row r="492" spans="1:5" ht="15" customHeight="1">
      <c r="A492" s="124" t="s">
        <v>26</v>
      </c>
      <c r="B492" s="124" t="str">
        <f>IFERROR(VLOOKUP(Tablo8[[#This Row],[ ÜRÜN KODU]],YMKODLARI!$A$1:$H$383,2,0)," " )</f>
        <v>DAMAK EMZİK UCU 1 NO</v>
      </c>
      <c r="C492" s="125">
        <v>44014</v>
      </c>
      <c r="D492" s="124">
        <v>6000</v>
      </c>
      <c r="E492" s="124" t="s">
        <v>261</v>
      </c>
    </row>
    <row r="493" spans="1:5" ht="15" customHeight="1">
      <c r="A493" s="124" t="s">
        <v>42</v>
      </c>
      <c r="B493" s="124" t="str">
        <f>IFERROR(VLOOKUP(Tablo8[[#This Row],[ ÜRÜN KODU]],YMKODLARI!$A$1:$H$383,2,0)," " )</f>
        <v>DAMAK EMZİK UCU 2 NO</v>
      </c>
      <c r="C493" s="125">
        <v>44014</v>
      </c>
      <c r="D493" s="124">
        <v>1000</v>
      </c>
      <c r="E493" s="124" t="s">
        <v>261</v>
      </c>
    </row>
    <row r="494" spans="1:5" ht="15" customHeight="1">
      <c r="A494" s="124" t="s">
        <v>169</v>
      </c>
      <c r="B494" s="124" t="str">
        <f>IFERROR(VLOOKUP(Tablo8[[#This Row],[ ÜRÜN KODU]],YMKODLARI!$A$1:$H$383,2,0)," " )</f>
        <v>DAMAK EMZİK GÖVDE</v>
      </c>
      <c r="C494" s="125">
        <v>44014</v>
      </c>
      <c r="D494" s="124">
        <v>8000</v>
      </c>
      <c r="E494" s="124" t="s">
        <v>261</v>
      </c>
    </row>
    <row r="495" spans="1:5" ht="15" customHeight="1">
      <c r="A495" s="124" t="s">
        <v>53</v>
      </c>
      <c r="B495" s="124" t="str">
        <f>IFERROR(VLOOKUP(Tablo8[[#This Row],[ ÜRÜN KODU]],YMKODLARI!$A$1:$H$383,2,0)," " )</f>
        <v xml:space="preserve">SİLİKON MAMA KAŞIĞI UCU </v>
      </c>
      <c r="C495" s="125">
        <v>44014</v>
      </c>
      <c r="D495" s="124">
        <v>480</v>
      </c>
      <c r="E495" s="124" t="s">
        <v>261</v>
      </c>
    </row>
    <row r="496" spans="1:5" ht="15" customHeight="1">
      <c r="A496" s="124" t="s">
        <v>52</v>
      </c>
      <c r="B496" s="124" t="str">
        <f>IFERROR(VLOOKUP(Tablo8[[#This Row],[ ÜRÜN KODU]],YMKODLARI!$A$1:$H$383,2,0)," " )</f>
        <v>BURUN POMPASI</v>
      </c>
      <c r="C496" s="125">
        <v>44014</v>
      </c>
      <c r="D496" s="124">
        <v>900</v>
      </c>
      <c r="E496" s="124" t="s">
        <v>261</v>
      </c>
    </row>
    <row r="497" spans="1:5" ht="15" customHeight="1">
      <c r="A497" s="124" t="s">
        <v>75</v>
      </c>
      <c r="B497" s="124" t="str">
        <f>IFERROR(VLOOKUP(Tablo8[[#This Row],[ ÜRÜN KODU]],YMKODLARI!$A$1:$H$383,2,0)," " )</f>
        <v>MAMA KAŞIĞI TIPA</v>
      </c>
      <c r="C497" s="125">
        <v>44014</v>
      </c>
      <c r="D497" s="124">
        <v>8000</v>
      </c>
      <c r="E497" s="124" t="s">
        <v>261</v>
      </c>
    </row>
    <row r="498" spans="1:5" ht="15" customHeight="1">
      <c r="A498" s="124" t="s">
        <v>46</v>
      </c>
      <c r="B498" s="124" t="str">
        <f>IFERROR(VLOOKUP(Tablo8[[#This Row],[ ÜRÜN KODU]],YMKODLARI!$A$1:$H$383,2,0)," " )</f>
        <v>BİBERON KLASİK  UC 3 NO</v>
      </c>
      <c r="C498" s="125">
        <v>44015</v>
      </c>
      <c r="D498" s="124">
        <v>1483</v>
      </c>
      <c r="E498" s="124" t="s">
        <v>261</v>
      </c>
    </row>
    <row r="499" spans="1:5" ht="15" customHeight="1">
      <c r="A499" s="124" t="s">
        <v>34</v>
      </c>
      <c r="B499" s="124" t="str">
        <f>IFERROR(VLOOKUP(Tablo8[[#This Row],[ ÜRÜN KODU]],YMKODLARI!$A$1:$H$383,2,0)," " )</f>
        <v>BİBERON KLASİK  UC 1 NO</v>
      </c>
      <c r="C499" s="125">
        <v>44015</v>
      </c>
      <c r="D499" s="124">
        <v>823</v>
      </c>
      <c r="E499" s="124" t="s">
        <v>261</v>
      </c>
    </row>
    <row r="500" spans="1:5" ht="15" customHeight="1">
      <c r="A500" s="124" t="s">
        <v>26</v>
      </c>
      <c r="B500" s="124" t="str">
        <f>IFERROR(VLOOKUP(Tablo8[[#This Row],[ ÜRÜN KODU]],YMKODLARI!$A$1:$H$383,2,0)," " )</f>
        <v>DAMAK EMZİK UCU 1 NO</v>
      </c>
      <c r="C500" s="125">
        <v>44015</v>
      </c>
      <c r="D500" s="124">
        <v>7000</v>
      </c>
      <c r="E500" s="124" t="s">
        <v>261</v>
      </c>
    </row>
    <row r="501" spans="1:5" ht="15" customHeight="1">
      <c r="A501" s="124" t="s">
        <v>42</v>
      </c>
      <c r="B501" s="124" t="str">
        <f>IFERROR(VLOOKUP(Tablo8[[#This Row],[ ÜRÜN KODU]],YMKODLARI!$A$1:$H$383,2,0)," " )</f>
        <v>DAMAK EMZİK UCU 2 NO</v>
      </c>
      <c r="C501" s="125">
        <v>44015</v>
      </c>
      <c r="D501" s="124">
        <v>2000</v>
      </c>
      <c r="E501" s="124" t="s">
        <v>261</v>
      </c>
    </row>
    <row r="502" spans="1:5" ht="15" customHeight="1">
      <c r="A502" s="124" t="s">
        <v>75</v>
      </c>
      <c r="B502" s="124" t="str">
        <f>IFERROR(VLOOKUP(Tablo8[[#This Row],[ ÜRÜN KODU]],YMKODLARI!$A$1:$H$383,2,0)," " )</f>
        <v>MAMA KAŞIĞI TIPA</v>
      </c>
      <c r="C502" s="125">
        <v>44015</v>
      </c>
      <c r="D502" s="124">
        <v>6345</v>
      </c>
      <c r="E502" s="124" t="s">
        <v>261</v>
      </c>
    </row>
    <row r="503" spans="1:5" ht="15" customHeight="1">
      <c r="A503" s="124" t="s">
        <v>32</v>
      </c>
      <c r="B503" s="124" t="str">
        <f>IFERROR(VLOOKUP(Tablo8[[#This Row],[ ÜRÜN KODU]],YMKODLARI!$A$1:$H$383,2,0)," " )</f>
        <v>GENİŞ AĞIZ BİBERON UCU</v>
      </c>
      <c r="C503" s="125">
        <v>44015</v>
      </c>
      <c r="D503" s="124">
        <v>197</v>
      </c>
      <c r="E503" s="124" t="s">
        <v>261</v>
      </c>
    </row>
    <row r="504" spans="1:5" ht="15" customHeight="1">
      <c r="A504" s="124" t="s">
        <v>166</v>
      </c>
      <c r="B504" s="124" t="str">
        <f>IFERROR(VLOOKUP(Tablo8[[#This Row],[ ÜRÜN KODU]],YMKODLARI!$A$1:$H$383,2,0)," " )</f>
        <v>DAMAK EMZİK GÖVDE</v>
      </c>
      <c r="C504" s="125">
        <v>44015</v>
      </c>
      <c r="D504" s="124">
        <v>9093</v>
      </c>
      <c r="E504" s="124" t="s">
        <v>261</v>
      </c>
    </row>
    <row r="505" spans="1:5" ht="15" customHeight="1">
      <c r="A505" s="124" t="s">
        <v>169</v>
      </c>
      <c r="B505" s="124" t="str">
        <f>IFERROR(VLOOKUP(Tablo8[[#This Row],[ ÜRÜN KODU]],YMKODLARI!$A$1:$H$383,2,0)," " )</f>
        <v>DAMAK EMZİK GÖVDE</v>
      </c>
      <c r="C505" s="125">
        <v>44015</v>
      </c>
      <c r="D505" s="124">
        <v>1000</v>
      </c>
      <c r="E505" s="124" t="s">
        <v>261</v>
      </c>
    </row>
    <row r="506" spans="1:5" ht="15" customHeight="1">
      <c r="A506" s="124" t="s">
        <v>34</v>
      </c>
      <c r="B506" s="124" t="str">
        <f>IFERROR(VLOOKUP(Tablo8[[#This Row],[ ÜRÜN KODU]],YMKODLARI!$A$1:$H$383,2,0)," " )</f>
        <v>BİBERON KLASİK  UC 1 NO</v>
      </c>
      <c r="C506" s="125">
        <v>44020</v>
      </c>
      <c r="D506" s="124">
        <v>4000</v>
      </c>
      <c r="E506" s="124" t="s">
        <v>261</v>
      </c>
    </row>
    <row r="507" spans="1:5" ht="15" customHeight="1">
      <c r="A507" s="124" t="s">
        <v>26</v>
      </c>
      <c r="B507" s="124" t="str">
        <f>IFERROR(VLOOKUP(Tablo8[[#This Row],[ ÜRÜN KODU]],YMKODLARI!$A$1:$H$383,2,0)," " )</f>
        <v>DAMAK EMZİK UCU 1 NO</v>
      </c>
      <c r="C507" s="125">
        <v>44020</v>
      </c>
      <c r="D507" s="124">
        <v>7944</v>
      </c>
      <c r="E507" s="124" t="s">
        <v>261</v>
      </c>
    </row>
    <row r="508" spans="1:5" ht="15" customHeight="1">
      <c r="A508" s="124" t="s">
        <v>87</v>
      </c>
      <c r="B508" s="124" t="str">
        <f>IFERROR(VLOOKUP(Tablo8[[#This Row],[ ÜRÜN KODU]],YMKODLARI!$A$1:$H$383,2,0)," " )</f>
        <v>EMZİK ASKISI MANDAL</v>
      </c>
      <c r="C508" s="125">
        <v>44020</v>
      </c>
      <c r="D508" s="124">
        <v>33400</v>
      </c>
      <c r="E508" s="124" t="s">
        <v>261</v>
      </c>
    </row>
    <row r="509" spans="1:5" ht="15" customHeight="1">
      <c r="A509" s="124" t="s">
        <v>233</v>
      </c>
      <c r="B509" s="124" t="str">
        <f>IFERROR(VLOOKUP(Tablo8[[#This Row],[ ÜRÜN KODU]],YMKODLARI!$A$1:$H$383,2,0)," " )</f>
        <v>EMZİK ASKISI ZİNCİR</v>
      </c>
      <c r="C509" s="125">
        <v>44020</v>
      </c>
      <c r="D509" s="124">
        <v>4050</v>
      </c>
      <c r="E509" s="124" t="s">
        <v>261</v>
      </c>
    </row>
    <row r="510" spans="1:5" ht="15" customHeight="1">
      <c r="A510" s="124" t="s">
        <v>232</v>
      </c>
      <c r="B510" s="124" t="str">
        <f>IFERROR(VLOOKUP(Tablo8[[#This Row],[ ÜRÜN KODU]],YMKODLARI!$A$1:$H$383,2,0)," " )</f>
        <v>EMZİK ASKISI ZİNCİR</v>
      </c>
      <c r="C510" s="125">
        <v>44020</v>
      </c>
      <c r="D510" s="124">
        <v>4075</v>
      </c>
      <c r="E510" s="124" t="s">
        <v>261</v>
      </c>
    </row>
    <row r="511" spans="1:5" ht="15" customHeight="1">
      <c r="A511" s="124" t="s">
        <v>167</v>
      </c>
      <c r="B511" s="124" t="str">
        <f>IFERROR(VLOOKUP(Tablo8[[#This Row],[ ÜRÜN KODU]],YMKODLARI!$A$1:$H$383,2,0)," " )</f>
        <v>DAMAK EMZİK GÖVDE</v>
      </c>
      <c r="C511" s="125">
        <v>44020</v>
      </c>
      <c r="D511" s="124">
        <v>15740</v>
      </c>
      <c r="E511" s="124" t="s">
        <v>261</v>
      </c>
    </row>
    <row r="512" spans="1:5" ht="15" customHeight="1">
      <c r="A512" s="124" t="s">
        <v>136</v>
      </c>
      <c r="B512" s="124" t="str">
        <f>IFERROR(VLOOKUP(Tablo8[[#This Row],[ ÜRÜN KODU]],YMKODLARI!$A$1:$H$383,2,0)," " )</f>
        <v>DAMAK EMZİK TIPA</v>
      </c>
      <c r="C512" s="125">
        <v>44025</v>
      </c>
      <c r="D512" s="124">
        <v>21000</v>
      </c>
      <c r="E512" s="124" t="s">
        <v>261</v>
      </c>
    </row>
    <row r="513" spans="1:5" ht="15" customHeight="1">
      <c r="A513" s="124" t="s">
        <v>52</v>
      </c>
      <c r="B513" s="124" t="str">
        <f>IFERROR(VLOOKUP(Tablo8[[#This Row],[ ÜRÜN KODU]],YMKODLARI!$A$1:$H$383,2,0)," " )</f>
        <v>BURUN POMPASI</v>
      </c>
      <c r="C513" s="125">
        <v>44025</v>
      </c>
      <c r="D513" s="124">
        <v>2400</v>
      </c>
      <c r="E513" s="124" t="s">
        <v>261</v>
      </c>
    </row>
    <row r="514" spans="1:5" ht="15" customHeight="1">
      <c r="A514" s="124" t="s">
        <v>236</v>
      </c>
      <c r="B514" s="124" t="str">
        <f>IFERROR(VLOOKUP(Tablo8[[#This Row],[ ÜRÜN KODU]],YMKODLARI!$A$1:$H$383,2,0)," " )</f>
        <v>EMZİK ASKISI ZİNCİR</v>
      </c>
      <c r="C514" s="125">
        <v>44025</v>
      </c>
      <c r="D514" s="124">
        <v>5245</v>
      </c>
      <c r="E514" s="124" t="s">
        <v>261</v>
      </c>
    </row>
    <row r="515" spans="1:5" ht="15" customHeight="1">
      <c r="A515" s="124" t="s">
        <v>235</v>
      </c>
      <c r="B515" s="124" t="str">
        <f>IFERROR(VLOOKUP(Tablo8[[#This Row],[ ÜRÜN KODU]],YMKODLARI!$A$1:$H$383,2,0)," " )</f>
        <v>EMZİK ASKISI ZİNCİR</v>
      </c>
      <c r="C515" s="125">
        <v>44025</v>
      </c>
      <c r="D515" s="124">
        <v>5245</v>
      </c>
      <c r="E515" s="124" t="s">
        <v>261</v>
      </c>
    </row>
    <row r="516" spans="1:5" ht="15" customHeight="1">
      <c r="A516" s="124" t="s">
        <v>234</v>
      </c>
      <c r="B516" s="124" t="str">
        <f>IFERROR(VLOOKUP(Tablo8[[#This Row],[ ÜRÜN KODU]],YMKODLARI!$A$1:$H$383,2,0)," " )</f>
        <v>EMZİK ASKISI ZİNCİR</v>
      </c>
      <c r="C516" s="125">
        <v>44025</v>
      </c>
      <c r="D516" s="124">
        <v>4880</v>
      </c>
      <c r="E516" s="124" t="s">
        <v>261</v>
      </c>
    </row>
    <row r="517" spans="1:5" ht="15" customHeight="1">
      <c r="A517" s="124" t="s">
        <v>88</v>
      </c>
      <c r="B517" s="124" t="str">
        <f>IFERROR(VLOOKUP(Tablo8[[#This Row],[ ÜRÜN KODU]],YMKODLARI!$A$1:$H$383,2,0)," " )</f>
        <v>EMZİK ASKISI KANCA</v>
      </c>
      <c r="C517" s="125">
        <v>44025</v>
      </c>
      <c r="D517" s="124">
        <v>9775</v>
      </c>
      <c r="E517" s="124" t="s">
        <v>261</v>
      </c>
    </row>
    <row r="518" spans="1:5" ht="15" customHeight="1">
      <c r="A518" s="124" t="s">
        <v>26</v>
      </c>
      <c r="B518" s="124" t="str">
        <f>IFERROR(VLOOKUP(Tablo8[[#This Row],[ ÜRÜN KODU]],YMKODLARI!$A$1:$H$383,2,0)," " )</f>
        <v>DAMAK EMZİK UCU 1 NO</v>
      </c>
      <c r="C518" s="125">
        <v>44028</v>
      </c>
      <c r="D518" s="124">
        <v>4000</v>
      </c>
      <c r="E518" s="124" t="s">
        <v>261</v>
      </c>
    </row>
    <row r="519" spans="1:5" ht="15" customHeight="1">
      <c r="A519" s="124" t="s">
        <v>46</v>
      </c>
      <c r="B519" s="124" t="str">
        <f>IFERROR(VLOOKUP(Tablo8[[#This Row],[ ÜRÜN KODU]],YMKODLARI!$A$1:$H$383,2,0)," " )</f>
        <v>BİBERON KLASİK  UC 3 NO</v>
      </c>
      <c r="C519" s="125">
        <v>44028</v>
      </c>
      <c r="D519" s="124">
        <v>7000</v>
      </c>
      <c r="E519" s="124" t="s">
        <v>261</v>
      </c>
    </row>
    <row r="520" spans="1:5" ht="15" customHeight="1">
      <c r="A520" s="124" t="s">
        <v>52</v>
      </c>
      <c r="B520" s="124" t="str">
        <f>IFERROR(VLOOKUP(Tablo8[[#This Row],[ ÜRÜN KODU]],YMKODLARI!$A$1:$H$383,2,0)," " )</f>
        <v>BURUN POMPASI</v>
      </c>
      <c r="C520" s="125">
        <v>44028</v>
      </c>
      <c r="D520" s="124">
        <v>1170</v>
      </c>
      <c r="E520" s="124" t="s">
        <v>261</v>
      </c>
    </row>
    <row r="521" spans="1:5" ht="15" customHeight="1">
      <c r="A521" s="124" t="s">
        <v>90</v>
      </c>
      <c r="B521" s="124" t="str">
        <f>IFERROR(VLOOKUP(Tablo8[[#This Row],[ ÜRÜN KODU]],YMKODLARI!$A$1:$H$383,2,0)," " )</f>
        <v>EMZİK ASKI TIPA ÖRDEK</v>
      </c>
      <c r="C521" s="125">
        <v>44028</v>
      </c>
      <c r="D521" s="124">
        <v>4345</v>
      </c>
      <c r="E521" s="124" t="s">
        <v>261</v>
      </c>
    </row>
    <row r="522" spans="1:5" ht="15" customHeight="1">
      <c r="A522" s="124" t="s">
        <v>89</v>
      </c>
      <c r="B522" s="124" t="str">
        <f>IFERROR(VLOOKUP(Tablo8[[#This Row],[ ÜRÜN KODU]],YMKODLARI!$A$1:$H$383,2,0)," " )</f>
        <v>EMZİK ASKI TIPA ÖRDEK</v>
      </c>
      <c r="C522" s="125">
        <v>44028</v>
      </c>
      <c r="D522" s="124">
        <v>5210</v>
      </c>
      <c r="E522" s="124" t="s">
        <v>261</v>
      </c>
    </row>
    <row r="523" spans="1:5" ht="15" customHeight="1">
      <c r="A523" s="124" t="s">
        <v>176</v>
      </c>
      <c r="B523" s="124" t="str">
        <f>IFERROR(VLOOKUP(Tablo8[[#This Row],[ ÜRÜN KODU]],YMKODLARI!$A$1:$H$383,2,0)," " )</f>
        <v xml:space="preserve">BİBERON KAPAĞI </v>
      </c>
      <c r="C523" s="125">
        <v>44028</v>
      </c>
      <c r="D523" s="124">
        <v>2500</v>
      </c>
      <c r="E523" s="124" t="s">
        <v>261</v>
      </c>
    </row>
    <row r="524" spans="1:5" ht="15" customHeight="1">
      <c r="A524" s="124" t="s">
        <v>26</v>
      </c>
      <c r="B524" s="124" t="str">
        <f>IFERROR(VLOOKUP(Tablo8[[#This Row],[ ÜRÜN KODU]],YMKODLARI!$A$1:$H$383,2,0)," " )</f>
        <v>DAMAK EMZİK UCU 1 NO</v>
      </c>
      <c r="C524" s="125">
        <v>44032</v>
      </c>
      <c r="D524" s="124">
        <v>12000</v>
      </c>
      <c r="E524" s="124" t="s">
        <v>261</v>
      </c>
    </row>
    <row r="525" spans="1:5" ht="15" customHeight="1">
      <c r="A525" s="124" t="s">
        <v>34</v>
      </c>
      <c r="B525" s="124" t="str">
        <f>IFERROR(VLOOKUP(Tablo8[[#This Row],[ ÜRÜN KODU]],YMKODLARI!$A$1:$H$383,2,0)," " )</f>
        <v>BİBERON KLASİK  UC 1 NO</v>
      </c>
      <c r="C525" s="125">
        <v>44032</v>
      </c>
      <c r="D525" s="124">
        <v>3000</v>
      </c>
      <c r="E525" s="124" t="s">
        <v>261</v>
      </c>
    </row>
    <row r="526" spans="1:5" ht="15" customHeight="1">
      <c r="A526" s="124" t="s">
        <v>93</v>
      </c>
      <c r="B526" s="124" t="str">
        <f>IFERROR(VLOOKUP(Tablo8[[#This Row],[ ÜRÜN KODU]],YMKODLARI!$A$1:$H$383,2,0)," " )</f>
        <v>EMZİK ASKI TIPA ÖRDEK</v>
      </c>
      <c r="C526" s="125">
        <v>44032</v>
      </c>
      <c r="D526" s="124">
        <v>3215</v>
      </c>
      <c r="E526" s="124" t="s">
        <v>261</v>
      </c>
    </row>
    <row r="527" spans="1:5" ht="15" customHeight="1">
      <c r="A527" s="124" t="s">
        <v>92</v>
      </c>
      <c r="B527" s="124" t="str">
        <f>IFERROR(VLOOKUP(Tablo8[[#This Row],[ ÜRÜN KODU]],YMKODLARI!$A$1:$H$383,2,0)," " )</f>
        <v>EMZİK ASKI TIPA ÖRDEK</v>
      </c>
      <c r="C527" s="125">
        <v>44032</v>
      </c>
      <c r="D527" s="124">
        <v>2700</v>
      </c>
      <c r="E527" s="124" t="s">
        <v>261</v>
      </c>
    </row>
    <row r="528" spans="1:5" ht="15" customHeight="1">
      <c r="A528" s="124" t="s">
        <v>91</v>
      </c>
      <c r="B528" s="124" t="str">
        <f>IFERROR(VLOOKUP(Tablo8[[#This Row],[ ÜRÜN KODU]],YMKODLARI!$A$1:$H$383,2,0)," " )</f>
        <v>EMZİK ASKI TIPA ÖRDEK</v>
      </c>
      <c r="C528" s="125">
        <v>44032</v>
      </c>
      <c r="D528" s="124">
        <v>4260</v>
      </c>
      <c r="E528" s="124" t="s">
        <v>261</v>
      </c>
    </row>
    <row r="529" spans="1:5" ht="15" customHeight="1">
      <c r="A529" s="124" t="s">
        <v>94</v>
      </c>
      <c r="B529" s="124" t="str">
        <f>IFERROR(VLOOKUP(Tablo8[[#This Row],[ ÜRÜN KODU]],YMKODLARI!$A$1:$H$383,2,0)," " )</f>
        <v>EMZİK ASKI TIPA ÖRDEK</v>
      </c>
      <c r="C529" s="125">
        <v>44032</v>
      </c>
      <c r="D529" s="124">
        <v>3275</v>
      </c>
      <c r="E529" s="124" t="s">
        <v>261</v>
      </c>
    </row>
    <row r="530" spans="1:5" ht="15" customHeight="1">
      <c r="A530" s="124" t="s">
        <v>176</v>
      </c>
      <c r="B530" s="124" t="str">
        <f>IFERROR(VLOOKUP(Tablo8[[#This Row],[ ÜRÜN KODU]],YMKODLARI!$A$1:$H$383,2,0)," " )</f>
        <v xml:space="preserve">BİBERON KAPAĞI </v>
      </c>
      <c r="C530" s="125">
        <v>44032</v>
      </c>
      <c r="D530" s="124">
        <v>13180</v>
      </c>
      <c r="E530" s="124" t="s">
        <v>261</v>
      </c>
    </row>
    <row r="531" spans="1:5" ht="15" customHeight="1">
      <c r="A531" s="124" t="s">
        <v>34</v>
      </c>
      <c r="B531" s="124" t="str">
        <f>IFERROR(VLOOKUP(Tablo8[[#This Row],[ ÜRÜN KODU]],YMKODLARI!$A$1:$H$383,2,0)," " )</f>
        <v>BİBERON KLASİK  UC 1 NO</v>
      </c>
      <c r="C531" s="125">
        <v>44033</v>
      </c>
      <c r="D531" s="124">
        <v>1000</v>
      </c>
      <c r="E531" s="124" t="s">
        <v>261</v>
      </c>
    </row>
    <row r="532" spans="1:5" ht="15" customHeight="1">
      <c r="A532" s="124" t="s">
        <v>26</v>
      </c>
      <c r="B532" s="124" t="str">
        <f>IFERROR(VLOOKUP(Tablo8[[#This Row],[ ÜRÜN KODU]],YMKODLARI!$A$1:$H$383,2,0)," " )</f>
        <v>DAMAK EMZİK UCU 1 NO</v>
      </c>
      <c r="C532" s="125">
        <v>44033</v>
      </c>
      <c r="D532" s="124">
        <v>16000</v>
      </c>
      <c r="E532" s="124" t="s">
        <v>261</v>
      </c>
    </row>
    <row r="533" spans="1:5" ht="15" customHeight="1">
      <c r="A533" s="124" t="s">
        <v>96</v>
      </c>
      <c r="B533" s="124" t="str">
        <f>IFERROR(VLOOKUP(Tablo8[[#This Row],[ ÜRÜN KODU]],YMKODLARI!$A$1:$H$383,2,0)," " )</f>
        <v>EMZİK ASKI TIPA ÖRDEK</v>
      </c>
      <c r="C533" s="125">
        <v>44033</v>
      </c>
      <c r="D533" s="124">
        <v>3230</v>
      </c>
      <c r="E533" s="124" t="s">
        <v>261</v>
      </c>
    </row>
    <row r="534" spans="1:5" ht="15" customHeight="1">
      <c r="A534" s="124" t="s">
        <v>95</v>
      </c>
      <c r="B534" s="124" t="str">
        <f>IFERROR(VLOOKUP(Tablo8[[#This Row],[ ÜRÜN KODU]],YMKODLARI!$A$1:$H$383,2,0)," " )</f>
        <v>EMZİK ASKI TIPA ÖRDEK</v>
      </c>
      <c r="C534" s="125">
        <v>44033</v>
      </c>
      <c r="D534" s="124">
        <v>3340</v>
      </c>
      <c r="E534" s="124" t="s">
        <v>261</v>
      </c>
    </row>
    <row r="535" spans="1:5" ht="15" customHeight="1">
      <c r="A535" s="124" t="s">
        <v>237</v>
      </c>
      <c r="B535" s="124" t="str">
        <f>IFERROR(VLOOKUP(Tablo8[[#This Row],[ ÜRÜN KODU]],YMKODLARI!$A$1:$H$383,2,0)," " )</f>
        <v>GENİŞ AĞIZ BİBERON VİDA</v>
      </c>
      <c r="C535" s="125">
        <v>44033</v>
      </c>
      <c r="D535" s="124">
        <v>2070</v>
      </c>
      <c r="E535" s="124" t="s">
        <v>261</v>
      </c>
    </row>
    <row r="536" spans="1:5" ht="15" customHeight="1">
      <c r="A536" s="124" t="s">
        <v>238</v>
      </c>
      <c r="B536" s="124" t="str">
        <f>IFERROR(VLOOKUP(Tablo8[[#This Row],[ ÜRÜN KODU]],YMKODLARI!$A$1:$H$383,2,0)," " )</f>
        <v>GENİŞ AĞIZ BİBERON VİDA</v>
      </c>
      <c r="C536" s="125">
        <v>44033</v>
      </c>
      <c r="D536" s="124">
        <v>500</v>
      </c>
      <c r="E536" s="124" t="s">
        <v>261</v>
      </c>
    </row>
    <row r="537" spans="1:5" ht="15" customHeight="1">
      <c r="A537" s="124" t="s">
        <v>34</v>
      </c>
      <c r="B537" s="124" t="str">
        <f>IFERROR(VLOOKUP(Tablo8[[#This Row],[ ÜRÜN KODU]],YMKODLARI!$A$1:$H$383,2,0)," " )</f>
        <v>BİBERON KLASİK  UC 1 NO</v>
      </c>
      <c r="C537" s="125">
        <v>44034</v>
      </c>
      <c r="D537" s="124">
        <v>9000</v>
      </c>
      <c r="E537" s="124" t="s">
        <v>261</v>
      </c>
    </row>
    <row r="538" spans="1:5" ht="15" customHeight="1">
      <c r="A538" s="124" t="s">
        <v>238</v>
      </c>
      <c r="B538" s="124" t="str">
        <f>IFERROR(VLOOKUP(Tablo8[[#This Row],[ ÜRÜN KODU]],YMKODLARI!$A$1:$H$383,2,0)," " )</f>
        <v>GENİŞ AĞIZ BİBERON VİDA</v>
      </c>
      <c r="C538" s="125">
        <v>44034</v>
      </c>
      <c r="D538" s="124">
        <v>1045</v>
      </c>
      <c r="E538" s="124" t="s">
        <v>261</v>
      </c>
    </row>
    <row r="539" spans="1:5" ht="15" customHeight="1">
      <c r="A539" s="124" t="s">
        <v>239</v>
      </c>
      <c r="B539" s="124" t="str">
        <f>IFERROR(VLOOKUP(Tablo8[[#This Row],[ ÜRÜN KODU]],YMKODLARI!$A$1:$H$383,2,0)," " )</f>
        <v>GENİŞ AĞIZ BİBERON VİDA</v>
      </c>
      <c r="C539" s="125">
        <v>44034</v>
      </c>
      <c r="D539" s="124">
        <v>1544</v>
      </c>
      <c r="E539" s="124" t="s">
        <v>261</v>
      </c>
    </row>
    <row r="540" spans="1:5" ht="15" customHeight="1">
      <c r="A540" s="124" t="s">
        <v>212</v>
      </c>
      <c r="B540" s="124" t="str">
        <f>IFERROR(VLOOKUP(Tablo8[[#This Row],[ ÜRÜN KODU]],YMKODLARI!$A$1:$H$383,2,0)," " )</f>
        <v xml:space="preserve"> BİBERON VİDA</v>
      </c>
      <c r="C540" s="125">
        <v>44034</v>
      </c>
      <c r="D540" s="124">
        <v>1047</v>
      </c>
      <c r="E540" s="124" t="s">
        <v>261</v>
      </c>
    </row>
    <row r="541" spans="1:5" ht="15" customHeight="1">
      <c r="A541" s="124" t="s">
        <v>55</v>
      </c>
      <c r="B541" s="124" t="str">
        <f>IFERROR(VLOOKUP(Tablo8[[#This Row],[ ÜRÜN KODU]],YMKODLARI!$A$1:$H$383,2,0)," " )</f>
        <v>BİBERON SEYAHAT TIPASI</v>
      </c>
      <c r="C541" s="125">
        <v>44034</v>
      </c>
      <c r="D541" s="124">
        <v>8000</v>
      </c>
      <c r="E541" s="124" t="s">
        <v>261</v>
      </c>
    </row>
    <row r="542" spans="1:5" ht="15" customHeight="1">
      <c r="A542" s="124" t="s">
        <v>34</v>
      </c>
      <c r="B542" s="124" t="str">
        <f>IFERROR(VLOOKUP(Tablo8[[#This Row],[ ÜRÜN KODU]],YMKODLARI!$A$1:$H$383,2,0)," " )</f>
        <v>BİBERON KLASİK  UC 1 NO</v>
      </c>
      <c r="C542" s="125">
        <v>44035</v>
      </c>
      <c r="D542" s="124">
        <v>2000</v>
      </c>
      <c r="E542" s="124" t="s">
        <v>261</v>
      </c>
    </row>
    <row r="543" spans="1:5" ht="15" customHeight="1">
      <c r="A543" s="124" t="s">
        <v>39</v>
      </c>
      <c r="B543" s="124" t="str">
        <f>IFERROR(VLOOKUP(Tablo8[[#This Row],[ ÜRÜN KODU]],YMKODLARI!$A$1:$H$383,2,0)," " )</f>
        <v>DAMAK EMZİK UCU 3 NO</v>
      </c>
      <c r="C543" s="125">
        <v>44035</v>
      </c>
      <c r="D543" s="124">
        <v>7000</v>
      </c>
      <c r="E543" s="124" t="s">
        <v>261</v>
      </c>
    </row>
    <row r="544" spans="1:5" ht="15" customHeight="1">
      <c r="A544" s="124" t="s">
        <v>26</v>
      </c>
      <c r="B544" s="124" t="str">
        <f>IFERROR(VLOOKUP(Tablo8[[#This Row],[ ÜRÜN KODU]],YMKODLARI!$A$1:$H$383,2,0)," " )</f>
        <v>DAMAK EMZİK UCU 1 NO</v>
      </c>
      <c r="C544" s="125">
        <v>44035</v>
      </c>
      <c r="D544" s="124">
        <v>2458</v>
      </c>
      <c r="E544" s="124" t="s">
        <v>261</v>
      </c>
    </row>
    <row r="545" spans="1:5" ht="15" customHeight="1">
      <c r="A545" s="124" t="s">
        <v>55</v>
      </c>
      <c r="B545" s="124" t="str">
        <f>IFERROR(VLOOKUP(Tablo8[[#This Row],[ ÜRÜN KODU]],YMKODLARI!$A$1:$H$383,2,0)," " )</f>
        <v>BİBERON SEYAHAT TIPASI</v>
      </c>
      <c r="C545" s="125">
        <v>44035</v>
      </c>
      <c r="D545" s="124">
        <v>10534</v>
      </c>
      <c r="E545" s="124" t="s">
        <v>261</v>
      </c>
    </row>
    <row r="546" spans="1:5" ht="15" customHeight="1">
      <c r="A546" s="124" t="s">
        <v>51</v>
      </c>
      <c r="B546" s="124" t="str">
        <f>IFERROR(VLOOKUP(Tablo8[[#This Row],[ ÜRÜN KODU]],YMKODLARI!$A$1:$H$383,2,0)," " )</f>
        <v>BURUN POMPASI</v>
      </c>
      <c r="C546" s="125">
        <v>44035</v>
      </c>
      <c r="D546" s="124">
        <v>407</v>
      </c>
      <c r="E546" s="124" t="s">
        <v>261</v>
      </c>
    </row>
    <row r="547" spans="1:5" ht="15" customHeight="1">
      <c r="A547" s="124" t="s">
        <v>210</v>
      </c>
      <c r="B547" s="124" t="str">
        <f>IFERROR(VLOOKUP(Tablo8[[#This Row],[ ÜRÜN KODU]],YMKODLARI!$A$1:$H$383,2,0)," " )</f>
        <v xml:space="preserve"> BİBERON VİDA</v>
      </c>
      <c r="C547" s="125">
        <v>44035</v>
      </c>
      <c r="D547" s="124">
        <v>3159</v>
      </c>
      <c r="E547" s="124" t="s">
        <v>261</v>
      </c>
    </row>
    <row r="548" spans="1:5" ht="15" customHeight="1">
      <c r="A548" s="124" t="s">
        <v>202</v>
      </c>
      <c r="B548" s="124" t="str">
        <f>IFERROR(VLOOKUP(Tablo8[[#This Row],[ ÜRÜN KODU]],YMKODLARI!$A$1:$H$383,2,0)," " )</f>
        <v xml:space="preserve"> BİBERON VİDA</v>
      </c>
      <c r="C548" s="125">
        <v>44035</v>
      </c>
      <c r="D548" s="124">
        <v>1289</v>
      </c>
      <c r="E548" s="124" t="s">
        <v>261</v>
      </c>
    </row>
    <row r="549" spans="1:5" ht="15" customHeight="1">
      <c r="A549" s="124" t="s">
        <v>34</v>
      </c>
      <c r="B549" s="124" t="str">
        <f>IFERROR(VLOOKUP(Tablo8[[#This Row],[ ÜRÜN KODU]],YMKODLARI!$A$1:$H$383,2,0)," " )</f>
        <v>BİBERON KLASİK  UC 1 NO</v>
      </c>
      <c r="C549" s="125">
        <v>44036</v>
      </c>
      <c r="D549" s="124">
        <v>4000</v>
      </c>
      <c r="E549" s="124" t="s">
        <v>261</v>
      </c>
    </row>
    <row r="550" spans="1:5" ht="15" customHeight="1">
      <c r="A550" s="124" t="s">
        <v>39</v>
      </c>
      <c r="B550" s="124" t="str">
        <f>IFERROR(VLOOKUP(Tablo8[[#This Row],[ ÜRÜN KODU]],YMKODLARI!$A$1:$H$383,2,0)," " )</f>
        <v>DAMAK EMZİK UCU 3 NO</v>
      </c>
      <c r="C550" s="125">
        <v>44036</v>
      </c>
      <c r="D550" s="124">
        <v>10000</v>
      </c>
      <c r="E550" s="124" t="s">
        <v>261</v>
      </c>
    </row>
    <row r="551" spans="1:5" ht="15" customHeight="1">
      <c r="A551" s="124" t="s">
        <v>51</v>
      </c>
      <c r="B551" s="124" t="str">
        <f>IFERROR(VLOOKUP(Tablo8[[#This Row],[ ÜRÜN KODU]],YMKODLARI!$A$1:$H$383,2,0)," " )</f>
        <v>BURUN POMPASI</v>
      </c>
      <c r="C551" s="125">
        <v>44036</v>
      </c>
      <c r="D551" s="124">
        <v>900</v>
      </c>
      <c r="E551" s="124" t="s">
        <v>261</v>
      </c>
    </row>
    <row r="552" spans="1:5" ht="15" customHeight="1">
      <c r="A552" s="124" t="s">
        <v>97</v>
      </c>
      <c r="B552" s="124" t="str">
        <f>IFERROR(VLOOKUP(Tablo8[[#This Row],[ ÜRÜN KODU]],YMKODLARI!$A$1:$H$383,2,0)," " )</f>
        <v>TİRLE VİDA</v>
      </c>
      <c r="C552" s="125">
        <v>44036</v>
      </c>
      <c r="D552" s="124">
        <v>1500</v>
      </c>
      <c r="E552" s="124" t="s">
        <v>261</v>
      </c>
    </row>
    <row r="553" spans="1:5" ht="15" customHeight="1">
      <c r="A553" s="124" t="s">
        <v>211</v>
      </c>
      <c r="B553" s="124" t="str">
        <f>IFERROR(VLOOKUP(Tablo8[[#This Row],[ ÜRÜN KODU]],YMKODLARI!$A$1:$H$383,2,0)," " )</f>
        <v xml:space="preserve"> BİBERON VİDA</v>
      </c>
      <c r="C553" s="125">
        <v>44036</v>
      </c>
      <c r="D553" s="124">
        <v>2170</v>
      </c>
      <c r="E553" s="124" t="s">
        <v>261</v>
      </c>
    </row>
    <row r="554" spans="1:5" ht="15" customHeight="1">
      <c r="A554" s="124" t="s">
        <v>204</v>
      </c>
      <c r="B554" s="124" t="str">
        <f>IFERROR(VLOOKUP(Tablo8[[#This Row],[ ÜRÜN KODU]],YMKODLARI!$A$1:$H$383,2,0)," " )</f>
        <v xml:space="preserve"> BİBERON VİDA</v>
      </c>
      <c r="C554" s="125">
        <v>44036</v>
      </c>
      <c r="D554" s="124">
        <v>1000</v>
      </c>
      <c r="E554" s="124" t="s">
        <v>261</v>
      </c>
    </row>
    <row r="555" spans="1:5" ht="15" customHeight="1">
      <c r="A555" s="124" t="s">
        <v>203</v>
      </c>
      <c r="B555" s="124" t="str">
        <f>IFERROR(VLOOKUP(Tablo8[[#This Row],[ ÜRÜN KODU]],YMKODLARI!$A$1:$H$383,2,0)," " )</f>
        <v xml:space="preserve"> BİBERON VİDA</v>
      </c>
      <c r="C555" s="125">
        <v>44036</v>
      </c>
      <c r="D555" s="124">
        <v>1141</v>
      </c>
      <c r="E555" s="124" t="s">
        <v>261</v>
      </c>
    </row>
    <row r="556" spans="1:5" ht="15" customHeight="1">
      <c r="A556" s="124" t="s">
        <v>34</v>
      </c>
      <c r="B556" s="124" t="str">
        <f>IFERROR(VLOOKUP(Tablo8[[#This Row],[ ÜRÜN KODU]],YMKODLARI!$A$1:$H$383,2,0)," " )</f>
        <v>BİBERON KLASİK  UC 1 NO</v>
      </c>
      <c r="C556" s="125">
        <v>44039</v>
      </c>
      <c r="D556" s="124">
        <v>12000</v>
      </c>
      <c r="E556" s="124" t="s">
        <v>261</v>
      </c>
    </row>
    <row r="557" spans="1:5" ht="15" customHeight="1">
      <c r="A557" s="124" t="s">
        <v>39</v>
      </c>
      <c r="B557" s="124" t="str">
        <f>IFERROR(VLOOKUP(Tablo8[[#This Row],[ ÜRÜN KODU]],YMKODLARI!$A$1:$H$383,2,0)," " )</f>
        <v>DAMAK EMZİK UCU 3 NO</v>
      </c>
      <c r="C557" s="125">
        <v>44039</v>
      </c>
      <c r="D557" s="124">
        <v>12000</v>
      </c>
      <c r="E557" s="124" t="s">
        <v>261</v>
      </c>
    </row>
    <row r="558" spans="1:5" ht="15" customHeight="1">
      <c r="A558" s="124" t="s">
        <v>51</v>
      </c>
      <c r="B558" s="124" t="str">
        <f>IFERROR(VLOOKUP(Tablo8[[#This Row],[ ÜRÜN KODU]],YMKODLARI!$A$1:$H$383,2,0)," " )</f>
        <v>BURUN POMPASI</v>
      </c>
      <c r="C558" s="125">
        <v>44039</v>
      </c>
      <c r="D558" s="124">
        <v>2207</v>
      </c>
      <c r="E558" s="124" t="s">
        <v>261</v>
      </c>
    </row>
    <row r="559" spans="1:5" ht="15" customHeight="1">
      <c r="A559" s="124" t="s">
        <v>100</v>
      </c>
      <c r="B559" s="124" t="str">
        <f>IFERROR(VLOOKUP(Tablo8[[#This Row],[ ÜRÜN KODU]],YMKODLARI!$A$1:$H$383,2,0)," " )</f>
        <v>EMZİK ASKISI KISKAÇ ERKEK</v>
      </c>
      <c r="C559" s="125">
        <v>44039</v>
      </c>
      <c r="D559" s="124">
        <v>2385</v>
      </c>
      <c r="E559" s="124" t="s">
        <v>261</v>
      </c>
    </row>
    <row r="560" spans="1:5" ht="15" customHeight="1">
      <c r="A560" s="124" t="s">
        <v>71</v>
      </c>
      <c r="B560" s="124" t="str">
        <f>IFERROR(VLOOKUP(Tablo8[[#This Row],[ ÜRÜN KODU]],YMKODLARI!$A$1:$H$383,2,0)," " )</f>
        <v>EMZİK ASKISI KISKAÇ ERKEK</v>
      </c>
      <c r="C560" s="125">
        <v>44039</v>
      </c>
      <c r="D560" s="124">
        <v>4000</v>
      </c>
      <c r="E560" s="124" t="s">
        <v>261</v>
      </c>
    </row>
    <row r="561" spans="1:5" ht="15" customHeight="1">
      <c r="A561" s="124" t="s">
        <v>240</v>
      </c>
      <c r="B561" s="124" t="str">
        <f>IFERROR(VLOOKUP(Tablo8[[#This Row],[ ÜRÜN KODU]],YMKODLARI!$A$1:$H$383,2,0)," " )</f>
        <v xml:space="preserve">TİRLE POMPA </v>
      </c>
      <c r="C561" s="125">
        <v>44039</v>
      </c>
      <c r="D561" s="124">
        <v>931</v>
      </c>
      <c r="E561" s="124" t="s">
        <v>261</v>
      </c>
    </row>
    <row r="562" spans="1:5" ht="15" customHeight="1">
      <c r="A562" s="124" t="s">
        <v>136</v>
      </c>
      <c r="B562" s="124" t="str">
        <f>IFERROR(VLOOKUP(Tablo8[[#This Row],[ ÜRÜN KODU]],YMKODLARI!$A$1:$H$383,2,0)," " )</f>
        <v>DAMAK EMZİK TIPA</v>
      </c>
      <c r="C562" s="125">
        <v>44039</v>
      </c>
      <c r="D562" s="124">
        <v>14257</v>
      </c>
      <c r="E562" s="124" t="s">
        <v>261</v>
      </c>
    </row>
    <row r="563" spans="1:5" ht="15" customHeight="1">
      <c r="A563" s="124" t="s">
        <v>97</v>
      </c>
      <c r="B563" s="124" t="str">
        <f>IFERROR(VLOOKUP(Tablo8[[#This Row],[ ÜRÜN KODU]],YMKODLARI!$A$1:$H$383,2,0)," " )</f>
        <v>TİRLE VİDA</v>
      </c>
      <c r="C563" s="125">
        <v>44039</v>
      </c>
      <c r="D563" s="124">
        <v>1528</v>
      </c>
      <c r="E563" s="124" t="s">
        <v>261</v>
      </c>
    </row>
    <row r="564" spans="1:5" ht="15" customHeight="1">
      <c r="A564" s="124" t="s">
        <v>34</v>
      </c>
      <c r="B564" s="124" t="str">
        <f>IFERROR(VLOOKUP(Tablo8[[#This Row],[ ÜRÜN KODU]],YMKODLARI!$A$1:$H$383,2,0)," " )</f>
        <v>BİBERON KLASİK  UC 1 NO</v>
      </c>
      <c r="C564" s="125">
        <v>44041</v>
      </c>
      <c r="D564" s="124">
        <v>12000</v>
      </c>
      <c r="E564" s="124" t="s">
        <v>261</v>
      </c>
    </row>
    <row r="565" spans="1:5" ht="15" customHeight="1">
      <c r="A565" s="124" t="s">
        <v>39</v>
      </c>
      <c r="B565" s="124" t="str">
        <f>IFERROR(VLOOKUP(Tablo8[[#This Row],[ ÜRÜN KODU]],YMKODLARI!$A$1:$H$383,2,0)," " )</f>
        <v>DAMAK EMZİK UCU 3 NO</v>
      </c>
      <c r="C565" s="125">
        <v>44041</v>
      </c>
      <c r="D565" s="124">
        <v>12000</v>
      </c>
      <c r="E565" s="124" t="s">
        <v>261</v>
      </c>
    </row>
    <row r="566" spans="1:5" ht="15" customHeight="1">
      <c r="A566" s="124" t="s">
        <v>51</v>
      </c>
      <c r="B566" s="124" t="str">
        <f>IFERROR(VLOOKUP(Tablo8[[#This Row],[ ÜRÜN KODU]],YMKODLARI!$A$1:$H$383,2,0)," " )</f>
        <v>BURUN POMPASI</v>
      </c>
      <c r="C566" s="125">
        <v>44041</v>
      </c>
      <c r="D566" s="124">
        <v>2207</v>
      </c>
      <c r="E566" s="124" t="s">
        <v>261</v>
      </c>
    </row>
    <row r="567" spans="1:5" ht="15" customHeight="1">
      <c r="A567" s="126" t="s">
        <v>100</v>
      </c>
      <c r="B567" s="124" t="str">
        <f>IFERROR(VLOOKUP(Tablo8[[#This Row],[ ÜRÜN KODU]],YMKODLARI!$A$1:$H$383,2,0)," " )</f>
        <v>EMZİK ASKISI KISKAÇ ERKEK</v>
      </c>
      <c r="C567" s="125">
        <v>44041</v>
      </c>
      <c r="D567" s="124">
        <v>2385</v>
      </c>
      <c r="E567" s="124" t="s">
        <v>261</v>
      </c>
    </row>
    <row r="568" spans="1:5" ht="15" customHeight="1">
      <c r="A568" s="126" t="s">
        <v>101</v>
      </c>
      <c r="B568" s="124" t="str">
        <f>IFERROR(VLOOKUP(Tablo8[[#This Row],[ ÜRÜN KODU]],YMKODLARI!$A$1:$H$383,2,0)," " )</f>
        <v>EMZİK ASKISI KISKAÇ DİŞİ</v>
      </c>
      <c r="C568" s="125">
        <v>44041</v>
      </c>
      <c r="D568" s="124">
        <v>2385</v>
      </c>
      <c r="E568" s="124" t="s">
        <v>261</v>
      </c>
    </row>
    <row r="569" spans="1:5" ht="15" customHeight="1">
      <c r="A569" s="124" t="s">
        <v>71</v>
      </c>
      <c r="B569" s="124" t="str">
        <f>IFERROR(VLOOKUP(Tablo8[[#This Row],[ ÜRÜN KODU]],YMKODLARI!$A$1:$H$383,2,0)," " )</f>
        <v>EMZİK ASKISI KISKAÇ ERKEK</v>
      </c>
      <c r="C569" s="125">
        <v>44041</v>
      </c>
      <c r="D569" s="124">
        <v>4000</v>
      </c>
      <c r="E569" s="124" t="s">
        <v>261</v>
      </c>
    </row>
    <row r="570" spans="1:5" ht="15" customHeight="1">
      <c r="A570" s="124" t="s">
        <v>72</v>
      </c>
      <c r="B570" s="124" t="str">
        <f>IFERROR(VLOOKUP(Tablo8[[#This Row],[ ÜRÜN KODU]],YMKODLARI!$A$1:$H$383,2,0)," " )</f>
        <v>EMZİK ASKISI KISKAÇ DİŞİ</v>
      </c>
      <c r="C570" s="125">
        <v>44041</v>
      </c>
      <c r="D570" s="124">
        <v>4000</v>
      </c>
      <c r="E570" s="124" t="s">
        <v>261</v>
      </c>
    </row>
    <row r="571" spans="1:5" ht="15" customHeight="1">
      <c r="A571" s="124" t="s">
        <v>240</v>
      </c>
      <c r="B571" s="124" t="str">
        <f>IFERROR(VLOOKUP(Tablo8[[#This Row],[ ÜRÜN KODU]],YMKODLARI!$A$1:$H$383,2,0)," " )</f>
        <v xml:space="preserve">TİRLE POMPA </v>
      </c>
      <c r="C571" s="125">
        <v>44041</v>
      </c>
      <c r="D571" s="124">
        <v>931</v>
      </c>
      <c r="E571" s="124" t="s">
        <v>261</v>
      </c>
    </row>
    <row r="572" spans="1:5" ht="15" customHeight="1">
      <c r="A572" s="124" t="s">
        <v>136</v>
      </c>
      <c r="B572" s="124" t="str">
        <f>IFERROR(VLOOKUP(Tablo8[[#This Row],[ ÜRÜN KODU]],YMKODLARI!$A$1:$H$383,2,0)," " )</f>
        <v>DAMAK EMZİK TIPA</v>
      </c>
      <c r="C572" s="125">
        <v>44041</v>
      </c>
      <c r="D572" s="124">
        <v>14257</v>
      </c>
      <c r="E572" s="124" t="s">
        <v>261</v>
      </c>
    </row>
    <row r="573" spans="1:5">
      <c r="A573" s="126" t="s">
        <v>97</v>
      </c>
      <c r="B573" s="124" t="str">
        <f>IFERROR(VLOOKUP(Tablo8[[#This Row],[ ÜRÜN KODU]],YMKODLARI!$A$1:$H$383,2,0)," " )</f>
        <v>TİRLE VİDA</v>
      </c>
      <c r="C573" s="127">
        <v>44041</v>
      </c>
      <c r="D573" s="126">
        <v>1528</v>
      </c>
      <c r="E573" s="124" t="s">
        <v>261</v>
      </c>
    </row>
    <row r="574" spans="1:5">
      <c r="A574" s="124" t="s">
        <v>34</v>
      </c>
      <c r="B574" s="124" t="str">
        <f>IFERROR(VLOOKUP(Tablo8[[#This Row],[ ÜRÜN KODU]],YMKODLARI!$A$1:$H$383,2,0)," " )</f>
        <v>BİBERON KLASİK  UC 1 NO</v>
      </c>
      <c r="C574" s="125">
        <v>44047</v>
      </c>
      <c r="D574" s="124">
        <v>9000</v>
      </c>
      <c r="E574" s="124" t="s">
        <v>262</v>
      </c>
    </row>
    <row r="575" spans="1:5">
      <c r="A575" s="124" t="s">
        <v>102</v>
      </c>
      <c r="B575" s="124" t="str">
        <f>IFERROR(VLOOKUP(Tablo8[[#This Row],[ ÜRÜN KODU]],YMKODLARI!$A$1:$H$383,2,0)," " )</f>
        <v>EMZİK ASKISI KISKAÇ ERKEK</v>
      </c>
      <c r="C575" s="125">
        <v>44047</v>
      </c>
      <c r="D575" s="124">
        <v>3000</v>
      </c>
      <c r="E575" s="124" t="s">
        <v>262</v>
      </c>
    </row>
    <row r="576" spans="1:5">
      <c r="A576" s="124" t="s">
        <v>103</v>
      </c>
      <c r="B576" s="124" t="str">
        <f>IFERROR(VLOOKUP(Tablo8[[#This Row],[ ÜRÜN KODU]],YMKODLARI!$A$1:$H$383,2,0)," " )</f>
        <v>EMZİK ASKISI KISKAÇ DİŞİ</v>
      </c>
      <c r="C576" s="125">
        <v>44047</v>
      </c>
      <c r="D576" s="124">
        <v>3000</v>
      </c>
      <c r="E576" s="124" t="s">
        <v>262</v>
      </c>
    </row>
    <row r="577" spans="1:5">
      <c r="A577" s="124" t="s">
        <v>71</v>
      </c>
      <c r="B577" s="124" t="str">
        <f>IFERROR(VLOOKUP(Tablo8[[#This Row],[ ÜRÜN KODU]],YMKODLARI!$A$1:$H$383,2,0)," " )</f>
        <v>EMZİK ASKISI KISKAÇ ERKEK</v>
      </c>
      <c r="C577" s="125">
        <v>44047</v>
      </c>
      <c r="D577" s="124">
        <v>935</v>
      </c>
      <c r="E577" s="124" t="s">
        <v>262</v>
      </c>
    </row>
    <row r="578" spans="1:5">
      <c r="A578" s="126" t="s">
        <v>72</v>
      </c>
      <c r="B578" s="124" t="str">
        <f>IFERROR(VLOOKUP(Tablo8[[#This Row],[ ÜRÜN KODU]],YMKODLARI!$A$1:$H$383,2,0)," " )</f>
        <v>EMZİK ASKISI KISKAÇ DİŞİ</v>
      </c>
      <c r="C578" s="127">
        <v>44047</v>
      </c>
      <c r="D578" s="124">
        <v>935</v>
      </c>
      <c r="E578" s="124" t="s">
        <v>262</v>
      </c>
    </row>
    <row r="579" spans="1:5">
      <c r="A579" s="126" t="s">
        <v>263</v>
      </c>
      <c r="B579" s="124" t="str">
        <f>IFERROR(VLOOKUP(Tablo8[[#This Row],[ ÜRÜN KODU]],YMKODLARI!$A$1:$H$383,2,0)," " )</f>
        <v>EMZİK ASKISI KISKAÇ ERKEK</v>
      </c>
      <c r="C579" s="127">
        <v>44047</v>
      </c>
      <c r="D579" s="126">
        <v>1000</v>
      </c>
      <c r="E579" s="124" t="s">
        <v>262</v>
      </c>
    </row>
    <row r="580" spans="1:5">
      <c r="A580" s="126" t="s">
        <v>264</v>
      </c>
      <c r="B580" s="124" t="str">
        <f>IFERROR(VLOOKUP(Tablo8[[#This Row],[ ÜRÜN KODU]],YMKODLARI!$A$1:$H$383,2,0)," " )</f>
        <v>EMZİK ASKISI KISKAÇ DİŞİ</v>
      </c>
      <c r="C580" s="127">
        <v>44047</v>
      </c>
      <c r="D580" s="126">
        <v>1000</v>
      </c>
      <c r="E580" s="124" t="s">
        <v>262</v>
      </c>
    </row>
    <row r="581" spans="1:5">
      <c r="A581" s="126" t="s">
        <v>240</v>
      </c>
      <c r="B581" s="124" t="str">
        <f>IFERROR(VLOOKUP(Tablo8[[#This Row],[ ÜRÜN KODU]],YMKODLARI!$A$1:$H$383,2,0)," " )</f>
        <v xml:space="preserve">TİRLE POMPA </v>
      </c>
      <c r="C581" s="127">
        <v>44047</v>
      </c>
      <c r="D581" s="126">
        <v>1400</v>
      </c>
      <c r="E581" s="124" t="s">
        <v>262</v>
      </c>
    </row>
    <row r="582" spans="1:5">
      <c r="A582" s="124" t="s">
        <v>106</v>
      </c>
      <c r="B582" s="124" t="str">
        <f>IFERROR(VLOOKUP(Tablo8[[#This Row],[ ÜRÜN KODU]],YMKODLARI!$A$1:$H$383,2,0)," " )</f>
        <v>EMZİK ASKISI KISKAÇ ERKEK</v>
      </c>
      <c r="C582" s="125">
        <v>44049</v>
      </c>
      <c r="D582" s="124">
        <v>4280</v>
      </c>
      <c r="E582" s="124" t="s">
        <v>262</v>
      </c>
    </row>
    <row r="583" spans="1:5">
      <c r="A583" s="124" t="s">
        <v>107</v>
      </c>
      <c r="B583" s="124" t="str">
        <f>IFERROR(VLOOKUP(Tablo8[[#This Row],[ ÜRÜN KODU]],YMKODLARI!$A$1:$H$383,2,0)," " )</f>
        <v>EMZİK ASKISI KISKAÇ DİŞİ</v>
      </c>
      <c r="C583" s="125">
        <v>44049</v>
      </c>
      <c r="D583" s="124">
        <v>4280</v>
      </c>
      <c r="E583" s="124" t="s">
        <v>262</v>
      </c>
    </row>
    <row r="584" spans="1:5">
      <c r="A584" s="124" t="s">
        <v>240</v>
      </c>
      <c r="B584" s="124" t="str">
        <f>IFERROR(VLOOKUP(Tablo8[[#This Row],[ ÜRÜN KODU]],YMKODLARI!$A$1:$H$383,2,0)," " )</f>
        <v xml:space="preserve">TİRLE POMPA </v>
      </c>
      <c r="C584" s="125">
        <v>44049</v>
      </c>
      <c r="D584" s="124">
        <v>1200</v>
      </c>
      <c r="E584" s="124" t="s">
        <v>262</v>
      </c>
    </row>
    <row r="585" spans="1:5">
      <c r="A585" s="124" t="s">
        <v>241</v>
      </c>
      <c r="B585" s="124" t="str">
        <f>IFERROR(VLOOKUP(Tablo8[[#This Row],[ ÜRÜN KODU]],YMKODLARI!$A$1:$H$383,2,0)," " )</f>
        <v>GENİŞ AĞIZ BİBERON KULP</v>
      </c>
      <c r="C585" s="125">
        <v>44049</v>
      </c>
      <c r="D585" s="124">
        <v>1060</v>
      </c>
      <c r="E585" s="124" t="s">
        <v>262</v>
      </c>
    </row>
    <row r="586" spans="1:5">
      <c r="A586" s="124" t="s">
        <v>53</v>
      </c>
      <c r="B586" s="124" t="str">
        <f>IFERROR(VLOOKUP(Tablo8[[#This Row],[ ÜRÜN KODU]],YMKODLARI!$A$1:$H$383,2,0)," " )</f>
        <v xml:space="preserve">SİLİKON MAMA KAŞIĞI UCU </v>
      </c>
      <c r="C586" s="125">
        <v>44049</v>
      </c>
      <c r="D586" s="124">
        <v>9000</v>
      </c>
      <c r="E586" s="124" t="s">
        <v>262</v>
      </c>
    </row>
    <row r="587" spans="1:5">
      <c r="A587" s="124" t="s">
        <v>104</v>
      </c>
      <c r="B587" s="124" t="str">
        <f>IFERROR(VLOOKUP(Tablo8[[#This Row],[ ÜRÜN KODU]],YMKODLARI!$A$1:$H$383,2,0)," " )</f>
        <v>EMZİK ASKISI KISKAÇ ERKEK</v>
      </c>
      <c r="C587" s="125">
        <v>44049</v>
      </c>
      <c r="D587" s="124">
        <v>2995</v>
      </c>
      <c r="E587" s="124" t="s">
        <v>262</v>
      </c>
    </row>
    <row r="588" spans="1:5">
      <c r="A588" s="124" t="s">
        <v>105</v>
      </c>
      <c r="B588" s="124" t="str">
        <f>IFERROR(VLOOKUP(Tablo8[[#This Row],[ ÜRÜN KODU]],YMKODLARI!$A$1:$H$383,2,0)," " )</f>
        <v>EMZİK ASKISI KISKAÇ DİŞİ</v>
      </c>
      <c r="C588" s="125">
        <v>44049</v>
      </c>
      <c r="D588" s="124">
        <v>2995</v>
      </c>
      <c r="E588" s="124" t="s">
        <v>262</v>
      </c>
    </row>
    <row r="589" spans="1:5">
      <c r="A589" s="124" t="s">
        <v>26</v>
      </c>
      <c r="B589" s="124" t="str">
        <f>IFERROR(VLOOKUP(Tablo8[[#This Row],[ ÜRÜN KODU]],YMKODLARI!$A$1:$H$383,2,0)," " )</f>
        <v>DAMAK EMZİK UCU 1 NO</v>
      </c>
      <c r="C589" s="125">
        <v>44053</v>
      </c>
      <c r="D589" s="124">
        <v>4000</v>
      </c>
      <c r="E589" s="124" t="s">
        <v>262</v>
      </c>
    </row>
    <row r="590" spans="1:5">
      <c r="A590" s="124" t="s">
        <v>39</v>
      </c>
      <c r="B590" s="124" t="str">
        <f>IFERROR(VLOOKUP(Tablo8[[#This Row],[ ÜRÜN KODU]],YMKODLARI!$A$1:$H$383,2,0)," " )</f>
        <v>DAMAK EMZİK UCU 3 NO</v>
      </c>
      <c r="C590" s="125">
        <v>44053</v>
      </c>
      <c r="D590" s="124">
        <v>24574</v>
      </c>
      <c r="E590" s="124" t="s">
        <v>262</v>
      </c>
    </row>
    <row r="591" spans="1:5">
      <c r="A591" s="124" t="s">
        <v>219</v>
      </c>
      <c r="B591" s="124" t="str">
        <f>IFERROR(VLOOKUP(Tablo8[[#This Row],[ ÜRÜN KODU]],YMKODLARI!$A$1:$H$383,2,0)," " )</f>
        <v>GENİŞ AĞIZ BİBERON KULP</v>
      </c>
      <c r="C591" s="125">
        <v>44053</v>
      </c>
      <c r="D591" s="124">
        <v>1031</v>
      </c>
      <c r="E591" s="124" t="s">
        <v>262</v>
      </c>
    </row>
    <row r="592" spans="1:5">
      <c r="A592" s="124" t="s">
        <v>243</v>
      </c>
      <c r="B592" s="124" t="str">
        <f>IFERROR(VLOOKUP(Tablo8[[#This Row],[ ÜRÜN KODU]],YMKODLARI!$A$1:$H$383,2,0)," " )</f>
        <v>GENİŞ AĞIZ BİBERON KULP</v>
      </c>
      <c r="C592" s="125">
        <v>44053</v>
      </c>
      <c r="D592" s="124">
        <v>556</v>
      </c>
      <c r="E592" s="124" t="s">
        <v>262</v>
      </c>
    </row>
    <row r="593" spans="1:5">
      <c r="A593" s="124" t="s">
        <v>242</v>
      </c>
      <c r="B593" s="124" t="str">
        <f>IFERROR(VLOOKUP(Tablo8[[#This Row],[ ÜRÜN KODU]],YMKODLARI!$A$1:$H$383,2,0)," " )</f>
        <v>GENİŞ AĞIZ BİBERON KULP</v>
      </c>
      <c r="C593" s="125">
        <v>44053</v>
      </c>
      <c r="D593" s="124">
        <v>4000</v>
      </c>
      <c r="E593" s="124" t="s">
        <v>262</v>
      </c>
    </row>
    <row r="594" spans="1:5">
      <c r="A594" s="126" t="s">
        <v>53</v>
      </c>
      <c r="B594" s="124" t="str">
        <f>IFERROR(VLOOKUP(Tablo8[[#This Row],[ ÜRÜN KODU]],YMKODLARI!$A$1:$H$383,2,0)," " )</f>
        <v xml:space="preserve">SİLİKON MAMA KAŞIĞI UCU </v>
      </c>
      <c r="C594" s="127">
        <v>44053</v>
      </c>
      <c r="D594" s="126">
        <v>4000</v>
      </c>
      <c r="E594" s="124" t="s">
        <v>262</v>
      </c>
    </row>
    <row r="595" spans="1:5">
      <c r="A595" s="126" t="s">
        <v>110</v>
      </c>
      <c r="B595" s="124" t="str">
        <f>IFERROR(VLOOKUP(Tablo8[[#This Row],[ ÜRÜN KODU]],YMKODLARI!$A$1:$H$383,2,0)," " )</f>
        <v>EMZİK ASKISI KISKAÇ ERKEK</v>
      </c>
      <c r="C595" s="127">
        <v>44053</v>
      </c>
      <c r="D595" s="126">
        <v>3000</v>
      </c>
      <c r="E595" s="124" t="s">
        <v>262</v>
      </c>
    </row>
    <row r="596" spans="1:5">
      <c r="A596" s="126" t="s">
        <v>111</v>
      </c>
      <c r="B596" s="124" t="str">
        <f>IFERROR(VLOOKUP(Tablo8[[#This Row],[ ÜRÜN KODU]],YMKODLARI!$A$1:$H$383,2,0)," " )</f>
        <v>EMZİK ASKISI KISKAÇ DİŞİ</v>
      </c>
      <c r="C596" s="127">
        <v>44053</v>
      </c>
      <c r="D596" s="126">
        <v>3000</v>
      </c>
      <c r="E596" s="124" t="s">
        <v>262</v>
      </c>
    </row>
    <row r="597" spans="1:5">
      <c r="A597" s="126" t="s">
        <v>108</v>
      </c>
      <c r="B597" s="124" t="str">
        <f>IFERROR(VLOOKUP(Tablo8[[#This Row],[ ÜRÜN KODU]],YMKODLARI!$A$1:$H$383,2,0)," " )</f>
        <v>EMZİK ASKISI KISKAÇ ERKEK</v>
      </c>
      <c r="C597" s="127">
        <v>44053</v>
      </c>
      <c r="D597" s="126">
        <v>3000</v>
      </c>
      <c r="E597" s="124" t="s">
        <v>262</v>
      </c>
    </row>
    <row r="598" spans="1:5">
      <c r="A598" s="126" t="s">
        <v>109</v>
      </c>
      <c r="B598" s="124" t="str">
        <f>IFERROR(VLOOKUP(Tablo8[[#This Row],[ ÜRÜN KODU]],YMKODLARI!$A$1:$H$383,2,0)," " )</f>
        <v>EMZİK ASKISI KISKAÇ DİŞİ</v>
      </c>
      <c r="C598" s="127">
        <v>44053</v>
      </c>
      <c r="D598" s="126">
        <v>3000</v>
      </c>
      <c r="E598" s="124" t="s">
        <v>262</v>
      </c>
    </row>
    <row r="599" spans="1:5">
      <c r="A599" s="126" t="s">
        <v>100</v>
      </c>
      <c r="B599" s="124" t="str">
        <f>IFERROR(VLOOKUP(Tablo8[[#This Row],[ ÜRÜN KODU]],YMKODLARI!$A$1:$H$383,2,0)," " )</f>
        <v>EMZİK ASKISI KISKAÇ ERKEK</v>
      </c>
      <c r="C599" s="127">
        <v>44053</v>
      </c>
      <c r="D599" s="126">
        <v>2000</v>
      </c>
      <c r="E599" s="124" t="s">
        <v>262</v>
      </c>
    </row>
    <row r="600" spans="1:5">
      <c r="A600" s="126" t="s">
        <v>101</v>
      </c>
      <c r="B600" s="124" t="str">
        <f>IFERROR(VLOOKUP(Tablo8[[#This Row],[ ÜRÜN KODU]],YMKODLARI!$A$1:$H$383,2,0)," " )</f>
        <v>EMZİK ASKISI KISKAÇ DİŞİ</v>
      </c>
      <c r="C600" s="127">
        <v>44053</v>
      </c>
      <c r="D600" s="126">
        <v>2000</v>
      </c>
      <c r="E600" s="124" t="s">
        <v>262</v>
      </c>
    </row>
    <row r="601" spans="1:5">
      <c r="A601" s="124" t="s">
        <v>26</v>
      </c>
      <c r="B601" s="124" t="str">
        <f>IFERROR(VLOOKUP(Tablo8[[#This Row],[ ÜRÜN KODU]],YMKODLARI!$A$1:$H$383,2,0)," " )</f>
        <v>DAMAK EMZİK UCU 1 NO</v>
      </c>
      <c r="C601" s="125">
        <v>44054</v>
      </c>
      <c r="D601" s="124">
        <v>12000</v>
      </c>
      <c r="E601" s="124" t="s">
        <v>262</v>
      </c>
    </row>
    <row r="602" spans="1:5">
      <c r="A602" s="124" t="s">
        <v>39</v>
      </c>
      <c r="B602" s="124" t="str">
        <f>IFERROR(VLOOKUP(Tablo8[[#This Row],[ ÜRÜN KODU]],YMKODLARI!$A$1:$H$383,2,0)," " )</f>
        <v>DAMAK EMZİK UCU 3 NO</v>
      </c>
      <c r="C602" s="125">
        <v>44054</v>
      </c>
      <c r="D602" s="124">
        <v>8000</v>
      </c>
      <c r="E602" s="124" t="s">
        <v>262</v>
      </c>
    </row>
    <row r="603" spans="1:5">
      <c r="A603" s="124" t="s">
        <v>34</v>
      </c>
      <c r="B603" s="124" t="str">
        <f>IFERROR(VLOOKUP(Tablo8[[#This Row],[ ÜRÜN KODU]],YMKODLARI!$A$1:$H$383,2,0)," " )</f>
        <v>BİBERON KLASİK  UC 1 NO</v>
      </c>
      <c r="C603" s="125">
        <v>44054</v>
      </c>
      <c r="D603" s="124">
        <v>5000</v>
      </c>
      <c r="E603" s="124" t="s">
        <v>262</v>
      </c>
    </row>
    <row r="604" spans="1:5">
      <c r="A604" s="124" t="s">
        <v>170</v>
      </c>
      <c r="B604" s="124" t="str">
        <f>IFERROR(VLOOKUP(Tablo8[[#This Row],[ ÜRÜN KODU]],YMKODLARI!$A$1:$H$383,2,0)," " )</f>
        <v>UYKU EMZİK TIPA</v>
      </c>
      <c r="C604" s="125">
        <v>44054</v>
      </c>
      <c r="D604" s="124">
        <v>5388</v>
      </c>
      <c r="E604" s="124" t="s">
        <v>262</v>
      </c>
    </row>
    <row r="605" spans="1:5">
      <c r="A605" s="124" t="s">
        <v>172</v>
      </c>
      <c r="B605" s="124" t="str">
        <f>IFERROR(VLOOKUP(Tablo8[[#This Row],[ ÜRÜN KODU]],YMKODLARI!$A$1:$H$383,2,0)," " )</f>
        <v>UYKU EMZİK TIPA</v>
      </c>
      <c r="C605" s="125">
        <v>44054</v>
      </c>
      <c r="D605" s="124">
        <v>4386</v>
      </c>
      <c r="E605" s="124" t="s">
        <v>262</v>
      </c>
    </row>
    <row r="606" spans="1:5">
      <c r="A606" s="124" t="s">
        <v>176</v>
      </c>
      <c r="B606" s="124" t="str">
        <f>IFERROR(VLOOKUP(Tablo8[[#This Row],[ ÜRÜN KODU]],YMKODLARI!$A$1:$H$383,2,0)," " )</f>
        <v xml:space="preserve">BİBERON KAPAĞI </v>
      </c>
      <c r="C606" s="125">
        <v>44054</v>
      </c>
      <c r="D606" s="124">
        <v>8000</v>
      </c>
      <c r="E606" s="124" t="s">
        <v>262</v>
      </c>
    </row>
    <row r="607" spans="1:5">
      <c r="A607" s="124" t="s">
        <v>53</v>
      </c>
      <c r="B607" s="124" t="str">
        <f>IFERROR(VLOOKUP(Tablo8[[#This Row],[ ÜRÜN KODU]],YMKODLARI!$A$1:$H$383,2,0)," " )</f>
        <v xml:space="preserve">SİLİKON MAMA KAŞIĞI UCU </v>
      </c>
      <c r="C607" s="125">
        <v>44054</v>
      </c>
      <c r="D607" s="124">
        <v>2000</v>
      </c>
      <c r="E607" s="124" t="s">
        <v>262</v>
      </c>
    </row>
    <row r="608" spans="1:5">
      <c r="A608" s="124" t="s">
        <v>173</v>
      </c>
      <c r="B608" s="124" t="str">
        <f>IFERROR(VLOOKUP(Tablo8[[#This Row],[ ÜRÜN KODU]],YMKODLARI!$A$1:$H$383,2,0)," " )</f>
        <v>UYKU EMZİK TIPA</v>
      </c>
      <c r="C608" s="125">
        <v>44055</v>
      </c>
      <c r="D608" s="124">
        <v>11000</v>
      </c>
      <c r="E608" s="124" t="s">
        <v>262</v>
      </c>
    </row>
    <row r="609" spans="1:5">
      <c r="A609" s="124" t="s">
        <v>176</v>
      </c>
      <c r="B609" s="124" t="str">
        <f>IFERROR(VLOOKUP(Tablo8[[#This Row],[ ÜRÜN KODU]],YMKODLARI!$A$1:$H$383,2,0)," " )</f>
        <v xml:space="preserve">BİBERON KAPAĞI </v>
      </c>
      <c r="C609" s="125">
        <v>44055</v>
      </c>
      <c r="D609" s="124">
        <v>13500</v>
      </c>
      <c r="E609" s="124" t="s">
        <v>262</v>
      </c>
    </row>
    <row r="610" spans="1:5">
      <c r="A610" s="124" t="s">
        <v>34</v>
      </c>
      <c r="B610" s="124" t="str">
        <f>IFERROR(VLOOKUP(Tablo8[[#This Row],[ ÜRÜN KODU]],YMKODLARI!$A$1:$H$383,2,0)," " )</f>
        <v>BİBERON KLASİK  UC 1 NO</v>
      </c>
      <c r="C610" s="125">
        <v>44057</v>
      </c>
      <c r="D610" s="124">
        <v>8000</v>
      </c>
      <c r="E610" s="124" t="s">
        <v>262</v>
      </c>
    </row>
    <row r="611" spans="1:5">
      <c r="A611" s="124" t="s">
        <v>174</v>
      </c>
      <c r="B611" s="124" t="str">
        <f>IFERROR(VLOOKUP(Tablo8[[#This Row],[ ÜRÜN KODU]],YMKODLARI!$A$1:$H$383,2,0)," " )</f>
        <v>UYKU EMZİK TIPA</v>
      </c>
      <c r="C611" s="125">
        <v>44057</v>
      </c>
      <c r="D611" s="124">
        <v>11185</v>
      </c>
      <c r="E611" s="124" t="s">
        <v>262</v>
      </c>
    </row>
    <row r="612" spans="1:5">
      <c r="A612" s="124" t="s">
        <v>173</v>
      </c>
      <c r="B612" s="124" t="str">
        <f>IFERROR(VLOOKUP(Tablo8[[#This Row],[ ÜRÜN KODU]],YMKODLARI!$A$1:$H$383,2,0)," " )</f>
        <v>UYKU EMZİK TIPA</v>
      </c>
      <c r="C612" s="125">
        <v>44057</v>
      </c>
      <c r="D612" s="124">
        <v>475</v>
      </c>
      <c r="E612" s="124" t="s">
        <v>262</v>
      </c>
    </row>
    <row r="613" spans="1:5">
      <c r="A613" s="124" t="s">
        <v>176</v>
      </c>
      <c r="B613" s="124" t="str">
        <f>IFERROR(VLOOKUP(Tablo8[[#This Row],[ ÜRÜN KODU]],YMKODLARI!$A$1:$H$383,2,0)," " )</f>
        <v xml:space="preserve">BİBERON KAPAĞI </v>
      </c>
      <c r="C613" s="125">
        <v>44057</v>
      </c>
      <c r="D613" s="124">
        <v>17000</v>
      </c>
      <c r="E613" s="124" t="s">
        <v>262</v>
      </c>
    </row>
    <row r="614" spans="1:5">
      <c r="A614" s="124" t="s">
        <v>115</v>
      </c>
      <c r="B614" s="124" t="str">
        <f>IFERROR(VLOOKUP(Tablo8[[#This Row],[ ÜRÜN KODU]],YMKODLARI!$A$1:$H$383,2,0)," " )</f>
        <v>EMZİK ASKISI MANDAL</v>
      </c>
      <c r="C614" s="125">
        <v>44057</v>
      </c>
      <c r="D614" s="124">
        <v>5000</v>
      </c>
      <c r="E614" s="124" t="s">
        <v>262</v>
      </c>
    </row>
    <row r="615" spans="1:5">
      <c r="A615" s="124" t="s">
        <v>112</v>
      </c>
      <c r="B615" s="124" t="str">
        <f>IFERROR(VLOOKUP(Tablo8[[#This Row],[ ÜRÜN KODU]],YMKODLARI!$A$1:$H$383,2,0)," " )</f>
        <v>EMZİK ASKISI KANCA</v>
      </c>
      <c r="C615" s="125">
        <v>44057</v>
      </c>
      <c r="D615" s="124">
        <v>11000</v>
      </c>
      <c r="E615" s="124" t="s">
        <v>262</v>
      </c>
    </row>
    <row r="616" spans="1:5">
      <c r="A616" s="124" t="s">
        <v>41</v>
      </c>
      <c r="B616" s="124" t="str">
        <f>IFERROR(VLOOKUP(Tablo8[[#This Row],[ ÜRÜN KODU]],YMKODLARI!$A$1:$H$383,2,0)," " )</f>
        <v>AKITMAZ BİBERON UCU</v>
      </c>
      <c r="C616" s="125">
        <v>44060</v>
      </c>
      <c r="D616" s="124">
        <v>3500</v>
      </c>
      <c r="E616" s="124" t="s">
        <v>262</v>
      </c>
    </row>
    <row r="617" spans="1:5">
      <c r="A617" s="124" t="s">
        <v>26</v>
      </c>
      <c r="B617" s="124" t="str">
        <f>IFERROR(VLOOKUP(Tablo8[[#This Row],[ ÜRÜN KODU]],YMKODLARI!$A$1:$H$383,2,0)," " )</f>
        <v>DAMAK EMZİK UCU 1 NO</v>
      </c>
      <c r="C617" s="125">
        <v>44060</v>
      </c>
      <c r="D617" s="124">
        <v>6770</v>
      </c>
      <c r="E617" s="124" t="s">
        <v>262</v>
      </c>
    </row>
    <row r="618" spans="1:5">
      <c r="A618" s="124" t="s">
        <v>34</v>
      </c>
      <c r="B618" s="124" t="str">
        <f>IFERROR(VLOOKUP(Tablo8[[#This Row],[ ÜRÜN KODU]],YMKODLARI!$A$1:$H$383,2,0)," " )</f>
        <v>BİBERON KLASİK  UC 1 NO</v>
      </c>
      <c r="C618" s="125">
        <v>44060</v>
      </c>
      <c r="D618" s="124">
        <v>2000</v>
      </c>
      <c r="E618" s="124" t="s">
        <v>262</v>
      </c>
    </row>
    <row r="619" spans="1:5">
      <c r="A619" s="124" t="s">
        <v>28</v>
      </c>
      <c r="B619" s="124" t="str">
        <f>IFERROR(VLOOKUP(Tablo8[[#This Row],[ ÜRÜN KODU]],YMKODLARI!$A$1:$H$383,2,0)," " )</f>
        <v>BİBERON KLASİK  UC 2 NO</v>
      </c>
      <c r="C619" s="125">
        <v>44060</v>
      </c>
      <c r="D619" s="124">
        <v>5000</v>
      </c>
      <c r="E619" s="124" t="s">
        <v>262</v>
      </c>
    </row>
    <row r="620" spans="1:5">
      <c r="A620" s="124" t="s">
        <v>53</v>
      </c>
      <c r="B620" s="124" t="str">
        <f>IFERROR(VLOOKUP(Tablo8[[#This Row],[ ÜRÜN KODU]],YMKODLARI!$A$1:$H$383,2,0)," " )</f>
        <v xml:space="preserve">SİLİKON MAMA KAŞIĞI UCU </v>
      </c>
      <c r="C620" s="125">
        <v>44060</v>
      </c>
      <c r="D620" s="124">
        <v>244</v>
      </c>
      <c r="E620" s="124" t="s">
        <v>262</v>
      </c>
    </row>
    <row r="621" spans="1:5">
      <c r="A621" s="124" t="s">
        <v>55</v>
      </c>
      <c r="B621" s="124" t="str">
        <f>IFERROR(VLOOKUP(Tablo8[[#This Row],[ ÜRÜN KODU]],YMKODLARI!$A$1:$H$383,2,0)," " )</f>
        <v>BİBERON SEYAHAT TIPASI</v>
      </c>
      <c r="C621" s="125">
        <v>44060</v>
      </c>
      <c r="D621" s="124">
        <v>22965</v>
      </c>
      <c r="E621" s="124" t="s">
        <v>262</v>
      </c>
    </row>
    <row r="622" spans="1:5">
      <c r="A622" s="124" t="s">
        <v>175</v>
      </c>
      <c r="B622" s="124" t="str">
        <f>IFERROR(VLOOKUP(Tablo8[[#This Row],[ ÜRÜN KODU]],YMKODLARI!$A$1:$H$383,2,0)," " )</f>
        <v>UYKU EMZİK TIPA</v>
      </c>
      <c r="C622" s="125">
        <v>44060</v>
      </c>
      <c r="D622" s="124">
        <v>11280</v>
      </c>
      <c r="E622" s="124" t="s">
        <v>262</v>
      </c>
    </row>
    <row r="623" spans="1:5">
      <c r="A623" s="124" t="s">
        <v>176</v>
      </c>
      <c r="B623" s="124" t="str">
        <f>IFERROR(VLOOKUP(Tablo8[[#This Row],[ ÜRÜN KODU]],YMKODLARI!$A$1:$H$383,2,0)," " )</f>
        <v xml:space="preserve">BİBERON KAPAĞI </v>
      </c>
      <c r="C623" s="125">
        <v>44060</v>
      </c>
      <c r="D623" s="124">
        <v>345</v>
      </c>
      <c r="E623" s="124" t="s">
        <v>262</v>
      </c>
    </row>
    <row r="624" spans="1:5">
      <c r="A624" s="124" t="s">
        <v>202</v>
      </c>
      <c r="B624" s="124" t="str">
        <f>IFERROR(VLOOKUP(Tablo8[[#This Row],[ ÜRÜN KODU]],YMKODLARI!$A$1:$H$383,2,0)," " )</f>
        <v xml:space="preserve"> BİBERON VİDA</v>
      </c>
      <c r="C624" s="125">
        <v>44060</v>
      </c>
      <c r="D624" s="124">
        <v>5000</v>
      </c>
      <c r="E624" s="124" t="s">
        <v>262</v>
      </c>
    </row>
    <row r="625" spans="1:5">
      <c r="A625" s="124" t="s">
        <v>57</v>
      </c>
      <c r="B625" s="124" t="str">
        <f>IFERROR(VLOOKUP(Tablo8[[#This Row],[ ÜRÜN KODU]],YMKODLARI!$A$1:$H$383,2,0)," " )</f>
        <v>EMZİK SAKLAMA KUTUSU ÜST</v>
      </c>
      <c r="C625" s="125">
        <v>44061</v>
      </c>
      <c r="D625" s="124">
        <v>1000</v>
      </c>
      <c r="E625" s="124" t="s">
        <v>262</v>
      </c>
    </row>
    <row r="626" spans="1:5">
      <c r="A626" s="124" t="s">
        <v>58</v>
      </c>
      <c r="B626" s="124" t="str">
        <f>IFERROR(VLOOKUP(Tablo8[[#This Row],[ ÜRÜN KODU]],YMKODLARI!$A$1:$H$383,2,0)," " )</f>
        <v>EMZİK SAKLAMA KUTUSU ALT</v>
      </c>
      <c r="C626" s="125">
        <v>44061</v>
      </c>
      <c r="D626" s="124">
        <v>1000</v>
      </c>
      <c r="E626" s="124" t="s">
        <v>262</v>
      </c>
    </row>
    <row r="627" spans="1:5">
      <c r="A627" s="124" t="s">
        <v>176</v>
      </c>
      <c r="B627" s="124" t="str">
        <f>IFERROR(VLOOKUP(Tablo8[[#This Row],[ ÜRÜN KODU]],YMKODLARI!$A$1:$H$383,2,0)," " )</f>
        <v xml:space="preserve">BİBERON KAPAĞI </v>
      </c>
      <c r="C627" s="125">
        <v>44061</v>
      </c>
      <c r="D627" s="124">
        <v>5305</v>
      </c>
      <c r="E627" s="124" t="s">
        <v>262</v>
      </c>
    </row>
    <row r="628" spans="1:5">
      <c r="A628" s="128" t="s">
        <v>41</v>
      </c>
      <c r="B628" s="124" t="str">
        <f>IFERROR(VLOOKUP(Tablo8[[#This Row],[ ÜRÜN KODU]],YMKODLARI!$A$1:$H$383,2,0)," " )</f>
        <v>AKITMAZ BİBERON UCU</v>
      </c>
      <c r="C628" s="129">
        <v>44062</v>
      </c>
      <c r="D628" s="130">
        <v>2000</v>
      </c>
      <c r="E628" s="124" t="s">
        <v>262</v>
      </c>
    </row>
    <row r="629" spans="1:5">
      <c r="A629" s="128" t="s">
        <v>28</v>
      </c>
      <c r="B629" s="124" t="str">
        <f>IFERROR(VLOOKUP(Tablo8[[#This Row],[ ÜRÜN KODU]],YMKODLARI!$A$1:$H$383,2,0)," " )</f>
        <v>BİBERON KLASİK  UC 2 NO</v>
      </c>
      <c r="C629" s="129">
        <v>44062</v>
      </c>
      <c r="D629" s="130">
        <v>3000</v>
      </c>
      <c r="E629" s="124" t="s">
        <v>262</v>
      </c>
    </row>
    <row r="630" spans="1:5">
      <c r="A630" s="128" t="s">
        <v>203</v>
      </c>
      <c r="B630" s="124" t="str">
        <f>IFERROR(VLOOKUP(Tablo8[[#This Row],[ ÜRÜN KODU]],YMKODLARI!$A$1:$H$383,2,0)," " )</f>
        <v xml:space="preserve"> BİBERON VİDA</v>
      </c>
      <c r="C630" s="129">
        <v>44062</v>
      </c>
      <c r="D630" s="130">
        <v>5084</v>
      </c>
      <c r="E630" s="124" t="s">
        <v>262</v>
      </c>
    </row>
    <row r="631" spans="1:5">
      <c r="A631" s="124" t="s">
        <v>34</v>
      </c>
      <c r="B631" s="124" t="str">
        <f>IFERROR(VLOOKUP(Tablo8[[#This Row],[ ÜRÜN KODU]],YMKODLARI!$A$1:$H$383,2,0)," " )</f>
        <v>BİBERON KLASİK  UC 1 NO</v>
      </c>
      <c r="C631" s="125">
        <v>44063</v>
      </c>
      <c r="D631" s="124">
        <v>2000</v>
      </c>
      <c r="E631" s="124" t="s">
        <v>262</v>
      </c>
    </row>
    <row r="632" spans="1:5">
      <c r="A632" s="124" t="s">
        <v>28</v>
      </c>
      <c r="B632" s="124" t="str">
        <f>IFERROR(VLOOKUP(Tablo8[[#This Row],[ ÜRÜN KODU]],YMKODLARI!$A$1:$H$383,2,0)," " )</f>
        <v>BİBERON KLASİK  UC 2 NO</v>
      </c>
      <c r="C632" s="125">
        <v>44063</v>
      </c>
      <c r="D632" s="124">
        <v>7000</v>
      </c>
      <c r="E632" s="124" t="s">
        <v>262</v>
      </c>
    </row>
    <row r="633" spans="1:5">
      <c r="A633" s="124" t="s">
        <v>57</v>
      </c>
      <c r="B633" s="124" t="str">
        <f>IFERROR(VLOOKUP(Tablo8[[#This Row],[ ÜRÜN KODU]],YMKODLARI!$A$1:$H$383,2,0)," " )</f>
        <v>EMZİK SAKLAMA KUTUSU ÜST</v>
      </c>
      <c r="C633" s="125">
        <v>44063</v>
      </c>
      <c r="D633" s="124">
        <v>120</v>
      </c>
      <c r="E633" s="124" t="s">
        <v>262</v>
      </c>
    </row>
    <row r="634" spans="1:5">
      <c r="A634" s="124" t="s">
        <v>58</v>
      </c>
      <c r="B634" s="124" t="str">
        <f>IFERROR(VLOOKUP(Tablo8[[#This Row],[ ÜRÜN KODU]],YMKODLARI!$A$1:$H$383,2,0)," " )</f>
        <v>EMZİK SAKLAMA KUTUSU ALT</v>
      </c>
      <c r="C634" s="125">
        <v>44063</v>
      </c>
      <c r="D634" s="124">
        <v>120</v>
      </c>
      <c r="E634" s="124" t="s">
        <v>262</v>
      </c>
    </row>
    <row r="635" spans="1:5">
      <c r="A635" s="124" t="s">
        <v>59</v>
      </c>
      <c r="B635" s="124" t="str">
        <f>IFERROR(VLOOKUP(Tablo8[[#This Row],[ ÜRÜN KODU]],YMKODLARI!$A$1:$H$383,2,0)," " )</f>
        <v>EMZİK SAKLAMA KUTUSU ÜST</v>
      </c>
      <c r="C635" s="125">
        <v>44063</v>
      </c>
      <c r="D635" s="124">
        <v>1330</v>
      </c>
      <c r="E635" s="124" t="s">
        <v>262</v>
      </c>
    </row>
    <row r="636" spans="1:5">
      <c r="A636" s="124" t="s">
        <v>62</v>
      </c>
      <c r="B636" s="124" t="str">
        <f>IFERROR(VLOOKUP(Tablo8[[#This Row],[ ÜRÜN KODU]],YMKODLARI!$A$1:$H$383,2,0)," " )</f>
        <v>EMZİK SAKLAMA KUTUSU ALT</v>
      </c>
      <c r="C636" s="125">
        <v>44063</v>
      </c>
      <c r="D636" s="124">
        <v>1330</v>
      </c>
      <c r="E636" s="124" t="s">
        <v>262</v>
      </c>
    </row>
    <row r="637" spans="1:5">
      <c r="A637" s="131" t="s">
        <v>157</v>
      </c>
      <c r="B637" s="124" t="str">
        <f>IFERROR(VLOOKUP(Tablo8[[#This Row],[ ÜRÜN KODU]],YMKODLARI!$A$1:$H$383,2,0)," " )</f>
        <v>NEŞELİ ÇINGIRAK</v>
      </c>
      <c r="C637" s="125">
        <v>44063</v>
      </c>
      <c r="D637" s="124">
        <v>2000</v>
      </c>
      <c r="E637" s="124" t="s">
        <v>262</v>
      </c>
    </row>
    <row r="638" spans="1:5">
      <c r="A638" s="131" t="s">
        <v>158</v>
      </c>
      <c r="B638" s="124" t="str">
        <f>IFERROR(VLOOKUP(Tablo8[[#This Row],[ ÜRÜN KODU]],YMKODLARI!$A$1:$H$383,2,0)," " )</f>
        <v>NEŞELİ ÇINGIRAK</v>
      </c>
      <c r="C638" s="125">
        <v>44063</v>
      </c>
      <c r="D638" s="124">
        <v>2000</v>
      </c>
      <c r="E638" s="124" t="s">
        <v>262</v>
      </c>
    </row>
    <row r="639" spans="1:5">
      <c r="A639" s="131" t="s">
        <v>159</v>
      </c>
      <c r="B639" s="124" t="str">
        <f>IFERROR(VLOOKUP(Tablo8[[#This Row],[ ÜRÜN KODU]],YMKODLARI!$A$1:$H$383,2,0)," " )</f>
        <v>NEŞELİ ÇINGIRAK</v>
      </c>
      <c r="C639" s="125">
        <v>44063</v>
      </c>
      <c r="D639" s="124">
        <v>2000</v>
      </c>
      <c r="E639" s="124" t="s">
        <v>262</v>
      </c>
    </row>
    <row r="640" spans="1:5">
      <c r="A640" s="131" t="s">
        <v>160</v>
      </c>
      <c r="B640" s="124" t="str">
        <f>IFERROR(VLOOKUP(Tablo8[[#This Row],[ ÜRÜN KODU]],YMKODLARI!$A$1:$H$383,2,0)," " )</f>
        <v>NEŞELİ ÇINGIRAK</v>
      </c>
      <c r="C640" s="125">
        <v>44063</v>
      </c>
      <c r="D640" s="124">
        <v>2000</v>
      </c>
      <c r="E640" s="124" t="s">
        <v>262</v>
      </c>
    </row>
    <row r="641" spans="1:5">
      <c r="A641" s="131" t="s">
        <v>145</v>
      </c>
      <c r="B641" s="124" t="str">
        <f>IFERROR(VLOOKUP(Tablo8[[#This Row],[ ÜRÜN KODU]],YMKODLARI!$A$1:$H$383,2,0)," " )</f>
        <v>NEŞELİ ÇINGIRAK</v>
      </c>
      <c r="C641" s="125">
        <v>44063</v>
      </c>
      <c r="D641" s="124">
        <v>1000</v>
      </c>
      <c r="E641" s="124" t="s">
        <v>262</v>
      </c>
    </row>
    <row r="642" spans="1:5">
      <c r="A642" s="131" t="s">
        <v>146</v>
      </c>
      <c r="B642" s="124" t="str">
        <f>IFERROR(VLOOKUP(Tablo8[[#This Row],[ ÜRÜN KODU]],YMKODLARI!$A$1:$H$383,2,0)," " )</f>
        <v>NEŞELİ ÇINGIRAK</v>
      </c>
      <c r="C642" s="125">
        <v>44063</v>
      </c>
      <c r="D642" s="124">
        <v>1000</v>
      </c>
      <c r="E642" s="124" t="s">
        <v>262</v>
      </c>
    </row>
    <row r="643" spans="1:5">
      <c r="A643" s="120" t="s">
        <v>147</v>
      </c>
      <c r="B643" s="124" t="str">
        <f>IFERROR(VLOOKUP(Tablo8[[#This Row],[ ÜRÜN KODU]],YMKODLARI!$A$1:$H$383,2,0)," " )</f>
        <v>NEŞELİ ÇINGIRAK</v>
      </c>
      <c r="C643" s="125">
        <v>44063</v>
      </c>
      <c r="D643" s="124">
        <v>1000</v>
      </c>
      <c r="E643" s="124" t="s">
        <v>262</v>
      </c>
    </row>
    <row r="644" spans="1:5">
      <c r="A644" s="120" t="s">
        <v>148</v>
      </c>
      <c r="B644" s="124" t="str">
        <f>IFERROR(VLOOKUP(Tablo8[[#This Row],[ ÜRÜN KODU]],YMKODLARI!$A$1:$H$383,2,0)," " )</f>
        <v>NEŞELİ ÇINGIRAK</v>
      </c>
      <c r="C644" s="125">
        <v>44063</v>
      </c>
      <c r="D644" s="124">
        <v>1000</v>
      </c>
      <c r="E644" s="124" t="s">
        <v>262</v>
      </c>
    </row>
    <row r="645" spans="1:5">
      <c r="A645" s="124" t="s">
        <v>211</v>
      </c>
      <c r="B645" s="124" t="str">
        <f>IFERROR(VLOOKUP(Tablo8[[#This Row],[ ÜRÜN KODU]],YMKODLARI!$A$1:$H$383,2,0)," " )</f>
        <v xml:space="preserve"> BİBERON VİDA</v>
      </c>
      <c r="C645" s="125">
        <v>44063</v>
      </c>
      <c r="D645" s="124">
        <v>1136</v>
      </c>
      <c r="E645" s="124" t="s">
        <v>262</v>
      </c>
    </row>
    <row r="646" spans="1:5">
      <c r="A646" s="124" t="s">
        <v>34</v>
      </c>
      <c r="B646" s="124" t="str">
        <f>IFERROR(VLOOKUP(Tablo8[[#This Row],[ ÜRÜN KODU]],YMKODLARI!$A$1:$H$383,2,0)," " )</f>
        <v>BİBERON KLASİK  UC 1 NO</v>
      </c>
      <c r="C646" s="125">
        <v>44067</v>
      </c>
      <c r="D646" s="124">
        <v>1000</v>
      </c>
      <c r="E646" s="124" t="s">
        <v>262</v>
      </c>
    </row>
    <row r="647" spans="1:5">
      <c r="A647" s="124" t="s">
        <v>28</v>
      </c>
      <c r="B647" s="124" t="str">
        <f>IFERROR(VLOOKUP(Tablo8[[#This Row],[ ÜRÜN KODU]],YMKODLARI!$A$1:$H$383,2,0)," " )</f>
        <v>BİBERON KLASİK  UC 2 NO</v>
      </c>
      <c r="C647" s="125">
        <v>44067</v>
      </c>
      <c r="D647" s="124">
        <v>16000</v>
      </c>
      <c r="E647" s="124" t="s">
        <v>262</v>
      </c>
    </row>
    <row r="648" spans="1:5">
      <c r="A648" s="124" t="s">
        <v>210</v>
      </c>
      <c r="B648" s="124" t="str">
        <f>IFERROR(VLOOKUP(Tablo8[[#This Row],[ ÜRÜN KODU]],YMKODLARI!$A$1:$H$383,2,0)," " )</f>
        <v xml:space="preserve"> BİBERON VİDA</v>
      </c>
      <c r="C648" s="125">
        <v>44067</v>
      </c>
      <c r="D648" s="124">
        <v>5000</v>
      </c>
      <c r="E648" s="124" t="s">
        <v>262</v>
      </c>
    </row>
    <row r="649" spans="1:5">
      <c r="A649" s="124" t="s">
        <v>211</v>
      </c>
      <c r="B649" s="124" t="str">
        <f>IFERROR(VLOOKUP(Tablo8[[#This Row],[ ÜRÜN KODU]],YMKODLARI!$A$1:$H$383,2,0)," " )</f>
        <v xml:space="preserve"> BİBERON VİDA</v>
      </c>
      <c r="C649" s="125">
        <v>44067</v>
      </c>
      <c r="D649" s="124">
        <v>6000</v>
      </c>
      <c r="E649" s="124" t="s">
        <v>262</v>
      </c>
    </row>
    <row r="650" spans="1:5">
      <c r="A650" s="120" t="s">
        <v>149</v>
      </c>
      <c r="B650" s="124" t="str">
        <f>IFERROR(VLOOKUP(Tablo8[[#This Row],[ ÜRÜN KODU]],YMKODLARI!$A$1:$H$383,2,0)," " )</f>
        <v>NEŞELİ ÇINGIRAK</v>
      </c>
      <c r="C650" s="125">
        <v>44067</v>
      </c>
      <c r="D650" s="124">
        <v>1500</v>
      </c>
      <c r="E650" s="124" t="s">
        <v>262</v>
      </c>
    </row>
    <row r="651" spans="1:5">
      <c r="A651" s="120" t="s">
        <v>150</v>
      </c>
      <c r="B651" s="124" t="str">
        <f>IFERROR(VLOOKUP(Tablo8[[#This Row],[ ÜRÜN KODU]],YMKODLARI!$A$1:$H$383,2,0)," " )</f>
        <v>NEŞELİ ÇINGIRAK</v>
      </c>
      <c r="C651" s="125">
        <v>44067</v>
      </c>
      <c r="D651" s="124">
        <v>1500</v>
      </c>
      <c r="E651" s="124" t="s">
        <v>262</v>
      </c>
    </row>
    <row r="652" spans="1:5">
      <c r="A652" s="120" t="s">
        <v>151</v>
      </c>
      <c r="B652" s="124" t="str">
        <f>IFERROR(VLOOKUP(Tablo8[[#This Row],[ ÜRÜN KODU]],YMKODLARI!$A$1:$H$383,2,0)," " )</f>
        <v>NEŞELİ ÇINGIRAK</v>
      </c>
      <c r="C652" s="125">
        <v>44067</v>
      </c>
      <c r="D652" s="124">
        <v>1500</v>
      </c>
      <c r="E652" s="124" t="s">
        <v>262</v>
      </c>
    </row>
    <row r="653" spans="1:5">
      <c r="A653" s="120" t="s">
        <v>152</v>
      </c>
      <c r="B653" s="124" t="str">
        <f>IFERROR(VLOOKUP(Tablo8[[#This Row],[ ÜRÜN KODU]],YMKODLARI!$A$1:$H$383,2,0)," " )</f>
        <v>NEŞELİ ÇINGIRAK</v>
      </c>
      <c r="C653" s="125">
        <v>44067</v>
      </c>
      <c r="D653" s="124">
        <v>1500</v>
      </c>
      <c r="E653" s="124" t="s">
        <v>262</v>
      </c>
    </row>
    <row r="654" spans="1:5">
      <c r="A654" s="120" t="s">
        <v>153</v>
      </c>
      <c r="B654" s="124" t="str">
        <f>IFERROR(VLOOKUP(Tablo8[[#This Row],[ ÜRÜN KODU]],YMKODLARI!$A$1:$H$383,2,0)," " )</f>
        <v>NEŞELİ ÇINGIRAK</v>
      </c>
      <c r="C654" s="125">
        <v>44067</v>
      </c>
      <c r="D654" s="124">
        <v>500</v>
      </c>
      <c r="E654" s="124" t="s">
        <v>262</v>
      </c>
    </row>
    <row r="655" spans="1:5">
      <c r="A655" s="120" t="s">
        <v>154</v>
      </c>
      <c r="B655" s="124" t="str">
        <f>IFERROR(VLOOKUP(Tablo8[[#This Row],[ ÜRÜN KODU]],YMKODLARI!$A$1:$H$383,2,0)," " )</f>
        <v>NEŞELİ ÇINGIRAK</v>
      </c>
      <c r="C655" s="125">
        <v>44067</v>
      </c>
      <c r="D655" s="124">
        <v>500</v>
      </c>
      <c r="E655" s="124" t="s">
        <v>262</v>
      </c>
    </row>
    <row r="656" spans="1:5">
      <c r="A656" s="120" t="s">
        <v>155</v>
      </c>
      <c r="B656" s="124" t="str">
        <f>IFERROR(VLOOKUP(Tablo8[[#This Row],[ ÜRÜN KODU]],YMKODLARI!$A$1:$H$383,2,0)," " )</f>
        <v>NEŞELİ ÇINGIRAK</v>
      </c>
      <c r="C656" s="125">
        <v>44067</v>
      </c>
      <c r="D656" s="124">
        <v>500</v>
      </c>
      <c r="E656" s="124" t="s">
        <v>262</v>
      </c>
    </row>
    <row r="657" spans="1:5">
      <c r="A657" s="120" t="s">
        <v>156</v>
      </c>
      <c r="B657" s="124" t="str">
        <f>IFERROR(VLOOKUP(Tablo8[[#This Row],[ ÜRÜN KODU]],YMKODLARI!$A$1:$H$383,2,0)," " )</f>
        <v>NEŞELİ ÇINGIRAK</v>
      </c>
      <c r="C657" s="125">
        <v>44067</v>
      </c>
      <c r="D657" s="124">
        <v>500</v>
      </c>
      <c r="E657" s="124" t="s">
        <v>262</v>
      </c>
    </row>
    <row r="658" spans="1:5">
      <c r="A658" s="120" t="s">
        <v>157</v>
      </c>
      <c r="B658" s="124" t="str">
        <f>IFERROR(VLOOKUP(Tablo8[[#This Row],[ ÜRÜN KODU]],YMKODLARI!$A$1:$H$383,2,0)," " )</f>
        <v>NEŞELİ ÇINGIRAK</v>
      </c>
      <c r="C658" s="125">
        <v>44067</v>
      </c>
      <c r="D658" s="124">
        <v>500</v>
      </c>
      <c r="E658" s="124" t="s">
        <v>262</v>
      </c>
    </row>
    <row r="659" spans="1:5">
      <c r="A659" s="120" t="s">
        <v>158</v>
      </c>
      <c r="B659" s="124" t="str">
        <f>IFERROR(VLOOKUP(Tablo8[[#This Row],[ ÜRÜN KODU]],YMKODLARI!$A$1:$H$383,2,0)," " )</f>
        <v>NEŞELİ ÇINGIRAK</v>
      </c>
      <c r="C659" s="125">
        <v>44067</v>
      </c>
      <c r="D659" s="124">
        <v>500</v>
      </c>
      <c r="E659" s="124" t="s">
        <v>262</v>
      </c>
    </row>
    <row r="660" spans="1:5">
      <c r="A660" s="120" t="s">
        <v>159</v>
      </c>
      <c r="B660" s="124" t="str">
        <f>IFERROR(VLOOKUP(Tablo8[[#This Row],[ ÜRÜN KODU]],YMKODLARI!$A$1:$H$383,2,0)," " )</f>
        <v>NEŞELİ ÇINGIRAK</v>
      </c>
      <c r="C660" s="125">
        <v>44067</v>
      </c>
      <c r="D660" s="124">
        <v>500</v>
      </c>
      <c r="E660" s="124" t="s">
        <v>262</v>
      </c>
    </row>
    <row r="661" spans="1:5">
      <c r="A661" s="120" t="s">
        <v>160</v>
      </c>
      <c r="B661" s="124" t="str">
        <f>IFERROR(VLOOKUP(Tablo8[[#This Row],[ ÜRÜN KODU]],YMKODLARI!$A$1:$H$383,2,0)," " )</f>
        <v>NEŞELİ ÇINGIRAK</v>
      </c>
      <c r="C661" s="125">
        <v>44067</v>
      </c>
      <c r="D661" s="124">
        <v>500</v>
      </c>
      <c r="E661" s="124" t="s">
        <v>262</v>
      </c>
    </row>
    <row r="662" spans="1:5">
      <c r="A662" s="120" t="s">
        <v>149</v>
      </c>
      <c r="B662" s="124" t="str">
        <f>IFERROR(VLOOKUP(Tablo8[[#This Row],[ ÜRÜN KODU]],YMKODLARI!$A$1:$H$383,2,0)," " )</f>
        <v>NEŞELİ ÇINGIRAK</v>
      </c>
      <c r="C662" s="125">
        <v>44067</v>
      </c>
      <c r="D662" s="124">
        <v>118</v>
      </c>
      <c r="E662" s="124" t="s">
        <v>262</v>
      </c>
    </row>
    <row r="663" spans="1:5">
      <c r="A663" s="120" t="s">
        <v>150</v>
      </c>
      <c r="B663" s="124" t="str">
        <f>IFERROR(VLOOKUP(Tablo8[[#This Row],[ ÜRÜN KODU]],YMKODLARI!$A$1:$H$383,2,0)," " )</f>
        <v>NEŞELİ ÇINGIRAK</v>
      </c>
      <c r="C663" s="125">
        <v>44067</v>
      </c>
      <c r="D663" s="124">
        <v>118</v>
      </c>
      <c r="E663" s="124" t="s">
        <v>262</v>
      </c>
    </row>
    <row r="664" spans="1:5">
      <c r="A664" s="120" t="s">
        <v>151</v>
      </c>
      <c r="B664" s="124" t="str">
        <f>IFERROR(VLOOKUP(Tablo8[[#This Row],[ ÜRÜN KODU]],YMKODLARI!$A$1:$H$383,2,0)," " )</f>
        <v>NEŞELİ ÇINGIRAK</v>
      </c>
      <c r="C664" s="125">
        <v>44067</v>
      </c>
      <c r="D664" s="124">
        <v>118</v>
      </c>
      <c r="E664" s="124" t="s">
        <v>262</v>
      </c>
    </row>
    <row r="665" spans="1:5">
      <c r="A665" s="120" t="s">
        <v>152</v>
      </c>
      <c r="B665" s="124" t="str">
        <f>IFERROR(VLOOKUP(Tablo8[[#This Row],[ ÜRÜN KODU]],YMKODLARI!$A$1:$H$383,2,0)," " )</f>
        <v>NEŞELİ ÇINGIRAK</v>
      </c>
      <c r="C665" s="125">
        <v>44067</v>
      </c>
      <c r="D665" s="124">
        <v>118</v>
      </c>
      <c r="E665" s="124" t="s">
        <v>262</v>
      </c>
    </row>
    <row r="666" spans="1:5">
      <c r="A666" s="124" t="s">
        <v>34</v>
      </c>
      <c r="B666" s="124" t="str">
        <f>IFERROR(VLOOKUP(Tablo8[[#This Row],[ ÜRÜN KODU]],YMKODLARI!$A$1:$H$383,2,0)," " )</f>
        <v>BİBERON KLASİK  UC 1 NO</v>
      </c>
      <c r="C666" s="125">
        <v>44068</v>
      </c>
      <c r="D666" s="124">
        <v>8000</v>
      </c>
      <c r="E666" s="124" t="s">
        <v>262</v>
      </c>
    </row>
    <row r="667" spans="1:5">
      <c r="A667" s="124" t="s">
        <v>28</v>
      </c>
      <c r="B667" s="124" t="str">
        <f>IFERROR(VLOOKUP(Tablo8[[#This Row],[ ÜRÜN KODU]],YMKODLARI!$A$1:$H$383,2,0)," " )</f>
        <v>BİBERON KLASİK  UC 2 NO</v>
      </c>
      <c r="C667" s="125">
        <v>44068</v>
      </c>
      <c r="D667" s="124">
        <v>396</v>
      </c>
      <c r="E667" s="124" t="s">
        <v>262</v>
      </c>
    </row>
    <row r="668" spans="1:5">
      <c r="A668" s="120" t="s">
        <v>153</v>
      </c>
      <c r="B668" s="124" t="str">
        <f>IFERROR(VLOOKUP(Tablo8[[#This Row],[ ÜRÜN KODU]],YMKODLARI!$A$1:$H$383,2,0)," " )</f>
        <v>NEŞELİ ÇINGIRAK</v>
      </c>
      <c r="C668" s="125">
        <v>44068</v>
      </c>
      <c r="D668" s="124">
        <v>957</v>
      </c>
      <c r="E668" s="124" t="s">
        <v>262</v>
      </c>
    </row>
    <row r="669" spans="1:5">
      <c r="A669" s="120" t="s">
        <v>154</v>
      </c>
      <c r="B669" s="124" t="str">
        <f>IFERROR(VLOOKUP(Tablo8[[#This Row],[ ÜRÜN KODU]],YMKODLARI!$A$1:$H$383,2,0)," " )</f>
        <v>NEŞELİ ÇINGIRAK</v>
      </c>
      <c r="C669" s="125">
        <v>44068</v>
      </c>
      <c r="D669" s="124">
        <v>948</v>
      </c>
      <c r="E669" s="124" t="s">
        <v>262</v>
      </c>
    </row>
    <row r="670" spans="1:5">
      <c r="A670" s="120" t="s">
        <v>155</v>
      </c>
      <c r="B670" s="124" t="str">
        <f>IFERROR(VLOOKUP(Tablo8[[#This Row],[ ÜRÜN KODU]],YMKODLARI!$A$1:$H$383,2,0)," " )</f>
        <v>NEŞELİ ÇINGIRAK</v>
      </c>
      <c r="C670" s="125">
        <v>44068</v>
      </c>
      <c r="D670" s="124">
        <v>955</v>
      </c>
      <c r="E670" s="124" t="s">
        <v>262</v>
      </c>
    </row>
    <row r="671" spans="1:5">
      <c r="A671" s="120" t="s">
        <v>156</v>
      </c>
      <c r="B671" s="124" t="str">
        <f>IFERROR(VLOOKUP(Tablo8[[#This Row],[ ÜRÜN KODU]],YMKODLARI!$A$1:$H$383,2,0)," " )</f>
        <v>NEŞELİ ÇINGIRAK</v>
      </c>
      <c r="C671" s="125">
        <v>44068</v>
      </c>
      <c r="D671" s="124">
        <v>953</v>
      </c>
      <c r="E671" s="124" t="s">
        <v>262</v>
      </c>
    </row>
    <row r="672" spans="1:5">
      <c r="A672" s="124" t="s">
        <v>210</v>
      </c>
      <c r="B672" s="124" t="str">
        <f>IFERROR(VLOOKUP(Tablo8[[#This Row],[ ÜRÜN KODU]],YMKODLARI!$A$1:$H$383,2,0)," " )</f>
        <v xml:space="preserve"> BİBERON VİDA</v>
      </c>
      <c r="C672" s="125">
        <v>44068</v>
      </c>
      <c r="D672" s="124">
        <v>2196</v>
      </c>
      <c r="E672" s="124" t="s">
        <v>262</v>
      </c>
    </row>
    <row r="673" spans="1:5">
      <c r="A673" s="124" t="s">
        <v>212</v>
      </c>
      <c r="B673" s="124" t="str">
        <f>IFERROR(VLOOKUP(Tablo8[[#This Row],[ ÜRÜN KODU]],YMKODLARI!$A$1:$H$383,2,0)," " )</f>
        <v xml:space="preserve"> BİBERON VİDA</v>
      </c>
      <c r="C673" s="125">
        <v>44068</v>
      </c>
      <c r="D673" s="124">
        <v>3000</v>
      </c>
      <c r="E673" s="124" t="s">
        <v>262</v>
      </c>
    </row>
    <row r="674" spans="1:5">
      <c r="A674" s="124" t="s">
        <v>34</v>
      </c>
      <c r="B674" s="124" t="str">
        <f>IFERROR(VLOOKUP(Tablo8[[#This Row],[ ÜRÜN KODU]],YMKODLARI!$A$1:$H$383,2,0)," " )</f>
        <v>BİBERON KLASİK  UC 1 NO</v>
      </c>
      <c r="C674" s="125">
        <v>44069</v>
      </c>
      <c r="D674" s="124">
        <v>8000</v>
      </c>
      <c r="E674" s="124" t="s">
        <v>262</v>
      </c>
    </row>
    <row r="675" spans="1:5">
      <c r="A675" s="124" t="s">
        <v>32</v>
      </c>
      <c r="B675" s="124" t="str">
        <f>IFERROR(VLOOKUP(Tablo8[[#This Row],[ ÜRÜN KODU]],YMKODLARI!$A$1:$H$383,2,0)," " )</f>
        <v>GENİŞ AĞIZ BİBERON UCU</v>
      </c>
      <c r="C675" s="125">
        <v>44069</v>
      </c>
      <c r="D675" s="124">
        <v>500</v>
      </c>
      <c r="E675" s="124" t="s">
        <v>262</v>
      </c>
    </row>
    <row r="676" spans="1:5">
      <c r="A676" s="120" t="s">
        <v>189</v>
      </c>
      <c r="B676" s="124" t="str">
        <f>IFERROR(VLOOKUP(Tablo8[[#This Row],[ ÜRÜN KODU]],YMKODLARI!$A$1:$H$383,2,0)," " )</f>
        <v>NEŞELİ ÇINGIRAK</v>
      </c>
      <c r="C676" s="125">
        <v>44069</v>
      </c>
      <c r="D676" s="124">
        <v>961</v>
      </c>
      <c r="E676" s="124" t="s">
        <v>262</v>
      </c>
    </row>
    <row r="677" spans="1:5">
      <c r="A677" s="120" t="s">
        <v>190</v>
      </c>
      <c r="B677" s="124" t="str">
        <f>IFERROR(VLOOKUP(Tablo8[[#This Row],[ ÜRÜN KODU]],YMKODLARI!$A$1:$H$383,2,0)," " )</f>
        <v>NEŞELİ ÇINGIRAK</v>
      </c>
      <c r="C677" s="125">
        <v>44069</v>
      </c>
      <c r="D677" s="124">
        <v>962</v>
      </c>
      <c r="E677" s="124" t="s">
        <v>262</v>
      </c>
    </row>
    <row r="678" spans="1:5">
      <c r="A678" s="120" t="s">
        <v>191</v>
      </c>
      <c r="B678" s="124" t="str">
        <f>IFERROR(VLOOKUP(Tablo8[[#This Row],[ ÜRÜN KODU]],YMKODLARI!$A$1:$H$383,2,0)," " )</f>
        <v>NEŞELİ ÇINGIRAK</v>
      </c>
      <c r="C678" s="125">
        <v>44069</v>
      </c>
      <c r="D678" s="124">
        <v>966</v>
      </c>
      <c r="E678" s="124" t="s">
        <v>262</v>
      </c>
    </row>
    <row r="679" spans="1:5">
      <c r="A679" s="120" t="s">
        <v>192</v>
      </c>
      <c r="B679" s="124" t="str">
        <f>IFERROR(VLOOKUP(Tablo8[[#This Row],[ ÜRÜN KODU]],YMKODLARI!$A$1:$H$383,2,0)," " )</f>
        <v>NEŞELİ ÇINGIRAK</v>
      </c>
      <c r="C679" s="125">
        <v>44069</v>
      </c>
      <c r="D679" s="124">
        <v>964</v>
      </c>
      <c r="E679" s="124" t="s">
        <v>262</v>
      </c>
    </row>
    <row r="680" spans="1:5">
      <c r="A680" s="124" t="s">
        <v>213</v>
      </c>
      <c r="B680" s="124" t="str">
        <f>IFERROR(VLOOKUP(Tablo8[[#This Row],[ ÜRÜN KODU]],YMKODLARI!$A$1:$H$383,2,0)," " )</f>
        <v>GENİŞ AĞIZ BİBERON KAPAĞI</v>
      </c>
      <c r="C680" s="125">
        <v>44069</v>
      </c>
      <c r="D680" s="124">
        <v>3000</v>
      </c>
      <c r="E680" s="124" t="s">
        <v>262</v>
      </c>
    </row>
    <row r="681" spans="1:5">
      <c r="A681" s="124" t="s">
        <v>212</v>
      </c>
      <c r="B681" s="124" t="str">
        <f>IFERROR(VLOOKUP(Tablo8[[#This Row],[ ÜRÜN KODU]],YMKODLARI!$A$1:$H$383,2,0)," " )</f>
        <v xml:space="preserve"> BİBERON VİDA</v>
      </c>
      <c r="C681" s="125">
        <v>44069</v>
      </c>
      <c r="D681" s="124">
        <v>1850</v>
      </c>
      <c r="E681" s="124" t="s">
        <v>262</v>
      </c>
    </row>
    <row r="682" spans="1:5">
      <c r="A682" s="124" t="s">
        <v>32</v>
      </c>
      <c r="B682" s="124" t="str">
        <f>IFERROR(VLOOKUP(Tablo8[[#This Row],[ ÜRÜN KODU]],YMKODLARI!$A$1:$H$383,2,0)," " )</f>
        <v>GENİŞ AĞIZ BİBERON UCU</v>
      </c>
      <c r="C682" s="125">
        <v>44070</v>
      </c>
      <c r="D682" s="124">
        <v>4500</v>
      </c>
      <c r="E682" s="124" t="s">
        <v>262</v>
      </c>
    </row>
    <row r="683" spans="1:5">
      <c r="A683" s="124" t="s">
        <v>193</v>
      </c>
      <c r="B683" s="124" t="str">
        <f>IFERROR(VLOOKUP(Tablo8[[#This Row],[ ÜRÜN KODU]],YMKODLARI!$A$1:$H$383,2,0)," " )</f>
        <v>KİRAZ EMZİK TIPA</v>
      </c>
      <c r="C683" s="125">
        <v>44070</v>
      </c>
      <c r="D683" s="124">
        <v>6000</v>
      </c>
      <c r="E683" s="124" t="s">
        <v>262</v>
      </c>
    </row>
    <row r="684" spans="1:5">
      <c r="A684" s="124" t="s">
        <v>213</v>
      </c>
      <c r="B684" s="124" t="str">
        <f>IFERROR(VLOOKUP(Tablo8[[#This Row],[ ÜRÜN KODU]],YMKODLARI!$A$1:$H$383,2,0)," " )</f>
        <v>GENİŞ AĞIZ BİBERON KAPAĞI</v>
      </c>
      <c r="C684" s="125">
        <v>44070</v>
      </c>
      <c r="D684" s="124">
        <v>6000</v>
      </c>
      <c r="E684" s="124" t="s">
        <v>262</v>
      </c>
    </row>
    <row r="685" spans="1:5">
      <c r="A685" s="124" t="s">
        <v>34</v>
      </c>
      <c r="B685" s="124" t="str">
        <f>IFERROR(VLOOKUP(Tablo8[[#This Row],[ ÜRÜN KODU]],YMKODLARI!$A$1:$H$383,2,0)," " )</f>
        <v>BİBERON KLASİK  UC 1 NO</v>
      </c>
      <c r="C685" s="125">
        <v>44071</v>
      </c>
      <c r="D685" s="124">
        <v>9000</v>
      </c>
      <c r="E685" s="124" t="s">
        <v>262</v>
      </c>
    </row>
    <row r="686" spans="1:5">
      <c r="A686" s="124" t="s">
        <v>213</v>
      </c>
      <c r="B686" s="124" t="str">
        <f>IFERROR(VLOOKUP(Tablo8[[#This Row],[ ÜRÜN KODU]],YMKODLARI!$A$1:$H$383,2,0)," " )</f>
        <v>GENİŞ AĞIZ BİBERON KAPAĞI</v>
      </c>
      <c r="C686" s="125">
        <v>44071</v>
      </c>
      <c r="D686" s="124">
        <v>4468</v>
      </c>
      <c r="E686" s="124" t="s">
        <v>262</v>
      </c>
    </row>
    <row r="687" spans="1:5">
      <c r="A687" s="124" t="s">
        <v>132</v>
      </c>
      <c r="B687" s="124" t="str">
        <f>IFERROR(VLOOKUP(Tablo8[[#This Row],[ ÜRÜN KODU]],YMKODLARI!$A$1:$H$383,2,0)," " )</f>
        <v>KİRAZ EMZİK TIPA</v>
      </c>
      <c r="C687" s="125">
        <v>44071</v>
      </c>
      <c r="D687" s="124">
        <v>1805</v>
      </c>
      <c r="E687" s="124" t="s">
        <v>262</v>
      </c>
    </row>
    <row r="688" spans="1:5">
      <c r="A688" s="124" t="s">
        <v>133</v>
      </c>
      <c r="B688" s="124" t="str">
        <f>IFERROR(VLOOKUP(Tablo8[[#This Row],[ ÜRÜN KODU]],YMKODLARI!$A$1:$H$383,2,0)," " )</f>
        <v>KİRAZ EMZİK TIPA</v>
      </c>
      <c r="C688" s="125">
        <v>44071</v>
      </c>
      <c r="D688" s="124">
        <v>2010</v>
      </c>
      <c r="E688" s="124" t="s">
        <v>262</v>
      </c>
    </row>
    <row r="689" spans="1:5">
      <c r="A689" s="124" t="s">
        <v>193</v>
      </c>
      <c r="B689" s="124" t="str">
        <f>IFERROR(VLOOKUP(Tablo8[[#This Row],[ ÜRÜN KODU]],YMKODLARI!$A$1:$H$383,2,0)," " )</f>
        <v>KİRAZ EMZİK TIPA</v>
      </c>
      <c r="C689" s="125">
        <v>44071</v>
      </c>
      <c r="D689" s="124">
        <v>3275</v>
      </c>
      <c r="E689" s="124" t="s">
        <v>262</v>
      </c>
    </row>
    <row r="690" spans="1:5">
      <c r="A690" s="124" t="s">
        <v>134</v>
      </c>
      <c r="B690" s="124" t="str">
        <f>IFERROR(VLOOKUP(Tablo8[[#This Row],[ ÜRÜN KODU]],YMKODLARI!$A$1:$H$383,2,0)," " )</f>
        <v>KİRAZ EMZİK TIPA</v>
      </c>
      <c r="C690" s="125">
        <v>44071</v>
      </c>
      <c r="D690" s="124">
        <v>1335</v>
      </c>
      <c r="E690" s="124" t="s">
        <v>262</v>
      </c>
    </row>
    <row r="691" spans="1:5">
      <c r="A691" s="124" t="s">
        <v>32</v>
      </c>
      <c r="B691" s="124" t="str">
        <f>IFERROR(VLOOKUP(Tablo8[[#This Row],[ ÜRÜN KODU]],YMKODLARI!$A$1:$H$383,2,0)," " )</f>
        <v>GENİŞ AĞIZ BİBERON UCU</v>
      </c>
      <c r="C691" s="125">
        <v>44075</v>
      </c>
      <c r="D691" s="124">
        <v>4500</v>
      </c>
      <c r="E691" s="124" t="s">
        <v>265</v>
      </c>
    </row>
    <row r="692" spans="1:5">
      <c r="A692" s="124" t="s">
        <v>193</v>
      </c>
      <c r="B692" s="124" t="str">
        <f>IFERROR(VLOOKUP(Tablo8[[#This Row],[ ÜRÜN KODU]],YMKODLARI!$A$1:$H$383,2,0)," " )</f>
        <v>KİRAZ EMZİK TIPA</v>
      </c>
      <c r="C692" s="125">
        <v>44075</v>
      </c>
      <c r="D692" s="124">
        <v>12760</v>
      </c>
      <c r="E692" s="124" t="s">
        <v>265</v>
      </c>
    </row>
    <row r="693" spans="1:5">
      <c r="A693" s="124" t="s">
        <v>214</v>
      </c>
      <c r="B693" s="124" t="str">
        <f>IFERROR(VLOOKUP(Tablo8[[#This Row],[ ÜRÜN KODU]],YMKODLARI!$A$1:$H$383,2,0)," " )</f>
        <v>EMZİK KAPAĞI</v>
      </c>
      <c r="C693" s="125">
        <v>44075</v>
      </c>
      <c r="D693" s="124">
        <v>877</v>
      </c>
      <c r="E693" s="124" t="s">
        <v>265</v>
      </c>
    </row>
    <row r="694" spans="1:5">
      <c r="A694" s="124" t="s">
        <v>215</v>
      </c>
      <c r="B694" s="124" t="str">
        <f>IFERROR(VLOOKUP(Tablo8[[#This Row],[ ÜRÜN KODU]],YMKODLARI!$A$1:$H$383,2,0)," " )</f>
        <v>MAMA KAŞIĞI SAP</v>
      </c>
      <c r="C694" s="125">
        <v>44075</v>
      </c>
      <c r="D694" s="124">
        <v>15254</v>
      </c>
      <c r="E694" s="124" t="s">
        <v>265</v>
      </c>
    </row>
    <row r="695" spans="1:5">
      <c r="A695" s="124" t="s">
        <v>32</v>
      </c>
      <c r="B695" s="124" t="str">
        <f>IFERROR(VLOOKUP(Tablo8[[#This Row],[ ÜRÜN KODU]],YMKODLARI!$A$1:$H$383,2,0)," " )</f>
        <v>GENİŞ AĞIZ BİBERON UCU</v>
      </c>
      <c r="C695" s="125">
        <v>44076</v>
      </c>
      <c r="D695" s="124">
        <v>5000</v>
      </c>
      <c r="E695" s="124" t="s">
        <v>265</v>
      </c>
    </row>
    <row r="696" spans="1:5">
      <c r="A696" s="124" t="s">
        <v>34</v>
      </c>
      <c r="B696" s="124" t="str">
        <f>IFERROR(VLOOKUP(Tablo8[[#This Row],[ ÜRÜN KODU]],YMKODLARI!$A$1:$H$383,2,0)," " )</f>
        <v>BİBERON KLASİK  UC 1 NO</v>
      </c>
      <c r="C696" s="125">
        <v>44076</v>
      </c>
      <c r="D696" s="124">
        <v>8000</v>
      </c>
      <c r="E696" s="124" t="s">
        <v>265</v>
      </c>
    </row>
    <row r="697" spans="1:5">
      <c r="A697" s="124" t="s">
        <v>136</v>
      </c>
      <c r="B697" s="124" t="str">
        <f>IFERROR(VLOOKUP(Tablo8[[#This Row],[ ÜRÜN KODU]],YMKODLARI!$A$1:$H$383,2,0)," " )</f>
        <v>DAMAK EMZİK TIPA</v>
      </c>
      <c r="C697" s="125">
        <v>44076</v>
      </c>
      <c r="D697" s="124">
        <v>8000</v>
      </c>
      <c r="E697" s="124" t="s">
        <v>265</v>
      </c>
    </row>
    <row r="698" spans="1:5">
      <c r="A698" s="124" t="s">
        <v>217</v>
      </c>
      <c r="B698" s="124" t="str">
        <f>IFERROR(VLOOKUP(Tablo8[[#This Row],[ ÜRÜN KODU]],YMKODLARI!$A$1:$H$383,2,0)," " )</f>
        <v>MAMA KAŞIĞI SAP</v>
      </c>
      <c r="C698" s="125">
        <v>44076</v>
      </c>
      <c r="D698" s="124">
        <v>6307</v>
      </c>
      <c r="E698" s="124" t="s">
        <v>265</v>
      </c>
    </row>
    <row r="699" spans="1:5">
      <c r="A699" s="124" t="s">
        <v>216</v>
      </c>
      <c r="B699" s="124" t="str">
        <f>IFERROR(VLOOKUP(Tablo8[[#This Row],[ ÜRÜN KODU]],YMKODLARI!$A$1:$H$383,2,0)," " )</f>
        <v>MAMA KAŞIĞI SAP</v>
      </c>
      <c r="C699" s="125">
        <v>44076</v>
      </c>
      <c r="D699" s="124">
        <v>6270</v>
      </c>
      <c r="E699" s="124" t="s">
        <v>265</v>
      </c>
    </row>
    <row r="700" spans="1:5">
      <c r="A700" s="124" t="s">
        <v>116</v>
      </c>
      <c r="B700" s="124" t="str">
        <f>IFERROR(VLOOKUP(Tablo8[[#This Row],[ ÜRÜN KODU]],YMKODLARI!$A$1:$H$383,2,0)," " )</f>
        <v>SULUK 30ml KAPAK</v>
      </c>
      <c r="C700" s="125">
        <v>44076</v>
      </c>
      <c r="D700" s="124">
        <v>1400</v>
      </c>
      <c r="E700" s="124" t="s">
        <v>265</v>
      </c>
    </row>
    <row r="701" spans="1:5">
      <c r="A701" s="124" t="s">
        <v>117</v>
      </c>
      <c r="B701" s="124" t="str">
        <f>IFERROR(VLOOKUP(Tablo8[[#This Row],[ ÜRÜN KODU]],YMKODLARI!$A$1:$H$383,2,0)," " )</f>
        <v>SULUK 30ml KAPAK</v>
      </c>
      <c r="C701" s="125">
        <v>44076</v>
      </c>
      <c r="D701" s="124">
        <v>1146</v>
      </c>
      <c r="E701" s="124" t="s">
        <v>265</v>
      </c>
    </row>
    <row r="702" spans="1:5">
      <c r="A702" s="124" t="s">
        <v>34</v>
      </c>
      <c r="B702" s="124" t="str">
        <f>IFERROR(VLOOKUP(Tablo8[[#This Row],[ ÜRÜN KODU]],YMKODLARI!$A$1:$H$383,2,0)," " )</f>
        <v>BİBERON KLASİK  UC 1 NO</v>
      </c>
      <c r="C702" s="125">
        <v>44077</v>
      </c>
      <c r="D702" s="124">
        <v>9000</v>
      </c>
      <c r="E702" s="124" t="s">
        <v>265</v>
      </c>
    </row>
    <row r="703" spans="1:5">
      <c r="A703" s="124" t="s">
        <v>81</v>
      </c>
      <c r="B703" s="124" t="str">
        <f>IFERROR(VLOOKUP(Tablo8[[#This Row],[ ÜRÜN KODU]],YMKODLARI!$A$1:$H$383,2,0)," " )</f>
        <v>SULUK 30ml KAPAK</v>
      </c>
      <c r="C703" s="125">
        <v>44077</v>
      </c>
      <c r="D703" s="124">
        <v>1087</v>
      </c>
      <c r="E703" s="124" t="s">
        <v>265</v>
      </c>
    </row>
    <row r="704" spans="1:5">
      <c r="A704" s="124" t="s">
        <v>82</v>
      </c>
      <c r="B704" s="124" t="str">
        <f>IFERROR(VLOOKUP(Tablo8[[#This Row],[ ÜRÜN KODU]],YMKODLARI!$A$1:$H$383,2,0)," " )</f>
        <v>SULUK 30ml KAPAK</v>
      </c>
      <c r="C704" s="125">
        <v>44077</v>
      </c>
      <c r="D704" s="124">
        <v>1153</v>
      </c>
      <c r="E704" s="124" t="s">
        <v>265</v>
      </c>
    </row>
    <row r="705" spans="1:5">
      <c r="A705" s="124" t="s">
        <v>118</v>
      </c>
      <c r="B705" s="124" t="str">
        <f>IFERROR(VLOOKUP(Tablo8[[#This Row],[ ÜRÜN KODU]],YMKODLARI!$A$1:$H$383,2,0)," " )</f>
        <v>SULUK 30ml KAPAK</v>
      </c>
      <c r="C705" s="125">
        <v>44077</v>
      </c>
      <c r="D705" s="124">
        <v>620</v>
      </c>
      <c r="E705" s="124" t="s">
        <v>265</v>
      </c>
    </row>
    <row r="706" spans="1:5">
      <c r="A706" s="124" t="s">
        <v>119</v>
      </c>
      <c r="B706" s="124" t="str">
        <f>IFERROR(VLOOKUP(Tablo8[[#This Row],[ ÜRÜN KODU]],YMKODLARI!$A$1:$H$383,2,0)," " )</f>
        <v>SULUK 30ml KAPAK</v>
      </c>
      <c r="C706" s="125">
        <v>44077</v>
      </c>
      <c r="D706" s="124">
        <v>1152</v>
      </c>
      <c r="E706" s="124" t="s">
        <v>265</v>
      </c>
    </row>
    <row r="707" spans="1:5">
      <c r="A707" s="124" t="s">
        <v>136</v>
      </c>
      <c r="B707" s="124" t="str">
        <f>IFERROR(VLOOKUP(Tablo8[[#This Row],[ ÜRÜN KODU]],YMKODLARI!$A$1:$H$383,2,0)," " )</f>
        <v>DAMAK EMZİK TIPA</v>
      </c>
      <c r="C707" s="125">
        <v>44077</v>
      </c>
      <c r="D707" s="124">
        <v>11000</v>
      </c>
      <c r="E707" s="124" t="s">
        <v>265</v>
      </c>
    </row>
    <row r="708" spans="1:5">
      <c r="A708" s="124" t="s">
        <v>34</v>
      </c>
      <c r="B708" s="124" t="str">
        <f>IFERROR(VLOOKUP(Tablo8[[#This Row],[ ÜRÜN KODU]],YMKODLARI!$A$1:$H$383,2,0)," " )</f>
        <v>BİBERON KLASİK  UC 1 NO</v>
      </c>
      <c r="C708" s="125">
        <v>44078</v>
      </c>
      <c r="D708" s="124">
        <v>4000</v>
      </c>
      <c r="E708" s="124" t="s">
        <v>265</v>
      </c>
    </row>
    <row r="709" spans="1:5">
      <c r="A709" s="124" t="s">
        <v>32</v>
      </c>
      <c r="B709" s="124" t="str">
        <f>IFERROR(VLOOKUP(Tablo8[[#This Row],[ ÜRÜN KODU]],YMKODLARI!$A$1:$H$383,2,0)," " )</f>
        <v>GENİŞ AĞIZ BİBERON UCU</v>
      </c>
      <c r="C709" s="125">
        <v>44078</v>
      </c>
      <c r="D709" s="124">
        <v>2500</v>
      </c>
      <c r="E709" s="124" t="s">
        <v>265</v>
      </c>
    </row>
    <row r="710" spans="1:5">
      <c r="A710" s="124" t="s">
        <v>136</v>
      </c>
      <c r="B710" s="124" t="str">
        <f>IFERROR(VLOOKUP(Tablo8[[#This Row],[ ÜRÜN KODU]],YMKODLARI!$A$1:$H$383,2,0)," " )</f>
        <v>DAMAK EMZİK TIPA</v>
      </c>
      <c r="C710" s="125">
        <v>44078</v>
      </c>
      <c r="D710" s="124">
        <v>8000</v>
      </c>
      <c r="E710" s="124" t="s">
        <v>265</v>
      </c>
    </row>
    <row r="711" spans="1:5">
      <c r="A711" s="124" t="s">
        <v>34</v>
      </c>
      <c r="B711" s="124" t="str">
        <f>IFERROR(VLOOKUP(Tablo8[[#This Row],[ ÜRÜN KODU]],YMKODLARI!$A$1:$H$383,2,0)," " )</f>
        <v>BİBERON KLASİK  UC 1 NO</v>
      </c>
      <c r="C711" s="125">
        <v>44081</v>
      </c>
      <c r="D711" s="124">
        <v>4000</v>
      </c>
      <c r="E711" s="124" t="s">
        <v>265</v>
      </c>
    </row>
    <row r="712" spans="1:5">
      <c r="A712" s="124" t="s">
        <v>32</v>
      </c>
      <c r="B712" s="124" t="str">
        <f>IFERROR(VLOOKUP(Tablo8[[#This Row],[ ÜRÜN KODU]],YMKODLARI!$A$1:$H$383,2,0)," " )</f>
        <v>GENİŞ AĞIZ BİBERON UCU</v>
      </c>
      <c r="C712" s="125">
        <v>44081</v>
      </c>
      <c r="D712" s="124">
        <v>2500</v>
      </c>
      <c r="E712" s="124" t="s">
        <v>265</v>
      </c>
    </row>
    <row r="713" spans="1:5">
      <c r="A713" s="124" t="s">
        <v>136</v>
      </c>
      <c r="B713" s="124" t="str">
        <f>IFERROR(VLOOKUP(Tablo8[[#This Row],[ ÜRÜN KODU]],YMKODLARI!$A$1:$H$383,2,0)," " )</f>
        <v>DAMAK EMZİK TIPA</v>
      </c>
      <c r="C713" s="125">
        <v>44081</v>
      </c>
      <c r="D713" s="124">
        <v>4730</v>
      </c>
      <c r="E713" s="124" t="s">
        <v>265</v>
      </c>
    </row>
    <row r="714" spans="1:5">
      <c r="A714" s="124" t="s">
        <v>228</v>
      </c>
      <c r="B714" s="124" t="str">
        <f>IFERROR(VLOOKUP(Tablo8[[#This Row],[ ÜRÜN KODU]],YMKODLARI!$A$1:$H$383,2,0)," " )</f>
        <v>SAÇ FIRÇASI</v>
      </c>
      <c r="C714" s="125">
        <v>44081</v>
      </c>
      <c r="D714" s="124">
        <v>1000</v>
      </c>
      <c r="E714" s="124" t="s">
        <v>265</v>
      </c>
    </row>
    <row r="715" spans="1:5">
      <c r="A715" s="124" t="s">
        <v>229</v>
      </c>
      <c r="B715" s="124" t="str">
        <f>IFERROR(VLOOKUP(Tablo8[[#This Row],[ ÜRÜN KODU]],YMKODLARI!$A$1:$H$383,2,0)," " )</f>
        <v>SAÇ TARAĞI</v>
      </c>
      <c r="C715" s="125">
        <v>44081</v>
      </c>
      <c r="D715" s="124">
        <v>1000</v>
      </c>
      <c r="E715" s="124" t="s">
        <v>265</v>
      </c>
    </row>
    <row r="716" spans="1:5">
      <c r="A716" s="124" t="s">
        <v>34</v>
      </c>
      <c r="B716" s="124" t="str">
        <f>IFERROR(VLOOKUP(Tablo8[[#This Row],[ ÜRÜN KODU]],YMKODLARI!$A$1:$H$383,2,0)," " )</f>
        <v>BİBERON KLASİK  UC 1 NO</v>
      </c>
      <c r="C716" s="125">
        <v>44082</v>
      </c>
      <c r="D716" s="124">
        <v>4000</v>
      </c>
      <c r="E716" s="124" t="s">
        <v>265</v>
      </c>
    </row>
    <row r="717" spans="1:5">
      <c r="A717" s="124" t="s">
        <v>32</v>
      </c>
      <c r="B717" s="124" t="str">
        <f>IFERROR(VLOOKUP(Tablo8[[#This Row],[ ÜRÜN KODU]],YMKODLARI!$A$1:$H$383,2,0)," " )</f>
        <v>GENİŞ AĞIZ BİBERON UCU</v>
      </c>
      <c r="C717" s="125">
        <v>44082</v>
      </c>
      <c r="D717" s="124">
        <v>2500</v>
      </c>
      <c r="E717" s="124" t="s">
        <v>265</v>
      </c>
    </row>
    <row r="718" spans="1:5">
      <c r="A718" s="124" t="s">
        <v>194</v>
      </c>
      <c r="B718" s="124" t="str">
        <f>IFERROR(VLOOKUP(Tablo8[[#This Row],[ ÜRÜN KODU]],YMKODLARI!$A$1:$H$383,2,0)," " )</f>
        <v>250 ml BOMBELİ BİBERON KULP</v>
      </c>
      <c r="C718" s="125">
        <v>44082</v>
      </c>
      <c r="D718" s="124">
        <v>1043</v>
      </c>
      <c r="E718" s="124" t="s">
        <v>265</v>
      </c>
    </row>
    <row r="719" spans="1:5">
      <c r="A719" s="124" t="s">
        <v>228</v>
      </c>
      <c r="B719" s="124" t="str">
        <f>IFERROR(VLOOKUP(Tablo8[[#This Row],[ ÜRÜN KODU]],YMKODLARI!$A$1:$H$383,2,0)," " )</f>
        <v>SAÇ FIRÇASI</v>
      </c>
      <c r="C719" s="125">
        <v>44082</v>
      </c>
      <c r="D719" s="124">
        <v>209</v>
      </c>
      <c r="E719" s="124" t="s">
        <v>265</v>
      </c>
    </row>
    <row r="720" spans="1:5">
      <c r="A720" s="124" t="s">
        <v>229</v>
      </c>
      <c r="B720" s="124" t="str">
        <f>IFERROR(VLOOKUP(Tablo8[[#This Row],[ ÜRÜN KODU]],YMKODLARI!$A$1:$H$383,2,0)," " )</f>
        <v>SAÇ TARAĞI</v>
      </c>
      <c r="C720" s="125">
        <v>44082</v>
      </c>
      <c r="D720" s="124">
        <v>191</v>
      </c>
      <c r="E720" s="124" t="s">
        <v>265</v>
      </c>
    </row>
    <row r="721" spans="1:5">
      <c r="A721" s="124" t="s">
        <v>226</v>
      </c>
      <c r="B721" s="124" t="str">
        <f>IFERROR(VLOOKUP(Tablo8[[#This Row],[ ÜRÜN KODU]],YMKODLARI!$A$1:$H$383,2,0)," " )</f>
        <v>SAÇ FIRÇASI</v>
      </c>
      <c r="C721" s="125">
        <v>44082</v>
      </c>
      <c r="D721" s="124">
        <v>2204</v>
      </c>
      <c r="E721" s="124" t="s">
        <v>265</v>
      </c>
    </row>
    <row r="722" spans="1:5">
      <c r="A722" s="124" t="s">
        <v>227</v>
      </c>
      <c r="B722" s="124" t="str">
        <f>IFERROR(VLOOKUP(Tablo8[[#This Row],[ ÜRÜN KODU]],YMKODLARI!$A$1:$H$383,2,0)," " )</f>
        <v>SAÇ TARAĞI</v>
      </c>
      <c r="C722" s="125">
        <v>44082</v>
      </c>
      <c r="D722" s="124">
        <v>2195</v>
      </c>
      <c r="E722" s="124" t="s">
        <v>265</v>
      </c>
    </row>
    <row r="723" spans="1:5">
      <c r="A723" s="124" t="s">
        <v>34</v>
      </c>
      <c r="B723" s="124" t="str">
        <f>IFERROR(VLOOKUP(Tablo8[[#This Row],[ ÜRÜN KODU]],YMKODLARI!$A$1:$H$383,2,0)," " )</f>
        <v>BİBERON KLASİK  UC 1 NO</v>
      </c>
      <c r="C723" s="125">
        <v>44084</v>
      </c>
      <c r="D723" s="124">
        <v>4000</v>
      </c>
      <c r="E723" s="124" t="s">
        <v>265</v>
      </c>
    </row>
    <row r="724" spans="1:5">
      <c r="A724" s="124" t="s">
        <v>32</v>
      </c>
      <c r="B724" s="124" t="str">
        <f>IFERROR(VLOOKUP(Tablo8[[#This Row],[ ÜRÜN KODU]],YMKODLARI!$A$1:$H$383,2,0)," " )</f>
        <v>GENİŞ AĞIZ BİBERON UCU</v>
      </c>
      <c r="C724" s="125">
        <v>44084</v>
      </c>
      <c r="D724" s="124">
        <v>2500</v>
      </c>
      <c r="E724" s="124" t="s">
        <v>265</v>
      </c>
    </row>
    <row r="725" spans="1:5">
      <c r="A725" s="124" t="s">
        <v>196</v>
      </c>
      <c r="B725" s="124" t="str">
        <f>IFERROR(VLOOKUP(Tablo8[[#This Row],[ ÜRÜN KODU]],YMKODLARI!$A$1:$H$383,2,0)," " )</f>
        <v>250 ml BOMBELİ BİBERON KULP</v>
      </c>
      <c r="C725" s="125">
        <v>44084</v>
      </c>
      <c r="D725" s="124">
        <v>1030</v>
      </c>
      <c r="E725" s="124" t="s">
        <v>265</v>
      </c>
    </row>
    <row r="726" spans="1:5">
      <c r="A726" s="124" t="s">
        <v>195</v>
      </c>
      <c r="B726" s="124" t="str">
        <f>IFERROR(VLOOKUP(Tablo8[[#This Row],[ ÜRÜN KODU]],YMKODLARI!$A$1:$H$383,2,0)," " )</f>
        <v>250 ml BOMBELİ BİBERON KULP</v>
      </c>
      <c r="C726" s="125">
        <v>44084</v>
      </c>
      <c r="D726" s="124">
        <v>1048</v>
      </c>
      <c r="E726" s="124" t="s">
        <v>265</v>
      </c>
    </row>
    <row r="727" spans="1:5">
      <c r="A727" s="124" t="s">
        <v>230</v>
      </c>
      <c r="B727" s="124" t="str">
        <f>IFERROR(VLOOKUP(Tablo8[[#This Row],[ ÜRÜN KODU]],YMKODLARI!$A$1:$H$383,2,0)," " )</f>
        <v>SAÇ FIRÇASI</v>
      </c>
      <c r="C727" s="125">
        <v>44084</v>
      </c>
      <c r="D727" s="124">
        <v>919</v>
      </c>
      <c r="E727" s="124" t="s">
        <v>265</v>
      </c>
    </row>
    <row r="728" spans="1:5">
      <c r="A728" s="124" t="s">
        <v>231</v>
      </c>
      <c r="B728" s="124" t="str">
        <f>IFERROR(VLOOKUP(Tablo8[[#This Row],[ ÜRÜN KODU]],YMKODLARI!$A$1:$H$383,2,0)," " )</f>
        <v>SAÇ TARAĞI</v>
      </c>
      <c r="C728" s="125">
        <v>44084</v>
      </c>
      <c r="D728" s="124">
        <v>905</v>
      </c>
      <c r="E728" s="124" t="s">
        <v>265</v>
      </c>
    </row>
    <row r="729" spans="1:5">
      <c r="A729" s="124" t="s">
        <v>239</v>
      </c>
      <c r="B729" s="124" t="str">
        <f>IFERROR(VLOOKUP(Tablo8[[#This Row],[ ÜRÜN KODU]],YMKODLARI!$A$1:$H$383,2,0)," " )</f>
        <v>GENİŞ AĞIZ BİBERON VİDA</v>
      </c>
      <c r="C729" s="125">
        <v>44084</v>
      </c>
      <c r="D729" s="124">
        <v>1030</v>
      </c>
      <c r="E729" s="124" t="s">
        <v>265</v>
      </c>
    </row>
    <row r="730" spans="1:5">
      <c r="A730" s="124" t="s">
        <v>34</v>
      </c>
      <c r="B730" s="124" t="str">
        <f>IFERROR(VLOOKUP(Tablo8[[#This Row],[ ÜRÜN KODU]],YMKODLARI!$A$1:$H$383,2,0)," " )</f>
        <v>BİBERON KLASİK  UC 1 NO</v>
      </c>
      <c r="C730" s="125">
        <v>44085</v>
      </c>
      <c r="D730" s="124">
        <v>3000</v>
      </c>
      <c r="E730" s="124" t="s">
        <v>265</v>
      </c>
    </row>
    <row r="731" spans="1:5">
      <c r="A731" s="124" t="s">
        <v>32</v>
      </c>
      <c r="B731" s="124" t="str">
        <f>IFERROR(VLOOKUP(Tablo8[[#This Row],[ ÜRÜN KODU]],YMKODLARI!$A$1:$H$383,2,0)," " )</f>
        <v>GENİŞ AĞIZ BİBERON UCU</v>
      </c>
      <c r="C731" s="125">
        <v>44085</v>
      </c>
      <c r="D731" s="124">
        <v>2000</v>
      </c>
      <c r="E731" s="124" t="s">
        <v>265</v>
      </c>
    </row>
    <row r="732" spans="1:5">
      <c r="A732" s="124" t="s">
        <v>42</v>
      </c>
      <c r="B732" s="124" t="str">
        <f>IFERROR(VLOOKUP(Tablo8[[#This Row],[ ÜRÜN KODU]],YMKODLARI!$A$1:$H$383,2,0)," " )</f>
        <v>DAMAK EMZİK UCU 2 NO</v>
      </c>
      <c r="C732" s="125">
        <v>44085</v>
      </c>
      <c r="D732" s="124">
        <v>2840</v>
      </c>
      <c r="E732" s="124" t="s">
        <v>265</v>
      </c>
    </row>
    <row r="733" spans="1:5">
      <c r="A733" s="124" t="s">
        <v>197</v>
      </c>
      <c r="B733" s="124" t="str">
        <f>IFERROR(VLOOKUP(Tablo8[[#This Row],[ ÜRÜN KODU]],YMKODLARI!$A$1:$H$383,2,0)," " )</f>
        <v>250 ml BOMBELİ BİBERON KULP</v>
      </c>
      <c r="C733" s="125">
        <v>44085</v>
      </c>
      <c r="D733" s="124">
        <v>1282</v>
      </c>
      <c r="E733" s="124" t="s">
        <v>265</v>
      </c>
    </row>
    <row r="734" spans="1:5">
      <c r="A734" s="124" t="s">
        <v>198</v>
      </c>
      <c r="B734" s="124" t="str">
        <f>IFERROR(VLOOKUP(Tablo8[[#This Row],[ ÜRÜN KODU]],YMKODLARI!$A$1:$H$383,2,0)," " )</f>
        <v>250 ml BOMBELİ BİBERON KULP</v>
      </c>
      <c r="C734" s="125">
        <v>44085</v>
      </c>
      <c r="D734" s="124">
        <v>534</v>
      </c>
      <c r="E734" s="124" t="s">
        <v>265</v>
      </c>
    </row>
    <row r="735" spans="1:5">
      <c r="A735" s="124" t="s">
        <v>238</v>
      </c>
      <c r="B735" s="124" t="str">
        <f>IFERROR(VLOOKUP(Tablo8[[#This Row],[ ÜRÜN KODU]],YMKODLARI!$A$1:$H$383,2,0)," " )</f>
        <v>GENİŞ AĞIZ BİBERON VİDA</v>
      </c>
      <c r="C735" s="125">
        <v>44085</v>
      </c>
      <c r="D735" s="124">
        <v>2500</v>
      </c>
      <c r="E735" s="124" t="s">
        <v>265</v>
      </c>
    </row>
    <row r="736" spans="1:5">
      <c r="A736" s="124" t="s">
        <v>244</v>
      </c>
      <c r="B736" s="124" t="str">
        <f>IFERROR(VLOOKUP(Tablo8[[#This Row],[ ÜRÜN KODU]],YMKODLARI!$A$1:$H$383,2,0)," " )</f>
        <v>GENİŞ AĞIZ BİBERON VİDA</v>
      </c>
      <c r="C736" s="125">
        <v>44085</v>
      </c>
      <c r="D736" s="124">
        <v>568</v>
      </c>
      <c r="E736" s="124" t="s">
        <v>265</v>
      </c>
    </row>
    <row r="737" spans="1:5">
      <c r="A737" s="124" t="s">
        <v>34</v>
      </c>
      <c r="B737" s="124" t="str">
        <f>IFERROR(VLOOKUP(Tablo8[[#This Row],[ ÜRÜN KODU]],YMKODLARI!$A$1:$H$383,2,0)," " )</f>
        <v>BİBERON KLASİK  UC 1 NO</v>
      </c>
      <c r="C737" s="125">
        <v>44088</v>
      </c>
      <c r="D737" s="124">
        <v>9000</v>
      </c>
      <c r="E737" s="124" t="s">
        <v>265</v>
      </c>
    </row>
    <row r="738" spans="1:5">
      <c r="A738" s="124" t="s">
        <v>32</v>
      </c>
      <c r="B738" s="124" t="str">
        <f>IFERROR(VLOOKUP(Tablo8[[#This Row],[ ÜRÜN KODU]],YMKODLARI!$A$1:$H$383,2,0)," " )</f>
        <v>GENİŞ AĞIZ BİBERON UCU</v>
      </c>
      <c r="C738" s="125">
        <v>44088</v>
      </c>
      <c r="D738" s="124">
        <v>4109</v>
      </c>
      <c r="E738" s="124" t="s">
        <v>265</v>
      </c>
    </row>
    <row r="739" spans="1:5">
      <c r="A739" s="124" t="s">
        <v>238</v>
      </c>
      <c r="B739" s="124" t="str">
        <f>IFERROR(VLOOKUP(Tablo8[[#This Row],[ ÜRÜN KODU]],YMKODLARI!$A$1:$H$383,2,0)," " )</f>
        <v>GENİŞ AĞIZ BİBERON VİDA</v>
      </c>
      <c r="C739" s="125">
        <v>44088</v>
      </c>
      <c r="D739" s="124">
        <v>1527</v>
      </c>
      <c r="E739" s="124" t="s">
        <v>265</v>
      </c>
    </row>
    <row r="740" spans="1:5">
      <c r="A740" s="124" t="s">
        <v>237</v>
      </c>
      <c r="B740" s="124" t="str">
        <f>IFERROR(VLOOKUP(Tablo8[[#This Row],[ ÜRÜN KODU]],YMKODLARI!$A$1:$H$383,2,0)," " )</f>
        <v>GENİŞ AĞIZ BİBERON VİDA</v>
      </c>
      <c r="C740" s="125">
        <v>44088</v>
      </c>
      <c r="D740" s="124">
        <v>2500</v>
      </c>
      <c r="E740" s="124" t="s">
        <v>265</v>
      </c>
    </row>
    <row r="741" spans="1:5">
      <c r="A741" s="124" t="s">
        <v>266</v>
      </c>
      <c r="B741" s="124" t="str">
        <f>IFERROR(VLOOKUP(Tablo8[[#This Row],[ ÜRÜN KODU]],YMKODLARI!$A$1:$H$383,2,0)," " )</f>
        <v>250 ml BOMBELİ BİBERON KULP</v>
      </c>
      <c r="C741" s="125">
        <v>44088</v>
      </c>
      <c r="D741" s="124">
        <v>981</v>
      </c>
      <c r="E741" s="124" t="s">
        <v>265</v>
      </c>
    </row>
    <row r="742" spans="1:5">
      <c r="A742" s="124" t="s">
        <v>34</v>
      </c>
      <c r="B742" s="124" t="str">
        <f>IFERROR(VLOOKUP(Tablo8[[#This Row],[ ÜRÜN KODU]],YMKODLARI!$A$1:$H$383,2,0)," " )</f>
        <v>BİBERON KLASİK  UC 1 NO</v>
      </c>
      <c r="C742" s="125">
        <v>44090</v>
      </c>
      <c r="D742" s="124">
        <v>9000</v>
      </c>
      <c r="E742" s="124" t="s">
        <v>265</v>
      </c>
    </row>
    <row r="743" spans="1:5">
      <c r="A743" s="124" t="s">
        <v>201</v>
      </c>
      <c r="B743" s="124" t="str">
        <f>IFERROR(VLOOKUP(Tablo8[[#This Row],[ ÜRÜN KODU]],YMKODLARI!$A$1:$H$383,2,0)," " )</f>
        <v>DAMAK EMZİK GÖVDE</v>
      </c>
      <c r="C743" s="125">
        <v>44090</v>
      </c>
      <c r="D743" s="124">
        <v>3125</v>
      </c>
      <c r="E743" s="124" t="s">
        <v>265</v>
      </c>
    </row>
    <row r="744" spans="1:5">
      <c r="A744" s="124" t="s">
        <v>55</v>
      </c>
      <c r="B744" s="124" t="str">
        <f>IFERROR(VLOOKUP(Tablo8[[#This Row],[ ÜRÜN KODU]],YMKODLARI!$A$1:$H$383,2,0)," " )</f>
        <v>BİBERON SEYAHAT TIPASI</v>
      </c>
      <c r="C744" s="125">
        <v>44090</v>
      </c>
      <c r="D744" s="124">
        <v>15000</v>
      </c>
      <c r="E744" s="124" t="s">
        <v>265</v>
      </c>
    </row>
    <row r="745" spans="1:5">
      <c r="A745" s="124" t="s">
        <v>200</v>
      </c>
      <c r="B745" s="124" t="str">
        <f>IFERROR(VLOOKUP(Tablo8[[#This Row],[ ÜRÜN KODU]],YMKODLARI!$A$1:$H$383,2,0)," " )</f>
        <v>KLASİK EMZİK GÖVDE</v>
      </c>
      <c r="C745" s="125">
        <v>44090</v>
      </c>
      <c r="D745" s="124">
        <v>9929</v>
      </c>
      <c r="E745" s="124" t="s">
        <v>265</v>
      </c>
    </row>
    <row r="746" spans="1:5">
      <c r="A746" s="124" t="s">
        <v>237</v>
      </c>
      <c r="B746" s="124" t="str">
        <f>IFERROR(VLOOKUP(Tablo8[[#This Row],[ ÜRÜN KODU]],YMKODLARI!$A$1:$H$383,2,0)," " )</f>
        <v>GENİŞ AĞIZ BİBERON VİDA</v>
      </c>
      <c r="C746" s="125">
        <v>44090</v>
      </c>
      <c r="D746" s="124">
        <v>2537</v>
      </c>
      <c r="E746" s="124" t="s">
        <v>265</v>
      </c>
    </row>
    <row r="747" spans="1:5">
      <c r="A747" s="124" t="s">
        <v>245</v>
      </c>
      <c r="B747" s="124" t="str">
        <f>IFERROR(VLOOKUP(Tablo8[[#This Row],[ ÜRÜN KODU]],YMKODLARI!$A$1:$H$383,2,0)," " )</f>
        <v>GENİŞ AĞIZ BİBERON VİDA</v>
      </c>
      <c r="C747" s="125">
        <v>44090</v>
      </c>
      <c r="D747" s="124">
        <v>1000</v>
      </c>
      <c r="E747" s="124" t="s">
        <v>265</v>
      </c>
    </row>
    <row r="748" spans="1:5">
      <c r="A748" s="124" t="s">
        <v>34</v>
      </c>
      <c r="B748" s="124" t="str">
        <f>IFERROR(VLOOKUP(Tablo8[[#This Row],[ ÜRÜN KODU]],YMKODLARI!$A$1:$H$383,2,0)," " )</f>
        <v>BİBERON KLASİK  UC 1 NO</v>
      </c>
      <c r="C748" s="125">
        <v>44091</v>
      </c>
      <c r="D748" s="124">
        <v>18000</v>
      </c>
      <c r="E748" s="124" t="s">
        <v>265</v>
      </c>
    </row>
    <row r="749" spans="1:5">
      <c r="A749" s="124" t="s">
        <v>166</v>
      </c>
      <c r="B749" s="124" t="str">
        <f>IFERROR(VLOOKUP(Tablo8[[#This Row],[ ÜRÜN KODU]],YMKODLARI!$A$1:$H$383,2,0)," " )</f>
        <v>DAMAK EMZİK GÖVDE</v>
      </c>
      <c r="C749" s="125">
        <v>44091</v>
      </c>
      <c r="D749" s="124">
        <v>7335</v>
      </c>
      <c r="E749" s="124" t="s">
        <v>265</v>
      </c>
    </row>
    <row r="750" spans="1:5">
      <c r="A750" s="124" t="s">
        <v>169</v>
      </c>
      <c r="B750" s="124" t="str">
        <f>IFERROR(VLOOKUP(Tablo8[[#This Row],[ ÜRÜN KODU]],YMKODLARI!$A$1:$H$383,2,0)," " )</f>
        <v>DAMAK EMZİK GÖVDE</v>
      </c>
      <c r="C750" s="125">
        <v>44091</v>
      </c>
      <c r="D750" s="124">
        <v>4858</v>
      </c>
      <c r="E750" s="124" t="s">
        <v>265</v>
      </c>
    </row>
    <row r="751" spans="1:5">
      <c r="A751" s="124" t="s">
        <v>55</v>
      </c>
      <c r="B751" s="124" t="str">
        <f>IFERROR(VLOOKUP(Tablo8[[#This Row],[ ÜRÜN KODU]],YMKODLARI!$A$1:$H$383,2,0)," " )</f>
        <v>BİBERON SEYAHAT TIPASI</v>
      </c>
      <c r="C751" s="125">
        <v>44091</v>
      </c>
      <c r="D751" s="124">
        <v>5500</v>
      </c>
      <c r="E751" s="124" t="s">
        <v>265</v>
      </c>
    </row>
    <row r="752" spans="1:5">
      <c r="A752" s="124" t="s">
        <v>214</v>
      </c>
      <c r="B752" s="124" t="str">
        <f>IFERROR(VLOOKUP(Tablo8[[#This Row],[ ÜRÜN KODU]],YMKODLARI!$A$1:$H$383,2,0)," " )</f>
        <v>EMZİK KAPAĞI</v>
      </c>
      <c r="C752" s="125">
        <v>44091</v>
      </c>
      <c r="D752" s="124">
        <v>9000</v>
      </c>
      <c r="E752" s="124" t="s">
        <v>265</v>
      </c>
    </row>
    <row r="753" spans="1:5">
      <c r="A753" s="124" t="s">
        <v>34</v>
      </c>
      <c r="B753" s="124" t="str">
        <f>IFERROR(VLOOKUP(Tablo8[[#This Row],[ ÜRÜN KODU]],YMKODLARI!$A$1:$H$383,2,0)," " )</f>
        <v>BİBERON KLASİK  UC 1 NO</v>
      </c>
      <c r="C753" s="125">
        <v>44095</v>
      </c>
      <c r="D753" s="124">
        <v>9000</v>
      </c>
      <c r="E753" s="124" t="s">
        <v>265</v>
      </c>
    </row>
    <row r="754" spans="1:5">
      <c r="A754" s="124" t="s">
        <v>94</v>
      </c>
      <c r="B754" s="124" t="str">
        <f>IFERROR(VLOOKUP(Tablo8[[#This Row],[ ÜRÜN KODU]],YMKODLARI!$A$1:$H$383,2,0)," " )</f>
        <v>EMZİK ASKI TIPA ÖRDEK</v>
      </c>
      <c r="C754" s="125">
        <v>44095</v>
      </c>
      <c r="D754" s="124">
        <v>3152</v>
      </c>
      <c r="E754" s="124" t="s">
        <v>265</v>
      </c>
    </row>
    <row r="755" spans="1:5">
      <c r="A755" s="126" t="s">
        <v>93</v>
      </c>
      <c r="B755" s="124" t="str">
        <f>IFERROR(VLOOKUP(Tablo8[[#This Row],[ ÜRÜN KODU]],YMKODLARI!$A$1:$H$383,2,0)," " )</f>
        <v>EMZİK ASKI TIPA ÖRDEK</v>
      </c>
      <c r="C755" s="127">
        <v>44095</v>
      </c>
      <c r="D755" s="126">
        <v>3000</v>
      </c>
      <c r="E755" s="126" t="s">
        <v>265</v>
      </c>
    </row>
    <row r="756" spans="1:5">
      <c r="A756" s="124" t="s">
        <v>95</v>
      </c>
      <c r="B756" s="124" t="str">
        <f>IFERROR(VLOOKUP(Tablo8[[#This Row],[ ÜRÜN KODU]],YMKODLARI!$A$1:$H$383,2,0)," " )</f>
        <v>EMZİK ASKI TIPA ÖRDEK</v>
      </c>
      <c r="C756" s="125">
        <v>44095</v>
      </c>
      <c r="D756" s="124">
        <v>2838</v>
      </c>
      <c r="E756" s="124" t="s">
        <v>265</v>
      </c>
    </row>
    <row r="757" spans="1:5">
      <c r="A757" s="124" t="s">
        <v>96</v>
      </c>
      <c r="B757" s="124" t="str">
        <f>IFERROR(VLOOKUP(Tablo8[[#This Row],[ ÜRÜN KODU]],YMKODLARI!$A$1:$H$383,2,0)," " )</f>
        <v>EMZİK ASKI TIPA ÖRDEK</v>
      </c>
      <c r="C757" s="125">
        <v>44095</v>
      </c>
      <c r="D757" s="124">
        <v>3024</v>
      </c>
      <c r="E757" s="124" t="s">
        <v>265</v>
      </c>
    </row>
    <row r="758" spans="1:5">
      <c r="A758" s="124" t="s">
        <v>167</v>
      </c>
      <c r="B758" s="124" t="str">
        <f>IFERROR(VLOOKUP(Tablo8[[#This Row],[ ÜRÜN KODU]],YMKODLARI!$A$1:$H$383,2,0)," " )</f>
        <v>DAMAK EMZİK GÖVDE</v>
      </c>
      <c r="C758" s="125">
        <v>44095</v>
      </c>
      <c r="D758" s="124">
        <v>6407</v>
      </c>
      <c r="E758" s="124" t="s">
        <v>265</v>
      </c>
    </row>
    <row r="759" spans="1:5">
      <c r="A759" s="124" t="s">
        <v>214</v>
      </c>
      <c r="B759" s="124" t="str">
        <f>IFERROR(VLOOKUP(Tablo8[[#This Row],[ ÜRÜN KODU]],YMKODLARI!$A$1:$H$383,2,0)," " )</f>
        <v>EMZİK KAPAĞI</v>
      </c>
      <c r="C759" s="125">
        <v>44095</v>
      </c>
      <c r="D759" s="124">
        <v>12382</v>
      </c>
      <c r="E759" s="124" t="s">
        <v>265</v>
      </c>
    </row>
    <row r="760" spans="1:5">
      <c r="A760" s="124" t="s">
        <v>34</v>
      </c>
      <c r="B760" s="124" t="str">
        <f>IFERROR(VLOOKUP(Tablo8[[#This Row],[ ÜRÜN KODU]],YMKODLARI!$A$1:$H$383,2,0)," " )</f>
        <v>BİBERON KLASİK  UC 1 NO</v>
      </c>
      <c r="C760" s="125">
        <v>44097</v>
      </c>
      <c r="D760" s="124">
        <v>18000</v>
      </c>
      <c r="E760" s="124" t="s">
        <v>265</v>
      </c>
    </row>
    <row r="761" spans="1:5">
      <c r="A761" s="124" t="s">
        <v>202</v>
      </c>
      <c r="B761" s="124" t="str">
        <f>IFERROR(VLOOKUP(Tablo8[[#This Row],[ ÜRÜN KODU]],YMKODLARI!$A$1:$H$383,2,0)," " )</f>
        <v xml:space="preserve"> BİBERON VİDA</v>
      </c>
      <c r="C761" s="125">
        <v>44097</v>
      </c>
      <c r="D761" s="124">
        <v>4075</v>
      </c>
      <c r="E761" s="124" t="s">
        <v>265</v>
      </c>
    </row>
    <row r="762" spans="1:5">
      <c r="A762" s="124" t="s">
        <v>203</v>
      </c>
      <c r="B762" s="124" t="str">
        <f>IFERROR(VLOOKUP(Tablo8[[#This Row],[ ÜRÜN KODU]],YMKODLARI!$A$1:$H$383,2,0)," " )</f>
        <v xml:space="preserve"> BİBERON VİDA</v>
      </c>
      <c r="C762" s="125">
        <v>44097</v>
      </c>
      <c r="D762" s="124">
        <v>3118</v>
      </c>
      <c r="E762" s="124" t="s">
        <v>265</v>
      </c>
    </row>
    <row r="763" spans="1:5">
      <c r="A763" s="124" t="s">
        <v>223</v>
      </c>
      <c r="B763" s="124" t="str">
        <f>IFERROR(VLOOKUP(Tablo8[[#This Row],[ ÜRÜN KODU]],YMKODLARI!$A$1:$H$383,2,0)," " )</f>
        <v>EMZİK ASKISI YUVARLAK GÖVDE</v>
      </c>
      <c r="C763" s="125">
        <v>44097</v>
      </c>
      <c r="D763" s="124">
        <v>10627</v>
      </c>
      <c r="E763" s="124" t="s">
        <v>265</v>
      </c>
    </row>
    <row r="764" spans="1:5">
      <c r="A764" s="124" t="s">
        <v>224</v>
      </c>
      <c r="B764" s="124" t="str">
        <f>IFERROR(VLOOKUP(Tablo8[[#This Row],[ ÜRÜN KODU]],YMKODLARI!$A$1:$H$383,2,0)," " )</f>
        <v>EMZİK ASKISI YUVARLAK MANDAL</v>
      </c>
      <c r="C764" s="125">
        <v>44097</v>
      </c>
      <c r="D764" s="124">
        <v>5000</v>
      </c>
      <c r="E764" s="124" t="s">
        <v>265</v>
      </c>
    </row>
    <row r="765" spans="1:5">
      <c r="A765" s="124" t="s">
        <v>106</v>
      </c>
      <c r="B765" s="124" t="str">
        <f>IFERROR(VLOOKUP(Tablo8[[#This Row],[ ÜRÜN KODU]],YMKODLARI!$A$1:$H$383,2,0)," " )</f>
        <v>EMZİK ASKISI KISKAÇ ERKEK</v>
      </c>
      <c r="C765" s="125">
        <v>44097</v>
      </c>
      <c r="D765" s="124">
        <v>2000</v>
      </c>
      <c r="E765" s="124" t="s">
        <v>265</v>
      </c>
    </row>
    <row r="766" spans="1:5">
      <c r="A766" s="124" t="s">
        <v>107</v>
      </c>
      <c r="B766" s="124" t="str">
        <f>IFERROR(VLOOKUP(Tablo8[[#This Row],[ ÜRÜN KODU]],YMKODLARI!$A$1:$H$383,2,0)," " )</f>
        <v>EMZİK ASKISI KISKAÇ DİŞİ</v>
      </c>
      <c r="C766" s="125">
        <v>44097</v>
      </c>
      <c r="D766" s="124">
        <v>2000</v>
      </c>
      <c r="E766" s="124" t="s">
        <v>265</v>
      </c>
    </row>
    <row r="767" spans="1:5">
      <c r="A767" s="124" t="s">
        <v>104</v>
      </c>
      <c r="B767" s="124" t="str">
        <f>IFERROR(VLOOKUP(Tablo8[[#This Row],[ ÜRÜN KODU]],YMKODLARI!$A$1:$H$383,2,0)," " )</f>
        <v>EMZİK ASKISI KISKAÇ ERKEK</v>
      </c>
      <c r="C767" s="125">
        <v>44097</v>
      </c>
      <c r="D767" s="124">
        <v>3000</v>
      </c>
      <c r="E767" s="124" t="s">
        <v>265</v>
      </c>
    </row>
    <row r="768" spans="1:5">
      <c r="A768" s="124" t="s">
        <v>105</v>
      </c>
      <c r="B768" s="124" t="str">
        <f>IFERROR(VLOOKUP(Tablo8[[#This Row],[ ÜRÜN KODU]],YMKODLARI!$A$1:$H$383,2,0)," " )</f>
        <v>EMZİK ASKISI KISKAÇ DİŞİ</v>
      </c>
      <c r="C768" s="125">
        <v>44097</v>
      </c>
      <c r="D768" s="124">
        <v>3000</v>
      </c>
      <c r="E768" s="124" t="s">
        <v>265</v>
      </c>
    </row>
    <row r="769" spans="1:5">
      <c r="A769" s="124" t="s">
        <v>108</v>
      </c>
      <c r="B769" s="124" t="str">
        <f>IFERROR(VLOOKUP(Tablo8[[#This Row],[ ÜRÜN KODU]],YMKODLARI!$A$1:$H$383,2,0)," " )</f>
        <v>EMZİK ASKISI KISKAÇ ERKEK</v>
      </c>
      <c r="C769" s="125">
        <v>44097</v>
      </c>
      <c r="D769" s="124">
        <v>3000</v>
      </c>
      <c r="E769" s="124" t="s">
        <v>265</v>
      </c>
    </row>
    <row r="770" spans="1:5">
      <c r="A770" s="124" t="s">
        <v>109</v>
      </c>
      <c r="B770" s="124" t="str">
        <f>IFERROR(VLOOKUP(Tablo8[[#This Row],[ ÜRÜN KODU]],YMKODLARI!$A$1:$H$383,2,0)," " )</f>
        <v>EMZİK ASKISI KISKAÇ DİŞİ</v>
      </c>
      <c r="C770" s="125">
        <v>44097</v>
      </c>
      <c r="D770" s="124">
        <v>3000</v>
      </c>
      <c r="E770" s="124" t="s">
        <v>265</v>
      </c>
    </row>
    <row r="771" spans="1:5">
      <c r="A771" s="124" t="s">
        <v>110</v>
      </c>
      <c r="B771" s="124" t="str">
        <f>IFERROR(VLOOKUP(Tablo8[[#This Row],[ ÜRÜN KODU]],YMKODLARI!$A$1:$H$383,2,0)," " )</f>
        <v>EMZİK ASKISI KISKAÇ ERKEK</v>
      </c>
      <c r="C771" s="125">
        <v>44097</v>
      </c>
      <c r="D771" s="124">
        <v>3170</v>
      </c>
      <c r="E771" s="124" t="s">
        <v>265</v>
      </c>
    </row>
    <row r="772" spans="1:5">
      <c r="A772" s="124" t="s">
        <v>111</v>
      </c>
      <c r="B772" s="124" t="str">
        <f>IFERROR(VLOOKUP(Tablo8[[#This Row],[ ÜRÜN KODU]],YMKODLARI!$A$1:$H$383,2,0)," " )</f>
        <v>EMZİK ASKISI KISKAÇ DİŞİ</v>
      </c>
      <c r="C772" s="125">
        <v>44097</v>
      </c>
      <c r="D772" s="124">
        <v>3170</v>
      </c>
      <c r="E772" s="124" t="s">
        <v>265</v>
      </c>
    </row>
    <row r="773" spans="1:5">
      <c r="A773" s="124" t="s">
        <v>34</v>
      </c>
      <c r="B773" s="124" t="str">
        <f>IFERROR(VLOOKUP(Tablo8[[#This Row],[ ÜRÜN KODU]],YMKODLARI!$A$1:$H$383,2,0)," " )</f>
        <v>BİBERON KLASİK  UC 1 NO</v>
      </c>
      <c r="C773" s="125">
        <v>44098</v>
      </c>
      <c r="D773" s="124">
        <v>7000</v>
      </c>
      <c r="E773" s="124" t="s">
        <v>265</v>
      </c>
    </row>
    <row r="774" spans="1:5">
      <c r="A774" s="124" t="s">
        <v>41</v>
      </c>
      <c r="B774" s="124" t="str">
        <f>IFERROR(VLOOKUP(Tablo8[[#This Row],[ ÜRÜN KODU]],YMKODLARI!$A$1:$H$383,2,0)," " )</f>
        <v>AKITMAZ BİBERON UCU</v>
      </c>
      <c r="C774" s="125">
        <v>44098</v>
      </c>
      <c r="D774" s="124">
        <v>333</v>
      </c>
      <c r="E774" s="124" t="s">
        <v>265</v>
      </c>
    </row>
    <row r="775" spans="1:5">
      <c r="A775" s="124" t="s">
        <v>112</v>
      </c>
      <c r="B775" s="124" t="str">
        <f>IFERROR(VLOOKUP(Tablo8[[#This Row],[ ÜRÜN KODU]],YMKODLARI!$A$1:$H$383,2,0)," " )</f>
        <v>EMZİK ASKISI KANCA</v>
      </c>
      <c r="C775" s="125">
        <v>44098</v>
      </c>
      <c r="D775" s="124">
        <v>16410</v>
      </c>
      <c r="E775" s="124" t="s">
        <v>265</v>
      </c>
    </row>
    <row r="776" spans="1:5">
      <c r="A776" s="124" t="s">
        <v>224</v>
      </c>
      <c r="B776" s="124" t="str">
        <f>IFERROR(VLOOKUP(Tablo8[[#This Row],[ ÜRÜN KODU]],YMKODLARI!$A$1:$H$383,2,0)," " )</f>
        <v>EMZİK ASKISI YUVARLAK MANDAL</v>
      </c>
      <c r="C776" s="125">
        <v>44098</v>
      </c>
      <c r="D776" s="124">
        <v>5930</v>
      </c>
      <c r="E776" s="124" t="s">
        <v>265</v>
      </c>
    </row>
    <row r="777" spans="1:5">
      <c r="A777" s="124" t="s">
        <v>106</v>
      </c>
      <c r="B777" s="124" t="str">
        <f>IFERROR(VLOOKUP(Tablo8[[#This Row],[ ÜRÜN KODU]],YMKODLARI!$A$1:$H$383,2,0)," " )</f>
        <v>EMZİK ASKISI KISKAÇ ERKEK</v>
      </c>
      <c r="C777" s="125">
        <v>44098</v>
      </c>
      <c r="D777" s="124">
        <v>1000</v>
      </c>
      <c r="E777" s="124" t="s">
        <v>265</v>
      </c>
    </row>
    <row r="778" spans="1:5">
      <c r="A778" s="124" t="s">
        <v>107</v>
      </c>
      <c r="B778" s="124" t="str">
        <f>IFERROR(VLOOKUP(Tablo8[[#This Row],[ ÜRÜN KODU]],YMKODLARI!$A$1:$H$383,2,0)," " )</f>
        <v>EMZİK ASKISI KISKAÇ DİŞİ</v>
      </c>
      <c r="C778" s="125">
        <v>44098</v>
      </c>
      <c r="D778" s="124">
        <v>1000</v>
      </c>
      <c r="E778" s="124" t="s">
        <v>265</v>
      </c>
    </row>
    <row r="779" spans="1:5">
      <c r="A779" s="124" t="s">
        <v>236</v>
      </c>
      <c r="B779" s="124" t="str">
        <f>IFERROR(VLOOKUP(Tablo8[[#This Row],[ ÜRÜN KODU]],YMKODLARI!$A$1:$H$383,2,0)," " )</f>
        <v>EMZİK ASKISI ZİNCİR</v>
      </c>
      <c r="C779" s="125">
        <v>44098</v>
      </c>
      <c r="D779" s="124">
        <v>4000</v>
      </c>
      <c r="E779" s="124" t="s">
        <v>265</v>
      </c>
    </row>
    <row r="780" spans="1:5">
      <c r="A780" s="124" t="s">
        <v>202</v>
      </c>
      <c r="B780" s="124" t="str">
        <f>IFERROR(VLOOKUP(Tablo8[[#This Row],[ ÜRÜN KODU]],YMKODLARI!$A$1:$H$383,2,0)," " )</f>
        <v xml:space="preserve"> BİBERON VİDA</v>
      </c>
      <c r="C780" s="125">
        <v>44098</v>
      </c>
      <c r="D780" s="124">
        <v>4080</v>
      </c>
      <c r="E780" s="124" t="s">
        <v>265</v>
      </c>
    </row>
    <row r="781" spans="1:5">
      <c r="A781" s="124" t="s">
        <v>204</v>
      </c>
      <c r="B781" s="124" t="str">
        <f>IFERROR(VLOOKUP(Tablo8[[#This Row],[ ÜRÜN KODU]],YMKODLARI!$A$1:$H$383,2,0)," " )</f>
        <v xml:space="preserve"> BİBERON VİDA</v>
      </c>
      <c r="C781" s="125">
        <v>44098</v>
      </c>
      <c r="D781" s="124">
        <v>4450</v>
      </c>
      <c r="E781" s="124" t="s">
        <v>265</v>
      </c>
    </row>
    <row r="782" spans="1:5">
      <c r="A782" s="124" t="s">
        <v>214</v>
      </c>
      <c r="B782" s="124" t="str">
        <f>IFERROR(VLOOKUP(Tablo8[[#This Row],[ ÜRÜN KODU]],YMKODLARI!$A$1:$H$383,2,0)," " )</f>
        <v>EMZİK KAPAĞI</v>
      </c>
      <c r="C782" s="125">
        <v>44098</v>
      </c>
      <c r="D782" s="124">
        <v>1000</v>
      </c>
      <c r="E782" s="124" t="s">
        <v>265</v>
      </c>
    </row>
    <row r="783" spans="1:5">
      <c r="A783" s="124" t="s">
        <v>34</v>
      </c>
      <c r="B783" s="124" t="str">
        <f>IFERROR(VLOOKUP(Tablo8[[#This Row],[ ÜRÜN KODU]],YMKODLARI!$A$1:$H$383,2,0)," " )</f>
        <v>BİBERON KLASİK  UC 1 NO</v>
      </c>
      <c r="C783" s="125">
        <v>44103</v>
      </c>
      <c r="D783" s="124">
        <v>9000</v>
      </c>
      <c r="E783" s="124" t="s">
        <v>265</v>
      </c>
    </row>
    <row r="784" spans="1:5">
      <c r="A784" s="124" t="s">
        <v>122</v>
      </c>
      <c r="B784" s="124" t="str">
        <f>IFERROR(VLOOKUP(Tablo8[[#This Row],[ ÜRÜN KODU]],YMKODLARI!$A$1:$H$383,2,0)," " )</f>
        <v xml:space="preserve"> </v>
      </c>
      <c r="C784" s="125">
        <v>44103</v>
      </c>
      <c r="D784" s="124">
        <v>14640</v>
      </c>
      <c r="E784" s="124" t="s">
        <v>265</v>
      </c>
    </row>
    <row r="785" spans="1:5">
      <c r="A785" s="124" t="s">
        <v>121</v>
      </c>
      <c r="B785" s="124" t="str">
        <f>IFERROR(VLOOKUP(Tablo8[[#This Row],[ ÜRÜN KODU]],YMKODLARI!$A$1:$H$383,2,0)," " )</f>
        <v xml:space="preserve"> </v>
      </c>
      <c r="C785" s="125">
        <v>44103</v>
      </c>
      <c r="D785" s="124">
        <v>6400</v>
      </c>
      <c r="E785" s="124" t="s">
        <v>265</v>
      </c>
    </row>
    <row r="786" spans="1:5">
      <c r="A786" s="124" t="s">
        <v>123</v>
      </c>
      <c r="B786" s="124" t="str">
        <f>IFERROR(VLOOKUP(Tablo8[[#This Row],[ ÜRÜN KODU]],YMKODLARI!$A$1:$H$383,2,0)," " )</f>
        <v xml:space="preserve"> </v>
      </c>
      <c r="C786" s="125">
        <v>44103</v>
      </c>
      <c r="D786" s="124">
        <v>5300</v>
      </c>
      <c r="E786" s="124" t="s">
        <v>265</v>
      </c>
    </row>
    <row r="787" spans="1:5">
      <c r="A787" s="124" t="s">
        <v>206</v>
      </c>
      <c r="B787" s="124" t="str">
        <f>IFERROR(VLOOKUP(Tablo8[[#This Row],[ ÜRÜN KODU]],YMKODLARI!$A$1:$H$383,2,0)," " )</f>
        <v>KULPLU BİBERON VİDA</v>
      </c>
      <c r="C787" s="125">
        <v>44103</v>
      </c>
      <c r="D787" s="124">
        <v>4070</v>
      </c>
      <c r="E787" s="124" t="s">
        <v>265</v>
      </c>
    </row>
    <row r="788" spans="1:5">
      <c r="A788" s="124" t="s">
        <v>207</v>
      </c>
      <c r="B788" s="124" t="str">
        <f>IFERROR(VLOOKUP(Tablo8[[#This Row],[ ÜRÜN KODU]],YMKODLARI!$A$1:$H$383,2,0)," " )</f>
        <v>KULPLU BİBERON VİDA</v>
      </c>
      <c r="C788" s="125">
        <v>44103</v>
      </c>
      <c r="D788" s="124">
        <v>3052</v>
      </c>
      <c r="E788" s="124" t="s">
        <v>265</v>
      </c>
    </row>
    <row r="789" spans="1:5">
      <c r="A789" s="124" t="s">
        <v>236</v>
      </c>
      <c r="B789" s="124" t="str">
        <f>IFERROR(VLOOKUP(Tablo8[[#This Row],[ ÜRÜN KODU]],YMKODLARI!$A$1:$H$383,2,0)," " )</f>
        <v>EMZİK ASKISI ZİNCİR</v>
      </c>
      <c r="C789" s="125">
        <v>44103</v>
      </c>
      <c r="D789" s="124">
        <v>6085</v>
      </c>
      <c r="E789" s="124" t="s">
        <v>265</v>
      </c>
    </row>
    <row r="790" spans="1:5">
      <c r="A790" s="124" t="s">
        <v>246</v>
      </c>
      <c r="B790" s="124" t="str">
        <f>IFERROR(VLOOKUP(Tablo8[[#This Row],[ ÜRÜN KODU]],YMKODLARI!$A$1:$H$383,2,0)," " )</f>
        <v>EMZİK ASKISI ZİNCİR</v>
      </c>
      <c r="C790" s="125">
        <v>44103</v>
      </c>
      <c r="D790" s="124">
        <v>7100</v>
      </c>
      <c r="E790" s="124" t="s">
        <v>265</v>
      </c>
    </row>
    <row r="791" spans="1:5">
      <c r="A791" s="124" t="s">
        <v>34</v>
      </c>
      <c r="B791" s="124" t="str">
        <f>IFERROR(VLOOKUP(Tablo8[[#This Row],[ ÜRÜN KODU]],YMKODLARI!$A$1:$H$383,2,0)," " )</f>
        <v>BİBERON KLASİK  UC 1 NO</v>
      </c>
      <c r="C791" s="125">
        <v>44105</v>
      </c>
      <c r="D791" s="124">
        <v>16000</v>
      </c>
      <c r="E791" s="124" t="s">
        <v>267</v>
      </c>
    </row>
    <row r="792" spans="1:5">
      <c r="A792" s="124" t="s">
        <v>138</v>
      </c>
      <c r="B792" s="124" t="str">
        <f>IFERROR(VLOOKUP(Tablo8[[#This Row],[ ÜRÜN KODU]],YMKODLARI!$A$1:$H$383,2,0)," " )</f>
        <v>KURBAĞA DİŞ KAŞIYICI TUTACAK</v>
      </c>
      <c r="C792" s="125">
        <v>44105</v>
      </c>
      <c r="D792" s="124">
        <v>5000</v>
      </c>
      <c r="E792" s="124" t="s">
        <v>267</v>
      </c>
    </row>
    <row r="793" spans="1:5">
      <c r="A793" s="126" t="s">
        <v>178</v>
      </c>
      <c r="B793" s="124" t="str">
        <f>IFERROR(VLOOKUP(Tablo8[[#This Row],[ ÜRÜN KODU]],YMKODLARI!$A$1:$H$383,2,0)," " )</f>
        <v>KURBAĞA DİŞ KAŞIYICI TUTACAK</v>
      </c>
      <c r="C793" s="127">
        <v>44105</v>
      </c>
      <c r="D793" s="126">
        <v>2500</v>
      </c>
      <c r="E793" s="126" t="s">
        <v>267</v>
      </c>
    </row>
    <row r="794" spans="1:5">
      <c r="A794" s="124" t="s">
        <v>249</v>
      </c>
      <c r="B794" s="124" t="str">
        <f>IFERROR(VLOOKUP(Tablo8[[#This Row],[ ÜRÜN KODU]],YMKODLARI!$A$1:$H$383,2,0)," " )</f>
        <v>EMZİK ASKISI ZİNCİR</v>
      </c>
      <c r="C794" s="125">
        <v>44105</v>
      </c>
      <c r="D794" s="124">
        <v>4183</v>
      </c>
      <c r="E794" s="124" t="s">
        <v>267</v>
      </c>
    </row>
    <row r="795" spans="1:5">
      <c r="A795" s="124" t="s">
        <v>247</v>
      </c>
      <c r="B795" s="124" t="str">
        <f>IFERROR(VLOOKUP(Tablo8[[#This Row],[ ÜRÜN KODU]],YMKODLARI!$A$1:$H$383,2,0)," " )</f>
        <v>EMZİK ASKISI ZİNCİR</v>
      </c>
      <c r="C795" s="125">
        <v>44105</v>
      </c>
      <c r="D795" s="124">
        <v>10000</v>
      </c>
      <c r="E795" s="124" t="s">
        <v>267</v>
      </c>
    </row>
    <row r="796" spans="1:5">
      <c r="A796" s="124" t="s">
        <v>248</v>
      </c>
      <c r="B796" s="124" t="str">
        <f>IFERROR(VLOOKUP(Tablo8[[#This Row],[ ÜRÜN KODU]],YMKODLARI!$A$1:$H$383,2,0)," " )</f>
        <v>EMZİK ASKISI ZİNCİR</v>
      </c>
      <c r="C796" s="125">
        <v>44105</v>
      </c>
      <c r="D796" s="124">
        <v>2035</v>
      </c>
      <c r="E796" s="124" t="s">
        <v>267</v>
      </c>
    </row>
    <row r="797" spans="1:5">
      <c r="A797" s="124" t="s">
        <v>34</v>
      </c>
      <c r="B797" s="124" t="str">
        <f>IFERROR(VLOOKUP(Tablo8[[#This Row],[ ÜRÜN KODU]],YMKODLARI!$A$1:$H$383,2,0)," " )</f>
        <v>BİBERON KLASİK  UC 1 NO</v>
      </c>
      <c r="C797" s="125">
        <v>44110</v>
      </c>
      <c r="D797" s="124">
        <v>8000</v>
      </c>
      <c r="E797" s="124" t="s">
        <v>267</v>
      </c>
    </row>
    <row r="798" spans="1:5">
      <c r="A798" s="124" t="s">
        <v>53</v>
      </c>
      <c r="B798" s="124" t="str">
        <f>IFERROR(VLOOKUP(Tablo8[[#This Row],[ ÜRÜN KODU]],YMKODLARI!$A$1:$H$383,2,0)," " )</f>
        <v xml:space="preserve">SİLİKON MAMA KAŞIĞI UCU </v>
      </c>
      <c r="C798" s="125">
        <v>44110</v>
      </c>
      <c r="D798" s="124">
        <v>9000</v>
      </c>
      <c r="E798" s="124" t="s">
        <v>267</v>
      </c>
    </row>
    <row r="799" spans="1:5">
      <c r="A799" s="124" t="s">
        <v>139</v>
      </c>
      <c r="B799" s="124" t="str">
        <f>IFERROR(VLOOKUP(Tablo8[[#This Row],[ ÜRÜN KODU]],YMKODLARI!$A$1:$H$383,2,0)," " )</f>
        <v>KURBAĞA DİŞ KAŞIYICI TUTACAK</v>
      </c>
      <c r="C799" s="125">
        <v>44110</v>
      </c>
      <c r="D799" s="124">
        <v>2709</v>
      </c>
      <c r="E799" s="124" t="s">
        <v>267</v>
      </c>
    </row>
    <row r="800" spans="1:5">
      <c r="A800" s="124" t="s">
        <v>178</v>
      </c>
      <c r="B800" s="124" t="str">
        <f>IFERROR(VLOOKUP(Tablo8[[#This Row],[ ÜRÜN KODU]],YMKODLARI!$A$1:$H$383,2,0)," " )</f>
        <v>KURBAĞA DİŞ KAŞIYICI TUTACAK</v>
      </c>
      <c r="C800" s="125">
        <v>44110</v>
      </c>
      <c r="D800" s="124">
        <v>250</v>
      </c>
      <c r="E800" s="124" t="s">
        <v>267</v>
      </c>
    </row>
    <row r="801" spans="1:5">
      <c r="A801" s="124" t="s">
        <v>138</v>
      </c>
      <c r="B801" s="124" t="str">
        <f>IFERROR(VLOOKUP(Tablo8[[#This Row],[ ÜRÜN KODU]],YMKODLARI!$A$1:$H$383,2,0)," " )</f>
        <v>KURBAĞA DİŞ KAŞIYICI TUTACAK</v>
      </c>
      <c r="C801" s="125">
        <v>44110</v>
      </c>
      <c r="D801" s="124">
        <v>500</v>
      </c>
      <c r="E801" s="124" t="s">
        <v>267</v>
      </c>
    </row>
    <row r="802" spans="1:5">
      <c r="A802" s="124" t="s">
        <v>176</v>
      </c>
      <c r="B802" s="124" t="str">
        <f>IFERROR(VLOOKUP(Tablo8[[#This Row],[ ÜRÜN KODU]],YMKODLARI!$A$1:$H$383,2,0)," " )</f>
        <v xml:space="preserve">BİBERON KAPAĞI </v>
      </c>
      <c r="C802" s="125">
        <v>44110</v>
      </c>
      <c r="D802" s="124">
        <v>21500</v>
      </c>
      <c r="E802" s="124" t="s">
        <v>267</v>
      </c>
    </row>
    <row r="803" spans="1:5">
      <c r="A803" s="124" t="s">
        <v>54</v>
      </c>
      <c r="B803" s="124" t="str">
        <f>IFERROR(VLOOKUP(Tablo8[[#This Row],[ ÜRÜN KODU]],YMKODLARI!$A$1:$H$383,2,0)," " )</f>
        <v>KARE SAKLAMA KAPAĞI CONTASI</v>
      </c>
      <c r="C803" s="125">
        <v>44110</v>
      </c>
      <c r="D803" s="124">
        <v>200</v>
      </c>
      <c r="E803" s="124" t="s">
        <v>267</v>
      </c>
    </row>
    <row r="804" spans="1:5">
      <c r="A804" s="124" t="s">
        <v>573</v>
      </c>
      <c r="B804" s="124" t="str">
        <f>IFERROR(VLOOKUP(Tablo8[[#This Row],[ ÜRÜN KODU]],YMKODLARI!$A$1:$H$383,2,0)," " )</f>
        <v>KARE SAKLAMA KABI KAPAĞI</v>
      </c>
      <c r="C804" s="125">
        <v>44110</v>
      </c>
      <c r="D804" s="124">
        <v>1720</v>
      </c>
      <c r="E804" s="124" t="s">
        <v>267</v>
      </c>
    </row>
    <row r="805" spans="1:5">
      <c r="A805" s="124" t="s">
        <v>34</v>
      </c>
      <c r="B805" s="124" t="str">
        <f>IFERROR(VLOOKUP(Tablo8[[#This Row],[ ÜRÜN KODU]],YMKODLARI!$A$1:$H$383,2,0)," " )</f>
        <v>BİBERON KLASİK  UC 1 NO</v>
      </c>
      <c r="C805" s="125">
        <v>44112</v>
      </c>
      <c r="D805" s="124">
        <v>14000</v>
      </c>
      <c r="E805" s="124" t="s">
        <v>267</v>
      </c>
    </row>
    <row r="806" spans="1:5">
      <c r="A806" s="124" t="s">
        <v>54</v>
      </c>
      <c r="B806" s="124" t="str">
        <f>IFERROR(VLOOKUP(Tablo8[[#This Row],[ ÜRÜN KODU]],YMKODLARI!$A$1:$H$383,2,0)," " )</f>
        <v>KARE SAKLAMA KAPAĞI CONTASI</v>
      </c>
      <c r="C806" s="125">
        <v>44112</v>
      </c>
      <c r="D806" s="124">
        <v>1800</v>
      </c>
      <c r="E806" s="124" t="s">
        <v>267</v>
      </c>
    </row>
    <row r="807" spans="1:5">
      <c r="A807" s="124" t="s">
        <v>178</v>
      </c>
      <c r="B807" s="124" t="str">
        <f>IFERROR(VLOOKUP(Tablo8[[#This Row],[ ÜRÜN KODU]],YMKODLARI!$A$1:$H$383,2,0)," " )</f>
        <v>KURBAĞA DİŞ KAŞIYICI TUTACAK</v>
      </c>
      <c r="C807" s="125">
        <v>44112</v>
      </c>
      <c r="D807" s="124">
        <v>1750</v>
      </c>
      <c r="E807" s="124" t="s">
        <v>267</v>
      </c>
    </row>
    <row r="808" spans="1:5">
      <c r="A808" s="124" t="s">
        <v>139</v>
      </c>
      <c r="B808" s="124" t="str">
        <f>IFERROR(VLOOKUP(Tablo8[[#This Row],[ ÜRÜN KODU]],YMKODLARI!$A$1:$H$383,2,0)," " )</f>
        <v>KURBAĞA DİŞ KAŞIYICI TUTACAK</v>
      </c>
      <c r="C808" s="125">
        <v>44112</v>
      </c>
      <c r="D808" s="124">
        <v>1000</v>
      </c>
      <c r="E808" s="124" t="s">
        <v>267</v>
      </c>
    </row>
    <row r="809" spans="1:5">
      <c r="A809" s="124" t="s">
        <v>53</v>
      </c>
      <c r="B809" s="124" t="str">
        <f>IFERROR(VLOOKUP(Tablo8[[#This Row],[ ÜRÜN KODU]],YMKODLARI!$A$1:$H$383,2,0)," " )</f>
        <v xml:space="preserve">SİLİKON MAMA KAŞIĞI UCU </v>
      </c>
      <c r="C809" s="125">
        <v>44112</v>
      </c>
      <c r="D809" s="124">
        <v>3260</v>
      </c>
      <c r="E809" s="124" t="s">
        <v>267</v>
      </c>
    </row>
    <row r="810" spans="1:5">
      <c r="A810" s="124" t="s">
        <v>34</v>
      </c>
      <c r="B810" s="124" t="str">
        <f>IFERROR(VLOOKUP(Tablo8[[#This Row],[ ÜRÜN KODU]],YMKODLARI!$A$1:$H$383,2,0)," " )</f>
        <v>BİBERON KLASİK  UC 1 NO</v>
      </c>
      <c r="C810" s="125">
        <v>44112</v>
      </c>
      <c r="D810" s="124">
        <v>14000</v>
      </c>
      <c r="E810" s="124" t="s">
        <v>267</v>
      </c>
    </row>
    <row r="811" spans="1:5">
      <c r="A811" s="124" t="s">
        <v>54</v>
      </c>
      <c r="B811" s="124" t="str">
        <f>IFERROR(VLOOKUP(Tablo8[[#This Row],[ ÜRÜN KODU]],YMKODLARI!$A$1:$H$383,2,0)," " )</f>
        <v>KARE SAKLAMA KAPAĞI CONTASI</v>
      </c>
      <c r="C811" s="125">
        <v>44112</v>
      </c>
      <c r="D811" s="124">
        <v>1800</v>
      </c>
      <c r="E811" s="124" t="s">
        <v>267</v>
      </c>
    </row>
    <row r="812" spans="1:5">
      <c r="A812" s="124" t="s">
        <v>178</v>
      </c>
      <c r="B812" s="124" t="str">
        <f>IFERROR(VLOOKUP(Tablo8[[#This Row],[ ÜRÜN KODU]],YMKODLARI!$A$1:$H$383,2,0)," " )</f>
        <v>KURBAĞA DİŞ KAŞIYICI TUTACAK</v>
      </c>
      <c r="C812" s="125">
        <v>44112</v>
      </c>
      <c r="D812" s="124">
        <v>1750</v>
      </c>
      <c r="E812" s="124" t="s">
        <v>267</v>
      </c>
    </row>
    <row r="813" spans="1:5">
      <c r="A813" s="124" t="s">
        <v>139</v>
      </c>
      <c r="B813" s="124" t="str">
        <f>IFERROR(VLOOKUP(Tablo8[[#This Row],[ ÜRÜN KODU]],YMKODLARI!$A$1:$H$383,2,0)," " )</f>
        <v>KURBAĞA DİŞ KAŞIYICI TUTACAK</v>
      </c>
      <c r="C813" s="125">
        <v>44112</v>
      </c>
      <c r="D813" s="124">
        <v>1000</v>
      </c>
      <c r="E813" s="124" t="s">
        <v>267</v>
      </c>
    </row>
    <row r="814" spans="1:5">
      <c r="A814" s="124" t="s">
        <v>53</v>
      </c>
      <c r="B814" s="124" t="str">
        <f>IFERROR(VLOOKUP(Tablo8[[#This Row],[ ÜRÜN KODU]],YMKODLARI!$A$1:$H$383,2,0)," " )</f>
        <v xml:space="preserve">SİLİKON MAMA KAŞIĞI UCU </v>
      </c>
      <c r="C814" s="125">
        <v>44112</v>
      </c>
      <c r="D814" s="124">
        <v>3260</v>
      </c>
      <c r="E814" s="124" t="s">
        <v>267</v>
      </c>
    </row>
    <row r="815" spans="1:5">
      <c r="A815" s="124" t="s">
        <v>54</v>
      </c>
      <c r="B815" s="124" t="str">
        <f>IFERROR(VLOOKUP(Tablo8[[#This Row],[ ÜRÜN KODU]],YMKODLARI!$A$1:$H$383,2,0)," " )</f>
        <v>KARE SAKLAMA KAPAĞI CONTASI</v>
      </c>
      <c r="C815" s="125">
        <v>44113</v>
      </c>
      <c r="D815" s="124">
        <v>3640</v>
      </c>
      <c r="E815" s="124" t="s">
        <v>267</v>
      </c>
    </row>
    <row r="816" spans="1:5">
      <c r="A816" s="124" t="s">
        <v>167</v>
      </c>
      <c r="B816" s="124" t="str">
        <f>IFERROR(VLOOKUP(Tablo8[[#This Row],[ ÜRÜN KODU]],YMKODLARI!$A$1:$H$383,2,0)," " )</f>
        <v>DAMAK EMZİK GÖVDE</v>
      </c>
      <c r="C816" s="125">
        <v>44113</v>
      </c>
      <c r="D816" s="124">
        <v>5895</v>
      </c>
      <c r="E816" s="124" t="s">
        <v>267</v>
      </c>
    </row>
    <row r="817" spans="1:5">
      <c r="A817" s="124" t="s">
        <v>169</v>
      </c>
      <c r="B817" s="124" t="str">
        <f>IFERROR(VLOOKUP(Tablo8[[#This Row],[ ÜRÜN KODU]],YMKODLARI!$A$1:$H$383,2,0)," " )</f>
        <v>DAMAK EMZİK GÖVDE</v>
      </c>
      <c r="C817" s="125">
        <v>44113</v>
      </c>
      <c r="D817" s="124">
        <v>4610</v>
      </c>
      <c r="E817" s="124" t="s">
        <v>267</v>
      </c>
    </row>
    <row r="818" spans="1:5">
      <c r="A818" s="124" t="s">
        <v>166</v>
      </c>
      <c r="B818" s="124" t="str">
        <f>IFERROR(VLOOKUP(Tablo8[[#This Row],[ ÜRÜN KODU]],YMKODLARI!$A$1:$H$383,2,0)," " )</f>
        <v>DAMAK EMZİK GÖVDE</v>
      </c>
      <c r="C818" s="125">
        <v>44113</v>
      </c>
      <c r="D818" s="124">
        <v>7265</v>
      </c>
      <c r="E818" s="124" t="s">
        <v>267</v>
      </c>
    </row>
    <row r="819" spans="1:5">
      <c r="A819" s="124" t="s">
        <v>561</v>
      </c>
      <c r="B819" s="124" t="str">
        <f>IFERROR(VLOOKUP(Tablo8[[#This Row],[ ÜRÜN KODU]],YMKODLARI!$A$1:$H$383,2,0)," " )</f>
        <v>YUVARLAK SAKLAMA KABI KAPAĞI 2</v>
      </c>
      <c r="C819" s="125">
        <v>44113</v>
      </c>
      <c r="D819" s="124">
        <v>570</v>
      </c>
      <c r="E819" s="124" t="s">
        <v>267</v>
      </c>
    </row>
    <row r="820" spans="1:5">
      <c r="A820" s="124" t="s">
        <v>41</v>
      </c>
      <c r="B820" s="124" t="str">
        <f>IFERROR(VLOOKUP(Tablo8[[#This Row],[ ÜRÜN KODU]],YMKODLARI!$A$1:$H$383,2,0)," " )</f>
        <v>AKITMAZ BİBERON UCU</v>
      </c>
      <c r="C820" s="125">
        <v>44118</v>
      </c>
      <c r="D820" s="124">
        <v>4500</v>
      </c>
      <c r="E820" s="124" t="s">
        <v>267</v>
      </c>
    </row>
    <row r="821" spans="1:5">
      <c r="A821" s="124" t="s">
        <v>34</v>
      </c>
      <c r="B821" s="124" t="str">
        <f>IFERROR(VLOOKUP(Tablo8[[#This Row],[ ÜRÜN KODU]],YMKODLARI!$A$1:$H$383,2,0)," " )</f>
        <v>BİBERON KLASİK  UC 1 NO</v>
      </c>
      <c r="C821" s="125">
        <v>44118</v>
      </c>
      <c r="D821" s="124">
        <v>7000</v>
      </c>
      <c r="E821" s="124" t="s">
        <v>267</v>
      </c>
    </row>
    <row r="822" spans="1:5">
      <c r="A822" s="124" t="s">
        <v>163</v>
      </c>
      <c r="B822" s="124" t="str">
        <f>IFERROR(VLOOKUP(Tablo8[[#This Row],[ ÜRÜN KODU]],YMKODLARI!$A$1:$H$383,2,0)," " )</f>
        <v>DAMAK EMZİK GÖVDE</v>
      </c>
      <c r="C822" s="125">
        <v>44118</v>
      </c>
      <c r="D822" s="124">
        <v>11000</v>
      </c>
      <c r="E822" s="124" t="s">
        <v>267</v>
      </c>
    </row>
    <row r="823" spans="1:5">
      <c r="A823" s="124" t="s">
        <v>137</v>
      </c>
      <c r="B823" s="124" t="str">
        <f>IFERROR(VLOOKUP(Tablo8[[#This Row],[ ÜRÜN KODU]],YMKODLARI!$A$1:$H$383,2,0)," " )</f>
        <v>DAMAK EMZİK GÖVDE</v>
      </c>
      <c r="C823" s="125">
        <v>44118</v>
      </c>
      <c r="D823" s="124">
        <v>14500</v>
      </c>
      <c r="E823" s="124" t="s">
        <v>267</v>
      </c>
    </row>
    <row r="824" spans="1:5">
      <c r="A824" s="124" t="s">
        <v>83</v>
      </c>
      <c r="B824" s="124" t="str">
        <f>IFERROR(VLOOKUP(Tablo8[[#This Row],[ ÜRÜN KODU]],YMKODLARI!$A$1:$H$383,2,0)," " )</f>
        <v>DAMAK EMZİK SAP</v>
      </c>
      <c r="C824" s="125">
        <v>44118</v>
      </c>
      <c r="D824" s="124">
        <v>1380</v>
      </c>
      <c r="E824" s="124" t="s">
        <v>267</v>
      </c>
    </row>
    <row r="825" spans="1:5">
      <c r="A825" s="124" t="s">
        <v>84</v>
      </c>
      <c r="B825" s="124" t="str">
        <f>IFERROR(VLOOKUP(Tablo8[[#This Row],[ ÜRÜN KODU]],YMKODLARI!$A$1:$H$383,2,0)," " )</f>
        <v>DAMAK EMZİK SAP</v>
      </c>
      <c r="C825" s="125">
        <v>44118</v>
      </c>
      <c r="D825" s="124">
        <v>1570</v>
      </c>
      <c r="E825" s="124" t="s">
        <v>267</v>
      </c>
    </row>
    <row r="826" spans="1:5">
      <c r="A826" s="124" t="s">
        <v>70</v>
      </c>
      <c r="B826" s="124" t="str">
        <f>IFERROR(VLOOKUP(Tablo8[[#This Row],[ ÜRÜN KODU]],YMKODLARI!$A$1:$H$383,2,0)," " )</f>
        <v>DAMAK EMZİK SAP</v>
      </c>
      <c r="C826" s="125">
        <v>44118</v>
      </c>
      <c r="D826" s="124">
        <v>6200</v>
      </c>
      <c r="E826" s="124" t="s">
        <v>267</v>
      </c>
    </row>
    <row r="827" spans="1:5">
      <c r="A827" s="124" t="s">
        <v>63</v>
      </c>
      <c r="B827" s="124" t="str">
        <f>IFERROR(VLOOKUP(Tablo8[[#This Row],[ ÜRÜN KODU]],YMKODLARI!$A$1:$H$383,2,0)," " )</f>
        <v>DAMAK EMZİK SAP</v>
      </c>
      <c r="C827" s="125">
        <v>44118</v>
      </c>
      <c r="D827" s="124">
        <v>13964</v>
      </c>
      <c r="E827" s="124" t="s">
        <v>267</v>
      </c>
    </row>
    <row r="828" spans="1:5">
      <c r="A828" s="124" t="s">
        <v>582</v>
      </c>
      <c r="B828" s="124" t="str">
        <f>IFERROR(VLOOKUP(Tablo8[[#This Row],[ ÜRÜN KODU]],YMKODLARI!$A$1:$H$383,2,0)," " )</f>
        <v>DAMAK EMZİK SAP</v>
      </c>
      <c r="C828" s="125">
        <v>44118</v>
      </c>
      <c r="D828" s="124">
        <v>5418</v>
      </c>
      <c r="E828" s="124" t="s">
        <v>267</v>
      </c>
    </row>
    <row r="829" spans="1:5">
      <c r="A829" s="124" t="s">
        <v>41</v>
      </c>
      <c r="B829" s="124" t="str">
        <f>IFERROR(VLOOKUP(Tablo8[[#This Row],[ ÜRÜN KODU]],YMKODLARI!$A$1:$H$383,2,0)," " )</f>
        <v>AKITMAZ BİBERON UCU</v>
      </c>
      <c r="C829" s="125">
        <v>44120</v>
      </c>
      <c r="D829" s="124">
        <v>3000</v>
      </c>
      <c r="E829" s="124" t="s">
        <v>267</v>
      </c>
    </row>
    <row r="830" spans="1:5">
      <c r="A830" s="124" t="s">
        <v>34</v>
      </c>
      <c r="B830" s="124" t="str">
        <f>IFERROR(VLOOKUP(Tablo8[[#This Row],[ ÜRÜN KODU]],YMKODLARI!$A$1:$H$383,2,0)," " )</f>
        <v>BİBERON KLASİK  UC 1 NO</v>
      </c>
      <c r="C830" s="125">
        <v>44120</v>
      </c>
      <c r="D830" s="124">
        <v>12000</v>
      </c>
      <c r="E830" s="124" t="s">
        <v>267</v>
      </c>
    </row>
    <row r="831" spans="1:5">
      <c r="A831" s="124" t="s">
        <v>556</v>
      </c>
      <c r="B831" s="124" t="str">
        <f>IFERROR(VLOOKUP(Tablo8[[#This Row],[ ÜRÜN KODU]],YMKODLARI!$A$1:$H$383,2,0)," " )</f>
        <v>KARE SAKLAMA KABI NO 2</v>
      </c>
      <c r="C831" s="125">
        <v>44120</v>
      </c>
      <c r="D831" s="124">
        <v>1500</v>
      </c>
      <c r="E831" s="124" t="s">
        <v>267</v>
      </c>
    </row>
    <row r="832" spans="1:5">
      <c r="A832" s="124" t="s">
        <v>83</v>
      </c>
      <c r="B832" s="124" t="str">
        <f>IFERROR(VLOOKUP(Tablo8[[#This Row],[ ÜRÜN KODU]],YMKODLARI!$A$1:$H$383,2,0)," " )</f>
        <v>DAMAK EMZİK SAP</v>
      </c>
      <c r="C832" s="125">
        <v>44120</v>
      </c>
      <c r="D832" s="124">
        <v>3000</v>
      </c>
      <c r="E832" s="124" t="s">
        <v>267</v>
      </c>
    </row>
    <row r="833" spans="1:5">
      <c r="A833" s="124" t="s">
        <v>84</v>
      </c>
      <c r="B833" s="124" t="str">
        <f>IFERROR(VLOOKUP(Tablo8[[#This Row],[ ÜRÜN KODU]],YMKODLARI!$A$1:$H$383,2,0)," " )</f>
        <v>DAMAK EMZİK SAP</v>
      </c>
      <c r="C833" s="125">
        <v>44120</v>
      </c>
      <c r="D833" s="124">
        <v>4072</v>
      </c>
      <c r="E833" s="124" t="s">
        <v>267</v>
      </c>
    </row>
    <row r="834" spans="1:5">
      <c r="A834" s="124" t="s">
        <v>70</v>
      </c>
      <c r="B834" s="124" t="str">
        <f>IFERROR(VLOOKUP(Tablo8[[#This Row],[ ÜRÜN KODU]],YMKODLARI!$A$1:$H$383,2,0)," " )</f>
        <v>DAMAK EMZİK SAP</v>
      </c>
      <c r="C834" s="125">
        <v>44120</v>
      </c>
      <c r="D834" s="124">
        <v>15440</v>
      </c>
      <c r="E834" s="124" t="s">
        <v>267</v>
      </c>
    </row>
    <row r="835" spans="1:5">
      <c r="A835" s="124" t="s">
        <v>85</v>
      </c>
      <c r="B835" s="124" t="str">
        <f>IFERROR(VLOOKUP(Tablo8[[#This Row],[ ÜRÜN KODU]],YMKODLARI!$A$1:$H$383,2,0)," " )</f>
        <v>DAMAK EMZİK SAP</v>
      </c>
      <c r="C835" s="125">
        <v>44120</v>
      </c>
      <c r="D835" s="124">
        <v>4020</v>
      </c>
      <c r="E835" s="124" t="s">
        <v>267</v>
      </c>
    </row>
    <row r="836" spans="1:5">
      <c r="A836" s="124" t="s">
        <v>86</v>
      </c>
      <c r="B836" s="124" t="str">
        <f>IFERROR(VLOOKUP(Tablo8[[#This Row],[ ÜRÜN KODU]],YMKODLARI!$A$1:$H$383,2,0)," " )</f>
        <v>DAMAK EMZİK SAP</v>
      </c>
      <c r="C836" s="125">
        <v>44120</v>
      </c>
      <c r="D836" s="124">
        <v>14000</v>
      </c>
      <c r="E836" s="124" t="s">
        <v>267</v>
      </c>
    </row>
    <row r="837" spans="1:5">
      <c r="A837" s="124" t="s">
        <v>163</v>
      </c>
      <c r="B837" s="124" t="str">
        <f>IFERROR(VLOOKUP(Tablo8[[#This Row],[ ÜRÜN KODU]],YMKODLARI!$A$1:$H$383,2,0)," " )</f>
        <v>DAMAK EMZİK GÖVDE</v>
      </c>
      <c r="C837" s="125">
        <v>44120</v>
      </c>
      <c r="D837" s="124">
        <v>2854</v>
      </c>
      <c r="E837" s="124" t="s">
        <v>267</v>
      </c>
    </row>
    <row r="838" spans="1:5">
      <c r="A838" s="124" t="s">
        <v>125</v>
      </c>
      <c r="B838" s="124" t="str">
        <f>IFERROR(VLOOKUP(Tablo8[[#This Row],[ ÜRÜN KODU]],YMKODLARI!$A$1:$H$383,2,0)," " )</f>
        <v>DAMAK EMZİK GÖVDE</v>
      </c>
      <c r="C838" s="125">
        <v>44120</v>
      </c>
      <c r="D838" s="124">
        <v>1000</v>
      </c>
      <c r="E838" s="124" t="s">
        <v>267</v>
      </c>
    </row>
    <row r="839" spans="1:5">
      <c r="A839" s="124" t="s">
        <v>128</v>
      </c>
      <c r="B839" s="124" t="str">
        <f>IFERROR(VLOOKUP(Tablo8[[#This Row],[ ÜRÜN KODU]],YMKODLARI!$A$1:$H$383,2,0)," " )</f>
        <v>DAMAK EMZİK GÖVDE</v>
      </c>
      <c r="C839" s="125">
        <v>44120</v>
      </c>
      <c r="D839" s="124">
        <v>1148</v>
      </c>
      <c r="E839" s="124" t="s">
        <v>267</v>
      </c>
    </row>
    <row r="840" spans="1:5">
      <c r="A840" s="124" t="s">
        <v>124</v>
      </c>
      <c r="B840" s="124" t="str">
        <f>IFERROR(VLOOKUP(Tablo8[[#This Row],[ ÜRÜN KODU]],YMKODLARI!$A$1:$H$383,2,0)," " )</f>
        <v>DAMAK EMZİK GÖVDE</v>
      </c>
      <c r="C840" s="125">
        <v>44120</v>
      </c>
      <c r="D840" s="124">
        <v>7040</v>
      </c>
      <c r="E840" s="124" t="s">
        <v>267</v>
      </c>
    </row>
    <row r="841" spans="1:5">
      <c r="A841" s="124" t="s">
        <v>34</v>
      </c>
      <c r="B841" s="124" t="str">
        <f>IFERROR(VLOOKUP(Tablo8[[#This Row],[ ÜRÜN KODU]],YMKODLARI!$A$1:$H$383,2,0)," " )</f>
        <v>BİBERON KLASİK  UC 1 NO</v>
      </c>
      <c r="C841" s="125">
        <v>44123</v>
      </c>
      <c r="D841" s="124">
        <v>9000</v>
      </c>
      <c r="E841" s="124" t="s">
        <v>267</v>
      </c>
    </row>
    <row r="842" spans="1:5">
      <c r="A842" s="124" t="s">
        <v>554</v>
      </c>
      <c r="B842" s="124" t="str">
        <f>IFERROR(VLOOKUP(Tablo8[[#This Row],[ ÜRÜN KODU]],YMKODLARI!$A$1:$H$383,2,0)," " )</f>
        <v>KLASİK EMZİK SAP</v>
      </c>
      <c r="C842" s="125">
        <v>44123</v>
      </c>
      <c r="D842" s="124">
        <v>6620</v>
      </c>
      <c r="E842" s="124" t="s">
        <v>267</v>
      </c>
    </row>
    <row r="843" spans="1:5">
      <c r="A843" s="124" t="s">
        <v>578</v>
      </c>
      <c r="B843" s="124" t="str">
        <f>IFERROR(VLOOKUP(Tablo8[[#This Row],[ ÜRÜN KODU]],YMKODLARI!$A$1:$H$383,2,0)," " )</f>
        <v>KLASİK EMZİK GÖVDE</v>
      </c>
      <c r="C843" s="125">
        <v>44123</v>
      </c>
      <c r="D843" s="124">
        <v>5000</v>
      </c>
      <c r="E843" s="124" t="s">
        <v>267</v>
      </c>
    </row>
    <row r="844" spans="1:5">
      <c r="A844" s="124" t="s">
        <v>86</v>
      </c>
      <c r="B844" s="124" t="str">
        <f>IFERROR(VLOOKUP(Tablo8[[#This Row],[ ÜRÜN KODU]],YMKODLARI!$A$1:$H$383,2,0)," " )</f>
        <v>DAMAK EMZİK SAP</v>
      </c>
      <c r="C844" s="125">
        <v>44123</v>
      </c>
      <c r="D844" s="124">
        <v>1240</v>
      </c>
      <c r="E844" s="124" t="s">
        <v>267</v>
      </c>
    </row>
    <row r="845" spans="1:5">
      <c r="A845" s="124" t="s">
        <v>126</v>
      </c>
      <c r="B845" s="124" t="str">
        <f>IFERROR(VLOOKUP(Tablo8[[#This Row],[ ÜRÜN KODU]],YMKODLARI!$A$1:$H$383,2,0)," " )</f>
        <v>DAMAK EMZİK GÖVDE</v>
      </c>
      <c r="C845" s="125">
        <v>44123</v>
      </c>
      <c r="D845" s="124">
        <v>4376</v>
      </c>
      <c r="E845" s="124" t="s">
        <v>267</v>
      </c>
    </row>
    <row r="846" spans="1:5">
      <c r="A846" s="124" t="s">
        <v>127</v>
      </c>
      <c r="B846" s="124" t="str">
        <f>IFERROR(VLOOKUP(Tablo8[[#This Row],[ ÜRÜN KODU]],YMKODLARI!$A$1:$H$383,2,0)," " )</f>
        <v>DAMAK EMZİK GÖVDE</v>
      </c>
      <c r="C846" s="125">
        <v>44123</v>
      </c>
      <c r="D846" s="124">
        <v>1275</v>
      </c>
      <c r="E846" s="124" t="s">
        <v>267</v>
      </c>
    </row>
    <row r="847" spans="1:5">
      <c r="A847" s="124" t="s">
        <v>344</v>
      </c>
      <c r="B847" s="124" t="str">
        <f>IFERROR(VLOOKUP(Tablo8[[#This Row],[ ÜRÜN KODU]],YMKODLARI!$A$1:$H$383,2,0)," " )</f>
        <v>125 ml BOMBELİ BİBERON KULP</v>
      </c>
      <c r="C847" s="125">
        <v>44123</v>
      </c>
      <c r="D847" s="124">
        <v>500</v>
      </c>
      <c r="E847" s="124" t="s">
        <v>267</v>
      </c>
    </row>
    <row r="848" spans="1:5">
      <c r="A848" s="124" t="s">
        <v>42</v>
      </c>
      <c r="B848" s="124" t="str">
        <f>IFERROR(VLOOKUP(Tablo8[[#This Row],[ ÜRÜN KODU]],YMKODLARI!$A$1:$H$383,2,0)," " )</f>
        <v>DAMAK EMZİK UCU 2 NO</v>
      </c>
      <c r="C848" s="125">
        <v>44125</v>
      </c>
      <c r="D848" s="124">
        <v>18000</v>
      </c>
      <c r="E848" s="124" t="s">
        <v>267</v>
      </c>
    </row>
    <row r="849" spans="1:5">
      <c r="A849" s="124" t="s">
        <v>34</v>
      </c>
      <c r="B849" s="124" t="str">
        <f>IFERROR(VLOOKUP(Tablo8[[#This Row],[ ÜRÜN KODU]],YMKODLARI!$A$1:$H$383,2,0)," " )</f>
        <v>BİBERON KLASİK  UC 1 NO</v>
      </c>
      <c r="C849" s="125">
        <v>44125</v>
      </c>
      <c r="D849" s="124">
        <v>9000</v>
      </c>
      <c r="E849" s="124" t="s">
        <v>267</v>
      </c>
    </row>
    <row r="850" spans="1:5">
      <c r="A850" s="124" t="s">
        <v>135</v>
      </c>
      <c r="B850" s="124" t="str">
        <f>IFERROR(VLOOKUP(Tablo8[[#This Row],[ ÜRÜN KODU]],YMKODLARI!$A$1:$H$383,2,0)," " )</f>
        <v>KLASİK EMZİK GÖVDE</v>
      </c>
      <c r="C850" s="125">
        <v>44125</v>
      </c>
      <c r="D850" s="124">
        <v>15340</v>
      </c>
      <c r="E850" s="124" t="s">
        <v>267</v>
      </c>
    </row>
    <row r="851" spans="1:5">
      <c r="A851" s="124" t="s">
        <v>577</v>
      </c>
      <c r="B851" s="124" t="str">
        <f>IFERROR(VLOOKUP(Tablo8[[#This Row],[ ÜRÜN KODU]],YMKODLARI!$A$1:$H$383,2,0)," " )</f>
        <v>KLASİK EMZİK GÖVDE</v>
      </c>
      <c r="C851" s="125">
        <v>44125</v>
      </c>
      <c r="D851" s="124">
        <v>7175</v>
      </c>
      <c r="E851" s="124" t="s">
        <v>267</v>
      </c>
    </row>
    <row r="852" spans="1:5">
      <c r="A852" s="124" t="s">
        <v>578</v>
      </c>
      <c r="B852" s="124" t="str">
        <f>IFERROR(VLOOKUP(Tablo8[[#This Row],[ ÜRÜN KODU]],YMKODLARI!$A$1:$H$383,2,0)," " )</f>
        <v>KLASİK EMZİK GÖVDE</v>
      </c>
      <c r="C852" s="125">
        <v>44125</v>
      </c>
      <c r="D852" s="124">
        <v>2720</v>
      </c>
      <c r="E852" s="124" t="s">
        <v>267</v>
      </c>
    </row>
    <row r="853" spans="1:5">
      <c r="A853" s="124" t="s">
        <v>345</v>
      </c>
      <c r="B853" s="124" t="str">
        <f>IFERROR(VLOOKUP(Tablo8[[#This Row],[ ÜRÜN KODU]],YMKODLARI!$A$1:$H$383,2,0)," " )</f>
        <v>125 ml BOMBELİ BİBERON KULP</v>
      </c>
      <c r="C853" s="125">
        <v>44125</v>
      </c>
      <c r="D853" s="124">
        <v>1000</v>
      </c>
      <c r="E853" s="124" t="s">
        <v>267</v>
      </c>
    </row>
    <row r="854" spans="1:5">
      <c r="A854" s="124" t="s">
        <v>344</v>
      </c>
      <c r="B854" s="124" t="str">
        <f>IFERROR(VLOOKUP(Tablo8[[#This Row],[ ÜRÜN KODU]],YMKODLARI!$A$1:$H$383,2,0)," " )</f>
        <v>125 ml BOMBELİ BİBERON KULP</v>
      </c>
      <c r="C854" s="125">
        <v>44125</v>
      </c>
      <c r="D854" s="124">
        <v>284</v>
      </c>
      <c r="E854" s="124" t="s">
        <v>267</v>
      </c>
    </row>
    <row r="855" spans="1:5">
      <c r="A855" s="124" t="s">
        <v>576</v>
      </c>
      <c r="B855" s="124" t="str">
        <f>IFERROR(VLOOKUP(Tablo8[[#This Row],[ ÜRÜN KODU]],YMKODLARI!$A$1:$H$383,2,0)," " )</f>
        <v>KLASİK EMZİK SAP</v>
      </c>
      <c r="C855" s="125">
        <v>44125</v>
      </c>
      <c r="D855" s="124">
        <v>7360</v>
      </c>
      <c r="E855" s="124" t="s">
        <v>267</v>
      </c>
    </row>
    <row r="856" spans="1:5">
      <c r="A856" s="124" t="s">
        <v>306</v>
      </c>
      <c r="B856" s="124" t="str">
        <f>IFERROR(VLOOKUP(Tablo8[[#This Row],[ ÜRÜN KODU]],YMKODLARI!$A$1:$H$383,2,0)," " )</f>
        <v>KLASİK EMZİK SAP</v>
      </c>
      <c r="C856" s="125">
        <v>44125</v>
      </c>
      <c r="D856" s="124">
        <v>14000</v>
      </c>
      <c r="E856" s="124" t="s">
        <v>267</v>
      </c>
    </row>
    <row r="857" spans="1:5">
      <c r="A857" s="124" t="s">
        <v>560</v>
      </c>
      <c r="B857" s="124" t="str">
        <f>IFERROR(VLOOKUP(Tablo8[[#This Row],[ ÜRÜN KODU]],YMKODLARI!$A$1:$H$383,2,0)," " )</f>
        <v>YUVARLAK SAKLAMA KABI KAPAĞI 1</v>
      </c>
      <c r="C857" s="125">
        <v>44125</v>
      </c>
      <c r="D857" s="124">
        <v>4082</v>
      </c>
      <c r="E857" s="124" t="s">
        <v>267</v>
      </c>
    </row>
    <row r="858" spans="1:5">
      <c r="A858" s="124" t="s">
        <v>34</v>
      </c>
      <c r="B858" s="124" t="str">
        <f>IFERROR(VLOOKUP(Tablo8[[#This Row],[ ÜRÜN KODU]],YMKODLARI!$A$1:$H$383,2,0)," " )</f>
        <v>BİBERON KLASİK  UC 1 NO</v>
      </c>
      <c r="C858" s="125">
        <v>44127</v>
      </c>
      <c r="D858" s="124">
        <v>18890</v>
      </c>
      <c r="E858" s="124" t="s">
        <v>267</v>
      </c>
    </row>
    <row r="859" spans="1:5">
      <c r="A859" s="124" t="s">
        <v>42</v>
      </c>
      <c r="B859" s="124" t="str">
        <f>IFERROR(VLOOKUP(Tablo8[[#This Row],[ ÜRÜN KODU]],YMKODLARI!$A$1:$H$383,2,0)," " )</f>
        <v>DAMAK EMZİK UCU 2 NO</v>
      </c>
      <c r="C859" s="125">
        <v>44127</v>
      </c>
      <c r="D859" s="124">
        <v>14000</v>
      </c>
      <c r="E859" s="124" t="s">
        <v>267</v>
      </c>
    </row>
    <row r="860" spans="1:5">
      <c r="A860" s="124" t="s">
        <v>136</v>
      </c>
      <c r="B860" s="124" t="str">
        <f>IFERROR(VLOOKUP(Tablo8[[#This Row],[ ÜRÜN KODU]],YMKODLARI!$A$1:$H$383,2,0)," " )</f>
        <v>DAMAK EMZİK TIPA</v>
      </c>
      <c r="C860" s="125">
        <v>44127</v>
      </c>
      <c r="D860" s="124">
        <v>20000</v>
      </c>
      <c r="E860" s="124" t="s">
        <v>267</v>
      </c>
    </row>
    <row r="861" spans="1:5">
      <c r="A861" s="124" t="s">
        <v>193</v>
      </c>
      <c r="B861" s="124" t="str">
        <f>IFERROR(VLOOKUP(Tablo8[[#This Row],[ ÜRÜN KODU]],YMKODLARI!$A$1:$H$383,2,0)," " )</f>
        <v>KİRAZ EMZİK TIPA</v>
      </c>
      <c r="C861" s="125">
        <v>44130</v>
      </c>
      <c r="D861" s="124">
        <v>5000</v>
      </c>
      <c r="E861" s="124" t="s">
        <v>267</v>
      </c>
    </row>
    <row r="862" spans="1:5">
      <c r="A862" s="124" t="s">
        <v>571</v>
      </c>
      <c r="B862" s="124" t="str">
        <f>IFERROR(VLOOKUP(Tablo8[[#This Row],[ ÜRÜN KODU]],YMKODLARI!$A$1:$H$383,2,0)," " )</f>
        <v xml:space="preserve">TİRLE POMPA </v>
      </c>
      <c r="C862" s="125">
        <v>44130</v>
      </c>
      <c r="D862" s="124">
        <v>800</v>
      </c>
      <c r="E862" s="124" t="s">
        <v>267</v>
      </c>
    </row>
    <row r="863" spans="1:5">
      <c r="A863" s="124" t="s">
        <v>136</v>
      </c>
      <c r="B863" s="124" t="str">
        <f>IFERROR(VLOOKUP(Tablo8[[#This Row],[ ÜRÜN KODU]],YMKODLARI!$A$1:$H$383,2,0)," " )</f>
        <v>DAMAK EMZİK TIPA</v>
      </c>
      <c r="C863" s="125">
        <v>44130</v>
      </c>
      <c r="D863" s="124">
        <v>2215</v>
      </c>
      <c r="E863" s="124" t="s">
        <v>267</v>
      </c>
    </row>
    <row r="864" spans="1:5">
      <c r="A864" s="124" t="s">
        <v>34</v>
      </c>
      <c r="B864" s="124" t="str">
        <f>IFERROR(VLOOKUP(Tablo8[[#This Row],[ ÜRÜN KODU]],YMKODLARI!$A$1:$H$383,2,0)," " )</f>
        <v>BİBERON KLASİK  UC 1 NO</v>
      </c>
      <c r="C864" s="125">
        <v>44131</v>
      </c>
      <c r="D864" s="124">
        <v>2000</v>
      </c>
      <c r="E864" s="124" t="s">
        <v>267</v>
      </c>
    </row>
    <row r="865" spans="1:5">
      <c r="A865" s="124" t="s">
        <v>26</v>
      </c>
      <c r="B865" s="124" t="str">
        <f>IFERROR(VLOOKUP(Tablo8[[#This Row],[ ÜRÜN KODU]],YMKODLARI!$A$1:$H$383,2,0)," " )</f>
        <v>DAMAK EMZİK UCU 1 NO</v>
      </c>
      <c r="C865" s="125">
        <v>44131</v>
      </c>
      <c r="D865" s="124">
        <v>14000</v>
      </c>
      <c r="E865" s="124" t="s">
        <v>267</v>
      </c>
    </row>
    <row r="866" spans="1:5">
      <c r="A866" s="124" t="s">
        <v>193</v>
      </c>
      <c r="B866" s="124" t="str">
        <f>IFERROR(VLOOKUP(Tablo8[[#This Row],[ ÜRÜN KODU]],YMKODLARI!$A$1:$H$383,2,0)," " )</f>
        <v>KİRAZ EMZİK TIPA</v>
      </c>
      <c r="C866" s="125">
        <v>44131</v>
      </c>
      <c r="D866" s="124">
        <v>17500</v>
      </c>
      <c r="E866" s="124" t="s">
        <v>267</v>
      </c>
    </row>
    <row r="867" spans="1:5">
      <c r="A867" s="124" t="s">
        <v>571</v>
      </c>
      <c r="B867" s="124" t="str">
        <f>IFERROR(VLOOKUP(Tablo8[[#This Row],[ ÜRÜN KODU]],YMKODLARI!$A$1:$H$383,2,0)," " )</f>
        <v xml:space="preserve">TİRLE POMPA </v>
      </c>
      <c r="C867" s="125">
        <v>44131</v>
      </c>
      <c r="D867" s="124">
        <v>2600</v>
      </c>
      <c r="E867" s="124" t="s">
        <v>267</v>
      </c>
    </row>
    <row r="868" spans="1:5">
      <c r="A868" s="124" t="s">
        <v>571</v>
      </c>
      <c r="B868" s="124" t="str">
        <f>IFERROR(VLOOKUP(Tablo8[[#This Row],[ ÜRÜN KODU]],YMKODLARI!$A$1:$H$383,2,0)," " )</f>
        <v xml:space="preserve">TİRLE POMPA </v>
      </c>
      <c r="C868" s="125">
        <v>44131</v>
      </c>
      <c r="D868" s="124">
        <v>633</v>
      </c>
      <c r="E868" s="124" t="s">
        <v>267</v>
      </c>
    </row>
    <row r="869" spans="1:5">
      <c r="A869" s="124" t="s">
        <v>572</v>
      </c>
      <c r="B869" s="124" t="str">
        <f>IFERROR(VLOOKUP(Tablo8[[#This Row],[ ÜRÜN KODU]],YMKODLARI!$A$1:$H$383,2,0)," " )</f>
        <v xml:space="preserve">TİRLE POMPA </v>
      </c>
      <c r="C869" s="125">
        <v>44131</v>
      </c>
      <c r="D869" s="124">
        <v>400</v>
      </c>
      <c r="E869" s="124" t="s">
        <v>267</v>
      </c>
    </row>
    <row r="870" spans="1:5">
      <c r="A870" s="124" t="s">
        <v>31</v>
      </c>
      <c r="B870" s="124" t="str">
        <f>IFERROR(VLOOKUP(Tablo8[[#This Row],[ ÜRÜN KODU]],YMKODLARI!$A$1:$H$383,2,0)," " )</f>
        <v>KLASİK EMZİK UÇ NO 2</v>
      </c>
      <c r="C870" s="125">
        <v>44131</v>
      </c>
      <c r="D870" s="124">
        <v>12000</v>
      </c>
      <c r="E870" s="124" t="s">
        <v>267</v>
      </c>
    </row>
    <row r="871" spans="1:5">
      <c r="A871" s="124" t="s">
        <v>26</v>
      </c>
      <c r="B871" s="124" t="str">
        <f>IFERROR(VLOOKUP(Tablo8[[#This Row],[ ÜRÜN KODU]],YMKODLARI!$A$1:$H$383,2,0)," " )</f>
        <v>DAMAK EMZİK UCU 1 NO</v>
      </c>
      <c r="C871" s="125">
        <v>44131</v>
      </c>
      <c r="D871" s="124">
        <v>6000</v>
      </c>
      <c r="E871" s="124" t="s">
        <v>267</v>
      </c>
    </row>
    <row r="872" spans="1:5">
      <c r="A872" s="124" t="s">
        <v>193</v>
      </c>
      <c r="B872" s="124" t="str">
        <f>IFERROR(VLOOKUP(Tablo8[[#This Row],[ ÜRÜN KODU]],YMKODLARI!$A$1:$H$383,2,0)," " )</f>
        <v>KİRAZ EMZİK TIPA</v>
      </c>
      <c r="C872" s="125">
        <v>44131</v>
      </c>
      <c r="D872" s="124">
        <v>12500</v>
      </c>
      <c r="E872" s="124" t="s">
        <v>267</v>
      </c>
    </row>
    <row r="873" spans="1:5">
      <c r="A873" s="124" t="s">
        <v>26</v>
      </c>
      <c r="B873" s="124" t="str">
        <f>IFERROR(VLOOKUP(Tablo8[[#This Row],[ ÜRÜN KODU]],YMKODLARI!$A$1:$H$383,2,0)," " )</f>
        <v>DAMAK EMZİK UCU 1 NO</v>
      </c>
      <c r="C873" s="125">
        <v>44134</v>
      </c>
      <c r="D873" s="124">
        <v>7000</v>
      </c>
      <c r="E873" s="124" t="s">
        <v>267</v>
      </c>
    </row>
    <row r="874" spans="1:5">
      <c r="A874" s="124" t="s">
        <v>31</v>
      </c>
      <c r="B874" s="124" t="str">
        <f>IFERROR(VLOOKUP(Tablo8[[#This Row],[ ÜRÜN KODU]],YMKODLARI!$A$1:$H$383,2,0)," " )</f>
        <v>KLASİK EMZİK UÇ NO 2</v>
      </c>
      <c r="C874" s="125">
        <v>44134</v>
      </c>
      <c r="D874" s="124">
        <v>7000</v>
      </c>
      <c r="E874" s="124" t="s">
        <v>267</v>
      </c>
    </row>
    <row r="875" spans="1:5">
      <c r="A875" s="124" t="s">
        <v>210</v>
      </c>
      <c r="B875" s="124" t="str">
        <f>IFERROR(VLOOKUP(Tablo8[[#This Row],[ ÜRÜN KODU]],YMKODLARI!$A$1:$H$383,2,0)," " )</f>
        <v xml:space="preserve"> BİBERON VİDA</v>
      </c>
      <c r="C875" s="125">
        <v>44134</v>
      </c>
      <c r="D875" s="124">
        <v>7000</v>
      </c>
      <c r="E875" s="124" t="s">
        <v>267</v>
      </c>
    </row>
    <row r="876" spans="1:5">
      <c r="A876" s="124" t="s">
        <v>572</v>
      </c>
      <c r="B876" s="124" t="str">
        <f>IFERROR(VLOOKUP(Tablo8[[#This Row],[ ÜRÜN KODU]],YMKODLARI!$A$1:$H$383,2,0)," " )</f>
        <v xml:space="preserve">TİRLE POMPA </v>
      </c>
      <c r="C876" s="125">
        <v>44134</v>
      </c>
      <c r="D876" s="124">
        <v>2400</v>
      </c>
      <c r="E876" s="124" t="s">
        <v>267</v>
      </c>
    </row>
    <row r="877" spans="1:5">
      <c r="A877" s="124" t="s">
        <v>193</v>
      </c>
      <c r="B877" s="124" t="str">
        <f>IFERROR(VLOOKUP(Tablo8[[#This Row],[ ÜRÜN KODU]],YMKODLARI!$A$1:$H$383,2,0)," " )</f>
        <v>KİRAZ EMZİK TIPA</v>
      </c>
      <c r="C877" s="125">
        <v>44134</v>
      </c>
      <c r="D877" s="124">
        <v>2629</v>
      </c>
      <c r="E877" s="124" t="s">
        <v>267</v>
      </c>
    </row>
    <row r="878" spans="1:5">
      <c r="A878" s="124" t="s">
        <v>26</v>
      </c>
      <c r="B878" s="124" t="str">
        <f>IFERROR(VLOOKUP(Tablo8[[#This Row],[ ÜRÜN KODU]],YMKODLARI!$A$1:$H$383,2,0)," " )</f>
        <v>DAMAK EMZİK UCU 1 NO</v>
      </c>
      <c r="C878" s="125">
        <v>44137</v>
      </c>
      <c r="D878" s="124">
        <v>6730</v>
      </c>
      <c r="E878" s="124" t="s">
        <v>584</v>
      </c>
    </row>
    <row r="879" spans="1:5">
      <c r="A879" s="124" t="s">
        <v>31</v>
      </c>
      <c r="B879" s="124" t="str">
        <f>IFERROR(VLOOKUP(Tablo8[[#This Row],[ ÜRÜN KODU]],YMKODLARI!$A$1:$H$383,2,0)," " )</f>
        <v>KLASİK EMZİK UÇ NO 2</v>
      </c>
      <c r="C879" s="125">
        <v>44137</v>
      </c>
      <c r="D879" s="124">
        <v>8750</v>
      </c>
      <c r="E879" s="124" t="s">
        <v>584</v>
      </c>
    </row>
    <row r="880" spans="1:5">
      <c r="A880" s="124" t="s">
        <v>210</v>
      </c>
      <c r="B880" s="124" t="str">
        <f>IFERROR(VLOOKUP(Tablo8[[#This Row],[ ÜRÜN KODU]],YMKODLARI!$A$1:$H$383,2,0)," " )</f>
        <v xml:space="preserve"> BİBERON VİDA</v>
      </c>
      <c r="C880" s="125">
        <v>44137</v>
      </c>
      <c r="D880" s="124">
        <v>1105</v>
      </c>
      <c r="E880" s="124" t="s">
        <v>584</v>
      </c>
    </row>
    <row r="881" spans="1:5">
      <c r="A881" s="124" t="s">
        <v>211</v>
      </c>
      <c r="B881" s="124" t="str">
        <f>IFERROR(VLOOKUP(Tablo8[[#This Row],[ ÜRÜN KODU]],YMKODLARI!$A$1:$H$383,2,0)," " )</f>
        <v xml:space="preserve"> BİBERON VİDA</v>
      </c>
      <c r="C881" s="125">
        <v>44137</v>
      </c>
      <c r="D881" s="124">
        <v>3000</v>
      </c>
      <c r="E881" s="124" t="s">
        <v>584</v>
      </c>
    </row>
    <row r="882" spans="1:5">
      <c r="A882" s="124" t="s">
        <v>572</v>
      </c>
      <c r="B882" s="124" t="str">
        <f>IFERROR(VLOOKUP(Tablo8[[#This Row],[ ÜRÜN KODU]],YMKODLARI!$A$1:$H$383,2,0)," " )</f>
        <v xml:space="preserve">TİRLE POMPA </v>
      </c>
      <c r="C882" s="125">
        <v>44137</v>
      </c>
      <c r="D882" s="124">
        <v>1000</v>
      </c>
      <c r="E882" s="124" t="s">
        <v>584</v>
      </c>
    </row>
    <row r="883" spans="1:5">
      <c r="A883" s="124" t="s">
        <v>213</v>
      </c>
      <c r="B883" s="124" t="str">
        <f>IFERROR(VLOOKUP(Tablo8[[#This Row],[ ÜRÜN KODU]],YMKODLARI!$A$1:$H$383,2,0)," " )</f>
        <v>GENİŞ AĞIZ BİBERON KAPAĞI</v>
      </c>
      <c r="C883" s="125">
        <v>44137</v>
      </c>
      <c r="D883" s="124">
        <v>1200</v>
      </c>
      <c r="E883" s="124" t="s">
        <v>584</v>
      </c>
    </row>
    <row r="884" spans="1:5">
      <c r="A884" s="124"/>
      <c r="B884" s="124" t="str">
        <f>IFERROR(VLOOKUP(Tablo8[[#This Row],[ ÜRÜN KODU]],YMKODLARI!$A$1:$H$383,2,0)," " )</f>
        <v xml:space="preserve"> </v>
      </c>
      <c r="C884" s="125"/>
      <c r="D884" s="124"/>
      <c r="E884" s="124"/>
    </row>
    <row r="885" spans="1:5">
      <c r="A885" s="124"/>
      <c r="B885" s="124" t="str">
        <f>IFERROR(VLOOKUP(Tablo8[[#This Row],[ ÜRÜN KODU]],YMKODLARI!$A$1:$H$383,2,0)," " )</f>
        <v xml:space="preserve"> </v>
      </c>
      <c r="C885" s="125"/>
      <c r="D885" s="124"/>
      <c r="E885" s="124"/>
    </row>
    <row r="886" spans="1:5">
      <c r="A886" s="124"/>
      <c r="B886" s="124" t="str">
        <f>IFERROR(VLOOKUP(Tablo8[[#This Row],[ ÜRÜN KODU]],YMKODLARI!$A$1:$H$383,2,0)," " )</f>
        <v xml:space="preserve"> </v>
      </c>
      <c r="C886" s="125"/>
      <c r="D886" s="124"/>
      <c r="E886" s="124"/>
    </row>
    <row r="887" spans="1:5">
      <c r="A887" s="124"/>
      <c r="B887" s="124" t="str">
        <f>IFERROR(VLOOKUP(Tablo8[[#This Row],[ ÜRÜN KODU]],YMKODLARI!$A$1:$H$383,2,0)," " )</f>
        <v xml:space="preserve"> </v>
      </c>
      <c r="C887" s="125"/>
      <c r="D887" s="124"/>
      <c r="E887" s="124"/>
    </row>
    <row r="888" spans="1:5">
      <c r="A888" s="124"/>
      <c r="B888" s="124" t="str">
        <f>IFERROR(VLOOKUP(Tablo8[[#This Row],[ ÜRÜN KODU]],YMKODLARI!$A$1:$H$383,2,0)," " )</f>
        <v xml:space="preserve"> </v>
      </c>
      <c r="C888" s="125"/>
      <c r="D888" s="124"/>
      <c r="E888" s="124"/>
    </row>
    <row r="889" spans="1:5">
      <c r="A889" s="124"/>
      <c r="B889" s="124" t="str">
        <f>IFERROR(VLOOKUP(Tablo8[[#This Row],[ ÜRÜN KODU]],YMKODLARI!$A$1:$H$383,2,0)," " )</f>
        <v xml:space="preserve"> </v>
      </c>
      <c r="C889" s="125"/>
      <c r="D889" s="124"/>
      <c r="E889" s="124"/>
    </row>
    <row r="890" spans="1:5">
      <c r="A890" s="124"/>
      <c r="B890" s="124" t="str">
        <f>IFERROR(VLOOKUP(Tablo8[[#This Row],[ ÜRÜN KODU]],YMKODLARI!$A$1:$H$383,2,0)," " )</f>
        <v xml:space="preserve"> </v>
      </c>
      <c r="C890" s="125"/>
      <c r="D890" s="124"/>
      <c r="E890" s="124"/>
    </row>
    <row r="891" spans="1:5">
      <c r="A891" s="124"/>
      <c r="B891" s="124" t="str">
        <f>IFERROR(VLOOKUP(Tablo8[[#This Row],[ ÜRÜN KODU]],YMKODLARI!$A$1:$H$383,2,0)," " )</f>
        <v xml:space="preserve"> </v>
      </c>
      <c r="C891" s="125"/>
      <c r="D891" s="124"/>
      <c r="E891" s="124"/>
    </row>
    <row r="892" spans="1:5">
      <c r="A892" s="124"/>
      <c r="B892" s="124" t="str">
        <f>IFERROR(VLOOKUP(Tablo8[[#This Row],[ ÜRÜN KODU]],YMKODLARI!$A$1:$H$383,2,0)," " )</f>
        <v xml:space="preserve"> </v>
      </c>
      <c r="C892" s="125"/>
      <c r="D892" s="124"/>
      <c r="E892" s="124"/>
    </row>
    <row r="893" spans="1:5">
      <c r="A893" s="124"/>
      <c r="B893" s="124" t="str">
        <f>IFERROR(VLOOKUP(Tablo8[[#This Row],[ ÜRÜN KODU]],YMKODLARI!$A$1:$H$383,2,0)," " )</f>
        <v xml:space="preserve"> </v>
      </c>
      <c r="C893" s="125"/>
      <c r="D893" s="124"/>
      <c r="E893" s="124"/>
    </row>
    <row r="894" spans="1:5">
      <c r="A894" s="124"/>
      <c r="B894" s="124" t="str">
        <f>IFERROR(VLOOKUP(Tablo8[[#This Row],[ ÜRÜN KODU]],YMKODLARI!$A$1:$H$383,2,0)," " )</f>
        <v xml:space="preserve"> </v>
      </c>
      <c r="C894" s="125"/>
      <c r="D894" s="124"/>
      <c r="E894" s="124"/>
    </row>
    <row r="895" spans="1:5">
      <c r="A895" s="124"/>
      <c r="B895" s="124" t="str">
        <f>IFERROR(VLOOKUP(Tablo8[[#This Row],[ ÜRÜN KODU]],YMKODLARI!$A$1:$H$383,2,0)," " )</f>
        <v xml:space="preserve"> </v>
      </c>
      <c r="C895" s="125"/>
      <c r="D895" s="124"/>
      <c r="E895" s="124"/>
    </row>
    <row r="896" spans="1:5">
      <c r="A896" s="124"/>
      <c r="B896" s="124" t="str">
        <f>IFERROR(VLOOKUP(Tablo8[[#This Row],[ ÜRÜN KODU]],YMKODLARI!$A$1:$H$383,2,0)," " )</f>
        <v xml:space="preserve"> </v>
      </c>
      <c r="C896" s="125"/>
      <c r="D896" s="124"/>
      <c r="E896" s="124"/>
    </row>
    <row r="897" spans="1:5">
      <c r="A897" s="124"/>
      <c r="B897" s="124" t="str">
        <f>IFERROR(VLOOKUP(Tablo8[[#This Row],[ ÜRÜN KODU]],YMKODLARI!$A$1:$H$383,2,0)," " )</f>
        <v xml:space="preserve"> </v>
      </c>
      <c r="C897" s="125"/>
      <c r="D897" s="124"/>
      <c r="E897" s="124"/>
    </row>
    <row r="898" spans="1:5">
      <c r="A898" s="124"/>
      <c r="B898" s="124" t="str">
        <f>IFERROR(VLOOKUP(Tablo8[[#This Row],[ ÜRÜN KODU]],YMKODLARI!$A$1:$H$383,2,0)," " )</f>
        <v xml:space="preserve"> </v>
      </c>
      <c r="C898" s="125"/>
      <c r="D898" s="124"/>
      <c r="E898" s="124"/>
    </row>
    <row r="899" spans="1:5">
      <c r="A899" s="124"/>
      <c r="B899" s="124" t="str">
        <f>IFERROR(VLOOKUP(Tablo8[[#This Row],[ ÜRÜN KODU]],YMKODLARI!$A$1:$H$383,2,0)," " )</f>
        <v xml:space="preserve"> </v>
      </c>
      <c r="C899" s="125"/>
      <c r="D899" s="124"/>
      <c r="E899" s="124"/>
    </row>
    <row r="900" spans="1:5">
      <c r="A900" s="124"/>
      <c r="B900" s="124" t="str">
        <f>IFERROR(VLOOKUP(Tablo8[[#This Row],[ ÜRÜN KODU]],YMKODLARI!$A$1:$H$383,2,0)," " )</f>
        <v xml:space="preserve"> </v>
      </c>
      <c r="C900" s="125"/>
      <c r="D900" s="124"/>
      <c r="E900" s="124"/>
    </row>
    <row r="901" spans="1:5">
      <c r="A901" s="124"/>
      <c r="B901" s="124" t="str">
        <f>IFERROR(VLOOKUP(Tablo8[[#This Row],[ ÜRÜN KODU]],YMKODLARI!$A$1:$H$383,2,0)," " )</f>
        <v xml:space="preserve"> </v>
      </c>
      <c r="C901" s="125"/>
      <c r="D901" s="124"/>
      <c r="E901" s="124"/>
    </row>
    <row r="902" spans="1:5">
      <c r="A902" s="124"/>
      <c r="B902" s="124" t="str">
        <f>IFERROR(VLOOKUP(Tablo8[[#This Row],[ ÜRÜN KODU]],YMKODLARI!$A$1:$H$383,2,0)," " )</f>
        <v xml:space="preserve"> </v>
      </c>
      <c r="C902" s="125"/>
      <c r="D902" s="124"/>
      <c r="E902" s="124"/>
    </row>
    <row r="903" spans="1:5">
      <c r="A903" s="124"/>
      <c r="B903" s="124" t="str">
        <f>IFERROR(VLOOKUP(Tablo8[[#This Row],[ ÜRÜN KODU]],YMKODLARI!$A$1:$H$383,2,0)," " )</f>
        <v xml:space="preserve"> </v>
      </c>
      <c r="C903" s="125"/>
      <c r="D903" s="124"/>
      <c r="E903" s="124"/>
    </row>
    <row r="904" spans="1:5">
      <c r="A904" s="124"/>
      <c r="B904" s="124" t="str">
        <f>IFERROR(VLOOKUP(Tablo8[[#This Row],[ ÜRÜN KODU]],YMKODLARI!$A$1:$H$383,2,0)," " )</f>
        <v xml:space="preserve"> </v>
      </c>
      <c r="C904" s="125"/>
      <c r="D904" s="124"/>
      <c r="E904" s="124"/>
    </row>
    <row r="905" spans="1:5">
      <c r="A905" s="124"/>
      <c r="B905" s="124" t="str">
        <f>IFERROR(VLOOKUP(Tablo8[[#This Row],[ ÜRÜN KODU]],YMKODLARI!$A$1:$H$383,2,0)," " )</f>
        <v xml:space="preserve"> </v>
      </c>
      <c r="C905" s="125"/>
      <c r="D905" s="124"/>
      <c r="E905" s="124"/>
    </row>
    <row r="906" spans="1:5">
      <c r="A906" s="124"/>
      <c r="B906" s="124" t="str">
        <f>IFERROR(VLOOKUP(Tablo8[[#This Row],[ ÜRÜN KODU]],YMKODLARI!$A$1:$H$383,2,0)," " )</f>
        <v xml:space="preserve"> </v>
      </c>
      <c r="C906" s="125"/>
      <c r="D906" s="124"/>
      <c r="E906" s="124"/>
    </row>
    <row r="907" spans="1:5">
      <c r="A907" s="124"/>
      <c r="B907" s="124" t="str">
        <f>IFERROR(VLOOKUP(Tablo8[[#This Row],[ ÜRÜN KODU]],YMKODLARI!$A$1:$H$383,2,0)," " )</f>
        <v xml:space="preserve"> </v>
      </c>
      <c r="C907" s="125"/>
      <c r="D907" s="124"/>
      <c r="E907" s="124"/>
    </row>
    <row r="908" spans="1:5">
      <c r="A908" s="124"/>
      <c r="B908" s="124" t="str">
        <f>IFERROR(VLOOKUP(Tablo8[[#This Row],[ ÜRÜN KODU]],YMKODLARI!$A$1:$H$383,2,0)," " )</f>
        <v xml:space="preserve"> </v>
      </c>
      <c r="C908" s="125"/>
      <c r="D908" s="124"/>
      <c r="E908" s="124"/>
    </row>
    <row r="909" spans="1:5">
      <c r="A909" s="124"/>
      <c r="B909" s="124" t="str">
        <f>IFERROR(VLOOKUP(Tablo8[[#This Row],[ ÜRÜN KODU]],YMKODLARI!$A$1:$H$383,2,0)," " )</f>
        <v xml:space="preserve"> </v>
      </c>
      <c r="C909" s="125"/>
      <c r="D909" s="124"/>
      <c r="E909" s="124"/>
    </row>
    <row r="910" spans="1:5">
      <c r="A910" s="124"/>
      <c r="B910" s="124" t="str">
        <f>IFERROR(VLOOKUP(Tablo8[[#This Row],[ ÜRÜN KODU]],YMKODLARI!$A$1:$H$383,2,0)," " )</f>
        <v xml:space="preserve"> </v>
      </c>
      <c r="C910" s="125"/>
      <c r="D910" s="124"/>
      <c r="E910" s="124"/>
    </row>
    <row r="911" spans="1:5">
      <c r="A911" s="124"/>
      <c r="B911" s="124" t="str">
        <f>IFERROR(VLOOKUP(Tablo8[[#This Row],[ ÜRÜN KODU]],YMKODLARI!$A$1:$H$383,2,0)," " )</f>
        <v xml:space="preserve"> </v>
      </c>
      <c r="C911" s="125"/>
      <c r="D911" s="124"/>
      <c r="E911" s="124"/>
    </row>
    <row r="912" spans="1:5">
      <c r="A912" s="124"/>
      <c r="B912" s="124" t="str">
        <f>IFERROR(VLOOKUP(Tablo8[[#This Row],[ ÜRÜN KODU]],YMKODLARI!$A$1:$H$383,2,0)," " )</f>
        <v xml:space="preserve"> </v>
      </c>
      <c r="C912" s="125"/>
      <c r="D912" s="124"/>
      <c r="E912" s="124"/>
    </row>
    <row r="913" spans="1:5">
      <c r="A913" s="124"/>
      <c r="B913" s="124" t="str">
        <f>IFERROR(VLOOKUP(Tablo8[[#This Row],[ ÜRÜN KODU]],YMKODLARI!$A$1:$H$383,2,0)," " )</f>
        <v xml:space="preserve"> </v>
      </c>
      <c r="C913" s="125"/>
      <c r="D913" s="124"/>
      <c r="E913" s="124"/>
    </row>
    <row r="914" spans="1:5">
      <c r="A914" s="124"/>
      <c r="B914" s="124" t="str">
        <f>IFERROR(VLOOKUP(Tablo8[[#This Row],[ ÜRÜN KODU]],YMKODLARI!$A$1:$H$383,2,0)," " )</f>
        <v xml:space="preserve"> </v>
      </c>
      <c r="C914" s="125"/>
      <c r="D914" s="124"/>
      <c r="E914" s="124"/>
    </row>
    <row r="915" spans="1:5">
      <c r="A915" s="124"/>
      <c r="B915" s="124" t="str">
        <f>IFERROR(VLOOKUP(Tablo8[[#This Row],[ ÜRÜN KODU]],YMKODLARI!$A$1:$H$383,2,0)," " )</f>
        <v xml:space="preserve"> </v>
      </c>
      <c r="C915" s="125"/>
      <c r="D915" s="124"/>
      <c r="E915" s="124"/>
    </row>
    <row r="916" spans="1:5">
      <c r="A916" s="124"/>
      <c r="B916" s="124" t="str">
        <f>IFERROR(VLOOKUP(Tablo8[[#This Row],[ ÜRÜN KODU]],YMKODLARI!$A$1:$H$383,2,0)," " )</f>
        <v xml:space="preserve"> </v>
      </c>
      <c r="C916" s="125"/>
      <c r="D916" s="124"/>
      <c r="E916" s="124"/>
    </row>
    <row r="917" spans="1:5">
      <c r="A917" s="124"/>
      <c r="B917" s="124" t="str">
        <f>IFERROR(VLOOKUP(Tablo8[[#This Row],[ ÜRÜN KODU]],YMKODLARI!$A$1:$H$383,2,0)," " )</f>
        <v xml:space="preserve"> </v>
      </c>
      <c r="C917" s="125"/>
      <c r="D917" s="124"/>
      <c r="E917" s="124"/>
    </row>
    <row r="918" spans="1:5">
      <c r="A918" s="124"/>
      <c r="B918" s="124" t="str">
        <f>IFERROR(VLOOKUP(Tablo8[[#This Row],[ ÜRÜN KODU]],YMKODLARI!$A$1:$H$383,2,0)," " )</f>
        <v xml:space="preserve"> </v>
      </c>
      <c r="C918" s="125"/>
      <c r="D918" s="124"/>
      <c r="E918" s="124"/>
    </row>
    <row r="919" spans="1:5">
      <c r="A919" s="124"/>
      <c r="B919" s="124" t="str">
        <f>IFERROR(VLOOKUP(Tablo8[[#This Row],[ ÜRÜN KODU]],YMKODLARI!$A$1:$H$383,2,0)," " )</f>
        <v xml:space="preserve"> </v>
      </c>
      <c r="C919" s="125"/>
      <c r="D919" s="124"/>
      <c r="E919" s="124"/>
    </row>
    <row r="920" spans="1:5">
      <c r="A920" s="124"/>
      <c r="B920" s="124" t="str">
        <f>IFERROR(VLOOKUP(Tablo8[[#This Row],[ ÜRÜN KODU]],YMKODLARI!$A$1:$H$383,2,0)," " )</f>
        <v xml:space="preserve"> </v>
      </c>
      <c r="C920" s="125"/>
      <c r="D920" s="124"/>
      <c r="E920" s="124"/>
    </row>
    <row r="921" spans="1:5">
      <c r="A921" s="124"/>
      <c r="B921" s="124" t="str">
        <f>IFERROR(VLOOKUP(Tablo8[[#This Row],[ ÜRÜN KODU]],YMKODLARI!$A$1:$H$383,2,0)," " )</f>
        <v xml:space="preserve"> </v>
      </c>
      <c r="C921" s="125"/>
      <c r="D921" s="124"/>
      <c r="E921" s="124"/>
    </row>
    <row r="922" spans="1:5">
      <c r="A922" s="124"/>
      <c r="B922" s="124" t="str">
        <f>IFERROR(VLOOKUP(Tablo8[[#This Row],[ ÜRÜN KODU]],YMKODLARI!$A$1:$H$383,2,0)," " )</f>
        <v xml:space="preserve"> </v>
      </c>
      <c r="C922" s="125"/>
      <c r="D922" s="124"/>
      <c r="E922" s="124"/>
    </row>
    <row r="923" spans="1:5">
      <c r="A923" s="124"/>
      <c r="B923" s="124" t="str">
        <f>IFERROR(VLOOKUP(Tablo8[[#This Row],[ ÜRÜN KODU]],YMKODLARI!$A$1:$H$383,2,0)," " )</f>
        <v xml:space="preserve"> </v>
      </c>
      <c r="C923" s="125"/>
      <c r="D923" s="124"/>
      <c r="E923" s="124"/>
    </row>
    <row r="924" spans="1:5">
      <c r="A924" s="124"/>
      <c r="B924" s="124" t="str">
        <f>IFERROR(VLOOKUP(Tablo8[[#This Row],[ ÜRÜN KODU]],YMKODLARI!$A$1:$H$383,2,0)," " )</f>
        <v xml:space="preserve"> </v>
      </c>
      <c r="C924" s="125"/>
      <c r="D924" s="124"/>
      <c r="E924" s="124"/>
    </row>
    <row r="925" spans="1:5">
      <c r="A925" s="124"/>
      <c r="B925" s="124" t="str">
        <f>IFERROR(VLOOKUP(Tablo8[[#This Row],[ ÜRÜN KODU]],YMKODLARI!$A$1:$H$383,2,0)," " )</f>
        <v xml:space="preserve"> </v>
      </c>
      <c r="C925" s="125"/>
      <c r="D925" s="124"/>
      <c r="E925" s="124"/>
    </row>
    <row r="926" spans="1:5">
      <c r="A926" s="124"/>
      <c r="B926" s="124" t="str">
        <f>IFERROR(VLOOKUP(Tablo8[[#This Row],[ ÜRÜN KODU]],YMKODLARI!$A$1:$H$383,2,0)," " )</f>
        <v xml:space="preserve"> </v>
      </c>
      <c r="C926" s="125"/>
      <c r="D926" s="124"/>
      <c r="E926" s="124"/>
    </row>
    <row r="927" spans="1:5">
      <c r="A927" s="124"/>
      <c r="B927" s="124" t="str">
        <f>IFERROR(VLOOKUP(Tablo8[[#This Row],[ ÜRÜN KODU]],YMKODLARI!$A$1:$H$383,2,0)," " )</f>
        <v xml:space="preserve"> </v>
      </c>
      <c r="C927" s="125"/>
      <c r="D927" s="124"/>
      <c r="E927" s="124"/>
    </row>
    <row r="928" spans="1:5">
      <c r="A928" s="124"/>
      <c r="B928" s="124" t="str">
        <f>IFERROR(VLOOKUP(Tablo8[[#This Row],[ ÜRÜN KODU]],YMKODLARI!$A$1:$H$383,2,0)," " )</f>
        <v xml:space="preserve"> </v>
      </c>
      <c r="C928" s="125"/>
      <c r="D928" s="124"/>
      <c r="E928" s="124"/>
    </row>
    <row r="929" spans="1:5">
      <c r="A929" s="124"/>
      <c r="B929" s="124" t="str">
        <f>IFERROR(VLOOKUP(Tablo8[[#This Row],[ ÜRÜN KODU]],YMKODLARI!$A$1:$H$383,2,0)," " )</f>
        <v xml:space="preserve"> </v>
      </c>
      <c r="C929" s="125"/>
      <c r="D929" s="124"/>
      <c r="E929" s="124"/>
    </row>
    <row r="930" spans="1:5">
      <c r="A930" s="124"/>
      <c r="B930" s="124" t="str">
        <f>IFERROR(VLOOKUP(Tablo8[[#This Row],[ ÜRÜN KODU]],YMKODLARI!$A$1:$H$383,2,0)," " )</f>
        <v xml:space="preserve"> </v>
      </c>
      <c r="C930" s="125"/>
      <c r="D930" s="124"/>
      <c r="E930" s="124"/>
    </row>
    <row r="931" spans="1:5">
      <c r="A931" s="124"/>
      <c r="B931" s="124" t="str">
        <f>IFERROR(VLOOKUP(Tablo8[[#This Row],[ ÜRÜN KODU]],YMKODLARI!$A$1:$H$383,2,0)," " )</f>
        <v xml:space="preserve"> </v>
      </c>
      <c r="C931" s="125"/>
      <c r="D931" s="124"/>
      <c r="E931" s="124"/>
    </row>
    <row r="932" spans="1:5">
      <c r="A932" s="124"/>
      <c r="B932" s="124" t="str">
        <f>IFERROR(VLOOKUP(Tablo8[[#This Row],[ ÜRÜN KODU]],YMKODLARI!$A$1:$H$383,2,0)," " )</f>
        <v xml:space="preserve"> </v>
      </c>
      <c r="C932" s="125"/>
      <c r="D932" s="124"/>
      <c r="E932" s="124"/>
    </row>
    <row r="933" spans="1:5">
      <c r="A933" s="124"/>
      <c r="B933" s="124" t="str">
        <f>IFERROR(VLOOKUP(Tablo8[[#This Row],[ ÜRÜN KODU]],YMKODLARI!$A$1:$H$383,2,0)," " )</f>
        <v xml:space="preserve"> </v>
      </c>
      <c r="C933" s="125"/>
      <c r="D933" s="124"/>
      <c r="E933" s="124"/>
    </row>
    <row r="934" spans="1:5">
      <c r="A934" s="124"/>
      <c r="B934" s="124" t="str">
        <f>IFERROR(VLOOKUP(Tablo8[[#This Row],[ ÜRÜN KODU]],YMKODLARI!$A$1:$H$383,2,0)," " )</f>
        <v xml:space="preserve"> </v>
      </c>
      <c r="C934" s="125"/>
      <c r="D934" s="124"/>
      <c r="E934" s="124"/>
    </row>
    <row r="935" spans="1:5">
      <c r="A935" s="124"/>
      <c r="B935" s="124" t="str">
        <f>IFERROR(VLOOKUP(Tablo8[[#This Row],[ ÜRÜN KODU]],YMKODLARI!$A$1:$H$383,2,0)," " )</f>
        <v xml:space="preserve"> </v>
      </c>
      <c r="C935" s="125"/>
      <c r="D935" s="124"/>
      <c r="E935" s="124"/>
    </row>
    <row r="936" spans="1:5">
      <c r="A936" s="124"/>
      <c r="B936" s="124" t="str">
        <f>IFERROR(VLOOKUP(Tablo8[[#This Row],[ ÜRÜN KODU]],YMKODLARI!$A$1:$H$383,2,0)," " )</f>
        <v xml:space="preserve"> </v>
      </c>
      <c r="C936" s="125"/>
      <c r="D936" s="124"/>
      <c r="E936" s="124"/>
    </row>
    <row r="937" spans="1:5">
      <c r="A937" s="124"/>
      <c r="B937" s="124" t="str">
        <f>IFERROR(VLOOKUP(Tablo8[[#This Row],[ ÜRÜN KODU]],YMKODLARI!$A$1:$H$383,2,0)," " )</f>
        <v xml:space="preserve"> </v>
      </c>
      <c r="C937" s="125"/>
      <c r="D937" s="124"/>
      <c r="E937" s="124"/>
    </row>
    <row r="938" spans="1:5">
      <c r="A938" s="124"/>
      <c r="B938" s="124" t="str">
        <f>IFERROR(VLOOKUP(Tablo8[[#This Row],[ ÜRÜN KODU]],YMKODLARI!$A$1:$H$383,2,0)," " )</f>
        <v xml:space="preserve"> </v>
      </c>
      <c r="C938" s="125"/>
      <c r="D938" s="124"/>
      <c r="E938" s="124"/>
    </row>
    <row r="939" spans="1:5">
      <c r="A939" s="124"/>
      <c r="B939" s="124" t="str">
        <f>IFERROR(VLOOKUP(Tablo8[[#This Row],[ ÜRÜN KODU]],YMKODLARI!$A$1:$H$383,2,0)," " )</f>
        <v xml:space="preserve"> </v>
      </c>
      <c r="C939" s="125"/>
      <c r="D939" s="124"/>
      <c r="E939" s="124"/>
    </row>
    <row r="940" spans="1:5">
      <c r="A940" s="124"/>
      <c r="B940" s="124" t="str">
        <f>IFERROR(VLOOKUP(Tablo8[[#This Row],[ ÜRÜN KODU]],YMKODLARI!$A$1:$H$383,2,0)," " )</f>
        <v xml:space="preserve"> </v>
      </c>
      <c r="C940" s="125"/>
      <c r="D940" s="124"/>
      <c r="E940" s="124"/>
    </row>
    <row r="941" spans="1:5">
      <c r="A941" s="124"/>
      <c r="B941" s="124" t="str">
        <f>IFERROR(VLOOKUP(Tablo8[[#This Row],[ ÜRÜN KODU]],YMKODLARI!$A$1:$H$383,2,0)," " )</f>
        <v xml:space="preserve"> </v>
      </c>
      <c r="C941" s="125"/>
      <c r="D941" s="124"/>
      <c r="E941" s="124"/>
    </row>
    <row r="942" spans="1:5">
      <c r="A942" s="124"/>
      <c r="B942" s="124" t="str">
        <f>IFERROR(VLOOKUP(Tablo8[[#This Row],[ ÜRÜN KODU]],YMKODLARI!$A$1:$H$383,2,0)," " )</f>
        <v xml:space="preserve"> </v>
      </c>
      <c r="C942" s="125"/>
      <c r="D942" s="124"/>
      <c r="E942" s="124"/>
    </row>
    <row r="943" spans="1:5">
      <c r="A943" s="124"/>
      <c r="B943" s="124" t="str">
        <f>IFERROR(VLOOKUP(Tablo8[[#This Row],[ ÜRÜN KODU]],YMKODLARI!$A$1:$H$383,2,0)," " )</f>
        <v xml:space="preserve"> </v>
      </c>
      <c r="C943" s="125"/>
      <c r="D943" s="124"/>
      <c r="E943" s="124"/>
    </row>
    <row r="944" spans="1:5">
      <c r="A944" s="124"/>
      <c r="B944" s="124" t="str">
        <f>IFERROR(VLOOKUP(Tablo8[[#This Row],[ ÜRÜN KODU]],YMKODLARI!$A$1:$H$383,2,0)," " )</f>
        <v xml:space="preserve"> </v>
      </c>
      <c r="C944" s="125"/>
      <c r="D944" s="124"/>
      <c r="E944" s="124"/>
    </row>
    <row r="945" spans="1:5">
      <c r="A945" s="124"/>
      <c r="B945" s="124" t="str">
        <f>IFERROR(VLOOKUP(Tablo8[[#This Row],[ ÜRÜN KODU]],YMKODLARI!$A$1:$H$383,2,0)," " )</f>
        <v xml:space="preserve"> </v>
      </c>
      <c r="C945" s="125"/>
      <c r="D945" s="124"/>
      <c r="E945" s="124"/>
    </row>
    <row r="946" spans="1:5">
      <c r="A946" s="124"/>
      <c r="B946" s="124" t="str">
        <f>IFERROR(VLOOKUP(Tablo8[[#This Row],[ ÜRÜN KODU]],YMKODLARI!$A$1:$H$383,2,0)," " )</f>
        <v xml:space="preserve"> </v>
      </c>
      <c r="C946" s="125"/>
      <c r="D946" s="124"/>
      <c r="E946" s="124"/>
    </row>
    <row r="947" spans="1:5">
      <c r="A947" s="124"/>
      <c r="B947" s="124" t="str">
        <f>IFERROR(VLOOKUP(Tablo8[[#This Row],[ ÜRÜN KODU]],YMKODLARI!$A$1:$H$383,2,0)," " )</f>
        <v xml:space="preserve"> </v>
      </c>
      <c r="C947" s="125"/>
      <c r="D947" s="124"/>
      <c r="E947" s="124"/>
    </row>
    <row r="948" spans="1:5">
      <c r="A948" s="124"/>
      <c r="B948" s="124" t="str">
        <f>IFERROR(VLOOKUP(Tablo8[[#This Row],[ ÜRÜN KODU]],YMKODLARI!$A$1:$H$383,2,0)," " )</f>
        <v xml:space="preserve"> </v>
      </c>
      <c r="C948" s="125"/>
      <c r="D948" s="124"/>
      <c r="E948" s="124"/>
    </row>
    <row r="949" spans="1:5">
      <c r="A949" s="124"/>
      <c r="B949" s="124" t="str">
        <f>IFERROR(VLOOKUP(Tablo8[[#This Row],[ ÜRÜN KODU]],YMKODLARI!$A$1:$H$383,2,0)," " )</f>
        <v xml:space="preserve"> </v>
      </c>
      <c r="C949" s="125"/>
      <c r="D949" s="124"/>
      <c r="E949" s="124"/>
    </row>
    <row r="950" spans="1:5">
      <c r="A950" s="124"/>
      <c r="B950" s="124" t="str">
        <f>IFERROR(VLOOKUP(Tablo8[[#This Row],[ ÜRÜN KODU]],YMKODLARI!$A$1:$H$383,2,0)," " )</f>
        <v xml:space="preserve"> </v>
      </c>
      <c r="C950" s="125"/>
      <c r="D950" s="124"/>
      <c r="E950" s="124"/>
    </row>
    <row r="951" spans="1:5">
      <c r="A951" s="124"/>
      <c r="B951" s="124" t="str">
        <f>IFERROR(VLOOKUP(Tablo8[[#This Row],[ ÜRÜN KODU]],YMKODLARI!$A$1:$H$383,2,0)," " )</f>
        <v xml:space="preserve"> </v>
      </c>
      <c r="C951" s="125"/>
      <c r="D951" s="124"/>
      <c r="E951" s="124"/>
    </row>
    <row r="952" spans="1:5">
      <c r="A952" s="124"/>
      <c r="B952" s="124" t="str">
        <f>IFERROR(VLOOKUP(Tablo8[[#This Row],[ ÜRÜN KODU]],YMKODLARI!$A$1:$H$383,2,0)," " )</f>
        <v xml:space="preserve"> </v>
      </c>
      <c r="C952" s="125"/>
      <c r="D952" s="124"/>
      <c r="E952" s="124"/>
    </row>
    <row r="953" spans="1:5">
      <c r="A953" s="126"/>
      <c r="B953" s="124" t="str">
        <f>IFERROR(VLOOKUP(Tablo8[[#This Row],[ ÜRÜN KODU]],YMKODLARI!$A$1:$H$383,2,0)," " )</f>
        <v xml:space="preserve"> </v>
      </c>
      <c r="C953" s="127"/>
      <c r="D953" s="126"/>
      <c r="E953" s="126"/>
    </row>
  </sheetData>
  <sheetProtection password="CC17" sheet="1" objects="1" scenarios="1"/>
  <protectedRanges>
    <protectedRange password="CC09" sqref="C1:E317 C318:D332 C418 C333:E417 A1:A536 A538:A1048576 C419:D1048576 E954:E1048576 E601:E883" name="Girişler"/>
  </protectedRanges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>
  <sheetPr codeName="Sayfa13"/>
  <dimension ref="A1:R297"/>
  <sheetViews>
    <sheetView zoomScale="116" zoomScaleNormal="116" workbookViewId="0">
      <pane ySplit="1" topLeftCell="A260" activePane="bottomLeft" state="frozen"/>
      <selection activeCell="E1" sqref="E1"/>
      <selection pane="bottomLeft" activeCell="A289" sqref="A289"/>
    </sheetView>
  </sheetViews>
  <sheetFormatPr defaultRowHeight="15"/>
  <cols>
    <col min="1" max="1" width="19.28515625" style="50" bestFit="1" customWidth="1"/>
    <col min="2" max="2" width="35.7109375" style="50" customWidth="1"/>
    <col min="3" max="3" width="14.42578125" style="50" customWidth="1"/>
    <col min="4" max="4" width="15.5703125" style="50" customWidth="1"/>
    <col min="5" max="6" width="9.140625" style="50"/>
    <col min="7" max="18" width="10.5703125" style="50" customWidth="1"/>
    <col min="19" max="16384" width="9.140625" style="50"/>
  </cols>
  <sheetData>
    <row r="1" spans="1:18" s="46" customFormat="1" ht="74.25" customHeight="1">
      <c r="A1" s="45" t="s">
        <v>250</v>
      </c>
      <c r="B1" s="45" t="s">
        <v>251</v>
      </c>
      <c r="C1" s="45" t="s">
        <v>268</v>
      </c>
      <c r="D1" s="45" t="s">
        <v>269</v>
      </c>
      <c r="E1" s="45" t="s">
        <v>270</v>
      </c>
      <c r="F1" s="45" t="s">
        <v>271</v>
      </c>
      <c r="G1" s="45" t="s">
        <v>255</v>
      </c>
      <c r="H1" s="45" t="s">
        <v>256</v>
      </c>
      <c r="I1" s="45" t="s">
        <v>257</v>
      </c>
      <c r="J1" s="45" t="s">
        <v>587</v>
      </c>
      <c r="K1" s="45" t="s">
        <v>259</v>
      </c>
      <c r="L1" s="45" t="s">
        <v>260</v>
      </c>
      <c r="M1" s="45" t="s">
        <v>261</v>
      </c>
      <c r="N1" s="45" t="s">
        <v>262</v>
      </c>
      <c r="O1" s="45" t="s">
        <v>265</v>
      </c>
      <c r="P1" s="45" t="s">
        <v>588</v>
      </c>
      <c r="Q1" s="45" t="s">
        <v>584</v>
      </c>
      <c r="R1" s="45" t="s">
        <v>589</v>
      </c>
    </row>
    <row r="2" spans="1:18">
      <c r="A2" s="132" t="s">
        <v>272</v>
      </c>
      <c r="B2" s="133" t="str">
        <f>VLOOKUP(Tablo810[[#This Row],[ ÜRÜN KODU]],YMKODLARI!$A$1:$H$376,2,0)</f>
        <v>KLASİK EMZİK UÇ NO 1</v>
      </c>
      <c r="C2" s="133">
        <f>SUMIF(Tablo8[[ ÜRÜN KODU]],Tablo810[[#This Row],[ ÜRÜN KODU]],Tablo8[SEVK ADEDİ])-Tablo810[[#This Row],[GERİ İADE ÜRÜN]]</f>
        <v>0</v>
      </c>
      <c r="D2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2" s="133"/>
      <c r="F2" s="133">
        <f>(D2-C2)+E2</f>
        <v>0</v>
      </c>
      <c r="G2" s="133">
        <f>SUMIFS(SevkAdetleri!$D:$D,SevkAdetleri!$A:$A,A2,SevkAdetleri!$E:$E,"OCAK")</f>
        <v>0</v>
      </c>
      <c r="H2" s="133">
        <f>SUMIFS(SevkAdetleri!$D:$D,SevkAdetleri!$A:$A,A2,SevkAdetleri!$E:$E,"ŞUBAT")</f>
        <v>0</v>
      </c>
      <c r="I2" s="133">
        <f>SUMIFS(SevkAdetleri!$D:$D,SevkAdetleri!$A:$A,A2,SevkAdetleri!$E:$E,"MART")</f>
        <v>0</v>
      </c>
      <c r="J2" s="133">
        <f>SUMIFS(SevkAdetleri!$D:$D,SevkAdetleri!$A:$A,A2,SevkAdetleri!$E:$E,"NİSAN")</f>
        <v>0</v>
      </c>
      <c r="K2" s="133">
        <f>SUMIFS(SevkAdetleri!$D:$D,SevkAdetleri!$A:$A,A2,SevkAdetleri!$E:$E,"MAYIS")</f>
        <v>0</v>
      </c>
      <c r="L2" s="133">
        <f>SUMIFS(SevkAdetleri!$D:$D,SevkAdetleri!$A:$A,A2,SevkAdetleri!$E:$E,"HAZIRAN")</f>
        <v>0</v>
      </c>
      <c r="M2" s="133">
        <f>SUMIFS(SevkAdetleri!$D:$D,SevkAdetleri!$A:$A,A2,SevkAdetleri!$E:$E,"TEMMUZ")</f>
        <v>0</v>
      </c>
      <c r="N2" s="133">
        <f>SUMIFS(SevkAdetleri!$D:$D,SevkAdetleri!$A:$A,A2,SevkAdetleri!$E:$E,"AĞUSTOS")</f>
        <v>0</v>
      </c>
      <c r="O2" s="133">
        <f>SUMIFS(SevkAdetleri!$D:$D,SevkAdetleri!$A:$A,A2,SevkAdetleri!$E:$E,"EYLÜL")</f>
        <v>0</v>
      </c>
      <c r="P2" s="133">
        <f>SUMIFS(SevkAdetleri!$D:$D,SevkAdetleri!$A:$A,A2,SevkAdetleri!$E:$E,"EKİM")</f>
        <v>0</v>
      </c>
      <c r="Q2" s="133">
        <f>SUMIFS(SevkAdetleri!$D:$D,SevkAdetleri!$A:$A,A2,SevkAdetleri!$E:$E,"KASIM")</f>
        <v>0</v>
      </c>
      <c r="R2" s="133">
        <f>SUMIFS(SevkAdetleri!$D:$D,SevkAdetleri!$A:$A,A2,SevkAdetleri!$E:$E,"ARALIK")</f>
        <v>0</v>
      </c>
    </row>
    <row r="3" spans="1:18">
      <c r="A3" s="132" t="s">
        <v>31</v>
      </c>
      <c r="B3" s="133" t="str">
        <f>VLOOKUP(Tablo810[[#This Row],[ ÜRÜN KODU]],YMKODLARI!$A$1:$H$376,2,0)</f>
        <v>KLASİK EMZİK UÇ NO 2</v>
      </c>
      <c r="C3" s="133">
        <f>SUMIF(Tablo8[[ ÜRÜN KODU]],Tablo810[[#This Row],[ ÜRÜN KODU]],Tablo8[SEVK ADEDİ])-Tablo810[[#This Row],[GERİ İADE ÜRÜN]]</f>
        <v>78675</v>
      </c>
      <c r="D3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82328</v>
      </c>
      <c r="E3" s="133"/>
      <c r="F3" s="133">
        <f t="shared" ref="F3:F75" si="0">(D3-C3)+E3</f>
        <v>3653</v>
      </c>
      <c r="G3" s="133">
        <f>SUMIFS(SevkAdetleri!$D:$D,SevkAdetleri!$A:$A,A3,SevkAdetleri!$E:$E,"OCAK")</f>
        <v>50925</v>
      </c>
      <c r="H3" s="133">
        <f>SUMIFS(SevkAdetleri!$D:$D,SevkAdetleri!$A:$A,A3,SevkAdetleri!$E:$E,"ŞUBAT")</f>
        <v>0</v>
      </c>
      <c r="I3" s="133">
        <f>SUMIFS(SevkAdetleri!$D:$D,SevkAdetleri!$A:$A,A3,SevkAdetleri!$E:$E,"MART")</f>
        <v>0</v>
      </c>
      <c r="J3" s="133">
        <f>SUMIFS(SevkAdetleri!$D:$D,SevkAdetleri!$A:$A,A3,SevkAdetleri!$E:$E,"NİSAN")</f>
        <v>0</v>
      </c>
      <c r="K3" s="133">
        <f>SUMIFS(SevkAdetleri!$D:$D,SevkAdetleri!$A:$A,A3,SevkAdetleri!$E:$E,"MAYIS")</f>
        <v>0</v>
      </c>
      <c r="L3" s="133">
        <f>SUMIFS(SevkAdetleri!$D:$D,SevkAdetleri!$A:$A,A3,SevkAdetleri!$E:$E,"HAZIRAN")</f>
        <v>0</v>
      </c>
      <c r="M3" s="133">
        <f>SUMIFS(SevkAdetleri!$D:$D,SevkAdetleri!$A:$A,A3,SevkAdetleri!$E:$E,"TEMMUZ")</f>
        <v>0</v>
      </c>
      <c r="N3" s="133">
        <f>SUMIFS(SevkAdetleri!$D:$D,SevkAdetleri!$A:$A,A3,SevkAdetleri!$E:$E,"AĞUSTOS")</f>
        <v>0</v>
      </c>
      <c r="O3" s="133">
        <f>SUMIFS(SevkAdetleri!$D:$D,SevkAdetleri!$A:$A,A3,SevkAdetleri!$E:$E,"EYLÜL")</f>
        <v>0</v>
      </c>
      <c r="P3" s="133">
        <f>SUMIFS(SevkAdetleri!$D:$D,SevkAdetleri!$A:$A,A3,SevkAdetleri!$E:$E,"EKİM")</f>
        <v>19000</v>
      </c>
      <c r="Q3" s="133">
        <f>SUMIFS(SevkAdetleri!$D:$D,SevkAdetleri!$A:$A,A3,SevkAdetleri!$E:$E,"KASIM")</f>
        <v>8750</v>
      </c>
      <c r="R3" s="133">
        <f>SUMIFS(SevkAdetleri!$D:$D,SevkAdetleri!$A:$A,A3,SevkAdetleri!$E:$E,"ARALIK")</f>
        <v>0</v>
      </c>
    </row>
    <row r="4" spans="1:18">
      <c r="A4" s="132" t="s">
        <v>273</v>
      </c>
      <c r="B4" s="133" t="str">
        <f>VLOOKUP(Tablo810[[#This Row],[ ÜRÜN KODU]],YMKODLARI!$A$1:$H$376,2,0)</f>
        <v>KLASİK EMZİK UÇ NO 3</v>
      </c>
      <c r="C4" s="133">
        <f>SUMIF(Tablo8[[ ÜRÜN KODU]],Tablo810[[#This Row],[ ÜRÜN KODU]],Tablo8[SEVK ADEDİ])-Tablo810[[#This Row],[GERİ İADE ÜRÜN]]</f>
        <v>0</v>
      </c>
      <c r="D4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25520</v>
      </c>
      <c r="E4" s="133"/>
      <c r="F4" s="133">
        <f t="shared" si="0"/>
        <v>25520</v>
      </c>
      <c r="G4" s="133">
        <f>SUMIFS(SevkAdetleri!$D:$D,SevkAdetleri!$A:$A,A4,SevkAdetleri!$E:$E,"OCAK")</f>
        <v>0</v>
      </c>
      <c r="H4" s="133">
        <f>SUMIFS(SevkAdetleri!$D:$D,SevkAdetleri!$A:$A,A4,SevkAdetleri!$E:$E,"ŞUBAT")</f>
        <v>0</v>
      </c>
      <c r="I4" s="133">
        <f>SUMIFS(SevkAdetleri!$D:$D,SevkAdetleri!$A:$A,A4,SevkAdetleri!$E:$E,"MART")</f>
        <v>0</v>
      </c>
      <c r="J4" s="133">
        <f>SUMIFS(SevkAdetleri!$D:$D,SevkAdetleri!$A:$A,A4,SevkAdetleri!$E:$E,"NİSAN")</f>
        <v>0</v>
      </c>
      <c r="K4" s="133">
        <f>SUMIFS(SevkAdetleri!$D:$D,SevkAdetleri!$A:$A,A4,SevkAdetleri!$E:$E,"MAYIS")</f>
        <v>0</v>
      </c>
      <c r="L4" s="133">
        <f>SUMIFS(SevkAdetleri!$D:$D,SevkAdetleri!$A:$A,A4,SevkAdetleri!$E:$E,"HAZIRAN")</f>
        <v>0</v>
      </c>
      <c r="M4" s="133">
        <f>SUMIFS(SevkAdetleri!$D:$D,SevkAdetleri!$A:$A,A4,SevkAdetleri!$E:$E,"TEMMUZ")</f>
        <v>0</v>
      </c>
      <c r="N4" s="133">
        <f>SUMIFS(SevkAdetleri!$D:$D,SevkAdetleri!$A:$A,A4,SevkAdetleri!$E:$E,"AĞUSTOS")</f>
        <v>0</v>
      </c>
      <c r="O4" s="133">
        <f>SUMIFS(SevkAdetleri!$D:$D,SevkAdetleri!$A:$A,A4,SevkAdetleri!$E:$E,"EYLÜL")</f>
        <v>0</v>
      </c>
      <c r="P4" s="133">
        <f>SUMIFS(SevkAdetleri!$D:$D,SevkAdetleri!$A:$A,A4,SevkAdetleri!$E:$E,"EKİM")</f>
        <v>0</v>
      </c>
      <c r="Q4" s="133">
        <f>SUMIFS(SevkAdetleri!$D:$D,SevkAdetleri!$A:$A,A4,SevkAdetleri!$E:$E,"KASIM")</f>
        <v>0</v>
      </c>
      <c r="R4" s="133">
        <f>SUMIFS(SevkAdetleri!$D:$D,SevkAdetleri!$A:$A,A4,SevkAdetleri!$E:$E,"ARALIK")</f>
        <v>0</v>
      </c>
    </row>
    <row r="5" spans="1:18">
      <c r="A5" s="132" t="s">
        <v>26</v>
      </c>
      <c r="B5" s="133" t="str">
        <f>VLOOKUP(Tablo810[[#This Row],[ ÜRÜN KODU]],YMKODLARI!$A$1:$H$376,2,0)</f>
        <v>DAMAK EMZİK UCU 1 NO</v>
      </c>
      <c r="C5" s="133">
        <f>SUMIF(Tablo8[[ ÜRÜN KODU]],Tablo810[[#This Row],[ ÜRÜN KODU]],Tablo8[SEVK ADEDİ])-Tablo810[[#This Row],[GERİ İADE ÜRÜN]]</f>
        <v>494462</v>
      </c>
      <c r="D5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521192</v>
      </c>
      <c r="E5" s="133"/>
      <c r="F5" s="133">
        <f t="shared" si="0"/>
        <v>26730</v>
      </c>
      <c r="G5" s="133">
        <f>SUMIFS(SevkAdetleri!$D:$D,SevkAdetleri!$A:$A,A5,SevkAdetleri!$E:$E,"OCAK")</f>
        <v>38820</v>
      </c>
      <c r="H5" s="133">
        <f>SUMIFS(SevkAdetleri!$D:$D,SevkAdetleri!$A:$A,A5,SevkAdetleri!$E:$E,"ŞUBAT")</f>
        <v>80740</v>
      </c>
      <c r="I5" s="133">
        <f>SUMIFS(SevkAdetleri!$D:$D,SevkAdetleri!$A:$A,A5,SevkAdetleri!$E:$E,"MART")</f>
        <v>0</v>
      </c>
      <c r="J5" s="133">
        <f>SUMIFS(SevkAdetleri!$D:$D,SevkAdetleri!$A:$A,A5,SevkAdetleri!$E:$E,"NİSAN")</f>
        <v>160000</v>
      </c>
      <c r="K5" s="133">
        <f>SUMIFS(SevkAdetleri!$D:$D,SevkAdetleri!$A:$A,A5,SevkAdetleri!$E:$E,"MAYIS")</f>
        <v>103000</v>
      </c>
      <c r="L5" s="133">
        <f>SUMIFS(SevkAdetleri!$D:$D,SevkAdetleri!$A:$A,A5,SevkAdetleri!$E:$E,"HAZIRAN")</f>
        <v>0</v>
      </c>
      <c r="M5" s="133">
        <f>SUMIFS(SevkAdetleri!$D:$D,SevkAdetleri!$A:$A,A5,SevkAdetleri!$E:$E,"TEMMUZ")</f>
        <v>55402</v>
      </c>
      <c r="N5" s="133">
        <f>SUMIFS(SevkAdetleri!$D:$D,SevkAdetleri!$A:$A,A5,SevkAdetleri!$E:$E,"AĞUSTOS")</f>
        <v>22770</v>
      </c>
      <c r="O5" s="133">
        <f>SUMIFS(SevkAdetleri!$D:$D,SevkAdetleri!$A:$A,A5,SevkAdetleri!$E:$E,"EYLÜL")</f>
        <v>0</v>
      </c>
      <c r="P5" s="133">
        <f>SUMIFS(SevkAdetleri!$D:$D,SevkAdetleri!$A:$A,A5,SevkAdetleri!$E:$E,"EKİM")</f>
        <v>27000</v>
      </c>
      <c r="Q5" s="133">
        <f>SUMIFS(SevkAdetleri!$D:$D,SevkAdetleri!$A:$A,A5,SevkAdetleri!$E:$E,"KASIM")</f>
        <v>6730</v>
      </c>
      <c r="R5" s="133">
        <f>SUMIFS(SevkAdetleri!$D:$D,SevkAdetleri!$A:$A,A5,SevkAdetleri!$E:$E,"ARALIK")</f>
        <v>0</v>
      </c>
    </row>
    <row r="6" spans="1:18">
      <c r="A6" s="132" t="s">
        <v>42</v>
      </c>
      <c r="B6" s="133" t="str">
        <f>VLOOKUP(Tablo810[[#This Row],[ ÜRÜN KODU]],YMKODLARI!$A$1:$H$376,2,0)</f>
        <v>DAMAK EMZİK UCU 2 NO</v>
      </c>
      <c r="C6" s="133">
        <f>SUMIF(Tablo8[[ ÜRÜN KODU]],Tablo810[[#This Row],[ ÜRÜN KODU]],Tablo8[SEVK ADEDİ])-Tablo810[[#This Row],[GERİ İADE ÜRÜN]]</f>
        <v>387600</v>
      </c>
      <c r="D6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402592</v>
      </c>
      <c r="E6" s="133"/>
      <c r="F6" s="133">
        <f t="shared" si="0"/>
        <v>14992</v>
      </c>
      <c r="G6" s="133">
        <f>SUMIFS(SevkAdetleri!$D:$D,SevkAdetleri!$A:$A,A6,SevkAdetleri!$E:$E,"OCAK")</f>
        <v>71540</v>
      </c>
      <c r="H6" s="133">
        <f>SUMIFS(SevkAdetleri!$D:$D,SevkAdetleri!$A:$A,A6,SevkAdetleri!$E:$E,"ŞUBAT")</f>
        <v>12000</v>
      </c>
      <c r="I6" s="133">
        <f>SUMIFS(SevkAdetleri!$D:$D,SevkAdetleri!$A:$A,A6,SevkAdetleri!$E:$E,"MART")</f>
        <v>135220</v>
      </c>
      <c r="J6" s="133">
        <f>SUMIFS(SevkAdetleri!$D:$D,SevkAdetleri!$A:$A,A6,SevkAdetleri!$E:$E,"NİSAN")</f>
        <v>33000</v>
      </c>
      <c r="K6" s="133">
        <f>SUMIFS(SevkAdetleri!$D:$D,SevkAdetleri!$A:$A,A6,SevkAdetleri!$E:$E,"MAYIS")</f>
        <v>92000</v>
      </c>
      <c r="L6" s="133">
        <f>SUMIFS(SevkAdetleri!$D:$D,SevkAdetleri!$A:$A,A6,SevkAdetleri!$E:$E,"HAZIRAN")</f>
        <v>6000</v>
      </c>
      <c r="M6" s="133">
        <f>SUMIFS(SevkAdetleri!$D:$D,SevkAdetleri!$A:$A,A6,SevkAdetleri!$E:$E,"TEMMUZ")</f>
        <v>3000</v>
      </c>
      <c r="N6" s="133">
        <f>SUMIFS(SevkAdetleri!$D:$D,SevkAdetleri!$A:$A,A6,SevkAdetleri!$E:$E,"AĞUSTOS")</f>
        <v>0</v>
      </c>
      <c r="O6" s="133">
        <f>SUMIFS(SevkAdetleri!$D:$D,SevkAdetleri!$A:$A,A6,SevkAdetleri!$E:$E,"EYLÜL")</f>
        <v>2840</v>
      </c>
      <c r="P6" s="133">
        <f>SUMIFS(SevkAdetleri!$D:$D,SevkAdetleri!$A:$A,A6,SevkAdetleri!$E:$E,"EKİM")</f>
        <v>32000</v>
      </c>
      <c r="Q6" s="133">
        <f>SUMIFS(SevkAdetleri!$D:$D,SevkAdetleri!$A:$A,A6,SevkAdetleri!$E:$E,"KASIM")</f>
        <v>0</v>
      </c>
      <c r="R6" s="133">
        <f>SUMIFS(SevkAdetleri!$D:$D,SevkAdetleri!$A:$A,A6,SevkAdetleri!$E:$E,"ARALIK")</f>
        <v>0</v>
      </c>
    </row>
    <row r="7" spans="1:18">
      <c r="A7" s="132" t="s">
        <v>39</v>
      </c>
      <c r="B7" s="133" t="str">
        <f>VLOOKUP(Tablo810[[#This Row],[ ÜRÜN KODU]],YMKODLARI!$A$1:$H$376,2,0)</f>
        <v>DAMAK EMZİK UCU 3 NO</v>
      </c>
      <c r="C7" s="133">
        <f>SUMIF(Tablo8[[ ÜRÜN KODU]],Tablo810[[#This Row],[ ÜRÜN KODU]],Tablo8[SEVK ADEDİ])-Tablo810[[#This Row],[GERİ İADE ÜRÜN]]</f>
        <v>140234</v>
      </c>
      <c r="D7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137512</v>
      </c>
      <c r="E7" s="133"/>
      <c r="F7" s="133">
        <f t="shared" si="0"/>
        <v>-2722</v>
      </c>
      <c r="G7" s="133">
        <f>SUMIFS(SevkAdetleri!$D:$D,SevkAdetleri!$A:$A,A7,SevkAdetleri!$E:$E,"OCAK")</f>
        <v>0</v>
      </c>
      <c r="H7" s="133">
        <f>SUMIFS(SevkAdetleri!$D:$D,SevkAdetleri!$A:$A,A7,SevkAdetleri!$E:$E,"ŞUBAT")</f>
        <v>0</v>
      </c>
      <c r="I7" s="133">
        <f>SUMIFS(SevkAdetleri!$D:$D,SevkAdetleri!$A:$A,A7,SevkAdetleri!$E:$E,"MART")</f>
        <v>66660</v>
      </c>
      <c r="J7" s="133">
        <f>SUMIFS(SevkAdetleri!$D:$D,SevkAdetleri!$A:$A,A7,SevkAdetleri!$E:$E,"NİSAN")</f>
        <v>0</v>
      </c>
      <c r="K7" s="133">
        <f>SUMIFS(SevkAdetleri!$D:$D,SevkAdetleri!$A:$A,A7,SevkAdetleri!$E:$E,"MAYIS")</f>
        <v>0</v>
      </c>
      <c r="L7" s="133">
        <f>SUMIFS(SevkAdetleri!$D:$D,SevkAdetleri!$A:$A,A7,SevkAdetleri!$E:$E,"HAZIRAN")</f>
        <v>0</v>
      </c>
      <c r="M7" s="133">
        <f>SUMIFS(SevkAdetleri!$D:$D,SevkAdetleri!$A:$A,A7,SevkAdetleri!$E:$E,"TEMMUZ")</f>
        <v>41000</v>
      </c>
      <c r="N7" s="133">
        <f>SUMIFS(SevkAdetleri!$D:$D,SevkAdetleri!$A:$A,A7,SevkAdetleri!$E:$E,"AĞUSTOS")</f>
        <v>32574</v>
      </c>
      <c r="O7" s="133">
        <f>SUMIFS(SevkAdetleri!$D:$D,SevkAdetleri!$A:$A,A7,SevkAdetleri!$E:$E,"EYLÜL")</f>
        <v>0</v>
      </c>
      <c r="P7" s="133">
        <f>SUMIFS(SevkAdetleri!$D:$D,SevkAdetleri!$A:$A,A7,SevkAdetleri!$E:$E,"EKİM")</f>
        <v>0</v>
      </c>
      <c r="Q7" s="133">
        <f>SUMIFS(SevkAdetleri!$D:$D,SevkAdetleri!$A:$A,A7,SevkAdetleri!$E:$E,"KASIM")</f>
        <v>0</v>
      </c>
      <c r="R7" s="133">
        <f>SUMIFS(SevkAdetleri!$D:$D,SevkAdetleri!$A:$A,A7,SevkAdetleri!$E:$E,"ARALIK")</f>
        <v>0</v>
      </c>
    </row>
    <row r="8" spans="1:18">
      <c r="A8" s="132" t="s">
        <v>274</v>
      </c>
      <c r="B8" s="133" t="str">
        <f>VLOOKUP(Tablo810[[#This Row],[ ÜRÜN KODU]],YMKODLARI!$A$1:$H$376,2,0)</f>
        <v>KOMPLE SİLİKON DAMAK EMZİK 1 NO</v>
      </c>
      <c r="C8" s="133">
        <f>SUMIF(Tablo8[[ ÜRÜN KODU]],Tablo810[[#This Row],[ ÜRÜN KODU]],Tablo8[SEVK ADEDİ])-Tablo810[[#This Row],[GERİ İADE ÜRÜN]]</f>
        <v>0</v>
      </c>
      <c r="D8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8" s="133"/>
      <c r="F8" s="133">
        <f t="shared" si="0"/>
        <v>0</v>
      </c>
      <c r="G8" s="133">
        <f>SUMIFS(SevkAdetleri!$D:$D,SevkAdetleri!$A:$A,A8,SevkAdetleri!$E:$E,"OCAK")</f>
        <v>0</v>
      </c>
      <c r="H8" s="133">
        <f>SUMIFS(SevkAdetleri!$D:$D,SevkAdetleri!$A:$A,A8,SevkAdetleri!$E:$E,"ŞUBAT")</f>
        <v>0</v>
      </c>
      <c r="I8" s="133">
        <f>SUMIFS(SevkAdetleri!$D:$D,SevkAdetleri!$A:$A,A8,SevkAdetleri!$E:$E,"MART")</f>
        <v>0</v>
      </c>
      <c r="J8" s="133">
        <f>SUMIFS(SevkAdetleri!$D:$D,SevkAdetleri!$A:$A,A8,SevkAdetleri!$E:$E,"NİSAN")</f>
        <v>0</v>
      </c>
      <c r="K8" s="133">
        <f>SUMIFS(SevkAdetleri!$D:$D,SevkAdetleri!$A:$A,A8,SevkAdetleri!$E:$E,"MAYIS")</f>
        <v>0</v>
      </c>
      <c r="L8" s="133">
        <f>SUMIFS(SevkAdetleri!$D:$D,SevkAdetleri!$A:$A,A8,SevkAdetleri!$E:$E,"HAZIRAN")</f>
        <v>0</v>
      </c>
      <c r="M8" s="133">
        <f>SUMIFS(SevkAdetleri!$D:$D,SevkAdetleri!$A:$A,A8,SevkAdetleri!$E:$E,"TEMMUZ")</f>
        <v>0</v>
      </c>
      <c r="N8" s="133">
        <f>SUMIFS(SevkAdetleri!$D:$D,SevkAdetleri!$A:$A,A8,SevkAdetleri!$E:$E,"AĞUSTOS")</f>
        <v>0</v>
      </c>
      <c r="O8" s="133">
        <f>SUMIFS(SevkAdetleri!$D:$D,SevkAdetleri!$A:$A,A8,SevkAdetleri!$E:$E,"EYLÜL")</f>
        <v>0</v>
      </c>
      <c r="P8" s="133">
        <f>SUMIFS(SevkAdetleri!$D:$D,SevkAdetleri!$A:$A,A8,SevkAdetleri!$E:$E,"EKİM")</f>
        <v>0</v>
      </c>
      <c r="Q8" s="133">
        <f>SUMIFS(SevkAdetleri!$D:$D,SevkAdetleri!$A:$A,A8,SevkAdetleri!$E:$E,"KASIM")</f>
        <v>0</v>
      </c>
      <c r="R8" s="133">
        <f>SUMIFS(SevkAdetleri!$D:$D,SevkAdetleri!$A:$A,A8,SevkAdetleri!$E:$E,"ARALIK")</f>
        <v>0</v>
      </c>
    </row>
    <row r="9" spans="1:18">
      <c r="A9" s="132" t="s">
        <v>275</v>
      </c>
      <c r="B9" s="133" t="str">
        <f>VLOOKUP(Tablo810[[#This Row],[ ÜRÜN KODU]],YMKODLARI!$A$1:$H$376,2,0)</f>
        <v>KOMPLE SİLİKON DAMAK EMZİK 1 NO</v>
      </c>
      <c r="C9" s="133">
        <f>SUMIF(Tablo8[[ ÜRÜN KODU]],Tablo810[[#This Row],[ ÜRÜN KODU]],Tablo8[SEVK ADEDİ])-Tablo810[[#This Row],[GERİ İADE ÜRÜN]]</f>
        <v>0</v>
      </c>
      <c r="D9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9" s="133"/>
      <c r="F9" s="133">
        <f t="shared" si="0"/>
        <v>0</v>
      </c>
      <c r="G9" s="133">
        <f>SUMIFS(SevkAdetleri!$D:$D,SevkAdetleri!$A:$A,A9,SevkAdetleri!$E:$E,"OCAK")</f>
        <v>0</v>
      </c>
      <c r="H9" s="133">
        <f>SUMIFS(SevkAdetleri!$D:$D,SevkAdetleri!$A:$A,A9,SevkAdetleri!$E:$E,"ŞUBAT")</f>
        <v>0</v>
      </c>
      <c r="I9" s="133">
        <f>SUMIFS(SevkAdetleri!$D:$D,SevkAdetleri!$A:$A,A9,SevkAdetleri!$E:$E,"MART")</f>
        <v>0</v>
      </c>
      <c r="J9" s="133">
        <f>SUMIFS(SevkAdetleri!$D:$D,SevkAdetleri!$A:$A,A9,SevkAdetleri!$E:$E,"NİSAN")</f>
        <v>0</v>
      </c>
      <c r="K9" s="133">
        <f>SUMIFS(SevkAdetleri!$D:$D,SevkAdetleri!$A:$A,A9,SevkAdetleri!$E:$E,"MAYIS")</f>
        <v>0</v>
      </c>
      <c r="L9" s="133">
        <f>SUMIFS(SevkAdetleri!$D:$D,SevkAdetleri!$A:$A,A9,SevkAdetleri!$E:$E,"HAZIRAN")</f>
        <v>0</v>
      </c>
      <c r="M9" s="133">
        <f>SUMIFS(SevkAdetleri!$D:$D,SevkAdetleri!$A:$A,A9,SevkAdetleri!$E:$E,"TEMMUZ")</f>
        <v>0</v>
      </c>
      <c r="N9" s="133">
        <f>SUMIFS(SevkAdetleri!$D:$D,SevkAdetleri!$A:$A,A9,SevkAdetleri!$E:$E,"AĞUSTOS")</f>
        <v>0</v>
      </c>
      <c r="O9" s="133">
        <f>SUMIFS(SevkAdetleri!$D:$D,SevkAdetleri!$A:$A,A9,SevkAdetleri!$E:$E,"EYLÜL")</f>
        <v>0</v>
      </c>
      <c r="P9" s="133">
        <f>SUMIFS(SevkAdetleri!$D:$D,SevkAdetleri!$A:$A,A9,SevkAdetleri!$E:$E,"EKİM")</f>
        <v>0</v>
      </c>
      <c r="Q9" s="133">
        <f>SUMIFS(SevkAdetleri!$D:$D,SevkAdetleri!$A:$A,A9,SevkAdetleri!$E:$E,"KASIM")</f>
        <v>0</v>
      </c>
      <c r="R9" s="133">
        <f>SUMIFS(SevkAdetleri!$D:$D,SevkAdetleri!$A:$A,A9,SevkAdetleri!$E:$E,"ARALIK")</f>
        <v>0</v>
      </c>
    </row>
    <row r="10" spans="1:18">
      <c r="A10" s="132" t="s">
        <v>276</v>
      </c>
      <c r="B10" s="133" t="str">
        <f>VLOOKUP(Tablo810[[#This Row],[ ÜRÜN KODU]],YMKODLARI!$A$1:$H$376,2,0)</f>
        <v>KOMPLE SİLİKON DAMAK EMZİK 1 NO</v>
      </c>
      <c r="C10" s="133">
        <f>SUMIF(Tablo8[[ ÜRÜN KODU]],Tablo810[[#This Row],[ ÜRÜN KODU]],Tablo8[SEVK ADEDİ])-Tablo810[[#This Row],[GERİ İADE ÜRÜN]]</f>
        <v>0</v>
      </c>
      <c r="D10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10" s="133"/>
      <c r="F10" s="133">
        <f t="shared" si="0"/>
        <v>0</v>
      </c>
      <c r="G10" s="133">
        <f>SUMIFS(SevkAdetleri!$D:$D,SevkAdetleri!$A:$A,A10,SevkAdetleri!$E:$E,"OCAK")</f>
        <v>0</v>
      </c>
      <c r="H10" s="133">
        <f>SUMIFS(SevkAdetleri!$D:$D,SevkAdetleri!$A:$A,A10,SevkAdetleri!$E:$E,"ŞUBAT")</f>
        <v>0</v>
      </c>
      <c r="I10" s="133">
        <f>SUMIFS(SevkAdetleri!$D:$D,SevkAdetleri!$A:$A,A10,SevkAdetleri!$E:$E,"MART")</f>
        <v>0</v>
      </c>
      <c r="J10" s="133">
        <f>SUMIFS(SevkAdetleri!$D:$D,SevkAdetleri!$A:$A,A10,SevkAdetleri!$E:$E,"NİSAN")</f>
        <v>0</v>
      </c>
      <c r="K10" s="133">
        <f>SUMIFS(SevkAdetleri!$D:$D,SevkAdetleri!$A:$A,A10,SevkAdetleri!$E:$E,"MAYIS")</f>
        <v>0</v>
      </c>
      <c r="L10" s="133">
        <f>SUMIFS(SevkAdetleri!$D:$D,SevkAdetleri!$A:$A,A10,SevkAdetleri!$E:$E,"HAZIRAN")</f>
        <v>0</v>
      </c>
      <c r="M10" s="133">
        <f>SUMIFS(SevkAdetleri!$D:$D,SevkAdetleri!$A:$A,A10,SevkAdetleri!$E:$E,"TEMMUZ")</f>
        <v>0</v>
      </c>
      <c r="N10" s="133">
        <f>SUMIFS(SevkAdetleri!$D:$D,SevkAdetleri!$A:$A,A10,SevkAdetleri!$E:$E,"AĞUSTOS")</f>
        <v>0</v>
      </c>
      <c r="O10" s="133">
        <f>SUMIFS(SevkAdetleri!$D:$D,SevkAdetleri!$A:$A,A10,SevkAdetleri!$E:$E,"EYLÜL")</f>
        <v>0</v>
      </c>
      <c r="P10" s="133">
        <f>SUMIFS(SevkAdetleri!$D:$D,SevkAdetleri!$A:$A,A10,SevkAdetleri!$E:$E,"EKİM")</f>
        <v>0</v>
      </c>
      <c r="Q10" s="133">
        <f>SUMIFS(SevkAdetleri!$D:$D,SevkAdetleri!$A:$A,A10,SevkAdetleri!$E:$E,"KASIM")</f>
        <v>0</v>
      </c>
      <c r="R10" s="133">
        <f>SUMIFS(SevkAdetleri!$D:$D,SevkAdetleri!$A:$A,A10,SevkAdetleri!$E:$E,"ARALIK")</f>
        <v>0</v>
      </c>
    </row>
    <row r="11" spans="1:18">
      <c r="A11" s="132" t="s">
        <v>277</v>
      </c>
      <c r="B11" s="133" t="str">
        <f>VLOOKUP(Tablo810[[#This Row],[ ÜRÜN KODU]],YMKODLARI!$A$1:$H$376,2,0)</f>
        <v>KOMPLE SİLİKON DAMAK EMZİK 2 NO</v>
      </c>
      <c r="C11" s="133">
        <f>SUMIF(Tablo8[[ ÜRÜN KODU]],Tablo810[[#This Row],[ ÜRÜN KODU]],Tablo8[SEVK ADEDİ])-Tablo810[[#This Row],[GERİ İADE ÜRÜN]]</f>
        <v>0</v>
      </c>
      <c r="D11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11" s="133"/>
      <c r="F11" s="133">
        <f t="shared" si="0"/>
        <v>0</v>
      </c>
      <c r="G11" s="133">
        <f>SUMIFS(SevkAdetleri!$D:$D,SevkAdetleri!$A:$A,A11,SevkAdetleri!$E:$E,"OCAK")</f>
        <v>0</v>
      </c>
      <c r="H11" s="133">
        <f>SUMIFS(SevkAdetleri!$D:$D,SevkAdetleri!$A:$A,A11,SevkAdetleri!$E:$E,"ŞUBAT")</f>
        <v>0</v>
      </c>
      <c r="I11" s="133">
        <f>SUMIFS(SevkAdetleri!$D:$D,SevkAdetleri!$A:$A,A11,SevkAdetleri!$E:$E,"MART")</f>
        <v>0</v>
      </c>
      <c r="J11" s="133">
        <f>SUMIFS(SevkAdetleri!$D:$D,SevkAdetleri!$A:$A,A11,SevkAdetleri!$E:$E,"NİSAN")</f>
        <v>0</v>
      </c>
      <c r="K11" s="133">
        <f>SUMIFS(SevkAdetleri!$D:$D,SevkAdetleri!$A:$A,A11,SevkAdetleri!$E:$E,"MAYIS")</f>
        <v>0</v>
      </c>
      <c r="L11" s="133">
        <f>SUMIFS(SevkAdetleri!$D:$D,SevkAdetleri!$A:$A,A11,SevkAdetleri!$E:$E,"HAZIRAN")</f>
        <v>0</v>
      </c>
      <c r="M11" s="133">
        <f>SUMIFS(SevkAdetleri!$D:$D,SevkAdetleri!$A:$A,A11,SevkAdetleri!$E:$E,"TEMMUZ")</f>
        <v>0</v>
      </c>
      <c r="N11" s="133">
        <f>SUMIFS(SevkAdetleri!$D:$D,SevkAdetleri!$A:$A,A11,SevkAdetleri!$E:$E,"AĞUSTOS")</f>
        <v>0</v>
      </c>
      <c r="O11" s="133">
        <f>SUMIFS(SevkAdetleri!$D:$D,SevkAdetleri!$A:$A,A11,SevkAdetleri!$E:$E,"EYLÜL")</f>
        <v>0</v>
      </c>
      <c r="P11" s="133">
        <f>SUMIFS(SevkAdetleri!$D:$D,SevkAdetleri!$A:$A,A11,SevkAdetleri!$E:$E,"EKİM")</f>
        <v>0</v>
      </c>
      <c r="Q11" s="133">
        <f>SUMIFS(SevkAdetleri!$D:$D,SevkAdetleri!$A:$A,A11,SevkAdetleri!$E:$E,"KASIM")</f>
        <v>0</v>
      </c>
      <c r="R11" s="133">
        <f>SUMIFS(SevkAdetleri!$D:$D,SevkAdetleri!$A:$A,A11,SevkAdetleri!$E:$E,"ARALIK")</f>
        <v>0</v>
      </c>
    </row>
    <row r="12" spans="1:18">
      <c r="A12" s="132" t="s">
        <v>278</v>
      </c>
      <c r="B12" s="133" t="str">
        <f>VLOOKUP(Tablo810[[#This Row],[ ÜRÜN KODU]],YMKODLARI!$A$1:$H$376,2,0)</f>
        <v>KOMPLE SİLİKON DAMAK EMZİK 2 NO</v>
      </c>
      <c r="C12" s="133">
        <f>SUMIF(Tablo8[[ ÜRÜN KODU]],Tablo810[[#This Row],[ ÜRÜN KODU]],Tablo8[SEVK ADEDİ])-Tablo810[[#This Row],[GERİ İADE ÜRÜN]]</f>
        <v>0</v>
      </c>
      <c r="D12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12" s="133"/>
      <c r="F12" s="133">
        <f t="shared" si="0"/>
        <v>0</v>
      </c>
      <c r="G12" s="133">
        <f>SUMIFS(SevkAdetleri!$D:$D,SevkAdetleri!$A:$A,A12,SevkAdetleri!$E:$E,"OCAK")</f>
        <v>0</v>
      </c>
      <c r="H12" s="133">
        <f>SUMIFS(SevkAdetleri!$D:$D,SevkAdetleri!$A:$A,A12,SevkAdetleri!$E:$E,"ŞUBAT")</f>
        <v>0</v>
      </c>
      <c r="I12" s="133">
        <f>SUMIFS(SevkAdetleri!$D:$D,SevkAdetleri!$A:$A,A12,SevkAdetleri!$E:$E,"MART")</f>
        <v>0</v>
      </c>
      <c r="J12" s="133">
        <f>SUMIFS(SevkAdetleri!$D:$D,SevkAdetleri!$A:$A,A12,SevkAdetleri!$E:$E,"NİSAN")</f>
        <v>0</v>
      </c>
      <c r="K12" s="133">
        <f>SUMIFS(SevkAdetleri!$D:$D,SevkAdetleri!$A:$A,A12,SevkAdetleri!$E:$E,"MAYIS")</f>
        <v>0</v>
      </c>
      <c r="L12" s="133">
        <f>SUMIFS(SevkAdetleri!$D:$D,SevkAdetleri!$A:$A,A12,SevkAdetleri!$E:$E,"HAZIRAN")</f>
        <v>0</v>
      </c>
      <c r="M12" s="133">
        <f>SUMIFS(SevkAdetleri!$D:$D,SevkAdetleri!$A:$A,A12,SevkAdetleri!$E:$E,"TEMMUZ")</f>
        <v>0</v>
      </c>
      <c r="N12" s="133">
        <f>SUMIFS(SevkAdetleri!$D:$D,SevkAdetleri!$A:$A,A12,SevkAdetleri!$E:$E,"AĞUSTOS")</f>
        <v>0</v>
      </c>
      <c r="O12" s="133">
        <f>SUMIFS(SevkAdetleri!$D:$D,SevkAdetleri!$A:$A,A12,SevkAdetleri!$E:$E,"EYLÜL")</f>
        <v>0</v>
      </c>
      <c r="P12" s="133">
        <f>SUMIFS(SevkAdetleri!$D:$D,SevkAdetleri!$A:$A,A12,SevkAdetleri!$E:$E,"EKİM")</f>
        <v>0</v>
      </c>
      <c r="Q12" s="133">
        <f>SUMIFS(SevkAdetleri!$D:$D,SevkAdetleri!$A:$A,A12,SevkAdetleri!$E:$E,"KASIM")</f>
        <v>0</v>
      </c>
      <c r="R12" s="133">
        <f>SUMIFS(SevkAdetleri!$D:$D,SevkAdetleri!$A:$A,A12,SevkAdetleri!$E:$E,"ARALIK")</f>
        <v>0</v>
      </c>
    </row>
    <row r="13" spans="1:18">
      <c r="A13" s="132" t="s">
        <v>279</v>
      </c>
      <c r="B13" s="133" t="str">
        <f>VLOOKUP(Tablo810[[#This Row],[ ÜRÜN KODU]],YMKODLARI!$A$1:$H$376,2,0)</f>
        <v>KOMPLE SİLİKON DAMAK EMZİK 2 NO</v>
      </c>
      <c r="C13" s="133">
        <f>SUMIF(Tablo8[[ ÜRÜN KODU]],Tablo810[[#This Row],[ ÜRÜN KODU]],Tablo8[SEVK ADEDİ])-Tablo810[[#This Row],[GERİ İADE ÜRÜN]]</f>
        <v>0</v>
      </c>
      <c r="D13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13" s="133"/>
      <c r="F13" s="133">
        <f t="shared" si="0"/>
        <v>0</v>
      </c>
      <c r="G13" s="133">
        <f>SUMIFS(SevkAdetleri!$D:$D,SevkAdetleri!$A:$A,A13,SevkAdetleri!$E:$E,"OCAK")</f>
        <v>0</v>
      </c>
      <c r="H13" s="133">
        <f>SUMIFS(SevkAdetleri!$D:$D,SevkAdetleri!$A:$A,A13,SevkAdetleri!$E:$E,"ŞUBAT")</f>
        <v>0</v>
      </c>
      <c r="I13" s="133">
        <f>SUMIFS(SevkAdetleri!$D:$D,SevkAdetleri!$A:$A,A13,SevkAdetleri!$E:$E,"MART")</f>
        <v>0</v>
      </c>
      <c r="J13" s="133">
        <f>SUMIFS(SevkAdetleri!$D:$D,SevkAdetleri!$A:$A,A13,SevkAdetleri!$E:$E,"NİSAN")</f>
        <v>0</v>
      </c>
      <c r="K13" s="133">
        <f>SUMIFS(SevkAdetleri!$D:$D,SevkAdetleri!$A:$A,A13,SevkAdetleri!$E:$E,"MAYIS")</f>
        <v>0</v>
      </c>
      <c r="L13" s="133">
        <f>SUMIFS(SevkAdetleri!$D:$D,SevkAdetleri!$A:$A,A13,SevkAdetleri!$E:$E,"HAZIRAN")</f>
        <v>0</v>
      </c>
      <c r="M13" s="133">
        <f>SUMIFS(SevkAdetleri!$D:$D,SevkAdetleri!$A:$A,A13,SevkAdetleri!$E:$E,"TEMMUZ")</f>
        <v>0</v>
      </c>
      <c r="N13" s="133">
        <f>SUMIFS(SevkAdetleri!$D:$D,SevkAdetleri!$A:$A,A13,SevkAdetleri!$E:$E,"AĞUSTOS")</f>
        <v>0</v>
      </c>
      <c r="O13" s="133">
        <f>SUMIFS(SevkAdetleri!$D:$D,SevkAdetleri!$A:$A,A13,SevkAdetleri!$E:$E,"EYLÜL")</f>
        <v>0</v>
      </c>
      <c r="P13" s="133">
        <f>SUMIFS(SevkAdetleri!$D:$D,SevkAdetleri!$A:$A,A13,SevkAdetleri!$E:$E,"EKİM")</f>
        <v>0</v>
      </c>
      <c r="Q13" s="133">
        <f>SUMIFS(SevkAdetleri!$D:$D,SevkAdetleri!$A:$A,A13,SevkAdetleri!$E:$E,"KASIM")</f>
        <v>0</v>
      </c>
      <c r="R13" s="133">
        <f>SUMIFS(SevkAdetleri!$D:$D,SevkAdetleri!$A:$A,A13,SevkAdetleri!$E:$E,"ARALIK")</f>
        <v>0</v>
      </c>
    </row>
    <row r="14" spans="1:18">
      <c r="A14" s="132" t="s">
        <v>280</v>
      </c>
      <c r="B14" s="133" t="str">
        <f>VLOOKUP(Tablo810[[#This Row],[ ÜRÜN KODU]],YMKODLARI!$A$1:$H$376,2,0)</f>
        <v>KOM. SİL. KLASİK PRAMATÜRE EMZİK</v>
      </c>
      <c r="C14" s="133">
        <f>SUMIF(Tablo8[[ ÜRÜN KODU]],Tablo810[[#This Row],[ ÜRÜN KODU]],Tablo8[SEVK ADEDİ])-Tablo810[[#This Row],[GERİ İADE ÜRÜN]]</f>
        <v>0</v>
      </c>
      <c r="D14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14" s="133"/>
      <c r="F14" s="133">
        <f t="shared" si="0"/>
        <v>0</v>
      </c>
      <c r="G14" s="133">
        <f>SUMIFS(SevkAdetleri!$D:$D,SevkAdetleri!$A:$A,A14,SevkAdetleri!$E:$E,"OCAK")</f>
        <v>0</v>
      </c>
      <c r="H14" s="133">
        <f>SUMIFS(SevkAdetleri!$D:$D,SevkAdetleri!$A:$A,A14,SevkAdetleri!$E:$E,"ŞUBAT")</f>
        <v>0</v>
      </c>
      <c r="I14" s="133">
        <f>SUMIFS(SevkAdetleri!$D:$D,SevkAdetleri!$A:$A,A14,SevkAdetleri!$E:$E,"MART")</f>
        <v>0</v>
      </c>
      <c r="J14" s="133">
        <f>SUMIFS(SevkAdetleri!$D:$D,SevkAdetleri!$A:$A,A14,SevkAdetleri!$E:$E,"NİSAN")</f>
        <v>0</v>
      </c>
      <c r="K14" s="133">
        <f>SUMIFS(SevkAdetleri!$D:$D,SevkAdetleri!$A:$A,A14,SevkAdetleri!$E:$E,"MAYIS")</f>
        <v>0</v>
      </c>
      <c r="L14" s="133">
        <f>SUMIFS(SevkAdetleri!$D:$D,SevkAdetleri!$A:$A,A14,SevkAdetleri!$E:$E,"HAZIRAN")</f>
        <v>0</v>
      </c>
      <c r="M14" s="133">
        <f>SUMIFS(SevkAdetleri!$D:$D,SevkAdetleri!$A:$A,A14,SevkAdetleri!$E:$E,"TEMMUZ")</f>
        <v>0</v>
      </c>
      <c r="N14" s="133">
        <f>SUMIFS(SevkAdetleri!$D:$D,SevkAdetleri!$A:$A,A14,SevkAdetleri!$E:$E,"AĞUSTOS")</f>
        <v>0</v>
      </c>
      <c r="O14" s="133">
        <f>SUMIFS(SevkAdetleri!$D:$D,SevkAdetleri!$A:$A,A14,SevkAdetleri!$E:$E,"EYLÜL")</f>
        <v>0</v>
      </c>
      <c r="P14" s="133">
        <f>SUMIFS(SevkAdetleri!$D:$D,SevkAdetleri!$A:$A,A14,SevkAdetleri!$E:$E,"EKİM")</f>
        <v>0</v>
      </c>
      <c r="Q14" s="133">
        <f>SUMIFS(SevkAdetleri!$D:$D,SevkAdetleri!$A:$A,A14,SevkAdetleri!$E:$E,"KASIM")</f>
        <v>0</v>
      </c>
      <c r="R14" s="133">
        <f>SUMIFS(SevkAdetleri!$D:$D,SevkAdetleri!$A:$A,A14,SevkAdetleri!$E:$E,"ARALIK")</f>
        <v>0</v>
      </c>
    </row>
    <row r="15" spans="1:18">
      <c r="A15" s="132" t="s">
        <v>281</v>
      </c>
      <c r="B15" s="133" t="str">
        <f>VLOOKUP(Tablo810[[#This Row],[ ÜRÜN KODU]],YMKODLARI!$A$1:$H$376,2,0)</f>
        <v>KOM. SİL. KLASİK PRAMATÜRE EMZİK</v>
      </c>
      <c r="C15" s="133">
        <f>SUMIF(Tablo8[[ ÜRÜN KODU]],Tablo810[[#This Row],[ ÜRÜN KODU]],Tablo8[SEVK ADEDİ])-Tablo810[[#This Row],[GERİ İADE ÜRÜN]]</f>
        <v>0</v>
      </c>
      <c r="D15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15" s="133"/>
      <c r="F15" s="133">
        <f t="shared" si="0"/>
        <v>0</v>
      </c>
      <c r="G15" s="133">
        <f>SUMIFS(SevkAdetleri!$D:$D,SevkAdetleri!$A:$A,A15,SevkAdetleri!$E:$E,"OCAK")</f>
        <v>0</v>
      </c>
      <c r="H15" s="133">
        <f>SUMIFS(SevkAdetleri!$D:$D,SevkAdetleri!$A:$A,A15,SevkAdetleri!$E:$E,"ŞUBAT")</f>
        <v>0</v>
      </c>
      <c r="I15" s="133">
        <f>SUMIFS(SevkAdetleri!$D:$D,SevkAdetleri!$A:$A,A15,SevkAdetleri!$E:$E,"MART")</f>
        <v>0</v>
      </c>
      <c r="J15" s="133">
        <f>SUMIFS(SevkAdetleri!$D:$D,SevkAdetleri!$A:$A,A15,SevkAdetleri!$E:$E,"NİSAN")</f>
        <v>0</v>
      </c>
      <c r="K15" s="133">
        <f>SUMIFS(SevkAdetleri!$D:$D,SevkAdetleri!$A:$A,A15,SevkAdetleri!$E:$E,"MAYIS")</f>
        <v>0</v>
      </c>
      <c r="L15" s="133">
        <f>SUMIFS(SevkAdetleri!$D:$D,SevkAdetleri!$A:$A,A15,SevkAdetleri!$E:$E,"HAZIRAN")</f>
        <v>0</v>
      </c>
      <c r="M15" s="133">
        <f>SUMIFS(SevkAdetleri!$D:$D,SevkAdetleri!$A:$A,A15,SevkAdetleri!$E:$E,"TEMMUZ")</f>
        <v>0</v>
      </c>
      <c r="N15" s="133">
        <f>SUMIFS(SevkAdetleri!$D:$D,SevkAdetleri!$A:$A,A15,SevkAdetleri!$E:$E,"AĞUSTOS")</f>
        <v>0</v>
      </c>
      <c r="O15" s="133">
        <f>SUMIFS(SevkAdetleri!$D:$D,SevkAdetleri!$A:$A,A15,SevkAdetleri!$E:$E,"EYLÜL")</f>
        <v>0</v>
      </c>
      <c r="P15" s="133">
        <f>SUMIFS(SevkAdetleri!$D:$D,SevkAdetleri!$A:$A,A15,SevkAdetleri!$E:$E,"EKİM")</f>
        <v>0</v>
      </c>
      <c r="Q15" s="133">
        <f>SUMIFS(SevkAdetleri!$D:$D,SevkAdetleri!$A:$A,A15,SevkAdetleri!$E:$E,"KASIM")</f>
        <v>0</v>
      </c>
      <c r="R15" s="133">
        <f>SUMIFS(SevkAdetleri!$D:$D,SevkAdetleri!$A:$A,A15,SevkAdetleri!$E:$E,"ARALIK")</f>
        <v>0</v>
      </c>
    </row>
    <row r="16" spans="1:18">
      <c r="A16" s="132" t="s">
        <v>282</v>
      </c>
      <c r="B16" s="133" t="str">
        <f>VLOOKUP(Tablo810[[#This Row],[ ÜRÜN KODU]],YMKODLARI!$A$1:$H$376,2,0)</f>
        <v>KOM. SİL. KLASİK PRAMATÜRE EMZİK</v>
      </c>
      <c r="C16" s="133">
        <f>SUMIF(Tablo8[[ ÜRÜN KODU]],Tablo810[[#This Row],[ ÜRÜN KODU]],Tablo8[SEVK ADEDİ])-Tablo810[[#This Row],[GERİ İADE ÜRÜN]]</f>
        <v>0</v>
      </c>
      <c r="D16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16" s="133"/>
      <c r="F16" s="133">
        <f t="shared" si="0"/>
        <v>0</v>
      </c>
      <c r="G16" s="133">
        <f>SUMIFS(SevkAdetleri!$D:$D,SevkAdetleri!$A:$A,A16,SevkAdetleri!$E:$E,"OCAK")</f>
        <v>0</v>
      </c>
      <c r="H16" s="133">
        <f>SUMIFS(SevkAdetleri!$D:$D,SevkAdetleri!$A:$A,A16,SevkAdetleri!$E:$E,"ŞUBAT")</f>
        <v>0</v>
      </c>
      <c r="I16" s="133">
        <f>SUMIFS(SevkAdetleri!$D:$D,SevkAdetleri!$A:$A,A16,SevkAdetleri!$E:$E,"MART")</f>
        <v>0</v>
      </c>
      <c r="J16" s="133">
        <f>SUMIFS(SevkAdetleri!$D:$D,SevkAdetleri!$A:$A,A16,SevkAdetleri!$E:$E,"NİSAN")</f>
        <v>0</v>
      </c>
      <c r="K16" s="133">
        <f>SUMIFS(SevkAdetleri!$D:$D,SevkAdetleri!$A:$A,A16,SevkAdetleri!$E:$E,"MAYIS")</f>
        <v>0</v>
      </c>
      <c r="L16" s="133">
        <f>SUMIFS(SevkAdetleri!$D:$D,SevkAdetleri!$A:$A,A16,SevkAdetleri!$E:$E,"HAZIRAN")</f>
        <v>0</v>
      </c>
      <c r="M16" s="133">
        <f>SUMIFS(SevkAdetleri!$D:$D,SevkAdetleri!$A:$A,A16,SevkAdetleri!$E:$E,"TEMMUZ")</f>
        <v>0</v>
      </c>
      <c r="N16" s="133">
        <f>SUMIFS(SevkAdetleri!$D:$D,SevkAdetleri!$A:$A,A16,SevkAdetleri!$E:$E,"AĞUSTOS")</f>
        <v>0</v>
      </c>
      <c r="O16" s="133">
        <f>SUMIFS(SevkAdetleri!$D:$D,SevkAdetleri!$A:$A,A16,SevkAdetleri!$E:$E,"EYLÜL")</f>
        <v>0</v>
      </c>
      <c r="P16" s="133">
        <f>SUMIFS(SevkAdetleri!$D:$D,SevkAdetleri!$A:$A,A16,SevkAdetleri!$E:$E,"EKİM")</f>
        <v>0</v>
      </c>
      <c r="Q16" s="133">
        <f>SUMIFS(SevkAdetleri!$D:$D,SevkAdetleri!$A:$A,A16,SevkAdetleri!$E:$E,"KASIM")</f>
        <v>0</v>
      </c>
      <c r="R16" s="133">
        <f>SUMIFS(SevkAdetleri!$D:$D,SevkAdetleri!$A:$A,A16,SevkAdetleri!$E:$E,"ARALIK")</f>
        <v>0</v>
      </c>
    </row>
    <row r="17" spans="1:18">
      <c r="A17" s="132" t="s">
        <v>34</v>
      </c>
      <c r="B17" s="133" t="str">
        <f>VLOOKUP(Tablo810[[#This Row],[ ÜRÜN KODU]],YMKODLARI!$A$1:$H$376,2,0)</f>
        <v>BİBERON KLASİK  UC 1 NO</v>
      </c>
      <c r="C17" s="133">
        <f>SUMIF(Tablo8[[ ÜRÜN KODU]],Tablo810[[#This Row],[ ÜRÜN KODU]],Tablo8[SEVK ADEDİ])-Tablo810[[#This Row],[GERİ İADE ÜRÜN]]</f>
        <v>1189326</v>
      </c>
      <c r="D17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1207184</v>
      </c>
      <c r="E17" s="133"/>
      <c r="F17" s="133">
        <f t="shared" si="0"/>
        <v>17858</v>
      </c>
      <c r="G17" s="133">
        <f>SUMIFS(SevkAdetleri!$D:$D,SevkAdetleri!$A:$A,A17,SevkAdetleri!$E:$E,"OCAK")</f>
        <v>135000</v>
      </c>
      <c r="H17" s="133">
        <f>SUMIFS(SevkAdetleri!$D:$D,SevkAdetleri!$A:$A,A17,SevkAdetleri!$E:$E,"ŞUBAT")</f>
        <v>117900</v>
      </c>
      <c r="I17" s="133">
        <f>SUMIFS(SevkAdetleri!$D:$D,SevkAdetleri!$A:$A,A17,SevkAdetleri!$E:$E,"MART")</f>
        <v>168000</v>
      </c>
      <c r="J17" s="133">
        <f>SUMIFS(SevkAdetleri!$D:$D,SevkAdetleri!$A:$A,A17,SevkAdetleri!$E:$E,"NİSAN")</f>
        <v>136713</v>
      </c>
      <c r="K17" s="133">
        <f>SUMIFS(SevkAdetleri!$D:$D,SevkAdetleri!$A:$A,A17,SevkAdetleri!$E:$E,"MAYIS")</f>
        <v>160000</v>
      </c>
      <c r="L17" s="133">
        <f>SUMIFS(SevkAdetleri!$D:$D,SevkAdetleri!$A:$A,A17,SevkAdetleri!$E:$E,"HAZIRAN")</f>
        <v>134000</v>
      </c>
      <c r="M17" s="133">
        <f>SUMIFS(SevkAdetleri!$D:$D,SevkAdetleri!$A:$A,A17,SevkAdetleri!$E:$E,"TEMMUZ")</f>
        <v>60823</v>
      </c>
      <c r="N17" s="133">
        <f>SUMIFS(SevkAdetleri!$D:$D,SevkAdetleri!$A:$A,A17,SevkAdetleri!$E:$E,"AĞUSTOS")</f>
        <v>52000</v>
      </c>
      <c r="O17" s="133">
        <f>SUMIFS(SevkAdetleri!$D:$D,SevkAdetleri!$A:$A,A17,SevkAdetleri!$E:$E,"EYLÜL")</f>
        <v>115000</v>
      </c>
      <c r="P17" s="133">
        <f>SUMIFS(SevkAdetleri!$D:$D,SevkAdetleri!$A:$A,A17,SevkAdetleri!$E:$E,"EKİM")</f>
        <v>109890</v>
      </c>
      <c r="Q17" s="133">
        <f>SUMIFS(SevkAdetleri!$D:$D,SevkAdetleri!$A:$A,A17,SevkAdetleri!$E:$E,"KASIM")</f>
        <v>0</v>
      </c>
      <c r="R17" s="133">
        <f>SUMIFS(SevkAdetleri!$D:$D,SevkAdetleri!$A:$A,A17,SevkAdetleri!$E:$E,"ARALIK")</f>
        <v>0</v>
      </c>
    </row>
    <row r="18" spans="1:18">
      <c r="A18" s="132" t="s">
        <v>28</v>
      </c>
      <c r="B18" s="133" t="str">
        <f>VLOOKUP(Tablo810[[#This Row],[ ÜRÜN KODU]],YMKODLARI!$A$1:$H$376,2,0)</f>
        <v>BİBERON KLASİK  UC 2 NO</v>
      </c>
      <c r="C18" s="133">
        <f>SUMIF(Tablo8[[ ÜRÜN KODU]],Tablo810[[#This Row],[ ÜRÜN KODU]],Tablo8[SEVK ADEDİ])-Tablo810[[#This Row],[GERİ İADE ÜRÜN]]</f>
        <v>209228</v>
      </c>
      <c r="D18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214624</v>
      </c>
      <c r="E18" s="133"/>
      <c r="F18" s="133">
        <f t="shared" si="0"/>
        <v>5396</v>
      </c>
      <c r="G18" s="133">
        <f>SUMIFS(SevkAdetleri!$D:$D,SevkAdetleri!$A:$A,A18,SevkAdetleri!$E:$E,"OCAK")</f>
        <v>60805</v>
      </c>
      <c r="H18" s="133">
        <f>SUMIFS(SevkAdetleri!$D:$D,SevkAdetleri!$A:$A,A18,SevkAdetleri!$E:$E,"ŞUBAT")</f>
        <v>0</v>
      </c>
      <c r="I18" s="133">
        <f>SUMIFS(SevkAdetleri!$D:$D,SevkAdetleri!$A:$A,A18,SevkAdetleri!$E:$E,"MART")</f>
        <v>94250</v>
      </c>
      <c r="J18" s="133">
        <f>SUMIFS(SevkAdetleri!$D:$D,SevkAdetleri!$A:$A,A18,SevkAdetleri!$E:$E,"NİSAN")</f>
        <v>22777</v>
      </c>
      <c r="K18" s="133">
        <f>SUMIFS(SevkAdetleri!$D:$D,SevkAdetleri!$A:$A,A18,SevkAdetleri!$E:$E,"MAYIS")</f>
        <v>0</v>
      </c>
      <c r="L18" s="133">
        <f>SUMIFS(SevkAdetleri!$D:$D,SevkAdetleri!$A:$A,A18,SevkAdetleri!$E:$E,"HAZIRAN")</f>
        <v>0</v>
      </c>
      <c r="M18" s="133">
        <f>SUMIFS(SevkAdetleri!$D:$D,SevkAdetleri!$A:$A,A18,SevkAdetleri!$E:$E,"TEMMUZ")</f>
        <v>0</v>
      </c>
      <c r="N18" s="133">
        <f>SUMIFS(SevkAdetleri!$D:$D,SevkAdetleri!$A:$A,A18,SevkAdetleri!$E:$E,"AĞUSTOS")</f>
        <v>31396</v>
      </c>
      <c r="O18" s="133">
        <f>SUMIFS(SevkAdetleri!$D:$D,SevkAdetleri!$A:$A,A18,SevkAdetleri!$E:$E,"EYLÜL")</f>
        <v>0</v>
      </c>
      <c r="P18" s="133">
        <f>SUMIFS(SevkAdetleri!$D:$D,SevkAdetleri!$A:$A,A18,SevkAdetleri!$E:$E,"EKİM")</f>
        <v>0</v>
      </c>
      <c r="Q18" s="133">
        <f>SUMIFS(SevkAdetleri!$D:$D,SevkAdetleri!$A:$A,A18,SevkAdetleri!$E:$E,"KASIM")</f>
        <v>0</v>
      </c>
      <c r="R18" s="133">
        <f>SUMIFS(SevkAdetleri!$D:$D,SevkAdetleri!$A:$A,A18,SevkAdetleri!$E:$E,"ARALIK")</f>
        <v>0</v>
      </c>
    </row>
    <row r="19" spans="1:18">
      <c r="A19" s="132" t="s">
        <v>46</v>
      </c>
      <c r="B19" s="133" t="str">
        <f>VLOOKUP(Tablo810[[#This Row],[ ÜRÜN KODU]],YMKODLARI!$A$1:$H$376,2,0)</f>
        <v>BİBERON KLASİK  UC 3 NO</v>
      </c>
      <c r="C19" s="133">
        <f>SUMIF(Tablo8[[ ÜRÜN KODU]],Tablo810[[#This Row],[ ÜRÜN KODU]],Tablo8[SEVK ADEDİ])-Tablo810[[#This Row],[GERİ İADE ÜRÜN]]</f>
        <v>19483</v>
      </c>
      <c r="D19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22256</v>
      </c>
      <c r="E19" s="133"/>
      <c r="F19" s="133">
        <f t="shared" si="0"/>
        <v>2773</v>
      </c>
      <c r="G19" s="133">
        <f>SUMIFS(SevkAdetleri!$D:$D,SevkAdetleri!$A:$A,A19,SevkAdetleri!$E:$E,"OCAK")</f>
        <v>0</v>
      </c>
      <c r="H19" s="133">
        <f>SUMIFS(SevkAdetleri!$D:$D,SevkAdetleri!$A:$A,A19,SevkAdetleri!$E:$E,"ŞUBAT")</f>
        <v>0</v>
      </c>
      <c r="I19" s="133">
        <f>SUMIFS(SevkAdetleri!$D:$D,SevkAdetleri!$A:$A,A19,SevkAdetleri!$E:$E,"MART")</f>
        <v>0</v>
      </c>
      <c r="J19" s="133">
        <f>SUMIFS(SevkAdetleri!$D:$D,SevkAdetleri!$A:$A,A19,SevkAdetleri!$E:$E,"NİSAN")</f>
        <v>0</v>
      </c>
      <c r="K19" s="133">
        <f>SUMIFS(SevkAdetleri!$D:$D,SevkAdetleri!$A:$A,A19,SevkAdetleri!$E:$E,"MAYIS")</f>
        <v>0</v>
      </c>
      <c r="L19" s="133">
        <f>SUMIFS(SevkAdetleri!$D:$D,SevkAdetleri!$A:$A,A19,SevkAdetleri!$E:$E,"HAZIRAN")</f>
        <v>11000</v>
      </c>
      <c r="M19" s="133">
        <f>SUMIFS(SevkAdetleri!$D:$D,SevkAdetleri!$A:$A,A19,SevkAdetleri!$E:$E,"TEMMUZ")</f>
        <v>8483</v>
      </c>
      <c r="N19" s="133">
        <f>SUMIFS(SevkAdetleri!$D:$D,SevkAdetleri!$A:$A,A19,SevkAdetleri!$E:$E,"AĞUSTOS")</f>
        <v>0</v>
      </c>
      <c r="O19" s="133">
        <f>SUMIFS(SevkAdetleri!$D:$D,SevkAdetleri!$A:$A,A19,SevkAdetleri!$E:$E,"EYLÜL")</f>
        <v>0</v>
      </c>
      <c r="P19" s="133">
        <f>SUMIFS(SevkAdetleri!$D:$D,SevkAdetleri!$A:$A,A19,SevkAdetleri!$E:$E,"EKİM")</f>
        <v>0</v>
      </c>
      <c r="Q19" s="133">
        <f>SUMIFS(SevkAdetleri!$D:$D,SevkAdetleri!$A:$A,A19,SevkAdetleri!$E:$E,"KASIM")</f>
        <v>0</v>
      </c>
      <c r="R19" s="133">
        <f>SUMIFS(SevkAdetleri!$D:$D,SevkAdetleri!$A:$A,A19,SevkAdetleri!$E:$E,"ARALIK")</f>
        <v>0</v>
      </c>
    </row>
    <row r="20" spans="1:18">
      <c r="A20" s="132" t="s">
        <v>283</v>
      </c>
      <c r="B20" s="133" t="str">
        <f>VLOOKUP(Tablo810[[#This Row],[ ÜRÜN KODU]],YMKODLARI!$A$1:$H$376,2,0)</f>
        <v>BİBERON DAMAK UC 1 NO</v>
      </c>
      <c r="C20" s="133">
        <f>SUMIF(Tablo8[[ ÜRÜN KODU]],Tablo810[[#This Row],[ ÜRÜN KODU]],Tablo8[SEVK ADEDİ])-Tablo810[[#This Row],[GERİ İADE ÜRÜN]]</f>
        <v>0</v>
      </c>
      <c r="D20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20" s="133"/>
      <c r="F20" s="133">
        <f t="shared" si="0"/>
        <v>0</v>
      </c>
      <c r="G20" s="133">
        <f>SUMIFS(SevkAdetleri!$D:$D,SevkAdetleri!$A:$A,A20,SevkAdetleri!$E:$E,"OCAK")</f>
        <v>0</v>
      </c>
      <c r="H20" s="133">
        <f>SUMIFS(SevkAdetleri!$D:$D,SevkAdetleri!$A:$A,A20,SevkAdetleri!$E:$E,"ŞUBAT")</f>
        <v>0</v>
      </c>
      <c r="I20" s="133">
        <f>SUMIFS(SevkAdetleri!$D:$D,SevkAdetleri!$A:$A,A20,SevkAdetleri!$E:$E,"MART")</f>
        <v>0</v>
      </c>
      <c r="J20" s="133">
        <f>SUMIFS(SevkAdetleri!$D:$D,SevkAdetleri!$A:$A,A20,SevkAdetleri!$E:$E,"NİSAN")</f>
        <v>0</v>
      </c>
      <c r="K20" s="133">
        <f>SUMIFS(SevkAdetleri!$D:$D,SevkAdetleri!$A:$A,A20,SevkAdetleri!$E:$E,"MAYIS")</f>
        <v>0</v>
      </c>
      <c r="L20" s="133">
        <f>SUMIFS(SevkAdetleri!$D:$D,SevkAdetleri!$A:$A,A20,SevkAdetleri!$E:$E,"HAZIRAN")</f>
        <v>0</v>
      </c>
      <c r="M20" s="133">
        <f>SUMIFS(SevkAdetleri!$D:$D,SevkAdetleri!$A:$A,A20,SevkAdetleri!$E:$E,"TEMMUZ")</f>
        <v>0</v>
      </c>
      <c r="N20" s="133">
        <f>SUMIFS(SevkAdetleri!$D:$D,SevkAdetleri!$A:$A,A20,SevkAdetleri!$E:$E,"AĞUSTOS")</f>
        <v>0</v>
      </c>
      <c r="O20" s="133">
        <f>SUMIFS(SevkAdetleri!$D:$D,SevkAdetleri!$A:$A,A20,SevkAdetleri!$E:$E,"EYLÜL")</f>
        <v>0</v>
      </c>
      <c r="P20" s="133">
        <f>SUMIFS(SevkAdetleri!$D:$D,SevkAdetleri!$A:$A,A20,SevkAdetleri!$E:$E,"EKİM")</f>
        <v>0</v>
      </c>
      <c r="Q20" s="133">
        <f>SUMIFS(SevkAdetleri!$D:$D,SevkAdetleri!$A:$A,A20,SevkAdetleri!$E:$E,"KASIM")</f>
        <v>0</v>
      </c>
      <c r="R20" s="133">
        <f>SUMIFS(SevkAdetleri!$D:$D,SevkAdetleri!$A:$A,A20,SevkAdetleri!$E:$E,"ARALIK")</f>
        <v>0</v>
      </c>
    </row>
    <row r="21" spans="1:18">
      <c r="A21" s="132" t="s">
        <v>284</v>
      </c>
      <c r="B21" s="133" t="str">
        <f>VLOOKUP(Tablo810[[#This Row],[ ÜRÜN KODU]],YMKODLARI!$A$1:$H$376,2,0)</f>
        <v>BİBERON DAMAK UC 2 NO</v>
      </c>
      <c r="C21" s="133">
        <f>SUMIF(Tablo8[[ ÜRÜN KODU]],Tablo810[[#This Row],[ ÜRÜN KODU]],Tablo8[SEVK ADEDİ])-Tablo810[[#This Row],[GERİ İADE ÜRÜN]]</f>
        <v>0</v>
      </c>
      <c r="D21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21" s="133"/>
      <c r="F21" s="133">
        <f t="shared" si="0"/>
        <v>0</v>
      </c>
      <c r="G21" s="133">
        <f>SUMIFS(SevkAdetleri!$D:$D,SevkAdetleri!$A:$A,A21,SevkAdetleri!$E:$E,"OCAK")</f>
        <v>0</v>
      </c>
      <c r="H21" s="133">
        <f>SUMIFS(SevkAdetleri!$D:$D,SevkAdetleri!$A:$A,A21,SevkAdetleri!$E:$E,"ŞUBAT")</f>
        <v>0</v>
      </c>
      <c r="I21" s="133">
        <f>SUMIFS(SevkAdetleri!$D:$D,SevkAdetleri!$A:$A,A21,SevkAdetleri!$E:$E,"MART")</f>
        <v>0</v>
      </c>
      <c r="J21" s="133">
        <f>SUMIFS(SevkAdetleri!$D:$D,SevkAdetleri!$A:$A,A21,SevkAdetleri!$E:$E,"NİSAN")</f>
        <v>0</v>
      </c>
      <c r="K21" s="133">
        <f>SUMIFS(SevkAdetleri!$D:$D,SevkAdetleri!$A:$A,A21,SevkAdetleri!$E:$E,"MAYIS")</f>
        <v>0</v>
      </c>
      <c r="L21" s="133">
        <f>SUMIFS(SevkAdetleri!$D:$D,SevkAdetleri!$A:$A,A21,SevkAdetleri!$E:$E,"HAZIRAN")</f>
        <v>0</v>
      </c>
      <c r="M21" s="133">
        <f>SUMIFS(SevkAdetleri!$D:$D,SevkAdetleri!$A:$A,A21,SevkAdetleri!$E:$E,"TEMMUZ")</f>
        <v>0</v>
      </c>
      <c r="N21" s="133">
        <f>SUMIFS(SevkAdetleri!$D:$D,SevkAdetleri!$A:$A,A21,SevkAdetleri!$E:$E,"AĞUSTOS")</f>
        <v>0</v>
      </c>
      <c r="O21" s="133">
        <f>SUMIFS(SevkAdetleri!$D:$D,SevkAdetleri!$A:$A,A21,SevkAdetleri!$E:$E,"EYLÜL")</f>
        <v>0</v>
      </c>
      <c r="P21" s="133">
        <f>SUMIFS(SevkAdetleri!$D:$D,SevkAdetleri!$A:$A,A21,SevkAdetleri!$E:$E,"EKİM")</f>
        <v>0</v>
      </c>
      <c r="Q21" s="133">
        <f>SUMIFS(SevkAdetleri!$D:$D,SevkAdetleri!$A:$A,A21,SevkAdetleri!$E:$E,"KASIM")</f>
        <v>0</v>
      </c>
      <c r="R21" s="133">
        <f>SUMIFS(SevkAdetleri!$D:$D,SevkAdetleri!$A:$A,A21,SevkAdetleri!$E:$E,"ARALIK")</f>
        <v>0</v>
      </c>
    </row>
    <row r="22" spans="1:18">
      <c r="A22" s="132" t="s">
        <v>43</v>
      </c>
      <c r="B22" s="133" t="str">
        <f>VLOOKUP(Tablo810[[#This Row],[ ÜRÜN KODU]],YMKODLARI!$A$1:$H$376,2,0)</f>
        <v>BİBERON DAMAK UC 3 NO</v>
      </c>
      <c r="C22" s="133">
        <f>SUMIF(Tablo8[[ ÜRÜN KODU]],Tablo810[[#This Row],[ ÜRÜN KODU]],Tablo8[SEVK ADEDİ])-Tablo810[[#This Row],[GERİ İADE ÜRÜN]]</f>
        <v>11023</v>
      </c>
      <c r="D22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11068</v>
      </c>
      <c r="E22" s="133"/>
      <c r="F22" s="133">
        <f t="shared" si="0"/>
        <v>45</v>
      </c>
      <c r="G22" s="133">
        <f>SUMIFS(SevkAdetleri!$D:$D,SevkAdetleri!$A:$A,A22,SevkAdetleri!$E:$E,"OCAK")</f>
        <v>11023</v>
      </c>
      <c r="H22" s="133">
        <f>SUMIFS(SevkAdetleri!$D:$D,SevkAdetleri!$A:$A,A22,SevkAdetleri!$E:$E,"ŞUBAT")</f>
        <v>0</v>
      </c>
      <c r="I22" s="133">
        <f>SUMIFS(SevkAdetleri!$D:$D,SevkAdetleri!$A:$A,A22,SevkAdetleri!$E:$E,"MART")</f>
        <v>0</v>
      </c>
      <c r="J22" s="133">
        <f>SUMIFS(SevkAdetleri!$D:$D,SevkAdetleri!$A:$A,A22,SevkAdetleri!$E:$E,"NİSAN")</f>
        <v>0</v>
      </c>
      <c r="K22" s="133">
        <f>SUMIFS(SevkAdetleri!$D:$D,SevkAdetleri!$A:$A,A22,SevkAdetleri!$E:$E,"MAYIS")</f>
        <v>0</v>
      </c>
      <c r="L22" s="133">
        <f>SUMIFS(SevkAdetleri!$D:$D,SevkAdetleri!$A:$A,A22,SevkAdetleri!$E:$E,"HAZIRAN")</f>
        <v>0</v>
      </c>
      <c r="M22" s="133">
        <f>SUMIFS(SevkAdetleri!$D:$D,SevkAdetleri!$A:$A,A22,SevkAdetleri!$E:$E,"TEMMUZ")</f>
        <v>0</v>
      </c>
      <c r="N22" s="133">
        <f>SUMIFS(SevkAdetleri!$D:$D,SevkAdetleri!$A:$A,A22,SevkAdetleri!$E:$E,"AĞUSTOS")</f>
        <v>0</v>
      </c>
      <c r="O22" s="133">
        <f>SUMIFS(SevkAdetleri!$D:$D,SevkAdetleri!$A:$A,A22,SevkAdetleri!$E:$E,"EYLÜL")</f>
        <v>0</v>
      </c>
      <c r="P22" s="133">
        <f>SUMIFS(SevkAdetleri!$D:$D,SevkAdetleri!$A:$A,A22,SevkAdetleri!$E:$E,"EKİM")</f>
        <v>0</v>
      </c>
      <c r="Q22" s="133">
        <f>SUMIFS(SevkAdetleri!$D:$D,SevkAdetleri!$A:$A,A22,SevkAdetleri!$E:$E,"KASIM")</f>
        <v>0</v>
      </c>
      <c r="R22" s="133">
        <f>SUMIFS(SevkAdetleri!$D:$D,SevkAdetleri!$A:$A,A22,SevkAdetleri!$E:$E,"ARALIK")</f>
        <v>0</v>
      </c>
    </row>
    <row r="23" spans="1:18">
      <c r="A23" s="132" t="s">
        <v>32</v>
      </c>
      <c r="B23" s="133" t="str">
        <f>VLOOKUP(Tablo810[[#This Row],[ ÜRÜN KODU]],YMKODLARI!$A$1:$H$376,2,0)</f>
        <v>GENİŞ AĞIZ BİBERON UCU</v>
      </c>
      <c r="C23" s="133">
        <f>SUMIF(Tablo8[[ ÜRÜN KODU]],Tablo810[[#This Row],[ ÜRÜN KODU]],Tablo8[SEVK ADEDİ])-Tablo810[[#This Row],[GERİ İADE ÜRÜN]]</f>
        <v>72846</v>
      </c>
      <c r="D23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69318</v>
      </c>
      <c r="E23" s="133"/>
      <c r="F23" s="133">
        <f t="shared" si="0"/>
        <v>-3528</v>
      </c>
      <c r="G23" s="133">
        <f>SUMIFS(SevkAdetleri!$D:$D,SevkAdetleri!$A:$A,A23,SevkAdetleri!$E:$E,"OCAK")</f>
        <v>0</v>
      </c>
      <c r="H23" s="133">
        <f>SUMIFS(SevkAdetleri!$D:$D,SevkAdetleri!$A:$A,A23,SevkAdetleri!$E:$E,"ŞUBAT")</f>
        <v>3000</v>
      </c>
      <c r="I23" s="133">
        <f>SUMIFS(SevkAdetleri!$D:$D,SevkAdetleri!$A:$A,A23,SevkAdetleri!$E:$E,"MART")</f>
        <v>12540</v>
      </c>
      <c r="J23" s="133">
        <f>SUMIFS(SevkAdetleri!$D:$D,SevkAdetleri!$A:$A,A23,SevkAdetleri!$E:$E,"NİSAN")</f>
        <v>0</v>
      </c>
      <c r="K23" s="133">
        <f>SUMIFS(SevkAdetleri!$D:$D,SevkAdetleri!$A:$A,A23,SevkAdetleri!$E:$E,"MAYIS")</f>
        <v>0</v>
      </c>
      <c r="L23" s="133">
        <f>SUMIFS(SevkAdetleri!$D:$D,SevkAdetleri!$A:$A,A23,SevkAdetleri!$E:$E,"HAZIRAN")</f>
        <v>26500</v>
      </c>
      <c r="M23" s="133">
        <f>SUMIFS(SevkAdetleri!$D:$D,SevkAdetleri!$A:$A,A23,SevkAdetleri!$E:$E,"TEMMUZ")</f>
        <v>197</v>
      </c>
      <c r="N23" s="133">
        <f>SUMIFS(SevkAdetleri!$D:$D,SevkAdetleri!$A:$A,A23,SevkAdetleri!$E:$E,"AĞUSTOS")</f>
        <v>5000</v>
      </c>
      <c r="O23" s="133">
        <f>SUMIFS(SevkAdetleri!$D:$D,SevkAdetleri!$A:$A,A23,SevkAdetleri!$E:$E,"EYLÜL")</f>
        <v>25609</v>
      </c>
      <c r="P23" s="133">
        <f>SUMIFS(SevkAdetleri!$D:$D,SevkAdetleri!$A:$A,A23,SevkAdetleri!$E:$E,"EKİM")</f>
        <v>0</v>
      </c>
      <c r="Q23" s="133">
        <f>SUMIFS(SevkAdetleri!$D:$D,SevkAdetleri!$A:$A,A23,SevkAdetleri!$E:$E,"KASIM")</f>
        <v>0</v>
      </c>
      <c r="R23" s="133">
        <f>SUMIFS(SevkAdetleri!$D:$D,SevkAdetleri!$A:$A,A23,SevkAdetleri!$E:$E,"ARALIK")</f>
        <v>0</v>
      </c>
    </row>
    <row r="24" spans="1:18">
      <c r="A24" s="132" t="s">
        <v>41</v>
      </c>
      <c r="B24" s="133" t="str">
        <f>VLOOKUP(Tablo810[[#This Row],[ ÜRÜN KODU]],YMKODLARI!$A$1:$H$376,2,0)</f>
        <v>AKITMAZ BİBERON UCU</v>
      </c>
      <c r="C24" s="133">
        <f>SUMIF(Tablo8[[ ÜRÜN KODU]],Tablo810[[#This Row],[ ÜRÜN KODU]],Tablo8[SEVK ADEDİ])-Tablo810[[#This Row],[GERİ İADE ÜRÜN]]</f>
        <v>13333</v>
      </c>
      <c r="D24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15036</v>
      </c>
      <c r="E24" s="133"/>
      <c r="F24" s="133">
        <f t="shared" si="0"/>
        <v>1703</v>
      </c>
      <c r="G24" s="133">
        <f>SUMIFS(SevkAdetleri!$D:$D,SevkAdetleri!$A:$A,A24,SevkAdetleri!$E:$E,"OCAK")</f>
        <v>0</v>
      </c>
      <c r="H24" s="133">
        <f>SUMIFS(SevkAdetleri!$D:$D,SevkAdetleri!$A:$A,A24,SevkAdetleri!$E:$E,"ŞUBAT")</f>
        <v>0</v>
      </c>
      <c r="I24" s="133">
        <f>SUMIFS(SevkAdetleri!$D:$D,SevkAdetleri!$A:$A,A24,SevkAdetleri!$E:$E,"MART")</f>
        <v>0</v>
      </c>
      <c r="J24" s="133">
        <f>SUMIFS(SevkAdetleri!$D:$D,SevkAdetleri!$A:$A,A24,SevkAdetleri!$E:$E,"NİSAN")</f>
        <v>0</v>
      </c>
      <c r="K24" s="133">
        <f>SUMIFS(SevkAdetleri!$D:$D,SevkAdetleri!$A:$A,A24,SevkAdetleri!$E:$E,"MAYIS")</f>
        <v>0</v>
      </c>
      <c r="L24" s="133">
        <f>SUMIFS(SevkAdetleri!$D:$D,SevkAdetleri!$A:$A,A24,SevkAdetleri!$E:$E,"HAZIRAN")</f>
        <v>0</v>
      </c>
      <c r="M24" s="133">
        <f>SUMIFS(SevkAdetleri!$D:$D,SevkAdetleri!$A:$A,A24,SevkAdetleri!$E:$E,"TEMMUZ")</f>
        <v>0</v>
      </c>
      <c r="N24" s="133">
        <f>SUMIFS(SevkAdetleri!$D:$D,SevkAdetleri!$A:$A,A24,SevkAdetleri!$E:$E,"AĞUSTOS")</f>
        <v>5500</v>
      </c>
      <c r="O24" s="133">
        <f>SUMIFS(SevkAdetleri!$D:$D,SevkAdetleri!$A:$A,A24,SevkAdetleri!$E:$E,"EYLÜL")</f>
        <v>333</v>
      </c>
      <c r="P24" s="133">
        <f>SUMIFS(SevkAdetleri!$D:$D,SevkAdetleri!$A:$A,A24,SevkAdetleri!$E:$E,"EKİM")</f>
        <v>7500</v>
      </c>
      <c r="Q24" s="133">
        <f>SUMIFS(SevkAdetleri!$D:$D,SevkAdetleri!$A:$A,A24,SevkAdetleri!$E:$E,"KASIM")</f>
        <v>0</v>
      </c>
      <c r="R24" s="133">
        <f>SUMIFS(SevkAdetleri!$D:$D,SevkAdetleri!$A:$A,A24,SevkAdetleri!$E:$E,"ARALIK")</f>
        <v>0</v>
      </c>
    </row>
    <row r="25" spans="1:18">
      <c r="A25" s="132" t="s">
        <v>285</v>
      </c>
      <c r="B25" s="133" t="str">
        <f>VLOOKUP(Tablo810[[#This Row],[ ÜRÜN KODU]],YMKODLARI!$A$1:$H$376,2,0)</f>
        <v>PRAMATÜRE BİBERON UCU</v>
      </c>
      <c r="C25" s="133">
        <f>SUMIF(Tablo8[[ ÜRÜN KODU]],Tablo810[[#This Row],[ ÜRÜN KODU]],Tablo8[SEVK ADEDİ])-Tablo810[[#This Row],[GERİ İADE ÜRÜN]]</f>
        <v>0</v>
      </c>
      <c r="D25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25" s="133"/>
      <c r="F25" s="133">
        <f t="shared" si="0"/>
        <v>0</v>
      </c>
      <c r="G25" s="133">
        <f>SUMIFS(SevkAdetleri!$D:$D,SevkAdetleri!$A:$A,A25,SevkAdetleri!$E:$E,"OCAK")</f>
        <v>0</v>
      </c>
      <c r="H25" s="133">
        <f>SUMIFS(SevkAdetleri!$D:$D,SevkAdetleri!$A:$A,A25,SevkAdetleri!$E:$E,"ŞUBAT")</f>
        <v>0</v>
      </c>
      <c r="I25" s="133">
        <f>SUMIFS(SevkAdetleri!$D:$D,SevkAdetleri!$A:$A,A25,SevkAdetleri!$E:$E,"MART")</f>
        <v>0</v>
      </c>
      <c r="J25" s="133">
        <f>SUMIFS(SevkAdetleri!$D:$D,SevkAdetleri!$A:$A,A25,SevkAdetleri!$E:$E,"NİSAN")</f>
        <v>0</v>
      </c>
      <c r="K25" s="133">
        <f>SUMIFS(SevkAdetleri!$D:$D,SevkAdetleri!$A:$A,A25,SevkAdetleri!$E:$E,"MAYIS")</f>
        <v>0</v>
      </c>
      <c r="L25" s="133">
        <f>SUMIFS(SevkAdetleri!$D:$D,SevkAdetleri!$A:$A,A25,SevkAdetleri!$E:$E,"HAZIRAN")</f>
        <v>0</v>
      </c>
      <c r="M25" s="133">
        <f>SUMIFS(SevkAdetleri!$D:$D,SevkAdetleri!$A:$A,A25,SevkAdetleri!$E:$E,"TEMMUZ")</f>
        <v>0</v>
      </c>
      <c r="N25" s="133">
        <f>SUMIFS(SevkAdetleri!$D:$D,SevkAdetleri!$A:$A,A25,SevkAdetleri!$E:$E,"AĞUSTOS")</f>
        <v>0</v>
      </c>
      <c r="O25" s="133">
        <f>SUMIFS(SevkAdetleri!$D:$D,SevkAdetleri!$A:$A,A25,SevkAdetleri!$E:$E,"EYLÜL")</f>
        <v>0</v>
      </c>
      <c r="P25" s="133">
        <f>SUMIFS(SevkAdetleri!$D:$D,SevkAdetleri!$A:$A,A25,SevkAdetleri!$E:$E,"EKİM")</f>
        <v>0</v>
      </c>
      <c r="Q25" s="133">
        <f>SUMIFS(SevkAdetleri!$D:$D,SevkAdetleri!$A:$A,A25,SevkAdetleri!$E:$E,"KASIM")</f>
        <v>0</v>
      </c>
      <c r="R25" s="133">
        <f>SUMIFS(SevkAdetleri!$D:$D,SevkAdetleri!$A:$A,A25,SevkAdetleri!$E:$E,"ARALIK")</f>
        <v>0</v>
      </c>
    </row>
    <row r="26" spans="1:18">
      <c r="A26" s="132" t="s">
        <v>53</v>
      </c>
      <c r="B26" s="133" t="str">
        <f>VLOOKUP(Tablo810[[#This Row],[ ÜRÜN KODU]],YMKODLARI!$A$1:$H$376,2,0)</f>
        <v xml:space="preserve">SİLİKON MAMA KAŞIĞI UCU </v>
      </c>
      <c r="C26" s="133">
        <f>SUMIF(Tablo8[[ ÜRÜN KODU]],Tablo810[[#This Row],[ ÜRÜN KODU]],Tablo8[SEVK ADEDİ])-Tablo810[[#This Row],[GERİ İADE ÜRÜN]]</f>
        <v>70231</v>
      </c>
      <c r="D26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69392</v>
      </c>
      <c r="E26" s="133"/>
      <c r="F26" s="133">
        <f t="shared" si="0"/>
        <v>-839</v>
      </c>
      <c r="G26" s="133">
        <f>SUMIFS(SevkAdetleri!$D:$D,SevkAdetleri!$A:$A,A26,SevkAdetleri!$E:$E,"OCAK")</f>
        <v>0</v>
      </c>
      <c r="H26" s="133">
        <f>SUMIFS(SevkAdetleri!$D:$D,SevkAdetleri!$A:$A,A26,SevkAdetleri!$E:$E,"ŞUBAT")</f>
        <v>0</v>
      </c>
      <c r="I26" s="133">
        <f>SUMIFS(SevkAdetleri!$D:$D,SevkAdetleri!$A:$A,A26,SevkAdetleri!$E:$E,"MART")</f>
        <v>19987</v>
      </c>
      <c r="J26" s="133">
        <f>SUMIFS(SevkAdetleri!$D:$D,SevkAdetleri!$A:$A,A26,SevkAdetleri!$E:$E,"NİSAN")</f>
        <v>0</v>
      </c>
      <c r="K26" s="133">
        <f>SUMIFS(SevkAdetleri!$D:$D,SevkAdetleri!$A:$A,A26,SevkAdetleri!$E:$E,"MAYIS")</f>
        <v>0</v>
      </c>
      <c r="L26" s="133">
        <f>SUMIFS(SevkAdetleri!$D:$D,SevkAdetleri!$A:$A,A26,SevkAdetleri!$E:$E,"HAZIRAN")</f>
        <v>19000</v>
      </c>
      <c r="M26" s="133">
        <f>SUMIFS(SevkAdetleri!$D:$D,SevkAdetleri!$A:$A,A26,SevkAdetleri!$E:$E,"TEMMUZ")</f>
        <v>480</v>
      </c>
      <c r="N26" s="133">
        <f>SUMIFS(SevkAdetleri!$D:$D,SevkAdetleri!$A:$A,A26,SevkAdetleri!$E:$E,"AĞUSTOS")</f>
        <v>15244</v>
      </c>
      <c r="O26" s="133">
        <f>SUMIFS(SevkAdetleri!$D:$D,SevkAdetleri!$A:$A,A26,SevkAdetleri!$E:$E,"EYLÜL")</f>
        <v>0</v>
      </c>
      <c r="P26" s="133">
        <f>SUMIFS(SevkAdetleri!$D:$D,SevkAdetleri!$A:$A,A26,SevkAdetleri!$E:$E,"EKİM")</f>
        <v>15520</v>
      </c>
      <c r="Q26" s="133">
        <f>SUMIFS(SevkAdetleri!$D:$D,SevkAdetleri!$A:$A,A26,SevkAdetleri!$E:$E,"KASIM")</f>
        <v>0</v>
      </c>
      <c r="R26" s="133">
        <f>SUMIFS(SevkAdetleri!$D:$D,SevkAdetleri!$A:$A,A26,SevkAdetleri!$E:$E,"ARALIK")</f>
        <v>0</v>
      </c>
    </row>
    <row r="27" spans="1:18">
      <c r="A27" s="132" t="s">
        <v>286</v>
      </c>
      <c r="B27" s="133" t="str">
        <f>VLOOKUP(Tablo810[[#This Row],[ ÜRÜN KODU]],YMKODLARI!$A$1:$H$376,2,0)</f>
        <v>SİLİKON DİŞ KAŞIYICI AYI + FİL</v>
      </c>
      <c r="C27" s="133">
        <f>SUMIF(Tablo8[[ ÜRÜN KODU]],Tablo810[[#This Row],[ ÜRÜN KODU]],Tablo8[SEVK ADEDİ])-Tablo810[[#This Row],[GERİ İADE ÜRÜN]]</f>
        <v>0</v>
      </c>
      <c r="D27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27" s="133"/>
      <c r="F27" s="133">
        <f t="shared" si="0"/>
        <v>0</v>
      </c>
      <c r="G27" s="133">
        <f>SUMIFS(SevkAdetleri!$D:$D,SevkAdetleri!$A:$A,A27,SevkAdetleri!$E:$E,"OCAK")</f>
        <v>0</v>
      </c>
      <c r="H27" s="133">
        <f>SUMIFS(SevkAdetleri!$D:$D,SevkAdetleri!$A:$A,A27,SevkAdetleri!$E:$E,"ŞUBAT")</f>
        <v>0</v>
      </c>
      <c r="I27" s="133">
        <f>SUMIFS(SevkAdetleri!$D:$D,SevkAdetleri!$A:$A,A27,SevkAdetleri!$E:$E,"MART")</f>
        <v>0</v>
      </c>
      <c r="J27" s="133">
        <f>SUMIFS(SevkAdetleri!$D:$D,SevkAdetleri!$A:$A,A27,SevkAdetleri!$E:$E,"NİSAN")</f>
        <v>0</v>
      </c>
      <c r="K27" s="133">
        <f>SUMIFS(SevkAdetleri!$D:$D,SevkAdetleri!$A:$A,A27,SevkAdetleri!$E:$E,"MAYIS")</f>
        <v>0</v>
      </c>
      <c r="L27" s="133">
        <f>SUMIFS(SevkAdetleri!$D:$D,SevkAdetleri!$A:$A,A27,SevkAdetleri!$E:$E,"HAZIRAN")</f>
        <v>0</v>
      </c>
      <c r="M27" s="133">
        <f>SUMIFS(SevkAdetleri!$D:$D,SevkAdetleri!$A:$A,A27,SevkAdetleri!$E:$E,"TEMMUZ")</f>
        <v>0</v>
      </c>
      <c r="N27" s="133">
        <f>SUMIFS(SevkAdetleri!$D:$D,SevkAdetleri!$A:$A,A27,SevkAdetleri!$E:$E,"AĞUSTOS")</f>
        <v>0</v>
      </c>
      <c r="O27" s="133">
        <f>SUMIFS(SevkAdetleri!$D:$D,SevkAdetleri!$A:$A,A27,SevkAdetleri!$E:$E,"EYLÜL")</f>
        <v>0</v>
      </c>
      <c r="P27" s="133">
        <f>SUMIFS(SevkAdetleri!$D:$D,SevkAdetleri!$A:$A,A27,SevkAdetleri!$E:$E,"EKİM")</f>
        <v>0</v>
      </c>
      <c r="Q27" s="133">
        <f>SUMIFS(SevkAdetleri!$D:$D,SevkAdetleri!$A:$A,A27,SevkAdetleri!$E:$E,"KASIM")</f>
        <v>0</v>
      </c>
      <c r="R27" s="133">
        <f>SUMIFS(SevkAdetleri!$D:$D,SevkAdetleri!$A:$A,A27,SevkAdetleri!$E:$E,"ARALIK")</f>
        <v>0</v>
      </c>
    </row>
    <row r="28" spans="1:18">
      <c r="A28" s="132" t="s">
        <v>287</v>
      </c>
      <c r="B28" s="133" t="str">
        <f>VLOOKUP(Tablo810[[#This Row],[ ÜRÜN KODU]],YMKODLARI!$A$1:$H$376,2,0)</f>
        <v>SİLİKON DİŞ KAŞIYICI AYI + FİL</v>
      </c>
      <c r="C28" s="133">
        <f>SUMIF(Tablo8[[ ÜRÜN KODU]],Tablo810[[#This Row],[ ÜRÜN KODU]],Tablo8[SEVK ADEDİ])-Tablo810[[#This Row],[GERİ İADE ÜRÜN]]</f>
        <v>0</v>
      </c>
      <c r="D28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28" s="133"/>
      <c r="F28" s="133">
        <f t="shared" si="0"/>
        <v>0</v>
      </c>
      <c r="G28" s="133">
        <f>SUMIFS(SevkAdetleri!$D:$D,SevkAdetleri!$A:$A,A28,SevkAdetleri!$E:$E,"OCAK")</f>
        <v>0</v>
      </c>
      <c r="H28" s="133">
        <f>SUMIFS(SevkAdetleri!$D:$D,SevkAdetleri!$A:$A,A28,SevkAdetleri!$E:$E,"ŞUBAT")</f>
        <v>0</v>
      </c>
      <c r="I28" s="133">
        <f>SUMIFS(SevkAdetleri!$D:$D,SevkAdetleri!$A:$A,A28,SevkAdetleri!$E:$E,"MART")</f>
        <v>0</v>
      </c>
      <c r="J28" s="133">
        <f>SUMIFS(SevkAdetleri!$D:$D,SevkAdetleri!$A:$A,A28,SevkAdetleri!$E:$E,"NİSAN")</f>
        <v>0</v>
      </c>
      <c r="K28" s="133">
        <f>SUMIFS(SevkAdetleri!$D:$D,SevkAdetleri!$A:$A,A28,SevkAdetleri!$E:$E,"MAYIS")</f>
        <v>0</v>
      </c>
      <c r="L28" s="133">
        <f>SUMIFS(SevkAdetleri!$D:$D,SevkAdetleri!$A:$A,A28,SevkAdetleri!$E:$E,"HAZIRAN")</f>
        <v>0</v>
      </c>
      <c r="M28" s="133">
        <f>SUMIFS(SevkAdetleri!$D:$D,SevkAdetleri!$A:$A,A28,SevkAdetleri!$E:$E,"TEMMUZ")</f>
        <v>0</v>
      </c>
      <c r="N28" s="133">
        <f>SUMIFS(SevkAdetleri!$D:$D,SevkAdetleri!$A:$A,A28,SevkAdetleri!$E:$E,"AĞUSTOS")</f>
        <v>0</v>
      </c>
      <c r="O28" s="133">
        <f>SUMIFS(SevkAdetleri!$D:$D,SevkAdetleri!$A:$A,A28,SevkAdetleri!$E:$E,"EYLÜL")</f>
        <v>0</v>
      </c>
      <c r="P28" s="133">
        <f>SUMIFS(SevkAdetleri!$D:$D,SevkAdetleri!$A:$A,A28,SevkAdetleri!$E:$E,"EKİM")</f>
        <v>0</v>
      </c>
      <c r="Q28" s="133">
        <f>SUMIFS(SevkAdetleri!$D:$D,SevkAdetleri!$A:$A,A28,SevkAdetleri!$E:$E,"KASIM")</f>
        <v>0</v>
      </c>
      <c r="R28" s="133">
        <f>SUMIFS(SevkAdetleri!$D:$D,SevkAdetleri!$A:$A,A28,SevkAdetleri!$E:$E,"ARALIK")</f>
        <v>0</v>
      </c>
    </row>
    <row r="29" spans="1:18">
      <c r="A29" s="132" t="s">
        <v>288</v>
      </c>
      <c r="B29" s="133" t="str">
        <f>VLOOKUP(Tablo810[[#This Row],[ ÜRÜN KODU]],YMKODLARI!$A$1:$H$376,2,0)</f>
        <v>SİLİKON DİŞ KAŞIYICI AYI + FİL</v>
      </c>
      <c r="C29" s="133">
        <f>SUMIF(Tablo8[[ ÜRÜN KODU]],Tablo810[[#This Row],[ ÜRÜN KODU]],Tablo8[SEVK ADEDİ])-Tablo810[[#This Row],[GERİ İADE ÜRÜN]]</f>
        <v>0</v>
      </c>
      <c r="D29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29" s="133"/>
      <c r="F29" s="133">
        <f t="shared" si="0"/>
        <v>0</v>
      </c>
      <c r="G29" s="133">
        <f>SUMIFS(SevkAdetleri!$D:$D,SevkAdetleri!$A:$A,A29,SevkAdetleri!$E:$E,"OCAK")</f>
        <v>0</v>
      </c>
      <c r="H29" s="133">
        <f>SUMIFS(SevkAdetleri!$D:$D,SevkAdetleri!$A:$A,A29,SevkAdetleri!$E:$E,"ŞUBAT")</f>
        <v>0</v>
      </c>
      <c r="I29" s="133">
        <f>SUMIFS(SevkAdetleri!$D:$D,SevkAdetleri!$A:$A,A29,SevkAdetleri!$E:$E,"MART")</f>
        <v>0</v>
      </c>
      <c r="J29" s="133">
        <f>SUMIFS(SevkAdetleri!$D:$D,SevkAdetleri!$A:$A,A29,SevkAdetleri!$E:$E,"NİSAN")</f>
        <v>0</v>
      </c>
      <c r="K29" s="133">
        <f>SUMIFS(SevkAdetleri!$D:$D,SevkAdetleri!$A:$A,A29,SevkAdetleri!$E:$E,"MAYIS")</f>
        <v>0</v>
      </c>
      <c r="L29" s="133">
        <f>SUMIFS(SevkAdetleri!$D:$D,SevkAdetleri!$A:$A,A29,SevkAdetleri!$E:$E,"HAZIRAN")</f>
        <v>0</v>
      </c>
      <c r="M29" s="133">
        <f>SUMIFS(SevkAdetleri!$D:$D,SevkAdetleri!$A:$A,A29,SevkAdetleri!$E:$E,"TEMMUZ")</f>
        <v>0</v>
      </c>
      <c r="N29" s="133">
        <f>SUMIFS(SevkAdetleri!$D:$D,SevkAdetleri!$A:$A,A29,SevkAdetleri!$E:$E,"AĞUSTOS")</f>
        <v>0</v>
      </c>
      <c r="O29" s="133">
        <f>SUMIFS(SevkAdetleri!$D:$D,SevkAdetleri!$A:$A,A29,SevkAdetleri!$E:$E,"EYLÜL")</f>
        <v>0</v>
      </c>
      <c r="P29" s="133">
        <f>SUMIFS(SevkAdetleri!$D:$D,SevkAdetleri!$A:$A,A29,SevkAdetleri!$E:$E,"EKİM")</f>
        <v>0</v>
      </c>
      <c r="Q29" s="133">
        <f>SUMIFS(SevkAdetleri!$D:$D,SevkAdetleri!$A:$A,A29,SevkAdetleri!$E:$E,"KASIM")</f>
        <v>0</v>
      </c>
      <c r="R29" s="133">
        <f>SUMIFS(SevkAdetleri!$D:$D,SevkAdetleri!$A:$A,A29,SevkAdetleri!$E:$E,"ARALIK")</f>
        <v>0</v>
      </c>
    </row>
    <row r="30" spans="1:18">
      <c r="A30" s="132" t="s">
        <v>289</v>
      </c>
      <c r="B30" s="133" t="str">
        <f>VLOOKUP(Tablo810[[#This Row],[ ÜRÜN KODU]],YMKODLARI!$A$1:$H$376,2,0)</f>
        <v>SİLİKON GÖĞÜS KORUYUCU</v>
      </c>
      <c r="C30" s="133">
        <f>SUMIF(Tablo8[[ ÜRÜN KODU]],Tablo810[[#This Row],[ ÜRÜN KODU]],Tablo8[SEVK ADEDİ])-Tablo810[[#This Row],[GERİ İADE ÜRÜN]]</f>
        <v>0</v>
      </c>
      <c r="D30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30" s="133"/>
      <c r="F30" s="133">
        <f t="shared" si="0"/>
        <v>0</v>
      </c>
      <c r="G30" s="133">
        <f>SUMIFS(SevkAdetleri!$D:$D,SevkAdetleri!$A:$A,A30,SevkAdetleri!$E:$E,"OCAK")</f>
        <v>0</v>
      </c>
      <c r="H30" s="133">
        <f>SUMIFS(SevkAdetleri!$D:$D,SevkAdetleri!$A:$A,A30,SevkAdetleri!$E:$E,"ŞUBAT")</f>
        <v>0</v>
      </c>
      <c r="I30" s="133">
        <f>SUMIFS(SevkAdetleri!$D:$D,SevkAdetleri!$A:$A,A30,SevkAdetleri!$E:$E,"MART")</f>
        <v>0</v>
      </c>
      <c r="J30" s="133">
        <f>SUMIFS(SevkAdetleri!$D:$D,SevkAdetleri!$A:$A,A30,SevkAdetleri!$E:$E,"NİSAN")</f>
        <v>0</v>
      </c>
      <c r="K30" s="133">
        <f>SUMIFS(SevkAdetleri!$D:$D,SevkAdetleri!$A:$A,A30,SevkAdetleri!$E:$E,"MAYIS")</f>
        <v>0</v>
      </c>
      <c r="L30" s="133">
        <f>SUMIFS(SevkAdetleri!$D:$D,SevkAdetleri!$A:$A,A30,SevkAdetleri!$E:$E,"HAZIRAN")</f>
        <v>0</v>
      </c>
      <c r="M30" s="133">
        <f>SUMIFS(SevkAdetleri!$D:$D,SevkAdetleri!$A:$A,A30,SevkAdetleri!$E:$E,"TEMMUZ")</f>
        <v>0</v>
      </c>
      <c r="N30" s="133">
        <f>SUMIFS(SevkAdetleri!$D:$D,SevkAdetleri!$A:$A,A30,SevkAdetleri!$E:$E,"AĞUSTOS")</f>
        <v>0</v>
      </c>
      <c r="O30" s="133">
        <f>SUMIFS(SevkAdetleri!$D:$D,SevkAdetleri!$A:$A,A30,SevkAdetleri!$E:$E,"EYLÜL")</f>
        <v>0</v>
      </c>
      <c r="P30" s="133">
        <f>SUMIFS(SevkAdetleri!$D:$D,SevkAdetleri!$A:$A,A30,SevkAdetleri!$E:$E,"EKİM")</f>
        <v>0</v>
      </c>
      <c r="Q30" s="133">
        <f>SUMIFS(SevkAdetleri!$D:$D,SevkAdetleri!$A:$A,A30,SevkAdetleri!$E:$E,"KASIM")</f>
        <v>0</v>
      </c>
      <c r="R30" s="133">
        <f>SUMIFS(SevkAdetleri!$D:$D,SevkAdetleri!$A:$A,A30,SevkAdetleri!$E:$E,"ARALIK")</f>
        <v>0</v>
      </c>
    </row>
    <row r="31" spans="1:18">
      <c r="A31" s="132" t="s">
        <v>290</v>
      </c>
      <c r="B31" s="133" t="str">
        <f>VLOOKUP(Tablo810[[#This Row],[ ÜRÜN KODU]],YMKODLARI!$A$1:$H$376,2,0)</f>
        <v>SİLİKON  MEMBRAN TİRLE</v>
      </c>
      <c r="C31" s="133">
        <f>SUMIF(Tablo8[[ ÜRÜN KODU]],Tablo810[[#This Row],[ ÜRÜN KODU]],Tablo8[SEVK ADEDİ])-Tablo810[[#This Row],[GERİ İADE ÜRÜN]]</f>
        <v>0</v>
      </c>
      <c r="D31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31" s="133"/>
      <c r="F31" s="133">
        <f t="shared" si="0"/>
        <v>0</v>
      </c>
      <c r="G31" s="133">
        <f>SUMIFS(SevkAdetleri!$D:$D,SevkAdetleri!$A:$A,A31,SevkAdetleri!$E:$E,"OCAK")</f>
        <v>0</v>
      </c>
      <c r="H31" s="133">
        <f>SUMIFS(SevkAdetleri!$D:$D,SevkAdetleri!$A:$A,A31,SevkAdetleri!$E:$E,"ŞUBAT")</f>
        <v>0</v>
      </c>
      <c r="I31" s="133">
        <f>SUMIFS(SevkAdetleri!$D:$D,SevkAdetleri!$A:$A,A31,SevkAdetleri!$E:$E,"MART")</f>
        <v>0</v>
      </c>
      <c r="J31" s="133">
        <f>SUMIFS(SevkAdetleri!$D:$D,SevkAdetleri!$A:$A,A31,SevkAdetleri!$E:$E,"NİSAN")</f>
        <v>0</v>
      </c>
      <c r="K31" s="133">
        <f>SUMIFS(SevkAdetleri!$D:$D,SevkAdetleri!$A:$A,A31,SevkAdetleri!$E:$E,"MAYIS")</f>
        <v>0</v>
      </c>
      <c r="L31" s="133">
        <f>SUMIFS(SevkAdetleri!$D:$D,SevkAdetleri!$A:$A,A31,SevkAdetleri!$E:$E,"HAZIRAN")</f>
        <v>0</v>
      </c>
      <c r="M31" s="133">
        <f>SUMIFS(SevkAdetleri!$D:$D,SevkAdetleri!$A:$A,A31,SevkAdetleri!$E:$E,"TEMMUZ")</f>
        <v>0</v>
      </c>
      <c r="N31" s="133">
        <f>SUMIFS(SevkAdetleri!$D:$D,SevkAdetleri!$A:$A,A31,SevkAdetleri!$E:$E,"AĞUSTOS")</f>
        <v>0</v>
      </c>
      <c r="O31" s="133">
        <f>SUMIFS(SevkAdetleri!$D:$D,SevkAdetleri!$A:$A,A31,SevkAdetleri!$E:$E,"EYLÜL")</f>
        <v>0</v>
      </c>
      <c r="P31" s="133">
        <f>SUMIFS(SevkAdetleri!$D:$D,SevkAdetleri!$A:$A,A31,SevkAdetleri!$E:$E,"EKİM")</f>
        <v>0</v>
      </c>
      <c r="Q31" s="133">
        <f>SUMIFS(SevkAdetleri!$D:$D,SevkAdetleri!$A:$A,A31,SevkAdetleri!$E:$E,"KASIM")</f>
        <v>0</v>
      </c>
      <c r="R31" s="133">
        <f>SUMIFS(SevkAdetleri!$D:$D,SevkAdetleri!$A:$A,A31,SevkAdetleri!$E:$E,"ARALIK")</f>
        <v>0</v>
      </c>
    </row>
    <row r="32" spans="1:18">
      <c r="A32" s="132" t="s">
        <v>240</v>
      </c>
      <c r="B32" s="133" t="str">
        <f>VLOOKUP(Tablo810[[#This Row],[ ÜRÜN KODU]],YMKODLARI!$A$1:$H$376,2,0)</f>
        <v xml:space="preserve">TİRLE POMPA </v>
      </c>
      <c r="C32" s="133">
        <f>SUMIF(Tablo8[[ ÜRÜN KODU]],Tablo810[[#This Row],[ ÜRÜN KODU]],Tablo8[SEVK ADEDİ])-Tablo810[[#This Row],[GERİ İADE ÜRÜN]]</f>
        <v>4462</v>
      </c>
      <c r="D32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9632</v>
      </c>
      <c r="E32" s="133"/>
      <c r="F32" s="133">
        <f t="shared" si="0"/>
        <v>5170</v>
      </c>
      <c r="G32" s="133">
        <f>SUMIFS(SevkAdetleri!$D:$D,SevkAdetleri!$A:$A,A32,SevkAdetleri!$E:$E,"OCAK")</f>
        <v>0</v>
      </c>
      <c r="H32" s="133">
        <f>SUMIFS(SevkAdetleri!$D:$D,SevkAdetleri!$A:$A,A32,SevkAdetleri!$E:$E,"ŞUBAT")</f>
        <v>0</v>
      </c>
      <c r="I32" s="133">
        <f>SUMIFS(SevkAdetleri!$D:$D,SevkAdetleri!$A:$A,A32,SevkAdetleri!$E:$E,"MART")</f>
        <v>0</v>
      </c>
      <c r="J32" s="133">
        <f>SUMIFS(SevkAdetleri!$D:$D,SevkAdetleri!$A:$A,A32,SevkAdetleri!$E:$E,"NİSAN")</f>
        <v>0</v>
      </c>
      <c r="K32" s="133">
        <f>SUMIFS(SevkAdetleri!$D:$D,SevkAdetleri!$A:$A,A32,SevkAdetleri!$E:$E,"MAYIS")</f>
        <v>0</v>
      </c>
      <c r="L32" s="133">
        <f>SUMIFS(SevkAdetleri!$D:$D,SevkAdetleri!$A:$A,A32,SevkAdetleri!$E:$E,"HAZIRAN")</f>
        <v>0</v>
      </c>
      <c r="M32" s="133">
        <f>SUMIFS(SevkAdetleri!$D:$D,SevkAdetleri!$A:$A,A32,SevkAdetleri!$E:$E,"TEMMUZ")</f>
        <v>1862</v>
      </c>
      <c r="N32" s="133">
        <f>SUMIFS(SevkAdetleri!$D:$D,SevkAdetleri!$A:$A,A32,SevkAdetleri!$E:$E,"AĞUSTOS")</f>
        <v>2600</v>
      </c>
      <c r="O32" s="133">
        <f>SUMIFS(SevkAdetleri!$D:$D,SevkAdetleri!$A:$A,A32,SevkAdetleri!$E:$E,"EYLÜL")</f>
        <v>0</v>
      </c>
      <c r="P32" s="133">
        <f>SUMIFS(SevkAdetleri!$D:$D,SevkAdetleri!$A:$A,A32,SevkAdetleri!$E:$E,"EKİM")</f>
        <v>0</v>
      </c>
      <c r="Q32" s="133">
        <f>SUMIFS(SevkAdetleri!$D:$D,SevkAdetleri!$A:$A,A32,SevkAdetleri!$E:$E,"KASIM")</f>
        <v>0</v>
      </c>
      <c r="R32" s="133">
        <f>SUMIFS(SevkAdetleri!$D:$D,SevkAdetleri!$A:$A,A32,SevkAdetleri!$E:$E,"ARALIK")</f>
        <v>0</v>
      </c>
    </row>
    <row r="33" spans="1:18">
      <c r="A33" s="132" t="s">
        <v>571</v>
      </c>
      <c r="B33" s="133" t="str">
        <f>VLOOKUP(Tablo810[[#This Row],[ ÜRÜN KODU]],YMKODLARI!$A$1:$H$376,2,0)</f>
        <v xml:space="preserve">TİRLE POMPA </v>
      </c>
      <c r="C33" s="133">
        <f>SUMIF(Tablo8[[ ÜRÜN KODU]],Tablo810[[#This Row],[ ÜRÜN KODU]],Tablo8[SEVK ADEDİ])-Tablo810[[#This Row],[GERİ İADE ÜRÜN]]</f>
        <v>4033</v>
      </c>
      <c r="D33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4404</v>
      </c>
      <c r="E33" s="133"/>
      <c r="F33" s="133">
        <f>(D33-C33)+E33</f>
        <v>371</v>
      </c>
      <c r="G33" s="134">
        <f>SUMIFS(SevkAdetleri!$D:$D,SevkAdetleri!$A:$A,A33,SevkAdetleri!$E:$E,"OCAK")</f>
        <v>0</v>
      </c>
      <c r="H33" s="133">
        <f>SUMIFS(SevkAdetleri!$D:$D,SevkAdetleri!$A:$A,A33,SevkAdetleri!$E:$E,"ŞUBAT")</f>
        <v>0</v>
      </c>
      <c r="I33" s="133">
        <f>SUMIFS(SevkAdetleri!$D:$D,SevkAdetleri!$A:$A,A33,SevkAdetleri!$E:$E,"MART")</f>
        <v>0</v>
      </c>
      <c r="J33" s="133">
        <f>SUMIFS(SevkAdetleri!$D:$D,SevkAdetleri!$A:$A,A33,SevkAdetleri!$E:$E,"NİSAN")</f>
        <v>0</v>
      </c>
      <c r="K33" s="133">
        <f>SUMIFS(SevkAdetleri!$D:$D,SevkAdetleri!$A:$A,A33,SevkAdetleri!$E:$E,"MAYIS")</f>
        <v>0</v>
      </c>
      <c r="L33" s="133">
        <f>SUMIFS(SevkAdetleri!$D:$D,SevkAdetleri!$A:$A,A33,SevkAdetleri!$E:$E,"HAZIRAN")</f>
        <v>0</v>
      </c>
      <c r="M33" s="133">
        <f>SUMIFS(SevkAdetleri!$D:$D,SevkAdetleri!$A:$A,A33,SevkAdetleri!$E:$E,"TEMMUZ")</f>
        <v>0</v>
      </c>
      <c r="N33" s="133">
        <f>SUMIFS(SevkAdetleri!$D:$D,SevkAdetleri!$A:$A,A33,SevkAdetleri!$E:$E,"AĞUSTOS")</f>
        <v>0</v>
      </c>
      <c r="O33" s="133">
        <f>SUMIFS(SevkAdetleri!$D:$D,SevkAdetleri!$A:$A,A33,SevkAdetleri!$E:$E,"EYLÜL")</f>
        <v>0</v>
      </c>
      <c r="P33" s="133">
        <f>SUMIFS(SevkAdetleri!$D:$D,SevkAdetleri!$A:$A,A33,SevkAdetleri!$E:$E,"EKİM")</f>
        <v>4033</v>
      </c>
      <c r="Q33" s="133">
        <f>SUMIFS(SevkAdetleri!$D:$D,SevkAdetleri!$A:$A,A33,SevkAdetleri!$E:$E,"KASIM")</f>
        <v>0</v>
      </c>
      <c r="R33" s="133">
        <f>SUMIFS(SevkAdetleri!$D:$D,SevkAdetleri!$A:$A,A33,SevkAdetleri!$E:$E,"ARALIK")</f>
        <v>0</v>
      </c>
    </row>
    <row r="34" spans="1:18">
      <c r="A34" s="132" t="s">
        <v>572</v>
      </c>
      <c r="B34" s="133" t="str">
        <f>VLOOKUP(Tablo810[[#This Row],[ ÜRÜN KODU]],YMKODLARI!$A$1:$H$376,2,0)</f>
        <v xml:space="preserve">TİRLE POMPA </v>
      </c>
      <c r="C34" s="133">
        <f>SUMIF(Tablo8[[ ÜRÜN KODU]],Tablo810[[#This Row],[ ÜRÜN KODU]],Tablo8[SEVK ADEDİ])-Tablo810[[#This Row],[GERİ İADE ÜRÜN]]</f>
        <v>3800</v>
      </c>
      <c r="D34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4540</v>
      </c>
      <c r="E34" s="133"/>
      <c r="F34" s="133">
        <f>(D34-C34)+E34</f>
        <v>740</v>
      </c>
      <c r="G34" s="134">
        <f>SUMIFS(SevkAdetleri!$D:$D,SevkAdetleri!$A:$A,A34,SevkAdetleri!$E:$E,"OCAK")</f>
        <v>0</v>
      </c>
      <c r="H34" s="133">
        <f>SUMIFS(SevkAdetleri!$D:$D,SevkAdetleri!$A:$A,A34,SevkAdetleri!$E:$E,"ŞUBAT")</f>
        <v>0</v>
      </c>
      <c r="I34" s="133">
        <f>SUMIFS(SevkAdetleri!$D:$D,SevkAdetleri!$A:$A,A34,SevkAdetleri!$E:$E,"MART")</f>
        <v>0</v>
      </c>
      <c r="J34" s="133">
        <f>SUMIFS(SevkAdetleri!$D:$D,SevkAdetleri!$A:$A,A34,SevkAdetleri!$E:$E,"NİSAN")</f>
        <v>0</v>
      </c>
      <c r="K34" s="133">
        <f>SUMIFS(SevkAdetleri!$D:$D,SevkAdetleri!$A:$A,A34,SevkAdetleri!$E:$E,"MAYIS")</f>
        <v>0</v>
      </c>
      <c r="L34" s="133">
        <f>SUMIFS(SevkAdetleri!$D:$D,SevkAdetleri!$A:$A,A34,SevkAdetleri!$E:$E,"HAZIRAN")</f>
        <v>0</v>
      </c>
      <c r="M34" s="133">
        <f>SUMIFS(SevkAdetleri!$D:$D,SevkAdetleri!$A:$A,A34,SevkAdetleri!$E:$E,"TEMMUZ")</f>
        <v>0</v>
      </c>
      <c r="N34" s="133">
        <f>SUMIFS(SevkAdetleri!$D:$D,SevkAdetleri!$A:$A,A34,SevkAdetleri!$E:$E,"AĞUSTOS")</f>
        <v>0</v>
      </c>
      <c r="O34" s="133">
        <f>SUMIFS(SevkAdetleri!$D:$D,SevkAdetleri!$A:$A,A34,SevkAdetleri!$E:$E,"EYLÜL")</f>
        <v>0</v>
      </c>
      <c r="P34" s="133">
        <f>SUMIFS(SevkAdetleri!$D:$D,SevkAdetleri!$A:$A,A34,SevkAdetleri!$E:$E,"EKİM")</f>
        <v>2800</v>
      </c>
      <c r="Q34" s="133">
        <f>SUMIFS(SevkAdetleri!$D:$D,SevkAdetleri!$A:$A,A34,SevkAdetleri!$E:$E,"KASIM")</f>
        <v>1000</v>
      </c>
      <c r="R34" s="133">
        <f>SUMIFS(SevkAdetleri!$D:$D,SevkAdetleri!$A:$A,A34,SevkAdetleri!$E:$E,"ARALIK")</f>
        <v>0</v>
      </c>
    </row>
    <row r="35" spans="1:18">
      <c r="A35" s="132" t="s">
        <v>52</v>
      </c>
      <c r="B35" s="133" t="str">
        <f>VLOOKUP(Tablo810[[#This Row],[ ÜRÜN KODU]],YMKODLARI!$A$1:$H$376,2,0)</f>
        <v>BURUN POMPASI</v>
      </c>
      <c r="C35" s="133">
        <f>SUMIF(Tablo8[[ ÜRÜN KODU]],Tablo810[[#This Row],[ ÜRÜN KODU]],Tablo8[SEVK ADEDİ])-Tablo810[[#This Row],[GERİ İADE ÜRÜN]]</f>
        <v>4470</v>
      </c>
      <c r="D35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6472</v>
      </c>
      <c r="E35" s="133"/>
      <c r="F35" s="133">
        <f t="shared" si="0"/>
        <v>2002</v>
      </c>
      <c r="G35" s="133">
        <f>SUMIFS(SevkAdetleri!$D:$D,SevkAdetleri!$A:$A,A35,SevkAdetleri!$E:$E,"OCAK")</f>
        <v>0</v>
      </c>
      <c r="H35" s="133">
        <f>SUMIFS(SevkAdetleri!$D:$D,SevkAdetleri!$A:$A,A35,SevkAdetleri!$E:$E,"ŞUBAT")</f>
        <v>0</v>
      </c>
      <c r="I35" s="133">
        <f>SUMIFS(SevkAdetleri!$D:$D,SevkAdetleri!$A:$A,A35,SevkAdetleri!$E:$E,"MART")</f>
        <v>0</v>
      </c>
      <c r="J35" s="133">
        <f>SUMIFS(SevkAdetleri!$D:$D,SevkAdetleri!$A:$A,A35,SevkAdetleri!$E:$E,"NİSAN")</f>
        <v>0</v>
      </c>
      <c r="K35" s="133">
        <f>SUMIFS(SevkAdetleri!$D:$D,SevkAdetleri!$A:$A,A35,SevkAdetleri!$E:$E,"MAYIS")</f>
        <v>0</v>
      </c>
      <c r="L35" s="133">
        <f>SUMIFS(SevkAdetleri!$D:$D,SevkAdetleri!$A:$A,A35,SevkAdetleri!$E:$E,"HAZIRAN")</f>
        <v>0</v>
      </c>
      <c r="M35" s="133">
        <f>SUMIFS(SevkAdetleri!$D:$D,SevkAdetleri!$A:$A,A35,SevkAdetleri!$E:$E,"TEMMUZ")</f>
        <v>4470</v>
      </c>
      <c r="N35" s="133">
        <f>SUMIFS(SevkAdetleri!$D:$D,SevkAdetleri!$A:$A,A35,SevkAdetleri!$E:$E,"AĞUSTOS")</f>
        <v>0</v>
      </c>
      <c r="O35" s="133">
        <f>SUMIFS(SevkAdetleri!$D:$D,SevkAdetleri!$A:$A,A35,SevkAdetleri!$E:$E,"EYLÜL")</f>
        <v>0</v>
      </c>
      <c r="P35" s="133">
        <f>SUMIFS(SevkAdetleri!$D:$D,SevkAdetleri!$A:$A,A35,SevkAdetleri!$E:$E,"EKİM")</f>
        <v>0</v>
      </c>
      <c r="Q35" s="133">
        <f>SUMIFS(SevkAdetleri!$D:$D,SevkAdetleri!$A:$A,A35,SevkAdetleri!$E:$E,"KASIM")</f>
        <v>0</v>
      </c>
      <c r="R35" s="133">
        <f>SUMIFS(SevkAdetleri!$D:$D,SevkAdetleri!$A:$A,A35,SevkAdetleri!$E:$E,"ARALIK")</f>
        <v>0</v>
      </c>
    </row>
    <row r="36" spans="1:18">
      <c r="A36" s="132" t="s">
        <v>51</v>
      </c>
      <c r="B36" s="133" t="str">
        <f>VLOOKUP(Tablo810[[#This Row],[ ÜRÜN KODU]],YMKODLARI!$A$1:$H$376,2,0)</f>
        <v>BURUN POMPASI</v>
      </c>
      <c r="C36" s="133">
        <f>SUMIF(Tablo8[[ ÜRÜN KODU]],Tablo810[[#This Row],[ ÜRÜN KODU]],Tablo8[SEVK ADEDİ])-Tablo810[[#This Row],[GERİ İADE ÜRÜN]]</f>
        <v>5721</v>
      </c>
      <c r="D36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4880</v>
      </c>
      <c r="E36" s="133"/>
      <c r="F36" s="133">
        <f t="shared" si="0"/>
        <v>-841</v>
      </c>
      <c r="G36" s="133">
        <f>SUMIFS(SevkAdetleri!$D:$D,SevkAdetleri!$A:$A,A36,SevkAdetleri!$E:$E,"OCAK")</f>
        <v>0</v>
      </c>
      <c r="H36" s="133">
        <f>SUMIFS(SevkAdetleri!$D:$D,SevkAdetleri!$A:$A,A36,SevkAdetleri!$E:$E,"ŞUBAT")</f>
        <v>0</v>
      </c>
      <c r="I36" s="133">
        <f>SUMIFS(SevkAdetleri!$D:$D,SevkAdetleri!$A:$A,A36,SevkAdetleri!$E:$E,"MART")</f>
        <v>0</v>
      </c>
      <c r="J36" s="133">
        <f>SUMIFS(SevkAdetleri!$D:$D,SevkAdetleri!$A:$A,A36,SevkAdetleri!$E:$E,"NİSAN")</f>
        <v>0</v>
      </c>
      <c r="K36" s="133">
        <f>SUMIFS(SevkAdetleri!$D:$D,SevkAdetleri!$A:$A,A36,SevkAdetleri!$E:$E,"MAYIS")</f>
        <v>0</v>
      </c>
      <c r="L36" s="133">
        <f>SUMIFS(SevkAdetleri!$D:$D,SevkAdetleri!$A:$A,A36,SevkAdetleri!$E:$E,"HAZIRAN")</f>
        <v>0</v>
      </c>
      <c r="M36" s="133">
        <f>SUMIFS(SevkAdetleri!$D:$D,SevkAdetleri!$A:$A,A36,SevkAdetleri!$E:$E,"TEMMUZ")</f>
        <v>5721</v>
      </c>
      <c r="N36" s="133">
        <f>SUMIFS(SevkAdetleri!$D:$D,SevkAdetleri!$A:$A,A36,SevkAdetleri!$E:$E,"AĞUSTOS")</f>
        <v>0</v>
      </c>
      <c r="O36" s="133">
        <f>SUMIFS(SevkAdetleri!$D:$D,SevkAdetleri!$A:$A,A36,SevkAdetleri!$E:$E,"EYLÜL")</f>
        <v>0</v>
      </c>
      <c r="P36" s="133">
        <f>SUMIFS(SevkAdetleri!$D:$D,SevkAdetleri!$A:$A,A36,SevkAdetleri!$E:$E,"EKİM")</f>
        <v>0</v>
      </c>
      <c r="Q36" s="133">
        <f>SUMIFS(SevkAdetleri!$D:$D,SevkAdetleri!$A:$A,A36,SevkAdetleri!$E:$E,"KASIM")</f>
        <v>0</v>
      </c>
      <c r="R36" s="133">
        <f>SUMIFS(SevkAdetleri!$D:$D,SevkAdetleri!$A:$A,A36,SevkAdetleri!$E:$E,"ARALIK")</f>
        <v>0</v>
      </c>
    </row>
    <row r="37" spans="1:18">
      <c r="A37" s="132" t="s">
        <v>50</v>
      </c>
      <c r="B37" s="133" t="str">
        <f>VLOOKUP(Tablo810[[#This Row],[ ÜRÜN KODU]],YMKODLARI!$A$1:$H$376,2,0)</f>
        <v>BURUN POMPASI</v>
      </c>
      <c r="C37" s="133">
        <f>SUMIF(Tablo8[[ ÜRÜN KODU]],Tablo810[[#This Row],[ ÜRÜN KODU]],Tablo8[SEVK ADEDİ])-Tablo810[[#This Row],[GERİ İADE ÜRÜN]]</f>
        <v>2292</v>
      </c>
      <c r="D37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2692</v>
      </c>
      <c r="E37" s="133"/>
      <c r="F37" s="133">
        <f t="shared" si="0"/>
        <v>400</v>
      </c>
      <c r="G37" s="133">
        <f>SUMIFS(SevkAdetleri!$D:$D,SevkAdetleri!$A:$A,A37,SevkAdetleri!$E:$E,"OCAK")</f>
        <v>0</v>
      </c>
      <c r="H37" s="133">
        <f>SUMIFS(SevkAdetleri!$D:$D,SevkAdetleri!$A:$A,A37,SevkAdetleri!$E:$E,"ŞUBAT")</f>
        <v>1200</v>
      </c>
      <c r="I37" s="133">
        <f>SUMIFS(SevkAdetleri!$D:$D,SevkAdetleri!$A:$A,A37,SevkAdetleri!$E:$E,"MART")</f>
        <v>1092</v>
      </c>
      <c r="J37" s="133">
        <f>SUMIFS(SevkAdetleri!$D:$D,SevkAdetleri!$A:$A,A37,SevkAdetleri!$E:$E,"NİSAN")</f>
        <v>0</v>
      </c>
      <c r="K37" s="133">
        <f>SUMIFS(SevkAdetleri!$D:$D,SevkAdetleri!$A:$A,A37,SevkAdetleri!$E:$E,"MAYIS")</f>
        <v>0</v>
      </c>
      <c r="L37" s="133">
        <f>SUMIFS(SevkAdetleri!$D:$D,SevkAdetleri!$A:$A,A37,SevkAdetleri!$E:$E,"HAZIRAN")</f>
        <v>0</v>
      </c>
      <c r="M37" s="133">
        <f>SUMIFS(SevkAdetleri!$D:$D,SevkAdetleri!$A:$A,A37,SevkAdetleri!$E:$E,"TEMMUZ")</f>
        <v>0</v>
      </c>
      <c r="N37" s="133">
        <f>SUMIFS(SevkAdetleri!$D:$D,SevkAdetleri!$A:$A,A37,SevkAdetleri!$E:$E,"AĞUSTOS")</f>
        <v>0</v>
      </c>
      <c r="O37" s="133">
        <f>SUMIFS(SevkAdetleri!$D:$D,SevkAdetleri!$A:$A,A37,SevkAdetleri!$E:$E,"EYLÜL")</f>
        <v>0</v>
      </c>
      <c r="P37" s="133">
        <f>SUMIFS(SevkAdetleri!$D:$D,SevkAdetleri!$A:$A,A37,SevkAdetleri!$E:$E,"EKİM")</f>
        <v>0</v>
      </c>
      <c r="Q37" s="133">
        <f>SUMIFS(SevkAdetleri!$D:$D,SevkAdetleri!$A:$A,A37,SevkAdetleri!$E:$E,"KASIM")</f>
        <v>0</v>
      </c>
      <c r="R37" s="133">
        <f>SUMIFS(SevkAdetleri!$D:$D,SevkAdetleri!$A:$A,A37,SevkAdetleri!$E:$E,"ARALIK")</f>
        <v>0</v>
      </c>
    </row>
    <row r="38" spans="1:18">
      <c r="A38" s="132" t="s">
        <v>291</v>
      </c>
      <c r="B38" s="133" t="str">
        <f>VLOOKUP(Tablo810[[#This Row],[ ÜRÜN KODU]],YMKODLARI!$A$1:$H$376,2,0)</f>
        <v>KOMP.SİL. BİBERON ŞİŞESİ 120ml</v>
      </c>
      <c r="C38" s="133">
        <f>SUMIF(Tablo8[[ ÜRÜN KODU]],Tablo810[[#This Row],[ ÜRÜN KODU]],Tablo8[SEVK ADEDİ])-Tablo810[[#This Row],[GERİ İADE ÜRÜN]]</f>
        <v>0</v>
      </c>
      <c r="D38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38" s="133"/>
      <c r="F38" s="133">
        <f t="shared" si="0"/>
        <v>0</v>
      </c>
      <c r="G38" s="133">
        <f>SUMIFS(SevkAdetleri!$D:$D,SevkAdetleri!$A:$A,A38,SevkAdetleri!$E:$E,"OCAK")</f>
        <v>0</v>
      </c>
      <c r="H38" s="133">
        <f>SUMIFS(SevkAdetleri!$D:$D,SevkAdetleri!$A:$A,A38,SevkAdetleri!$E:$E,"ŞUBAT")</f>
        <v>0</v>
      </c>
      <c r="I38" s="133">
        <f>SUMIFS(SevkAdetleri!$D:$D,SevkAdetleri!$A:$A,A38,SevkAdetleri!$E:$E,"MART")</f>
        <v>0</v>
      </c>
      <c r="J38" s="133">
        <f>SUMIFS(SevkAdetleri!$D:$D,SevkAdetleri!$A:$A,A38,SevkAdetleri!$E:$E,"NİSAN")</f>
        <v>0</v>
      </c>
      <c r="K38" s="133">
        <f>SUMIFS(SevkAdetleri!$D:$D,SevkAdetleri!$A:$A,A38,SevkAdetleri!$E:$E,"MAYIS")</f>
        <v>0</v>
      </c>
      <c r="L38" s="133">
        <f>SUMIFS(SevkAdetleri!$D:$D,SevkAdetleri!$A:$A,A38,SevkAdetleri!$E:$E,"HAZIRAN")</f>
        <v>0</v>
      </c>
      <c r="M38" s="133">
        <f>SUMIFS(SevkAdetleri!$D:$D,SevkAdetleri!$A:$A,A38,SevkAdetleri!$E:$E,"TEMMUZ")</f>
        <v>0</v>
      </c>
      <c r="N38" s="133">
        <f>SUMIFS(SevkAdetleri!$D:$D,SevkAdetleri!$A:$A,A38,SevkAdetleri!$E:$E,"AĞUSTOS")</f>
        <v>0</v>
      </c>
      <c r="O38" s="133">
        <f>SUMIFS(SevkAdetleri!$D:$D,SevkAdetleri!$A:$A,A38,SevkAdetleri!$E:$E,"EYLÜL")</f>
        <v>0</v>
      </c>
      <c r="P38" s="133">
        <f>SUMIFS(SevkAdetleri!$D:$D,SevkAdetleri!$A:$A,A38,SevkAdetleri!$E:$E,"EKİM")</f>
        <v>0</v>
      </c>
      <c r="Q38" s="133">
        <f>SUMIFS(SevkAdetleri!$D:$D,SevkAdetleri!$A:$A,A38,SevkAdetleri!$E:$E,"KASIM")</f>
        <v>0</v>
      </c>
      <c r="R38" s="133">
        <f>SUMIFS(SevkAdetleri!$D:$D,SevkAdetleri!$A:$A,A38,SevkAdetleri!$E:$E,"ARALIK")</f>
        <v>0</v>
      </c>
    </row>
    <row r="39" spans="1:18">
      <c r="A39" s="132" t="s">
        <v>137</v>
      </c>
      <c r="B39" s="133" t="str">
        <f>VLOOKUP(Tablo810[[#This Row],[ ÜRÜN KODU]],YMKODLARI!$A$1:$H$376,2,0)</f>
        <v>DAMAK EMZİK GÖVDE</v>
      </c>
      <c r="C39" s="133">
        <f>SUMIF(Tablo8[[ ÜRÜN KODU]],Tablo810[[#This Row],[ ÜRÜN KODU]],Tablo8[SEVK ADEDİ])-Tablo810[[#This Row],[GERİ İADE ÜRÜN]]</f>
        <v>64055</v>
      </c>
      <c r="D39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67288</v>
      </c>
      <c r="E39" s="133"/>
      <c r="F39" s="133">
        <f t="shared" si="0"/>
        <v>3233</v>
      </c>
      <c r="G39" s="133">
        <f>SUMIFS(SevkAdetleri!$D:$D,SevkAdetleri!$A:$A,A39,SevkAdetleri!$E:$E,"OCAK")</f>
        <v>0</v>
      </c>
      <c r="H39" s="133">
        <f>SUMIFS(SevkAdetleri!$D:$D,SevkAdetleri!$A:$A,A39,SevkAdetleri!$E:$E,"ŞUBAT")</f>
        <v>38066</v>
      </c>
      <c r="I39" s="133">
        <f>SUMIFS(SevkAdetleri!$D:$D,SevkAdetleri!$A:$A,A39,SevkAdetleri!$E:$E,"MART")</f>
        <v>0</v>
      </c>
      <c r="J39" s="133">
        <f>SUMIFS(SevkAdetleri!$D:$D,SevkAdetleri!$A:$A,A39,SevkAdetleri!$E:$E,"NİSAN")</f>
        <v>0</v>
      </c>
      <c r="K39" s="133">
        <f>SUMIFS(SevkAdetleri!$D:$D,SevkAdetleri!$A:$A,A39,SevkAdetleri!$E:$E,"MAYIS")</f>
        <v>0</v>
      </c>
      <c r="L39" s="133">
        <f>SUMIFS(SevkAdetleri!$D:$D,SevkAdetleri!$A:$A,A39,SevkAdetleri!$E:$E,"HAZIRAN")</f>
        <v>7000</v>
      </c>
      <c r="M39" s="133">
        <f>SUMIFS(SevkAdetleri!$D:$D,SevkAdetleri!$A:$A,A39,SevkAdetleri!$E:$E,"TEMMUZ")</f>
        <v>4489</v>
      </c>
      <c r="N39" s="133">
        <f>SUMIFS(SevkAdetleri!$D:$D,SevkAdetleri!$A:$A,A39,SevkAdetleri!$E:$E,"AĞUSTOS")</f>
        <v>0</v>
      </c>
      <c r="O39" s="133">
        <f>SUMIFS(SevkAdetleri!$D:$D,SevkAdetleri!$A:$A,A39,SevkAdetleri!$E:$E,"EYLÜL")</f>
        <v>0</v>
      </c>
      <c r="P39" s="133">
        <f>SUMIFS(SevkAdetleri!$D:$D,SevkAdetleri!$A:$A,A39,SevkAdetleri!$E:$E,"EKİM")</f>
        <v>14500</v>
      </c>
      <c r="Q39" s="133">
        <f>SUMIFS(SevkAdetleri!$D:$D,SevkAdetleri!$A:$A,A39,SevkAdetleri!$E:$E,"KASIM")</f>
        <v>0</v>
      </c>
      <c r="R39" s="133">
        <f>SUMIFS(SevkAdetleri!$D:$D,SevkAdetleri!$A:$A,A39,SevkAdetleri!$E:$E,"ARALIK")</f>
        <v>0</v>
      </c>
    </row>
    <row r="40" spans="1:18">
      <c r="A40" s="132" t="s">
        <v>166</v>
      </c>
      <c r="B40" s="133" t="str">
        <f>VLOOKUP(Tablo810[[#This Row],[ ÜRÜN KODU]],YMKODLARI!$A$1:$H$376,2,0)</f>
        <v>DAMAK EMZİK GÖVDE</v>
      </c>
      <c r="C40" s="133">
        <f>SUMIF(Tablo8[[ ÜRÜN KODU]],Tablo810[[#This Row],[ ÜRÜN KODU]],Tablo8[SEVK ADEDİ])-Tablo810[[#This Row],[GERİ İADE ÜRÜN]]</f>
        <v>39896</v>
      </c>
      <c r="D40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50480</v>
      </c>
      <c r="E40" s="133"/>
      <c r="F40" s="133">
        <f t="shared" si="0"/>
        <v>10584</v>
      </c>
      <c r="G40" s="133">
        <f>SUMIFS(SevkAdetleri!$D:$D,SevkAdetleri!$A:$A,A40,SevkAdetleri!$E:$E,"OCAK")</f>
        <v>0</v>
      </c>
      <c r="H40" s="133">
        <f>SUMIFS(SevkAdetleri!$D:$D,SevkAdetleri!$A:$A,A40,SevkAdetleri!$E:$E,"ŞUBAT")</f>
        <v>0</v>
      </c>
      <c r="I40" s="133">
        <f>SUMIFS(SevkAdetleri!$D:$D,SevkAdetleri!$A:$A,A40,SevkAdetleri!$E:$E,"MART")</f>
        <v>0</v>
      </c>
      <c r="J40" s="133">
        <f>SUMIFS(SevkAdetleri!$D:$D,SevkAdetleri!$A:$A,A40,SevkAdetleri!$E:$E,"NİSAN")</f>
        <v>0</v>
      </c>
      <c r="K40" s="133">
        <f>SUMIFS(SevkAdetleri!$D:$D,SevkAdetleri!$A:$A,A40,SevkAdetleri!$E:$E,"MAYIS")</f>
        <v>16203</v>
      </c>
      <c r="L40" s="133">
        <f>SUMIFS(SevkAdetleri!$D:$D,SevkAdetleri!$A:$A,A40,SevkAdetleri!$E:$E,"HAZIRAN")</f>
        <v>0</v>
      </c>
      <c r="M40" s="133">
        <f>SUMIFS(SevkAdetleri!$D:$D,SevkAdetleri!$A:$A,A40,SevkAdetleri!$E:$E,"TEMMUZ")</f>
        <v>9093</v>
      </c>
      <c r="N40" s="133">
        <f>SUMIFS(SevkAdetleri!$D:$D,SevkAdetleri!$A:$A,A40,SevkAdetleri!$E:$E,"AĞUSTOS")</f>
        <v>0</v>
      </c>
      <c r="O40" s="133">
        <f>SUMIFS(SevkAdetleri!$D:$D,SevkAdetleri!$A:$A,A40,SevkAdetleri!$E:$E,"EYLÜL")</f>
        <v>7335</v>
      </c>
      <c r="P40" s="133">
        <f>SUMIFS(SevkAdetleri!$D:$D,SevkAdetleri!$A:$A,A40,SevkAdetleri!$E:$E,"EKİM")</f>
        <v>7265</v>
      </c>
      <c r="Q40" s="133">
        <f>SUMIFS(SevkAdetleri!$D:$D,SevkAdetleri!$A:$A,A40,SevkAdetleri!$E:$E,"KASIM")</f>
        <v>0</v>
      </c>
      <c r="R40" s="133">
        <f>SUMIFS(SevkAdetleri!$D:$D,SevkAdetleri!$A:$A,A40,SevkAdetleri!$E:$E,"ARALIK")</f>
        <v>0</v>
      </c>
    </row>
    <row r="41" spans="1:18">
      <c r="A41" s="132" t="s">
        <v>167</v>
      </c>
      <c r="B41" s="133" t="str">
        <f>VLOOKUP(Tablo810[[#This Row],[ ÜRÜN KODU]],YMKODLARI!$A$1:$H$376,2,0)</f>
        <v>DAMAK EMZİK GÖVDE</v>
      </c>
      <c r="C41" s="133">
        <f>SUMIF(Tablo8[[ ÜRÜN KODU]],Tablo810[[#This Row],[ ÜRÜN KODU]],Tablo8[SEVK ADEDİ])-Tablo810[[#This Row],[GERİ İADE ÜRÜN]]</f>
        <v>28710</v>
      </c>
      <c r="D41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33800</v>
      </c>
      <c r="E41" s="133"/>
      <c r="F41" s="133">
        <f t="shared" si="0"/>
        <v>5090</v>
      </c>
      <c r="G41" s="133">
        <f>SUMIFS(SevkAdetleri!$D:$D,SevkAdetleri!$A:$A,A41,SevkAdetleri!$E:$E,"OCAK")</f>
        <v>0</v>
      </c>
      <c r="H41" s="133">
        <f>SUMIFS(SevkAdetleri!$D:$D,SevkAdetleri!$A:$A,A41,SevkAdetleri!$E:$E,"ŞUBAT")</f>
        <v>0</v>
      </c>
      <c r="I41" s="133">
        <f>SUMIFS(SevkAdetleri!$D:$D,SevkAdetleri!$A:$A,A41,SevkAdetleri!$E:$E,"MART")</f>
        <v>0</v>
      </c>
      <c r="J41" s="133">
        <f>SUMIFS(SevkAdetleri!$D:$D,SevkAdetleri!$A:$A,A41,SevkAdetleri!$E:$E,"NİSAN")</f>
        <v>0</v>
      </c>
      <c r="K41" s="133">
        <f>SUMIFS(SevkAdetleri!$D:$D,SevkAdetleri!$A:$A,A41,SevkAdetleri!$E:$E,"MAYIS")</f>
        <v>668</v>
      </c>
      <c r="L41" s="133">
        <f>SUMIFS(SevkAdetleri!$D:$D,SevkAdetleri!$A:$A,A41,SevkAdetleri!$E:$E,"HAZIRAN")</f>
        <v>0</v>
      </c>
      <c r="M41" s="133">
        <f>SUMIFS(SevkAdetleri!$D:$D,SevkAdetleri!$A:$A,A41,SevkAdetleri!$E:$E,"TEMMUZ")</f>
        <v>15740</v>
      </c>
      <c r="N41" s="133">
        <f>SUMIFS(SevkAdetleri!$D:$D,SevkAdetleri!$A:$A,A41,SevkAdetleri!$E:$E,"AĞUSTOS")</f>
        <v>0</v>
      </c>
      <c r="O41" s="133">
        <f>SUMIFS(SevkAdetleri!$D:$D,SevkAdetleri!$A:$A,A41,SevkAdetleri!$E:$E,"EYLÜL")</f>
        <v>6407</v>
      </c>
      <c r="P41" s="133">
        <f>SUMIFS(SevkAdetleri!$D:$D,SevkAdetleri!$A:$A,A41,SevkAdetleri!$E:$E,"EKİM")</f>
        <v>5895</v>
      </c>
      <c r="Q41" s="133">
        <f>SUMIFS(SevkAdetleri!$D:$D,SevkAdetleri!$A:$A,A41,SevkAdetleri!$E:$E,"KASIM")</f>
        <v>0</v>
      </c>
      <c r="R41" s="133">
        <f>SUMIFS(SevkAdetleri!$D:$D,SevkAdetleri!$A:$A,A41,SevkAdetleri!$E:$E,"ARALIK")</f>
        <v>0</v>
      </c>
    </row>
    <row r="42" spans="1:18">
      <c r="A42" s="132" t="s">
        <v>169</v>
      </c>
      <c r="B42" s="133" t="str">
        <f>VLOOKUP(Tablo810[[#This Row],[ ÜRÜN KODU]],YMKODLARI!$A$1:$H$376,2,0)</f>
        <v>DAMAK EMZİK GÖVDE</v>
      </c>
      <c r="C42" s="133">
        <f>SUMIF(Tablo8[[ ÜRÜN KODU]],Tablo810[[#This Row],[ ÜRÜN KODU]],Tablo8[SEVK ADEDİ])-Tablo810[[#This Row],[GERİ İADE ÜRÜN]]</f>
        <v>32468</v>
      </c>
      <c r="D42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36048</v>
      </c>
      <c r="E42" s="133"/>
      <c r="F42" s="133">
        <f t="shared" si="0"/>
        <v>3580</v>
      </c>
      <c r="G42" s="133">
        <f>SUMIFS(SevkAdetleri!$D:$D,SevkAdetleri!$A:$A,A42,SevkAdetleri!$E:$E,"OCAK")</f>
        <v>0</v>
      </c>
      <c r="H42" s="133">
        <f>SUMIFS(SevkAdetleri!$D:$D,SevkAdetleri!$A:$A,A42,SevkAdetleri!$E:$E,"ŞUBAT")</f>
        <v>0</v>
      </c>
      <c r="I42" s="133">
        <f>SUMIFS(SevkAdetleri!$D:$D,SevkAdetleri!$A:$A,A42,SevkAdetleri!$E:$E,"MART")</f>
        <v>0</v>
      </c>
      <c r="J42" s="133">
        <f>SUMIFS(SevkAdetleri!$D:$D,SevkAdetleri!$A:$A,A42,SevkAdetleri!$E:$E,"NİSAN")</f>
        <v>0</v>
      </c>
      <c r="K42" s="133">
        <f>SUMIFS(SevkAdetleri!$D:$D,SevkAdetleri!$A:$A,A42,SevkAdetleri!$E:$E,"MAYIS")</f>
        <v>10000</v>
      </c>
      <c r="L42" s="133">
        <f>SUMIFS(SevkAdetleri!$D:$D,SevkAdetleri!$A:$A,A42,SevkAdetleri!$E:$E,"HAZIRAN")</f>
        <v>0</v>
      </c>
      <c r="M42" s="133">
        <f>SUMIFS(SevkAdetleri!$D:$D,SevkAdetleri!$A:$A,A42,SevkAdetleri!$E:$E,"TEMMUZ")</f>
        <v>13000</v>
      </c>
      <c r="N42" s="133">
        <f>SUMIFS(SevkAdetleri!$D:$D,SevkAdetleri!$A:$A,A42,SevkAdetleri!$E:$E,"AĞUSTOS")</f>
        <v>0</v>
      </c>
      <c r="O42" s="133">
        <f>SUMIFS(SevkAdetleri!$D:$D,SevkAdetleri!$A:$A,A42,SevkAdetleri!$E:$E,"EYLÜL")</f>
        <v>4858</v>
      </c>
      <c r="P42" s="133">
        <f>SUMIFS(SevkAdetleri!$D:$D,SevkAdetleri!$A:$A,A42,SevkAdetleri!$E:$E,"EKİM")</f>
        <v>4610</v>
      </c>
      <c r="Q42" s="133">
        <f>SUMIFS(SevkAdetleri!$D:$D,SevkAdetleri!$A:$A,A42,SevkAdetleri!$E:$E,"KASIM")</f>
        <v>0</v>
      </c>
      <c r="R42" s="133">
        <f>SUMIFS(SevkAdetleri!$D:$D,SevkAdetleri!$A:$A,A42,SevkAdetleri!$E:$E,"ARALIK")</f>
        <v>0</v>
      </c>
    </row>
    <row r="43" spans="1:18">
      <c r="A43" s="132" t="s">
        <v>201</v>
      </c>
      <c r="B43" s="133" t="str">
        <f>VLOOKUP(Tablo810[[#This Row],[ ÜRÜN KODU]],YMKODLARI!$A$1:$H$376,2,0)</f>
        <v>DAMAK EMZİK GÖVDE</v>
      </c>
      <c r="C43" s="133">
        <f>SUMIF(Tablo8[[ ÜRÜN KODU]],Tablo810[[#This Row],[ ÜRÜN KODU]],Tablo8[SEVK ADEDİ])-Tablo810[[#This Row],[GERİ İADE ÜRÜN]]</f>
        <v>3125</v>
      </c>
      <c r="D43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3320</v>
      </c>
      <c r="E43" s="133"/>
      <c r="F43" s="133">
        <f t="shared" si="0"/>
        <v>195</v>
      </c>
      <c r="G43" s="133">
        <f>SUMIFS(SevkAdetleri!$D:$D,SevkAdetleri!$A:$A,A43,SevkAdetleri!$E:$E,"OCAK")</f>
        <v>0</v>
      </c>
      <c r="H43" s="133">
        <f>SUMIFS(SevkAdetleri!$D:$D,SevkAdetleri!$A:$A,A43,SevkAdetleri!$E:$E,"ŞUBAT")</f>
        <v>0</v>
      </c>
      <c r="I43" s="133">
        <f>SUMIFS(SevkAdetleri!$D:$D,SevkAdetleri!$A:$A,A43,SevkAdetleri!$E:$E,"MART")</f>
        <v>0</v>
      </c>
      <c r="J43" s="133">
        <f>SUMIFS(SevkAdetleri!$D:$D,SevkAdetleri!$A:$A,A43,SevkAdetleri!$E:$E,"NİSAN")</f>
        <v>0</v>
      </c>
      <c r="K43" s="133">
        <f>SUMIFS(SevkAdetleri!$D:$D,SevkAdetleri!$A:$A,A43,SevkAdetleri!$E:$E,"MAYIS")</f>
        <v>0</v>
      </c>
      <c r="L43" s="133">
        <f>SUMIFS(SevkAdetleri!$D:$D,SevkAdetleri!$A:$A,A43,SevkAdetleri!$E:$E,"HAZIRAN")</f>
        <v>0</v>
      </c>
      <c r="M43" s="133">
        <f>SUMIFS(SevkAdetleri!$D:$D,SevkAdetleri!$A:$A,A43,SevkAdetleri!$E:$E,"TEMMUZ")</f>
        <v>0</v>
      </c>
      <c r="N43" s="133">
        <f>SUMIFS(SevkAdetleri!$D:$D,SevkAdetleri!$A:$A,A43,SevkAdetleri!$E:$E,"AĞUSTOS")</f>
        <v>0</v>
      </c>
      <c r="O43" s="133">
        <f>SUMIFS(SevkAdetleri!$D:$D,SevkAdetleri!$A:$A,A43,SevkAdetleri!$E:$E,"EYLÜL")</f>
        <v>3125</v>
      </c>
      <c r="P43" s="133">
        <f>SUMIFS(SevkAdetleri!$D:$D,SevkAdetleri!$A:$A,A43,SevkAdetleri!$E:$E,"EKİM")</f>
        <v>0</v>
      </c>
      <c r="Q43" s="133">
        <f>SUMIFS(SevkAdetleri!$D:$D,SevkAdetleri!$A:$A,A43,SevkAdetleri!$E:$E,"KASIM")</f>
        <v>0</v>
      </c>
      <c r="R43" s="133">
        <f>SUMIFS(SevkAdetleri!$D:$D,SevkAdetleri!$A:$A,A43,SevkAdetleri!$E:$E,"ARALIK")</f>
        <v>0</v>
      </c>
    </row>
    <row r="44" spans="1:18">
      <c r="A44" s="132" t="s">
        <v>292</v>
      </c>
      <c r="B44" s="133" t="str">
        <f>VLOOKUP(Tablo810[[#This Row],[ ÜRÜN KODU]],YMKODLARI!$A$1:$H$376,2,0)</f>
        <v>DAMAK EMZİK GÖVDE</v>
      </c>
      <c r="C44" s="133">
        <f>SUMIF(Tablo8[[ ÜRÜN KODU]],Tablo810[[#This Row],[ ÜRÜN KODU]],Tablo8[SEVK ADEDİ])-Tablo810[[#This Row],[GERİ İADE ÜRÜN]]</f>
        <v>0</v>
      </c>
      <c r="D44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44" s="133"/>
      <c r="F44" s="133">
        <f t="shared" si="0"/>
        <v>0</v>
      </c>
      <c r="G44" s="133">
        <f>SUMIFS(SevkAdetleri!$D:$D,SevkAdetleri!$A:$A,A44,SevkAdetleri!$E:$E,"OCAK")</f>
        <v>0</v>
      </c>
      <c r="H44" s="133">
        <f>SUMIFS(SevkAdetleri!$D:$D,SevkAdetleri!$A:$A,A44,SevkAdetleri!$E:$E,"ŞUBAT")</f>
        <v>0</v>
      </c>
      <c r="I44" s="133">
        <f>SUMIFS(SevkAdetleri!$D:$D,SevkAdetleri!$A:$A,A44,SevkAdetleri!$E:$E,"MART")</f>
        <v>0</v>
      </c>
      <c r="J44" s="133">
        <f>SUMIFS(SevkAdetleri!$D:$D,SevkAdetleri!$A:$A,A44,SevkAdetleri!$E:$E,"NİSAN")</f>
        <v>0</v>
      </c>
      <c r="K44" s="133">
        <f>SUMIFS(SevkAdetleri!$D:$D,SevkAdetleri!$A:$A,A44,SevkAdetleri!$E:$E,"MAYIS")</f>
        <v>0</v>
      </c>
      <c r="L44" s="133">
        <f>SUMIFS(SevkAdetleri!$D:$D,SevkAdetleri!$A:$A,A44,SevkAdetleri!$E:$E,"HAZIRAN")</f>
        <v>0</v>
      </c>
      <c r="M44" s="133">
        <f>SUMIFS(SevkAdetleri!$D:$D,SevkAdetleri!$A:$A,A44,SevkAdetleri!$E:$E,"TEMMUZ")</f>
        <v>0</v>
      </c>
      <c r="N44" s="133">
        <f>SUMIFS(SevkAdetleri!$D:$D,SevkAdetleri!$A:$A,A44,SevkAdetleri!$E:$E,"AĞUSTOS")</f>
        <v>0</v>
      </c>
      <c r="O44" s="133">
        <f>SUMIFS(SevkAdetleri!$D:$D,SevkAdetleri!$A:$A,A44,SevkAdetleri!$E:$E,"EYLÜL")</f>
        <v>0</v>
      </c>
      <c r="P44" s="133">
        <f>SUMIFS(SevkAdetleri!$D:$D,SevkAdetleri!$A:$A,A44,SevkAdetleri!$E:$E,"EKİM")</f>
        <v>0</v>
      </c>
      <c r="Q44" s="133">
        <f>SUMIFS(SevkAdetleri!$D:$D,SevkAdetleri!$A:$A,A44,SevkAdetleri!$E:$E,"KASIM")</f>
        <v>0</v>
      </c>
      <c r="R44" s="133">
        <f>SUMIFS(SevkAdetleri!$D:$D,SevkAdetleri!$A:$A,A44,SevkAdetleri!$E:$E,"ARALIK")</f>
        <v>0</v>
      </c>
    </row>
    <row r="45" spans="1:18">
      <c r="A45" s="132" t="s">
        <v>163</v>
      </c>
      <c r="B45" s="133" t="str">
        <f>VLOOKUP(Tablo810[[#This Row],[ ÜRÜN KODU]],YMKODLARI!$A$1:$H$376,2,0)</f>
        <v>DAMAK EMZİK GÖVDE</v>
      </c>
      <c r="C45" s="133">
        <f>SUMIF(Tablo8[[ ÜRÜN KODU]],Tablo810[[#This Row],[ ÜRÜN KODU]],Tablo8[SEVK ADEDİ])-Tablo810[[#This Row],[GERİ İADE ÜRÜN]]</f>
        <v>171397</v>
      </c>
      <c r="D45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175936</v>
      </c>
      <c r="E45" s="133"/>
      <c r="F45" s="133">
        <f t="shared" si="0"/>
        <v>4539</v>
      </c>
      <c r="G45" s="133">
        <f>SUMIFS(SevkAdetleri!$D:$D,SevkAdetleri!$A:$A,A45,SevkAdetleri!$E:$E,"OCAK")</f>
        <v>0</v>
      </c>
      <c r="H45" s="133">
        <f>SUMIFS(SevkAdetleri!$D:$D,SevkAdetleri!$A:$A,A45,SevkAdetleri!$E:$E,"ŞUBAT")</f>
        <v>16594</v>
      </c>
      <c r="I45" s="133">
        <f>SUMIFS(SevkAdetleri!$D:$D,SevkAdetleri!$A:$A,A45,SevkAdetleri!$E:$E,"MART")</f>
        <v>108755</v>
      </c>
      <c r="J45" s="133">
        <f>SUMIFS(SevkAdetleri!$D:$D,SevkAdetleri!$A:$A,A45,SevkAdetleri!$E:$E,"NİSAN")</f>
        <v>32194</v>
      </c>
      <c r="K45" s="133">
        <f>SUMIFS(SevkAdetleri!$D:$D,SevkAdetleri!$A:$A,A45,SevkAdetleri!$E:$E,"MAYIS")</f>
        <v>0</v>
      </c>
      <c r="L45" s="133">
        <f>SUMIFS(SevkAdetleri!$D:$D,SevkAdetleri!$A:$A,A45,SevkAdetleri!$E:$E,"HAZIRAN")</f>
        <v>0</v>
      </c>
      <c r="M45" s="133">
        <f>SUMIFS(SevkAdetleri!$D:$D,SevkAdetleri!$A:$A,A45,SevkAdetleri!$E:$E,"TEMMUZ")</f>
        <v>0</v>
      </c>
      <c r="N45" s="133">
        <f>SUMIFS(SevkAdetleri!$D:$D,SevkAdetleri!$A:$A,A45,SevkAdetleri!$E:$E,"AĞUSTOS")</f>
        <v>0</v>
      </c>
      <c r="O45" s="133">
        <f>SUMIFS(SevkAdetleri!$D:$D,SevkAdetleri!$A:$A,A45,SevkAdetleri!$E:$E,"EYLÜL")</f>
        <v>0</v>
      </c>
      <c r="P45" s="133">
        <f>SUMIFS(SevkAdetleri!$D:$D,SevkAdetleri!$A:$A,A45,SevkAdetleri!$E:$E,"EKİM")</f>
        <v>13854</v>
      </c>
      <c r="Q45" s="133">
        <f>SUMIFS(SevkAdetleri!$D:$D,SevkAdetleri!$A:$A,A45,SevkAdetleri!$E:$E,"KASIM")</f>
        <v>0</v>
      </c>
      <c r="R45" s="133">
        <f>SUMIFS(SevkAdetleri!$D:$D,SevkAdetleri!$A:$A,A45,SevkAdetleri!$E:$E,"ARALIK")</f>
        <v>0</v>
      </c>
    </row>
    <row r="46" spans="1:18">
      <c r="A46" s="132" t="s">
        <v>125</v>
      </c>
      <c r="B46" s="133" t="str">
        <f>VLOOKUP(Tablo810[[#This Row],[ ÜRÜN KODU]],YMKODLARI!$A$1:$H$376,2,0)</f>
        <v>DAMAK EMZİK GÖVDE</v>
      </c>
      <c r="C46" s="133">
        <f>SUMIF(Tablo8[[ ÜRÜN KODU]],Tablo810[[#This Row],[ ÜRÜN KODU]],Tablo8[SEVK ADEDİ])-Tablo810[[#This Row],[GERİ İADE ÜRÜN]]</f>
        <v>72380</v>
      </c>
      <c r="D46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72632</v>
      </c>
      <c r="E46" s="133"/>
      <c r="F46" s="133">
        <f t="shared" si="0"/>
        <v>252</v>
      </c>
      <c r="G46" s="133">
        <f>SUMIFS(SevkAdetleri!$D:$D,SevkAdetleri!$A:$A,A46,SevkAdetleri!$E:$E,"OCAK")</f>
        <v>11200</v>
      </c>
      <c r="H46" s="133">
        <f>SUMIFS(SevkAdetleri!$D:$D,SevkAdetleri!$A:$A,A46,SevkAdetleri!$E:$E,"ŞUBAT")</f>
        <v>0</v>
      </c>
      <c r="I46" s="133">
        <f>SUMIFS(SevkAdetleri!$D:$D,SevkAdetleri!$A:$A,A46,SevkAdetleri!$E:$E,"MART")</f>
        <v>0</v>
      </c>
      <c r="J46" s="133">
        <f>SUMIFS(SevkAdetleri!$D:$D,SevkAdetleri!$A:$A,A46,SevkAdetleri!$E:$E,"NİSAN")</f>
        <v>60180</v>
      </c>
      <c r="K46" s="133">
        <f>SUMIFS(SevkAdetleri!$D:$D,SevkAdetleri!$A:$A,A46,SevkAdetleri!$E:$E,"MAYIS")</f>
        <v>0</v>
      </c>
      <c r="L46" s="133">
        <f>SUMIFS(SevkAdetleri!$D:$D,SevkAdetleri!$A:$A,A46,SevkAdetleri!$E:$E,"HAZIRAN")</f>
        <v>0</v>
      </c>
      <c r="M46" s="133">
        <f>SUMIFS(SevkAdetleri!$D:$D,SevkAdetleri!$A:$A,A46,SevkAdetleri!$E:$E,"TEMMUZ")</f>
        <v>0</v>
      </c>
      <c r="N46" s="133">
        <f>SUMIFS(SevkAdetleri!$D:$D,SevkAdetleri!$A:$A,A46,SevkAdetleri!$E:$E,"AĞUSTOS")</f>
        <v>0</v>
      </c>
      <c r="O46" s="133">
        <f>SUMIFS(SevkAdetleri!$D:$D,SevkAdetleri!$A:$A,A46,SevkAdetleri!$E:$E,"EYLÜL")</f>
        <v>0</v>
      </c>
      <c r="P46" s="133">
        <f>SUMIFS(SevkAdetleri!$D:$D,SevkAdetleri!$A:$A,A46,SevkAdetleri!$E:$E,"EKİM")</f>
        <v>1000</v>
      </c>
      <c r="Q46" s="133">
        <f>SUMIFS(SevkAdetleri!$D:$D,SevkAdetleri!$A:$A,A46,SevkAdetleri!$E:$E,"KASIM")</f>
        <v>0</v>
      </c>
      <c r="R46" s="133">
        <f>SUMIFS(SevkAdetleri!$D:$D,SevkAdetleri!$A:$A,A46,SevkAdetleri!$E:$E,"ARALIK")</f>
        <v>0</v>
      </c>
    </row>
    <row r="47" spans="1:18">
      <c r="A47" s="132" t="s">
        <v>128</v>
      </c>
      <c r="B47" s="133" t="str">
        <f>VLOOKUP(Tablo810[[#This Row],[ ÜRÜN KODU]],YMKODLARI!$A$1:$H$376,2,0)</f>
        <v>DAMAK EMZİK GÖVDE</v>
      </c>
      <c r="C47" s="133">
        <f>SUMIF(Tablo8[[ ÜRÜN KODU]],Tablo810[[#This Row],[ ÜRÜN KODU]],Tablo8[SEVK ADEDİ])-Tablo810[[#This Row],[GERİ İADE ÜRÜN]]</f>
        <v>4615</v>
      </c>
      <c r="D47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5672</v>
      </c>
      <c r="E47" s="133"/>
      <c r="F47" s="133">
        <f t="shared" si="0"/>
        <v>1057</v>
      </c>
      <c r="G47" s="133">
        <f>SUMIFS(SevkAdetleri!$D:$D,SevkAdetleri!$A:$A,A47,SevkAdetleri!$E:$E,"OCAK")</f>
        <v>3467</v>
      </c>
      <c r="H47" s="133">
        <f>SUMIFS(SevkAdetleri!$D:$D,SevkAdetleri!$A:$A,A47,SevkAdetleri!$E:$E,"ŞUBAT")</f>
        <v>0</v>
      </c>
      <c r="I47" s="133">
        <f>SUMIFS(SevkAdetleri!$D:$D,SevkAdetleri!$A:$A,A47,SevkAdetleri!$E:$E,"MART")</f>
        <v>0</v>
      </c>
      <c r="J47" s="133">
        <f>SUMIFS(SevkAdetleri!$D:$D,SevkAdetleri!$A:$A,A47,SevkAdetleri!$E:$E,"NİSAN")</f>
        <v>0</v>
      </c>
      <c r="K47" s="133">
        <f>SUMIFS(SevkAdetleri!$D:$D,SevkAdetleri!$A:$A,A47,SevkAdetleri!$E:$E,"MAYIS")</f>
        <v>0</v>
      </c>
      <c r="L47" s="133">
        <f>SUMIFS(SevkAdetleri!$D:$D,SevkAdetleri!$A:$A,A47,SevkAdetleri!$E:$E,"HAZIRAN")</f>
        <v>0</v>
      </c>
      <c r="M47" s="133">
        <f>SUMIFS(SevkAdetleri!$D:$D,SevkAdetleri!$A:$A,A47,SevkAdetleri!$E:$E,"TEMMUZ")</f>
        <v>0</v>
      </c>
      <c r="N47" s="133">
        <f>SUMIFS(SevkAdetleri!$D:$D,SevkAdetleri!$A:$A,A47,SevkAdetleri!$E:$E,"AĞUSTOS")</f>
        <v>0</v>
      </c>
      <c r="O47" s="133">
        <f>SUMIFS(SevkAdetleri!$D:$D,SevkAdetleri!$A:$A,A47,SevkAdetleri!$E:$E,"EYLÜL")</f>
        <v>0</v>
      </c>
      <c r="P47" s="133">
        <f>SUMIFS(SevkAdetleri!$D:$D,SevkAdetleri!$A:$A,A47,SevkAdetleri!$E:$E,"EKİM")</f>
        <v>1148</v>
      </c>
      <c r="Q47" s="133">
        <f>SUMIFS(SevkAdetleri!$D:$D,SevkAdetleri!$A:$A,A47,SevkAdetleri!$E:$E,"KASIM")</f>
        <v>0</v>
      </c>
      <c r="R47" s="133">
        <f>SUMIFS(SevkAdetleri!$D:$D,SevkAdetleri!$A:$A,A47,SevkAdetleri!$E:$E,"ARALIK")</f>
        <v>0</v>
      </c>
    </row>
    <row r="48" spans="1:18">
      <c r="A48" s="132" t="s">
        <v>126</v>
      </c>
      <c r="B48" s="133" t="str">
        <f>VLOOKUP(Tablo810[[#This Row],[ ÜRÜN KODU]],YMKODLARI!$A$1:$H$376,2,0)</f>
        <v>DAMAK EMZİK GÖVDE</v>
      </c>
      <c r="C48" s="133">
        <f>SUMIF(Tablo8[[ ÜRÜN KODU]],Tablo810[[#This Row],[ ÜRÜN KODU]],Tablo8[SEVK ADEDİ])-Tablo810[[#This Row],[GERİ İADE ÜRÜN]]</f>
        <v>54982</v>
      </c>
      <c r="D48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60080</v>
      </c>
      <c r="E48" s="133"/>
      <c r="F48" s="133">
        <f t="shared" si="0"/>
        <v>5098</v>
      </c>
      <c r="G48" s="133">
        <f>SUMIFS(SevkAdetleri!$D:$D,SevkAdetleri!$A:$A,A48,SevkAdetleri!$E:$E,"OCAK")</f>
        <v>20110</v>
      </c>
      <c r="H48" s="133">
        <f>SUMIFS(SevkAdetleri!$D:$D,SevkAdetleri!$A:$A,A48,SevkAdetleri!$E:$E,"ŞUBAT")</f>
        <v>0</v>
      </c>
      <c r="I48" s="133">
        <f>SUMIFS(SevkAdetleri!$D:$D,SevkAdetleri!$A:$A,A48,SevkAdetleri!$E:$E,"MART")</f>
        <v>0</v>
      </c>
      <c r="J48" s="133">
        <f>SUMIFS(SevkAdetleri!$D:$D,SevkAdetleri!$A:$A,A48,SevkAdetleri!$E:$E,"NİSAN")</f>
        <v>30496</v>
      </c>
      <c r="K48" s="133">
        <f>SUMIFS(SevkAdetleri!$D:$D,SevkAdetleri!$A:$A,A48,SevkAdetleri!$E:$E,"MAYIS")</f>
        <v>0</v>
      </c>
      <c r="L48" s="133">
        <f>SUMIFS(SevkAdetleri!$D:$D,SevkAdetleri!$A:$A,A48,SevkAdetleri!$E:$E,"HAZIRAN")</f>
        <v>0</v>
      </c>
      <c r="M48" s="133">
        <f>SUMIFS(SevkAdetleri!$D:$D,SevkAdetleri!$A:$A,A48,SevkAdetleri!$E:$E,"TEMMUZ")</f>
        <v>0</v>
      </c>
      <c r="N48" s="133">
        <f>SUMIFS(SevkAdetleri!$D:$D,SevkAdetleri!$A:$A,A48,SevkAdetleri!$E:$E,"AĞUSTOS")</f>
        <v>0</v>
      </c>
      <c r="O48" s="133">
        <f>SUMIFS(SevkAdetleri!$D:$D,SevkAdetleri!$A:$A,A48,SevkAdetleri!$E:$E,"EYLÜL")</f>
        <v>0</v>
      </c>
      <c r="P48" s="133">
        <f>SUMIFS(SevkAdetleri!$D:$D,SevkAdetleri!$A:$A,A48,SevkAdetleri!$E:$E,"EKİM")</f>
        <v>4376</v>
      </c>
      <c r="Q48" s="133">
        <f>SUMIFS(SevkAdetleri!$D:$D,SevkAdetleri!$A:$A,A48,SevkAdetleri!$E:$E,"KASIM")</f>
        <v>0</v>
      </c>
      <c r="R48" s="133">
        <f>SUMIFS(SevkAdetleri!$D:$D,SevkAdetleri!$A:$A,A48,SevkAdetleri!$E:$E,"ARALIK")</f>
        <v>0</v>
      </c>
    </row>
    <row r="49" spans="1:18">
      <c r="A49" s="132" t="s">
        <v>124</v>
      </c>
      <c r="B49" s="133" t="str">
        <f>VLOOKUP(Tablo810[[#This Row],[ ÜRÜN KODU]],YMKODLARI!$A$1:$H$376,2,0)</f>
        <v>DAMAK EMZİK GÖVDE</v>
      </c>
      <c r="C49" s="133">
        <f>SUMIF(Tablo8[[ ÜRÜN KODU]],Tablo810[[#This Row],[ ÜRÜN KODU]],Tablo8[SEVK ADEDİ])-Tablo810[[#This Row],[GERİ İADE ÜRÜN]]</f>
        <v>116669</v>
      </c>
      <c r="D49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129160</v>
      </c>
      <c r="E49" s="133"/>
      <c r="F49" s="133">
        <f t="shared" si="0"/>
        <v>12491</v>
      </c>
      <c r="G49" s="134">
        <f>SUMIFS(SevkAdetleri!$D:$D,SevkAdetleri!$A:$A,A49,SevkAdetleri!$E:$E,"OCAK")</f>
        <v>28344</v>
      </c>
      <c r="H49" s="133">
        <f>SUMIFS(SevkAdetleri!$D:$D,SevkAdetleri!$A:$A,A49,SevkAdetleri!$E:$E,"ŞUBAT")</f>
        <v>0</v>
      </c>
      <c r="I49" s="133">
        <f>SUMIFS(SevkAdetleri!$D:$D,SevkAdetleri!$A:$A,A49,SevkAdetleri!$E:$E,"MART")</f>
        <v>0</v>
      </c>
      <c r="J49" s="133">
        <f>SUMIFS(SevkAdetleri!$D:$D,SevkAdetleri!$A:$A,A49,SevkAdetleri!$E:$E,"NİSAN")</f>
        <v>70373</v>
      </c>
      <c r="K49" s="133">
        <f>SUMIFS(SevkAdetleri!$D:$D,SevkAdetleri!$A:$A,A49,SevkAdetleri!$E:$E,"MAYIS")</f>
        <v>5382</v>
      </c>
      <c r="L49" s="133">
        <f>SUMIFS(SevkAdetleri!$D:$D,SevkAdetleri!$A:$A,A49,SevkAdetleri!$E:$E,"HAZIRAN")</f>
        <v>5530</v>
      </c>
      <c r="M49" s="133">
        <f>SUMIFS(SevkAdetleri!$D:$D,SevkAdetleri!$A:$A,A49,SevkAdetleri!$E:$E,"TEMMUZ")</f>
        <v>0</v>
      </c>
      <c r="N49" s="133">
        <f>SUMIFS(SevkAdetleri!$D:$D,SevkAdetleri!$A:$A,A49,SevkAdetleri!$E:$E,"AĞUSTOS")</f>
        <v>0</v>
      </c>
      <c r="O49" s="133">
        <f>SUMIFS(SevkAdetleri!$D:$D,SevkAdetleri!$A:$A,A49,SevkAdetleri!$E:$E,"EYLÜL")</f>
        <v>0</v>
      </c>
      <c r="P49" s="133">
        <f>SUMIFS(SevkAdetleri!$D:$D,SevkAdetleri!$A:$A,A49,SevkAdetleri!$E:$E,"EKİM")</f>
        <v>7040</v>
      </c>
      <c r="Q49" s="133">
        <f>SUMIFS(SevkAdetleri!$D:$D,SevkAdetleri!$A:$A,A49,SevkAdetleri!$E:$E,"KASIM")</f>
        <v>0</v>
      </c>
      <c r="R49" s="133">
        <f>SUMIFS(SevkAdetleri!$D:$D,SevkAdetleri!$A:$A,A49,SevkAdetleri!$E:$E,"ARALIK")</f>
        <v>0</v>
      </c>
    </row>
    <row r="50" spans="1:18">
      <c r="A50" s="132" t="s">
        <v>127</v>
      </c>
      <c r="B50" s="133" t="str">
        <f>VLOOKUP(Tablo810[[#This Row],[ ÜRÜN KODU]],YMKODLARI!$A$1:$H$376,2,0)</f>
        <v>DAMAK EMZİK GÖVDE</v>
      </c>
      <c r="C50" s="133">
        <f>SUMIF(Tablo8[[ ÜRÜN KODU]],Tablo810[[#This Row],[ ÜRÜN KODU]],Tablo8[SEVK ADEDİ])-Tablo810[[#This Row],[GERİ İADE ÜRÜN]]</f>
        <v>65683</v>
      </c>
      <c r="D50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63232</v>
      </c>
      <c r="E50" s="133"/>
      <c r="F50" s="133">
        <f t="shared" si="0"/>
        <v>-2451</v>
      </c>
      <c r="G50" s="133">
        <f>SUMIFS(SevkAdetleri!$D:$D,SevkAdetleri!$A:$A,A50,SevkAdetleri!$E:$E,"OCAK")</f>
        <v>3377</v>
      </c>
      <c r="H50" s="133">
        <f>SUMIFS(SevkAdetleri!$D:$D,SevkAdetleri!$A:$A,A50,SevkAdetleri!$E:$E,"ŞUBAT")</f>
        <v>0</v>
      </c>
      <c r="I50" s="133">
        <f>SUMIFS(SevkAdetleri!$D:$D,SevkAdetleri!$A:$A,A50,SevkAdetleri!$E:$E,"MART")</f>
        <v>0</v>
      </c>
      <c r="J50" s="133">
        <f>SUMIFS(SevkAdetleri!$D:$D,SevkAdetleri!$A:$A,A50,SevkAdetleri!$E:$E,"NİSAN")</f>
        <v>50031</v>
      </c>
      <c r="K50" s="133">
        <f>SUMIFS(SevkAdetleri!$D:$D,SevkAdetleri!$A:$A,A50,SevkAdetleri!$E:$E,"MAYIS")</f>
        <v>11000</v>
      </c>
      <c r="L50" s="133">
        <f>SUMIFS(SevkAdetleri!$D:$D,SevkAdetleri!$A:$A,A50,SevkAdetleri!$E:$E,"HAZIRAN")</f>
        <v>0</v>
      </c>
      <c r="M50" s="133">
        <f>SUMIFS(SevkAdetleri!$D:$D,SevkAdetleri!$A:$A,A50,SevkAdetleri!$E:$E,"TEMMUZ")</f>
        <v>0</v>
      </c>
      <c r="N50" s="133">
        <f>SUMIFS(SevkAdetleri!$D:$D,SevkAdetleri!$A:$A,A50,SevkAdetleri!$E:$E,"AĞUSTOS")</f>
        <v>0</v>
      </c>
      <c r="O50" s="133">
        <f>SUMIFS(SevkAdetleri!$D:$D,SevkAdetleri!$A:$A,A50,SevkAdetleri!$E:$E,"EYLÜL")</f>
        <v>0</v>
      </c>
      <c r="P50" s="133">
        <f>SUMIFS(SevkAdetleri!$D:$D,SevkAdetleri!$A:$A,A50,SevkAdetleri!$E:$E,"EKİM")</f>
        <v>1275</v>
      </c>
      <c r="Q50" s="133">
        <f>SUMIFS(SevkAdetleri!$D:$D,SevkAdetleri!$A:$A,A50,SevkAdetleri!$E:$E,"KASIM")</f>
        <v>0</v>
      </c>
      <c r="R50" s="133">
        <f>SUMIFS(SevkAdetleri!$D:$D,SevkAdetleri!$A:$A,A50,SevkAdetleri!$E:$E,"ARALIK")</f>
        <v>0</v>
      </c>
    </row>
    <row r="51" spans="1:18">
      <c r="A51" s="132" t="s">
        <v>162</v>
      </c>
      <c r="B51" s="133" t="str">
        <f>VLOOKUP(Tablo810[[#This Row],[ ÜRÜN KODU]],YMKODLARI!$A$1:$H$376,2,0)</f>
        <v>DAMAK EMZİK GÖVDE</v>
      </c>
      <c r="C51" s="133">
        <f>SUMIF(Tablo8[[ ÜRÜN KODU]],Tablo810[[#This Row],[ ÜRÜN KODU]],Tablo8[SEVK ADEDİ])-Tablo810[[#This Row],[GERİ İADE ÜRÜN]]</f>
        <v>33155</v>
      </c>
      <c r="D51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40608</v>
      </c>
      <c r="E51" s="133"/>
      <c r="F51" s="133">
        <f t="shared" si="0"/>
        <v>7453</v>
      </c>
      <c r="G51" s="133">
        <f>SUMIFS(SevkAdetleri!$D:$D,SevkAdetleri!$A:$A,A51,SevkAdetleri!$E:$E,"OCAK")</f>
        <v>0</v>
      </c>
      <c r="H51" s="133">
        <f>SUMIFS(SevkAdetleri!$D:$D,SevkAdetleri!$A:$A,A51,SevkAdetleri!$E:$E,"ŞUBAT")</f>
        <v>6155</v>
      </c>
      <c r="I51" s="133">
        <f>SUMIFS(SevkAdetleri!$D:$D,SevkAdetleri!$A:$A,A51,SevkAdetleri!$E:$E,"MART")</f>
        <v>0</v>
      </c>
      <c r="J51" s="133">
        <f>SUMIFS(SevkAdetleri!$D:$D,SevkAdetleri!$A:$A,A51,SevkAdetleri!$E:$E,"NİSAN")</f>
        <v>27000</v>
      </c>
      <c r="K51" s="133">
        <f>SUMIFS(SevkAdetleri!$D:$D,SevkAdetleri!$A:$A,A51,SevkAdetleri!$E:$E,"MAYIS")</f>
        <v>0</v>
      </c>
      <c r="L51" s="133">
        <f>SUMIFS(SevkAdetleri!$D:$D,SevkAdetleri!$A:$A,A51,SevkAdetleri!$E:$E,"HAZIRAN")</f>
        <v>0</v>
      </c>
      <c r="M51" s="133">
        <f>SUMIFS(SevkAdetleri!$D:$D,SevkAdetleri!$A:$A,A51,SevkAdetleri!$E:$E,"TEMMUZ")</f>
        <v>0</v>
      </c>
      <c r="N51" s="133">
        <f>SUMIFS(SevkAdetleri!$D:$D,SevkAdetleri!$A:$A,A51,SevkAdetleri!$E:$E,"AĞUSTOS")</f>
        <v>0</v>
      </c>
      <c r="O51" s="133">
        <f>SUMIFS(SevkAdetleri!$D:$D,SevkAdetleri!$A:$A,A51,SevkAdetleri!$E:$E,"EYLÜL")</f>
        <v>0</v>
      </c>
      <c r="P51" s="133">
        <f>SUMIFS(SevkAdetleri!$D:$D,SevkAdetleri!$A:$A,A51,SevkAdetleri!$E:$E,"EKİM")</f>
        <v>0</v>
      </c>
      <c r="Q51" s="133">
        <f>SUMIFS(SevkAdetleri!$D:$D,SevkAdetleri!$A:$A,A51,SevkAdetleri!$E:$E,"KASIM")</f>
        <v>0</v>
      </c>
      <c r="R51" s="133">
        <f>SUMIFS(SevkAdetleri!$D:$D,SevkAdetleri!$A:$A,A51,SevkAdetleri!$E:$E,"ARALIK")</f>
        <v>0</v>
      </c>
    </row>
    <row r="52" spans="1:18">
      <c r="A52" s="132" t="s">
        <v>293</v>
      </c>
      <c r="B52" s="133" t="str">
        <f>VLOOKUP(Tablo810[[#This Row],[ ÜRÜN KODU]],YMKODLARI!$A$1:$H$376,2,0)</f>
        <v>DAMAK EMZİK UYKU GÖVDE</v>
      </c>
      <c r="C52" s="133">
        <f>SUMIF(Tablo8[[ ÜRÜN KODU]],Tablo810[[#This Row],[ ÜRÜN KODU]],Tablo8[SEVK ADEDİ])-Tablo810[[#This Row],[GERİ İADE ÜRÜN]]</f>
        <v>0</v>
      </c>
      <c r="D52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52" s="133"/>
      <c r="F52" s="133">
        <f>(D52-C52)+E52</f>
        <v>0</v>
      </c>
      <c r="G52" s="134">
        <f>SUMIFS(SevkAdetleri!$D:$D,SevkAdetleri!$A:$A,A52,SevkAdetleri!$E:$E,"OCAK")</f>
        <v>0</v>
      </c>
      <c r="H52" s="133">
        <f>SUMIFS(SevkAdetleri!$D:$D,SevkAdetleri!$A:$A,A52,SevkAdetleri!$E:$E,"ŞUBAT")</f>
        <v>0</v>
      </c>
      <c r="I52" s="133">
        <f>SUMIFS(SevkAdetleri!$D:$D,SevkAdetleri!$A:$A,A52,SevkAdetleri!$E:$E,"MART")</f>
        <v>0</v>
      </c>
      <c r="J52" s="133">
        <f>SUMIFS(SevkAdetleri!$D:$D,SevkAdetleri!$A:$A,A52,SevkAdetleri!$E:$E,"NİSAN")</f>
        <v>0</v>
      </c>
      <c r="K52" s="133">
        <f>SUMIFS(SevkAdetleri!$D:$D,SevkAdetleri!$A:$A,A52,SevkAdetleri!$E:$E,"MAYIS")</f>
        <v>0</v>
      </c>
      <c r="L52" s="133">
        <f>SUMIFS(SevkAdetleri!$D:$D,SevkAdetleri!$A:$A,A52,SevkAdetleri!$E:$E,"HAZIRAN")</f>
        <v>0</v>
      </c>
      <c r="M52" s="133">
        <f>SUMIFS(SevkAdetleri!$D:$D,SevkAdetleri!$A:$A,A52,SevkAdetleri!$E:$E,"TEMMUZ")</f>
        <v>0</v>
      </c>
      <c r="N52" s="133">
        <f>SUMIFS(SevkAdetleri!$D:$D,SevkAdetleri!$A:$A,A52,SevkAdetleri!$E:$E,"AĞUSTOS")</f>
        <v>0</v>
      </c>
      <c r="O52" s="133">
        <f>SUMIFS(SevkAdetleri!$D:$D,SevkAdetleri!$A:$A,A52,SevkAdetleri!$E:$E,"EYLÜL")</f>
        <v>0</v>
      </c>
      <c r="P52" s="133">
        <f>SUMIFS(SevkAdetleri!$D:$D,SevkAdetleri!$A:$A,A52,SevkAdetleri!$E:$E,"EKİM")</f>
        <v>0</v>
      </c>
      <c r="Q52" s="133">
        <f>SUMIFS(SevkAdetleri!$D:$D,SevkAdetleri!$A:$A,A52,SevkAdetleri!$E:$E,"KASIM")</f>
        <v>0</v>
      </c>
      <c r="R52" s="133">
        <f>SUMIFS(SevkAdetleri!$D:$D,SevkAdetleri!$A:$A,A52,SevkAdetleri!$E:$E,"ARALIK")</f>
        <v>0</v>
      </c>
    </row>
    <row r="53" spans="1:18">
      <c r="A53" s="132" t="s">
        <v>294</v>
      </c>
      <c r="B53" s="133" t="str">
        <f>VLOOKUP(Tablo810[[#This Row],[ ÜRÜN KODU]],YMKODLARI!$A$1:$H$376,2,0)</f>
        <v>DAMAK EMZİK UYKU GÖVDE</v>
      </c>
      <c r="C53" s="133">
        <f>SUMIF(Tablo8[[ ÜRÜN KODU]],Tablo810[[#This Row],[ ÜRÜN KODU]],Tablo8[SEVK ADEDİ])-Tablo810[[#This Row],[GERİ İADE ÜRÜN]]</f>
        <v>0</v>
      </c>
      <c r="D53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53" s="133"/>
      <c r="F53" s="133">
        <f>(D53-C53)+E53</f>
        <v>0</v>
      </c>
      <c r="G53" s="134">
        <f>SUMIFS(SevkAdetleri!$D:$D,SevkAdetleri!$A:$A,A53,SevkAdetleri!$E:$E,"OCAK")</f>
        <v>0</v>
      </c>
      <c r="H53" s="133">
        <f>SUMIFS(SevkAdetleri!$D:$D,SevkAdetleri!$A:$A,A53,SevkAdetleri!$E:$E,"ŞUBAT")</f>
        <v>0</v>
      </c>
      <c r="I53" s="133">
        <f>SUMIFS(SevkAdetleri!$D:$D,SevkAdetleri!$A:$A,A53,SevkAdetleri!$E:$E,"MART")</f>
        <v>0</v>
      </c>
      <c r="J53" s="133">
        <f>SUMIFS(SevkAdetleri!$D:$D,SevkAdetleri!$A:$A,A53,SevkAdetleri!$E:$E,"NİSAN")</f>
        <v>0</v>
      </c>
      <c r="K53" s="133">
        <f>SUMIFS(SevkAdetleri!$D:$D,SevkAdetleri!$A:$A,A53,SevkAdetleri!$E:$E,"MAYIS")</f>
        <v>0</v>
      </c>
      <c r="L53" s="133">
        <f>SUMIFS(SevkAdetleri!$D:$D,SevkAdetleri!$A:$A,A53,SevkAdetleri!$E:$E,"HAZIRAN")</f>
        <v>0</v>
      </c>
      <c r="M53" s="133">
        <f>SUMIFS(SevkAdetleri!$D:$D,SevkAdetleri!$A:$A,A53,SevkAdetleri!$E:$E,"TEMMUZ")</f>
        <v>0</v>
      </c>
      <c r="N53" s="133">
        <f>SUMIFS(SevkAdetleri!$D:$D,SevkAdetleri!$A:$A,A53,SevkAdetleri!$E:$E,"AĞUSTOS")</f>
        <v>0</v>
      </c>
      <c r="O53" s="133">
        <f>SUMIFS(SevkAdetleri!$D:$D,SevkAdetleri!$A:$A,A53,SevkAdetleri!$E:$E,"EYLÜL")</f>
        <v>0</v>
      </c>
      <c r="P53" s="133">
        <f>SUMIFS(SevkAdetleri!$D:$D,SevkAdetleri!$A:$A,A53,SevkAdetleri!$E:$E,"EKİM")</f>
        <v>0</v>
      </c>
      <c r="Q53" s="133">
        <f>SUMIFS(SevkAdetleri!$D:$D,SevkAdetleri!$A:$A,A53,SevkAdetleri!$E:$E,"KASIM")</f>
        <v>0</v>
      </c>
      <c r="R53" s="133">
        <f>SUMIFS(SevkAdetleri!$D:$D,SevkAdetleri!$A:$A,A53,SevkAdetleri!$E:$E,"ARALIK")</f>
        <v>0</v>
      </c>
    </row>
    <row r="54" spans="1:18">
      <c r="A54" s="132" t="s">
        <v>200</v>
      </c>
      <c r="B54" s="133" t="str">
        <f>VLOOKUP(Tablo810[[#This Row],[ ÜRÜN KODU]],YMKODLARI!$A$1:$H$376,2,0)</f>
        <v>KLASİK EMZİK GÖVDE</v>
      </c>
      <c r="C54" s="133">
        <f>SUMIF(Tablo8[[ ÜRÜN KODU]],Tablo810[[#This Row],[ ÜRÜN KODU]],Tablo8[SEVK ADEDİ])-Tablo810[[#This Row],[GERİ İADE ÜRÜN]]</f>
        <v>9929</v>
      </c>
      <c r="D54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13584</v>
      </c>
      <c r="E54" s="133"/>
      <c r="F54" s="133">
        <f t="shared" si="0"/>
        <v>3655</v>
      </c>
      <c r="G54" s="133">
        <f>SUMIFS(SevkAdetleri!$D:$D,SevkAdetleri!$A:$A,A54,SevkAdetleri!$E:$E,"OCAK")</f>
        <v>0</v>
      </c>
      <c r="H54" s="133">
        <f>SUMIFS(SevkAdetleri!$D:$D,SevkAdetleri!$A:$A,A54,SevkAdetleri!$E:$E,"ŞUBAT")</f>
        <v>0</v>
      </c>
      <c r="I54" s="133">
        <f>SUMIFS(SevkAdetleri!$D:$D,SevkAdetleri!$A:$A,A54,SevkAdetleri!$E:$E,"MART")</f>
        <v>0</v>
      </c>
      <c r="J54" s="133">
        <f>SUMIFS(SevkAdetleri!$D:$D,SevkAdetleri!$A:$A,A54,SevkAdetleri!$E:$E,"NİSAN")</f>
        <v>0</v>
      </c>
      <c r="K54" s="133">
        <f>SUMIFS(SevkAdetleri!$D:$D,SevkAdetleri!$A:$A,A54,SevkAdetleri!$E:$E,"MAYIS")</f>
        <v>0</v>
      </c>
      <c r="L54" s="133">
        <f>SUMIFS(SevkAdetleri!$D:$D,SevkAdetleri!$A:$A,A54,SevkAdetleri!$E:$E,"HAZIRAN")</f>
        <v>0</v>
      </c>
      <c r="M54" s="133">
        <f>SUMIFS(SevkAdetleri!$D:$D,SevkAdetleri!$A:$A,A54,SevkAdetleri!$E:$E,"TEMMUZ")</f>
        <v>0</v>
      </c>
      <c r="N54" s="133">
        <f>SUMIFS(SevkAdetleri!$D:$D,SevkAdetleri!$A:$A,A54,SevkAdetleri!$E:$E,"AĞUSTOS")</f>
        <v>0</v>
      </c>
      <c r="O54" s="133">
        <f>SUMIFS(SevkAdetleri!$D:$D,SevkAdetleri!$A:$A,A54,SevkAdetleri!$E:$E,"EYLÜL")</f>
        <v>9929</v>
      </c>
      <c r="P54" s="133">
        <f>SUMIFS(SevkAdetleri!$D:$D,SevkAdetleri!$A:$A,A54,SevkAdetleri!$E:$E,"EKİM")</f>
        <v>0</v>
      </c>
      <c r="Q54" s="133">
        <f>SUMIFS(SevkAdetleri!$D:$D,SevkAdetleri!$A:$A,A54,SevkAdetleri!$E:$E,"KASIM")</f>
        <v>0</v>
      </c>
      <c r="R54" s="133">
        <f>SUMIFS(SevkAdetleri!$D:$D,SevkAdetleri!$A:$A,A54,SevkAdetleri!$E:$E,"ARALIK")</f>
        <v>0</v>
      </c>
    </row>
    <row r="55" spans="1:18">
      <c r="A55" s="132" t="s">
        <v>295</v>
      </c>
      <c r="B55" s="133" t="str">
        <f>VLOOKUP(Tablo810[[#This Row],[ ÜRÜN KODU]],YMKODLARI!$A$1:$H$376,2,0)</f>
        <v>KLASİK EMZİK GÖVDE</v>
      </c>
      <c r="C55" s="133">
        <f>SUMIF(Tablo8[[ ÜRÜN KODU]],Tablo810[[#This Row],[ ÜRÜN KODU]],Tablo8[SEVK ADEDİ])-Tablo810[[#This Row],[GERİ İADE ÜRÜN]]</f>
        <v>0</v>
      </c>
      <c r="D55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55" s="133"/>
      <c r="F55" s="133">
        <f t="shared" si="0"/>
        <v>0</v>
      </c>
      <c r="G55" s="133">
        <f>SUMIFS(SevkAdetleri!$D:$D,SevkAdetleri!$A:$A,A55,SevkAdetleri!$E:$E,"OCAK")</f>
        <v>0</v>
      </c>
      <c r="H55" s="133">
        <f>SUMIFS(SevkAdetleri!$D:$D,SevkAdetleri!$A:$A,A55,SevkAdetleri!$E:$E,"ŞUBAT")</f>
        <v>0</v>
      </c>
      <c r="I55" s="133">
        <f>SUMIFS(SevkAdetleri!$D:$D,SevkAdetleri!$A:$A,A55,SevkAdetleri!$E:$E,"MART")</f>
        <v>0</v>
      </c>
      <c r="J55" s="133">
        <f>SUMIFS(SevkAdetleri!$D:$D,SevkAdetleri!$A:$A,A55,SevkAdetleri!$E:$E,"NİSAN")</f>
        <v>0</v>
      </c>
      <c r="K55" s="133">
        <f>SUMIFS(SevkAdetleri!$D:$D,SevkAdetleri!$A:$A,A55,SevkAdetleri!$E:$E,"MAYIS")</f>
        <v>0</v>
      </c>
      <c r="L55" s="133">
        <f>SUMIFS(SevkAdetleri!$D:$D,SevkAdetleri!$A:$A,A55,SevkAdetleri!$E:$E,"HAZIRAN")</f>
        <v>0</v>
      </c>
      <c r="M55" s="133">
        <f>SUMIFS(SevkAdetleri!$D:$D,SevkAdetleri!$A:$A,A55,SevkAdetleri!$E:$E,"TEMMUZ")</f>
        <v>0</v>
      </c>
      <c r="N55" s="133">
        <f>SUMIFS(SevkAdetleri!$D:$D,SevkAdetleri!$A:$A,A55,SevkAdetleri!$E:$E,"AĞUSTOS")</f>
        <v>0</v>
      </c>
      <c r="O55" s="133">
        <f>SUMIFS(SevkAdetleri!$D:$D,SevkAdetleri!$A:$A,A55,SevkAdetleri!$E:$E,"EYLÜL")</f>
        <v>0</v>
      </c>
      <c r="P55" s="133">
        <f>SUMIFS(SevkAdetleri!$D:$D,SevkAdetleri!$A:$A,A55,SevkAdetleri!$E:$E,"EKİM")</f>
        <v>0</v>
      </c>
      <c r="Q55" s="133">
        <f>SUMIFS(SevkAdetleri!$D:$D,SevkAdetleri!$A:$A,A55,SevkAdetleri!$E:$E,"KASIM")</f>
        <v>0</v>
      </c>
      <c r="R55" s="133">
        <f>SUMIFS(SevkAdetleri!$D:$D,SevkAdetleri!$A:$A,A55,SevkAdetleri!$E:$E,"ARALIK")</f>
        <v>0</v>
      </c>
    </row>
    <row r="56" spans="1:18">
      <c r="A56" s="132" t="s">
        <v>296</v>
      </c>
      <c r="B56" s="133" t="str">
        <f>VLOOKUP(Tablo810[[#This Row],[ ÜRÜN KODU]],YMKODLARI!$A$1:$H$376,2,0)</f>
        <v>KLASİK EMZİK GÖVDE</v>
      </c>
      <c r="C56" s="133">
        <f>SUMIF(Tablo8[[ ÜRÜN KODU]],Tablo810[[#This Row],[ ÜRÜN KODU]],Tablo8[SEVK ADEDİ])-Tablo810[[#This Row],[GERİ İADE ÜRÜN]]</f>
        <v>0</v>
      </c>
      <c r="D56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56" s="133"/>
      <c r="F56" s="133">
        <f t="shared" si="0"/>
        <v>0</v>
      </c>
      <c r="G56" s="133">
        <f>SUMIFS(SevkAdetleri!$D:$D,SevkAdetleri!$A:$A,A56,SevkAdetleri!$E:$E,"OCAK")</f>
        <v>0</v>
      </c>
      <c r="H56" s="133">
        <f>SUMIFS(SevkAdetleri!$D:$D,SevkAdetleri!$A:$A,A56,SevkAdetleri!$E:$E,"ŞUBAT")</f>
        <v>0</v>
      </c>
      <c r="I56" s="133">
        <f>SUMIFS(SevkAdetleri!$D:$D,SevkAdetleri!$A:$A,A56,SevkAdetleri!$E:$E,"MART")</f>
        <v>0</v>
      </c>
      <c r="J56" s="133">
        <f>SUMIFS(SevkAdetleri!$D:$D,SevkAdetleri!$A:$A,A56,SevkAdetleri!$E:$E,"NİSAN")</f>
        <v>0</v>
      </c>
      <c r="K56" s="133">
        <f>SUMIFS(SevkAdetleri!$D:$D,SevkAdetleri!$A:$A,A56,SevkAdetleri!$E:$E,"MAYIS")</f>
        <v>0</v>
      </c>
      <c r="L56" s="133">
        <f>SUMIFS(SevkAdetleri!$D:$D,SevkAdetleri!$A:$A,A56,SevkAdetleri!$E:$E,"HAZIRAN")</f>
        <v>0</v>
      </c>
      <c r="M56" s="133">
        <f>SUMIFS(SevkAdetleri!$D:$D,SevkAdetleri!$A:$A,A56,SevkAdetleri!$E:$E,"TEMMUZ")</f>
        <v>0</v>
      </c>
      <c r="N56" s="133">
        <f>SUMIFS(SevkAdetleri!$D:$D,SevkAdetleri!$A:$A,A56,SevkAdetleri!$E:$E,"AĞUSTOS")</f>
        <v>0</v>
      </c>
      <c r="O56" s="133">
        <f>SUMIFS(SevkAdetleri!$D:$D,SevkAdetleri!$A:$A,A56,SevkAdetleri!$E:$E,"EYLÜL")</f>
        <v>0</v>
      </c>
      <c r="P56" s="133">
        <f>SUMIFS(SevkAdetleri!$D:$D,SevkAdetleri!$A:$A,A56,SevkAdetleri!$E:$E,"EKİM")</f>
        <v>0</v>
      </c>
      <c r="Q56" s="133">
        <f>SUMIFS(SevkAdetleri!$D:$D,SevkAdetleri!$A:$A,A56,SevkAdetleri!$E:$E,"KASIM")</f>
        <v>0</v>
      </c>
      <c r="R56" s="133">
        <f>SUMIFS(SevkAdetleri!$D:$D,SevkAdetleri!$A:$A,A56,SevkAdetleri!$E:$E,"ARALIK")</f>
        <v>0</v>
      </c>
    </row>
    <row r="57" spans="1:18">
      <c r="A57" s="132" t="s">
        <v>297</v>
      </c>
      <c r="B57" s="133" t="str">
        <f>VLOOKUP(Tablo810[[#This Row],[ ÜRÜN KODU]],YMKODLARI!$A$1:$H$376,2,0)</f>
        <v>KLASİK EMZİK GÖVDE</v>
      </c>
      <c r="C57" s="133">
        <f>SUMIF(Tablo8[[ ÜRÜN KODU]],Tablo810[[#This Row],[ ÜRÜN KODU]],Tablo8[SEVK ADEDİ])-Tablo810[[#This Row],[GERİ İADE ÜRÜN]]</f>
        <v>0</v>
      </c>
      <c r="D57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57" s="133"/>
      <c r="F57" s="133">
        <f t="shared" si="0"/>
        <v>0</v>
      </c>
      <c r="G57" s="133">
        <f>SUMIFS(SevkAdetleri!$D:$D,SevkAdetleri!$A:$A,A57,SevkAdetleri!$E:$E,"OCAK")</f>
        <v>0</v>
      </c>
      <c r="H57" s="133">
        <f>SUMIFS(SevkAdetleri!$D:$D,SevkAdetleri!$A:$A,A57,SevkAdetleri!$E:$E,"ŞUBAT")</f>
        <v>0</v>
      </c>
      <c r="I57" s="133">
        <f>SUMIFS(SevkAdetleri!$D:$D,SevkAdetleri!$A:$A,A57,SevkAdetleri!$E:$E,"MART")</f>
        <v>0</v>
      </c>
      <c r="J57" s="133">
        <f>SUMIFS(SevkAdetleri!$D:$D,SevkAdetleri!$A:$A,A57,SevkAdetleri!$E:$E,"NİSAN")</f>
        <v>0</v>
      </c>
      <c r="K57" s="133">
        <f>SUMIFS(SevkAdetleri!$D:$D,SevkAdetleri!$A:$A,A57,SevkAdetleri!$E:$E,"MAYIS")</f>
        <v>0</v>
      </c>
      <c r="L57" s="133">
        <f>SUMIFS(SevkAdetleri!$D:$D,SevkAdetleri!$A:$A,A57,SevkAdetleri!$E:$E,"HAZIRAN")</f>
        <v>0</v>
      </c>
      <c r="M57" s="133">
        <f>SUMIFS(SevkAdetleri!$D:$D,SevkAdetleri!$A:$A,A57,SevkAdetleri!$E:$E,"TEMMUZ")</f>
        <v>0</v>
      </c>
      <c r="N57" s="133">
        <f>SUMIFS(SevkAdetleri!$D:$D,SevkAdetleri!$A:$A,A57,SevkAdetleri!$E:$E,"AĞUSTOS")</f>
        <v>0</v>
      </c>
      <c r="O57" s="133">
        <f>SUMIFS(SevkAdetleri!$D:$D,SevkAdetleri!$A:$A,A57,SevkAdetleri!$E:$E,"EYLÜL")</f>
        <v>0</v>
      </c>
      <c r="P57" s="133">
        <f>SUMIFS(SevkAdetleri!$D:$D,SevkAdetleri!$A:$A,A57,SevkAdetleri!$E:$E,"EKİM")</f>
        <v>0</v>
      </c>
      <c r="Q57" s="133">
        <f>SUMIFS(SevkAdetleri!$D:$D,SevkAdetleri!$A:$A,A57,SevkAdetleri!$E:$E,"KASIM")</f>
        <v>0</v>
      </c>
      <c r="R57" s="133">
        <f>SUMIFS(SevkAdetleri!$D:$D,SevkAdetleri!$A:$A,A57,SevkAdetleri!$E:$E,"ARALIK")</f>
        <v>0</v>
      </c>
    </row>
    <row r="58" spans="1:18">
      <c r="A58" s="132" t="s">
        <v>298</v>
      </c>
      <c r="B58" s="133" t="str">
        <f>VLOOKUP(Tablo810[[#This Row],[ ÜRÜN KODU]],YMKODLARI!$A$1:$H$376,2,0)</f>
        <v>KLASİK EMZİK GÖVDE</v>
      </c>
      <c r="C58" s="133">
        <f>SUMIF(Tablo8[[ ÜRÜN KODU]],Tablo810[[#This Row],[ ÜRÜN KODU]],Tablo8[SEVK ADEDİ])-Tablo810[[#This Row],[GERİ İADE ÜRÜN]]</f>
        <v>0</v>
      </c>
      <c r="D58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58" s="133"/>
      <c r="F58" s="133">
        <f t="shared" si="0"/>
        <v>0</v>
      </c>
      <c r="G58" s="133">
        <f>SUMIFS(SevkAdetleri!$D:$D,SevkAdetleri!$A:$A,A58,SevkAdetleri!$E:$E,"OCAK")</f>
        <v>0</v>
      </c>
      <c r="H58" s="133">
        <f>SUMIFS(SevkAdetleri!$D:$D,SevkAdetleri!$A:$A,A58,SevkAdetleri!$E:$E,"ŞUBAT")</f>
        <v>0</v>
      </c>
      <c r="I58" s="133">
        <f>SUMIFS(SevkAdetleri!$D:$D,SevkAdetleri!$A:$A,A58,SevkAdetleri!$E:$E,"MART")</f>
        <v>0</v>
      </c>
      <c r="J58" s="133">
        <f>SUMIFS(SevkAdetleri!$D:$D,SevkAdetleri!$A:$A,A58,SevkAdetleri!$E:$E,"NİSAN")</f>
        <v>0</v>
      </c>
      <c r="K58" s="133">
        <f>SUMIFS(SevkAdetleri!$D:$D,SevkAdetleri!$A:$A,A58,SevkAdetleri!$E:$E,"MAYIS")</f>
        <v>0</v>
      </c>
      <c r="L58" s="133">
        <f>SUMIFS(SevkAdetleri!$D:$D,SevkAdetleri!$A:$A,A58,SevkAdetleri!$E:$E,"HAZIRAN")</f>
        <v>0</v>
      </c>
      <c r="M58" s="133">
        <f>SUMIFS(SevkAdetleri!$D:$D,SevkAdetleri!$A:$A,A58,SevkAdetleri!$E:$E,"TEMMUZ")</f>
        <v>0</v>
      </c>
      <c r="N58" s="133">
        <f>SUMIFS(SevkAdetleri!$D:$D,SevkAdetleri!$A:$A,A58,SevkAdetleri!$E:$E,"AĞUSTOS")</f>
        <v>0</v>
      </c>
      <c r="O58" s="133">
        <f>SUMIFS(SevkAdetleri!$D:$D,SevkAdetleri!$A:$A,A58,SevkAdetleri!$E:$E,"EYLÜL")</f>
        <v>0</v>
      </c>
      <c r="P58" s="133">
        <f>SUMIFS(SevkAdetleri!$D:$D,SevkAdetleri!$A:$A,A58,SevkAdetleri!$E:$E,"EKİM")</f>
        <v>0</v>
      </c>
      <c r="Q58" s="133">
        <f>SUMIFS(SevkAdetleri!$D:$D,SevkAdetleri!$A:$A,A58,SevkAdetleri!$E:$E,"KASIM")</f>
        <v>0</v>
      </c>
      <c r="R58" s="133">
        <f>SUMIFS(SevkAdetleri!$D:$D,SevkAdetleri!$A:$A,A58,SevkAdetleri!$E:$E,"ARALIK")</f>
        <v>0</v>
      </c>
    </row>
    <row r="59" spans="1:18">
      <c r="A59" s="132" t="s">
        <v>299</v>
      </c>
      <c r="B59" s="133" t="str">
        <f>VLOOKUP(Tablo810[[#This Row],[ ÜRÜN KODU]],YMKODLARI!$A$1:$H$376,2,0)</f>
        <v>KLASİK EMZİK GÖVDE</v>
      </c>
      <c r="C59" s="133">
        <f>SUMIF(Tablo8[[ ÜRÜN KODU]],Tablo810[[#This Row],[ ÜRÜN KODU]],Tablo8[SEVK ADEDİ])-Tablo810[[#This Row],[GERİ İADE ÜRÜN]]</f>
        <v>0</v>
      </c>
      <c r="D59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59" s="133"/>
      <c r="F59" s="133">
        <f t="shared" si="0"/>
        <v>0</v>
      </c>
      <c r="G59" s="133">
        <f>SUMIFS(SevkAdetleri!$D:$D,SevkAdetleri!$A:$A,A59,SevkAdetleri!$E:$E,"OCAK")</f>
        <v>0</v>
      </c>
      <c r="H59" s="133">
        <f>SUMIFS(SevkAdetleri!$D:$D,SevkAdetleri!$A:$A,A59,SevkAdetleri!$E:$E,"ŞUBAT")</f>
        <v>0</v>
      </c>
      <c r="I59" s="133">
        <f>SUMIFS(SevkAdetleri!$D:$D,SevkAdetleri!$A:$A,A59,SevkAdetleri!$E:$E,"MART")</f>
        <v>0</v>
      </c>
      <c r="J59" s="133">
        <f>SUMIFS(SevkAdetleri!$D:$D,SevkAdetleri!$A:$A,A59,SevkAdetleri!$E:$E,"NİSAN")</f>
        <v>0</v>
      </c>
      <c r="K59" s="133">
        <f>SUMIFS(SevkAdetleri!$D:$D,SevkAdetleri!$A:$A,A59,SevkAdetleri!$E:$E,"MAYIS")</f>
        <v>0</v>
      </c>
      <c r="L59" s="133">
        <f>SUMIFS(SevkAdetleri!$D:$D,SevkAdetleri!$A:$A,A59,SevkAdetleri!$E:$E,"HAZIRAN")</f>
        <v>0</v>
      </c>
      <c r="M59" s="133">
        <f>SUMIFS(SevkAdetleri!$D:$D,SevkAdetleri!$A:$A,A59,SevkAdetleri!$E:$E,"TEMMUZ")</f>
        <v>0</v>
      </c>
      <c r="N59" s="133">
        <f>SUMIFS(SevkAdetleri!$D:$D,SevkAdetleri!$A:$A,A59,SevkAdetleri!$E:$E,"AĞUSTOS")</f>
        <v>0</v>
      </c>
      <c r="O59" s="133">
        <f>SUMIFS(SevkAdetleri!$D:$D,SevkAdetleri!$A:$A,A59,SevkAdetleri!$E:$E,"EYLÜL")</f>
        <v>0</v>
      </c>
      <c r="P59" s="133">
        <f>SUMIFS(SevkAdetleri!$D:$D,SevkAdetleri!$A:$A,A59,SevkAdetleri!$E:$E,"EKİM")</f>
        <v>0</v>
      </c>
      <c r="Q59" s="133">
        <f>SUMIFS(SevkAdetleri!$D:$D,SevkAdetleri!$A:$A,A59,SevkAdetleri!$E:$E,"KASIM")</f>
        <v>0</v>
      </c>
      <c r="R59" s="133">
        <f>SUMIFS(SevkAdetleri!$D:$D,SevkAdetleri!$A:$A,A59,SevkAdetleri!$E:$E,"ARALIK")</f>
        <v>0</v>
      </c>
    </row>
    <row r="60" spans="1:18">
      <c r="A60" s="132" t="s">
        <v>135</v>
      </c>
      <c r="B60" s="133" t="str">
        <f>VLOOKUP(Tablo810[[#This Row],[ ÜRÜN KODU]],YMKODLARI!$A$1:$H$376,2,0)</f>
        <v>KLASİK EMZİK GÖVDE</v>
      </c>
      <c r="C60" s="133">
        <f>SUMIF(Tablo8[[ ÜRÜN KODU]],Tablo810[[#This Row],[ ÜRÜN KODU]],Tablo8[SEVK ADEDİ])-Tablo810[[#This Row],[GERİ İADE ÜRÜN]]</f>
        <v>42880</v>
      </c>
      <c r="D60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44696</v>
      </c>
      <c r="E60" s="133"/>
      <c r="F60" s="133">
        <f t="shared" si="0"/>
        <v>1816</v>
      </c>
      <c r="G60" s="133">
        <f>SUMIFS(SevkAdetleri!$D:$D,SevkAdetleri!$A:$A,A60,SevkAdetleri!$E:$E,"OCAK")</f>
        <v>10890</v>
      </c>
      <c r="H60" s="133">
        <f>SUMIFS(SevkAdetleri!$D:$D,SevkAdetleri!$A:$A,A60,SevkAdetleri!$E:$E,"ŞUBAT")</f>
        <v>0</v>
      </c>
      <c r="I60" s="133">
        <f>SUMIFS(SevkAdetleri!$D:$D,SevkAdetleri!$A:$A,A60,SevkAdetleri!$E:$E,"MART")</f>
        <v>16650</v>
      </c>
      <c r="J60" s="133">
        <f>SUMIFS(SevkAdetleri!$D:$D,SevkAdetleri!$A:$A,A60,SevkAdetleri!$E:$E,"NİSAN")</f>
        <v>0</v>
      </c>
      <c r="K60" s="133">
        <f>SUMIFS(SevkAdetleri!$D:$D,SevkAdetleri!$A:$A,A60,SevkAdetleri!$E:$E,"MAYIS")</f>
        <v>0</v>
      </c>
      <c r="L60" s="133">
        <f>SUMIFS(SevkAdetleri!$D:$D,SevkAdetleri!$A:$A,A60,SevkAdetleri!$E:$E,"HAZIRAN")</f>
        <v>0</v>
      </c>
      <c r="M60" s="133">
        <f>SUMIFS(SevkAdetleri!$D:$D,SevkAdetleri!$A:$A,A60,SevkAdetleri!$E:$E,"TEMMUZ")</f>
        <v>0</v>
      </c>
      <c r="N60" s="133">
        <f>SUMIFS(SevkAdetleri!$D:$D,SevkAdetleri!$A:$A,A60,SevkAdetleri!$E:$E,"AĞUSTOS")</f>
        <v>0</v>
      </c>
      <c r="O60" s="133">
        <f>SUMIFS(SevkAdetleri!$D:$D,SevkAdetleri!$A:$A,A60,SevkAdetleri!$E:$E,"EYLÜL")</f>
        <v>0</v>
      </c>
      <c r="P60" s="133">
        <f>SUMIFS(SevkAdetleri!$D:$D,SevkAdetleri!$A:$A,A60,SevkAdetleri!$E:$E,"EKİM")</f>
        <v>15340</v>
      </c>
      <c r="Q60" s="133">
        <f>SUMIFS(SevkAdetleri!$D:$D,SevkAdetleri!$A:$A,A60,SevkAdetleri!$E:$E,"KASIM")</f>
        <v>0</v>
      </c>
      <c r="R60" s="133">
        <f>SUMIFS(SevkAdetleri!$D:$D,SevkAdetleri!$A:$A,A60,SevkAdetleri!$E:$E,"ARALIK")</f>
        <v>0</v>
      </c>
    </row>
    <row r="61" spans="1:18">
      <c r="A61" s="132" t="s">
        <v>578</v>
      </c>
      <c r="B61" s="133" t="str">
        <f>VLOOKUP(Tablo810[[#This Row],[ ÜRÜN KODU]],YMKODLARI!$A$1:$H$376,2,0)</f>
        <v>KLASİK EMZİK GÖVDE</v>
      </c>
      <c r="C61" s="133">
        <f>SUMIF(Tablo8[[ ÜRÜN KODU]],Tablo810[[#This Row],[ ÜRÜN KODU]],Tablo8[SEVK ADEDİ])-Tablo810[[#This Row],[GERİ İADE ÜRÜN]]</f>
        <v>7720</v>
      </c>
      <c r="D61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8320</v>
      </c>
      <c r="E61" s="133"/>
      <c r="F61" s="133">
        <f>(D61-C61)+E61</f>
        <v>600</v>
      </c>
      <c r="G61" s="134">
        <f>SUMIFS(SevkAdetleri!$D:$D,SevkAdetleri!$A:$A,A61,SevkAdetleri!$E:$E,"OCAK")</f>
        <v>0</v>
      </c>
      <c r="H61" s="133">
        <f>SUMIFS(SevkAdetleri!$D:$D,SevkAdetleri!$A:$A,A61,SevkAdetleri!$E:$E,"ŞUBAT")</f>
        <v>0</v>
      </c>
      <c r="I61" s="133">
        <f>SUMIFS(SevkAdetleri!$D:$D,SevkAdetleri!$A:$A,A61,SevkAdetleri!$E:$E,"MART")</f>
        <v>0</v>
      </c>
      <c r="J61" s="133">
        <f>SUMIFS(SevkAdetleri!$D:$D,SevkAdetleri!$A:$A,A61,SevkAdetleri!$E:$E,"NİSAN")</f>
        <v>0</v>
      </c>
      <c r="K61" s="133">
        <f>SUMIFS(SevkAdetleri!$D:$D,SevkAdetleri!$A:$A,A61,SevkAdetleri!$E:$E,"MAYIS")</f>
        <v>0</v>
      </c>
      <c r="L61" s="133">
        <f>SUMIFS(SevkAdetleri!$D:$D,SevkAdetleri!$A:$A,A61,SevkAdetleri!$E:$E,"HAZIRAN")</f>
        <v>0</v>
      </c>
      <c r="M61" s="133">
        <f>SUMIFS(SevkAdetleri!$D:$D,SevkAdetleri!$A:$A,A61,SevkAdetleri!$E:$E,"TEMMUZ")</f>
        <v>0</v>
      </c>
      <c r="N61" s="133">
        <f>SUMIFS(SevkAdetleri!$D:$D,SevkAdetleri!$A:$A,A61,SevkAdetleri!$E:$E,"AĞUSTOS")</f>
        <v>0</v>
      </c>
      <c r="O61" s="133">
        <f>SUMIFS(SevkAdetleri!$D:$D,SevkAdetleri!$A:$A,A61,SevkAdetleri!$E:$E,"EYLÜL")</f>
        <v>0</v>
      </c>
      <c r="P61" s="133">
        <f>SUMIFS(SevkAdetleri!$D:$D,SevkAdetleri!$A:$A,A61,SevkAdetleri!$E:$E,"EKİM")</f>
        <v>7720</v>
      </c>
      <c r="Q61" s="133">
        <f>SUMIFS(SevkAdetleri!$D:$D,SevkAdetleri!$A:$A,A61,SevkAdetleri!$E:$E,"KASIM")</f>
        <v>0</v>
      </c>
      <c r="R61" s="133">
        <f>SUMIFS(SevkAdetleri!$D:$D,SevkAdetleri!$A:$A,A61,SevkAdetleri!$E:$E,"ARALIK")</f>
        <v>0</v>
      </c>
    </row>
    <row r="62" spans="1:18">
      <c r="A62" s="132" t="s">
        <v>577</v>
      </c>
      <c r="B62" s="133" t="str">
        <f>VLOOKUP(Tablo810[[#This Row],[ ÜRÜN KODU]],YMKODLARI!$A$1:$H$376,2,0)</f>
        <v>KLASİK EMZİK GÖVDE</v>
      </c>
      <c r="C62" s="133">
        <f>SUMIF(Tablo8[[ ÜRÜN KODU]],Tablo810[[#This Row],[ ÜRÜN KODU]],Tablo8[SEVK ADEDİ])-Tablo810[[#This Row],[GERİ İADE ÜRÜN]]</f>
        <v>7175</v>
      </c>
      <c r="D62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7696</v>
      </c>
      <c r="E62" s="133"/>
      <c r="F62" s="133">
        <f>(D62-C62)+E62</f>
        <v>521</v>
      </c>
      <c r="G62" s="134">
        <f>SUMIFS(SevkAdetleri!$D:$D,SevkAdetleri!$A:$A,A62,SevkAdetleri!$E:$E,"OCAK")</f>
        <v>0</v>
      </c>
      <c r="H62" s="133">
        <f>SUMIFS(SevkAdetleri!$D:$D,SevkAdetleri!$A:$A,A62,SevkAdetleri!$E:$E,"ŞUBAT")</f>
        <v>0</v>
      </c>
      <c r="I62" s="133">
        <f>SUMIFS(SevkAdetleri!$D:$D,SevkAdetleri!$A:$A,A62,SevkAdetleri!$E:$E,"MART")</f>
        <v>0</v>
      </c>
      <c r="J62" s="133">
        <f>SUMIFS(SevkAdetleri!$D:$D,SevkAdetleri!$A:$A,A62,SevkAdetleri!$E:$E,"NİSAN")</f>
        <v>0</v>
      </c>
      <c r="K62" s="133">
        <f>SUMIFS(SevkAdetleri!$D:$D,SevkAdetleri!$A:$A,A62,SevkAdetleri!$E:$E,"MAYIS")</f>
        <v>0</v>
      </c>
      <c r="L62" s="133">
        <f>SUMIFS(SevkAdetleri!$D:$D,SevkAdetleri!$A:$A,A62,SevkAdetleri!$E:$E,"HAZIRAN")</f>
        <v>0</v>
      </c>
      <c r="M62" s="133">
        <f>SUMIFS(SevkAdetleri!$D:$D,SevkAdetleri!$A:$A,A62,SevkAdetleri!$E:$E,"TEMMUZ")</f>
        <v>0</v>
      </c>
      <c r="N62" s="133">
        <f>SUMIFS(SevkAdetleri!$D:$D,SevkAdetleri!$A:$A,A62,SevkAdetleri!$E:$E,"AĞUSTOS")</f>
        <v>0</v>
      </c>
      <c r="O62" s="133">
        <f>SUMIFS(SevkAdetleri!$D:$D,SevkAdetleri!$A:$A,A62,SevkAdetleri!$E:$E,"EYLÜL")</f>
        <v>0</v>
      </c>
      <c r="P62" s="133">
        <f>SUMIFS(SevkAdetleri!$D:$D,SevkAdetleri!$A:$A,A62,SevkAdetleri!$E:$E,"EKİM")</f>
        <v>7175</v>
      </c>
      <c r="Q62" s="133">
        <f>SUMIFS(SevkAdetleri!$D:$D,SevkAdetleri!$A:$A,A62,SevkAdetleri!$E:$E,"KASIM")</f>
        <v>0</v>
      </c>
      <c r="R62" s="133">
        <f>SUMIFS(SevkAdetleri!$D:$D,SevkAdetleri!$A:$A,A62,SevkAdetleri!$E:$E,"ARALIK")</f>
        <v>0</v>
      </c>
    </row>
    <row r="63" spans="1:18">
      <c r="A63" s="132" t="s">
        <v>164</v>
      </c>
      <c r="B63" s="133" t="str">
        <f>VLOOKUP(Tablo810[[#This Row],[ ÜRÜN KODU]],YMKODLARI!$A$1:$H$376,2,0)</f>
        <v>YENİ DAMAK GÖVDE</v>
      </c>
      <c r="C63" s="133">
        <f>SUMIF(Tablo8[[ ÜRÜN KODU]],Tablo810[[#This Row],[ ÜRÜN KODU]],Tablo8[SEVK ADEDİ])-Tablo810[[#This Row],[GERİ İADE ÜRÜN]]</f>
        <v>18381</v>
      </c>
      <c r="D63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26168</v>
      </c>
      <c r="E63" s="133"/>
      <c r="F63" s="133">
        <f t="shared" si="0"/>
        <v>7787</v>
      </c>
      <c r="G63" s="133">
        <f>SUMIFS(SevkAdetleri!$D:$D,SevkAdetleri!$A:$A,A63,SevkAdetleri!$E:$E,"OCAK")</f>
        <v>0</v>
      </c>
      <c r="H63" s="133">
        <f>SUMIFS(SevkAdetleri!$D:$D,SevkAdetleri!$A:$A,A63,SevkAdetleri!$E:$E,"ŞUBAT")</f>
        <v>0</v>
      </c>
      <c r="I63" s="133">
        <f>SUMIFS(SevkAdetleri!$D:$D,SevkAdetleri!$A:$A,A63,SevkAdetleri!$E:$E,"MART")</f>
        <v>0</v>
      </c>
      <c r="J63" s="133">
        <f>SUMIFS(SevkAdetleri!$D:$D,SevkAdetleri!$A:$A,A63,SevkAdetleri!$E:$E,"NİSAN")</f>
        <v>0</v>
      </c>
      <c r="K63" s="133">
        <f>SUMIFS(SevkAdetleri!$D:$D,SevkAdetleri!$A:$A,A63,SevkAdetleri!$E:$E,"MAYIS")</f>
        <v>0</v>
      </c>
      <c r="L63" s="133">
        <f>SUMIFS(SevkAdetleri!$D:$D,SevkAdetleri!$A:$A,A63,SevkAdetleri!$E:$E,"HAZIRAN")</f>
        <v>18381</v>
      </c>
      <c r="M63" s="133">
        <f>SUMIFS(SevkAdetleri!$D:$D,SevkAdetleri!$A:$A,A63,SevkAdetleri!$E:$E,"TEMMUZ")</f>
        <v>0</v>
      </c>
      <c r="N63" s="133">
        <f>SUMIFS(SevkAdetleri!$D:$D,SevkAdetleri!$A:$A,A63,SevkAdetleri!$E:$E,"AĞUSTOS")</f>
        <v>0</v>
      </c>
      <c r="O63" s="133">
        <f>SUMIFS(SevkAdetleri!$D:$D,SevkAdetleri!$A:$A,A63,SevkAdetleri!$E:$E,"EYLÜL")</f>
        <v>0</v>
      </c>
      <c r="P63" s="133">
        <f>SUMIFS(SevkAdetleri!$D:$D,SevkAdetleri!$A:$A,A63,SevkAdetleri!$E:$E,"EKİM")</f>
        <v>0</v>
      </c>
      <c r="Q63" s="133">
        <f>SUMIFS(SevkAdetleri!$D:$D,SevkAdetleri!$A:$A,A63,SevkAdetleri!$E:$E,"KASIM")</f>
        <v>0</v>
      </c>
      <c r="R63" s="133">
        <f>SUMIFS(SevkAdetleri!$D:$D,SevkAdetleri!$A:$A,A63,SevkAdetleri!$E:$E,"ARALIK")</f>
        <v>0</v>
      </c>
    </row>
    <row r="64" spans="1:18">
      <c r="A64" s="132" t="s">
        <v>188</v>
      </c>
      <c r="B64" s="133" t="str">
        <f>VLOOKUP(Tablo810[[#This Row],[ ÜRÜN KODU]],YMKODLARI!$A$1:$H$376,2,0)</f>
        <v>YENİ DAMAK GÖVDE</v>
      </c>
      <c r="C64" s="133">
        <f>SUMIF(Tablo8[[ ÜRÜN KODU]],Tablo810[[#This Row],[ ÜRÜN KODU]],Tablo8[SEVK ADEDİ])-Tablo810[[#This Row],[GERİ İADE ÜRÜN]]</f>
        <v>6188</v>
      </c>
      <c r="D64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6200</v>
      </c>
      <c r="E64" s="133"/>
      <c r="F64" s="133">
        <f>(D64-C64)+E64</f>
        <v>12</v>
      </c>
      <c r="G64" s="134">
        <f>SUMIFS(SevkAdetleri!$D:$D,SevkAdetleri!$A:$A,A64,SevkAdetleri!$E:$E,"OCAK")</f>
        <v>0</v>
      </c>
      <c r="H64" s="133">
        <f>SUMIFS(SevkAdetleri!$D:$D,SevkAdetleri!$A:$A,A64,SevkAdetleri!$E:$E,"ŞUBAT")</f>
        <v>0</v>
      </c>
      <c r="I64" s="133">
        <f>SUMIFS(SevkAdetleri!$D:$D,SevkAdetleri!$A:$A,A64,SevkAdetleri!$E:$E,"MART")</f>
        <v>0</v>
      </c>
      <c r="J64" s="133">
        <f>SUMIFS(SevkAdetleri!$D:$D,SevkAdetleri!$A:$A,A64,SevkAdetleri!$E:$E,"NİSAN")</f>
        <v>0</v>
      </c>
      <c r="K64" s="133">
        <f>SUMIFS(SevkAdetleri!$D:$D,SevkAdetleri!$A:$A,A64,SevkAdetleri!$E:$E,"MAYIS")</f>
        <v>0</v>
      </c>
      <c r="L64" s="133">
        <f>SUMIFS(SevkAdetleri!$D:$D,SevkAdetleri!$A:$A,A64,SevkAdetleri!$E:$E,"HAZIRAN")</f>
        <v>6188</v>
      </c>
      <c r="M64" s="133">
        <f>SUMIFS(SevkAdetleri!$D:$D,SevkAdetleri!$A:$A,A64,SevkAdetleri!$E:$E,"TEMMUZ")</f>
        <v>0</v>
      </c>
      <c r="N64" s="133">
        <f>SUMIFS(SevkAdetleri!$D:$D,SevkAdetleri!$A:$A,A64,SevkAdetleri!$E:$E,"AĞUSTOS")</f>
        <v>0</v>
      </c>
      <c r="O64" s="133">
        <f>SUMIFS(SevkAdetleri!$D:$D,SevkAdetleri!$A:$A,A64,SevkAdetleri!$E:$E,"EYLÜL")</f>
        <v>0</v>
      </c>
      <c r="P64" s="133">
        <f>SUMIFS(SevkAdetleri!$D:$D,SevkAdetleri!$A:$A,A64,SevkAdetleri!$E:$E,"EKİM")</f>
        <v>0</v>
      </c>
      <c r="Q64" s="133">
        <f>SUMIFS(SevkAdetleri!$D:$D,SevkAdetleri!$A:$A,A64,SevkAdetleri!$E:$E,"KASIM")</f>
        <v>0</v>
      </c>
      <c r="R64" s="133">
        <f>SUMIFS(SevkAdetleri!$D:$D,SevkAdetleri!$A:$A,A64,SevkAdetleri!$E:$E,"ARALIK")</f>
        <v>0</v>
      </c>
    </row>
    <row r="65" spans="1:18">
      <c r="A65" s="132" t="s">
        <v>300</v>
      </c>
      <c r="B65" s="133" t="str">
        <f>VLOOKUP(Tablo810[[#This Row],[ ÜRÜN KODU]],YMKODLARI!$A$1:$H$376,2,0)</f>
        <v>KLASİK EMZİK SAP</v>
      </c>
      <c r="C65" s="133">
        <f>SUMIF(Tablo8[[ ÜRÜN KODU]],Tablo810[[#This Row],[ ÜRÜN KODU]],Tablo8[SEVK ADEDİ])-Tablo810[[#This Row],[GERİ İADE ÜRÜN]]</f>
        <v>0</v>
      </c>
      <c r="D65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65" s="133"/>
      <c r="F65" s="133">
        <f t="shared" si="0"/>
        <v>0</v>
      </c>
      <c r="G65" s="133">
        <f>SUMIFS(SevkAdetleri!$D:$D,SevkAdetleri!$A:$A,A65,SevkAdetleri!$E:$E,"OCAK")</f>
        <v>0</v>
      </c>
      <c r="H65" s="133">
        <f>SUMIFS(SevkAdetleri!$D:$D,SevkAdetleri!$A:$A,A65,SevkAdetleri!$E:$E,"ŞUBAT")</f>
        <v>0</v>
      </c>
      <c r="I65" s="133">
        <f>SUMIFS(SevkAdetleri!$D:$D,SevkAdetleri!$A:$A,A65,SevkAdetleri!$E:$E,"MART")</f>
        <v>0</v>
      </c>
      <c r="J65" s="133">
        <f>SUMIFS(SevkAdetleri!$D:$D,SevkAdetleri!$A:$A,A65,SevkAdetleri!$E:$E,"NİSAN")</f>
        <v>0</v>
      </c>
      <c r="K65" s="133">
        <f>SUMIFS(SevkAdetleri!$D:$D,SevkAdetleri!$A:$A,A65,SevkAdetleri!$E:$E,"MAYIS")</f>
        <v>0</v>
      </c>
      <c r="L65" s="133">
        <f>SUMIFS(SevkAdetleri!$D:$D,SevkAdetleri!$A:$A,A65,SevkAdetleri!$E:$E,"HAZIRAN")</f>
        <v>0</v>
      </c>
      <c r="M65" s="133">
        <f>SUMIFS(SevkAdetleri!$D:$D,SevkAdetleri!$A:$A,A65,SevkAdetleri!$E:$E,"TEMMUZ")</f>
        <v>0</v>
      </c>
      <c r="N65" s="133">
        <f>SUMIFS(SevkAdetleri!$D:$D,SevkAdetleri!$A:$A,A65,SevkAdetleri!$E:$E,"AĞUSTOS")</f>
        <v>0</v>
      </c>
      <c r="O65" s="133">
        <f>SUMIFS(SevkAdetleri!$D:$D,SevkAdetleri!$A:$A,A65,SevkAdetleri!$E:$E,"EYLÜL")</f>
        <v>0</v>
      </c>
      <c r="P65" s="133">
        <f>SUMIFS(SevkAdetleri!$D:$D,SevkAdetleri!$A:$A,A65,SevkAdetleri!$E:$E,"EKİM")</f>
        <v>0</v>
      </c>
      <c r="Q65" s="133">
        <f>SUMIFS(SevkAdetleri!$D:$D,SevkAdetleri!$A:$A,A65,SevkAdetleri!$E:$E,"KASIM")</f>
        <v>0</v>
      </c>
      <c r="R65" s="133">
        <f>SUMIFS(SevkAdetleri!$D:$D,SevkAdetleri!$A:$A,A65,SevkAdetleri!$E:$E,"ARALIK")</f>
        <v>0</v>
      </c>
    </row>
    <row r="66" spans="1:18">
      <c r="A66" s="132" t="s">
        <v>301</v>
      </c>
      <c r="B66" s="133" t="str">
        <f>VLOOKUP(Tablo810[[#This Row],[ ÜRÜN KODU]],YMKODLARI!$A$1:$H$376,2,0)</f>
        <v>KLASİK EMZİK SAP</v>
      </c>
      <c r="C66" s="133">
        <f>SUMIF(Tablo8[[ ÜRÜN KODU]],Tablo810[[#This Row],[ ÜRÜN KODU]],Tablo8[SEVK ADEDİ])-Tablo810[[#This Row],[GERİ İADE ÜRÜN]]</f>
        <v>0</v>
      </c>
      <c r="D66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66" s="133"/>
      <c r="F66" s="133">
        <f t="shared" si="0"/>
        <v>0</v>
      </c>
      <c r="G66" s="133">
        <f>SUMIFS(SevkAdetleri!$D:$D,SevkAdetleri!$A:$A,A66,SevkAdetleri!$E:$E,"OCAK")</f>
        <v>0</v>
      </c>
      <c r="H66" s="133">
        <f>SUMIFS(SevkAdetleri!$D:$D,SevkAdetleri!$A:$A,A66,SevkAdetleri!$E:$E,"ŞUBAT")</f>
        <v>0</v>
      </c>
      <c r="I66" s="133">
        <f>SUMIFS(SevkAdetleri!$D:$D,SevkAdetleri!$A:$A,A66,SevkAdetleri!$E:$E,"MART")</f>
        <v>0</v>
      </c>
      <c r="J66" s="133">
        <f>SUMIFS(SevkAdetleri!$D:$D,SevkAdetleri!$A:$A,A66,SevkAdetleri!$E:$E,"NİSAN")</f>
        <v>0</v>
      </c>
      <c r="K66" s="133">
        <f>SUMIFS(SevkAdetleri!$D:$D,SevkAdetleri!$A:$A,A66,SevkAdetleri!$E:$E,"MAYIS")</f>
        <v>0</v>
      </c>
      <c r="L66" s="133">
        <f>SUMIFS(SevkAdetleri!$D:$D,SevkAdetleri!$A:$A,A66,SevkAdetleri!$E:$E,"HAZIRAN")</f>
        <v>0</v>
      </c>
      <c r="M66" s="133">
        <f>SUMIFS(SevkAdetleri!$D:$D,SevkAdetleri!$A:$A,A66,SevkAdetleri!$E:$E,"TEMMUZ")</f>
        <v>0</v>
      </c>
      <c r="N66" s="133">
        <f>SUMIFS(SevkAdetleri!$D:$D,SevkAdetleri!$A:$A,A66,SevkAdetleri!$E:$E,"AĞUSTOS")</f>
        <v>0</v>
      </c>
      <c r="O66" s="133">
        <f>SUMIFS(SevkAdetleri!$D:$D,SevkAdetleri!$A:$A,A66,SevkAdetleri!$E:$E,"EYLÜL")</f>
        <v>0</v>
      </c>
      <c r="P66" s="133">
        <f>SUMIFS(SevkAdetleri!$D:$D,SevkAdetleri!$A:$A,A66,SevkAdetleri!$E:$E,"EKİM")</f>
        <v>0</v>
      </c>
      <c r="Q66" s="133">
        <f>SUMIFS(SevkAdetleri!$D:$D,SevkAdetleri!$A:$A,A66,SevkAdetleri!$E:$E,"KASIM")</f>
        <v>0</v>
      </c>
      <c r="R66" s="133">
        <f>SUMIFS(SevkAdetleri!$D:$D,SevkAdetleri!$A:$A,A66,SevkAdetleri!$E:$E,"ARALIK")</f>
        <v>0</v>
      </c>
    </row>
    <row r="67" spans="1:18">
      <c r="A67" s="132" t="s">
        <v>302</v>
      </c>
      <c r="B67" s="133" t="str">
        <f>VLOOKUP(Tablo810[[#This Row],[ ÜRÜN KODU]],YMKODLARI!$A$1:$H$376,2,0)</f>
        <v>KLASİK EMZİK SAP</v>
      </c>
      <c r="C67" s="133">
        <f>SUMIF(Tablo8[[ ÜRÜN KODU]],Tablo810[[#This Row],[ ÜRÜN KODU]],Tablo8[SEVK ADEDİ])-Tablo810[[#This Row],[GERİ İADE ÜRÜN]]</f>
        <v>0</v>
      </c>
      <c r="D67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67" s="133"/>
      <c r="F67" s="133">
        <f t="shared" si="0"/>
        <v>0</v>
      </c>
      <c r="G67" s="133">
        <f>SUMIFS(SevkAdetleri!$D:$D,SevkAdetleri!$A:$A,A67,SevkAdetleri!$E:$E,"OCAK")</f>
        <v>0</v>
      </c>
      <c r="H67" s="133">
        <f>SUMIFS(SevkAdetleri!$D:$D,SevkAdetleri!$A:$A,A67,SevkAdetleri!$E:$E,"ŞUBAT")</f>
        <v>0</v>
      </c>
      <c r="I67" s="133">
        <f>SUMIFS(SevkAdetleri!$D:$D,SevkAdetleri!$A:$A,A67,SevkAdetleri!$E:$E,"MART")</f>
        <v>0</v>
      </c>
      <c r="J67" s="133">
        <f>SUMIFS(SevkAdetleri!$D:$D,SevkAdetleri!$A:$A,A67,SevkAdetleri!$E:$E,"NİSAN")</f>
        <v>0</v>
      </c>
      <c r="K67" s="133">
        <f>SUMIFS(SevkAdetleri!$D:$D,SevkAdetleri!$A:$A,A67,SevkAdetleri!$E:$E,"MAYIS")</f>
        <v>0</v>
      </c>
      <c r="L67" s="133">
        <f>SUMIFS(SevkAdetleri!$D:$D,SevkAdetleri!$A:$A,A67,SevkAdetleri!$E:$E,"HAZIRAN")</f>
        <v>0</v>
      </c>
      <c r="M67" s="133">
        <f>SUMIFS(SevkAdetleri!$D:$D,SevkAdetleri!$A:$A,A67,SevkAdetleri!$E:$E,"TEMMUZ")</f>
        <v>0</v>
      </c>
      <c r="N67" s="133">
        <f>SUMIFS(SevkAdetleri!$D:$D,SevkAdetleri!$A:$A,A67,SevkAdetleri!$E:$E,"AĞUSTOS")</f>
        <v>0</v>
      </c>
      <c r="O67" s="133">
        <f>SUMIFS(SevkAdetleri!$D:$D,SevkAdetleri!$A:$A,A67,SevkAdetleri!$E:$E,"EYLÜL")</f>
        <v>0</v>
      </c>
      <c r="P67" s="133">
        <f>SUMIFS(SevkAdetleri!$D:$D,SevkAdetleri!$A:$A,A67,SevkAdetleri!$E:$E,"EKİM")</f>
        <v>0</v>
      </c>
      <c r="Q67" s="133">
        <f>SUMIFS(SevkAdetleri!$D:$D,SevkAdetleri!$A:$A,A67,SevkAdetleri!$E:$E,"KASIM")</f>
        <v>0</v>
      </c>
      <c r="R67" s="133">
        <f>SUMIFS(SevkAdetleri!$D:$D,SevkAdetleri!$A:$A,A67,SevkAdetleri!$E:$E,"ARALIK")</f>
        <v>0</v>
      </c>
    </row>
    <row r="68" spans="1:18">
      <c r="A68" s="132" t="s">
        <v>303</v>
      </c>
      <c r="B68" s="133" t="str">
        <f>VLOOKUP(Tablo810[[#This Row],[ ÜRÜN KODU]],YMKODLARI!$A$1:$H$376,2,0)</f>
        <v>KLASİK EMZİK SAP</v>
      </c>
      <c r="C68" s="133">
        <f>SUMIF(Tablo8[[ ÜRÜN KODU]],Tablo810[[#This Row],[ ÜRÜN KODU]],Tablo8[SEVK ADEDİ])-Tablo810[[#This Row],[GERİ İADE ÜRÜN]]</f>
        <v>0</v>
      </c>
      <c r="D68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68" s="133"/>
      <c r="F68" s="133">
        <f t="shared" si="0"/>
        <v>0</v>
      </c>
      <c r="G68" s="133">
        <f>SUMIFS(SevkAdetleri!$D:$D,SevkAdetleri!$A:$A,A68,SevkAdetleri!$E:$E,"OCAK")</f>
        <v>0</v>
      </c>
      <c r="H68" s="133">
        <f>SUMIFS(SevkAdetleri!$D:$D,SevkAdetleri!$A:$A,A68,SevkAdetleri!$E:$E,"ŞUBAT")</f>
        <v>0</v>
      </c>
      <c r="I68" s="133">
        <f>SUMIFS(SevkAdetleri!$D:$D,SevkAdetleri!$A:$A,A68,SevkAdetleri!$E:$E,"MART")</f>
        <v>0</v>
      </c>
      <c r="J68" s="133">
        <f>SUMIFS(SevkAdetleri!$D:$D,SevkAdetleri!$A:$A,A68,SevkAdetleri!$E:$E,"NİSAN")</f>
        <v>0</v>
      </c>
      <c r="K68" s="133">
        <f>SUMIFS(SevkAdetleri!$D:$D,SevkAdetleri!$A:$A,A68,SevkAdetleri!$E:$E,"MAYIS")</f>
        <v>0</v>
      </c>
      <c r="L68" s="133">
        <f>SUMIFS(SevkAdetleri!$D:$D,SevkAdetleri!$A:$A,A68,SevkAdetleri!$E:$E,"HAZIRAN")</f>
        <v>0</v>
      </c>
      <c r="M68" s="133">
        <f>SUMIFS(SevkAdetleri!$D:$D,SevkAdetleri!$A:$A,A68,SevkAdetleri!$E:$E,"TEMMUZ")</f>
        <v>0</v>
      </c>
      <c r="N68" s="133">
        <f>SUMIFS(SevkAdetleri!$D:$D,SevkAdetleri!$A:$A,A68,SevkAdetleri!$E:$E,"AĞUSTOS")</f>
        <v>0</v>
      </c>
      <c r="O68" s="133">
        <f>SUMIFS(SevkAdetleri!$D:$D,SevkAdetleri!$A:$A,A68,SevkAdetleri!$E:$E,"EYLÜL")</f>
        <v>0</v>
      </c>
      <c r="P68" s="133">
        <f>SUMIFS(SevkAdetleri!$D:$D,SevkAdetleri!$A:$A,A68,SevkAdetleri!$E:$E,"EKİM")</f>
        <v>0</v>
      </c>
      <c r="Q68" s="133">
        <f>SUMIFS(SevkAdetleri!$D:$D,SevkAdetleri!$A:$A,A68,SevkAdetleri!$E:$E,"KASIM")</f>
        <v>0</v>
      </c>
      <c r="R68" s="133">
        <f>SUMIFS(SevkAdetleri!$D:$D,SevkAdetleri!$A:$A,A68,SevkAdetleri!$E:$E,"ARALIK")</f>
        <v>0</v>
      </c>
    </row>
    <row r="69" spans="1:18">
      <c r="A69" s="132" t="s">
        <v>304</v>
      </c>
      <c r="B69" s="133" t="str">
        <f>VLOOKUP(Tablo810[[#This Row],[ ÜRÜN KODU]],YMKODLARI!$A$1:$H$376,2,0)</f>
        <v>KLASİK EMZİK SAP</v>
      </c>
      <c r="C69" s="133">
        <f>SUMIF(Tablo8[[ ÜRÜN KODU]],Tablo810[[#This Row],[ ÜRÜN KODU]],Tablo8[SEVK ADEDİ])-Tablo810[[#This Row],[GERİ İADE ÜRÜN]]</f>
        <v>0</v>
      </c>
      <c r="D69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69" s="133"/>
      <c r="F69" s="133">
        <f t="shared" si="0"/>
        <v>0</v>
      </c>
      <c r="G69" s="133">
        <f>SUMIFS(SevkAdetleri!$D:$D,SevkAdetleri!$A:$A,A69,SevkAdetleri!$E:$E,"OCAK")</f>
        <v>0</v>
      </c>
      <c r="H69" s="133">
        <f>SUMIFS(SevkAdetleri!$D:$D,SevkAdetleri!$A:$A,A69,SevkAdetleri!$E:$E,"ŞUBAT")</f>
        <v>0</v>
      </c>
      <c r="I69" s="133">
        <f>SUMIFS(SevkAdetleri!$D:$D,SevkAdetleri!$A:$A,A69,SevkAdetleri!$E:$E,"MART")</f>
        <v>0</v>
      </c>
      <c r="J69" s="133">
        <f>SUMIFS(SevkAdetleri!$D:$D,SevkAdetleri!$A:$A,A69,SevkAdetleri!$E:$E,"NİSAN")</f>
        <v>0</v>
      </c>
      <c r="K69" s="133">
        <f>SUMIFS(SevkAdetleri!$D:$D,SevkAdetleri!$A:$A,A69,SevkAdetleri!$E:$E,"MAYIS")</f>
        <v>0</v>
      </c>
      <c r="L69" s="133">
        <f>SUMIFS(SevkAdetleri!$D:$D,SevkAdetleri!$A:$A,A69,SevkAdetleri!$E:$E,"HAZIRAN")</f>
        <v>0</v>
      </c>
      <c r="M69" s="133">
        <f>SUMIFS(SevkAdetleri!$D:$D,SevkAdetleri!$A:$A,A69,SevkAdetleri!$E:$E,"TEMMUZ")</f>
        <v>0</v>
      </c>
      <c r="N69" s="133">
        <f>SUMIFS(SevkAdetleri!$D:$D,SevkAdetleri!$A:$A,A69,SevkAdetleri!$E:$E,"AĞUSTOS")</f>
        <v>0</v>
      </c>
      <c r="O69" s="133">
        <f>SUMIFS(SevkAdetleri!$D:$D,SevkAdetleri!$A:$A,A69,SevkAdetleri!$E:$E,"EYLÜL")</f>
        <v>0</v>
      </c>
      <c r="P69" s="133">
        <f>SUMIFS(SevkAdetleri!$D:$D,SevkAdetleri!$A:$A,A69,SevkAdetleri!$E:$E,"EKİM")</f>
        <v>0</v>
      </c>
      <c r="Q69" s="133">
        <f>SUMIFS(SevkAdetleri!$D:$D,SevkAdetleri!$A:$A,A69,SevkAdetleri!$E:$E,"KASIM")</f>
        <v>0</v>
      </c>
      <c r="R69" s="133">
        <f>SUMIFS(SevkAdetleri!$D:$D,SevkAdetleri!$A:$A,A69,SevkAdetleri!$E:$E,"ARALIK")</f>
        <v>0</v>
      </c>
    </row>
    <row r="70" spans="1:18">
      <c r="A70" s="132" t="s">
        <v>305</v>
      </c>
      <c r="B70" s="133" t="str">
        <f>VLOOKUP(Tablo810[[#This Row],[ ÜRÜN KODU]],YMKODLARI!$A$1:$H$376,2,0)</f>
        <v>KLASİK EMZİK SAP</v>
      </c>
      <c r="C70" s="133">
        <f>SUMIF(Tablo8[[ ÜRÜN KODU]],Tablo810[[#This Row],[ ÜRÜN KODU]],Tablo8[SEVK ADEDİ])-Tablo810[[#This Row],[GERİ İADE ÜRÜN]]</f>
        <v>0</v>
      </c>
      <c r="D70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70" s="133"/>
      <c r="F70" s="133">
        <f t="shared" si="0"/>
        <v>0</v>
      </c>
      <c r="G70" s="133">
        <f>SUMIFS(SevkAdetleri!$D:$D,SevkAdetleri!$A:$A,A70,SevkAdetleri!$E:$E,"OCAK")</f>
        <v>0</v>
      </c>
      <c r="H70" s="133">
        <f>SUMIFS(SevkAdetleri!$D:$D,SevkAdetleri!$A:$A,A70,SevkAdetleri!$E:$E,"ŞUBAT")</f>
        <v>0</v>
      </c>
      <c r="I70" s="133">
        <f>SUMIFS(SevkAdetleri!$D:$D,SevkAdetleri!$A:$A,A70,SevkAdetleri!$E:$E,"MART")</f>
        <v>0</v>
      </c>
      <c r="J70" s="133">
        <f>SUMIFS(SevkAdetleri!$D:$D,SevkAdetleri!$A:$A,A70,SevkAdetleri!$E:$E,"NİSAN")</f>
        <v>0</v>
      </c>
      <c r="K70" s="133">
        <f>SUMIFS(SevkAdetleri!$D:$D,SevkAdetleri!$A:$A,A70,SevkAdetleri!$E:$E,"MAYIS")</f>
        <v>0</v>
      </c>
      <c r="L70" s="133">
        <f>SUMIFS(SevkAdetleri!$D:$D,SevkAdetleri!$A:$A,A70,SevkAdetleri!$E:$E,"HAZIRAN")</f>
        <v>0</v>
      </c>
      <c r="M70" s="133">
        <f>SUMIFS(SevkAdetleri!$D:$D,SevkAdetleri!$A:$A,A70,SevkAdetleri!$E:$E,"TEMMUZ")</f>
        <v>0</v>
      </c>
      <c r="N70" s="133">
        <f>SUMIFS(SevkAdetleri!$D:$D,SevkAdetleri!$A:$A,A70,SevkAdetleri!$E:$E,"AĞUSTOS")</f>
        <v>0</v>
      </c>
      <c r="O70" s="133">
        <f>SUMIFS(SevkAdetleri!$D:$D,SevkAdetleri!$A:$A,A70,SevkAdetleri!$E:$E,"EYLÜL")</f>
        <v>0</v>
      </c>
      <c r="P70" s="133">
        <f>SUMIFS(SevkAdetleri!$D:$D,SevkAdetleri!$A:$A,A70,SevkAdetleri!$E:$E,"EKİM")</f>
        <v>0</v>
      </c>
      <c r="Q70" s="133">
        <f>SUMIFS(SevkAdetleri!$D:$D,SevkAdetleri!$A:$A,A70,SevkAdetleri!$E:$E,"KASIM")</f>
        <v>0</v>
      </c>
      <c r="R70" s="133">
        <f>SUMIFS(SevkAdetleri!$D:$D,SevkAdetleri!$A:$A,A70,SevkAdetleri!$E:$E,"ARALIK")</f>
        <v>0</v>
      </c>
    </row>
    <row r="71" spans="1:18">
      <c r="A71" s="132" t="s">
        <v>306</v>
      </c>
      <c r="B71" s="133" t="str">
        <f>VLOOKUP(Tablo810[[#This Row],[ ÜRÜN KODU]],YMKODLARI!$A$1:$H$376,2,0)</f>
        <v>KLASİK EMZİK SAP</v>
      </c>
      <c r="C71" s="133">
        <f>SUMIF(Tablo8[[ ÜRÜN KODU]],Tablo810[[#This Row],[ ÜRÜN KODU]],Tablo8[SEVK ADEDİ])-Tablo810[[#This Row],[GERİ İADE ÜRÜN]]</f>
        <v>14000</v>
      </c>
      <c r="D71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18144</v>
      </c>
      <c r="E71" s="133"/>
      <c r="F71" s="133">
        <f t="shared" si="0"/>
        <v>4144</v>
      </c>
      <c r="G71" s="133">
        <f>SUMIFS(SevkAdetleri!$D:$D,SevkAdetleri!$A:$A,A71,SevkAdetleri!$E:$E,"OCAK")</f>
        <v>0</v>
      </c>
      <c r="H71" s="133">
        <f>SUMIFS(SevkAdetleri!$D:$D,SevkAdetleri!$A:$A,A71,SevkAdetleri!$E:$E,"ŞUBAT")</f>
        <v>0</v>
      </c>
      <c r="I71" s="133">
        <f>SUMIFS(SevkAdetleri!$D:$D,SevkAdetleri!$A:$A,A71,SevkAdetleri!$E:$E,"MART")</f>
        <v>0</v>
      </c>
      <c r="J71" s="133">
        <f>SUMIFS(SevkAdetleri!$D:$D,SevkAdetleri!$A:$A,A71,SevkAdetleri!$E:$E,"NİSAN")</f>
        <v>0</v>
      </c>
      <c r="K71" s="133">
        <f>SUMIFS(SevkAdetleri!$D:$D,SevkAdetleri!$A:$A,A71,SevkAdetleri!$E:$E,"MAYIS")</f>
        <v>0</v>
      </c>
      <c r="L71" s="133">
        <f>SUMIFS(SevkAdetleri!$D:$D,SevkAdetleri!$A:$A,A71,SevkAdetleri!$E:$E,"HAZIRAN")</f>
        <v>0</v>
      </c>
      <c r="M71" s="133">
        <f>SUMIFS(SevkAdetleri!$D:$D,SevkAdetleri!$A:$A,A71,SevkAdetleri!$E:$E,"TEMMUZ")</f>
        <v>0</v>
      </c>
      <c r="N71" s="133">
        <f>SUMIFS(SevkAdetleri!$D:$D,SevkAdetleri!$A:$A,A71,SevkAdetleri!$E:$E,"AĞUSTOS")</f>
        <v>0</v>
      </c>
      <c r="O71" s="133">
        <f>SUMIFS(SevkAdetleri!$D:$D,SevkAdetleri!$A:$A,A71,SevkAdetleri!$E:$E,"EYLÜL")</f>
        <v>0</v>
      </c>
      <c r="P71" s="133">
        <f>SUMIFS(SevkAdetleri!$D:$D,SevkAdetleri!$A:$A,A71,SevkAdetleri!$E:$E,"EKİM")</f>
        <v>14000</v>
      </c>
      <c r="Q71" s="133">
        <f>SUMIFS(SevkAdetleri!$D:$D,SevkAdetleri!$A:$A,A71,SevkAdetleri!$E:$E,"KASIM")</f>
        <v>0</v>
      </c>
      <c r="R71" s="133">
        <f>SUMIFS(SevkAdetleri!$D:$D,SevkAdetleri!$A:$A,A71,SevkAdetleri!$E:$E,"ARALIK")</f>
        <v>0</v>
      </c>
    </row>
    <row r="72" spans="1:18">
      <c r="A72" s="108" t="s">
        <v>554</v>
      </c>
      <c r="B72" s="133" t="str">
        <f>VLOOKUP(Tablo810[[#This Row],[ ÜRÜN KODU]],YMKODLARI!$A$1:$H$376,2,0)</f>
        <v>KLASİK EMZİK SAP</v>
      </c>
      <c r="C72" s="133">
        <f>SUMIF(Tablo8[[ ÜRÜN KODU]],Tablo810[[#This Row],[ ÜRÜN KODU]],Tablo8[SEVK ADEDİ])-Tablo810[[#This Row],[GERİ İADE ÜRÜN]]</f>
        <v>6620</v>
      </c>
      <c r="D72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10560</v>
      </c>
      <c r="E72" s="133"/>
      <c r="F72" s="133">
        <f>(D72-C72)+E72</f>
        <v>3940</v>
      </c>
      <c r="G72" s="134">
        <f>SUMIFS(SevkAdetleri!$D:$D,SevkAdetleri!$A:$A,A72,SevkAdetleri!$E:$E,"OCAK")</f>
        <v>0</v>
      </c>
      <c r="H72" s="133">
        <f>SUMIFS(SevkAdetleri!$D:$D,SevkAdetleri!$A:$A,A72,SevkAdetleri!$E:$E,"ŞUBAT")</f>
        <v>0</v>
      </c>
      <c r="I72" s="133">
        <f>SUMIFS(SevkAdetleri!$D:$D,SevkAdetleri!$A:$A,A72,SevkAdetleri!$E:$E,"MART")</f>
        <v>0</v>
      </c>
      <c r="J72" s="133">
        <f>SUMIFS(SevkAdetleri!$D:$D,SevkAdetleri!$A:$A,A72,SevkAdetleri!$E:$E,"NİSAN")</f>
        <v>0</v>
      </c>
      <c r="K72" s="133">
        <f>SUMIFS(SevkAdetleri!$D:$D,SevkAdetleri!$A:$A,A72,SevkAdetleri!$E:$E,"MAYIS")</f>
        <v>0</v>
      </c>
      <c r="L72" s="133">
        <f>SUMIFS(SevkAdetleri!$D:$D,SevkAdetleri!$A:$A,A72,SevkAdetleri!$E:$E,"HAZIRAN")</f>
        <v>0</v>
      </c>
      <c r="M72" s="133">
        <f>SUMIFS(SevkAdetleri!$D:$D,SevkAdetleri!$A:$A,A72,SevkAdetleri!$E:$E,"TEMMUZ")</f>
        <v>0</v>
      </c>
      <c r="N72" s="133">
        <f>SUMIFS(SevkAdetleri!$D:$D,SevkAdetleri!$A:$A,A72,SevkAdetleri!$E:$E,"AĞUSTOS")</f>
        <v>0</v>
      </c>
      <c r="O72" s="133">
        <f>SUMIFS(SevkAdetleri!$D:$D,SevkAdetleri!$A:$A,A72,SevkAdetleri!$E:$E,"EYLÜL")</f>
        <v>0</v>
      </c>
      <c r="P72" s="133">
        <f>SUMIFS(SevkAdetleri!$D:$D,SevkAdetleri!$A:$A,A72,SevkAdetleri!$E:$E,"EKİM")</f>
        <v>6620</v>
      </c>
      <c r="Q72" s="133">
        <f>SUMIFS(SevkAdetleri!$D:$D,SevkAdetleri!$A:$A,A72,SevkAdetleri!$E:$E,"KASIM")</f>
        <v>0</v>
      </c>
      <c r="R72" s="133">
        <f>SUMIFS(SevkAdetleri!$D:$D,SevkAdetleri!$A:$A,A72,SevkAdetleri!$E:$E,"ARALIK")</f>
        <v>0</v>
      </c>
    </row>
    <row r="73" spans="1:18">
      <c r="A73" s="108" t="s">
        <v>576</v>
      </c>
      <c r="B73" s="133" t="str">
        <f>VLOOKUP(Tablo810[[#This Row],[ ÜRÜN KODU]],YMKODLARI!$A$1:$H$376,2,0)</f>
        <v>KLASİK EMZİK SAP</v>
      </c>
      <c r="C73" s="133">
        <f>SUMIF(Tablo8[[ ÜRÜN KODU]],Tablo810[[#This Row],[ ÜRÜN KODU]],Tablo8[SEVK ADEDİ])-Tablo810[[#This Row],[GERİ İADE ÜRÜN]]</f>
        <v>7360</v>
      </c>
      <c r="D73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10720</v>
      </c>
      <c r="E73" s="133"/>
      <c r="F73" s="133">
        <f>(D73-C73)+E73</f>
        <v>3360</v>
      </c>
      <c r="G73" s="134">
        <f>SUMIFS(SevkAdetleri!$D:$D,SevkAdetleri!$A:$A,A73,SevkAdetleri!$E:$E,"OCAK")</f>
        <v>0</v>
      </c>
      <c r="H73" s="133">
        <f>SUMIFS(SevkAdetleri!$D:$D,SevkAdetleri!$A:$A,A73,SevkAdetleri!$E:$E,"ŞUBAT")</f>
        <v>0</v>
      </c>
      <c r="I73" s="133">
        <f>SUMIFS(SevkAdetleri!$D:$D,SevkAdetleri!$A:$A,A73,SevkAdetleri!$E:$E,"MART")</f>
        <v>0</v>
      </c>
      <c r="J73" s="133">
        <f>SUMIFS(SevkAdetleri!$D:$D,SevkAdetleri!$A:$A,A73,SevkAdetleri!$E:$E,"NİSAN")</f>
        <v>0</v>
      </c>
      <c r="K73" s="133">
        <f>SUMIFS(SevkAdetleri!$D:$D,SevkAdetleri!$A:$A,A73,SevkAdetleri!$E:$E,"MAYIS")</f>
        <v>0</v>
      </c>
      <c r="L73" s="133">
        <f>SUMIFS(SevkAdetleri!$D:$D,SevkAdetleri!$A:$A,A73,SevkAdetleri!$E:$E,"HAZIRAN")</f>
        <v>0</v>
      </c>
      <c r="M73" s="133">
        <f>SUMIFS(SevkAdetleri!$D:$D,SevkAdetleri!$A:$A,A73,SevkAdetleri!$E:$E,"TEMMUZ")</f>
        <v>0</v>
      </c>
      <c r="N73" s="133">
        <f>SUMIFS(SevkAdetleri!$D:$D,SevkAdetleri!$A:$A,A73,SevkAdetleri!$E:$E,"AĞUSTOS")</f>
        <v>0</v>
      </c>
      <c r="O73" s="133">
        <f>SUMIFS(SevkAdetleri!$D:$D,SevkAdetleri!$A:$A,A73,SevkAdetleri!$E:$E,"EYLÜL")</f>
        <v>0</v>
      </c>
      <c r="P73" s="133">
        <f>SUMIFS(SevkAdetleri!$D:$D,SevkAdetleri!$A:$A,A73,SevkAdetleri!$E:$E,"EKİM")</f>
        <v>7360</v>
      </c>
      <c r="Q73" s="133">
        <f>SUMIFS(SevkAdetleri!$D:$D,SevkAdetleri!$A:$A,A73,SevkAdetleri!$E:$E,"KASIM")</f>
        <v>0</v>
      </c>
      <c r="R73" s="133">
        <f>SUMIFS(SevkAdetleri!$D:$D,SevkAdetleri!$A:$A,A73,SevkAdetleri!$E:$E,"ARALIK")</f>
        <v>0</v>
      </c>
    </row>
    <row r="74" spans="1:18">
      <c r="A74" s="132" t="s">
        <v>307</v>
      </c>
      <c r="B74" s="133" t="str">
        <f>VLOOKUP(Tablo810[[#This Row],[ ÜRÜN KODU]],YMKODLARI!$A$1:$H$376,2,0)</f>
        <v>DAMAK EMZİK SAP</v>
      </c>
      <c r="C74" s="133">
        <f>SUMIF(Tablo8[[ ÜRÜN KODU]],Tablo810[[#This Row],[ ÜRÜN KODU]],Tablo8[SEVK ADEDİ])-Tablo810[[#This Row],[GERİ İADE ÜRÜN]]</f>
        <v>0</v>
      </c>
      <c r="D74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74" s="133"/>
      <c r="F74" s="133">
        <f t="shared" si="0"/>
        <v>0</v>
      </c>
      <c r="G74" s="133">
        <f>SUMIFS(SevkAdetleri!$D:$D,SevkAdetleri!$A:$A,A74,SevkAdetleri!$E:$E,"OCAK")</f>
        <v>0</v>
      </c>
      <c r="H74" s="133">
        <f>SUMIFS(SevkAdetleri!$D:$D,SevkAdetleri!$A:$A,A74,SevkAdetleri!$E:$E,"ŞUBAT")</f>
        <v>0</v>
      </c>
      <c r="I74" s="133">
        <f>SUMIFS(SevkAdetleri!$D:$D,SevkAdetleri!$A:$A,A74,SevkAdetleri!$E:$E,"MART")</f>
        <v>0</v>
      </c>
      <c r="J74" s="133">
        <f>SUMIFS(SevkAdetleri!$D:$D,SevkAdetleri!$A:$A,A74,SevkAdetleri!$E:$E,"NİSAN")</f>
        <v>0</v>
      </c>
      <c r="K74" s="133">
        <f>SUMIFS(SevkAdetleri!$D:$D,SevkAdetleri!$A:$A,A74,SevkAdetleri!$E:$E,"MAYIS")</f>
        <v>0</v>
      </c>
      <c r="L74" s="133">
        <f>SUMIFS(SevkAdetleri!$D:$D,SevkAdetleri!$A:$A,A74,SevkAdetleri!$E:$E,"HAZIRAN")</f>
        <v>0</v>
      </c>
      <c r="M74" s="133">
        <f>SUMIFS(SevkAdetleri!$D:$D,SevkAdetleri!$A:$A,A74,SevkAdetleri!$E:$E,"TEMMUZ")</f>
        <v>0</v>
      </c>
      <c r="N74" s="133">
        <f>SUMIFS(SevkAdetleri!$D:$D,SevkAdetleri!$A:$A,A74,SevkAdetleri!$E:$E,"AĞUSTOS")</f>
        <v>0</v>
      </c>
      <c r="O74" s="133">
        <f>SUMIFS(SevkAdetleri!$D:$D,SevkAdetleri!$A:$A,A74,SevkAdetleri!$E:$E,"EYLÜL")</f>
        <v>0</v>
      </c>
      <c r="P74" s="133">
        <f>SUMIFS(SevkAdetleri!$D:$D,SevkAdetleri!$A:$A,A74,SevkAdetleri!$E:$E,"EKİM")</f>
        <v>0</v>
      </c>
      <c r="Q74" s="133">
        <f>SUMIFS(SevkAdetleri!$D:$D,SevkAdetleri!$A:$A,A74,SevkAdetleri!$E:$E,"KASIM")</f>
        <v>0</v>
      </c>
      <c r="R74" s="133">
        <f>SUMIFS(SevkAdetleri!$D:$D,SevkAdetleri!$A:$A,A74,SevkAdetleri!$E:$E,"ARALIK")</f>
        <v>0</v>
      </c>
    </row>
    <row r="75" spans="1:18">
      <c r="A75" s="132" t="s">
        <v>70</v>
      </c>
      <c r="B75" s="133" t="str">
        <f>VLOOKUP(Tablo810[[#This Row],[ ÜRÜN KODU]],YMKODLARI!$A$1:$H$376,2,0)</f>
        <v>DAMAK EMZİK SAP</v>
      </c>
      <c r="C75" s="133">
        <f>SUMIF(Tablo8[[ ÜRÜN KODU]],Tablo810[[#This Row],[ ÜRÜN KODU]],Tablo8[SEVK ADEDİ])-Tablo810[[#This Row],[GERİ İADE ÜRÜN]]</f>
        <v>29888</v>
      </c>
      <c r="D75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32144</v>
      </c>
      <c r="E75" s="133"/>
      <c r="F75" s="133">
        <f t="shared" si="0"/>
        <v>2256</v>
      </c>
      <c r="G75" s="133">
        <f>SUMIFS(SevkAdetleri!$D:$D,SevkAdetleri!$A:$A,A75,SevkAdetleri!$E:$E,"OCAK")</f>
        <v>0</v>
      </c>
      <c r="H75" s="133">
        <f>SUMIFS(SevkAdetleri!$D:$D,SevkAdetleri!$A:$A,A75,SevkAdetleri!$E:$E,"ŞUBAT")</f>
        <v>0</v>
      </c>
      <c r="I75" s="133">
        <f>SUMIFS(SevkAdetleri!$D:$D,SevkAdetleri!$A:$A,A75,SevkAdetleri!$E:$E,"MART")</f>
        <v>0</v>
      </c>
      <c r="J75" s="133">
        <f>SUMIFS(SevkAdetleri!$D:$D,SevkAdetleri!$A:$A,A75,SevkAdetleri!$E:$E,"NİSAN")</f>
        <v>4705</v>
      </c>
      <c r="K75" s="133">
        <f>SUMIFS(SevkAdetleri!$D:$D,SevkAdetleri!$A:$A,A75,SevkAdetleri!$E:$E,"MAYIS")</f>
        <v>0</v>
      </c>
      <c r="L75" s="133">
        <f>SUMIFS(SevkAdetleri!$D:$D,SevkAdetleri!$A:$A,A75,SevkAdetleri!$E:$E,"HAZIRAN")</f>
        <v>3543</v>
      </c>
      <c r="M75" s="133">
        <f>SUMIFS(SevkAdetleri!$D:$D,SevkAdetleri!$A:$A,A75,SevkAdetleri!$E:$E,"TEMMUZ")</f>
        <v>0</v>
      </c>
      <c r="N75" s="133">
        <f>SUMIFS(SevkAdetleri!$D:$D,SevkAdetleri!$A:$A,A75,SevkAdetleri!$E:$E,"AĞUSTOS")</f>
        <v>0</v>
      </c>
      <c r="O75" s="133">
        <f>SUMIFS(SevkAdetleri!$D:$D,SevkAdetleri!$A:$A,A75,SevkAdetleri!$E:$E,"EYLÜL")</f>
        <v>0</v>
      </c>
      <c r="P75" s="133">
        <f>SUMIFS(SevkAdetleri!$D:$D,SevkAdetleri!$A:$A,A75,SevkAdetleri!$E:$E,"EKİM")</f>
        <v>21640</v>
      </c>
      <c r="Q75" s="133">
        <f>SUMIFS(SevkAdetleri!$D:$D,SevkAdetleri!$A:$A,A75,SevkAdetleri!$E:$E,"KASIM")</f>
        <v>0</v>
      </c>
      <c r="R75" s="133">
        <f>SUMIFS(SevkAdetleri!$D:$D,SevkAdetleri!$A:$A,A75,SevkAdetleri!$E:$E,"ARALIK")</f>
        <v>0</v>
      </c>
    </row>
    <row r="76" spans="1:18">
      <c r="A76" s="132" t="s">
        <v>86</v>
      </c>
      <c r="B76" s="133" t="str">
        <f>VLOOKUP(Tablo810[[#This Row],[ ÜRÜN KODU]],YMKODLARI!$A$1:$H$376,2,0)</f>
        <v>DAMAK EMZİK SAP</v>
      </c>
      <c r="C76" s="133">
        <f>SUMIF(Tablo8[[ ÜRÜN KODU]],Tablo810[[#This Row],[ ÜRÜN KODU]],Tablo8[SEVK ADEDİ])-Tablo810[[#This Row],[GERİ İADE ÜRÜN]]</f>
        <v>27187</v>
      </c>
      <c r="D76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34016</v>
      </c>
      <c r="E76" s="133"/>
      <c r="F76" s="133">
        <f t="shared" ref="F76:F145" si="1">(D76-C76)+E76</f>
        <v>6829</v>
      </c>
      <c r="G76" s="133">
        <f>SUMIFS(SevkAdetleri!$D:$D,SevkAdetleri!$A:$A,A76,SevkAdetleri!$E:$E,"OCAK")</f>
        <v>0</v>
      </c>
      <c r="H76" s="133">
        <f>SUMIFS(SevkAdetleri!$D:$D,SevkAdetleri!$A:$A,A76,SevkAdetleri!$E:$E,"ŞUBAT")</f>
        <v>0</v>
      </c>
      <c r="I76" s="133">
        <f>SUMIFS(SevkAdetleri!$D:$D,SevkAdetleri!$A:$A,A76,SevkAdetleri!$E:$E,"MART")</f>
        <v>0</v>
      </c>
      <c r="J76" s="133">
        <f>SUMIFS(SevkAdetleri!$D:$D,SevkAdetleri!$A:$A,A76,SevkAdetleri!$E:$E,"NİSAN")</f>
        <v>0</v>
      </c>
      <c r="K76" s="133">
        <f>SUMIFS(SevkAdetleri!$D:$D,SevkAdetleri!$A:$A,A76,SevkAdetleri!$E:$E,"MAYIS")</f>
        <v>0</v>
      </c>
      <c r="L76" s="133">
        <f>SUMIFS(SevkAdetleri!$D:$D,SevkAdetleri!$A:$A,A76,SevkAdetleri!$E:$E,"HAZIRAN")</f>
        <v>11947</v>
      </c>
      <c r="M76" s="133">
        <f>SUMIFS(SevkAdetleri!$D:$D,SevkAdetleri!$A:$A,A76,SevkAdetleri!$E:$E,"TEMMUZ")</f>
        <v>0</v>
      </c>
      <c r="N76" s="133">
        <f>SUMIFS(SevkAdetleri!$D:$D,SevkAdetleri!$A:$A,A76,SevkAdetleri!$E:$E,"AĞUSTOS")</f>
        <v>0</v>
      </c>
      <c r="O76" s="133">
        <f>SUMIFS(SevkAdetleri!$D:$D,SevkAdetleri!$A:$A,A76,SevkAdetleri!$E:$E,"EYLÜL")</f>
        <v>0</v>
      </c>
      <c r="P76" s="133">
        <f>SUMIFS(SevkAdetleri!$D:$D,SevkAdetleri!$A:$A,A76,SevkAdetleri!$E:$E,"EKİM")</f>
        <v>15240</v>
      </c>
      <c r="Q76" s="133">
        <f>SUMIFS(SevkAdetleri!$D:$D,SevkAdetleri!$A:$A,A76,SevkAdetleri!$E:$E,"KASIM")</f>
        <v>0</v>
      </c>
      <c r="R76" s="133">
        <f>SUMIFS(SevkAdetleri!$D:$D,SevkAdetleri!$A:$A,A76,SevkAdetleri!$E:$E,"ARALIK")</f>
        <v>0</v>
      </c>
    </row>
    <row r="77" spans="1:18">
      <c r="A77" s="132" t="s">
        <v>83</v>
      </c>
      <c r="B77" s="133" t="str">
        <f>VLOOKUP(Tablo810[[#This Row],[ ÜRÜN KODU]],YMKODLARI!$A$1:$H$376,2,0)</f>
        <v>DAMAK EMZİK SAP</v>
      </c>
      <c r="C77" s="133">
        <f>SUMIF(Tablo8[[ ÜRÜN KODU]],Tablo810[[#This Row],[ ÜRÜN KODU]],Tablo8[SEVK ADEDİ])-Tablo810[[#This Row],[GERİ İADE ÜRÜN]]</f>
        <v>7458</v>
      </c>
      <c r="D77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10416</v>
      </c>
      <c r="E77" s="133"/>
      <c r="F77" s="133">
        <f t="shared" si="1"/>
        <v>2958</v>
      </c>
      <c r="G77" s="133">
        <f>SUMIFS(SevkAdetleri!$D:$D,SevkAdetleri!$A:$A,A77,SevkAdetleri!$E:$E,"OCAK")</f>
        <v>0</v>
      </c>
      <c r="H77" s="133">
        <f>SUMIFS(SevkAdetleri!$D:$D,SevkAdetleri!$A:$A,A77,SevkAdetleri!$E:$E,"ŞUBAT")</f>
        <v>0</v>
      </c>
      <c r="I77" s="133">
        <f>SUMIFS(SevkAdetleri!$D:$D,SevkAdetleri!$A:$A,A77,SevkAdetleri!$E:$E,"MART")</f>
        <v>0</v>
      </c>
      <c r="J77" s="133">
        <f>SUMIFS(SevkAdetleri!$D:$D,SevkAdetleri!$A:$A,A77,SevkAdetleri!$E:$E,"NİSAN")</f>
        <v>0</v>
      </c>
      <c r="K77" s="133">
        <f>SUMIFS(SevkAdetleri!$D:$D,SevkAdetleri!$A:$A,A77,SevkAdetleri!$E:$E,"MAYIS")</f>
        <v>0</v>
      </c>
      <c r="L77" s="133">
        <f>SUMIFS(SevkAdetleri!$D:$D,SevkAdetleri!$A:$A,A77,SevkAdetleri!$E:$E,"HAZIRAN")</f>
        <v>3078</v>
      </c>
      <c r="M77" s="133">
        <f>SUMIFS(SevkAdetleri!$D:$D,SevkAdetleri!$A:$A,A77,SevkAdetleri!$E:$E,"TEMMUZ")</f>
        <v>0</v>
      </c>
      <c r="N77" s="133">
        <f>SUMIFS(SevkAdetleri!$D:$D,SevkAdetleri!$A:$A,A77,SevkAdetleri!$E:$E,"AĞUSTOS")</f>
        <v>0</v>
      </c>
      <c r="O77" s="133">
        <f>SUMIFS(SevkAdetleri!$D:$D,SevkAdetleri!$A:$A,A77,SevkAdetleri!$E:$E,"EYLÜL")</f>
        <v>0</v>
      </c>
      <c r="P77" s="133">
        <f>SUMIFS(SevkAdetleri!$D:$D,SevkAdetleri!$A:$A,A77,SevkAdetleri!$E:$E,"EKİM")</f>
        <v>4380</v>
      </c>
      <c r="Q77" s="133">
        <f>SUMIFS(SevkAdetleri!$D:$D,SevkAdetleri!$A:$A,A77,SevkAdetleri!$E:$E,"KASIM")</f>
        <v>0</v>
      </c>
      <c r="R77" s="133">
        <f>SUMIFS(SevkAdetleri!$D:$D,SevkAdetleri!$A:$A,A77,SevkAdetleri!$E:$E,"ARALIK")</f>
        <v>0</v>
      </c>
    </row>
    <row r="78" spans="1:18">
      <c r="A78" s="132" t="s">
        <v>69</v>
      </c>
      <c r="B78" s="133" t="str">
        <f>VLOOKUP(Tablo810[[#This Row],[ ÜRÜN KODU]],YMKODLARI!$A$1:$H$376,2,0)</f>
        <v>DAMAK EMZİK SAP</v>
      </c>
      <c r="C78" s="133">
        <f>SUMIF(Tablo8[[ ÜRÜN KODU]],Tablo810[[#This Row],[ ÜRÜN KODU]],Tablo8[SEVK ADEDİ])-Tablo810[[#This Row],[GERİ İADE ÜRÜN]]</f>
        <v>7055</v>
      </c>
      <c r="D78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8304</v>
      </c>
      <c r="E78" s="133"/>
      <c r="F78" s="133">
        <f t="shared" si="1"/>
        <v>1249</v>
      </c>
      <c r="G78" s="133">
        <f>SUMIFS(SevkAdetleri!$D:$D,SevkAdetleri!$A:$A,A78,SevkAdetleri!$E:$E,"OCAK")</f>
        <v>0</v>
      </c>
      <c r="H78" s="133">
        <f>SUMIFS(SevkAdetleri!$D:$D,SevkAdetleri!$A:$A,A78,SevkAdetleri!$E:$E,"ŞUBAT")</f>
        <v>0</v>
      </c>
      <c r="I78" s="133">
        <f>SUMIFS(SevkAdetleri!$D:$D,SevkAdetleri!$A:$A,A78,SevkAdetleri!$E:$E,"MART")</f>
        <v>0</v>
      </c>
      <c r="J78" s="133">
        <f>SUMIFS(SevkAdetleri!$D:$D,SevkAdetleri!$A:$A,A78,SevkAdetleri!$E:$E,"NİSAN")</f>
        <v>7055</v>
      </c>
      <c r="K78" s="133">
        <f>SUMIFS(SevkAdetleri!$D:$D,SevkAdetleri!$A:$A,A78,SevkAdetleri!$E:$E,"MAYIS")</f>
        <v>0</v>
      </c>
      <c r="L78" s="133">
        <f>SUMIFS(SevkAdetleri!$D:$D,SevkAdetleri!$A:$A,A78,SevkAdetleri!$E:$E,"HAZIRAN")</f>
        <v>0</v>
      </c>
      <c r="M78" s="133">
        <f>SUMIFS(SevkAdetleri!$D:$D,SevkAdetleri!$A:$A,A78,SevkAdetleri!$E:$E,"TEMMUZ")</f>
        <v>0</v>
      </c>
      <c r="N78" s="133">
        <f>SUMIFS(SevkAdetleri!$D:$D,SevkAdetleri!$A:$A,A78,SevkAdetleri!$E:$E,"AĞUSTOS")</f>
        <v>0</v>
      </c>
      <c r="O78" s="133">
        <f>SUMIFS(SevkAdetleri!$D:$D,SevkAdetleri!$A:$A,A78,SevkAdetleri!$E:$E,"EYLÜL")</f>
        <v>0</v>
      </c>
      <c r="P78" s="133">
        <f>SUMIFS(SevkAdetleri!$D:$D,SevkAdetleri!$A:$A,A78,SevkAdetleri!$E:$E,"EKİM")</f>
        <v>0</v>
      </c>
      <c r="Q78" s="133">
        <f>SUMIFS(SevkAdetleri!$D:$D,SevkAdetleri!$A:$A,A78,SevkAdetleri!$E:$E,"KASIM")</f>
        <v>0</v>
      </c>
      <c r="R78" s="133">
        <f>SUMIFS(SevkAdetleri!$D:$D,SevkAdetleri!$A:$A,A78,SevkAdetleri!$E:$E,"ARALIK")</f>
        <v>0</v>
      </c>
    </row>
    <row r="79" spans="1:18">
      <c r="A79" s="132" t="s">
        <v>84</v>
      </c>
      <c r="B79" s="133" t="str">
        <f>VLOOKUP(Tablo810[[#This Row],[ ÜRÜN KODU]],YMKODLARI!$A$1:$H$376,2,0)</f>
        <v>DAMAK EMZİK SAP</v>
      </c>
      <c r="C79" s="133">
        <f>SUMIF(Tablo8[[ ÜRÜN KODU]],Tablo810[[#This Row],[ ÜRÜN KODU]],Tablo8[SEVK ADEDİ])-Tablo810[[#This Row],[GERİ İADE ÜRÜN]]</f>
        <v>13422</v>
      </c>
      <c r="D79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16416</v>
      </c>
      <c r="E79" s="133"/>
      <c r="F79" s="133">
        <f>(D79-C79)+E79</f>
        <v>2994</v>
      </c>
      <c r="G79" s="134">
        <f>SUMIFS(SevkAdetleri!$D:$D,SevkAdetleri!$A:$A,A79,SevkAdetleri!$E:$E,"OCAK")</f>
        <v>0</v>
      </c>
      <c r="H79" s="133">
        <f>SUMIFS(SevkAdetleri!$D:$D,SevkAdetleri!$A:$A,A79,SevkAdetleri!$E:$E,"ŞUBAT")</f>
        <v>0</v>
      </c>
      <c r="I79" s="133">
        <f>SUMIFS(SevkAdetleri!$D:$D,SevkAdetleri!$A:$A,A79,SevkAdetleri!$E:$E,"MART")</f>
        <v>0</v>
      </c>
      <c r="J79" s="133">
        <f>SUMIFS(SevkAdetleri!$D:$D,SevkAdetleri!$A:$A,A79,SevkAdetleri!$E:$E,"NİSAN")</f>
        <v>0</v>
      </c>
      <c r="K79" s="133">
        <f>SUMIFS(SevkAdetleri!$D:$D,SevkAdetleri!$A:$A,A79,SevkAdetleri!$E:$E,"MAYIS")</f>
        <v>0</v>
      </c>
      <c r="L79" s="133">
        <f>SUMIFS(SevkAdetleri!$D:$D,SevkAdetleri!$A:$A,A79,SevkAdetleri!$E:$E,"HAZIRAN")</f>
        <v>7780</v>
      </c>
      <c r="M79" s="133">
        <f>SUMIFS(SevkAdetleri!$D:$D,SevkAdetleri!$A:$A,A79,SevkAdetleri!$E:$E,"TEMMUZ")</f>
        <v>0</v>
      </c>
      <c r="N79" s="133">
        <f>SUMIFS(SevkAdetleri!$D:$D,SevkAdetleri!$A:$A,A79,SevkAdetleri!$E:$E,"AĞUSTOS")</f>
        <v>0</v>
      </c>
      <c r="O79" s="133">
        <f>SUMIFS(SevkAdetleri!$D:$D,SevkAdetleri!$A:$A,A79,SevkAdetleri!$E:$E,"EYLÜL")</f>
        <v>0</v>
      </c>
      <c r="P79" s="133">
        <f>SUMIFS(SevkAdetleri!$D:$D,SevkAdetleri!$A:$A,A79,SevkAdetleri!$E:$E,"EKİM")</f>
        <v>5642</v>
      </c>
      <c r="Q79" s="133">
        <f>SUMIFS(SevkAdetleri!$D:$D,SevkAdetleri!$A:$A,A79,SevkAdetleri!$E:$E,"KASIM")</f>
        <v>0</v>
      </c>
      <c r="R79" s="133">
        <f>SUMIFS(SevkAdetleri!$D:$D,SevkAdetleri!$A:$A,A79,SevkAdetleri!$E:$E,"ARALIK")</f>
        <v>0</v>
      </c>
    </row>
    <row r="80" spans="1:18">
      <c r="A80" s="132" t="s">
        <v>582</v>
      </c>
      <c r="B80" s="133" t="str">
        <f>VLOOKUP(Tablo810[[#This Row],[ ÜRÜN KODU]],YMKODLARI!$A$1:$H$376,2,0)</f>
        <v>DAMAK EMZİK SAP</v>
      </c>
      <c r="C80" s="133">
        <f>SUMIF(Tablo8[[ ÜRÜN KODU]],Tablo810[[#This Row],[ ÜRÜN KODU]],Tablo8[SEVK ADEDİ])-Tablo810[[#This Row],[GERİ İADE ÜRÜN]]</f>
        <v>5418</v>
      </c>
      <c r="D80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80" s="133"/>
      <c r="F80" s="133">
        <f>(D80-C80)+E80</f>
        <v>-5418</v>
      </c>
      <c r="G80" s="134">
        <f>SUMIFS(SevkAdetleri!$D:$D,SevkAdetleri!$A:$A,A80,SevkAdetleri!$E:$E,"OCAK")</f>
        <v>0</v>
      </c>
      <c r="H80" s="133">
        <f>SUMIFS(SevkAdetleri!$D:$D,SevkAdetleri!$A:$A,A80,SevkAdetleri!$E:$E,"ŞUBAT")</f>
        <v>0</v>
      </c>
      <c r="I80" s="133">
        <f>SUMIFS(SevkAdetleri!$D:$D,SevkAdetleri!$A:$A,A80,SevkAdetleri!$E:$E,"MART")</f>
        <v>0</v>
      </c>
      <c r="J80" s="133">
        <f>SUMIFS(SevkAdetleri!$D:$D,SevkAdetleri!$A:$A,A80,SevkAdetleri!$E:$E,"NİSAN")</f>
        <v>0</v>
      </c>
      <c r="K80" s="133">
        <f>SUMIFS(SevkAdetleri!$D:$D,SevkAdetleri!$A:$A,A80,SevkAdetleri!$E:$E,"MAYIS")</f>
        <v>0</v>
      </c>
      <c r="L80" s="133">
        <f>SUMIFS(SevkAdetleri!$D:$D,SevkAdetleri!$A:$A,A80,SevkAdetleri!$E:$E,"HAZIRAN")</f>
        <v>0</v>
      </c>
      <c r="M80" s="133">
        <f>SUMIFS(SevkAdetleri!$D:$D,SevkAdetleri!$A:$A,A80,SevkAdetleri!$E:$E,"TEMMUZ")</f>
        <v>0</v>
      </c>
      <c r="N80" s="133">
        <f>SUMIFS(SevkAdetleri!$D:$D,SevkAdetleri!$A:$A,A80,SevkAdetleri!$E:$E,"AĞUSTOS")</f>
        <v>0</v>
      </c>
      <c r="O80" s="133">
        <f>SUMIFS(SevkAdetleri!$D:$D,SevkAdetleri!$A:$A,A80,SevkAdetleri!$E:$E,"EYLÜL")</f>
        <v>0</v>
      </c>
      <c r="P80" s="133">
        <f>SUMIFS(SevkAdetleri!$D:$D,SevkAdetleri!$A:$A,A80,SevkAdetleri!$E:$E,"EKİM")</f>
        <v>5418</v>
      </c>
      <c r="Q80" s="133">
        <f>SUMIFS(SevkAdetleri!$D:$D,SevkAdetleri!$A:$A,A80,SevkAdetleri!$E:$E,"KASIM")</f>
        <v>0</v>
      </c>
      <c r="R80" s="133">
        <f>SUMIFS(SevkAdetleri!$D:$D,SevkAdetleri!$A:$A,A80,SevkAdetleri!$E:$E,"ARALIK")</f>
        <v>0</v>
      </c>
    </row>
    <row r="81" spans="1:18">
      <c r="A81" s="132" t="s">
        <v>85</v>
      </c>
      <c r="B81" s="133" t="str">
        <f>VLOOKUP(Tablo810[[#This Row],[ ÜRÜN KODU]],YMKODLARI!$A$1:$H$376,2,0)</f>
        <v>DAMAK EMZİK SAP</v>
      </c>
      <c r="C81" s="133">
        <f>SUMIF(Tablo8[[ ÜRÜN KODU]],Tablo810[[#This Row],[ ÜRÜN KODU]],Tablo8[SEVK ADEDİ])-Tablo810[[#This Row],[GERİ İADE ÜRÜN]]</f>
        <v>11816</v>
      </c>
      <c r="D81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13984</v>
      </c>
      <c r="E81" s="133"/>
      <c r="F81" s="133">
        <f t="shared" si="1"/>
        <v>2168</v>
      </c>
      <c r="G81" s="133">
        <f>SUMIFS(SevkAdetleri!$D:$D,SevkAdetleri!$A:$A,A81,SevkAdetleri!$E:$E,"OCAK")</f>
        <v>0</v>
      </c>
      <c r="H81" s="133">
        <f>SUMIFS(SevkAdetleri!$D:$D,SevkAdetleri!$A:$A,A81,SevkAdetleri!$E:$E,"ŞUBAT")</f>
        <v>0</v>
      </c>
      <c r="I81" s="133">
        <f>SUMIFS(SevkAdetleri!$D:$D,SevkAdetleri!$A:$A,A81,SevkAdetleri!$E:$E,"MART")</f>
        <v>0</v>
      </c>
      <c r="J81" s="133">
        <f>SUMIFS(SevkAdetleri!$D:$D,SevkAdetleri!$A:$A,A81,SevkAdetleri!$E:$E,"NİSAN")</f>
        <v>0</v>
      </c>
      <c r="K81" s="133">
        <f>SUMIFS(SevkAdetleri!$D:$D,SevkAdetleri!$A:$A,A81,SevkAdetleri!$E:$E,"MAYIS")</f>
        <v>0</v>
      </c>
      <c r="L81" s="133">
        <f>SUMIFS(SevkAdetleri!$D:$D,SevkAdetleri!$A:$A,A81,SevkAdetleri!$E:$E,"HAZIRAN")</f>
        <v>7796</v>
      </c>
      <c r="M81" s="133">
        <f>SUMIFS(SevkAdetleri!$D:$D,SevkAdetleri!$A:$A,A81,SevkAdetleri!$E:$E,"TEMMUZ")</f>
        <v>0</v>
      </c>
      <c r="N81" s="133">
        <f>SUMIFS(SevkAdetleri!$D:$D,SevkAdetleri!$A:$A,A81,SevkAdetleri!$E:$E,"AĞUSTOS")</f>
        <v>0</v>
      </c>
      <c r="O81" s="133">
        <f>SUMIFS(SevkAdetleri!$D:$D,SevkAdetleri!$A:$A,A81,SevkAdetleri!$E:$E,"EYLÜL")</f>
        <v>0</v>
      </c>
      <c r="P81" s="133">
        <f>SUMIFS(SevkAdetleri!$D:$D,SevkAdetleri!$A:$A,A81,SevkAdetleri!$E:$E,"EKİM")</f>
        <v>4020</v>
      </c>
      <c r="Q81" s="133">
        <f>SUMIFS(SevkAdetleri!$D:$D,SevkAdetleri!$A:$A,A81,SevkAdetleri!$E:$E,"KASIM")</f>
        <v>0</v>
      </c>
      <c r="R81" s="133">
        <f>SUMIFS(SevkAdetleri!$D:$D,SevkAdetleri!$A:$A,A81,SevkAdetleri!$E:$E,"ARALIK")</f>
        <v>0</v>
      </c>
    </row>
    <row r="82" spans="1:18">
      <c r="A82" s="132" t="s">
        <v>63</v>
      </c>
      <c r="B82" s="133" t="str">
        <f>VLOOKUP(Tablo810[[#This Row],[ ÜRÜN KODU]],YMKODLARI!$A$1:$H$376,2,0)</f>
        <v>DAMAK EMZİK SAP</v>
      </c>
      <c r="C82" s="133">
        <f>SUMIF(Tablo8[[ ÜRÜN KODU]],Tablo810[[#This Row],[ ÜRÜN KODU]],Tablo8[SEVK ADEDİ])-Tablo810[[#This Row],[GERİ İADE ÜRÜN]]</f>
        <v>150044</v>
      </c>
      <c r="D82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173664</v>
      </c>
      <c r="E82" s="133"/>
      <c r="F82" s="133">
        <f t="shared" si="1"/>
        <v>23620</v>
      </c>
      <c r="G82" s="133">
        <f>SUMIFS(SevkAdetleri!$D:$D,SevkAdetleri!$A:$A,A82,SevkAdetleri!$E:$E,"OCAK")</f>
        <v>0</v>
      </c>
      <c r="H82" s="133">
        <f>SUMIFS(SevkAdetleri!$D:$D,SevkAdetleri!$A:$A,A82,SevkAdetleri!$E:$E,"ŞUBAT")</f>
        <v>0</v>
      </c>
      <c r="I82" s="133">
        <f>SUMIFS(SevkAdetleri!$D:$D,SevkAdetleri!$A:$A,A82,SevkAdetleri!$E:$E,"MART")</f>
        <v>136080</v>
      </c>
      <c r="J82" s="133">
        <f>SUMIFS(SevkAdetleri!$D:$D,SevkAdetleri!$A:$A,A82,SevkAdetleri!$E:$E,"NİSAN")</f>
        <v>0</v>
      </c>
      <c r="K82" s="133">
        <f>SUMIFS(SevkAdetleri!$D:$D,SevkAdetleri!$A:$A,A82,SevkAdetleri!$E:$E,"MAYIS")</f>
        <v>0</v>
      </c>
      <c r="L82" s="133">
        <f>SUMIFS(SevkAdetleri!$D:$D,SevkAdetleri!$A:$A,A82,SevkAdetleri!$E:$E,"HAZIRAN")</f>
        <v>0</v>
      </c>
      <c r="M82" s="133">
        <f>SUMIFS(SevkAdetleri!$D:$D,SevkAdetleri!$A:$A,A82,SevkAdetleri!$E:$E,"TEMMUZ")</f>
        <v>0</v>
      </c>
      <c r="N82" s="133">
        <f>SUMIFS(SevkAdetleri!$D:$D,SevkAdetleri!$A:$A,A82,SevkAdetleri!$E:$E,"AĞUSTOS")</f>
        <v>0</v>
      </c>
      <c r="O82" s="133">
        <f>SUMIFS(SevkAdetleri!$D:$D,SevkAdetleri!$A:$A,A82,SevkAdetleri!$E:$E,"EYLÜL")</f>
        <v>0</v>
      </c>
      <c r="P82" s="133">
        <f>SUMIFS(SevkAdetleri!$D:$D,SevkAdetleri!$A:$A,A82,SevkAdetleri!$E:$E,"EKİM")</f>
        <v>13964</v>
      </c>
      <c r="Q82" s="133">
        <f>SUMIFS(SevkAdetleri!$D:$D,SevkAdetleri!$A:$A,A82,SevkAdetleri!$E:$E,"KASIM")</f>
        <v>0</v>
      </c>
      <c r="R82" s="133">
        <f>SUMIFS(SevkAdetleri!$D:$D,SevkAdetleri!$A:$A,A82,SevkAdetleri!$E:$E,"ARALIK")</f>
        <v>0</v>
      </c>
    </row>
    <row r="83" spans="1:18">
      <c r="A83" s="132" t="s">
        <v>64</v>
      </c>
      <c r="B83" s="133" t="str">
        <f>VLOOKUP(Tablo810[[#This Row],[ ÜRÜN KODU]],YMKODLARI!$A$1:$H$376,2,0)</f>
        <v>DAMAK EMZİK SAP</v>
      </c>
      <c r="C83" s="133">
        <f>SUMIF(Tablo8[[ ÜRÜN KODU]],Tablo810[[#This Row],[ ÜRÜN KODU]],Tablo8[SEVK ADEDİ])-Tablo810[[#This Row],[GERİ İADE ÜRÜN]]</f>
        <v>66207</v>
      </c>
      <c r="D83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98320</v>
      </c>
      <c r="E83" s="133"/>
      <c r="F83" s="133">
        <f t="shared" si="1"/>
        <v>32113</v>
      </c>
      <c r="G83" s="134">
        <f>SUMIFS(SevkAdetleri!$D:$D,SevkAdetleri!$A:$A,A83,SevkAdetleri!$E:$E,"OCAK")</f>
        <v>0</v>
      </c>
      <c r="H83" s="133">
        <f>SUMIFS(SevkAdetleri!$D:$D,SevkAdetleri!$A:$A,A83,SevkAdetleri!$E:$E,"ŞUBAT")</f>
        <v>0</v>
      </c>
      <c r="I83" s="133">
        <f>SUMIFS(SevkAdetleri!$D:$D,SevkAdetleri!$A:$A,A83,SevkAdetleri!$E:$E,"MART")</f>
        <v>0</v>
      </c>
      <c r="J83" s="133">
        <f>SUMIFS(SevkAdetleri!$D:$D,SevkAdetleri!$A:$A,A83,SevkAdetleri!$E:$E,"NİSAN")</f>
        <v>66207</v>
      </c>
      <c r="K83" s="133">
        <f>SUMIFS(SevkAdetleri!$D:$D,SevkAdetleri!$A:$A,A83,SevkAdetleri!$E:$E,"MAYIS")</f>
        <v>0</v>
      </c>
      <c r="L83" s="133">
        <f>SUMIFS(SevkAdetleri!$D:$D,SevkAdetleri!$A:$A,A83,SevkAdetleri!$E:$E,"HAZIRAN")</f>
        <v>0</v>
      </c>
      <c r="M83" s="133">
        <f>SUMIFS(SevkAdetleri!$D:$D,SevkAdetleri!$A:$A,A83,SevkAdetleri!$E:$E,"TEMMUZ")</f>
        <v>0</v>
      </c>
      <c r="N83" s="133">
        <f>SUMIFS(SevkAdetleri!$D:$D,SevkAdetleri!$A:$A,A83,SevkAdetleri!$E:$E,"AĞUSTOS")</f>
        <v>0</v>
      </c>
      <c r="O83" s="133">
        <f>SUMIFS(SevkAdetleri!$D:$D,SevkAdetleri!$A:$A,A83,SevkAdetleri!$E:$E,"EYLÜL")</f>
        <v>0</v>
      </c>
      <c r="P83" s="133">
        <f>SUMIFS(SevkAdetleri!$D:$D,SevkAdetleri!$A:$A,A83,SevkAdetleri!$E:$E,"EKİM")</f>
        <v>0</v>
      </c>
      <c r="Q83" s="133">
        <f>SUMIFS(SevkAdetleri!$D:$D,SevkAdetleri!$A:$A,A83,SevkAdetleri!$E:$E,"KASIM")</f>
        <v>0</v>
      </c>
      <c r="R83" s="133">
        <f>SUMIFS(SevkAdetleri!$D:$D,SevkAdetleri!$A:$A,A83,SevkAdetleri!$E:$E,"ARALIK")</f>
        <v>0</v>
      </c>
    </row>
    <row r="84" spans="1:18">
      <c r="A84" s="132" t="s">
        <v>56</v>
      </c>
      <c r="B84" s="133" t="str">
        <f>VLOOKUP(Tablo810[[#This Row],[ ÜRÜN KODU]],YMKODLARI!$A$1:$H$376,2,0)</f>
        <v>DAMAK EMZİK SAP</v>
      </c>
      <c r="C84" s="133">
        <f>SUMIF(Tablo8[[ ÜRÜN KODU]],Tablo810[[#This Row],[ ÜRÜN KODU]],Tablo8[SEVK ADEDİ])-Tablo810[[#This Row],[GERİ İADE ÜRÜN]]</f>
        <v>36612</v>
      </c>
      <c r="D84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39552</v>
      </c>
      <c r="E84" s="133"/>
      <c r="F84" s="133">
        <f t="shared" si="1"/>
        <v>2940</v>
      </c>
      <c r="G84" s="133">
        <f>SUMIFS(SevkAdetleri!$D:$D,SevkAdetleri!$A:$A,A84,SevkAdetleri!$E:$E,"OCAK")</f>
        <v>0</v>
      </c>
      <c r="H84" s="133">
        <f>SUMIFS(SevkAdetleri!$D:$D,SevkAdetleri!$A:$A,A84,SevkAdetleri!$E:$E,"ŞUBAT")</f>
        <v>8050</v>
      </c>
      <c r="I84" s="133">
        <f>SUMIFS(SevkAdetleri!$D:$D,SevkAdetleri!$A:$A,A84,SevkAdetleri!$E:$E,"MART")</f>
        <v>0</v>
      </c>
      <c r="J84" s="133">
        <f>SUMIFS(SevkAdetleri!$D:$D,SevkAdetleri!$A:$A,A84,SevkAdetleri!$E:$E,"NİSAN")</f>
        <v>28562</v>
      </c>
      <c r="K84" s="133">
        <f>SUMIFS(SevkAdetleri!$D:$D,SevkAdetleri!$A:$A,A84,SevkAdetleri!$E:$E,"MAYIS")</f>
        <v>0</v>
      </c>
      <c r="L84" s="133">
        <f>SUMIFS(SevkAdetleri!$D:$D,SevkAdetleri!$A:$A,A84,SevkAdetleri!$E:$E,"HAZIRAN")</f>
        <v>0</v>
      </c>
      <c r="M84" s="133">
        <f>SUMIFS(SevkAdetleri!$D:$D,SevkAdetleri!$A:$A,A84,SevkAdetleri!$E:$E,"TEMMUZ")</f>
        <v>0</v>
      </c>
      <c r="N84" s="133">
        <f>SUMIFS(SevkAdetleri!$D:$D,SevkAdetleri!$A:$A,A84,SevkAdetleri!$E:$E,"AĞUSTOS")</f>
        <v>0</v>
      </c>
      <c r="O84" s="133">
        <f>SUMIFS(SevkAdetleri!$D:$D,SevkAdetleri!$A:$A,A84,SevkAdetleri!$E:$E,"EYLÜL")</f>
        <v>0</v>
      </c>
      <c r="P84" s="133">
        <f>SUMIFS(SevkAdetleri!$D:$D,SevkAdetleri!$A:$A,A84,SevkAdetleri!$E:$E,"EKİM")</f>
        <v>0</v>
      </c>
      <c r="Q84" s="133">
        <f>SUMIFS(SevkAdetleri!$D:$D,SevkAdetleri!$A:$A,A84,SevkAdetleri!$E:$E,"KASIM")</f>
        <v>0</v>
      </c>
      <c r="R84" s="133">
        <f>SUMIFS(SevkAdetleri!$D:$D,SevkAdetleri!$A:$A,A84,SevkAdetleri!$E:$E,"ARALIK")</f>
        <v>0</v>
      </c>
    </row>
    <row r="85" spans="1:18">
      <c r="A85" s="132" t="s">
        <v>68</v>
      </c>
      <c r="B85" s="133" t="str">
        <f>VLOOKUP(Tablo810[[#This Row],[ ÜRÜN KODU]],YMKODLARI!$A$1:$H$376,2,0)</f>
        <v>DAMAK EMZİK SAP</v>
      </c>
      <c r="C85" s="133">
        <f>SUMIF(Tablo8[[ ÜRÜN KODU]],Tablo810[[#This Row],[ ÜRÜN KODU]],Tablo8[SEVK ADEDİ])-Tablo810[[#This Row],[GERİ İADE ÜRÜN]]</f>
        <v>53930</v>
      </c>
      <c r="D85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68544</v>
      </c>
      <c r="E85" s="133"/>
      <c r="F85" s="133">
        <f t="shared" si="1"/>
        <v>14614</v>
      </c>
      <c r="G85" s="134">
        <f>SUMIFS(SevkAdetleri!$D:$D,SevkAdetleri!$A:$A,A85,SevkAdetleri!$E:$E,"OCAK")</f>
        <v>0</v>
      </c>
      <c r="H85" s="133">
        <f>SUMIFS(SevkAdetleri!$D:$D,SevkAdetleri!$A:$A,A85,SevkAdetleri!$E:$E,"ŞUBAT")</f>
        <v>0</v>
      </c>
      <c r="I85" s="133">
        <f>SUMIFS(SevkAdetleri!$D:$D,SevkAdetleri!$A:$A,A85,SevkAdetleri!$E:$E,"MART")</f>
        <v>0</v>
      </c>
      <c r="J85" s="133">
        <f>SUMIFS(SevkAdetleri!$D:$D,SevkAdetleri!$A:$A,A85,SevkAdetleri!$E:$E,"NİSAN")</f>
        <v>53930</v>
      </c>
      <c r="K85" s="133">
        <f>SUMIFS(SevkAdetleri!$D:$D,SevkAdetleri!$A:$A,A85,SevkAdetleri!$E:$E,"MAYIS")</f>
        <v>0</v>
      </c>
      <c r="L85" s="133">
        <f>SUMIFS(SevkAdetleri!$D:$D,SevkAdetleri!$A:$A,A85,SevkAdetleri!$E:$E,"HAZIRAN")</f>
        <v>0</v>
      </c>
      <c r="M85" s="133">
        <f>SUMIFS(SevkAdetleri!$D:$D,SevkAdetleri!$A:$A,A85,SevkAdetleri!$E:$E,"TEMMUZ")</f>
        <v>0</v>
      </c>
      <c r="N85" s="133">
        <f>SUMIFS(SevkAdetleri!$D:$D,SevkAdetleri!$A:$A,A85,SevkAdetleri!$E:$E,"AĞUSTOS")</f>
        <v>0</v>
      </c>
      <c r="O85" s="133">
        <f>SUMIFS(SevkAdetleri!$D:$D,SevkAdetleri!$A:$A,A85,SevkAdetleri!$E:$E,"EYLÜL")</f>
        <v>0</v>
      </c>
      <c r="P85" s="133">
        <f>SUMIFS(SevkAdetleri!$D:$D,SevkAdetleri!$A:$A,A85,SevkAdetleri!$E:$E,"EKİM")</f>
        <v>0</v>
      </c>
      <c r="Q85" s="133">
        <f>SUMIFS(SevkAdetleri!$D:$D,SevkAdetleri!$A:$A,A85,SevkAdetleri!$E:$E,"KASIM")</f>
        <v>0</v>
      </c>
      <c r="R85" s="133">
        <f>SUMIFS(SevkAdetleri!$D:$D,SevkAdetleri!$A:$A,A85,SevkAdetleri!$E:$E,"ARALIK")</f>
        <v>0</v>
      </c>
    </row>
    <row r="86" spans="1:18">
      <c r="A86" s="132" t="s">
        <v>66</v>
      </c>
      <c r="B86" s="133" t="str">
        <f>VLOOKUP(Tablo810[[#This Row],[ ÜRÜN KODU]],YMKODLARI!$A$1:$H$376,2,0)</f>
        <v>DAMAK EMZİK SAP</v>
      </c>
      <c r="C86" s="133">
        <f>SUMIF(Tablo8[[ ÜRÜN KODU]],Tablo810[[#This Row],[ ÜRÜN KODU]],Tablo8[SEVK ADEDİ])-Tablo810[[#This Row],[GERİ İADE ÜRÜN]]</f>
        <v>35855</v>
      </c>
      <c r="D86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45680</v>
      </c>
      <c r="E86" s="133"/>
      <c r="F86" s="133">
        <f t="shared" si="1"/>
        <v>9825</v>
      </c>
      <c r="G86" s="134">
        <f>SUMIFS(SevkAdetleri!$D:$D,SevkAdetleri!$A:$A,A86,SevkAdetleri!$E:$E,"OCAK")</f>
        <v>0</v>
      </c>
      <c r="H86" s="133">
        <f>SUMIFS(SevkAdetleri!$D:$D,SevkAdetleri!$A:$A,A86,SevkAdetleri!$E:$E,"ŞUBAT")</f>
        <v>0</v>
      </c>
      <c r="I86" s="133">
        <f>SUMIFS(SevkAdetleri!$D:$D,SevkAdetleri!$A:$A,A86,SevkAdetleri!$E:$E,"MART")</f>
        <v>0</v>
      </c>
      <c r="J86" s="133">
        <f>SUMIFS(SevkAdetleri!$D:$D,SevkAdetleri!$A:$A,A86,SevkAdetleri!$E:$E,"NİSAN")</f>
        <v>35855</v>
      </c>
      <c r="K86" s="133">
        <f>SUMIFS(SevkAdetleri!$D:$D,SevkAdetleri!$A:$A,A86,SevkAdetleri!$E:$E,"MAYIS")</f>
        <v>0</v>
      </c>
      <c r="L86" s="133">
        <f>SUMIFS(SevkAdetleri!$D:$D,SevkAdetleri!$A:$A,A86,SevkAdetleri!$E:$E,"HAZIRAN")</f>
        <v>0</v>
      </c>
      <c r="M86" s="133">
        <f>SUMIFS(SevkAdetleri!$D:$D,SevkAdetleri!$A:$A,A86,SevkAdetleri!$E:$E,"TEMMUZ")</f>
        <v>0</v>
      </c>
      <c r="N86" s="133">
        <f>SUMIFS(SevkAdetleri!$D:$D,SevkAdetleri!$A:$A,A86,SevkAdetleri!$E:$E,"AĞUSTOS")</f>
        <v>0</v>
      </c>
      <c r="O86" s="133">
        <f>SUMIFS(SevkAdetleri!$D:$D,SevkAdetleri!$A:$A,A86,SevkAdetleri!$E:$E,"EYLÜL")</f>
        <v>0</v>
      </c>
      <c r="P86" s="133">
        <f>SUMIFS(SevkAdetleri!$D:$D,SevkAdetleri!$A:$A,A86,SevkAdetleri!$E:$E,"EKİM")</f>
        <v>0</v>
      </c>
      <c r="Q86" s="133">
        <f>SUMIFS(SevkAdetleri!$D:$D,SevkAdetleri!$A:$A,A86,SevkAdetleri!$E:$E,"KASIM")</f>
        <v>0</v>
      </c>
      <c r="R86" s="133">
        <f>SUMIFS(SevkAdetleri!$D:$D,SevkAdetleri!$A:$A,A86,SevkAdetleri!$E:$E,"ARALIK")</f>
        <v>0</v>
      </c>
    </row>
    <row r="87" spans="1:18">
      <c r="A87" s="132" t="s">
        <v>67</v>
      </c>
      <c r="B87" s="133" t="str">
        <f>VLOOKUP(Tablo810[[#This Row],[ ÜRÜN KODU]],YMKODLARI!$A$1:$H$376,2,0)</f>
        <v>DAMAK EMZİK SAP</v>
      </c>
      <c r="C87" s="133">
        <f>SUMIF(Tablo8[[ ÜRÜN KODU]],Tablo810[[#This Row],[ ÜRÜN KODU]],Tablo8[SEVK ADEDİ])-Tablo810[[#This Row],[GERİ İADE ÜRÜN]]</f>
        <v>57000</v>
      </c>
      <c r="D87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69664</v>
      </c>
      <c r="E87" s="133"/>
      <c r="F87" s="133">
        <f t="shared" si="1"/>
        <v>12664</v>
      </c>
      <c r="G87" s="134">
        <f>SUMIFS(SevkAdetleri!$D:$D,SevkAdetleri!$A:$A,A87,SevkAdetleri!$E:$E,"OCAK")</f>
        <v>0</v>
      </c>
      <c r="H87" s="133">
        <f>SUMIFS(SevkAdetleri!$D:$D,SevkAdetleri!$A:$A,A87,SevkAdetleri!$E:$E,"ŞUBAT")</f>
        <v>0</v>
      </c>
      <c r="I87" s="133">
        <f>SUMIFS(SevkAdetleri!$D:$D,SevkAdetleri!$A:$A,A87,SevkAdetleri!$E:$E,"MART")</f>
        <v>0</v>
      </c>
      <c r="J87" s="133">
        <f>SUMIFS(SevkAdetleri!$D:$D,SevkAdetleri!$A:$A,A87,SevkAdetleri!$E:$E,"NİSAN")</f>
        <v>57000</v>
      </c>
      <c r="K87" s="133">
        <f>SUMIFS(SevkAdetleri!$D:$D,SevkAdetleri!$A:$A,A87,SevkAdetleri!$E:$E,"MAYIS")</f>
        <v>0</v>
      </c>
      <c r="L87" s="133">
        <f>SUMIFS(SevkAdetleri!$D:$D,SevkAdetleri!$A:$A,A87,SevkAdetleri!$E:$E,"HAZIRAN")</f>
        <v>0</v>
      </c>
      <c r="M87" s="133">
        <f>SUMIFS(SevkAdetleri!$D:$D,SevkAdetleri!$A:$A,A87,SevkAdetleri!$E:$E,"TEMMUZ")</f>
        <v>0</v>
      </c>
      <c r="N87" s="133">
        <f>SUMIFS(SevkAdetleri!$D:$D,SevkAdetleri!$A:$A,A87,SevkAdetleri!$E:$E,"AĞUSTOS")</f>
        <v>0</v>
      </c>
      <c r="O87" s="133">
        <f>SUMIFS(SevkAdetleri!$D:$D,SevkAdetleri!$A:$A,A87,SevkAdetleri!$E:$E,"EYLÜL")</f>
        <v>0</v>
      </c>
      <c r="P87" s="133">
        <f>SUMIFS(SevkAdetleri!$D:$D,SevkAdetleri!$A:$A,A87,SevkAdetleri!$E:$E,"EKİM")</f>
        <v>0</v>
      </c>
      <c r="Q87" s="133">
        <f>SUMIFS(SevkAdetleri!$D:$D,SevkAdetleri!$A:$A,A87,SevkAdetleri!$E:$E,"KASIM")</f>
        <v>0</v>
      </c>
      <c r="R87" s="133">
        <f>SUMIFS(SevkAdetleri!$D:$D,SevkAdetleri!$A:$A,A87,SevkAdetleri!$E:$E,"ARALIK")</f>
        <v>0</v>
      </c>
    </row>
    <row r="88" spans="1:18">
      <c r="A88" s="132" t="s">
        <v>215</v>
      </c>
      <c r="B88" s="133" t="str">
        <f>VLOOKUP(Tablo810[[#This Row],[ ÜRÜN KODU]],YMKODLARI!$A$1:$H$376,2,0)</f>
        <v>MAMA KAŞIĞI SAP</v>
      </c>
      <c r="C88" s="133">
        <f>SUMIF(Tablo8[[ ÜRÜN KODU]],Tablo810[[#This Row],[ ÜRÜN KODU]],Tablo8[SEVK ADEDİ])-Tablo810[[#This Row],[GERİ İADE ÜRÜN]]</f>
        <v>36039</v>
      </c>
      <c r="D88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37024</v>
      </c>
      <c r="E88" s="133"/>
      <c r="F88" s="133">
        <f t="shared" si="1"/>
        <v>985</v>
      </c>
      <c r="G88" s="133">
        <f>SUMIFS(SevkAdetleri!$D:$D,SevkAdetleri!$A:$A,A88,SevkAdetleri!$E:$E,"OCAK")</f>
        <v>0</v>
      </c>
      <c r="H88" s="133">
        <f>SUMIFS(SevkAdetleri!$D:$D,SevkAdetleri!$A:$A,A88,SevkAdetleri!$E:$E,"ŞUBAT")</f>
        <v>0</v>
      </c>
      <c r="I88" s="133">
        <f>SUMIFS(SevkAdetleri!$D:$D,SevkAdetleri!$A:$A,A88,SevkAdetleri!$E:$E,"MART")</f>
        <v>5185</v>
      </c>
      <c r="J88" s="133">
        <f>SUMIFS(SevkAdetleri!$D:$D,SevkAdetleri!$A:$A,A88,SevkAdetleri!$E:$E,"NİSAN")</f>
        <v>0</v>
      </c>
      <c r="K88" s="133">
        <f>SUMIFS(SevkAdetleri!$D:$D,SevkAdetleri!$A:$A,A88,SevkAdetleri!$E:$E,"MAYIS")</f>
        <v>0</v>
      </c>
      <c r="L88" s="133">
        <f>SUMIFS(SevkAdetleri!$D:$D,SevkAdetleri!$A:$A,A88,SevkAdetleri!$E:$E,"HAZIRAN")</f>
        <v>11000</v>
      </c>
      <c r="M88" s="133">
        <f>SUMIFS(SevkAdetleri!$D:$D,SevkAdetleri!$A:$A,A88,SevkAdetleri!$E:$E,"TEMMUZ")</f>
        <v>4600</v>
      </c>
      <c r="N88" s="133">
        <f>SUMIFS(SevkAdetleri!$D:$D,SevkAdetleri!$A:$A,A88,SevkAdetleri!$E:$E,"AĞUSTOS")</f>
        <v>0</v>
      </c>
      <c r="O88" s="133">
        <f>SUMIFS(SevkAdetleri!$D:$D,SevkAdetleri!$A:$A,A88,SevkAdetleri!$E:$E,"EYLÜL")</f>
        <v>15254</v>
      </c>
      <c r="P88" s="133">
        <f>SUMIFS(SevkAdetleri!$D:$D,SevkAdetleri!$A:$A,A88,SevkAdetleri!$E:$E,"EKİM")</f>
        <v>0</v>
      </c>
      <c r="Q88" s="133">
        <f>SUMIFS(SevkAdetleri!$D:$D,SevkAdetleri!$A:$A,A88,SevkAdetleri!$E:$E,"KASIM")</f>
        <v>0</v>
      </c>
      <c r="R88" s="133">
        <f>SUMIFS(SevkAdetleri!$D:$D,SevkAdetleri!$A:$A,A88,SevkAdetleri!$E:$E,"ARALIK")</f>
        <v>0</v>
      </c>
    </row>
    <row r="89" spans="1:18">
      <c r="A89" s="132" t="s">
        <v>216</v>
      </c>
      <c r="B89" s="133" t="str">
        <f>VLOOKUP(Tablo810[[#This Row],[ ÜRÜN KODU]],YMKODLARI!$A$1:$H$376,2,0)</f>
        <v>MAMA KAŞIĞI SAP</v>
      </c>
      <c r="C89" s="133">
        <f>SUMIF(Tablo8[[ ÜRÜN KODU]],Tablo810[[#This Row],[ ÜRÜN KODU]],Tablo8[SEVK ADEDİ])-Tablo810[[#This Row],[GERİ İADE ÜRÜN]]</f>
        <v>14566</v>
      </c>
      <c r="D89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15408</v>
      </c>
      <c r="E89" s="133"/>
      <c r="F89" s="133">
        <f t="shared" si="1"/>
        <v>842</v>
      </c>
      <c r="G89" s="134">
        <f>SUMIFS(SevkAdetleri!$D:$D,SevkAdetleri!$A:$A,A89,SevkAdetleri!$E:$E,"OCAK")</f>
        <v>0</v>
      </c>
      <c r="H89" s="133">
        <f>SUMIFS(SevkAdetleri!$D:$D,SevkAdetleri!$A:$A,A89,SevkAdetleri!$E:$E,"ŞUBAT")</f>
        <v>0</v>
      </c>
      <c r="I89" s="133">
        <f>SUMIFS(SevkAdetleri!$D:$D,SevkAdetleri!$A:$A,A89,SevkAdetleri!$E:$E,"MART")</f>
        <v>3000</v>
      </c>
      <c r="J89" s="133">
        <f>SUMIFS(SevkAdetleri!$D:$D,SevkAdetleri!$A:$A,A89,SevkAdetleri!$E:$E,"NİSAN")</f>
        <v>0</v>
      </c>
      <c r="K89" s="133">
        <f>SUMIFS(SevkAdetleri!$D:$D,SevkAdetleri!$A:$A,A89,SevkAdetleri!$E:$E,"MAYIS")</f>
        <v>0</v>
      </c>
      <c r="L89" s="133">
        <f>SUMIFS(SevkAdetleri!$D:$D,SevkAdetleri!$A:$A,A89,SevkAdetleri!$E:$E,"HAZIRAN")</f>
        <v>0</v>
      </c>
      <c r="M89" s="133">
        <f>SUMIFS(SevkAdetleri!$D:$D,SevkAdetleri!$A:$A,A89,SevkAdetleri!$E:$E,"TEMMUZ")</f>
        <v>5296</v>
      </c>
      <c r="N89" s="133">
        <f>SUMIFS(SevkAdetleri!$D:$D,SevkAdetleri!$A:$A,A89,SevkAdetleri!$E:$E,"AĞUSTOS")</f>
        <v>0</v>
      </c>
      <c r="O89" s="133">
        <f>SUMIFS(SevkAdetleri!$D:$D,SevkAdetleri!$A:$A,A89,SevkAdetleri!$E:$E,"EYLÜL")</f>
        <v>6270</v>
      </c>
      <c r="P89" s="133">
        <f>SUMIFS(SevkAdetleri!$D:$D,SevkAdetleri!$A:$A,A89,SevkAdetleri!$E:$E,"EKİM")</f>
        <v>0</v>
      </c>
      <c r="Q89" s="133">
        <f>SUMIFS(SevkAdetleri!$D:$D,SevkAdetleri!$A:$A,A89,SevkAdetleri!$E:$E,"KASIM")</f>
        <v>0</v>
      </c>
      <c r="R89" s="133">
        <f>SUMIFS(SevkAdetleri!$D:$D,SevkAdetleri!$A:$A,A89,SevkAdetleri!$E:$E,"ARALIK")</f>
        <v>0</v>
      </c>
    </row>
    <row r="90" spans="1:18">
      <c r="A90" s="132" t="s">
        <v>217</v>
      </c>
      <c r="B90" s="133" t="str">
        <f>VLOOKUP(Tablo810[[#This Row],[ ÜRÜN KODU]],YMKODLARI!$A$1:$H$376,2,0)</f>
        <v>MAMA KAŞIĞI SAP</v>
      </c>
      <c r="C90" s="133">
        <f>SUMIF(Tablo8[[ ÜRÜN KODU]],Tablo810[[#This Row],[ ÜRÜN KODU]],Tablo8[SEVK ADEDİ])-Tablo810[[#This Row],[GERİ İADE ÜRÜN]]</f>
        <v>14540</v>
      </c>
      <c r="D90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14720</v>
      </c>
      <c r="E90" s="133"/>
      <c r="F90" s="133">
        <f t="shared" si="1"/>
        <v>180</v>
      </c>
      <c r="G90" s="134">
        <f>SUMIFS(SevkAdetleri!$D:$D,SevkAdetleri!$A:$A,A90,SevkAdetleri!$E:$E,"OCAK")</f>
        <v>0</v>
      </c>
      <c r="H90" s="133">
        <f>SUMIFS(SevkAdetleri!$D:$D,SevkAdetleri!$A:$A,A90,SevkAdetleri!$E:$E,"ŞUBAT")</f>
        <v>0</v>
      </c>
      <c r="I90" s="133">
        <f>SUMIFS(SevkAdetleri!$D:$D,SevkAdetleri!$A:$A,A90,SevkAdetleri!$E:$E,"MART")</f>
        <v>3108</v>
      </c>
      <c r="J90" s="133">
        <f>SUMIFS(SevkAdetleri!$D:$D,SevkAdetleri!$A:$A,A90,SevkAdetleri!$E:$E,"NİSAN")</f>
        <v>0</v>
      </c>
      <c r="K90" s="133">
        <f>SUMIFS(SevkAdetleri!$D:$D,SevkAdetleri!$A:$A,A90,SevkAdetleri!$E:$E,"MAYIS")</f>
        <v>0</v>
      </c>
      <c r="L90" s="133">
        <f>SUMIFS(SevkAdetleri!$D:$D,SevkAdetleri!$A:$A,A90,SevkAdetleri!$E:$E,"HAZIRAN")</f>
        <v>0</v>
      </c>
      <c r="M90" s="133">
        <f>SUMIFS(SevkAdetleri!$D:$D,SevkAdetleri!$A:$A,A90,SevkAdetleri!$E:$E,"TEMMUZ")</f>
        <v>5125</v>
      </c>
      <c r="N90" s="133">
        <f>SUMIFS(SevkAdetleri!$D:$D,SevkAdetleri!$A:$A,A90,SevkAdetleri!$E:$E,"AĞUSTOS")</f>
        <v>0</v>
      </c>
      <c r="O90" s="133">
        <f>SUMIFS(SevkAdetleri!$D:$D,SevkAdetleri!$A:$A,A90,SevkAdetleri!$E:$E,"EYLÜL")</f>
        <v>6307</v>
      </c>
      <c r="P90" s="133">
        <f>SUMIFS(SevkAdetleri!$D:$D,SevkAdetleri!$A:$A,A90,SevkAdetleri!$E:$E,"EKİM")</f>
        <v>0</v>
      </c>
      <c r="Q90" s="133">
        <f>SUMIFS(SevkAdetleri!$D:$D,SevkAdetleri!$A:$A,A90,SevkAdetleri!$E:$E,"KASIM")</f>
        <v>0</v>
      </c>
      <c r="R90" s="133">
        <f>SUMIFS(SevkAdetleri!$D:$D,SevkAdetleri!$A:$A,A90,SevkAdetleri!$E:$E,"ARALIK")</f>
        <v>0</v>
      </c>
    </row>
    <row r="91" spans="1:18">
      <c r="A91" s="132" t="s">
        <v>193</v>
      </c>
      <c r="B91" s="133" t="str">
        <f>VLOOKUP(Tablo810[[#This Row],[ ÜRÜN KODU]],YMKODLARI!$A$1:$H$376,2,0)</f>
        <v>KİRAZ EMZİK TIPA</v>
      </c>
      <c r="C91" s="133">
        <f>SUMIF(Tablo8[[ ÜRÜN KODU]],Tablo810[[#This Row],[ ÜRÜN KODU]],Tablo8[SEVK ADEDİ])-Tablo810[[#This Row],[GERİ İADE ÜRÜN]]</f>
        <v>59664</v>
      </c>
      <c r="D91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61680</v>
      </c>
      <c r="E91" s="133"/>
      <c r="F91" s="133">
        <f t="shared" si="1"/>
        <v>2016</v>
      </c>
      <c r="G91" s="133">
        <f>SUMIFS(SevkAdetleri!$D:$D,SevkAdetleri!$A:$A,A91,SevkAdetleri!$E:$E,"OCAK")</f>
        <v>0</v>
      </c>
      <c r="H91" s="133">
        <f>SUMIFS(SevkAdetleri!$D:$D,SevkAdetleri!$A:$A,A91,SevkAdetleri!$E:$E,"ŞUBAT")</f>
        <v>0</v>
      </c>
      <c r="I91" s="133">
        <f>SUMIFS(SevkAdetleri!$D:$D,SevkAdetleri!$A:$A,A91,SevkAdetleri!$E:$E,"MART")</f>
        <v>0</v>
      </c>
      <c r="J91" s="133">
        <f>SUMIFS(SevkAdetleri!$D:$D,SevkAdetleri!$A:$A,A91,SevkAdetleri!$E:$E,"NİSAN")</f>
        <v>0</v>
      </c>
      <c r="K91" s="133">
        <f>SUMIFS(SevkAdetleri!$D:$D,SevkAdetleri!$A:$A,A91,SevkAdetleri!$E:$E,"MAYIS")</f>
        <v>0</v>
      </c>
      <c r="L91" s="133">
        <f>SUMIFS(SevkAdetleri!$D:$D,SevkAdetleri!$A:$A,A91,SevkAdetleri!$E:$E,"HAZIRAN")</f>
        <v>0</v>
      </c>
      <c r="M91" s="133">
        <f>SUMIFS(SevkAdetleri!$D:$D,SevkAdetleri!$A:$A,A91,SevkAdetleri!$E:$E,"TEMMUZ")</f>
        <v>0</v>
      </c>
      <c r="N91" s="133">
        <f>SUMIFS(SevkAdetleri!$D:$D,SevkAdetleri!$A:$A,A91,SevkAdetleri!$E:$E,"AĞUSTOS")</f>
        <v>9275</v>
      </c>
      <c r="O91" s="133">
        <f>SUMIFS(SevkAdetleri!$D:$D,SevkAdetleri!$A:$A,A91,SevkAdetleri!$E:$E,"EYLÜL")</f>
        <v>12760</v>
      </c>
      <c r="P91" s="133">
        <f>SUMIFS(SevkAdetleri!$D:$D,SevkAdetleri!$A:$A,A91,SevkAdetleri!$E:$E,"EKİM")</f>
        <v>37629</v>
      </c>
      <c r="Q91" s="133">
        <f>SUMIFS(SevkAdetleri!$D:$D,SevkAdetleri!$A:$A,A91,SevkAdetleri!$E:$E,"KASIM")</f>
        <v>0</v>
      </c>
      <c r="R91" s="133">
        <f>SUMIFS(SevkAdetleri!$D:$D,SevkAdetleri!$A:$A,A91,SevkAdetleri!$E:$E,"ARALIK")</f>
        <v>0</v>
      </c>
    </row>
    <row r="92" spans="1:18">
      <c r="A92" s="132" t="s">
        <v>132</v>
      </c>
      <c r="B92" s="133" t="str">
        <f>VLOOKUP(Tablo810[[#This Row],[ ÜRÜN KODU]],YMKODLARI!$A$1:$H$376,2,0)</f>
        <v>KİRAZ EMZİK TIPA</v>
      </c>
      <c r="C92" s="133">
        <f>SUMIF(Tablo8[[ ÜRÜN KODU]],Tablo810[[#This Row],[ ÜRÜN KODU]],Tablo8[SEVK ADEDİ])-Tablo810[[#This Row],[GERİ İADE ÜRÜN]]</f>
        <v>5517</v>
      </c>
      <c r="D92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7264</v>
      </c>
      <c r="E92" s="133"/>
      <c r="F92" s="133">
        <f t="shared" si="1"/>
        <v>1747</v>
      </c>
      <c r="G92" s="133">
        <f>SUMIFS(SevkAdetleri!$D:$D,SevkAdetleri!$A:$A,A92,SevkAdetleri!$E:$E,"OCAK")</f>
        <v>3712</v>
      </c>
      <c r="H92" s="133">
        <f>SUMIFS(SevkAdetleri!$D:$D,SevkAdetleri!$A:$A,A92,SevkAdetleri!$E:$E,"ŞUBAT")</f>
        <v>0</v>
      </c>
      <c r="I92" s="133">
        <f>SUMIFS(SevkAdetleri!$D:$D,SevkAdetleri!$A:$A,A92,SevkAdetleri!$E:$E,"MART")</f>
        <v>0</v>
      </c>
      <c r="J92" s="133">
        <f>SUMIFS(SevkAdetleri!$D:$D,SevkAdetleri!$A:$A,A92,SevkAdetleri!$E:$E,"NİSAN")</f>
        <v>0</v>
      </c>
      <c r="K92" s="133">
        <f>SUMIFS(SevkAdetleri!$D:$D,SevkAdetleri!$A:$A,A92,SevkAdetleri!$E:$E,"MAYIS")</f>
        <v>0</v>
      </c>
      <c r="L92" s="133">
        <f>SUMIFS(SevkAdetleri!$D:$D,SevkAdetleri!$A:$A,A92,SevkAdetleri!$E:$E,"HAZIRAN")</f>
        <v>0</v>
      </c>
      <c r="M92" s="133">
        <f>SUMIFS(SevkAdetleri!$D:$D,SevkAdetleri!$A:$A,A92,SevkAdetleri!$E:$E,"TEMMUZ")</f>
        <v>0</v>
      </c>
      <c r="N92" s="133">
        <f>SUMIFS(SevkAdetleri!$D:$D,SevkAdetleri!$A:$A,A92,SevkAdetleri!$E:$E,"AĞUSTOS")</f>
        <v>1805</v>
      </c>
      <c r="O92" s="133">
        <f>SUMIFS(SevkAdetleri!$D:$D,SevkAdetleri!$A:$A,A92,SevkAdetleri!$E:$E,"EYLÜL")</f>
        <v>0</v>
      </c>
      <c r="P92" s="133">
        <f>SUMIFS(SevkAdetleri!$D:$D,SevkAdetleri!$A:$A,A92,SevkAdetleri!$E:$E,"EKİM")</f>
        <v>0</v>
      </c>
      <c r="Q92" s="133">
        <f>SUMIFS(SevkAdetleri!$D:$D,SevkAdetleri!$A:$A,A92,SevkAdetleri!$E:$E,"KASIM")</f>
        <v>0</v>
      </c>
      <c r="R92" s="133">
        <f>SUMIFS(SevkAdetleri!$D:$D,SevkAdetleri!$A:$A,A92,SevkAdetleri!$E:$E,"ARALIK")</f>
        <v>0</v>
      </c>
    </row>
    <row r="93" spans="1:18">
      <c r="A93" s="132" t="s">
        <v>134</v>
      </c>
      <c r="B93" s="133" t="str">
        <f>VLOOKUP(Tablo810[[#This Row],[ ÜRÜN KODU]],YMKODLARI!$A$1:$H$376,2,0)</f>
        <v>KİRAZ EMZİK TIPA</v>
      </c>
      <c r="C93" s="133">
        <f>SUMIF(Tablo8[[ ÜRÜN KODU]],Tablo810[[#This Row],[ ÜRÜN KODU]],Tablo8[SEVK ADEDİ])-Tablo810[[#This Row],[GERİ İADE ÜRÜN]]</f>
        <v>2384</v>
      </c>
      <c r="D93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3360</v>
      </c>
      <c r="E93" s="133"/>
      <c r="F93" s="133">
        <f t="shared" si="1"/>
        <v>976</v>
      </c>
      <c r="G93" s="133">
        <f>SUMIFS(SevkAdetleri!$D:$D,SevkAdetleri!$A:$A,A93,SevkAdetleri!$E:$E,"OCAK")</f>
        <v>1049</v>
      </c>
      <c r="H93" s="133">
        <f>SUMIFS(SevkAdetleri!$D:$D,SevkAdetleri!$A:$A,A93,SevkAdetleri!$E:$E,"ŞUBAT")</f>
        <v>0</v>
      </c>
      <c r="I93" s="133">
        <f>SUMIFS(SevkAdetleri!$D:$D,SevkAdetleri!$A:$A,A93,SevkAdetleri!$E:$E,"MART")</f>
        <v>0</v>
      </c>
      <c r="J93" s="133">
        <f>SUMIFS(SevkAdetleri!$D:$D,SevkAdetleri!$A:$A,A93,SevkAdetleri!$E:$E,"NİSAN")</f>
        <v>0</v>
      </c>
      <c r="K93" s="133">
        <f>SUMIFS(SevkAdetleri!$D:$D,SevkAdetleri!$A:$A,A93,SevkAdetleri!$E:$E,"MAYIS")</f>
        <v>0</v>
      </c>
      <c r="L93" s="133">
        <f>SUMIFS(SevkAdetleri!$D:$D,SevkAdetleri!$A:$A,A93,SevkAdetleri!$E:$E,"HAZIRAN")</f>
        <v>0</v>
      </c>
      <c r="M93" s="133">
        <f>SUMIFS(SevkAdetleri!$D:$D,SevkAdetleri!$A:$A,A93,SevkAdetleri!$E:$E,"TEMMUZ")</f>
        <v>0</v>
      </c>
      <c r="N93" s="133">
        <f>SUMIFS(SevkAdetleri!$D:$D,SevkAdetleri!$A:$A,A93,SevkAdetleri!$E:$E,"AĞUSTOS")</f>
        <v>1335</v>
      </c>
      <c r="O93" s="133">
        <f>SUMIFS(SevkAdetleri!$D:$D,SevkAdetleri!$A:$A,A93,SevkAdetleri!$E:$E,"EYLÜL")</f>
        <v>0</v>
      </c>
      <c r="P93" s="133">
        <f>SUMIFS(SevkAdetleri!$D:$D,SevkAdetleri!$A:$A,A93,SevkAdetleri!$E:$E,"EKİM")</f>
        <v>0</v>
      </c>
      <c r="Q93" s="133">
        <f>SUMIFS(SevkAdetleri!$D:$D,SevkAdetleri!$A:$A,A93,SevkAdetleri!$E:$E,"KASIM")</f>
        <v>0</v>
      </c>
      <c r="R93" s="133">
        <f>SUMIFS(SevkAdetleri!$D:$D,SevkAdetleri!$A:$A,A93,SevkAdetleri!$E:$E,"ARALIK")</f>
        <v>0</v>
      </c>
    </row>
    <row r="94" spans="1:18">
      <c r="A94" s="132" t="s">
        <v>133</v>
      </c>
      <c r="B94" s="133" t="str">
        <f>VLOOKUP(Tablo810[[#This Row],[ ÜRÜN KODU]],YMKODLARI!$A$1:$H$376,2,0)</f>
        <v>KİRAZ EMZİK TIPA</v>
      </c>
      <c r="C94" s="133">
        <f>SUMIF(Tablo8[[ ÜRÜN KODU]],Tablo810[[#This Row],[ ÜRÜN KODU]],Tablo8[SEVK ADEDİ])-Tablo810[[#This Row],[GERİ İADE ÜRÜN]]</f>
        <v>5438</v>
      </c>
      <c r="D94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7224</v>
      </c>
      <c r="E94" s="133"/>
      <c r="F94" s="133">
        <f t="shared" si="1"/>
        <v>1786</v>
      </c>
      <c r="G94" s="133">
        <f>SUMIFS(SevkAdetleri!$D:$D,SevkAdetleri!$A:$A,A94,SevkAdetleri!$E:$E,"OCAK")</f>
        <v>3428</v>
      </c>
      <c r="H94" s="133">
        <f>SUMIFS(SevkAdetleri!$D:$D,SevkAdetleri!$A:$A,A94,SevkAdetleri!$E:$E,"ŞUBAT")</f>
        <v>0</v>
      </c>
      <c r="I94" s="133">
        <f>SUMIFS(SevkAdetleri!$D:$D,SevkAdetleri!$A:$A,A94,SevkAdetleri!$E:$E,"MART")</f>
        <v>0</v>
      </c>
      <c r="J94" s="133">
        <f>SUMIFS(SevkAdetleri!$D:$D,SevkAdetleri!$A:$A,A94,SevkAdetleri!$E:$E,"NİSAN")</f>
        <v>0</v>
      </c>
      <c r="K94" s="133">
        <f>SUMIFS(SevkAdetleri!$D:$D,SevkAdetleri!$A:$A,A94,SevkAdetleri!$E:$E,"MAYIS")</f>
        <v>0</v>
      </c>
      <c r="L94" s="133">
        <f>SUMIFS(SevkAdetleri!$D:$D,SevkAdetleri!$A:$A,A94,SevkAdetleri!$E:$E,"HAZIRAN")</f>
        <v>0</v>
      </c>
      <c r="M94" s="133">
        <f>SUMIFS(SevkAdetleri!$D:$D,SevkAdetleri!$A:$A,A94,SevkAdetleri!$E:$E,"TEMMUZ")</f>
        <v>0</v>
      </c>
      <c r="N94" s="133">
        <f>SUMIFS(SevkAdetleri!$D:$D,SevkAdetleri!$A:$A,A94,SevkAdetleri!$E:$E,"AĞUSTOS")</f>
        <v>2010</v>
      </c>
      <c r="O94" s="133">
        <f>SUMIFS(SevkAdetleri!$D:$D,SevkAdetleri!$A:$A,A94,SevkAdetleri!$E:$E,"EYLÜL")</f>
        <v>0</v>
      </c>
      <c r="P94" s="133">
        <f>SUMIFS(SevkAdetleri!$D:$D,SevkAdetleri!$A:$A,A94,SevkAdetleri!$E:$E,"EKİM")</f>
        <v>0</v>
      </c>
      <c r="Q94" s="133">
        <f>SUMIFS(SevkAdetleri!$D:$D,SevkAdetleri!$A:$A,A94,SevkAdetleri!$E:$E,"KASIM")</f>
        <v>0</v>
      </c>
      <c r="R94" s="133">
        <f>SUMIFS(SevkAdetleri!$D:$D,SevkAdetleri!$A:$A,A94,SevkAdetleri!$E:$E,"ARALIK")</f>
        <v>0</v>
      </c>
    </row>
    <row r="95" spans="1:18" ht="15.75" customHeight="1">
      <c r="A95" s="132" t="s">
        <v>136</v>
      </c>
      <c r="B95" s="133" t="str">
        <f>VLOOKUP(Tablo810[[#This Row],[ ÜRÜN KODU]],YMKODLARI!$A$1:$H$376,2,0)</f>
        <v>DAMAK EMZİK TIPA</v>
      </c>
      <c r="C95" s="133">
        <f>SUMIF(Tablo8[[ ÜRÜN KODU]],Tablo810[[#This Row],[ ÜRÜN KODU]],Tablo8[SEVK ADEDİ])-Tablo810[[#This Row],[GERİ İADE ÜRÜN]]</f>
        <v>142519</v>
      </c>
      <c r="D95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131328</v>
      </c>
      <c r="E95" s="133"/>
      <c r="F95" s="133">
        <f t="shared" si="1"/>
        <v>-11191</v>
      </c>
      <c r="G95" s="133">
        <f>SUMIFS(SevkAdetleri!$D:$D,SevkAdetleri!$A:$A,A95,SevkAdetleri!$E:$E,"OCAK")</f>
        <v>36000</v>
      </c>
      <c r="H95" s="133">
        <f>SUMIFS(SevkAdetleri!$D:$D,SevkAdetleri!$A:$A,A95,SevkAdetleri!$E:$E,"ŞUBAT")</f>
        <v>3060</v>
      </c>
      <c r="I95" s="133">
        <f>SUMIFS(SevkAdetleri!$D:$D,SevkAdetleri!$A:$A,A95,SevkAdetleri!$E:$E,"MART")</f>
        <v>0</v>
      </c>
      <c r="J95" s="133">
        <f>SUMIFS(SevkAdetleri!$D:$D,SevkAdetleri!$A:$A,A95,SevkAdetleri!$E:$E,"NİSAN")</f>
        <v>0</v>
      </c>
      <c r="K95" s="133">
        <f>SUMIFS(SevkAdetleri!$D:$D,SevkAdetleri!$A:$A,A95,SevkAdetleri!$E:$E,"MAYIS")</f>
        <v>0</v>
      </c>
      <c r="L95" s="133">
        <f>SUMIFS(SevkAdetleri!$D:$D,SevkAdetleri!$A:$A,A95,SevkAdetleri!$E:$E,"HAZIRAN")</f>
        <v>0</v>
      </c>
      <c r="M95" s="133">
        <f>SUMIFS(SevkAdetleri!$D:$D,SevkAdetleri!$A:$A,A95,SevkAdetleri!$E:$E,"TEMMUZ")</f>
        <v>49514</v>
      </c>
      <c r="N95" s="133">
        <f>SUMIFS(SevkAdetleri!$D:$D,SevkAdetleri!$A:$A,A95,SevkAdetleri!$E:$E,"AĞUSTOS")</f>
        <v>0</v>
      </c>
      <c r="O95" s="133">
        <f>SUMIFS(SevkAdetleri!$D:$D,SevkAdetleri!$A:$A,A95,SevkAdetleri!$E:$E,"EYLÜL")</f>
        <v>31730</v>
      </c>
      <c r="P95" s="133">
        <f>SUMIFS(SevkAdetleri!$D:$D,SevkAdetleri!$A:$A,A95,SevkAdetleri!$E:$E,"EKİM")</f>
        <v>22215</v>
      </c>
      <c r="Q95" s="133">
        <f>SUMIFS(SevkAdetleri!$D:$D,SevkAdetleri!$A:$A,A95,SevkAdetleri!$E:$E,"KASIM")</f>
        <v>0</v>
      </c>
      <c r="R95" s="133">
        <f>SUMIFS(SevkAdetleri!$D:$D,SevkAdetleri!$A:$A,A95,SevkAdetleri!$E:$E,"ARALIK")</f>
        <v>0</v>
      </c>
    </row>
    <row r="96" spans="1:18">
      <c r="A96" s="120" t="s">
        <v>129</v>
      </c>
      <c r="B96" s="133" t="str">
        <f>VLOOKUP(Tablo810[[#This Row],[ ÜRÜN KODU]],YMKODLARI!$A$1:$H$376,2,0)</f>
        <v>DAMAK EMZİK TIPA</v>
      </c>
      <c r="C96" s="133">
        <f>SUMIF(Tablo8[[ ÜRÜN KODU]],Tablo810[[#This Row],[ ÜRÜN KODU]],Tablo8[SEVK ADEDİ])-Tablo810[[#This Row],[GERİ İADE ÜRÜN]]</f>
        <v>145404</v>
      </c>
      <c r="D96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154568</v>
      </c>
      <c r="E96" s="133"/>
      <c r="F96" s="133">
        <f t="shared" si="1"/>
        <v>9164</v>
      </c>
      <c r="G96" s="133">
        <f>SUMIFS(SevkAdetleri!$D:$D,SevkAdetleri!$A:$A,A96,SevkAdetleri!$E:$E,"OCAK")</f>
        <v>6080</v>
      </c>
      <c r="H96" s="133">
        <f>SUMIFS(SevkAdetleri!$D:$D,SevkAdetleri!$A:$A,A96,SevkAdetleri!$E:$E,"ŞUBAT")</f>
        <v>0</v>
      </c>
      <c r="I96" s="133">
        <f>SUMIFS(SevkAdetleri!$D:$D,SevkAdetleri!$A:$A,A96,SevkAdetleri!$E:$E,"MART")</f>
        <v>0</v>
      </c>
      <c r="J96" s="133">
        <f>SUMIFS(SevkAdetleri!$D:$D,SevkAdetleri!$A:$A,A96,SevkAdetleri!$E:$E,"NİSAN")</f>
        <v>117722</v>
      </c>
      <c r="K96" s="133">
        <f>SUMIFS(SevkAdetleri!$D:$D,SevkAdetleri!$A:$A,A96,SevkAdetleri!$E:$E,"MAYIS")</f>
        <v>21602</v>
      </c>
      <c r="L96" s="133">
        <f>SUMIFS(SevkAdetleri!$D:$D,SevkAdetleri!$A:$A,A96,SevkAdetleri!$E:$E,"HAZIRAN")</f>
        <v>0</v>
      </c>
      <c r="M96" s="133">
        <f>SUMIFS(SevkAdetleri!$D:$D,SevkAdetleri!$A:$A,A96,SevkAdetleri!$E:$E,"TEMMUZ")</f>
        <v>0</v>
      </c>
      <c r="N96" s="133">
        <f>SUMIFS(SevkAdetleri!$D:$D,SevkAdetleri!$A:$A,A96,SevkAdetleri!$E:$E,"AĞUSTOS")</f>
        <v>0</v>
      </c>
      <c r="O96" s="133">
        <f>SUMIFS(SevkAdetleri!$D:$D,SevkAdetleri!$A:$A,A96,SevkAdetleri!$E:$E,"EYLÜL")</f>
        <v>0</v>
      </c>
      <c r="P96" s="133">
        <f>SUMIFS(SevkAdetleri!$D:$D,SevkAdetleri!$A:$A,A96,SevkAdetleri!$E:$E,"EKİM")</f>
        <v>0</v>
      </c>
      <c r="Q96" s="133">
        <f>SUMIFS(SevkAdetleri!$D:$D,SevkAdetleri!$A:$A,A96,SevkAdetleri!$E:$E,"KASIM")</f>
        <v>0</v>
      </c>
      <c r="R96" s="133">
        <f>SUMIFS(SevkAdetleri!$D:$D,SevkAdetleri!$A:$A,A96,SevkAdetleri!$E:$E,"ARALIK")</f>
        <v>0</v>
      </c>
    </row>
    <row r="97" spans="1:18">
      <c r="A97" s="120" t="s">
        <v>130</v>
      </c>
      <c r="B97" s="133" t="str">
        <f>VLOOKUP(Tablo810[[#This Row],[ ÜRÜN KODU]],YMKODLARI!$A$1:$H$376,2,0)</f>
        <v>DAMAK EMZİK TIPA</v>
      </c>
      <c r="C97" s="133">
        <f>SUMIF(Tablo8[[ ÜRÜN KODU]],Tablo810[[#This Row],[ ÜRÜN KODU]],Tablo8[SEVK ADEDİ])-Tablo810[[#This Row],[GERİ İADE ÜRÜN]]</f>
        <v>89825</v>
      </c>
      <c r="D97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100872</v>
      </c>
      <c r="E97" s="133"/>
      <c r="F97" s="133">
        <f t="shared" si="1"/>
        <v>11047</v>
      </c>
      <c r="G97" s="133">
        <f>SUMIFS(SevkAdetleri!$D:$D,SevkAdetleri!$A:$A,A97,SevkAdetleri!$E:$E,"OCAK")</f>
        <v>2350</v>
      </c>
      <c r="H97" s="133">
        <f>SUMIFS(SevkAdetleri!$D:$D,SevkAdetleri!$A:$A,A97,SevkAdetleri!$E:$E,"ŞUBAT")</f>
        <v>11530</v>
      </c>
      <c r="I97" s="133">
        <f>SUMIFS(SevkAdetleri!$D:$D,SevkAdetleri!$A:$A,A97,SevkAdetleri!$E:$E,"MART")</f>
        <v>48000</v>
      </c>
      <c r="J97" s="133">
        <f>SUMIFS(SevkAdetleri!$D:$D,SevkAdetleri!$A:$A,A97,SevkAdetleri!$E:$E,"NİSAN")</f>
        <v>27945</v>
      </c>
      <c r="K97" s="133">
        <f>SUMIFS(SevkAdetleri!$D:$D,SevkAdetleri!$A:$A,A97,SevkAdetleri!$E:$E,"MAYIS")</f>
        <v>0</v>
      </c>
      <c r="L97" s="133">
        <f>SUMIFS(SevkAdetleri!$D:$D,SevkAdetleri!$A:$A,A97,SevkAdetleri!$E:$E,"HAZIRAN")</f>
        <v>0</v>
      </c>
      <c r="M97" s="133">
        <f>SUMIFS(SevkAdetleri!$D:$D,SevkAdetleri!$A:$A,A97,SevkAdetleri!$E:$E,"TEMMUZ")</f>
        <v>0</v>
      </c>
      <c r="N97" s="133">
        <f>SUMIFS(SevkAdetleri!$D:$D,SevkAdetleri!$A:$A,A97,SevkAdetleri!$E:$E,"AĞUSTOS")</f>
        <v>0</v>
      </c>
      <c r="O97" s="133">
        <f>SUMIFS(SevkAdetleri!$D:$D,SevkAdetleri!$A:$A,A97,SevkAdetleri!$E:$E,"EYLÜL")</f>
        <v>0</v>
      </c>
      <c r="P97" s="133">
        <f>SUMIFS(SevkAdetleri!$D:$D,SevkAdetleri!$A:$A,A97,SevkAdetleri!$E:$E,"EKİM")</f>
        <v>0</v>
      </c>
      <c r="Q97" s="133">
        <f>SUMIFS(SevkAdetleri!$D:$D,SevkAdetleri!$A:$A,A97,SevkAdetleri!$E:$E,"KASIM")</f>
        <v>0</v>
      </c>
      <c r="R97" s="133">
        <f>SUMIFS(SevkAdetleri!$D:$D,SevkAdetleri!$A:$A,A97,SevkAdetleri!$E:$E,"ARALIK")</f>
        <v>0</v>
      </c>
    </row>
    <row r="98" spans="1:18">
      <c r="A98" s="120" t="s">
        <v>131</v>
      </c>
      <c r="B98" s="133" t="str">
        <f>VLOOKUP(Tablo810[[#This Row],[ ÜRÜN KODU]],YMKODLARI!$A$1:$H$376,2,0)</f>
        <v>DAMAK EMZİK TIPA</v>
      </c>
      <c r="C98" s="133">
        <f>SUMIF(Tablo8[[ ÜRÜN KODU]],Tablo810[[#This Row],[ ÜRÜN KODU]],Tablo8[SEVK ADEDİ])-Tablo810[[#This Row],[GERİ İADE ÜRÜN]]</f>
        <v>54871</v>
      </c>
      <c r="D98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66056</v>
      </c>
      <c r="E98" s="133"/>
      <c r="F98" s="133">
        <f t="shared" si="1"/>
        <v>11185</v>
      </c>
      <c r="G98" s="133">
        <f>SUMIFS(SevkAdetleri!$D:$D,SevkAdetleri!$A:$A,A98,SevkAdetleri!$E:$E,"OCAK")</f>
        <v>3814</v>
      </c>
      <c r="H98" s="133">
        <f>SUMIFS(SevkAdetleri!$D:$D,SevkAdetleri!$A:$A,A98,SevkAdetleri!$E:$E,"ŞUBAT")</f>
        <v>0</v>
      </c>
      <c r="I98" s="133">
        <f>SUMIFS(SevkAdetleri!$D:$D,SevkAdetleri!$A:$A,A98,SevkAdetleri!$E:$E,"MART")</f>
        <v>0</v>
      </c>
      <c r="J98" s="133">
        <f>SUMIFS(SevkAdetleri!$D:$D,SevkAdetleri!$A:$A,A98,SevkAdetleri!$E:$E,"NİSAN")</f>
        <v>51057</v>
      </c>
      <c r="K98" s="133">
        <f>SUMIFS(SevkAdetleri!$D:$D,SevkAdetleri!$A:$A,A98,SevkAdetleri!$E:$E,"MAYIS")</f>
        <v>0</v>
      </c>
      <c r="L98" s="133">
        <f>SUMIFS(SevkAdetleri!$D:$D,SevkAdetleri!$A:$A,A98,SevkAdetleri!$E:$E,"HAZIRAN")</f>
        <v>0</v>
      </c>
      <c r="M98" s="133">
        <f>SUMIFS(SevkAdetleri!$D:$D,SevkAdetleri!$A:$A,A98,SevkAdetleri!$E:$E,"TEMMUZ")</f>
        <v>0</v>
      </c>
      <c r="N98" s="133">
        <f>SUMIFS(SevkAdetleri!$D:$D,SevkAdetleri!$A:$A,A98,SevkAdetleri!$E:$E,"AĞUSTOS")</f>
        <v>0</v>
      </c>
      <c r="O98" s="133">
        <f>SUMIFS(SevkAdetleri!$D:$D,SevkAdetleri!$A:$A,A98,SevkAdetleri!$E:$E,"EYLÜL")</f>
        <v>0</v>
      </c>
      <c r="P98" s="133">
        <f>SUMIFS(SevkAdetleri!$D:$D,SevkAdetleri!$A:$A,A98,SevkAdetleri!$E:$E,"EKİM")</f>
        <v>0</v>
      </c>
      <c r="Q98" s="133">
        <f>SUMIFS(SevkAdetleri!$D:$D,SevkAdetleri!$A:$A,A98,SevkAdetleri!$E:$E,"KASIM")</f>
        <v>0</v>
      </c>
      <c r="R98" s="133">
        <f>SUMIFS(SevkAdetleri!$D:$D,SevkAdetleri!$A:$A,A98,SevkAdetleri!$E:$E,"ARALIK")</f>
        <v>0</v>
      </c>
    </row>
    <row r="99" spans="1:18">
      <c r="A99" s="120" t="s">
        <v>220</v>
      </c>
      <c r="B99" s="133" t="str">
        <f>VLOOKUP(Tablo810[[#This Row],[ ÜRÜN KODU]],YMKODLARI!$A$1:$H$376,2,0)</f>
        <v>DAMAK EMZİK TIPA</v>
      </c>
      <c r="C99" s="133">
        <f>SUMIF(Tablo8[[ ÜRÜN KODU]],Tablo810[[#This Row],[ ÜRÜN KODU]],Tablo8[SEVK ADEDİ])-Tablo810[[#This Row],[GERİ İADE ÜRÜN]]</f>
        <v>39985</v>
      </c>
      <c r="D99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38472</v>
      </c>
      <c r="E99" s="133"/>
      <c r="F99" s="133">
        <f t="shared" si="1"/>
        <v>-1513</v>
      </c>
      <c r="G99" s="133">
        <f>SUMIFS(SevkAdetleri!$D:$D,SevkAdetleri!$A:$A,A99,SevkAdetleri!$E:$E,"OCAK")</f>
        <v>0</v>
      </c>
      <c r="H99" s="133">
        <f>SUMIFS(SevkAdetleri!$D:$D,SevkAdetleri!$A:$A,A99,SevkAdetleri!$E:$E,"ŞUBAT")</f>
        <v>0</v>
      </c>
      <c r="I99" s="133">
        <f>SUMIFS(SevkAdetleri!$D:$D,SevkAdetleri!$A:$A,A99,SevkAdetleri!$E:$E,"MART")</f>
        <v>0</v>
      </c>
      <c r="J99" s="133">
        <f>SUMIFS(SevkAdetleri!$D:$D,SevkAdetleri!$A:$A,A99,SevkAdetleri!$E:$E,"NİSAN")</f>
        <v>14673</v>
      </c>
      <c r="K99" s="133">
        <f>SUMIFS(SevkAdetleri!$D:$D,SevkAdetleri!$A:$A,A99,SevkAdetleri!$E:$E,"MAYIS")</f>
        <v>25312</v>
      </c>
      <c r="L99" s="133">
        <f>SUMIFS(SevkAdetleri!$D:$D,SevkAdetleri!$A:$A,A99,SevkAdetleri!$E:$E,"HAZIRAN")</f>
        <v>0</v>
      </c>
      <c r="M99" s="133">
        <f>SUMIFS(SevkAdetleri!$D:$D,SevkAdetleri!$A:$A,A99,SevkAdetleri!$E:$E,"TEMMUZ")</f>
        <v>0</v>
      </c>
      <c r="N99" s="133">
        <f>SUMIFS(SevkAdetleri!$D:$D,SevkAdetleri!$A:$A,A99,SevkAdetleri!$E:$E,"AĞUSTOS")</f>
        <v>0</v>
      </c>
      <c r="O99" s="133">
        <f>SUMIFS(SevkAdetleri!$D:$D,SevkAdetleri!$A:$A,A99,SevkAdetleri!$E:$E,"EYLÜL")</f>
        <v>0</v>
      </c>
      <c r="P99" s="133">
        <f>SUMIFS(SevkAdetleri!$D:$D,SevkAdetleri!$A:$A,A99,SevkAdetleri!$E:$E,"EKİM")</f>
        <v>0</v>
      </c>
      <c r="Q99" s="133">
        <f>SUMIFS(SevkAdetleri!$D:$D,SevkAdetleri!$A:$A,A99,SevkAdetleri!$E:$E,"KASIM")</f>
        <v>0</v>
      </c>
      <c r="R99" s="133">
        <f>SUMIFS(SevkAdetleri!$D:$D,SevkAdetleri!$A:$A,A99,SevkAdetleri!$E:$E,"ARALIK")</f>
        <v>0</v>
      </c>
    </row>
    <row r="100" spans="1:18">
      <c r="A100" s="132" t="s">
        <v>161</v>
      </c>
      <c r="B100" s="133" t="str">
        <f>VLOOKUP(Tablo810[[#This Row],[ ÜRÜN KODU]],YMKODLARI!$A$1:$H$376,2,0)</f>
        <v>DAMAK EMZİK TIPA</v>
      </c>
      <c r="C100" s="133">
        <f>SUMIF(Tablo8[[ ÜRÜN KODU]],Tablo810[[#This Row],[ ÜRÜN KODU]],Tablo8[SEVK ADEDİ])-Tablo810[[#This Row],[GERİ İADE ÜRÜN]]</f>
        <v>29969</v>
      </c>
      <c r="D100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31784</v>
      </c>
      <c r="E100" s="133"/>
      <c r="F100" s="133">
        <f t="shared" si="1"/>
        <v>1815</v>
      </c>
      <c r="G100" s="133">
        <f>SUMIFS(SevkAdetleri!$D:$D,SevkAdetleri!$A:$A,A100,SevkAdetleri!$E:$E,"OCAK")</f>
        <v>0</v>
      </c>
      <c r="H100" s="133">
        <f>SUMIFS(SevkAdetleri!$D:$D,SevkAdetleri!$A:$A,A100,SevkAdetleri!$E:$E,"ŞUBAT")</f>
        <v>11030</v>
      </c>
      <c r="I100" s="133">
        <f>SUMIFS(SevkAdetleri!$D:$D,SevkAdetleri!$A:$A,A100,SevkAdetleri!$E:$E,"MART")</f>
        <v>0</v>
      </c>
      <c r="J100" s="133">
        <f>SUMIFS(SevkAdetleri!$D:$D,SevkAdetleri!$A:$A,A100,SevkAdetleri!$E:$E,"NİSAN")</f>
        <v>18939</v>
      </c>
      <c r="K100" s="133">
        <f>SUMIFS(SevkAdetleri!$D:$D,SevkAdetleri!$A:$A,A100,SevkAdetleri!$E:$E,"MAYIS")</f>
        <v>0</v>
      </c>
      <c r="L100" s="133">
        <f>SUMIFS(SevkAdetleri!$D:$D,SevkAdetleri!$A:$A,A100,SevkAdetleri!$E:$E,"HAZIRAN")</f>
        <v>0</v>
      </c>
      <c r="M100" s="133">
        <f>SUMIFS(SevkAdetleri!$D:$D,SevkAdetleri!$A:$A,A100,SevkAdetleri!$E:$E,"TEMMUZ")</f>
        <v>0</v>
      </c>
      <c r="N100" s="133">
        <f>SUMIFS(SevkAdetleri!$D:$D,SevkAdetleri!$A:$A,A100,SevkAdetleri!$E:$E,"AĞUSTOS")</f>
        <v>0</v>
      </c>
      <c r="O100" s="133">
        <f>SUMIFS(SevkAdetleri!$D:$D,SevkAdetleri!$A:$A,A100,SevkAdetleri!$E:$E,"EYLÜL")</f>
        <v>0</v>
      </c>
      <c r="P100" s="133">
        <f>SUMIFS(SevkAdetleri!$D:$D,SevkAdetleri!$A:$A,A100,SevkAdetleri!$E:$E,"EKİM")</f>
        <v>0</v>
      </c>
      <c r="Q100" s="133">
        <f>SUMIFS(SevkAdetleri!$D:$D,SevkAdetleri!$A:$A,A100,SevkAdetleri!$E:$E,"KASIM")</f>
        <v>0</v>
      </c>
      <c r="R100" s="133">
        <f>SUMIFS(SevkAdetleri!$D:$D,SevkAdetleri!$A:$A,A100,SevkAdetleri!$E:$E,"ARALIK")</f>
        <v>0</v>
      </c>
    </row>
    <row r="101" spans="1:18">
      <c r="A101" s="132" t="s">
        <v>221</v>
      </c>
      <c r="B101" s="133" t="str">
        <f>VLOOKUP(Tablo810[[#This Row],[ ÜRÜN KODU]],YMKODLARI!$A$1:$H$376,2,0)</f>
        <v>DAMAK EMZİK TIPA</v>
      </c>
      <c r="C101" s="133">
        <f>SUMIF(Tablo8[[ ÜRÜN KODU]],Tablo810[[#This Row],[ ÜRÜN KODU]],Tablo8[SEVK ADEDİ])-Tablo810[[#This Row],[GERİ İADE ÜRÜN]]</f>
        <v>54183</v>
      </c>
      <c r="D101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59688</v>
      </c>
      <c r="E101" s="133"/>
      <c r="F101" s="133">
        <f t="shared" si="1"/>
        <v>5505</v>
      </c>
      <c r="G101" s="134">
        <f>SUMIFS(SevkAdetleri!$D:$D,SevkAdetleri!$A:$A,A101,SevkAdetleri!$E:$E,"OCAK")</f>
        <v>0</v>
      </c>
      <c r="H101" s="133">
        <f>SUMIFS(SevkAdetleri!$D:$D,SevkAdetleri!$A:$A,A101,SevkAdetleri!$E:$E,"ŞUBAT")</f>
        <v>0</v>
      </c>
      <c r="I101" s="133">
        <f>SUMIFS(SevkAdetleri!$D:$D,SevkAdetleri!$A:$A,A101,SevkAdetleri!$E:$E,"MART")</f>
        <v>0</v>
      </c>
      <c r="J101" s="133">
        <f>SUMIFS(SevkAdetleri!$D:$D,SevkAdetleri!$A:$A,A101,SevkAdetleri!$E:$E,"NİSAN")</f>
        <v>25600</v>
      </c>
      <c r="K101" s="133">
        <f>SUMIFS(SevkAdetleri!$D:$D,SevkAdetleri!$A:$A,A101,SevkAdetleri!$E:$E,"MAYIS")</f>
        <v>28583</v>
      </c>
      <c r="L101" s="133">
        <f>SUMIFS(SevkAdetleri!$D:$D,SevkAdetleri!$A:$A,A101,SevkAdetleri!$E:$E,"HAZIRAN")</f>
        <v>0</v>
      </c>
      <c r="M101" s="133">
        <f>SUMIFS(SevkAdetleri!$D:$D,SevkAdetleri!$A:$A,A101,SevkAdetleri!$E:$E,"TEMMUZ")</f>
        <v>0</v>
      </c>
      <c r="N101" s="133">
        <f>SUMIFS(SevkAdetleri!$D:$D,SevkAdetleri!$A:$A,A101,SevkAdetleri!$E:$E,"AĞUSTOS")</f>
        <v>0</v>
      </c>
      <c r="O101" s="133">
        <f>SUMIFS(SevkAdetleri!$D:$D,SevkAdetleri!$A:$A,A101,SevkAdetleri!$E:$E,"EYLÜL")</f>
        <v>0</v>
      </c>
      <c r="P101" s="133">
        <f>SUMIFS(SevkAdetleri!$D:$D,SevkAdetleri!$A:$A,A101,SevkAdetleri!$E:$E,"EKİM")</f>
        <v>0</v>
      </c>
      <c r="Q101" s="133">
        <f>SUMIFS(SevkAdetleri!$D:$D,SevkAdetleri!$A:$A,A101,SevkAdetleri!$E:$E,"KASIM")</f>
        <v>0</v>
      </c>
      <c r="R101" s="133">
        <f>SUMIFS(SevkAdetleri!$D:$D,SevkAdetleri!$A:$A,A101,SevkAdetleri!$E:$E,"ARALIK")</f>
        <v>0</v>
      </c>
    </row>
    <row r="102" spans="1:18">
      <c r="A102" s="132" t="s">
        <v>174</v>
      </c>
      <c r="B102" s="133" t="str">
        <f>VLOOKUP(Tablo810[[#This Row],[ ÜRÜN KODU]],YMKODLARI!$A$1:$H$376,2,0)</f>
        <v>UYKU EMZİK TIPA</v>
      </c>
      <c r="C102" s="133">
        <f>SUMIF(Tablo8[[ ÜRÜN KODU]],Tablo810[[#This Row],[ ÜRÜN KODU]],Tablo8[SEVK ADEDİ])-Tablo810[[#This Row],[GERİ İADE ÜRÜN]]</f>
        <v>21547</v>
      </c>
      <c r="D102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24760</v>
      </c>
      <c r="E102" s="133"/>
      <c r="F102" s="133">
        <f t="shared" si="1"/>
        <v>3213</v>
      </c>
      <c r="G102" s="133">
        <f>SUMIFS(SevkAdetleri!$D:$D,SevkAdetleri!$A:$A,A102,SevkAdetleri!$E:$E,"OCAK")</f>
        <v>0</v>
      </c>
      <c r="H102" s="133">
        <f>SUMIFS(SevkAdetleri!$D:$D,SevkAdetleri!$A:$A,A102,SevkAdetleri!$E:$E,"ŞUBAT")</f>
        <v>0</v>
      </c>
      <c r="I102" s="133">
        <f>SUMIFS(SevkAdetleri!$D:$D,SevkAdetleri!$A:$A,A102,SevkAdetleri!$E:$E,"MART")</f>
        <v>0</v>
      </c>
      <c r="J102" s="133">
        <f>SUMIFS(SevkAdetleri!$D:$D,SevkAdetleri!$A:$A,A102,SevkAdetleri!$E:$E,"NİSAN")</f>
        <v>0</v>
      </c>
      <c r="K102" s="133">
        <f>SUMIFS(SevkAdetleri!$D:$D,SevkAdetleri!$A:$A,A102,SevkAdetleri!$E:$E,"MAYIS")</f>
        <v>10362</v>
      </c>
      <c r="L102" s="133">
        <f>SUMIFS(SevkAdetleri!$D:$D,SevkAdetleri!$A:$A,A102,SevkAdetleri!$E:$E,"HAZIRAN")</f>
        <v>0</v>
      </c>
      <c r="M102" s="133">
        <f>SUMIFS(SevkAdetleri!$D:$D,SevkAdetleri!$A:$A,A102,SevkAdetleri!$E:$E,"TEMMUZ")</f>
        <v>0</v>
      </c>
      <c r="N102" s="133">
        <f>SUMIFS(SevkAdetleri!$D:$D,SevkAdetleri!$A:$A,A102,SevkAdetleri!$E:$E,"AĞUSTOS")</f>
        <v>11185</v>
      </c>
      <c r="O102" s="133">
        <f>SUMIFS(SevkAdetleri!$D:$D,SevkAdetleri!$A:$A,A102,SevkAdetleri!$E:$E,"EYLÜL")</f>
        <v>0</v>
      </c>
      <c r="P102" s="133">
        <f>SUMIFS(SevkAdetleri!$D:$D,SevkAdetleri!$A:$A,A102,SevkAdetleri!$E:$E,"EKİM")</f>
        <v>0</v>
      </c>
      <c r="Q102" s="133">
        <f>SUMIFS(SevkAdetleri!$D:$D,SevkAdetleri!$A:$A,A102,SevkAdetleri!$E:$E,"KASIM")</f>
        <v>0</v>
      </c>
      <c r="R102" s="133">
        <f>SUMIFS(SevkAdetleri!$D:$D,SevkAdetleri!$A:$A,A102,SevkAdetleri!$E:$E,"ARALIK")</f>
        <v>0</v>
      </c>
    </row>
    <row r="103" spans="1:18">
      <c r="A103" s="132" t="s">
        <v>175</v>
      </c>
      <c r="B103" s="133" t="str">
        <f>VLOOKUP(Tablo810[[#This Row],[ ÜRÜN KODU]],YMKODLARI!$A$1:$H$376,2,0)</f>
        <v>UYKU EMZİK TIPA</v>
      </c>
      <c r="C103" s="133">
        <f>SUMIF(Tablo8[[ ÜRÜN KODU]],Tablo810[[#This Row],[ ÜRÜN KODU]],Tablo8[SEVK ADEDİ])-Tablo810[[#This Row],[GERİ İADE ÜRÜN]]</f>
        <v>21615</v>
      </c>
      <c r="D103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27568</v>
      </c>
      <c r="E103" s="133"/>
      <c r="F103" s="133">
        <f t="shared" si="1"/>
        <v>5953</v>
      </c>
      <c r="G103" s="133">
        <f>SUMIFS(SevkAdetleri!$D:$D,SevkAdetleri!$A:$A,A103,SevkAdetleri!$E:$E,"OCAK")</f>
        <v>0</v>
      </c>
      <c r="H103" s="133">
        <f>SUMIFS(SevkAdetleri!$D:$D,SevkAdetleri!$A:$A,A103,SevkAdetleri!$E:$E,"ŞUBAT")</f>
        <v>0</v>
      </c>
      <c r="I103" s="133">
        <f>SUMIFS(SevkAdetleri!$D:$D,SevkAdetleri!$A:$A,A103,SevkAdetleri!$E:$E,"MART")</f>
        <v>0</v>
      </c>
      <c r="J103" s="133">
        <f>SUMIFS(SevkAdetleri!$D:$D,SevkAdetleri!$A:$A,A103,SevkAdetleri!$E:$E,"NİSAN")</f>
        <v>0</v>
      </c>
      <c r="K103" s="133">
        <f>SUMIFS(SevkAdetleri!$D:$D,SevkAdetleri!$A:$A,A103,SevkAdetleri!$E:$E,"MAYIS")</f>
        <v>10335</v>
      </c>
      <c r="L103" s="133">
        <f>SUMIFS(SevkAdetleri!$D:$D,SevkAdetleri!$A:$A,A103,SevkAdetleri!$E:$E,"HAZIRAN")</f>
        <v>0</v>
      </c>
      <c r="M103" s="133">
        <f>SUMIFS(SevkAdetleri!$D:$D,SevkAdetleri!$A:$A,A103,SevkAdetleri!$E:$E,"TEMMUZ")</f>
        <v>0</v>
      </c>
      <c r="N103" s="133">
        <f>SUMIFS(SevkAdetleri!$D:$D,SevkAdetleri!$A:$A,A103,SevkAdetleri!$E:$E,"AĞUSTOS")</f>
        <v>11280</v>
      </c>
      <c r="O103" s="133">
        <f>SUMIFS(SevkAdetleri!$D:$D,SevkAdetleri!$A:$A,A103,SevkAdetleri!$E:$E,"EYLÜL")</f>
        <v>0</v>
      </c>
      <c r="P103" s="133">
        <f>SUMIFS(SevkAdetleri!$D:$D,SevkAdetleri!$A:$A,A103,SevkAdetleri!$E:$E,"EKİM")</f>
        <v>0</v>
      </c>
      <c r="Q103" s="133">
        <f>SUMIFS(SevkAdetleri!$D:$D,SevkAdetleri!$A:$A,A103,SevkAdetleri!$E:$E,"KASIM")</f>
        <v>0</v>
      </c>
      <c r="R103" s="133">
        <f>SUMIFS(SevkAdetleri!$D:$D,SevkAdetleri!$A:$A,A103,SevkAdetleri!$E:$E,"ARALIK")</f>
        <v>0</v>
      </c>
    </row>
    <row r="104" spans="1:18">
      <c r="A104" s="132" t="s">
        <v>173</v>
      </c>
      <c r="B104" s="133" t="str">
        <f>VLOOKUP(Tablo810[[#This Row],[ ÜRÜN KODU]],YMKODLARI!$A$1:$H$376,2,0)</f>
        <v>UYKU EMZİK TIPA</v>
      </c>
      <c r="C104" s="133">
        <f>SUMIF(Tablo8[[ ÜRÜN KODU]],Tablo810[[#This Row],[ ÜRÜN KODU]],Tablo8[SEVK ADEDİ])-Tablo810[[#This Row],[GERİ İADE ÜRÜN]]</f>
        <v>21975</v>
      </c>
      <c r="D104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25928</v>
      </c>
      <c r="E104" s="133"/>
      <c r="F104" s="133">
        <f t="shared" si="1"/>
        <v>3953</v>
      </c>
      <c r="G104" s="133">
        <f>SUMIFS(SevkAdetleri!$D:$D,SevkAdetleri!$A:$A,A104,SevkAdetleri!$E:$E,"OCAK")</f>
        <v>0</v>
      </c>
      <c r="H104" s="133">
        <f>SUMIFS(SevkAdetleri!$D:$D,SevkAdetleri!$A:$A,A104,SevkAdetleri!$E:$E,"ŞUBAT")</f>
        <v>0</v>
      </c>
      <c r="I104" s="133">
        <f>SUMIFS(SevkAdetleri!$D:$D,SevkAdetleri!$A:$A,A104,SevkAdetleri!$E:$E,"MART")</f>
        <v>0</v>
      </c>
      <c r="J104" s="133">
        <f>SUMIFS(SevkAdetleri!$D:$D,SevkAdetleri!$A:$A,A104,SevkAdetleri!$E:$E,"NİSAN")</f>
        <v>0</v>
      </c>
      <c r="K104" s="133">
        <f>SUMIFS(SevkAdetleri!$D:$D,SevkAdetleri!$A:$A,A104,SevkAdetleri!$E:$E,"MAYIS")</f>
        <v>10500</v>
      </c>
      <c r="L104" s="133">
        <f>SUMIFS(SevkAdetleri!$D:$D,SevkAdetleri!$A:$A,A104,SevkAdetleri!$E:$E,"HAZIRAN")</f>
        <v>0</v>
      </c>
      <c r="M104" s="133">
        <f>SUMIFS(SevkAdetleri!$D:$D,SevkAdetleri!$A:$A,A104,SevkAdetleri!$E:$E,"TEMMUZ")</f>
        <v>0</v>
      </c>
      <c r="N104" s="133">
        <f>SUMIFS(SevkAdetleri!$D:$D,SevkAdetleri!$A:$A,A104,SevkAdetleri!$E:$E,"AĞUSTOS")</f>
        <v>11475</v>
      </c>
      <c r="O104" s="133">
        <f>SUMIFS(SevkAdetleri!$D:$D,SevkAdetleri!$A:$A,A104,SevkAdetleri!$E:$E,"EYLÜL")</f>
        <v>0</v>
      </c>
      <c r="P104" s="133">
        <f>SUMIFS(SevkAdetleri!$D:$D,SevkAdetleri!$A:$A,A104,SevkAdetleri!$E:$E,"EKİM")</f>
        <v>0</v>
      </c>
      <c r="Q104" s="133">
        <f>SUMIFS(SevkAdetleri!$D:$D,SevkAdetleri!$A:$A,A104,SevkAdetleri!$E:$E,"KASIM")</f>
        <v>0</v>
      </c>
      <c r="R104" s="133">
        <f>SUMIFS(SevkAdetleri!$D:$D,SevkAdetleri!$A:$A,A104,SevkAdetleri!$E:$E,"ARALIK")</f>
        <v>0</v>
      </c>
    </row>
    <row r="105" spans="1:18">
      <c r="A105" s="132" t="s">
        <v>172</v>
      </c>
      <c r="B105" s="133" t="str">
        <f>VLOOKUP(Tablo810[[#This Row],[ ÜRÜN KODU]],YMKODLARI!$A$1:$H$376,2,0)</f>
        <v>UYKU EMZİK TIPA</v>
      </c>
      <c r="C105" s="133">
        <f>SUMIF(Tablo8[[ ÜRÜN KODU]],Tablo810[[#This Row],[ ÜRÜN KODU]],Tablo8[SEVK ADEDİ])-Tablo810[[#This Row],[GERİ İADE ÜRÜN]]</f>
        <v>14561</v>
      </c>
      <c r="D105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16632</v>
      </c>
      <c r="E105" s="133"/>
      <c r="F105" s="133">
        <f>(D105-C105)+E105</f>
        <v>2071</v>
      </c>
      <c r="G105" s="134">
        <f>SUMIFS(SevkAdetleri!$D:$D,SevkAdetleri!$A:$A,A105,SevkAdetleri!$E:$E,"OCAK")</f>
        <v>0</v>
      </c>
      <c r="H105" s="133">
        <f>SUMIFS(SevkAdetleri!$D:$D,SevkAdetleri!$A:$A,A105,SevkAdetleri!$E:$E,"ŞUBAT")</f>
        <v>0</v>
      </c>
      <c r="I105" s="133">
        <f>SUMIFS(SevkAdetleri!$D:$D,SevkAdetleri!$A:$A,A105,SevkAdetleri!$E:$E,"MART")</f>
        <v>0</v>
      </c>
      <c r="J105" s="133">
        <f>SUMIFS(SevkAdetleri!$D:$D,SevkAdetleri!$A:$A,A105,SevkAdetleri!$E:$E,"NİSAN")</f>
        <v>0</v>
      </c>
      <c r="K105" s="133">
        <f>SUMIFS(SevkAdetleri!$D:$D,SevkAdetleri!$A:$A,A105,SevkAdetleri!$E:$E,"MAYIS")</f>
        <v>10175</v>
      </c>
      <c r="L105" s="133">
        <f>SUMIFS(SevkAdetleri!$D:$D,SevkAdetleri!$A:$A,A105,SevkAdetleri!$E:$E,"HAZIRAN")</f>
        <v>0</v>
      </c>
      <c r="M105" s="133">
        <f>SUMIFS(SevkAdetleri!$D:$D,SevkAdetleri!$A:$A,A105,SevkAdetleri!$E:$E,"TEMMUZ")</f>
        <v>0</v>
      </c>
      <c r="N105" s="133">
        <f>SUMIFS(SevkAdetleri!$D:$D,SevkAdetleri!$A:$A,A105,SevkAdetleri!$E:$E,"AĞUSTOS")</f>
        <v>4386</v>
      </c>
      <c r="O105" s="133">
        <f>SUMIFS(SevkAdetleri!$D:$D,SevkAdetleri!$A:$A,A105,SevkAdetleri!$E:$E,"EYLÜL")</f>
        <v>0</v>
      </c>
      <c r="P105" s="133">
        <f>SUMIFS(SevkAdetleri!$D:$D,SevkAdetleri!$A:$A,A105,SevkAdetleri!$E:$E,"EKİM")</f>
        <v>0</v>
      </c>
      <c r="Q105" s="133">
        <f>SUMIFS(SevkAdetleri!$D:$D,SevkAdetleri!$A:$A,A105,SevkAdetleri!$E:$E,"KASIM")</f>
        <v>0</v>
      </c>
      <c r="R105" s="133">
        <f>SUMIFS(SevkAdetleri!$D:$D,SevkAdetleri!$A:$A,A105,SevkAdetleri!$E:$E,"ARALIK")</f>
        <v>0</v>
      </c>
    </row>
    <row r="106" spans="1:18">
      <c r="A106" s="132" t="s">
        <v>170</v>
      </c>
      <c r="B106" s="133" t="str">
        <f>VLOOKUP(Tablo810[[#This Row],[ ÜRÜN KODU]],YMKODLARI!$A$1:$H$376,2,0)</f>
        <v>UYKU EMZİK TIPA</v>
      </c>
      <c r="C106" s="133">
        <f>SUMIF(Tablo8[[ ÜRÜN KODU]],Tablo810[[#This Row],[ ÜRÜN KODU]],Tablo8[SEVK ADEDİ])-Tablo810[[#This Row],[GERİ İADE ÜRÜN]]</f>
        <v>15931</v>
      </c>
      <c r="D106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19920</v>
      </c>
      <c r="E106" s="133"/>
      <c r="F106" s="133">
        <f>(D106-C106)+E106</f>
        <v>3989</v>
      </c>
      <c r="G106" s="134">
        <f>SUMIFS(SevkAdetleri!$D:$D,SevkAdetleri!$A:$A,A106,SevkAdetleri!$E:$E,"OCAK")</f>
        <v>0</v>
      </c>
      <c r="H106" s="133">
        <f>SUMIFS(SevkAdetleri!$D:$D,SevkAdetleri!$A:$A,A106,SevkAdetleri!$E:$E,"ŞUBAT")</f>
        <v>0</v>
      </c>
      <c r="I106" s="133">
        <f>SUMIFS(SevkAdetleri!$D:$D,SevkAdetleri!$A:$A,A106,SevkAdetleri!$E:$E,"MART")</f>
        <v>0</v>
      </c>
      <c r="J106" s="133">
        <f>SUMIFS(SevkAdetleri!$D:$D,SevkAdetleri!$A:$A,A106,SevkAdetleri!$E:$E,"NİSAN")</f>
        <v>0</v>
      </c>
      <c r="K106" s="133">
        <f>SUMIFS(SevkAdetleri!$D:$D,SevkAdetleri!$A:$A,A106,SevkAdetleri!$E:$E,"MAYIS")</f>
        <v>10543</v>
      </c>
      <c r="L106" s="133">
        <f>SUMIFS(SevkAdetleri!$D:$D,SevkAdetleri!$A:$A,A106,SevkAdetleri!$E:$E,"HAZIRAN")</f>
        <v>0</v>
      </c>
      <c r="M106" s="133">
        <f>SUMIFS(SevkAdetleri!$D:$D,SevkAdetleri!$A:$A,A106,SevkAdetleri!$E:$E,"TEMMUZ")</f>
        <v>0</v>
      </c>
      <c r="N106" s="133">
        <f>SUMIFS(SevkAdetleri!$D:$D,SevkAdetleri!$A:$A,A106,SevkAdetleri!$E:$E,"AĞUSTOS")</f>
        <v>5388</v>
      </c>
      <c r="O106" s="133">
        <f>SUMIFS(SevkAdetleri!$D:$D,SevkAdetleri!$A:$A,A106,SevkAdetleri!$E:$E,"EYLÜL")</f>
        <v>0</v>
      </c>
      <c r="P106" s="133">
        <f>SUMIFS(SevkAdetleri!$D:$D,SevkAdetleri!$A:$A,A106,SevkAdetleri!$E:$E,"EKİM")</f>
        <v>0</v>
      </c>
      <c r="Q106" s="133">
        <f>SUMIFS(SevkAdetleri!$D:$D,SevkAdetleri!$A:$A,A106,SevkAdetleri!$E:$E,"KASIM")</f>
        <v>0</v>
      </c>
      <c r="R106" s="133">
        <f>SUMIFS(SevkAdetleri!$D:$D,SevkAdetleri!$A:$A,A106,SevkAdetleri!$E:$E,"ARALIK")</f>
        <v>0</v>
      </c>
    </row>
    <row r="107" spans="1:18">
      <c r="A107" s="132" t="s">
        <v>77</v>
      </c>
      <c r="B107" s="133" t="str">
        <f>VLOOKUP(Tablo810[[#This Row],[ ÜRÜN KODU]],YMKODLARI!$A$1:$H$376,2,0)</f>
        <v>MAMA KAŞIĞI TIPA</v>
      </c>
      <c r="C107" s="133">
        <f>SUMIF(Tablo8[[ ÜRÜN KODU]],Tablo810[[#This Row],[ ÜRÜN KODU]],Tablo8[SEVK ADEDİ])-Tablo810[[#This Row],[GERİ İADE ÜRÜN]]</f>
        <v>8598</v>
      </c>
      <c r="D107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8984</v>
      </c>
      <c r="E107" s="133"/>
      <c r="F107" s="133">
        <f t="shared" si="1"/>
        <v>386</v>
      </c>
      <c r="G107" s="133">
        <f>SUMIFS(SevkAdetleri!$D:$D,SevkAdetleri!$A:$A,A107,SevkAdetleri!$E:$E,"OCAK")</f>
        <v>0</v>
      </c>
      <c r="H107" s="133">
        <f>SUMIFS(SevkAdetleri!$D:$D,SevkAdetleri!$A:$A,A107,SevkAdetleri!$E:$E,"ŞUBAT")</f>
        <v>0</v>
      </c>
      <c r="I107" s="133">
        <f>SUMIFS(SevkAdetleri!$D:$D,SevkAdetleri!$A:$A,A107,SevkAdetleri!$E:$E,"MART")</f>
        <v>0</v>
      </c>
      <c r="J107" s="133">
        <f>SUMIFS(SevkAdetleri!$D:$D,SevkAdetleri!$A:$A,A107,SevkAdetleri!$E:$E,"NİSAN")</f>
        <v>0</v>
      </c>
      <c r="K107" s="133">
        <f>SUMIFS(SevkAdetleri!$D:$D,SevkAdetleri!$A:$A,A107,SevkAdetleri!$E:$E,"MAYIS")</f>
        <v>0</v>
      </c>
      <c r="L107" s="133">
        <f>SUMIFS(SevkAdetleri!$D:$D,SevkAdetleri!$A:$A,A107,SevkAdetleri!$E:$E,"HAZIRAN")</f>
        <v>8598</v>
      </c>
      <c r="M107" s="133">
        <f>SUMIFS(SevkAdetleri!$D:$D,SevkAdetleri!$A:$A,A107,SevkAdetleri!$E:$E,"TEMMUZ")</f>
        <v>0</v>
      </c>
      <c r="N107" s="133">
        <f>SUMIFS(SevkAdetleri!$D:$D,SevkAdetleri!$A:$A,A107,SevkAdetleri!$E:$E,"AĞUSTOS")</f>
        <v>0</v>
      </c>
      <c r="O107" s="133">
        <f>SUMIFS(SevkAdetleri!$D:$D,SevkAdetleri!$A:$A,A107,SevkAdetleri!$E:$E,"EYLÜL")</f>
        <v>0</v>
      </c>
      <c r="P107" s="133">
        <f>SUMIFS(SevkAdetleri!$D:$D,SevkAdetleri!$A:$A,A107,SevkAdetleri!$E:$E,"EKİM")</f>
        <v>0</v>
      </c>
      <c r="Q107" s="133">
        <f>SUMIFS(SevkAdetleri!$D:$D,SevkAdetleri!$A:$A,A107,SevkAdetleri!$E:$E,"KASIM")</f>
        <v>0</v>
      </c>
      <c r="R107" s="133">
        <f>SUMIFS(SevkAdetleri!$D:$D,SevkAdetleri!$A:$A,A107,SevkAdetleri!$E:$E,"ARALIK")</f>
        <v>0</v>
      </c>
    </row>
    <row r="108" spans="1:18">
      <c r="A108" s="132" t="s">
        <v>78</v>
      </c>
      <c r="B108" s="133" t="str">
        <f>VLOOKUP(Tablo810[[#This Row],[ ÜRÜN KODU]],YMKODLARI!$A$1:$H$376,2,0)</f>
        <v>MAMA KAŞIĞI TIPA</v>
      </c>
      <c r="C108" s="133">
        <f>SUMIF(Tablo8[[ ÜRÜN KODU]],Tablo810[[#This Row],[ ÜRÜN KODU]],Tablo8[SEVK ADEDİ])-Tablo810[[#This Row],[GERİ İADE ÜRÜN]]</f>
        <v>675</v>
      </c>
      <c r="D108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9272</v>
      </c>
      <c r="E108" s="133"/>
      <c r="F108" s="133">
        <f t="shared" si="1"/>
        <v>8597</v>
      </c>
      <c r="G108" s="133">
        <f>SUMIFS(SevkAdetleri!$D:$D,SevkAdetleri!$A:$A,A108,SevkAdetleri!$E:$E,"OCAK")</f>
        <v>0</v>
      </c>
      <c r="H108" s="133">
        <f>SUMIFS(SevkAdetleri!$D:$D,SevkAdetleri!$A:$A,A108,SevkAdetleri!$E:$E,"ŞUBAT")</f>
        <v>0</v>
      </c>
      <c r="I108" s="133">
        <f>SUMIFS(SevkAdetleri!$D:$D,SevkAdetleri!$A:$A,A108,SevkAdetleri!$E:$E,"MART")</f>
        <v>0</v>
      </c>
      <c r="J108" s="133">
        <f>SUMIFS(SevkAdetleri!$D:$D,SevkAdetleri!$A:$A,A108,SevkAdetleri!$E:$E,"NİSAN")</f>
        <v>0</v>
      </c>
      <c r="K108" s="133">
        <f>SUMIFS(SevkAdetleri!$D:$D,SevkAdetleri!$A:$A,A108,SevkAdetleri!$E:$E,"MAYIS")</f>
        <v>0</v>
      </c>
      <c r="L108" s="133">
        <f>SUMIFS(SevkAdetleri!$D:$D,SevkAdetleri!$A:$A,A108,SevkAdetleri!$E:$E,"HAZIRAN")</f>
        <v>675</v>
      </c>
      <c r="M108" s="133">
        <f>SUMIFS(SevkAdetleri!$D:$D,SevkAdetleri!$A:$A,A108,SevkAdetleri!$E:$E,"TEMMUZ")</f>
        <v>0</v>
      </c>
      <c r="N108" s="133">
        <f>SUMIFS(SevkAdetleri!$D:$D,SevkAdetleri!$A:$A,A108,SevkAdetleri!$E:$E,"AĞUSTOS")</f>
        <v>0</v>
      </c>
      <c r="O108" s="133">
        <f>SUMIFS(SevkAdetleri!$D:$D,SevkAdetleri!$A:$A,A108,SevkAdetleri!$E:$E,"EYLÜL")</f>
        <v>0</v>
      </c>
      <c r="P108" s="133">
        <f>SUMIFS(SevkAdetleri!$D:$D,SevkAdetleri!$A:$A,A108,SevkAdetleri!$E:$E,"EKİM")</f>
        <v>0</v>
      </c>
      <c r="Q108" s="133">
        <f>SUMIFS(SevkAdetleri!$D:$D,SevkAdetleri!$A:$A,A108,SevkAdetleri!$E:$E,"KASIM")</f>
        <v>0</v>
      </c>
      <c r="R108" s="133">
        <f>SUMIFS(SevkAdetleri!$D:$D,SevkAdetleri!$A:$A,A108,SevkAdetleri!$E:$E,"ARALIK")</f>
        <v>0</v>
      </c>
    </row>
    <row r="109" spans="1:18">
      <c r="A109" s="132" t="s">
        <v>76</v>
      </c>
      <c r="B109" s="133" t="str">
        <f>VLOOKUP(Tablo810[[#This Row],[ ÜRÜN KODU]],YMKODLARI!$A$1:$H$376,2,0)</f>
        <v>MAMA KAŞIĞI TIPA</v>
      </c>
      <c r="C109" s="133">
        <f>SUMIF(Tablo8[[ ÜRÜN KODU]],Tablo810[[#This Row],[ ÜRÜN KODU]],Tablo8[SEVK ADEDİ])-Tablo810[[#This Row],[GERİ İADE ÜRÜN]]</f>
        <v>10000</v>
      </c>
      <c r="D109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12240</v>
      </c>
      <c r="E109" s="133"/>
      <c r="F109" s="133">
        <f t="shared" si="1"/>
        <v>2240</v>
      </c>
      <c r="G109" s="133">
        <f>SUMIFS(SevkAdetleri!$D:$D,SevkAdetleri!$A:$A,A109,SevkAdetleri!$E:$E,"OCAK")</f>
        <v>0</v>
      </c>
      <c r="H109" s="133">
        <f>SUMIFS(SevkAdetleri!$D:$D,SevkAdetleri!$A:$A,A109,SevkAdetleri!$E:$E,"ŞUBAT")</f>
        <v>0</v>
      </c>
      <c r="I109" s="133">
        <f>SUMIFS(SevkAdetleri!$D:$D,SevkAdetleri!$A:$A,A109,SevkAdetleri!$E:$E,"MART")</f>
        <v>0</v>
      </c>
      <c r="J109" s="133">
        <f>SUMIFS(SevkAdetleri!$D:$D,SevkAdetleri!$A:$A,A109,SevkAdetleri!$E:$E,"NİSAN")</f>
        <v>0</v>
      </c>
      <c r="K109" s="133">
        <f>SUMIFS(SevkAdetleri!$D:$D,SevkAdetleri!$A:$A,A109,SevkAdetleri!$E:$E,"MAYIS")</f>
        <v>0</v>
      </c>
      <c r="L109" s="133">
        <f>SUMIFS(SevkAdetleri!$D:$D,SevkAdetleri!$A:$A,A109,SevkAdetleri!$E:$E,"HAZIRAN")</f>
        <v>10000</v>
      </c>
      <c r="M109" s="133">
        <f>SUMIFS(SevkAdetleri!$D:$D,SevkAdetleri!$A:$A,A109,SevkAdetleri!$E:$E,"TEMMUZ")</f>
        <v>0</v>
      </c>
      <c r="N109" s="133">
        <f>SUMIFS(SevkAdetleri!$D:$D,SevkAdetleri!$A:$A,A109,SevkAdetleri!$E:$E,"AĞUSTOS")</f>
        <v>0</v>
      </c>
      <c r="O109" s="133">
        <f>SUMIFS(SevkAdetleri!$D:$D,SevkAdetleri!$A:$A,A109,SevkAdetleri!$E:$E,"EYLÜL")</f>
        <v>0</v>
      </c>
      <c r="P109" s="133">
        <f>SUMIFS(SevkAdetleri!$D:$D,SevkAdetleri!$A:$A,A109,SevkAdetleri!$E:$E,"EKİM")</f>
        <v>0</v>
      </c>
      <c r="Q109" s="133">
        <f>SUMIFS(SevkAdetleri!$D:$D,SevkAdetleri!$A:$A,A109,SevkAdetleri!$E:$E,"KASIM")</f>
        <v>0</v>
      </c>
      <c r="R109" s="133">
        <f>SUMIFS(SevkAdetleri!$D:$D,SevkAdetleri!$A:$A,A109,SevkAdetleri!$E:$E,"ARALIK")</f>
        <v>0</v>
      </c>
    </row>
    <row r="110" spans="1:18">
      <c r="A110" s="132" t="s">
        <v>75</v>
      </c>
      <c r="B110" s="133" t="str">
        <f>VLOOKUP(Tablo810[[#This Row],[ ÜRÜN KODU]],YMKODLARI!$A$1:$H$376,2,0)</f>
        <v>MAMA KAŞIĞI TIPA</v>
      </c>
      <c r="C110" s="133">
        <f>SUMIF(Tablo8[[ ÜRÜN KODU]],Tablo810[[#This Row],[ ÜRÜN KODU]],Tablo8[SEVK ADEDİ])-Tablo810[[#This Row],[GERİ İADE ÜRÜN]]</f>
        <v>24455</v>
      </c>
      <c r="D110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27168</v>
      </c>
      <c r="E110" s="133"/>
      <c r="F110" s="133">
        <f>(D110-C110)+E110</f>
        <v>2713</v>
      </c>
      <c r="G110" s="134">
        <f>SUMIFS(SevkAdetleri!$D:$D,SevkAdetleri!$A:$A,A110,SevkAdetleri!$E:$E,"OCAK")</f>
        <v>0</v>
      </c>
      <c r="H110" s="133">
        <f>SUMIFS(SevkAdetleri!$D:$D,SevkAdetleri!$A:$A,A110,SevkAdetleri!$E:$E,"ŞUBAT")</f>
        <v>0</v>
      </c>
      <c r="I110" s="133">
        <f>SUMIFS(SevkAdetleri!$D:$D,SevkAdetleri!$A:$A,A110,SevkAdetleri!$E:$E,"MART")</f>
        <v>0</v>
      </c>
      <c r="J110" s="133">
        <f>SUMIFS(SevkAdetleri!$D:$D,SevkAdetleri!$A:$A,A110,SevkAdetleri!$E:$E,"NİSAN")</f>
        <v>0</v>
      </c>
      <c r="K110" s="133">
        <f>SUMIFS(SevkAdetleri!$D:$D,SevkAdetleri!$A:$A,A110,SevkAdetleri!$E:$E,"MAYIS")</f>
        <v>10110</v>
      </c>
      <c r="L110" s="133">
        <f>SUMIFS(SevkAdetleri!$D:$D,SevkAdetleri!$A:$A,A110,SevkAdetleri!$E:$E,"HAZIRAN")</f>
        <v>0</v>
      </c>
      <c r="M110" s="133">
        <f>SUMIFS(SevkAdetleri!$D:$D,SevkAdetleri!$A:$A,A110,SevkAdetleri!$E:$E,"TEMMUZ")</f>
        <v>14345</v>
      </c>
      <c r="N110" s="133">
        <f>SUMIFS(SevkAdetleri!$D:$D,SevkAdetleri!$A:$A,A110,SevkAdetleri!$E:$E,"AĞUSTOS")</f>
        <v>0</v>
      </c>
      <c r="O110" s="133">
        <f>SUMIFS(SevkAdetleri!$D:$D,SevkAdetleri!$A:$A,A110,SevkAdetleri!$E:$E,"EYLÜL")</f>
        <v>0</v>
      </c>
      <c r="P110" s="133">
        <f>SUMIFS(SevkAdetleri!$D:$D,SevkAdetleri!$A:$A,A110,SevkAdetleri!$E:$E,"EKİM")</f>
        <v>0</v>
      </c>
      <c r="Q110" s="133">
        <f>SUMIFS(SevkAdetleri!$D:$D,SevkAdetleri!$A:$A,A110,SevkAdetleri!$E:$E,"KASIM")</f>
        <v>0</v>
      </c>
      <c r="R110" s="133">
        <f>SUMIFS(SevkAdetleri!$D:$D,SevkAdetleri!$A:$A,A110,SevkAdetleri!$E:$E,"ARALIK")</f>
        <v>0</v>
      </c>
    </row>
    <row r="111" spans="1:18">
      <c r="A111" s="132" t="s">
        <v>55</v>
      </c>
      <c r="B111" s="133" t="str">
        <f>VLOOKUP(Tablo810[[#This Row],[ ÜRÜN KODU]],YMKODLARI!$A$1:$H$376,2,0)</f>
        <v>BİBERON SEYAHAT TIPASI</v>
      </c>
      <c r="C111" s="133">
        <f>SUMIF(Tablo8[[ ÜRÜN KODU]],Tablo810[[#This Row],[ ÜRÜN KODU]],Tablo8[SEVK ADEDİ])-Tablo810[[#This Row],[GERİ İADE ÜRÜN]]</f>
        <v>123826</v>
      </c>
      <c r="D111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176688</v>
      </c>
      <c r="E111" s="133"/>
      <c r="F111" s="133">
        <f t="shared" si="1"/>
        <v>52862</v>
      </c>
      <c r="G111" s="133">
        <f>SUMIFS(SevkAdetleri!$D:$D,SevkAdetleri!$A:$A,A111,SevkAdetleri!$E:$E,"OCAK")</f>
        <v>45160</v>
      </c>
      <c r="H111" s="133">
        <f>SUMIFS(SevkAdetleri!$D:$D,SevkAdetleri!$A:$A,A111,SevkAdetleri!$E:$E,"ŞUBAT")</f>
        <v>0</v>
      </c>
      <c r="I111" s="133">
        <f>SUMIFS(SevkAdetleri!$D:$D,SevkAdetleri!$A:$A,A111,SevkAdetleri!$E:$E,"MART")</f>
        <v>0</v>
      </c>
      <c r="J111" s="133">
        <f>SUMIFS(SevkAdetleri!$D:$D,SevkAdetleri!$A:$A,A111,SevkAdetleri!$E:$E,"NİSAN")</f>
        <v>0</v>
      </c>
      <c r="K111" s="133">
        <f>SUMIFS(SevkAdetleri!$D:$D,SevkAdetleri!$A:$A,A111,SevkAdetleri!$E:$E,"MAYIS")</f>
        <v>0</v>
      </c>
      <c r="L111" s="133">
        <f>SUMIFS(SevkAdetleri!$D:$D,SevkAdetleri!$A:$A,A111,SevkAdetleri!$E:$E,"HAZIRAN")</f>
        <v>16667</v>
      </c>
      <c r="M111" s="133">
        <f>SUMIFS(SevkAdetleri!$D:$D,SevkAdetleri!$A:$A,A111,SevkAdetleri!$E:$E,"TEMMUZ")</f>
        <v>18534</v>
      </c>
      <c r="N111" s="133">
        <f>SUMIFS(SevkAdetleri!$D:$D,SevkAdetleri!$A:$A,A111,SevkAdetleri!$E:$E,"AĞUSTOS")</f>
        <v>22965</v>
      </c>
      <c r="O111" s="133">
        <f>SUMIFS(SevkAdetleri!$D:$D,SevkAdetleri!$A:$A,A111,SevkAdetleri!$E:$E,"EYLÜL")</f>
        <v>20500</v>
      </c>
      <c r="P111" s="133">
        <f>SUMIFS(SevkAdetleri!$D:$D,SevkAdetleri!$A:$A,A111,SevkAdetleri!$E:$E,"EKİM")</f>
        <v>0</v>
      </c>
      <c r="Q111" s="133">
        <f>SUMIFS(SevkAdetleri!$D:$D,SevkAdetleri!$A:$A,A111,SevkAdetleri!$E:$E,"KASIM")</f>
        <v>0</v>
      </c>
      <c r="R111" s="133">
        <f>SUMIFS(SevkAdetleri!$D:$D,SevkAdetleri!$A:$A,A111,SevkAdetleri!$E:$E,"ARALIK")</f>
        <v>0</v>
      </c>
    </row>
    <row r="112" spans="1:18">
      <c r="A112" s="132" t="s">
        <v>308</v>
      </c>
      <c r="B112" s="133" t="str">
        <f>VLOOKUP(Tablo810[[#This Row],[ ÜRÜN KODU]],YMKODLARI!$A$1:$H$376,2,0)</f>
        <v>BURUN POMPASI TIPASI</v>
      </c>
      <c r="C112" s="133">
        <f>SUMIF(Tablo8[[ ÜRÜN KODU]],Tablo810[[#This Row],[ ÜRÜN KODU]],Tablo8[SEVK ADEDİ])-Tablo810[[#This Row],[GERİ İADE ÜRÜN]]</f>
        <v>0</v>
      </c>
      <c r="D112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112" s="133"/>
      <c r="F112" s="133">
        <f t="shared" si="1"/>
        <v>0</v>
      </c>
      <c r="G112" s="133">
        <f>SUMIFS(SevkAdetleri!$D:$D,SevkAdetleri!$A:$A,A112,SevkAdetleri!$E:$E,"OCAK")</f>
        <v>0</v>
      </c>
      <c r="H112" s="133">
        <f>SUMIFS(SevkAdetleri!$D:$D,SevkAdetleri!$A:$A,A112,SevkAdetleri!$E:$E,"ŞUBAT")</f>
        <v>0</v>
      </c>
      <c r="I112" s="133">
        <f>SUMIFS(SevkAdetleri!$D:$D,SevkAdetleri!$A:$A,A112,SevkAdetleri!$E:$E,"MART")</f>
        <v>0</v>
      </c>
      <c r="J112" s="133">
        <f>SUMIFS(SevkAdetleri!$D:$D,SevkAdetleri!$A:$A,A112,SevkAdetleri!$E:$E,"NİSAN")</f>
        <v>0</v>
      </c>
      <c r="K112" s="133">
        <f>SUMIFS(SevkAdetleri!$D:$D,SevkAdetleri!$A:$A,A112,SevkAdetleri!$E:$E,"MAYIS")</f>
        <v>0</v>
      </c>
      <c r="L112" s="133">
        <f>SUMIFS(SevkAdetleri!$D:$D,SevkAdetleri!$A:$A,A112,SevkAdetleri!$E:$E,"HAZIRAN")</f>
        <v>0</v>
      </c>
      <c r="M112" s="133">
        <f>SUMIFS(SevkAdetleri!$D:$D,SevkAdetleri!$A:$A,A112,SevkAdetleri!$E:$E,"TEMMUZ")</f>
        <v>0</v>
      </c>
      <c r="N112" s="133">
        <f>SUMIFS(SevkAdetleri!$D:$D,SevkAdetleri!$A:$A,A112,SevkAdetleri!$E:$E,"AĞUSTOS")</f>
        <v>0</v>
      </c>
      <c r="O112" s="133">
        <f>SUMIFS(SevkAdetleri!$D:$D,SevkAdetleri!$A:$A,A112,SevkAdetleri!$E:$E,"EYLÜL")</f>
        <v>0</v>
      </c>
      <c r="P112" s="133">
        <f>SUMIFS(SevkAdetleri!$D:$D,SevkAdetleri!$A:$A,A112,SevkAdetleri!$E:$E,"EKİM")</f>
        <v>0</v>
      </c>
      <c r="Q112" s="133">
        <f>SUMIFS(SevkAdetleri!$D:$D,SevkAdetleri!$A:$A,A112,SevkAdetleri!$E:$E,"KASIM")</f>
        <v>0</v>
      </c>
      <c r="R112" s="133">
        <f>SUMIFS(SevkAdetleri!$D:$D,SevkAdetleri!$A:$A,A112,SevkAdetleri!$E:$E,"ARALIK")</f>
        <v>0</v>
      </c>
    </row>
    <row r="113" spans="1:18">
      <c r="A113" s="132" t="s">
        <v>176</v>
      </c>
      <c r="B113" s="133" t="str">
        <f>VLOOKUP(Tablo810[[#This Row],[ ÜRÜN KODU]],YMKODLARI!$A$1:$H$376,2,0)</f>
        <v xml:space="preserve">BİBERON KAPAĞI </v>
      </c>
      <c r="C113" s="133">
        <f>SUMIF(Tablo8[[ ÜRÜN KODU]],Tablo810[[#This Row],[ ÜRÜN KODU]],Tablo8[SEVK ADEDİ])-Tablo810[[#This Row],[GERİ İADE ÜRÜN]]</f>
        <v>135982</v>
      </c>
      <c r="D113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142968</v>
      </c>
      <c r="E113" s="133"/>
      <c r="F113" s="133">
        <f t="shared" si="1"/>
        <v>6986</v>
      </c>
      <c r="G113" s="133">
        <f>SUMIFS(SevkAdetleri!$D:$D,SevkAdetleri!$A:$A,A113,SevkAdetleri!$E:$E,"OCAK")</f>
        <v>2000</v>
      </c>
      <c r="H113" s="133">
        <f>SUMIFS(SevkAdetleri!$D:$D,SevkAdetleri!$A:$A,A113,SevkAdetleri!$E:$E,"ŞUBAT")</f>
        <v>28652</v>
      </c>
      <c r="I113" s="133">
        <f>SUMIFS(SevkAdetleri!$D:$D,SevkAdetleri!$A:$A,A113,SevkAdetleri!$E:$E,"MART")</f>
        <v>0</v>
      </c>
      <c r="J113" s="133">
        <f>SUMIFS(SevkAdetleri!$D:$D,SevkAdetleri!$A:$A,A113,SevkAdetleri!$E:$E,"NİSAN")</f>
        <v>0</v>
      </c>
      <c r="K113" s="133">
        <f>SUMIFS(SevkAdetleri!$D:$D,SevkAdetleri!$A:$A,A113,SevkAdetleri!$E:$E,"MAYIS")</f>
        <v>5500</v>
      </c>
      <c r="L113" s="133">
        <f>SUMIFS(SevkAdetleri!$D:$D,SevkAdetleri!$A:$A,A113,SevkAdetleri!$E:$E,"HAZIRAN")</f>
        <v>18500</v>
      </c>
      <c r="M113" s="133">
        <f>SUMIFS(SevkAdetleri!$D:$D,SevkAdetleri!$A:$A,A113,SevkAdetleri!$E:$E,"TEMMUZ")</f>
        <v>15680</v>
      </c>
      <c r="N113" s="133">
        <f>SUMIFS(SevkAdetleri!$D:$D,SevkAdetleri!$A:$A,A113,SevkAdetleri!$E:$E,"AĞUSTOS")</f>
        <v>44150</v>
      </c>
      <c r="O113" s="133">
        <f>SUMIFS(SevkAdetleri!$D:$D,SevkAdetleri!$A:$A,A113,SevkAdetleri!$E:$E,"EYLÜL")</f>
        <v>0</v>
      </c>
      <c r="P113" s="133">
        <f>SUMIFS(SevkAdetleri!$D:$D,SevkAdetleri!$A:$A,A113,SevkAdetleri!$E:$E,"EKİM")</f>
        <v>21500</v>
      </c>
      <c r="Q113" s="133">
        <f>SUMIFS(SevkAdetleri!$D:$D,SevkAdetleri!$A:$A,A113,SevkAdetleri!$E:$E,"KASIM")</f>
        <v>0</v>
      </c>
      <c r="R113" s="133">
        <f>SUMIFS(SevkAdetleri!$D:$D,SevkAdetleri!$A:$A,A113,SevkAdetleri!$E:$E,"ARALIK")</f>
        <v>0</v>
      </c>
    </row>
    <row r="114" spans="1:18">
      <c r="A114" s="132" t="s">
        <v>213</v>
      </c>
      <c r="B114" s="133" t="str">
        <f>VLOOKUP(Tablo810[[#This Row],[ ÜRÜN KODU]],YMKODLARI!$A$1:$H$376,2,0)</f>
        <v>GENİŞ AĞIZ BİBERON KAPAĞI</v>
      </c>
      <c r="C114" s="133">
        <f>SUMIF(Tablo8[[ ÜRÜN KODU]],Tablo810[[#This Row],[ ÜRÜN KODU]],Tablo8[SEVK ADEDİ])-Tablo810[[#This Row],[GERİ İADE ÜRÜN]]</f>
        <v>27257</v>
      </c>
      <c r="D114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39232</v>
      </c>
      <c r="E114" s="133"/>
      <c r="F114" s="133">
        <f t="shared" si="1"/>
        <v>11975</v>
      </c>
      <c r="G114" s="133">
        <f>SUMIFS(SevkAdetleri!$D:$D,SevkAdetleri!$A:$A,A114,SevkAdetleri!$E:$E,"OCAK")</f>
        <v>0</v>
      </c>
      <c r="H114" s="133">
        <f>SUMIFS(SevkAdetleri!$D:$D,SevkAdetleri!$A:$A,A114,SevkAdetleri!$E:$E,"ŞUBAT")</f>
        <v>12589</v>
      </c>
      <c r="I114" s="133">
        <f>SUMIFS(SevkAdetleri!$D:$D,SevkAdetleri!$A:$A,A114,SevkAdetleri!$E:$E,"MART")</f>
        <v>0</v>
      </c>
      <c r="J114" s="133">
        <f>SUMIFS(SevkAdetleri!$D:$D,SevkAdetleri!$A:$A,A114,SevkAdetleri!$E:$E,"NİSAN")</f>
        <v>0</v>
      </c>
      <c r="K114" s="133">
        <f>SUMIFS(SevkAdetleri!$D:$D,SevkAdetleri!$A:$A,A114,SevkAdetleri!$E:$E,"MAYIS")</f>
        <v>0</v>
      </c>
      <c r="L114" s="133">
        <f>SUMIFS(SevkAdetleri!$D:$D,SevkAdetleri!$A:$A,A114,SevkAdetleri!$E:$E,"HAZIRAN")</f>
        <v>0</v>
      </c>
      <c r="M114" s="133">
        <f>SUMIFS(SevkAdetleri!$D:$D,SevkAdetleri!$A:$A,A114,SevkAdetleri!$E:$E,"TEMMUZ")</f>
        <v>0</v>
      </c>
      <c r="N114" s="133">
        <f>SUMIFS(SevkAdetleri!$D:$D,SevkAdetleri!$A:$A,A114,SevkAdetleri!$E:$E,"AĞUSTOS")</f>
        <v>13468</v>
      </c>
      <c r="O114" s="133">
        <f>SUMIFS(SevkAdetleri!$D:$D,SevkAdetleri!$A:$A,A114,SevkAdetleri!$E:$E,"EYLÜL")</f>
        <v>0</v>
      </c>
      <c r="P114" s="133">
        <f>SUMIFS(SevkAdetleri!$D:$D,SevkAdetleri!$A:$A,A114,SevkAdetleri!$E:$E,"EKİM")</f>
        <v>0</v>
      </c>
      <c r="Q114" s="133">
        <f>SUMIFS(SevkAdetleri!$D:$D,SevkAdetleri!$A:$A,A114,SevkAdetleri!$E:$E,"KASIM")</f>
        <v>1200</v>
      </c>
      <c r="R114" s="133">
        <f>SUMIFS(SevkAdetleri!$D:$D,SevkAdetleri!$A:$A,A114,SevkAdetleri!$E:$E,"ARALIK")</f>
        <v>0</v>
      </c>
    </row>
    <row r="115" spans="1:18">
      <c r="A115" s="132" t="s">
        <v>309</v>
      </c>
      <c r="B115" s="133" t="str">
        <f>VLOOKUP(Tablo810[[#This Row],[ ÜRÜN KODU]],YMKODLARI!$A$1:$H$376,2,0)</f>
        <v>SULUK 125ml KAPAK</v>
      </c>
      <c r="C115" s="133">
        <f>SUMIF(Tablo8[[ ÜRÜN KODU]],Tablo810[[#This Row],[ ÜRÜN KODU]],Tablo8[SEVK ADEDİ])-Tablo810[[#This Row],[GERİ İADE ÜRÜN]]</f>
        <v>0</v>
      </c>
      <c r="D115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115" s="133"/>
      <c r="F115" s="133">
        <f t="shared" si="1"/>
        <v>0</v>
      </c>
      <c r="G115" s="133">
        <f>SUMIFS(SevkAdetleri!$D:$D,SevkAdetleri!$A:$A,A115,SevkAdetleri!$E:$E,"OCAK")</f>
        <v>0</v>
      </c>
      <c r="H115" s="133">
        <f>SUMIFS(SevkAdetleri!$D:$D,SevkAdetleri!$A:$A,A115,SevkAdetleri!$E:$E,"ŞUBAT")</f>
        <v>0</v>
      </c>
      <c r="I115" s="133">
        <f>SUMIFS(SevkAdetleri!$D:$D,SevkAdetleri!$A:$A,A115,SevkAdetleri!$E:$E,"MART")</f>
        <v>0</v>
      </c>
      <c r="J115" s="133">
        <f>SUMIFS(SevkAdetleri!$D:$D,SevkAdetleri!$A:$A,A115,SevkAdetleri!$E:$E,"NİSAN")</f>
        <v>0</v>
      </c>
      <c r="K115" s="133">
        <f>SUMIFS(SevkAdetleri!$D:$D,SevkAdetleri!$A:$A,A115,SevkAdetleri!$E:$E,"MAYIS")</f>
        <v>0</v>
      </c>
      <c r="L115" s="133">
        <f>SUMIFS(SevkAdetleri!$D:$D,SevkAdetleri!$A:$A,A115,SevkAdetleri!$E:$E,"HAZIRAN")</f>
        <v>0</v>
      </c>
      <c r="M115" s="133">
        <f>SUMIFS(SevkAdetleri!$D:$D,SevkAdetleri!$A:$A,A115,SevkAdetleri!$E:$E,"TEMMUZ")</f>
        <v>0</v>
      </c>
      <c r="N115" s="133">
        <f>SUMIFS(SevkAdetleri!$D:$D,SevkAdetleri!$A:$A,A115,SevkAdetleri!$E:$E,"AĞUSTOS")</f>
        <v>0</v>
      </c>
      <c r="O115" s="133">
        <f>SUMIFS(SevkAdetleri!$D:$D,SevkAdetleri!$A:$A,A115,SevkAdetleri!$E:$E,"EYLÜL")</f>
        <v>0</v>
      </c>
      <c r="P115" s="133">
        <f>SUMIFS(SevkAdetleri!$D:$D,SevkAdetleri!$A:$A,A115,SevkAdetleri!$E:$E,"EKİM")</f>
        <v>0</v>
      </c>
      <c r="Q115" s="133">
        <f>SUMIFS(SevkAdetleri!$D:$D,SevkAdetleri!$A:$A,A115,SevkAdetleri!$E:$E,"KASIM")</f>
        <v>0</v>
      </c>
      <c r="R115" s="133">
        <f>SUMIFS(SevkAdetleri!$D:$D,SevkAdetleri!$A:$A,A115,SevkAdetleri!$E:$E,"ARALIK")</f>
        <v>0</v>
      </c>
    </row>
    <row r="116" spans="1:18">
      <c r="A116" s="132" t="s">
        <v>310</v>
      </c>
      <c r="B116" s="133" t="str">
        <f>VLOOKUP(Tablo810[[#This Row],[ ÜRÜN KODU]],YMKODLARI!$A$1:$H$376,2,0)</f>
        <v>SULUK 125ml KAPAK</v>
      </c>
      <c r="C116" s="133">
        <f>SUMIF(Tablo8[[ ÜRÜN KODU]],Tablo810[[#This Row],[ ÜRÜN KODU]],Tablo8[SEVK ADEDİ])-Tablo810[[#This Row],[GERİ İADE ÜRÜN]]</f>
        <v>0</v>
      </c>
      <c r="D116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116" s="133"/>
      <c r="F116" s="133">
        <f t="shared" si="1"/>
        <v>0</v>
      </c>
      <c r="G116" s="133">
        <f>SUMIFS(SevkAdetleri!$D:$D,SevkAdetleri!$A:$A,A116,SevkAdetleri!$E:$E,"OCAK")</f>
        <v>0</v>
      </c>
      <c r="H116" s="133">
        <f>SUMIFS(SevkAdetleri!$D:$D,SevkAdetleri!$A:$A,A116,SevkAdetleri!$E:$E,"ŞUBAT")</f>
        <v>0</v>
      </c>
      <c r="I116" s="133">
        <f>SUMIFS(SevkAdetleri!$D:$D,SevkAdetleri!$A:$A,A116,SevkAdetleri!$E:$E,"MART")</f>
        <v>0</v>
      </c>
      <c r="J116" s="133">
        <f>SUMIFS(SevkAdetleri!$D:$D,SevkAdetleri!$A:$A,A116,SevkAdetleri!$E:$E,"NİSAN")</f>
        <v>0</v>
      </c>
      <c r="K116" s="133">
        <f>SUMIFS(SevkAdetleri!$D:$D,SevkAdetleri!$A:$A,A116,SevkAdetleri!$E:$E,"MAYIS")</f>
        <v>0</v>
      </c>
      <c r="L116" s="133">
        <f>SUMIFS(SevkAdetleri!$D:$D,SevkAdetleri!$A:$A,A116,SevkAdetleri!$E:$E,"HAZIRAN")</f>
        <v>0</v>
      </c>
      <c r="M116" s="133">
        <f>SUMIFS(SevkAdetleri!$D:$D,SevkAdetleri!$A:$A,A116,SevkAdetleri!$E:$E,"TEMMUZ")</f>
        <v>0</v>
      </c>
      <c r="N116" s="133">
        <f>SUMIFS(SevkAdetleri!$D:$D,SevkAdetleri!$A:$A,A116,SevkAdetleri!$E:$E,"AĞUSTOS")</f>
        <v>0</v>
      </c>
      <c r="O116" s="133">
        <f>SUMIFS(SevkAdetleri!$D:$D,SevkAdetleri!$A:$A,A116,SevkAdetleri!$E:$E,"EYLÜL")</f>
        <v>0</v>
      </c>
      <c r="P116" s="133">
        <f>SUMIFS(SevkAdetleri!$D:$D,SevkAdetleri!$A:$A,A116,SevkAdetleri!$E:$E,"EKİM")</f>
        <v>0</v>
      </c>
      <c r="Q116" s="133">
        <f>SUMIFS(SevkAdetleri!$D:$D,SevkAdetleri!$A:$A,A116,SevkAdetleri!$E:$E,"KASIM")</f>
        <v>0</v>
      </c>
      <c r="R116" s="133">
        <f>SUMIFS(SevkAdetleri!$D:$D,SevkAdetleri!$A:$A,A116,SevkAdetleri!$E:$E,"ARALIK")</f>
        <v>0</v>
      </c>
    </row>
    <row r="117" spans="1:18">
      <c r="A117" s="132" t="s">
        <v>311</v>
      </c>
      <c r="B117" s="133" t="str">
        <f>VLOOKUP(Tablo810[[#This Row],[ ÜRÜN KODU]],YMKODLARI!$A$1:$H$376,2,0)</f>
        <v>SULUK 125ml KAPAK</v>
      </c>
      <c r="C117" s="133">
        <f>SUMIF(Tablo8[[ ÜRÜN KODU]],Tablo810[[#This Row],[ ÜRÜN KODU]],Tablo8[SEVK ADEDİ])-Tablo810[[#This Row],[GERİ İADE ÜRÜN]]</f>
        <v>0</v>
      </c>
      <c r="D117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117" s="133"/>
      <c r="F117" s="133">
        <f t="shared" si="1"/>
        <v>0</v>
      </c>
      <c r="G117" s="133">
        <f>SUMIFS(SevkAdetleri!$D:$D,SevkAdetleri!$A:$A,A117,SevkAdetleri!$E:$E,"OCAK")</f>
        <v>0</v>
      </c>
      <c r="H117" s="133">
        <f>SUMIFS(SevkAdetleri!$D:$D,SevkAdetleri!$A:$A,A117,SevkAdetleri!$E:$E,"ŞUBAT")</f>
        <v>0</v>
      </c>
      <c r="I117" s="133">
        <f>SUMIFS(SevkAdetleri!$D:$D,SevkAdetleri!$A:$A,A117,SevkAdetleri!$E:$E,"MART")</f>
        <v>0</v>
      </c>
      <c r="J117" s="133">
        <f>SUMIFS(SevkAdetleri!$D:$D,SevkAdetleri!$A:$A,A117,SevkAdetleri!$E:$E,"NİSAN")</f>
        <v>0</v>
      </c>
      <c r="K117" s="133">
        <f>SUMIFS(SevkAdetleri!$D:$D,SevkAdetleri!$A:$A,A117,SevkAdetleri!$E:$E,"MAYIS")</f>
        <v>0</v>
      </c>
      <c r="L117" s="133">
        <f>SUMIFS(SevkAdetleri!$D:$D,SevkAdetleri!$A:$A,A117,SevkAdetleri!$E:$E,"HAZIRAN")</f>
        <v>0</v>
      </c>
      <c r="M117" s="133">
        <f>SUMIFS(SevkAdetleri!$D:$D,SevkAdetleri!$A:$A,A117,SevkAdetleri!$E:$E,"TEMMUZ")</f>
        <v>0</v>
      </c>
      <c r="N117" s="133">
        <f>SUMIFS(SevkAdetleri!$D:$D,SevkAdetleri!$A:$A,A117,SevkAdetleri!$E:$E,"AĞUSTOS")</f>
        <v>0</v>
      </c>
      <c r="O117" s="133">
        <f>SUMIFS(SevkAdetleri!$D:$D,SevkAdetleri!$A:$A,A117,SevkAdetleri!$E:$E,"EYLÜL")</f>
        <v>0</v>
      </c>
      <c r="P117" s="133">
        <f>SUMIFS(SevkAdetleri!$D:$D,SevkAdetleri!$A:$A,A117,SevkAdetleri!$E:$E,"EKİM")</f>
        <v>0</v>
      </c>
      <c r="Q117" s="133">
        <f>SUMIFS(SevkAdetleri!$D:$D,SevkAdetleri!$A:$A,A117,SevkAdetleri!$E:$E,"KASIM")</f>
        <v>0</v>
      </c>
      <c r="R117" s="133">
        <f>SUMIFS(SevkAdetleri!$D:$D,SevkAdetleri!$A:$A,A117,SevkAdetleri!$E:$E,"ARALIK")</f>
        <v>0</v>
      </c>
    </row>
    <row r="118" spans="1:18">
      <c r="A118" s="132" t="s">
        <v>312</v>
      </c>
      <c r="B118" s="133" t="str">
        <f>VLOOKUP(Tablo810[[#This Row],[ ÜRÜN KODU]],YMKODLARI!$A$1:$H$376,2,0)</f>
        <v>SULUK 125ml KAPAK</v>
      </c>
      <c r="C118" s="133">
        <f>SUMIF(Tablo8[[ ÜRÜN KODU]],Tablo810[[#This Row],[ ÜRÜN KODU]],Tablo8[SEVK ADEDİ])-Tablo810[[#This Row],[GERİ İADE ÜRÜN]]</f>
        <v>0</v>
      </c>
      <c r="D118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118" s="133"/>
      <c r="F118" s="133">
        <f t="shared" si="1"/>
        <v>0</v>
      </c>
      <c r="G118" s="133">
        <f>SUMIFS(SevkAdetleri!$D:$D,SevkAdetleri!$A:$A,A118,SevkAdetleri!$E:$E,"OCAK")</f>
        <v>0</v>
      </c>
      <c r="H118" s="133">
        <f>SUMIFS(SevkAdetleri!$D:$D,SevkAdetleri!$A:$A,A118,SevkAdetleri!$E:$E,"ŞUBAT")</f>
        <v>0</v>
      </c>
      <c r="I118" s="133">
        <f>SUMIFS(SevkAdetleri!$D:$D,SevkAdetleri!$A:$A,A118,SevkAdetleri!$E:$E,"MART")</f>
        <v>0</v>
      </c>
      <c r="J118" s="133">
        <f>SUMIFS(SevkAdetleri!$D:$D,SevkAdetleri!$A:$A,A118,SevkAdetleri!$E:$E,"NİSAN")</f>
        <v>0</v>
      </c>
      <c r="K118" s="133">
        <f>SUMIFS(SevkAdetleri!$D:$D,SevkAdetleri!$A:$A,A118,SevkAdetleri!$E:$E,"MAYIS")</f>
        <v>0</v>
      </c>
      <c r="L118" s="133">
        <f>SUMIFS(SevkAdetleri!$D:$D,SevkAdetleri!$A:$A,A118,SevkAdetleri!$E:$E,"HAZIRAN")</f>
        <v>0</v>
      </c>
      <c r="M118" s="133">
        <f>SUMIFS(SevkAdetleri!$D:$D,SevkAdetleri!$A:$A,A118,SevkAdetleri!$E:$E,"TEMMUZ")</f>
        <v>0</v>
      </c>
      <c r="N118" s="133">
        <f>SUMIFS(SevkAdetleri!$D:$D,SevkAdetleri!$A:$A,A118,SevkAdetleri!$E:$E,"AĞUSTOS")</f>
        <v>0</v>
      </c>
      <c r="O118" s="133">
        <f>SUMIFS(SevkAdetleri!$D:$D,SevkAdetleri!$A:$A,A118,SevkAdetleri!$E:$E,"EYLÜL")</f>
        <v>0</v>
      </c>
      <c r="P118" s="133">
        <f>SUMIFS(SevkAdetleri!$D:$D,SevkAdetleri!$A:$A,A118,SevkAdetleri!$E:$E,"EKİM")</f>
        <v>0</v>
      </c>
      <c r="Q118" s="133">
        <f>SUMIFS(SevkAdetleri!$D:$D,SevkAdetleri!$A:$A,A118,SevkAdetleri!$E:$E,"KASIM")</f>
        <v>0</v>
      </c>
      <c r="R118" s="133">
        <f>SUMIFS(SevkAdetleri!$D:$D,SevkAdetleri!$A:$A,A118,SevkAdetleri!$E:$E,"ARALIK")</f>
        <v>0</v>
      </c>
    </row>
    <row r="119" spans="1:18">
      <c r="A119" s="132" t="s">
        <v>313</v>
      </c>
      <c r="B119" s="133" t="str">
        <f>VLOOKUP(Tablo810[[#This Row],[ ÜRÜN KODU]],YMKODLARI!$A$1:$H$376,2,0)</f>
        <v>SULUK 125ml KAPAK</v>
      </c>
      <c r="C119" s="133">
        <f>SUMIF(Tablo8[[ ÜRÜN KODU]],Tablo810[[#This Row],[ ÜRÜN KODU]],Tablo8[SEVK ADEDİ])-Tablo810[[#This Row],[GERİ İADE ÜRÜN]]</f>
        <v>0</v>
      </c>
      <c r="D119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119" s="133"/>
      <c r="F119" s="133">
        <f t="shared" si="1"/>
        <v>0</v>
      </c>
      <c r="G119" s="133">
        <f>SUMIFS(SevkAdetleri!$D:$D,SevkAdetleri!$A:$A,A119,SevkAdetleri!$E:$E,"OCAK")</f>
        <v>0</v>
      </c>
      <c r="H119" s="133">
        <f>SUMIFS(SevkAdetleri!$D:$D,SevkAdetleri!$A:$A,A119,SevkAdetleri!$E:$E,"ŞUBAT")</f>
        <v>0</v>
      </c>
      <c r="I119" s="133">
        <f>SUMIFS(SevkAdetleri!$D:$D,SevkAdetleri!$A:$A,A119,SevkAdetleri!$E:$E,"MART")</f>
        <v>0</v>
      </c>
      <c r="J119" s="133">
        <f>SUMIFS(SevkAdetleri!$D:$D,SevkAdetleri!$A:$A,A119,SevkAdetleri!$E:$E,"NİSAN")</f>
        <v>0</v>
      </c>
      <c r="K119" s="133">
        <f>SUMIFS(SevkAdetleri!$D:$D,SevkAdetleri!$A:$A,A119,SevkAdetleri!$E:$E,"MAYIS")</f>
        <v>0</v>
      </c>
      <c r="L119" s="133">
        <f>SUMIFS(SevkAdetleri!$D:$D,SevkAdetleri!$A:$A,A119,SevkAdetleri!$E:$E,"HAZIRAN")</f>
        <v>0</v>
      </c>
      <c r="M119" s="133">
        <f>SUMIFS(SevkAdetleri!$D:$D,SevkAdetleri!$A:$A,A119,SevkAdetleri!$E:$E,"TEMMUZ")</f>
        <v>0</v>
      </c>
      <c r="N119" s="133">
        <f>SUMIFS(SevkAdetleri!$D:$D,SevkAdetleri!$A:$A,A119,SevkAdetleri!$E:$E,"AĞUSTOS")</f>
        <v>0</v>
      </c>
      <c r="O119" s="133">
        <f>SUMIFS(SevkAdetleri!$D:$D,SevkAdetleri!$A:$A,A119,SevkAdetleri!$E:$E,"EYLÜL")</f>
        <v>0</v>
      </c>
      <c r="P119" s="133">
        <f>SUMIFS(SevkAdetleri!$D:$D,SevkAdetleri!$A:$A,A119,SevkAdetleri!$E:$E,"EKİM")</f>
        <v>0</v>
      </c>
      <c r="Q119" s="133">
        <f>SUMIFS(SevkAdetleri!$D:$D,SevkAdetleri!$A:$A,A119,SevkAdetleri!$E:$E,"KASIM")</f>
        <v>0</v>
      </c>
      <c r="R119" s="133">
        <f>SUMIFS(SevkAdetleri!$D:$D,SevkAdetleri!$A:$A,A119,SevkAdetleri!$E:$E,"ARALIK")</f>
        <v>0</v>
      </c>
    </row>
    <row r="120" spans="1:18">
      <c r="A120" s="132" t="s">
        <v>314</v>
      </c>
      <c r="B120" s="133" t="str">
        <f>VLOOKUP(Tablo810[[#This Row],[ ÜRÜN KODU]],YMKODLARI!$A$1:$H$376,2,0)</f>
        <v>SULUK 125ml KAPAK</v>
      </c>
      <c r="C120" s="133">
        <f>SUMIF(Tablo8[[ ÜRÜN KODU]],Tablo810[[#This Row],[ ÜRÜN KODU]],Tablo8[SEVK ADEDİ])-Tablo810[[#This Row],[GERİ İADE ÜRÜN]]</f>
        <v>0</v>
      </c>
      <c r="D120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120" s="133"/>
      <c r="F120" s="133">
        <f t="shared" si="1"/>
        <v>0</v>
      </c>
      <c r="G120" s="133">
        <f>SUMIFS(SevkAdetleri!$D:$D,SevkAdetleri!$A:$A,A120,SevkAdetleri!$E:$E,"OCAK")</f>
        <v>0</v>
      </c>
      <c r="H120" s="133">
        <f>SUMIFS(SevkAdetleri!$D:$D,SevkAdetleri!$A:$A,A120,SevkAdetleri!$E:$E,"ŞUBAT")</f>
        <v>0</v>
      </c>
      <c r="I120" s="133">
        <f>SUMIFS(SevkAdetleri!$D:$D,SevkAdetleri!$A:$A,A120,SevkAdetleri!$E:$E,"MART")</f>
        <v>0</v>
      </c>
      <c r="J120" s="133">
        <f>SUMIFS(SevkAdetleri!$D:$D,SevkAdetleri!$A:$A,A120,SevkAdetleri!$E:$E,"NİSAN")</f>
        <v>0</v>
      </c>
      <c r="K120" s="133">
        <f>SUMIFS(SevkAdetleri!$D:$D,SevkAdetleri!$A:$A,A120,SevkAdetleri!$E:$E,"MAYIS")</f>
        <v>0</v>
      </c>
      <c r="L120" s="133">
        <f>SUMIFS(SevkAdetleri!$D:$D,SevkAdetleri!$A:$A,A120,SevkAdetleri!$E:$E,"HAZIRAN")</f>
        <v>0</v>
      </c>
      <c r="M120" s="133">
        <f>SUMIFS(SevkAdetleri!$D:$D,SevkAdetleri!$A:$A,A120,SevkAdetleri!$E:$E,"TEMMUZ")</f>
        <v>0</v>
      </c>
      <c r="N120" s="133">
        <f>SUMIFS(SevkAdetleri!$D:$D,SevkAdetleri!$A:$A,A120,SevkAdetleri!$E:$E,"AĞUSTOS")</f>
        <v>0</v>
      </c>
      <c r="O120" s="133">
        <f>SUMIFS(SevkAdetleri!$D:$D,SevkAdetleri!$A:$A,A120,SevkAdetleri!$E:$E,"EYLÜL")</f>
        <v>0</v>
      </c>
      <c r="P120" s="133">
        <f>SUMIFS(SevkAdetleri!$D:$D,SevkAdetleri!$A:$A,A120,SevkAdetleri!$E:$E,"EKİM")</f>
        <v>0</v>
      </c>
      <c r="Q120" s="133">
        <f>SUMIFS(SevkAdetleri!$D:$D,SevkAdetleri!$A:$A,A120,SevkAdetleri!$E:$E,"KASIM")</f>
        <v>0</v>
      </c>
      <c r="R120" s="133">
        <f>SUMIFS(SevkAdetleri!$D:$D,SevkAdetleri!$A:$A,A120,SevkAdetleri!$E:$E,"ARALIK")</f>
        <v>0</v>
      </c>
    </row>
    <row r="121" spans="1:18">
      <c r="A121" s="132" t="s">
        <v>315</v>
      </c>
      <c r="B121" s="133" t="str">
        <f>VLOOKUP(Tablo810[[#This Row],[ ÜRÜN KODU]],YMKODLARI!$A$1:$H$376,2,0)</f>
        <v>SULUK 60ml KAPAK</v>
      </c>
      <c r="C121" s="133">
        <f>SUMIF(Tablo8[[ ÜRÜN KODU]],Tablo810[[#This Row],[ ÜRÜN KODU]],Tablo8[SEVK ADEDİ])-Tablo810[[#This Row],[GERİ İADE ÜRÜN]]</f>
        <v>0</v>
      </c>
      <c r="D121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121" s="133"/>
      <c r="F121" s="133">
        <f t="shared" si="1"/>
        <v>0</v>
      </c>
      <c r="G121" s="133">
        <f>SUMIFS(SevkAdetleri!$D:$D,SevkAdetleri!$A:$A,A121,SevkAdetleri!$E:$E,"OCAK")</f>
        <v>0</v>
      </c>
      <c r="H121" s="133">
        <f>SUMIFS(SevkAdetleri!$D:$D,SevkAdetleri!$A:$A,A121,SevkAdetleri!$E:$E,"ŞUBAT")</f>
        <v>0</v>
      </c>
      <c r="I121" s="133">
        <f>SUMIFS(SevkAdetleri!$D:$D,SevkAdetleri!$A:$A,A121,SevkAdetleri!$E:$E,"MART")</f>
        <v>0</v>
      </c>
      <c r="J121" s="133">
        <f>SUMIFS(SevkAdetleri!$D:$D,SevkAdetleri!$A:$A,A121,SevkAdetleri!$E:$E,"NİSAN")</f>
        <v>0</v>
      </c>
      <c r="K121" s="133">
        <f>SUMIFS(SevkAdetleri!$D:$D,SevkAdetleri!$A:$A,A121,SevkAdetleri!$E:$E,"MAYIS")</f>
        <v>0</v>
      </c>
      <c r="L121" s="133">
        <f>SUMIFS(SevkAdetleri!$D:$D,SevkAdetleri!$A:$A,A121,SevkAdetleri!$E:$E,"HAZIRAN")</f>
        <v>0</v>
      </c>
      <c r="M121" s="133">
        <f>SUMIFS(SevkAdetleri!$D:$D,SevkAdetleri!$A:$A,A121,SevkAdetleri!$E:$E,"TEMMUZ")</f>
        <v>0</v>
      </c>
      <c r="N121" s="133">
        <f>SUMIFS(SevkAdetleri!$D:$D,SevkAdetleri!$A:$A,A121,SevkAdetleri!$E:$E,"AĞUSTOS")</f>
        <v>0</v>
      </c>
      <c r="O121" s="133">
        <f>SUMIFS(SevkAdetleri!$D:$D,SevkAdetleri!$A:$A,A121,SevkAdetleri!$E:$E,"EYLÜL")</f>
        <v>0</v>
      </c>
      <c r="P121" s="133">
        <f>SUMIFS(SevkAdetleri!$D:$D,SevkAdetleri!$A:$A,A121,SevkAdetleri!$E:$E,"EKİM")</f>
        <v>0</v>
      </c>
      <c r="Q121" s="133">
        <f>SUMIFS(SevkAdetleri!$D:$D,SevkAdetleri!$A:$A,A121,SevkAdetleri!$E:$E,"KASIM")</f>
        <v>0</v>
      </c>
      <c r="R121" s="133">
        <f>SUMIFS(SevkAdetleri!$D:$D,SevkAdetleri!$A:$A,A121,SevkAdetleri!$E:$E,"ARALIK")</f>
        <v>0</v>
      </c>
    </row>
    <row r="122" spans="1:18">
      <c r="A122" s="132" t="s">
        <v>316</v>
      </c>
      <c r="B122" s="133" t="str">
        <f>VLOOKUP(Tablo810[[#This Row],[ ÜRÜN KODU]],YMKODLARI!$A$1:$H$376,2,0)</f>
        <v>SULUK 60ml KAPAK</v>
      </c>
      <c r="C122" s="133">
        <f>SUMIF(Tablo8[[ ÜRÜN KODU]],Tablo810[[#This Row],[ ÜRÜN KODU]],Tablo8[SEVK ADEDİ])-Tablo810[[#This Row],[GERİ İADE ÜRÜN]]</f>
        <v>0</v>
      </c>
      <c r="D122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122" s="133"/>
      <c r="F122" s="133">
        <f t="shared" si="1"/>
        <v>0</v>
      </c>
      <c r="G122" s="133">
        <f>SUMIFS(SevkAdetleri!$D:$D,SevkAdetleri!$A:$A,A122,SevkAdetleri!$E:$E,"OCAK")</f>
        <v>0</v>
      </c>
      <c r="H122" s="133">
        <f>SUMIFS(SevkAdetleri!$D:$D,SevkAdetleri!$A:$A,A122,SevkAdetleri!$E:$E,"ŞUBAT")</f>
        <v>0</v>
      </c>
      <c r="I122" s="133">
        <f>SUMIFS(SevkAdetleri!$D:$D,SevkAdetleri!$A:$A,A122,SevkAdetleri!$E:$E,"MART")</f>
        <v>0</v>
      </c>
      <c r="J122" s="133">
        <f>SUMIFS(SevkAdetleri!$D:$D,SevkAdetleri!$A:$A,A122,SevkAdetleri!$E:$E,"NİSAN")</f>
        <v>0</v>
      </c>
      <c r="K122" s="133">
        <f>SUMIFS(SevkAdetleri!$D:$D,SevkAdetleri!$A:$A,A122,SevkAdetleri!$E:$E,"MAYIS")</f>
        <v>0</v>
      </c>
      <c r="L122" s="133">
        <f>SUMIFS(SevkAdetleri!$D:$D,SevkAdetleri!$A:$A,A122,SevkAdetleri!$E:$E,"HAZIRAN")</f>
        <v>0</v>
      </c>
      <c r="M122" s="133">
        <f>SUMIFS(SevkAdetleri!$D:$D,SevkAdetleri!$A:$A,A122,SevkAdetleri!$E:$E,"TEMMUZ")</f>
        <v>0</v>
      </c>
      <c r="N122" s="133">
        <f>SUMIFS(SevkAdetleri!$D:$D,SevkAdetleri!$A:$A,A122,SevkAdetleri!$E:$E,"AĞUSTOS")</f>
        <v>0</v>
      </c>
      <c r="O122" s="133">
        <f>SUMIFS(SevkAdetleri!$D:$D,SevkAdetleri!$A:$A,A122,SevkAdetleri!$E:$E,"EYLÜL")</f>
        <v>0</v>
      </c>
      <c r="P122" s="133">
        <f>SUMIFS(SevkAdetleri!$D:$D,SevkAdetleri!$A:$A,A122,SevkAdetleri!$E:$E,"EKİM")</f>
        <v>0</v>
      </c>
      <c r="Q122" s="133">
        <f>SUMIFS(SevkAdetleri!$D:$D,SevkAdetleri!$A:$A,A122,SevkAdetleri!$E:$E,"KASIM")</f>
        <v>0</v>
      </c>
      <c r="R122" s="133">
        <f>SUMIFS(SevkAdetleri!$D:$D,SevkAdetleri!$A:$A,A122,SevkAdetleri!$E:$E,"ARALIK")</f>
        <v>0</v>
      </c>
    </row>
    <row r="123" spans="1:18">
      <c r="A123" s="132" t="s">
        <v>317</v>
      </c>
      <c r="B123" s="133" t="str">
        <f>VLOOKUP(Tablo810[[#This Row],[ ÜRÜN KODU]],YMKODLARI!$A$1:$H$376,2,0)</f>
        <v>SULUK 60ml KAPAK</v>
      </c>
      <c r="C123" s="133">
        <f>SUMIF(Tablo8[[ ÜRÜN KODU]],Tablo810[[#This Row],[ ÜRÜN KODU]],Tablo8[SEVK ADEDİ])-Tablo810[[#This Row],[GERİ İADE ÜRÜN]]</f>
        <v>0</v>
      </c>
      <c r="D123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123" s="133"/>
      <c r="F123" s="133">
        <f t="shared" si="1"/>
        <v>0</v>
      </c>
      <c r="G123" s="133">
        <f>SUMIFS(SevkAdetleri!$D:$D,SevkAdetleri!$A:$A,A123,SevkAdetleri!$E:$E,"OCAK")</f>
        <v>0</v>
      </c>
      <c r="H123" s="133">
        <f>SUMIFS(SevkAdetleri!$D:$D,SevkAdetleri!$A:$A,A123,SevkAdetleri!$E:$E,"ŞUBAT")</f>
        <v>0</v>
      </c>
      <c r="I123" s="133">
        <f>SUMIFS(SevkAdetleri!$D:$D,SevkAdetleri!$A:$A,A123,SevkAdetleri!$E:$E,"MART")</f>
        <v>0</v>
      </c>
      <c r="J123" s="133">
        <f>SUMIFS(SevkAdetleri!$D:$D,SevkAdetleri!$A:$A,A123,SevkAdetleri!$E:$E,"NİSAN")</f>
        <v>0</v>
      </c>
      <c r="K123" s="133">
        <f>SUMIFS(SevkAdetleri!$D:$D,SevkAdetleri!$A:$A,A123,SevkAdetleri!$E:$E,"MAYIS")</f>
        <v>0</v>
      </c>
      <c r="L123" s="133">
        <f>SUMIFS(SevkAdetleri!$D:$D,SevkAdetleri!$A:$A,A123,SevkAdetleri!$E:$E,"HAZIRAN")</f>
        <v>0</v>
      </c>
      <c r="M123" s="133">
        <f>SUMIFS(SevkAdetleri!$D:$D,SevkAdetleri!$A:$A,A123,SevkAdetleri!$E:$E,"TEMMUZ")</f>
        <v>0</v>
      </c>
      <c r="N123" s="133">
        <f>SUMIFS(SevkAdetleri!$D:$D,SevkAdetleri!$A:$A,A123,SevkAdetleri!$E:$E,"AĞUSTOS")</f>
        <v>0</v>
      </c>
      <c r="O123" s="133">
        <f>SUMIFS(SevkAdetleri!$D:$D,SevkAdetleri!$A:$A,A123,SevkAdetleri!$E:$E,"EYLÜL")</f>
        <v>0</v>
      </c>
      <c r="P123" s="133">
        <f>SUMIFS(SevkAdetleri!$D:$D,SevkAdetleri!$A:$A,A123,SevkAdetleri!$E:$E,"EKİM")</f>
        <v>0</v>
      </c>
      <c r="Q123" s="133">
        <f>SUMIFS(SevkAdetleri!$D:$D,SevkAdetleri!$A:$A,A123,SevkAdetleri!$E:$E,"KASIM")</f>
        <v>0</v>
      </c>
      <c r="R123" s="133">
        <f>SUMIFS(SevkAdetleri!$D:$D,SevkAdetleri!$A:$A,A123,SevkAdetleri!$E:$E,"ARALIK")</f>
        <v>0</v>
      </c>
    </row>
    <row r="124" spans="1:18">
      <c r="A124" s="132" t="s">
        <v>318</v>
      </c>
      <c r="B124" s="133" t="str">
        <f>VLOOKUP(Tablo810[[#This Row],[ ÜRÜN KODU]],YMKODLARI!$A$1:$H$376,2,0)</f>
        <v>SULUK 60ml KAPAK</v>
      </c>
      <c r="C124" s="133">
        <f>SUMIF(Tablo8[[ ÜRÜN KODU]],Tablo810[[#This Row],[ ÜRÜN KODU]],Tablo8[SEVK ADEDİ])-Tablo810[[#This Row],[GERİ İADE ÜRÜN]]</f>
        <v>0</v>
      </c>
      <c r="D124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124" s="133"/>
      <c r="F124" s="133">
        <f t="shared" si="1"/>
        <v>0</v>
      </c>
      <c r="G124" s="133">
        <f>SUMIFS(SevkAdetleri!$D:$D,SevkAdetleri!$A:$A,A124,SevkAdetleri!$E:$E,"OCAK")</f>
        <v>0</v>
      </c>
      <c r="H124" s="133">
        <f>SUMIFS(SevkAdetleri!$D:$D,SevkAdetleri!$A:$A,A124,SevkAdetleri!$E:$E,"ŞUBAT")</f>
        <v>0</v>
      </c>
      <c r="I124" s="133">
        <f>SUMIFS(SevkAdetleri!$D:$D,SevkAdetleri!$A:$A,A124,SevkAdetleri!$E:$E,"MART")</f>
        <v>0</v>
      </c>
      <c r="J124" s="133">
        <f>SUMIFS(SevkAdetleri!$D:$D,SevkAdetleri!$A:$A,A124,SevkAdetleri!$E:$E,"NİSAN")</f>
        <v>0</v>
      </c>
      <c r="K124" s="133">
        <f>SUMIFS(SevkAdetleri!$D:$D,SevkAdetleri!$A:$A,A124,SevkAdetleri!$E:$E,"MAYIS")</f>
        <v>0</v>
      </c>
      <c r="L124" s="133">
        <f>SUMIFS(SevkAdetleri!$D:$D,SevkAdetleri!$A:$A,A124,SevkAdetleri!$E:$E,"HAZIRAN")</f>
        <v>0</v>
      </c>
      <c r="M124" s="133">
        <f>SUMIFS(SevkAdetleri!$D:$D,SevkAdetleri!$A:$A,A124,SevkAdetleri!$E:$E,"TEMMUZ")</f>
        <v>0</v>
      </c>
      <c r="N124" s="133">
        <f>SUMIFS(SevkAdetleri!$D:$D,SevkAdetleri!$A:$A,A124,SevkAdetleri!$E:$E,"AĞUSTOS")</f>
        <v>0</v>
      </c>
      <c r="O124" s="133">
        <f>SUMIFS(SevkAdetleri!$D:$D,SevkAdetleri!$A:$A,A124,SevkAdetleri!$E:$E,"EYLÜL")</f>
        <v>0</v>
      </c>
      <c r="P124" s="133">
        <f>SUMIFS(SevkAdetleri!$D:$D,SevkAdetleri!$A:$A,A124,SevkAdetleri!$E:$E,"EKİM")</f>
        <v>0</v>
      </c>
      <c r="Q124" s="133">
        <f>SUMIFS(SevkAdetleri!$D:$D,SevkAdetleri!$A:$A,A124,SevkAdetleri!$E:$E,"KASIM")</f>
        <v>0</v>
      </c>
      <c r="R124" s="133">
        <f>SUMIFS(SevkAdetleri!$D:$D,SevkAdetleri!$A:$A,A124,SevkAdetleri!$E:$E,"ARALIK")</f>
        <v>0</v>
      </c>
    </row>
    <row r="125" spans="1:18">
      <c r="A125" s="132" t="s">
        <v>319</v>
      </c>
      <c r="B125" s="133" t="str">
        <f>VLOOKUP(Tablo810[[#This Row],[ ÜRÜN KODU]],YMKODLARI!$A$1:$H$376,2,0)</f>
        <v>SULUK 60ml KAPAK</v>
      </c>
      <c r="C125" s="133">
        <f>SUMIF(Tablo8[[ ÜRÜN KODU]],Tablo810[[#This Row],[ ÜRÜN KODU]],Tablo8[SEVK ADEDİ])-Tablo810[[#This Row],[GERİ İADE ÜRÜN]]</f>
        <v>0</v>
      </c>
      <c r="D125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125" s="133"/>
      <c r="F125" s="133">
        <f t="shared" si="1"/>
        <v>0</v>
      </c>
      <c r="G125" s="133">
        <f>SUMIFS(SevkAdetleri!$D:$D,SevkAdetleri!$A:$A,A125,SevkAdetleri!$E:$E,"OCAK")</f>
        <v>0</v>
      </c>
      <c r="H125" s="133">
        <f>SUMIFS(SevkAdetleri!$D:$D,SevkAdetleri!$A:$A,A125,SevkAdetleri!$E:$E,"ŞUBAT")</f>
        <v>0</v>
      </c>
      <c r="I125" s="133">
        <f>SUMIFS(SevkAdetleri!$D:$D,SevkAdetleri!$A:$A,A125,SevkAdetleri!$E:$E,"MART")</f>
        <v>0</v>
      </c>
      <c r="J125" s="133">
        <f>SUMIFS(SevkAdetleri!$D:$D,SevkAdetleri!$A:$A,A125,SevkAdetleri!$E:$E,"NİSAN")</f>
        <v>0</v>
      </c>
      <c r="K125" s="133">
        <f>SUMIFS(SevkAdetleri!$D:$D,SevkAdetleri!$A:$A,A125,SevkAdetleri!$E:$E,"MAYIS")</f>
        <v>0</v>
      </c>
      <c r="L125" s="133">
        <f>SUMIFS(SevkAdetleri!$D:$D,SevkAdetleri!$A:$A,A125,SevkAdetleri!$E:$E,"HAZIRAN")</f>
        <v>0</v>
      </c>
      <c r="M125" s="133">
        <f>SUMIFS(SevkAdetleri!$D:$D,SevkAdetleri!$A:$A,A125,SevkAdetleri!$E:$E,"TEMMUZ")</f>
        <v>0</v>
      </c>
      <c r="N125" s="133">
        <f>SUMIFS(SevkAdetleri!$D:$D,SevkAdetleri!$A:$A,A125,SevkAdetleri!$E:$E,"AĞUSTOS")</f>
        <v>0</v>
      </c>
      <c r="O125" s="133">
        <f>SUMIFS(SevkAdetleri!$D:$D,SevkAdetleri!$A:$A,A125,SevkAdetleri!$E:$E,"EYLÜL")</f>
        <v>0</v>
      </c>
      <c r="P125" s="133">
        <f>SUMIFS(SevkAdetleri!$D:$D,SevkAdetleri!$A:$A,A125,SevkAdetleri!$E:$E,"EKİM")</f>
        <v>0</v>
      </c>
      <c r="Q125" s="133">
        <f>SUMIFS(SevkAdetleri!$D:$D,SevkAdetleri!$A:$A,A125,SevkAdetleri!$E:$E,"KASIM")</f>
        <v>0</v>
      </c>
      <c r="R125" s="133">
        <f>SUMIFS(SevkAdetleri!$D:$D,SevkAdetleri!$A:$A,A125,SevkAdetleri!$E:$E,"ARALIK")</f>
        <v>0</v>
      </c>
    </row>
    <row r="126" spans="1:18">
      <c r="A126" s="132" t="s">
        <v>320</v>
      </c>
      <c r="B126" s="133" t="str">
        <f>VLOOKUP(Tablo810[[#This Row],[ ÜRÜN KODU]],YMKODLARI!$A$1:$H$376,2,0)</f>
        <v>SULUK 60ml KAPAK</v>
      </c>
      <c r="C126" s="133">
        <f>SUMIF(Tablo8[[ ÜRÜN KODU]],Tablo810[[#This Row],[ ÜRÜN KODU]],Tablo8[SEVK ADEDİ])-Tablo810[[#This Row],[GERİ İADE ÜRÜN]]</f>
        <v>0</v>
      </c>
      <c r="D126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126" s="133"/>
      <c r="F126" s="133">
        <f t="shared" si="1"/>
        <v>0</v>
      </c>
      <c r="G126" s="133">
        <f>SUMIFS(SevkAdetleri!$D:$D,SevkAdetleri!$A:$A,A126,SevkAdetleri!$E:$E,"OCAK")</f>
        <v>0</v>
      </c>
      <c r="H126" s="133">
        <f>SUMIFS(SevkAdetleri!$D:$D,SevkAdetleri!$A:$A,A126,SevkAdetleri!$E:$E,"ŞUBAT")</f>
        <v>0</v>
      </c>
      <c r="I126" s="133">
        <f>SUMIFS(SevkAdetleri!$D:$D,SevkAdetleri!$A:$A,A126,SevkAdetleri!$E:$E,"MART")</f>
        <v>0</v>
      </c>
      <c r="J126" s="133">
        <f>SUMIFS(SevkAdetleri!$D:$D,SevkAdetleri!$A:$A,A126,SevkAdetleri!$E:$E,"NİSAN")</f>
        <v>0</v>
      </c>
      <c r="K126" s="133">
        <f>SUMIFS(SevkAdetleri!$D:$D,SevkAdetleri!$A:$A,A126,SevkAdetleri!$E:$E,"MAYIS")</f>
        <v>0</v>
      </c>
      <c r="L126" s="133">
        <f>SUMIFS(SevkAdetleri!$D:$D,SevkAdetleri!$A:$A,A126,SevkAdetleri!$E:$E,"HAZIRAN")</f>
        <v>0</v>
      </c>
      <c r="M126" s="133">
        <f>SUMIFS(SevkAdetleri!$D:$D,SevkAdetleri!$A:$A,A126,SevkAdetleri!$E:$E,"TEMMUZ")</f>
        <v>0</v>
      </c>
      <c r="N126" s="133">
        <f>SUMIFS(SevkAdetleri!$D:$D,SevkAdetleri!$A:$A,A126,SevkAdetleri!$E:$E,"AĞUSTOS")</f>
        <v>0</v>
      </c>
      <c r="O126" s="133">
        <f>SUMIFS(SevkAdetleri!$D:$D,SevkAdetleri!$A:$A,A126,SevkAdetleri!$E:$E,"EYLÜL")</f>
        <v>0</v>
      </c>
      <c r="P126" s="133">
        <f>SUMIFS(SevkAdetleri!$D:$D,SevkAdetleri!$A:$A,A126,SevkAdetleri!$E:$E,"EKİM")</f>
        <v>0</v>
      </c>
      <c r="Q126" s="133">
        <f>SUMIFS(SevkAdetleri!$D:$D,SevkAdetleri!$A:$A,A126,SevkAdetleri!$E:$E,"KASIM")</f>
        <v>0</v>
      </c>
      <c r="R126" s="133">
        <f>SUMIFS(SevkAdetleri!$D:$D,SevkAdetleri!$A:$A,A126,SevkAdetleri!$E:$E,"ARALIK")</f>
        <v>0</v>
      </c>
    </row>
    <row r="127" spans="1:18">
      <c r="A127" s="132" t="s">
        <v>116</v>
      </c>
      <c r="B127" s="133" t="str">
        <f>VLOOKUP(Tablo810[[#This Row],[ ÜRÜN KODU]],YMKODLARI!$A$1:$H$376,2,0)</f>
        <v>SULUK 30ml KAPAK</v>
      </c>
      <c r="C127" s="133">
        <f>SUMIF(Tablo8[[ ÜRÜN KODU]],Tablo810[[#This Row],[ ÜRÜN KODU]],Tablo8[SEVK ADEDİ])-Tablo810[[#This Row],[GERİ İADE ÜRÜN]]</f>
        <v>1400</v>
      </c>
      <c r="D127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1512</v>
      </c>
      <c r="E127" s="133"/>
      <c r="F127" s="133">
        <f t="shared" si="1"/>
        <v>112</v>
      </c>
      <c r="G127" s="133">
        <f>SUMIFS(SevkAdetleri!$D:$D,SevkAdetleri!$A:$A,A127,SevkAdetleri!$E:$E,"OCAK")</f>
        <v>0</v>
      </c>
      <c r="H127" s="133">
        <f>SUMIFS(SevkAdetleri!$D:$D,SevkAdetleri!$A:$A,A127,SevkAdetleri!$E:$E,"ŞUBAT")</f>
        <v>0</v>
      </c>
      <c r="I127" s="133">
        <f>SUMIFS(SevkAdetleri!$D:$D,SevkAdetleri!$A:$A,A127,SevkAdetleri!$E:$E,"MART")</f>
        <v>0</v>
      </c>
      <c r="J127" s="133">
        <f>SUMIFS(SevkAdetleri!$D:$D,SevkAdetleri!$A:$A,A127,SevkAdetleri!$E:$E,"NİSAN")</f>
        <v>0</v>
      </c>
      <c r="K127" s="133">
        <f>SUMIFS(SevkAdetleri!$D:$D,SevkAdetleri!$A:$A,A127,SevkAdetleri!$E:$E,"MAYIS")</f>
        <v>0</v>
      </c>
      <c r="L127" s="133">
        <f>SUMIFS(SevkAdetleri!$D:$D,SevkAdetleri!$A:$A,A127,SevkAdetleri!$E:$E,"HAZIRAN")</f>
        <v>0</v>
      </c>
      <c r="M127" s="133">
        <f>SUMIFS(SevkAdetleri!$D:$D,SevkAdetleri!$A:$A,A127,SevkAdetleri!$E:$E,"TEMMUZ")</f>
        <v>0</v>
      </c>
      <c r="N127" s="133">
        <f>SUMIFS(SevkAdetleri!$D:$D,SevkAdetleri!$A:$A,A127,SevkAdetleri!$E:$E,"AĞUSTOS")</f>
        <v>0</v>
      </c>
      <c r="O127" s="133">
        <f>SUMIFS(SevkAdetleri!$D:$D,SevkAdetleri!$A:$A,A127,SevkAdetleri!$E:$E,"EYLÜL")</f>
        <v>1400</v>
      </c>
      <c r="P127" s="133">
        <f>SUMIFS(SevkAdetleri!$D:$D,SevkAdetleri!$A:$A,A127,SevkAdetleri!$E:$E,"EKİM")</f>
        <v>0</v>
      </c>
      <c r="Q127" s="133">
        <f>SUMIFS(SevkAdetleri!$D:$D,SevkAdetleri!$A:$A,A127,SevkAdetleri!$E:$E,"KASIM")</f>
        <v>0</v>
      </c>
      <c r="R127" s="133">
        <f>SUMIFS(SevkAdetleri!$D:$D,SevkAdetleri!$A:$A,A127,SevkAdetleri!$E:$E,"ARALIK")</f>
        <v>0</v>
      </c>
    </row>
    <row r="128" spans="1:18">
      <c r="A128" s="132" t="s">
        <v>82</v>
      </c>
      <c r="B128" s="133" t="str">
        <f>VLOOKUP(Tablo810[[#This Row],[ ÜRÜN KODU]],YMKODLARI!$A$1:$H$376,2,0)</f>
        <v>SULUK 30ml KAPAK</v>
      </c>
      <c r="C128" s="133">
        <f>SUMIF(Tablo8[[ ÜRÜN KODU]],Tablo810[[#This Row],[ ÜRÜN KODU]],Tablo8[SEVK ADEDİ])-Tablo810[[#This Row],[GERİ İADE ÜRÜN]]</f>
        <v>4683</v>
      </c>
      <c r="D128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4832</v>
      </c>
      <c r="E128" s="133"/>
      <c r="F128" s="133">
        <f t="shared" si="1"/>
        <v>149</v>
      </c>
      <c r="G128" s="133">
        <f>SUMIFS(SevkAdetleri!$D:$D,SevkAdetleri!$A:$A,A128,SevkAdetleri!$E:$E,"OCAK")</f>
        <v>0</v>
      </c>
      <c r="H128" s="133">
        <f>SUMIFS(SevkAdetleri!$D:$D,SevkAdetleri!$A:$A,A128,SevkAdetleri!$E:$E,"ŞUBAT")</f>
        <v>0</v>
      </c>
      <c r="I128" s="133">
        <f>SUMIFS(SevkAdetleri!$D:$D,SevkAdetleri!$A:$A,A128,SevkAdetleri!$E:$E,"MART")</f>
        <v>0</v>
      </c>
      <c r="J128" s="133">
        <f>SUMIFS(SevkAdetleri!$D:$D,SevkAdetleri!$A:$A,A128,SevkAdetleri!$E:$E,"NİSAN")</f>
        <v>0</v>
      </c>
      <c r="K128" s="133">
        <f>SUMIFS(SevkAdetleri!$D:$D,SevkAdetleri!$A:$A,A128,SevkAdetleri!$E:$E,"MAYIS")</f>
        <v>0</v>
      </c>
      <c r="L128" s="133">
        <f>SUMIFS(SevkAdetleri!$D:$D,SevkAdetleri!$A:$A,A128,SevkAdetleri!$E:$E,"HAZIRAN")</f>
        <v>3530</v>
      </c>
      <c r="M128" s="133">
        <f>SUMIFS(SevkAdetleri!$D:$D,SevkAdetleri!$A:$A,A128,SevkAdetleri!$E:$E,"TEMMUZ")</f>
        <v>0</v>
      </c>
      <c r="N128" s="133">
        <f>SUMIFS(SevkAdetleri!$D:$D,SevkAdetleri!$A:$A,A128,SevkAdetleri!$E:$E,"AĞUSTOS")</f>
        <v>0</v>
      </c>
      <c r="O128" s="133">
        <f>SUMIFS(SevkAdetleri!$D:$D,SevkAdetleri!$A:$A,A128,SevkAdetleri!$E:$E,"EYLÜL")</f>
        <v>1153</v>
      </c>
      <c r="P128" s="133">
        <f>SUMIFS(SevkAdetleri!$D:$D,SevkAdetleri!$A:$A,A128,SevkAdetleri!$E:$E,"EKİM")</f>
        <v>0</v>
      </c>
      <c r="Q128" s="133">
        <f>SUMIFS(SevkAdetleri!$D:$D,SevkAdetleri!$A:$A,A128,SevkAdetleri!$E:$E,"KASIM")</f>
        <v>0</v>
      </c>
      <c r="R128" s="133">
        <f>SUMIFS(SevkAdetleri!$D:$D,SevkAdetleri!$A:$A,A128,SevkAdetleri!$E:$E,"ARALIK")</f>
        <v>0</v>
      </c>
    </row>
    <row r="129" spans="1:18">
      <c r="A129" s="132" t="s">
        <v>119</v>
      </c>
      <c r="B129" s="133" t="str">
        <f>VLOOKUP(Tablo810[[#This Row],[ ÜRÜN KODU]],YMKODLARI!$A$1:$H$376,2,0)</f>
        <v>SULUK 30ml KAPAK</v>
      </c>
      <c r="C129" s="133">
        <f>SUMIF(Tablo8[[ ÜRÜN KODU]],Tablo810[[#This Row],[ ÜRÜN KODU]],Tablo8[SEVK ADEDİ])-Tablo810[[#This Row],[GERİ İADE ÜRÜN]]</f>
        <v>1152</v>
      </c>
      <c r="D129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1280</v>
      </c>
      <c r="E129" s="133"/>
      <c r="F129" s="133">
        <f t="shared" si="1"/>
        <v>128</v>
      </c>
      <c r="G129" s="133">
        <f>SUMIFS(SevkAdetleri!$D:$D,SevkAdetleri!$A:$A,A129,SevkAdetleri!$E:$E,"OCAK")</f>
        <v>0</v>
      </c>
      <c r="H129" s="133">
        <f>SUMIFS(SevkAdetleri!$D:$D,SevkAdetleri!$A:$A,A129,SevkAdetleri!$E:$E,"ŞUBAT")</f>
        <v>0</v>
      </c>
      <c r="I129" s="133">
        <f>SUMIFS(SevkAdetleri!$D:$D,SevkAdetleri!$A:$A,A129,SevkAdetleri!$E:$E,"MART")</f>
        <v>0</v>
      </c>
      <c r="J129" s="133">
        <f>SUMIFS(SevkAdetleri!$D:$D,SevkAdetleri!$A:$A,A129,SevkAdetleri!$E:$E,"NİSAN")</f>
        <v>0</v>
      </c>
      <c r="K129" s="133">
        <f>SUMIFS(SevkAdetleri!$D:$D,SevkAdetleri!$A:$A,A129,SevkAdetleri!$E:$E,"MAYIS")</f>
        <v>0</v>
      </c>
      <c r="L129" s="133">
        <f>SUMIFS(SevkAdetleri!$D:$D,SevkAdetleri!$A:$A,A129,SevkAdetleri!$E:$E,"HAZIRAN")</f>
        <v>0</v>
      </c>
      <c r="M129" s="133">
        <f>SUMIFS(SevkAdetleri!$D:$D,SevkAdetleri!$A:$A,A129,SevkAdetleri!$E:$E,"TEMMUZ")</f>
        <v>0</v>
      </c>
      <c r="N129" s="133">
        <f>SUMIFS(SevkAdetleri!$D:$D,SevkAdetleri!$A:$A,A129,SevkAdetleri!$E:$E,"AĞUSTOS")</f>
        <v>0</v>
      </c>
      <c r="O129" s="133">
        <f>SUMIFS(SevkAdetleri!$D:$D,SevkAdetleri!$A:$A,A129,SevkAdetleri!$E:$E,"EYLÜL")</f>
        <v>1152</v>
      </c>
      <c r="P129" s="133">
        <f>SUMIFS(SevkAdetleri!$D:$D,SevkAdetleri!$A:$A,A129,SevkAdetleri!$E:$E,"EKİM")</f>
        <v>0</v>
      </c>
      <c r="Q129" s="133">
        <f>SUMIFS(SevkAdetleri!$D:$D,SevkAdetleri!$A:$A,A129,SevkAdetleri!$E:$E,"KASIM")</f>
        <v>0</v>
      </c>
      <c r="R129" s="133">
        <f>SUMIFS(SevkAdetleri!$D:$D,SevkAdetleri!$A:$A,A129,SevkAdetleri!$E:$E,"ARALIK")</f>
        <v>0</v>
      </c>
    </row>
    <row r="130" spans="1:18">
      <c r="A130" s="132" t="s">
        <v>117</v>
      </c>
      <c r="B130" s="133" t="str">
        <f>VLOOKUP(Tablo810[[#This Row],[ ÜRÜN KODU]],YMKODLARI!$A$1:$H$376,2,0)</f>
        <v>SULUK 30ml KAPAK</v>
      </c>
      <c r="C130" s="133">
        <f>SUMIF(Tablo8[[ ÜRÜN KODU]],Tablo810[[#This Row],[ ÜRÜN KODU]],Tablo8[SEVK ADEDİ])-Tablo810[[#This Row],[GERİ İADE ÜRÜN]]</f>
        <v>1146</v>
      </c>
      <c r="D130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1264</v>
      </c>
      <c r="E130" s="133"/>
      <c r="F130" s="133">
        <f t="shared" si="1"/>
        <v>118</v>
      </c>
      <c r="G130" s="133">
        <f>SUMIFS(SevkAdetleri!$D:$D,SevkAdetleri!$A:$A,A130,SevkAdetleri!$E:$E,"OCAK")</f>
        <v>0</v>
      </c>
      <c r="H130" s="133">
        <f>SUMIFS(SevkAdetleri!$D:$D,SevkAdetleri!$A:$A,A130,SevkAdetleri!$E:$E,"ŞUBAT")</f>
        <v>0</v>
      </c>
      <c r="I130" s="133">
        <f>SUMIFS(SevkAdetleri!$D:$D,SevkAdetleri!$A:$A,A130,SevkAdetleri!$E:$E,"MART")</f>
        <v>0</v>
      </c>
      <c r="J130" s="133">
        <f>SUMIFS(SevkAdetleri!$D:$D,SevkAdetleri!$A:$A,A130,SevkAdetleri!$E:$E,"NİSAN")</f>
        <v>0</v>
      </c>
      <c r="K130" s="133">
        <f>SUMIFS(SevkAdetleri!$D:$D,SevkAdetleri!$A:$A,A130,SevkAdetleri!$E:$E,"MAYIS")</f>
        <v>0</v>
      </c>
      <c r="L130" s="133">
        <f>SUMIFS(SevkAdetleri!$D:$D,SevkAdetleri!$A:$A,A130,SevkAdetleri!$E:$E,"HAZIRAN")</f>
        <v>0</v>
      </c>
      <c r="M130" s="133">
        <f>SUMIFS(SevkAdetleri!$D:$D,SevkAdetleri!$A:$A,A130,SevkAdetleri!$E:$E,"TEMMUZ")</f>
        <v>0</v>
      </c>
      <c r="N130" s="133">
        <f>SUMIFS(SevkAdetleri!$D:$D,SevkAdetleri!$A:$A,A130,SevkAdetleri!$E:$E,"AĞUSTOS")</f>
        <v>0</v>
      </c>
      <c r="O130" s="133">
        <f>SUMIFS(SevkAdetleri!$D:$D,SevkAdetleri!$A:$A,A130,SevkAdetleri!$E:$E,"EYLÜL")</f>
        <v>1146</v>
      </c>
      <c r="P130" s="133">
        <f>SUMIFS(SevkAdetleri!$D:$D,SevkAdetleri!$A:$A,A130,SevkAdetleri!$E:$E,"EKİM")</f>
        <v>0</v>
      </c>
      <c r="Q130" s="133">
        <f>SUMIFS(SevkAdetleri!$D:$D,SevkAdetleri!$A:$A,A130,SevkAdetleri!$E:$E,"KASIM")</f>
        <v>0</v>
      </c>
      <c r="R130" s="133">
        <f>SUMIFS(SevkAdetleri!$D:$D,SevkAdetleri!$A:$A,A130,SevkAdetleri!$E:$E,"ARALIK")</f>
        <v>0</v>
      </c>
    </row>
    <row r="131" spans="1:18">
      <c r="A131" s="132" t="s">
        <v>81</v>
      </c>
      <c r="B131" s="133" t="str">
        <f>VLOOKUP(Tablo810[[#This Row],[ ÜRÜN KODU]],YMKODLARI!$A$1:$H$376,2,0)</f>
        <v>SULUK 30ml KAPAK</v>
      </c>
      <c r="C131" s="133">
        <f>SUMIF(Tablo8[[ ÜRÜN KODU]],Tablo810[[#This Row],[ ÜRÜN KODU]],Tablo8[SEVK ADEDİ])-Tablo810[[#This Row],[GERİ İADE ÜRÜN]]</f>
        <v>3358</v>
      </c>
      <c r="D131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3704</v>
      </c>
      <c r="E131" s="133"/>
      <c r="F131" s="133">
        <f t="shared" si="1"/>
        <v>346</v>
      </c>
      <c r="G131" s="133">
        <f>SUMIFS(SevkAdetleri!$D:$D,SevkAdetleri!$A:$A,A131,SevkAdetleri!$E:$E,"OCAK")</f>
        <v>0</v>
      </c>
      <c r="H131" s="133">
        <f>SUMIFS(SevkAdetleri!$D:$D,SevkAdetleri!$A:$A,A131,SevkAdetleri!$E:$E,"ŞUBAT")</f>
        <v>0</v>
      </c>
      <c r="I131" s="133">
        <f>SUMIFS(SevkAdetleri!$D:$D,SevkAdetleri!$A:$A,A131,SevkAdetleri!$E:$E,"MART")</f>
        <v>0</v>
      </c>
      <c r="J131" s="133">
        <f>SUMIFS(SevkAdetleri!$D:$D,SevkAdetleri!$A:$A,A131,SevkAdetleri!$E:$E,"NİSAN")</f>
        <v>0</v>
      </c>
      <c r="K131" s="133">
        <f>SUMIFS(SevkAdetleri!$D:$D,SevkAdetleri!$A:$A,A131,SevkAdetleri!$E:$E,"MAYIS")</f>
        <v>0</v>
      </c>
      <c r="L131" s="133">
        <f>SUMIFS(SevkAdetleri!$D:$D,SevkAdetleri!$A:$A,A131,SevkAdetleri!$E:$E,"HAZIRAN")</f>
        <v>2271</v>
      </c>
      <c r="M131" s="133">
        <f>SUMIFS(SevkAdetleri!$D:$D,SevkAdetleri!$A:$A,A131,SevkAdetleri!$E:$E,"TEMMUZ")</f>
        <v>0</v>
      </c>
      <c r="N131" s="133">
        <f>SUMIFS(SevkAdetleri!$D:$D,SevkAdetleri!$A:$A,A131,SevkAdetleri!$E:$E,"AĞUSTOS")</f>
        <v>0</v>
      </c>
      <c r="O131" s="133">
        <f>SUMIFS(SevkAdetleri!$D:$D,SevkAdetleri!$A:$A,A131,SevkAdetleri!$E:$E,"EYLÜL")</f>
        <v>1087</v>
      </c>
      <c r="P131" s="133">
        <f>SUMIFS(SevkAdetleri!$D:$D,SevkAdetleri!$A:$A,A131,SevkAdetleri!$E:$E,"EKİM")</f>
        <v>0</v>
      </c>
      <c r="Q131" s="133">
        <f>SUMIFS(SevkAdetleri!$D:$D,SevkAdetleri!$A:$A,A131,SevkAdetleri!$E:$E,"KASIM")</f>
        <v>0</v>
      </c>
      <c r="R131" s="133">
        <f>SUMIFS(SevkAdetleri!$D:$D,SevkAdetleri!$A:$A,A131,SevkAdetleri!$E:$E,"ARALIK")</f>
        <v>0</v>
      </c>
    </row>
    <row r="132" spans="1:18">
      <c r="A132" s="132" t="s">
        <v>118</v>
      </c>
      <c r="B132" s="133" t="str">
        <f>VLOOKUP(Tablo810[[#This Row],[ ÜRÜN KODU]],YMKODLARI!$A$1:$H$376,2,0)</f>
        <v>SULUK 30ml KAPAK</v>
      </c>
      <c r="C132" s="133">
        <f>SUMIF(Tablo8[[ ÜRÜN KODU]],Tablo810[[#This Row],[ ÜRÜN KODU]],Tablo8[SEVK ADEDİ])-Tablo810[[#This Row],[GERİ İADE ÜRÜN]]</f>
        <v>620</v>
      </c>
      <c r="D132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700</v>
      </c>
      <c r="E132" s="133"/>
      <c r="F132" s="133">
        <f t="shared" si="1"/>
        <v>80</v>
      </c>
      <c r="G132" s="133">
        <f>SUMIFS(SevkAdetleri!$D:$D,SevkAdetleri!$A:$A,A132,SevkAdetleri!$E:$E,"OCAK")</f>
        <v>0</v>
      </c>
      <c r="H132" s="133">
        <f>SUMIFS(SevkAdetleri!$D:$D,SevkAdetleri!$A:$A,A132,SevkAdetleri!$E:$E,"ŞUBAT")</f>
        <v>0</v>
      </c>
      <c r="I132" s="133">
        <f>SUMIFS(SevkAdetleri!$D:$D,SevkAdetleri!$A:$A,A132,SevkAdetleri!$E:$E,"MART")</f>
        <v>0</v>
      </c>
      <c r="J132" s="133">
        <f>SUMIFS(SevkAdetleri!$D:$D,SevkAdetleri!$A:$A,A132,SevkAdetleri!$E:$E,"NİSAN")</f>
        <v>0</v>
      </c>
      <c r="K132" s="133">
        <f>SUMIFS(SevkAdetleri!$D:$D,SevkAdetleri!$A:$A,A132,SevkAdetleri!$E:$E,"MAYIS")</f>
        <v>0</v>
      </c>
      <c r="L132" s="133">
        <f>SUMIFS(SevkAdetleri!$D:$D,SevkAdetleri!$A:$A,A132,SevkAdetleri!$E:$E,"HAZIRAN")</f>
        <v>0</v>
      </c>
      <c r="M132" s="133">
        <f>SUMIFS(SevkAdetleri!$D:$D,SevkAdetleri!$A:$A,A132,SevkAdetleri!$E:$E,"TEMMUZ")</f>
        <v>0</v>
      </c>
      <c r="N132" s="133">
        <f>SUMIFS(SevkAdetleri!$D:$D,SevkAdetleri!$A:$A,A132,SevkAdetleri!$E:$E,"AĞUSTOS")</f>
        <v>0</v>
      </c>
      <c r="O132" s="133">
        <f>SUMIFS(SevkAdetleri!$D:$D,SevkAdetleri!$A:$A,A132,SevkAdetleri!$E:$E,"EYLÜL")</f>
        <v>620</v>
      </c>
      <c r="P132" s="133">
        <f>SUMIFS(SevkAdetleri!$D:$D,SevkAdetleri!$A:$A,A132,SevkAdetleri!$E:$E,"EKİM")</f>
        <v>0</v>
      </c>
      <c r="Q132" s="133">
        <f>SUMIFS(SevkAdetleri!$D:$D,SevkAdetleri!$A:$A,A132,SevkAdetleri!$E:$E,"KASIM")</f>
        <v>0</v>
      </c>
      <c r="R132" s="133">
        <f>SUMIFS(SevkAdetleri!$D:$D,SevkAdetleri!$A:$A,A132,SevkAdetleri!$E:$E,"ARALIK")</f>
        <v>0</v>
      </c>
    </row>
    <row r="133" spans="1:18">
      <c r="A133" s="132" t="s">
        <v>165</v>
      </c>
      <c r="B133" s="133" t="str">
        <f>VLOOKUP(Tablo810[[#This Row],[ ÜRÜN KODU]],YMKODLARI!$A$1:$H$376,2,0)</f>
        <v>MAMA TABAĞI KAPAĞI</v>
      </c>
      <c r="C133" s="133">
        <f>SUMIF(Tablo8[[ ÜRÜN KODU]],Tablo810[[#This Row],[ ÜRÜN KODU]],Tablo8[SEVK ADEDİ])-Tablo810[[#This Row],[GERİ İADE ÜRÜN]]</f>
        <v>423</v>
      </c>
      <c r="D133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591</v>
      </c>
      <c r="E133" s="133"/>
      <c r="F133" s="133">
        <f t="shared" si="1"/>
        <v>168</v>
      </c>
      <c r="G133" s="133">
        <f>SUMIFS(SevkAdetleri!$D:$D,SevkAdetleri!$A:$A,A133,SevkAdetleri!$E:$E,"OCAK")</f>
        <v>0</v>
      </c>
      <c r="H133" s="133">
        <f>SUMIFS(SevkAdetleri!$D:$D,SevkAdetleri!$A:$A,A133,SevkAdetleri!$E:$E,"ŞUBAT")</f>
        <v>0</v>
      </c>
      <c r="I133" s="133">
        <f>SUMIFS(SevkAdetleri!$D:$D,SevkAdetleri!$A:$A,A133,SevkAdetleri!$E:$E,"MART")</f>
        <v>423</v>
      </c>
      <c r="J133" s="133">
        <f>SUMIFS(SevkAdetleri!$D:$D,SevkAdetleri!$A:$A,A133,SevkAdetleri!$E:$E,"NİSAN")</f>
        <v>0</v>
      </c>
      <c r="K133" s="133">
        <f>SUMIFS(SevkAdetleri!$D:$D,SevkAdetleri!$A:$A,A133,SevkAdetleri!$E:$E,"MAYIS")</f>
        <v>0</v>
      </c>
      <c r="L133" s="133">
        <f>SUMIFS(SevkAdetleri!$D:$D,SevkAdetleri!$A:$A,A133,SevkAdetleri!$E:$E,"HAZIRAN")</f>
        <v>0</v>
      </c>
      <c r="M133" s="133">
        <f>SUMIFS(SevkAdetleri!$D:$D,SevkAdetleri!$A:$A,A133,SevkAdetleri!$E:$E,"TEMMUZ")</f>
        <v>0</v>
      </c>
      <c r="N133" s="133">
        <f>SUMIFS(SevkAdetleri!$D:$D,SevkAdetleri!$A:$A,A133,SevkAdetleri!$E:$E,"AĞUSTOS")</f>
        <v>0</v>
      </c>
      <c r="O133" s="133">
        <f>SUMIFS(SevkAdetleri!$D:$D,SevkAdetleri!$A:$A,A133,SevkAdetleri!$E:$E,"EYLÜL")</f>
        <v>0</v>
      </c>
      <c r="P133" s="133">
        <f>SUMIFS(SevkAdetleri!$D:$D,SevkAdetleri!$A:$A,A133,SevkAdetleri!$E:$E,"EKİM")</f>
        <v>0</v>
      </c>
      <c r="Q133" s="133">
        <f>SUMIFS(SevkAdetleri!$D:$D,SevkAdetleri!$A:$A,A133,SevkAdetleri!$E:$E,"KASIM")</f>
        <v>0</v>
      </c>
      <c r="R133" s="133">
        <f>SUMIFS(SevkAdetleri!$D:$D,SevkAdetleri!$A:$A,A133,SevkAdetleri!$E:$E,"ARALIK")</f>
        <v>0</v>
      </c>
    </row>
    <row r="134" spans="1:18">
      <c r="A134" s="132" t="s">
        <v>214</v>
      </c>
      <c r="B134" s="133" t="str">
        <f>VLOOKUP(Tablo810[[#This Row],[ ÜRÜN KODU]],YMKODLARI!$A$1:$H$376,2,0)</f>
        <v>EMZİK KAPAĞI</v>
      </c>
      <c r="C134" s="133">
        <f>SUMIF(Tablo8[[ ÜRÜN KODU]],Tablo810[[#This Row],[ ÜRÜN KODU]],Tablo8[SEVK ADEDİ])-Tablo810[[#This Row],[GERİ İADE ÜRÜN]]</f>
        <v>43369</v>
      </c>
      <c r="D134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47112</v>
      </c>
      <c r="E134" s="133"/>
      <c r="F134" s="133">
        <f t="shared" si="1"/>
        <v>3743</v>
      </c>
      <c r="G134" s="133">
        <f>SUMIFS(SevkAdetleri!$D:$D,SevkAdetleri!$A:$A,A134,SevkAdetleri!$E:$E,"OCAK")</f>
        <v>0</v>
      </c>
      <c r="H134" s="133">
        <f>SUMIFS(SevkAdetleri!$D:$D,SevkAdetleri!$A:$A,A134,SevkAdetleri!$E:$E,"ŞUBAT")</f>
        <v>0</v>
      </c>
      <c r="I134" s="133">
        <f>SUMIFS(SevkAdetleri!$D:$D,SevkAdetleri!$A:$A,A134,SevkAdetleri!$E:$E,"MART")</f>
        <v>20110</v>
      </c>
      <c r="J134" s="133">
        <f>SUMIFS(SevkAdetleri!$D:$D,SevkAdetleri!$A:$A,A134,SevkAdetleri!$E:$E,"NİSAN")</f>
        <v>0</v>
      </c>
      <c r="K134" s="133">
        <f>SUMIFS(SevkAdetleri!$D:$D,SevkAdetleri!$A:$A,A134,SevkAdetleri!$E:$E,"MAYIS")</f>
        <v>0</v>
      </c>
      <c r="L134" s="133">
        <f>SUMIFS(SevkAdetleri!$D:$D,SevkAdetleri!$A:$A,A134,SevkAdetleri!$E:$E,"HAZIRAN")</f>
        <v>0</v>
      </c>
      <c r="M134" s="133">
        <f>SUMIFS(SevkAdetleri!$D:$D,SevkAdetleri!$A:$A,A134,SevkAdetleri!$E:$E,"TEMMUZ")</f>
        <v>0</v>
      </c>
      <c r="N134" s="133">
        <f>SUMIFS(SevkAdetleri!$D:$D,SevkAdetleri!$A:$A,A134,SevkAdetleri!$E:$E,"AĞUSTOS")</f>
        <v>0</v>
      </c>
      <c r="O134" s="133">
        <f>SUMIFS(SevkAdetleri!$D:$D,SevkAdetleri!$A:$A,A134,SevkAdetleri!$E:$E,"EYLÜL")</f>
        <v>23259</v>
      </c>
      <c r="P134" s="133">
        <f>SUMIFS(SevkAdetleri!$D:$D,SevkAdetleri!$A:$A,A134,SevkAdetleri!$E:$E,"EKİM")</f>
        <v>0</v>
      </c>
      <c r="Q134" s="133">
        <f>SUMIFS(SevkAdetleri!$D:$D,SevkAdetleri!$A:$A,A134,SevkAdetleri!$E:$E,"KASIM")</f>
        <v>0</v>
      </c>
      <c r="R134" s="133">
        <f>SUMIFS(SevkAdetleri!$D:$D,SevkAdetleri!$A:$A,A134,SevkAdetleri!$E:$E,"ARALIK")</f>
        <v>0</v>
      </c>
    </row>
    <row r="135" spans="1:18">
      <c r="A135" s="132" t="s">
        <v>222</v>
      </c>
      <c r="B135" s="133" t="str">
        <f>VLOOKUP(Tablo810[[#This Row],[ ÜRÜN KODU]],YMKODLARI!$A$1:$H$376,2,0)</f>
        <v>YENİ EMZİK KAPAĞI</v>
      </c>
      <c r="C135" s="133">
        <f>SUMIF(Tablo8[[ ÜRÜN KODU]],Tablo810[[#This Row],[ ÜRÜN KODU]],Tablo8[SEVK ADEDİ])-Tablo810[[#This Row],[GERİ İADE ÜRÜN]]</f>
        <v>14126</v>
      </c>
      <c r="D135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14176</v>
      </c>
      <c r="E135" s="133"/>
      <c r="F135" s="133">
        <f>(D135-C135)+E135</f>
        <v>50</v>
      </c>
      <c r="G135" s="134">
        <f>SUMIFS(SevkAdetleri!$D:$D,SevkAdetleri!$A:$A,A135,SevkAdetleri!$E:$E,"OCAK")</f>
        <v>0</v>
      </c>
      <c r="H135" s="133">
        <f>SUMIFS(SevkAdetleri!$D:$D,SevkAdetleri!$A:$A,A135,SevkAdetleri!$E:$E,"ŞUBAT")</f>
        <v>0</v>
      </c>
      <c r="I135" s="133">
        <f>SUMIFS(SevkAdetleri!$D:$D,SevkAdetleri!$A:$A,A135,SevkAdetleri!$E:$E,"MART")</f>
        <v>0</v>
      </c>
      <c r="J135" s="133">
        <f>SUMIFS(SevkAdetleri!$D:$D,SevkAdetleri!$A:$A,A135,SevkAdetleri!$E:$E,"NİSAN")</f>
        <v>0</v>
      </c>
      <c r="K135" s="133">
        <f>SUMIFS(SevkAdetleri!$D:$D,SevkAdetleri!$A:$A,A135,SevkAdetleri!$E:$E,"MAYIS")</f>
        <v>0</v>
      </c>
      <c r="L135" s="133">
        <f>SUMIFS(SevkAdetleri!$D:$D,SevkAdetleri!$A:$A,A135,SevkAdetleri!$E:$E,"HAZIRAN")</f>
        <v>14126</v>
      </c>
      <c r="M135" s="133">
        <f>SUMIFS(SevkAdetleri!$D:$D,SevkAdetleri!$A:$A,A135,SevkAdetleri!$E:$E,"TEMMUZ")</f>
        <v>0</v>
      </c>
      <c r="N135" s="133">
        <f>SUMIFS(SevkAdetleri!$D:$D,SevkAdetleri!$A:$A,A135,SevkAdetleri!$E:$E,"AĞUSTOS")</f>
        <v>0</v>
      </c>
      <c r="O135" s="133">
        <f>SUMIFS(SevkAdetleri!$D:$D,SevkAdetleri!$A:$A,A135,SevkAdetleri!$E:$E,"EYLÜL")</f>
        <v>0</v>
      </c>
      <c r="P135" s="133">
        <f>SUMIFS(SevkAdetleri!$D:$D,SevkAdetleri!$A:$A,A135,SevkAdetleri!$E:$E,"EKİM")</f>
        <v>0</v>
      </c>
      <c r="Q135" s="133">
        <f>SUMIFS(SevkAdetleri!$D:$D,SevkAdetleri!$A:$A,A135,SevkAdetleri!$E:$E,"KASIM")</f>
        <v>0</v>
      </c>
      <c r="R135" s="133">
        <f>SUMIFS(SevkAdetleri!$D:$D,SevkAdetleri!$A:$A,A135,SevkAdetleri!$E:$E,"ARALIK")</f>
        <v>0</v>
      </c>
    </row>
    <row r="136" spans="1:18">
      <c r="A136" s="132" t="s">
        <v>209</v>
      </c>
      <c r="B136" s="133" t="str">
        <f>VLOOKUP(Tablo810[[#This Row],[ ÜRÜN KODU]],YMKODLARI!$A$1:$H$376,2,0)</f>
        <v>125 ml BARDAK SULUK</v>
      </c>
      <c r="C136" s="133">
        <f>SUMIF(Tablo8[[ ÜRÜN KODU]],Tablo810[[#This Row],[ ÜRÜN KODU]],Tablo8[SEVK ADEDİ])-Tablo810[[#This Row],[GERİ İADE ÜRÜN]]</f>
        <v>3528</v>
      </c>
      <c r="D136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3876</v>
      </c>
      <c r="E136" s="133"/>
      <c r="F136" s="133">
        <f t="shared" si="1"/>
        <v>348</v>
      </c>
      <c r="G136" s="133">
        <f>SUMIFS(SevkAdetleri!$D:$D,SevkAdetleri!$A:$A,A136,SevkAdetleri!$E:$E,"OCAK")</f>
        <v>3528</v>
      </c>
      <c r="H136" s="133">
        <f>SUMIFS(SevkAdetleri!$D:$D,SevkAdetleri!$A:$A,A136,SevkAdetleri!$E:$E,"ŞUBAT")</f>
        <v>0</v>
      </c>
      <c r="I136" s="133">
        <f>SUMIFS(SevkAdetleri!$D:$D,SevkAdetleri!$A:$A,A136,SevkAdetleri!$E:$E,"MART")</f>
        <v>0</v>
      </c>
      <c r="J136" s="133">
        <f>SUMIFS(SevkAdetleri!$D:$D,SevkAdetleri!$A:$A,A136,SevkAdetleri!$E:$E,"NİSAN")</f>
        <v>0</v>
      </c>
      <c r="K136" s="133">
        <f>SUMIFS(SevkAdetleri!$D:$D,SevkAdetleri!$A:$A,A136,SevkAdetleri!$E:$E,"MAYIS")</f>
        <v>0</v>
      </c>
      <c r="L136" s="133">
        <f>SUMIFS(SevkAdetleri!$D:$D,SevkAdetleri!$A:$A,A136,SevkAdetleri!$E:$E,"HAZIRAN")</f>
        <v>0</v>
      </c>
      <c r="M136" s="133">
        <f>SUMIFS(SevkAdetleri!$D:$D,SevkAdetleri!$A:$A,A136,SevkAdetleri!$E:$E,"TEMMUZ")</f>
        <v>0</v>
      </c>
      <c r="N136" s="133">
        <f>SUMIFS(SevkAdetleri!$D:$D,SevkAdetleri!$A:$A,A136,SevkAdetleri!$E:$E,"AĞUSTOS")</f>
        <v>0</v>
      </c>
      <c r="O136" s="133">
        <f>SUMIFS(SevkAdetleri!$D:$D,SevkAdetleri!$A:$A,A136,SevkAdetleri!$E:$E,"EYLÜL")</f>
        <v>0</v>
      </c>
      <c r="P136" s="133">
        <f>SUMIFS(SevkAdetleri!$D:$D,SevkAdetleri!$A:$A,A136,SevkAdetleri!$E:$E,"EKİM")</f>
        <v>0</v>
      </c>
      <c r="Q136" s="133">
        <f>SUMIFS(SevkAdetleri!$D:$D,SevkAdetleri!$A:$A,A136,SevkAdetleri!$E:$E,"KASIM")</f>
        <v>0</v>
      </c>
      <c r="R136" s="133">
        <f>SUMIFS(SevkAdetleri!$D:$D,SevkAdetleri!$A:$A,A136,SevkAdetleri!$E:$E,"ARALIK")</f>
        <v>0</v>
      </c>
    </row>
    <row r="137" spans="1:18">
      <c r="A137" s="132" t="s">
        <v>80</v>
      </c>
      <c r="B137" s="133" t="str">
        <f>VLOOKUP(Tablo810[[#This Row],[ ÜRÜN KODU]],YMKODLARI!$A$1:$H$376,2,0)</f>
        <v>60 ml BARDAK SULUK</v>
      </c>
      <c r="C137" s="133">
        <f>SUMIF(Tablo8[[ ÜRÜN KODU]],Tablo810[[#This Row],[ ÜRÜN KODU]],Tablo8[SEVK ADEDİ])-Tablo810[[#This Row],[GERİ İADE ÜRÜN]]</f>
        <v>1600</v>
      </c>
      <c r="D137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2792</v>
      </c>
      <c r="E137" s="133"/>
      <c r="F137" s="133">
        <f t="shared" si="1"/>
        <v>1192</v>
      </c>
      <c r="G137" s="133">
        <f>SUMIFS(SevkAdetleri!$D:$D,SevkAdetleri!$A:$A,A137,SevkAdetleri!$E:$E,"OCAK")</f>
        <v>0</v>
      </c>
      <c r="H137" s="133">
        <f>SUMIFS(SevkAdetleri!$D:$D,SevkAdetleri!$A:$A,A137,SevkAdetleri!$E:$E,"ŞUBAT")</f>
        <v>0</v>
      </c>
      <c r="I137" s="133">
        <f>SUMIFS(SevkAdetleri!$D:$D,SevkAdetleri!$A:$A,A137,SevkAdetleri!$E:$E,"MART")</f>
        <v>0</v>
      </c>
      <c r="J137" s="133">
        <f>SUMIFS(SevkAdetleri!$D:$D,SevkAdetleri!$A:$A,A137,SevkAdetleri!$E:$E,"NİSAN")</f>
        <v>0</v>
      </c>
      <c r="K137" s="133">
        <f>SUMIFS(SevkAdetleri!$D:$D,SevkAdetleri!$A:$A,A137,SevkAdetleri!$E:$E,"MAYIS")</f>
        <v>0</v>
      </c>
      <c r="L137" s="133">
        <f>SUMIFS(SevkAdetleri!$D:$D,SevkAdetleri!$A:$A,A137,SevkAdetleri!$E:$E,"HAZIRAN")</f>
        <v>1600</v>
      </c>
      <c r="M137" s="133">
        <f>SUMIFS(SevkAdetleri!$D:$D,SevkAdetleri!$A:$A,A137,SevkAdetleri!$E:$E,"TEMMUZ")</f>
        <v>0</v>
      </c>
      <c r="N137" s="133">
        <f>SUMIFS(SevkAdetleri!$D:$D,SevkAdetleri!$A:$A,A137,SevkAdetleri!$E:$E,"AĞUSTOS")</f>
        <v>0</v>
      </c>
      <c r="O137" s="133">
        <f>SUMIFS(SevkAdetleri!$D:$D,SevkAdetleri!$A:$A,A137,SevkAdetleri!$E:$E,"EYLÜL")</f>
        <v>0</v>
      </c>
      <c r="P137" s="133">
        <f>SUMIFS(SevkAdetleri!$D:$D,SevkAdetleri!$A:$A,A137,SevkAdetleri!$E:$E,"EKİM")</f>
        <v>0</v>
      </c>
      <c r="Q137" s="133">
        <f>SUMIFS(SevkAdetleri!$D:$D,SevkAdetleri!$A:$A,A137,SevkAdetleri!$E:$E,"KASIM")</f>
        <v>0</v>
      </c>
      <c r="R137" s="133">
        <f>SUMIFS(SevkAdetleri!$D:$D,SevkAdetleri!$A:$A,A137,SevkAdetleri!$E:$E,"ARALIK")</f>
        <v>0</v>
      </c>
    </row>
    <row r="138" spans="1:18">
      <c r="A138" s="132" t="s">
        <v>321</v>
      </c>
      <c r="B138" s="133" t="str">
        <f>VLOOKUP(Tablo810[[#This Row],[ ÜRÜN KODU]],YMKODLARI!$A$1:$H$376,2,0)</f>
        <v>KULPLU BİBERON VİDA</v>
      </c>
      <c r="C138" s="133">
        <f>SUMIF(Tablo8[[ ÜRÜN KODU]],Tablo810[[#This Row],[ ÜRÜN KODU]],Tablo8[SEVK ADEDİ])-Tablo810[[#This Row],[GERİ İADE ÜRÜN]]</f>
        <v>0</v>
      </c>
      <c r="D138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138" s="133"/>
      <c r="F138" s="133">
        <f t="shared" si="1"/>
        <v>0</v>
      </c>
      <c r="G138" s="133">
        <f>SUMIFS(SevkAdetleri!$D:$D,SevkAdetleri!$A:$A,A138,SevkAdetleri!$E:$E,"OCAK")</f>
        <v>0</v>
      </c>
      <c r="H138" s="133">
        <f>SUMIFS(SevkAdetleri!$D:$D,SevkAdetleri!$A:$A,A138,SevkAdetleri!$E:$E,"ŞUBAT")</f>
        <v>0</v>
      </c>
      <c r="I138" s="133">
        <f>SUMIFS(SevkAdetleri!$D:$D,SevkAdetleri!$A:$A,A138,SevkAdetleri!$E:$E,"MART")</f>
        <v>0</v>
      </c>
      <c r="J138" s="133">
        <f>SUMIFS(SevkAdetleri!$D:$D,SevkAdetleri!$A:$A,A138,SevkAdetleri!$E:$E,"NİSAN")</f>
        <v>0</v>
      </c>
      <c r="K138" s="133">
        <f>SUMIFS(SevkAdetleri!$D:$D,SevkAdetleri!$A:$A,A138,SevkAdetleri!$E:$E,"MAYIS")</f>
        <v>0</v>
      </c>
      <c r="L138" s="133">
        <f>SUMIFS(SevkAdetleri!$D:$D,SevkAdetleri!$A:$A,A138,SevkAdetleri!$E:$E,"HAZIRAN")</f>
        <v>0</v>
      </c>
      <c r="M138" s="133">
        <f>SUMIFS(SevkAdetleri!$D:$D,SevkAdetleri!$A:$A,A138,SevkAdetleri!$E:$E,"TEMMUZ")</f>
        <v>0</v>
      </c>
      <c r="N138" s="133">
        <f>SUMIFS(SevkAdetleri!$D:$D,SevkAdetleri!$A:$A,A138,SevkAdetleri!$E:$E,"AĞUSTOS")</f>
        <v>0</v>
      </c>
      <c r="O138" s="133">
        <f>SUMIFS(SevkAdetleri!$D:$D,SevkAdetleri!$A:$A,A138,SevkAdetleri!$E:$E,"EYLÜL")</f>
        <v>0</v>
      </c>
      <c r="P138" s="133">
        <f>SUMIFS(SevkAdetleri!$D:$D,SevkAdetleri!$A:$A,A138,SevkAdetleri!$E:$E,"EKİM")</f>
        <v>0</v>
      </c>
      <c r="Q138" s="133">
        <f>SUMIFS(SevkAdetleri!$D:$D,SevkAdetleri!$A:$A,A138,SevkAdetleri!$E:$E,"KASIM")</f>
        <v>0</v>
      </c>
      <c r="R138" s="133">
        <f>SUMIFS(SevkAdetleri!$D:$D,SevkAdetleri!$A:$A,A138,SevkAdetleri!$E:$E,"ARALIK")</f>
        <v>0</v>
      </c>
    </row>
    <row r="139" spans="1:18">
      <c r="A139" s="132" t="s">
        <v>206</v>
      </c>
      <c r="B139" s="133" t="str">
        <f>VLOOKUP(Tablo810[[#This Row],[ ÜRÜN KODU]],YMKODLARI!$A$1:$H$376,2,0)</f>
        <v>KULPLU BİBERON VİDA</v>
      </c>
      <c r="C139" s="133">
        <f>SUMIF(Tablo8[[ ÜRÜN KODU]],Tablo810[[#This Row],[ ÜRÜN KODU]],Tablo8[SEVK ADEDİ])-Tablo810[[#This Row],[GERİ İADE ÜRÜN]]</f>
        <v>7588</v>
      </c>
      <c r="D139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7944</v>
      </c>
      <c r="E139" s="133"/>
      <c r="F139" s="133">
        <f t="shared" si="1"/>
        <v>356</v>
      </c>
      <c r="G139" s="133">
        <f>SUMIFS(SevkAdetleri!$D:$D,SevkAdetleri!$A:$A,A139,SevkAdetleri!$E:$E,"OCAK")</f>
        <v>0</v>
      </c>
      <c r="H139" s="133">
        <f>SUMIFS(SevkAdetleri!$D:$D,SevkAdetleri!$A:$A,A139,SevkAdetleri!$E:$E,"ŞUBAT")</f>
        <v>3518</v>
      </c>
      <c r="I139" s="133">
        <f>SUMIFS(SevkAdetleri!$D:$D,SevkAdetleri!$A:$A,A139,SevkAdetleri!$E:$E,"MART")</f>
        <v>0</v>
      </c>
      <c r="J139" s="133">
        <f>SUMIFS(SevkAdetleri!$D:$D,SevkAdetleri!$A:$A,A139,SevkAdetleri!$E:$E,"NİSAN")</f>
        <v>0</v>
      </c>
      <c r="K139" s="133">
        <f>SUMIFS(SevkAdetleri!$D:$D,SevkAdetleri!$A:$A,A139,SevkAdetleri!$E:$E,"MAYIS")</f>
        <v>0</v>
      </c>
      <c r="L139" s="133">
        <f>SUMIFS(SevkAdetleri!$D:$D,SevkAdetleri!$A:$A,A139,SevkAdetleri!$E:$E,"HAZIRAN")</f>
        <v>0</v>
      </c>
      <c r="M139" s="133">
        <f>SUMIFS(SevkAdetleri!$D:$D,SevkAdetleri!$A:$A,A139,SevkAdetleri!$E:$E,"TEMMUZ")</f>
        <v>0</v>
      </c>
      <c r="N139" s="133">
        <f>SUMIFS(SevkAdetleri!$D:$D,SevkAdetleri!$A:$A,A139,SevkAdetleri!$E:$E,"AĞUSTOS")</f>
        <v>0</v>
      </c>
      <c r="O139" s="133">
        <f>SUMIFS(SevkAdetleri!$D:$D,SevkAdetleri!$A:$A,A139,SevkAdetleri!$E:$E,"EYLÜL")</f>
        <v>4070</v>
      </c>
      <c r="P139" s="133">
        <f>SUMIFS(SevkAdetleri!$D:$D,SevkAdetleri!$A:$A,A139,SevkAdetleri!$E:$E,"EKİM")</f>
        <v>0</v>
      </c>
      <c r="Q139" s="133">
        <f>SUMIFS(SevkAdetleri!$D:$D,SevkAdetleri!$A:$A,A139,SevkAdetleri!$E:$E,"KASIM")</f>
        <v>0</v>
      </c>
      <c r="R139" s="133">
        <f>SUMIFS(SevkAdetleri!$D:$D,SevkAdetleri!$A:$A,A139,SevkAdetleri!$E:$E,"ARALIK")</f>
        <v>0</v>
      </c>
    </row>
    <row r="140" spans="1:18">
      <c r="A140" s="132" t="s">
        <v>207</v>
      </c>
      <c r="B140" s="133" t="str">
        <f>VLOOKUP(Tablo810[[#This Row],[ ÜRÜN KODU]],YMKODLARI!$A$1:$H$376,2,0)</f>
        <v>KULPLU BİBERON VİDA</v>
      </c>
      <c r="C140" s="133">
        <f>SUMIF(Tablo8[[ ÜRÜN KODU]],Tablo810[[#This Row],[ ÜRÜN KODU]],Tablo8[SEVK ADEDİ])-Tablo810[[#This Row],[GERİ İADE ÜRÜN]]</f>
        <v>3052</v>
      </c>
      <c r="D140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3324</v>
      </c>
      <c r="E140" s="133"/>
      <c r="F140" s="133">
        <f t="shared" si="1"/>
        <v>272</v>
      </c>
      <c r="G140" s="133">
        <f>SUMIFS(SevkAdetleri!$D:$D,SevkAdetleri!$A:$A,A140,SevkAdetleri!$E:$E,"OCAK")</f>
        <v>0</v>
      </c>
      <c r="H140" s="133">
        <f>SUMIFS(SevkAdetleri!$D:$D,SevkAdetleri!$A:$A,A140,SevkAdetleri!$E:$E,"ŞUBAT")</f>
        <v>0</v>
      </c>
      <c r="I140" s="133">
        <f>SUMIFS(SevkAdetleri!$D:$D,SevkAdetleri!$A:$A,A140,SevkAdetleri!$E:$E,"MART")</f>
        <v>0</v>
      </c>
      <c r="J140" s="133">
        <f>SUMIFS(SevkAdetleri!$D:$D,SevkAdetleri!$A:$A,A140,SevkAdetleri!$E:$E,"NİSAN")</f>
        <v>0</v>
      </c>
      <c r="K140" s="133">
        <f>SUMIFS(SevkAdetleri!$D:$D,SevkAdetleri!$A:$A,A140,SevkAdetleri!$E:$E,"MAYIS")</f>
        <v>0</v>
      </c>
      <c r="L140" s="133">
        <f>SUMIFS(SevkAdetleri!$D:$D,SevkAdetleri!$A:$A,A140,SevkAdetleri!$E:$E,"HAZIRAN")</f>
        <v>0</v>
      </c>
      <c r="M140" s="133">
        <f>SUMIFS(SevkAdetleri!$D:$D,SevkAdetleri!$A:$A,A140,SevkAdetleri!$E:$E,"TEMMUZ")</f>
        <v>0</v>
      </c>
      <c r="N140" s="133">
        <f>SUMIFS(SevkAdetleri!$D:$D,SevkAdetleri!$A:$A,A140,SevkAdetleri!$E:$E,"AĞUSTOS")</f>
        <v>0</v>
      </c>
      <c r="O140" s="133">
        <f>SUMIFS(SevkAdetleri!$D:$D,SevkAdetleri!$A:$A,A140,SevkAdetleri!$E:$E,"EYLÜL")</f>
        <v>3052</v>
      </c>
      <c r="P140" s="133">
        <f>SUMIFS(SevkAdetleri!$D:$D,SevkAdetleri!$A:$A,A140,SevkAdetleri!$E:$E,"EKİM")</f>
        <v>0</v>
      </c>
      <c r="Q140" s="133">
        <f>SUMIFS(SevkAdetleri!$D:$D,SevkAdetleri!$A:$A,A140,SevkAdetleri!$E:$E,"KASIM")</f>
        <v>0</v>
      </c>
      <c r="R140" s="133">
        <f>SUMIFS(SevkAdetleri!$D:$D,SevkAdetleri!$A:$A,A140,SevkAdetleri!$E:$E,"ARALIK")</f>
        <v>0</v>
      </c>
    </row>
    <row r="141" spans="1:18">
      <c r="A141" s="132" t="s">
        <v>322</v>
      </c>
      <c r="B141" s="133" t="str">
        <f>VLOOKUP(Tablo810[[#This Row],[ ÜRÜN KODU]],YMKODLARI!$A$1:$H$376,2,0)</f>
        <v>KULPLU BİBERON VİDA</v>
      </c>
      <c r="C141" s="133">
        <f>SUMIF(Tablo8[[ ÜRÜN KODU]],Tablo810[[#This Row],[ ÜRÜN KODU]],Tablo8[SEVK ADEDİ])-Tablo810[[#This Row],[GERİ İADE ÜRÜN]]</f>
        <v>0</v>
      </c>
      <c r="D141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141" s="133"/>
      <c r="F141" s="133">
        <f t="shared" si="1"/>
        <v>0</v>
      </c>
      <c r="G141" s="133">
        <f>SUMIFS(SevkAdetleri!$D:$D,SevkAdetleri!$A:$A,A141,SevkAdetleri!$E:$E,"OCAK")</f>
        <v>0</v>
      </c>
      <c r="H141" s="133">
        <f>SUMIFS(SevkAdetleri!$D:$D,SevkAdetleri!$A:$A,A141,SevkAdetleri!$E:$E,"ŞUBAT")</f>
        <v>0</v>
      </c>
      <c r="I141" s="133">
        <f>SUMIFS(SevkAdetleri!$D:$D,SevkAdetleri!$A:$A,A141,SevkAdetleri!$E:$E,"MART")</f>
        <v>0</v>
      </c>
      <c r="J141" s="133">
        <f>SUMIFS(SevkAdetleri!$D:$D,SevkAdetleri!$A:$A,A141,SevkAdetleri!$E:$E,"NİSAN")</f>
        <v>0</v>
      </c>
      <c r="K141" s="133">
        <f>SUMIFS(SevkAdetleri!$D:$D,SevkAdetleri!$A:$A,A141,SevkAdetleri!$E:$E,"MAYIS")</f>
        <v>0</v>
      </c>
      <c r="L141" s="133">
        <f>SUMIFS(SevkAdetleri!$D:$D,SevkAdetleri!$A:$A,A141,SevkAdetleri!$E:$E,"HAZIRAN")</f>
        <v>0</v>
      </c>
      <c r="M141" s="133">
        <f>SUMIFS(SevkAdetleri!$D:$D,SevkAdetleri!$A:$A,A141,SevkAdetleri!$E:$E,"TEMMUZ")</f>
        <v>0</v>
      </c>
      <c r="N141" s="133">
        <f>SUMIFS(SevkAdetleri!$D:$D,SevkAdetleri!$A:$A,A141,SevkAdetleri!$E:$E,"AĞUSTOS")</f>
        <v>0</v>
      </c>
      <c r="O141" s="133">
        <f>SUMIFS(SevkAdetleri!$D:$D,SevkAdetleri!$A:$A,A141,SevkAdetleri!$E:$E,"EYLÜL")</f>
        <v>0</v>
      </c>
      <c r="P141" s="133">
        <f>SUMIFS(SevkAdetleri!$D:$D,SevkAdetleri!$A:$A,A141,SevkAdetleri!$E:$E,"EKİM")</f>
        <v>0</v>
      </c>
      <c r="Q141" s="133">
        <f>SUMIFS(SevkAdetleri!$D:$D,SevkAdetleri!$A:$A,A141,SevkAdetleri!$E:$E,"KASIM")</f>
        <v>0</v>
      </c>
      <c r="R141" s="133">
        <f>SUMIFS(SevkAdetleri!$D:$D,SevkAdetleri!$A:$A,A141,SevkAdetleri!$E:$E,"ARALIK")</f>
        <v>0</v>
      </c>
    </row>
    <row r="142" spans="1:18">
      <c r="A142" s="132" t="s">
        <v>205</v>
      </c>
      <c r="B142" s="133" t="str">
        <f>VLOOKUP(Tablo810[[#This Row],[ ÜRÜN KODU]],YMKODLARI!$A$1:$H$376,2,0)</f>
        <v>KULPLU BİBERON VİDA</v>
      </c>
      <c r="C142" s="133">
        <f>SUMIF(Tablo8[[ ÜRÜN KODU]],Tablo810[[#This Row],[ ÜRÜN KODU]],Tablo8[SEVK ADEDİ])-Tablo810[[#This Row],[GERİ İADE ÜRÜN]]</f>
        <v>2074</v>
      </c>
      <c r="D142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6588</v>
      </c>
      <c r="E142" s="133"/>
      <c r="F142" s="133">
        <f t="shared" si="1"/>
        <v>4514</v>
      </c>
      <c r="G142" s="133">
        <f>SUMIFS(SevkAdetleri!$D:$D,SevkAdetleri!$A:$A,A142,SevkAdetleri!$E:$E,"OCAK")</f>
        <v>0</v>
      </c>
      <c r="H142" s="133">
        <f>SUMIFS(SevkAdetleri!$D:$D,SevkAdetleri!$A:$A,A142,SevkAdetleri!$E:$E,"ŞUBAT")</f>
        <v>2074</v>
      </c>
      <c r="I142" s="133">
        <f>SUMIFS(SevkAdetleri!$D:$D,SevkAdetleri!$A:$A,A142,SevkAdetleri!$E:$E,"MART")</f>
        <v>0</v>
      </c>
      <c r="J142" s="133">
        <f>SUMIFS(SevkAdetleri!$D:$D,SevkAdetleri!$A:$A,A142,SevkAdetleri!$E:$E,"NİSAN")</f>
        <v>0</v>
      </c>
      <c r="K142" s="133">
        <f>SUMIFS(SevkAdetleri!$D:$D,SevkAdetleri!$A:$A,A142,SevkAdetleri!$E:$E,"MAYIS")</f>
        <v>0</v>
      </c>
      <c r="L142" s="133">
        <f>SUMIFS(SevkAdetleri!$D:$D,SevkAdetleri!$A:$A,A142,SevkAdetleri!$E:$E,"HAZIRAN")</f>
        <v>0</v>
      </c>
      <c r="M142" s="133">
        <f>SUMIFS(SevkAdetleri!$D:$D,SevkAdetleri!$A:$A,A142,SevkAdetleri!$E:$E,"TEMMUZ")</f>
        <v>0</v>
      </c>
      <c r="N142" s="133">
        <f>SUMIFS(SevkAdetleri!$D:$D,SevkAdetleri!$A:$A,A142,SevkAdetleri!$E:$E,"AĞUSTOS")</f>
        <v>0</v>
      </c>
      <c r="O142" s="133">
        <f>SUMIFS(SevkAdetleri!$D:$D,SevkAdetleri!$A:$A,A142,SevkAdetleri!$E:$E,"EYLÜL")</f>
        <v>0</v>
      </c>
      <c r="P142" s="133">
        <f>SUMIFS(SevkAdetleri!$D:$D,SevkAdetleri!$A:$A,A142,SevkAdetleri!$E:$E,"EKİM")</f>
        <v>0</v>
      </c>
      <c r="Q142" s="133">
        <f>SUMIFS(SevkAdetleri!$D:$D,SevkAdetleri!$A:$A,A142,SevkAdetleri!$E:$E,"KASIM")</f>
        <v>0</v>
      </c>
      <c r="R142" s="133">
        <f>SUMIFS(SevkAdetleri!$D:$D,SevkAdetleri!$A:$A,A142,SevkAdetleri!$E:$E,"ARALIK")</f>
        <v>0</v>
      </c>
    </row>
    <row r="143" spans="1:18">
      <c r="A143" s="132" t="s">
        <v>323</v>
      </c>
      <c r="B143" s="133" t="str">
        <f>VLOOKUP(Tablo810[[#This Row],[ ÜRÜN KODU]],YMKODLARI!$A$1:$H$376,2,0)</f>
        <v>KULPLU BİBERON VİDA</v>
      </c>
      <c r="C143" s="133">
        <f>SUMIF(Tablo8[[ ÜRÜN KODU]],Tablo810[[#This Row],[ ÜRÜN KODU]],Tablo8[SEVK ADEDİ])-Tablo810[[#This Row],[GERİ İADE ÜRÜN]]</f>
        <v>0</v>
      </c>
      <c r="D143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143" s="133"/>
      <c r="F143" s="133">
        <f t="shared" si="1"/>
        <v>0</v>
      </c>
      <c r="G143" s="133">
        <f>SUMIFS(SevkAdetleri!$D:$D,SevkAdetleri!$A:$A,A143,SevkAdetleri!$E:$E,"OCAK")</f>
        <v>0</v>
      </c>
      <c r="H143" s="133">
        <f>SUMIFS(SevkAdetleri!$D:$D,SevkAdetleri!$A:$A,A143,SevkAdetleri!$E:$E,"ŞUBAT")</f>
        <v>0</v>
      </c>
      <c r="I143" s="133">
        <f>SUMIFS(SevkAdetleri!$D:$D,SevkAdetleri!$A:$A,A143,SevkAdetleri!$E:$E,"MART")</f>
        <v>0</v>
      </c>
      <c r="J143" s="133">
        <f>SUMIFS(SevkAdetleri!$D:$D,SevkAdetleri!$A:$A,A143,SevkAdetleri!$E:$E,"NİSAN")</f>
        <v>0</v>
      </c>
      <c r="K143" s="133">
        <f>SUMIFS(SevkAdetleri!$D:$D,SevkAdetleri!$A:$A,A143,SevkAdetleri!$E:$E,"MAYIS")</f>
        <v>0</v>
      </c>
      <c r="L143" s="133">
        <f>SUMIFS(SevkAdetleri!$D:$D,SevkAdetleri!$A:$A,A143,SevkAdetleri!$E:$E,"HAZIRAN")</f>
        <v>0</v>
      </c>
      <c r="M143" s="133">
        <f>SUMIFS(SevkAdetleri!$D:$D,SevkAdetleri!$A:$A,A143,SevkAdetleri!$E:$E,"TEMMUZ")</f>
        <v>0</v>
      </c>
      <c r="N143" s="133">
        <f>SUMIFS(SevkAdetleri!$D:$D,SevkAdetleri!$A:$A,A143,SevkAdetleri!$E:$E,"AĞUSTOS")</f>
        <v>0</v>
      </c>
      <c r="O143" s="133">
        <f>SUMIFS(SevkAdetleri!$D:$D,SevkAdetleri!$A:$A,A143,SevkAdetleri!$E:$E,"EYLÜL")</f>
        <v>0</v>
      </c>
      <c r="P143" s="133">
        <f>SUMIFS(SevkAdetleri!$D:$D,SevkAdetleri!$A:$A,A143,SevkAdetleri!$E:$E,"EKİM")</f>
        <v>0</v>
      </c>
      <c r="Q143" s="133">
        <f>SUMIFS(SevkAdetleri!$D:$D,SevkAdetleri!$A:$A,A143,SevkAdetleri!$E:$E,"KASIM")</f>
        <v>0</v>
      </c>
      <c r="R143" s="133">
        <f>SUMIFS(SevkAdetleri!$D:$D,SevkAdetleri!$A:$A,A143,SevkAdetleri!$E:$E,"ARALIK")</f>
        <v>0</v>
      </c>
    </row>
    <row r="144" spans="1:18">
      <c r="A144" s="132" t="s">
        <v>202</v>
      </c>
      <c r="B144" s="133" t="str">
        <f>VLOOKUP(Tablo810[[#This Row],[ ÜRÜN KODU]],YMKODLARI!$A$1:$H$376,2,0)</f>
        <v xml:space="preserve"> BİBERON VİDA</v>
      </c>
      <c r="C144" s="133">
        <f>SUMIF(Tablo8[[ ÜRÜN KODU]],Tablo810[[#This Row],[ ÜRÜN KODU]],Tablo8[SEVK ADEDİ])-Tablo810[[#This Row],[GERİ İADE ÜRÜN]]</f>
        <v>39964</v>
      </c>
      <c r="D144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47992</v>
      </c>
      <c r="E144" s="133"/>
      <c r="F144" s="133">
        <f t="shared" si="1"/>
        <v>8028</v>
      </c>
      <c r="G144" s="133">
        <f>SUMIFS(SevkAdetleri!$D:$D,SevkAdetleri!$A:$A,A144,SevkAdetleri!$E:$E,"OCAK")</f>
        <v>8106</v>
      </c>
      <c r="H144" s="133">
        <f>SUMIFS(SevkAdetleri!$D:$D,SevkAdetleri!$A:$A,A144,SevkAdetleri!$E:$E,"ŞUBAT")</f>
        <v>4700</v>
      </c>
      <c r="I144" s="133">
        <f>SUMIFS(SevkAdetleri!$D:$D,SevkAdetleri!$A:$A,A144,SevkAdetleri!$E:$E,"MART")</f>
        <v>0</v>
      </c>
      <c r="J144" s="133">
        <f>SUMIFS(SevkAdetleri!$D:$D,SevkAdetleri!$A:$A,A144,SevkAdetleri!$E:$E,"NİSAN")</f>
        <v>0</v>
      </c>
      <c r="K144" s="133">
        <f>SUMIFS(SevkAdetleri!$D:$D,SevkAdetleri!$A:$A,A144,SevkAdetleri!$E:$E,"MAYIS")</f>
        <v>5000</v>
      </c>
      <c r="L144" s="133">
        <f>SUMIFS(SevkAdetleri!$D:$D,SevkAdetleri!$A:$A,A144,SevkAdetleri!$E:$E,"HAZIRAN")</f>
        <v>7714</v>
      </c>
      <c r="M144" s="133">
        <f>SUMIFS(SevkAdetleri!$D:$D,SevkAdetleri!$A:$A,A144,SevkAdetleri!$E:$E,"TEMMUZ")</f>
        <v>1289</v>
      </c>
      <c r="N144" s="133">
        <f>SUMIFS(SevkAdetleri!$D:$D,SevkAdetleri!$A:$A,A144,SevkAdetleri!$E:$E,"AĞUSTOS")</f>
        <v>5000</v>
      </c>
      <c r="O144" s="133">
        <f>SUMIFS(SevkAdetleri!$D:$D,SevkAdetleri!$A:$A,A144,SevkAdetleri!$E:$E,"EYLÜL")</f>
        <v>8155</v>
      </c>
      <c r="P144" s="133">
        <f>SUMIFS(SevkAdetleri!$D:$D,SevkAdetleri!$A:$A,A144,SevkAdetleri!$E:$E,"EKİM")</f>
        <v>0</v>
      </c>
      <c r="Q144" s="133">
        <f>SUMIFS(SevkAdetleri!$D:$D,SevkAdetleri!$A:$A,A144,SevkAdetleri!$E:$E,"KASIM")</f>
        <v>0</v>
      </c>
      <c r="R144" s="133">
        <f>SUMIFS(SevkAdetleri!$D:$D,SevkAdetleri!$A:$A,A144,SevkAdetleri!$E:$E,"ARALIK")</f>
        <v>0</v>
      </c>
    </row>
    <row r="145" spans="1:18">
      <c r="A145" s="132" t="s">
        <v>211</v>
      </c>
      <c r="B145" s="133" t="str">
        <f>VLOOKUP(Tablo810[[#This Row],[ ÜRÜN KODU]],YMKODLARI!$A$1:$H$376,2,0)</f>
        <v xml:space="preserve"> BİBERON VİDA</v>
      </c>
      <c r="C145" s="133">
        <f>SUMIF(Tablo8[[ ÜRÜN KODU]],Tablo810[[#This Row],[ ÜRÜN KODU]],Tablo8[SEVK ADEDİ])-Tablo810[[#This Row],[GERİ İADE ÜRÜN]]</f>
        <v>25564</v>
      </c>
      <c r="D145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31536</v>
      </c>
      <c r="E145" s="133"/>
      <c r="F145" s="133">
        <f t="shared" si="1"/>
        <v>5972</v>
      </c>
      <c r="G145" s="133">
        <f>SUMIFS(SevkAdetleri!$D:$D,SevkAdetleri!$A:$A,A145,SevkAdetleri!$E:$E,"OCAK")</f>
        <v>8015</v>
      </c>
      <c r="H145" s="133">
        <f>SUMIFS(SevkAdetleri!$D:$D,SevkAdetleri!$A:$A,A145,SevkAdetleri!$E:$E,"ŞUBAT")</f>
        <v>0</v>
      </c>
      <c r="I145" s="133">
        <f>SUMIFS(SevkAdetleri!$D:$D,SevkAdetleri!$A:$A,A145,SevkAdetleri!$E:$E,"MART")</f>
        <v>0</v>
      </c>
      <c r="J145" s="133">
        <f>SUMIFS(SevkAdetleri!$D:$D,SevkAdetleri!$A:$A,A145,SevkAdetleri!$E:$E,"NİSAN")</f>
        <v>0</v>
      </c>
      <c r="K145" s="133">
        <f>SUMIFS(SevkAdetleri!$D:$D,SevkAdetleri!$A:$A,A145,SevkAdetleri!$E:$E,"MAYIS")</f>
        <v>0</v>
      </c>
      <c r="L145" s="133">
        <f>SUMIFS(SevkAdetleri!$D:$D,SevkAdetleri!$A:$A,A145,SevkAdetleri!$E:$E,"HAZIRAN")</f>
        <v>5243</v>
      </c>
      <c r="M145" s="133">
        <f>SUMIFS(SevkAdetleri!$D:$D,SevkAdetleri!$A:$A,A145,SevkAdetleri!$E:$E,"TEMMUZ")</f>
        <v>2170</v>
      </c>
      <c r="N145" s="133">
        <f>SUMIFS(SevkAdetleri!$D:$D,SevkAdetleri!$A:$A,A145,SevkAdetleri!$E:$E,"AĞUSTOS")</f>
        <v>7136</v>
      </c>
      <c r="O145" s="133">
        <f>SUMIFS(SevkAdetleri!$D:$D,SevkAdetleri!$A:$A,A145,SevkAdetleri!$E:$E,"EYLÜL")</f>
        <v>0</v>
      </c>
      <c r="P145" s="133">
        <f>SUMIFS(SevkAdetleri!$D:$D,SevkAdetleri!$A:$A,A145,SevkAdetleri!$E:$E,"EKİM")</f>
        <v>0</v>
      </c>
      <c r="Q145" s="133">
        <f>SUMIFS(SevkAdetleri!$D:$D,SevkAdetleri!$A:$A,A145,SevkAdetleri!$E:$E,"KASIM")</f>
        <v>3000</v>
      </c>
      <c r="R145" s="133">
        <f>SUMIFS(SevkAdetleri!$D:$D,SevkAdetleri!$A:$A,A145,SevkAdetleri!$E:$E,"ARALIK")</f>
        <v>0</v>
      </c>
    </row>
    <row r="146" spans="1:18">
      <c r="A146" s="132" t="s">
        <v>212</v>
      </c>
      <c r="B146" s="133" t="str">
        <f>VLOOKUP(Tablo810[[#This Row],[ ÜRÜN KODU]],YMKODLARI!$A$1:$H$376,2,0)</f>
        <v xml:space="preserve"> BİBERON VİDA</v>
      </c>
      <c r="C146" s="133">
        <f>SUMIF(Tablo8[[ ÜRÜN KODU]],Tablo810[[#This Row],[ ÜRÜN KODU]],Tablo8[SEVK ADEDİ])-Tablo810[[#This Row],[GERİ İADE ÜRÜN]]</f>
        <v>14228</v>
      </c>
      <c r="D146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17576</v>
      </c>
      <c r="E146" s="133"/>
      <c r="F146" s="133">
        <f t="shared" ref="F146:F211" si="2">(D146-C146)+E146</f>
        <v>3348</v>
      </c>
      <c r="G146" s="133">
        <f>SUMIFS(SevkAdetleri!$D:$D,SevkAdetleri!$A:$A,A146,SevkAdetleri!$E:$E,"OCAK")</f>
        <v>4040</v>
      </c>
      <c r="H146" s="133">
        <f>SUMIFS(SevkAdetleri!$D:$D,SevkAdetleri!$A:$A,A146,SevkAdetleri!$E:$E,"ŞUBAT")</f>
        <v>0</v>
      </c>
      <c r="I146" s="133">
        <f>SUMIFS(SevkAdetleri!$D:$D,SevkAdetleri!$A:$A,A146,SevkAdetleri!$E:$E,"MART")</f>
        <v>0</v>
      </c>
      <c r="J146" s="133">
        <f>SUMIFS(SevkAdetleri!$D:$D,SevkAdetleri!$A:$A,A146,SevkAdetleri!$E:$E,"NİSAN")</f>
        <v>0</v>
      </c>
      <c r="K146" s="133">
        <f>SUMIFS(SevkAdetleri!$D:$D,SevkAdetleri!$A:$A,A146,SevkAdetleri!$E:$E,"MAYIS")</f>
        <v>4291</v>
      </c>
      <c r="L146" s="133">
        <f>SUMIFS(SevkAdetleri!$D:$D,SevkAdetleri!$A:$A,A146,SevkAdetleri!$E:$E,"HAZIRAN")</f>
        <v>0</v>
      </c>
      <c r="M146" s="133">
        <f>SUMIFS(SevkAdetleri!$D:$D,SevkAdetleri!$A:$A,A146,SevkAdetleri!$E:$E,"TEMMUZ")</f>
        <v>1047</v>
      </c>
      <c r="N146" s="133">
        <f>SUMIFS(SevkAdetleri!$D:$D,SevkAdetleri!$A:$A,A146,SevkAdetleri!$E:$E,"AĞUSTOS")</f>
        <v>4850</v>
      </c>
      <c r="O146" s="133">
        <f>SUMIFS(SevkAdetleri!$D:$D,SevkAdetleri!$A:$A,A146,SevkAdetleri!$E:$E,"EYLÜL")</f>
        <v>0</v>
      </c>
      <c r="P146" s="133">
        <f>SUMIFS(SevkAdetleri!$D:$D,SevkAdetleri!$A:$A,A146,SevkAdetleri!$E:$E,"EKİM")</f>
        <v>0</v>
      </c>
      <c r="Q146" s="133">
        <f>SUMIFS(SevkAdetleri!$D:$D,SevkAdetleri!$A:$A,A146,SevkAdetleri!$E:$E,"KASIM")</f>
        <v>0</v>
      </c>
      <c r="R146" s="133">
        <f>SUMIFS(SevkAdetleri!$D:$D,SevkAdetleri!$A:$A,A146,SevkAdetleri!$E:$E,"ARALIK")</f>
        <v>0</v>
      </c>
    </row>
    <row r="147" spans="1:18">
      <c r="A147" s="132" t="s">
        <v>203</v>
      </c>
      <c r="B147" s="133" t="str">
        <f>VLOOKUP(Tablo810[[#This Row],[ ÜRÜN KODU]],YMKODLARI!$A$1:$H$376,2,0)</f>
        <v xml:space="preserve"> BİBERON VİDA</v>
      </c>
      <c r="C147" s="133">
        <f>SUMIF(Tablo8[[ ÜRÜN KODU]],Tablo810[[#This Row],[ ÜRÜN KODU]],Tablo8[SEVK ADEDİ])-Tablo810[[#This Row],[GERİ İADE ÜRÜN]]</f>
        <v>18220</v>
      </c>
      <c r="D147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20988</v>
      </c>
      <c r="E147" s="133"/>
      <c r="F147" s="133">
        <f t="shared" si="2"/>
        <v>2768</v>
      </c>
      <c r="G147" s="133">
        <f>SUMIFS(SevkAdetleri!$D:$D,SevkAdetleri!$A:$A,A147,SevkAdetleri!$E:$E,"OCAK")</f>
        <v>4285</v>
      </c>
      <c r="H147" s="133">
        <f>SUMIFS(SevkAdetleri!$D:$D,SevkAdetleri!$A:$A,A147,SevkAdetleri!$E:$E,"ŞUBAT")</f>
        <v>0</v>
      </c>
      <c r="I147" s="133">
        <f>SUMIFS(SevkAdetleri!$D:$D,SevkAdetleri!$A:$A,A147,SevkAdetleri!$E:$E,"MART")</f>
        <v>0</v>
      </c>
      <c r="J147" s="133">
        <f>SUMIFS(SevkAdetleri!$D:$D,SevkAdetleri!$A:$A,A147,SevkAdetleri!$E:$E,"NİSAN")</f>
        <v>0</v>
      </c>
      <c r="K147" s="133">
        <f>SUMIFS(SevkAdetleri!$D:$D,SevkAdetleri!$A:$A,A147,SevkAdetleri!$E:$E,"MAYIS")</f>
        <v>0</v>
      </c>
      <c r="L147" s="133">
        <f>SUMIFS(SevkAdetleri!$D:$D,SevkAdetleri!$A:$A,A147,SevkAdetleri!$E:$E,"HAZIRAN")</f>
        <v>4592</v>
      </c>
      <c r="M147" s="133">
        <f>SUMIFS(SevkAdetleri!$D:$D,SevkAdetleri!$A:$A,A147,SevkAdetleri!$E:$E,"TEMMUZ")</f>
        <v>1141</v>
      </c>
      <c r="N147" s="133">
        <f>SUMIFS(SevkAdetleri!$D:$D,SevkAdetleri!$A:$A,A147,SevkAdetleri!$E:$E,"AĞUSTOS")</f>
        <v>5084</v>
      </c>
      <c r="O147" s="133">
        <f>SUMIFS(SevkAdetleri!$D:$D,SevkAdetleri!$A:$A,A147,SevkAdetleri!$E:$E,"EYLÜL")</f>
        <v>3118</v>
      </c>
      <c r="P147" s="133">
        <f>SUMIFS(SevkAdetleri!$D:$D,SevkAdetleri!$A:$A,A147,SevkAdetleri!$E:$E,"EKİM")</f>
        <v>0</v>
      </c>
      <c r="Q147" s="133">
        <f>SUMIFS(SevkAdetleri!$D:$D,SevkAdetleri!$A:$A,A147,SevkAdetleri!$E:$E,"KASIM")</f>
        <v>0</v>
      </c>
      <c r="R147" s="133">
        <f>SUMIFS(SevkAdetleri!$D:$D,SevkAdetleri!$A:$A,A147,SevkAdetleri!$E:$E,"ARALIK")</f>
        <v>0</v>
      </c>
    </row>
    <row r="148" spans="1:18">
      <c r="A148" s="132" t="s">
        <v>210</v>
      </c>
      <c r="B148" s="133" t="str">
        <f>VLOOKUP(Tablo810[[#This Row],[ ÜRÜN KODU]],YMKODLARI!$A$1:$H$376,2,0)</f>
        <v xml:space="preserve"> BİBERON VİDA</v>
      </c>
      <c r="C148" s="133">
        <f>SUMIF(Tablo8[[ ÜRÜN KODU]],Tablo810[[#This Row],[ ÜRÜN KODU]],Tablo8[SEVK ADEDİ])-Tablo810[[#This Row],[GERİ İADE ÜRÜN]]</f>
        <v>31510</v>
      </c>
      <c r="D148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32944</v>
      </c>
      <c r="E148" s="133"/>
      <c r="F148" s="133">
        <f t="shared" si="2"/>
        <v>1434</v>
      </c>
      <c r="G148" s="133">
        <f>SUMIFS(SevkAdetleri!$D:$D,SevkAdetleri!$A:$A,A148,SevkAdetleri!$E:$E,"OCAK")</f>
        <v>8000</v>
      </c>
      <c r="H148" s="133">
        <f>SUMIFS(SevkAdetleri!$D:$D,SevkAdetleri!$A:$A,A148,SevkAdetleri!$E:$E,"ŞUBAT")</f>
        <v>0</v>
      </c>
      <c r="I148" s="133">
        <f>SUMIFS(SevkAdetleri!$D:$D,SevkAdetleri!$A:$A,A148,SevkAdetleri!$E:$E,"MART")</f>
        <v>0</v>
      </c>
      <c r="J148" s="133">
        <f>SUMIFS(SevkAdetleri!$D:$D,SevkAdetleri!$A:$A,A148,SevkAdetleri!$E:$E,"NİSAN")</f>
        <v>0</v>
      </c>
      <c r="K148" s="133">
        <f>SUMIFS(SevkAdetleri!$D:$D,SevkAdetleri!$A:$A,A148,SevkAdetleri!$E:$E,"MAYIS")</f>
        <v>5050</v>
      </c>
      <c r="L148" s="133">
        <f>SUMIFS(SevkAdetleri!$D:$D,SevkAdetleri!$A:$A,A148,SevkAdetleri!$E:$E,"HAZIRAN")</f>
        <v>0</v>
      </c>
      <c r="M148" s="133">
        <f>SUMIFS(SevkAdetleri!$D:$D,SevkAdetleri!$A:$A,A148,SevkAdetleri!$E:$E,"TEMMUZ")</f>
        <v>3159</v>
      </c>
      <c r="N148" s="133">
        <f>SUMIFS(SevkAdetleri!$D:$D,SevkAdetleri!$A:$A,A148,SevkAdetleri!$E:$E,"AĞUSTOS")</f>
        <v>7196</v>
      </c>
      <c r="O148" s="133">
        <f>SUMIFS(SevkAdetleri!$D:$D,SevkAdetleri!$A:$A,A148,SevkAdetleri!$E:$E,"EYLÜL")</f>
        <v>0</v>
      </c>
      <c r="P148" s="133">
        <f>SUMIFS(SevkAdetleri!$D:$D,SevkAdetleri!$A:$A,A148,SevkAdetleri!$E:$E,"EKİM")</f>
        <v>7000</v>
      </c>
      <c r="Q148" s="133">
        <f>SUMIFS(SevkAdetleri!$D:$D,SevkAdetleri!$A:$A,A148,SevkAdetleri!$E:$E,"KASIM")</f>
        <v>1105</v>
      </c>
      <c r="R148" s="133">
        <f>SUMIFS(SevkAdetleri!$D:$D,SevkAdetleri!$A:$A,A148,SevkAdetleri!$E:$E,"ARALIK")</f>
        <v>0</v>
      </c>
    </row>
    <row r="149" spans="1:18">
      <c r="A149" s="132" t="s">
        <v>204</v>
      </c>
      <c r="B149" s="133" t="str">
        <f>VLOOKUP(Tablo810[[#This Row],[ ÜRÜN KODU]],YMKODLARI!$A$1:$H$376,2,0)</f>
        <v xml:space="preserve"> BİBERON VİDA</v>
      </c>
      <c r="C149" s="133">
        <f>SUMIF(Tablo8[[ ÜRÜN KODU]],Tablo810[[#This Row],[ ÜRÜN KODU]],Tablo8[SEVK ADEDİ])-Tablo810[[#This Row],[GERİ İADE ÜRÜN]]</f>
        <v>13198</v>
      </c>
      <c r="D149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16776</v>
      </c>
      <c r="E149" s="133"/>
      <c r="F149" s="133">
        <f t="shared" si="2"/>
        <v>3578</v>
      </c>
      <c r="G149" s="133">
        <f>SUMIFS(SevkAdetleri!$D:$D,SevkAdetleri!$A:$A,A149,SevkAdetleri!$E:$E,"OCAK")</f>
        <v>4380</v>
      </c>
      <c r="H149" s="133">
        <f>SUMIFS(SevkAdetleri!$D:$D,SevkAdetleri!$A:$A,A149,SevkAdetleri!$E:$E,"ŞUBAT")</f>
        <v>0</v>
      </c>
      <c r="I149" s="133">
        <f>SUMIFS(SevkAdetleri!$D:$D,SevkAdetleri!$A:$A,A149,SevkAdetleri!$E:$E,"MART")</f>
        <v>0</v>
      </c>
      <c r="J149" s="133">
        <f>SUMIFS(SevkAdetleri!$D:$D,SevkAdetleri!$A:$A,A149,SevkAdetleri!$E:$E,"NİSAN")</f>
        <v>0</v>
      </c>
      <c r="K149" s="133">
        <f>SUMIFS(SevkAdetleri!$D:$D,SevkAdetleri!$A:$A,A149,SevkAdetleri!$E:$E,"MAYIS")</f>
        <v>0</v>
      </c>
      <c r="L149" s="133">
        <f>SUMIFS(SevkAdetleri!$D:$D,SevkAdetleri!$A:$A,A149,SevkAdetleri!$E:$E,"HAZIRAN")</f>
        <v>3368</v>
      </c>
      <c r="M149" s="133">
        <f>SUMIFS(SevkAdetleri!$D:$D,SevkAdetleri!$A:$A,A149,SevkAdetleri!$E:$E,"TEMMUZ")</f>
        <v>1000</v>
      </c>
      <c r="N149" s="133">
        <f>SUMIFS(SevkAdetleri!$D:$D,SevkAdetleri!$A:$A,A149,SevkAdetleri!$E:$E,"AĞUSTOS")</f>
        <v>0</v>
      </c>
      <c r="O149" s="133">
        <f>SUMIFS(SevkAdetleri!$D:$D,SevkAdetleri!$A:$A,A149,SevkAdetleri!$E:$E,"EYLÜL")</f>
        <v>4450</v>
      </c>
      <c r="P149" s="133">
        <f>SUMIFS(SevkAdetleri!$D:$D,SevkAdetleri!$A:$A,A149,SevkAdetleri!$E:$E,"EKİM")</f>
        <v>0</v>
      </c>
      <c r="Q149" s="133">
        <f>SUMIFS(SevkAdetleri!$D:$D,SevkAdetleri!$A:$A,A149,SevkAdetleri!$E:$E,"KASIM")</f>
        <v>0</v>
      </c>
      <c r="R149" s="133">
        <f>SUMIFS(SevkAdetleri!$D:$D,SevkAdetleri!$A:$A,A149,SevkAdetleri!$E:$E,"ARALIK")</f>
        <v>0</v>
      </c>
    </row>
    <row r="150" spans="1:18">
      <c r="A150" s="132" t="s">
        <v>324</v>
      </c>
      <c r="B150" s="133" t="str">
        <f>VLOOKUP(Tablo810[[#This Row],[ ÜRÜN KODU]],YMKODLARI!$A$1:$H$376,2,0)</f>
        <v>KOMP.SİL. BİBERON İÇ VİDA</v>
      </c>
      <c r="C150" s="133">
        <f>SUMIF(Tablo8[[ ÜRÜN KODU]],Tablo810[[#This Row],[ ÜRÜN KODU]],Tablo8[SEVK ADEDİ])-Tablo810[[#This Row],[GERİ İADE ÜRÜN]]</f>
        <v>0</v>
      </c>
      <c r="D150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150" s="133"/>
      <c r="F150" s="133">
        <f t="shared" si="2"/>
        <v>0</v>
      </c>
      <c r="G150" s="133">
        <f>SUMIFS(SevkAdetleri!$D:$D,SevkAdetleri!$A:$A,A150,SevkAdetleri!$E:$E,"OCAK")</f>
        <v>0</v>
      </c>
      <c r="H150" s="133">
        <f>SUMIFS(SevkAdetleri!$D:$D,SevkAdetleri!$A:$A,A150,SevkAdetleri!$E:$E,"ŞUBAT")</f>
        <v>0</v>
      </c>
      <c r="I150" s="133">
        <f>SUMIFS(SevkAdetleri!$D:$D,SevkAdetleri!$A:$A,A150,SevkAdetleri!$E:$E,"MART")</f>
        <v>0</v>
      </c>
      <c r="J150" s="133">
        <f>SUMIFS(SevkAdetleri!$D:$D,SevkAdetleri!$A:$A,A150,SevkAdetleri!$E:$E,"NİSAN")</f>
        <v>0</v>
      </c>
      <c r="K150" s="133">
        <f>SUMIFS(SevkAdetleri!$D:$D,SevkAdetleri!$A:$A,A150,SevkAdetleri!$E:$E,"MAYIS")</f>
        <v>0</v>
      </c>
      <c r="L150" s="133">
        <f>SUMIFS(SevkAdetleri!$D:$D,SevkAdetleri!$A:$A,A150,SevkAdetleri!$E:$E,"HAZIRAN")</f>
        <v>0</v>
      </c>
      <c r="M150" s="133">
        <f>SUMIFS(SevkAdetleri!$D:$D,SevkAdetleri!$A:$A,A150,SevkAdetleri!$E:$E,"TEMMUZ")</f>
        <v>0</v>
      </c>
      <c r="N150" s="133">
        <f>SUMIFS(SevkAdetleri!$D:$D,SevkAdetleri!$A:$A,A150,SevkAdetleri!$E:$E,"AĞUSTOS")</f>
        <v>0</v>
      </c>
      <c r="O150" s="133">
        <f>SUMIFS(SevkAdetleri!$D:$D,SevkAdetleri!$A:$A,A150,SevkAdetleri!$E:$E,"EYLÜL")</f>
        <v>0</v>
      </c>
      <c r="P150" s="133">
        <f>SUMIFS(SevkAdetleri!$D:$D,SevkAdetleri!$A:$A,A150,SevkAdetleri!$E:$E,"EKİM")</f>
        <v>0</v>
      </c>
      <c r="Q150" s="133">
        <f>SUMIFS(SevkAdetleri!$D:$D,SevkAdetleri!$A:$A,A150,SevkAdetleri!$E:$E,"KASIM")</f>
        <v>0</v>
      </c>
      <c r="R150" s="133">
        <f>SUMIFS(SevkAdetleri!$D:$D,SevkAdetleri!$A:$A,A150,SevkAdetleri!$E:$E,"ARALIK")</f>
        <v>0</v>
      </c>
    </row>
    <row r="151" spans="1:18">
      <c r="A151" s="132" t="s">
        <v>325</v>
      </c>
      <c r="B151" s="133" t="str">
        <f>VLOOKUP(Tablo810[[#This Row],[ ÜRÜN KODU]],YMKODLARI!$A$1:$H$376,2,0)</f>
        <v>KOMP.SİL. BİBERON İÇ VİDA</v>
      </c>
      <c r="C151" s="133">
        <f>SUMIF(Tablo8[[ ÜRÜN KODU]],Tablo810[[#This Row],[ ÜRÜN KODU]],Tablo8[SEVK ADEDİ])-Tablo810[[#This Row],[GERİ İADE ÜRÜN]]</f>
        <v>0</v>
      </c>
      <c r="D151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151" s="133"/>
      <c r="F151" s="133">
        <f t="shared" si="2"/>
        <v>0</v>
      </c>
      <c r="G151" s="133">
        <f>SUMIFS(SevkAdetleri!$D:$D,SevkAdetleri!$A:$A,A151,SevkAdetleri!$E:$E,"OCAK")</f>
        <v>0</v>
      </c>
      <c r="H151" s="133">
        <f>SUMIFS(SevkAdetleri!$D:$D,SevkAdetleri!$A:$A,A151,SevkAdetleri!$E:$E,"ŞUBAT")</f>
        <v>0</v>
      </c>
      <c r="I151" s="133">
        <f>SUMIFS(SevkAdetleri!$D:$D,SevkAdetleri!$A:$A,A151,SevkAdetleri!$E:$E,"MART")</f>
        <v>0</v>
      </c>
      <c r="J151" s="133">
        <f>SUMIFS(SevkAdetleri!$D:$D,SevkAdetleri!$A:$A,A151,SevkAdetleri!$E:$E,"NİSAN")</f>
        <v>0</v>
      </c>
      <c r="K151" s="133">
        <f>SUMIFS(SevkAdetleri!$D:$D,SevkAdetleri!$A:$A,A151,SevkAdetleri!$E:$E,"MAYIS")</f>
        <v>0</v>
      </c>
      <c r="L151" s="133">
        <f>SUMIFS(SevkAdetleri!$D:$D,SevkAdetleri!$A:$A,A151,SevkAdetleri!$E:$E,"HAZIRAN")</f>
        <v>0</v>
      </c>
      <c r="M151" s="133">
        <f>SUMIFS(SevkAdetleri!$D:$D,SevkAdetleri!$A:$A,A151,SevkAdetleri!$E:$E,"TEMMUZ")</f>
        <v>0</v>
      </c>
      <c r="N151" s="133">
        <f>SUMIFS(SevkAdetleri!$D:$D,SevkAdetleri!$A:$A,A151,SevkAdetleri!$E:$E,"AĞUSTOS")</f>
        <v>0</v>
      </c>
      <c r="O151" s="133">
        <f>SUMIFS(SevkAdetleri!$D:$D,SevkAdetleri!$A:$A,A151,SevkAdetleri!$E:$E,"EYLÜL")</f>
        <v>0</v>
      </c>
      <c r="P151" s="133">
        <f>SUMIFS(SevkAdetleri!$D:$D,SevkAdetleri!$A:$A,A151,SevkAdetleri!$E:$E,"EKİM")</f>
        <v>0</v>
      </c>
      <c r="Q151" s="133">
        <f>SUMIFS(SevkAdetleri!$D:$D,SevkAdetleri!$A:$A,A151,SevkAdetleri!$E:$E,"KASIM")</f>
        <v>0</v>
      </c>
      <c r="R151" s="133">
        <f>SUMIFS(SevkAdetleri!$D:$D,SevkAdetleri!$A:$A,A151,SevkAdetleri!$E:$E,"ARALIK")</f>
        <v>0</v>
      </c>
    </row>
    <row r="152" spans="1:18">
      <c r="A152" s="132" t="s">
        <v>326</v>
      </c>
      <c r="B152" s="133" t="str">
        <f>VLOOKUP(Tablo810[[#This Row],[ ÜRÜN KODU]],YMKODLARI!$A$1:$H$376,2,0)</f>
        <v>KOMP.SİL. BİBERON İÇ VİDA</v>
      </c>
      <c r="C152" s="133">
        <f>SUMIF(Tablo8[[ ÜRÜN KODU]],Tablo810[[#This Row],[ ÜRÜN KODU]],Tablo8[SEVK ADEDİ])-Tablo810[[#This Row],[GERİ İADE ÜRÜN]]</f>
        <v>0</v>
      </c>
      <c r="D152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152" s="133"/>
      <c r="F152" s="133">
        <f t="shared" si="2"/>
        <v>0</v>
      </c>
      <c r="G152" s="133">
        <f>SUMIFS(SevkAdetleri!$D:$D,SevkAdetleri!$A:$A,A152,SevkAdetleri!$E:$E,"OCAK")</f>
        <v>0</v>
      </c>
      <c r="H152" s="133">
        <f>SUMIFS(SevkAdetleri!$D:$D,SevkAdetleri!$A:$A,A152,SevkAdetleri!$E:$E,"ŞUBAT")</f>
        <v>0</v>
      </c>
      <c r="I152" s="133">
        <f>SUMIFS(SevkAdetleri!$D:$D,SevkAdetleri!$A:$A,A152,SevkAdetleri!$E:$E,"MART")</f>
        <v>0</v>
      </c>
      <c r="J152" s="133">
        <f>SUMIFS(SevkAdetleri!$D:$D,SevkAdetleri!$A:$A,A152,SevkAdetleri!$E:$E,"NİSAN")</f>
        <v>0</v>
      </c>
      <c r="K152" s="133">
        <f>SUMIFS(SevkAdetleri!$D:$D,SevkAdetleri!$A:$A,A152,SevkAdetleri!$E:$E,"MAYIS")</f>
        <v>0</v>
      </c>
      <c r="L152" s="133">
        <f>SUMIFS(SevkAdetleri!$D:$D,SevkAdetleri!$A:$A,A152,SevkAdetleri!$E:$E,"HAZIRAN")</f>
        <v>0</v>
      </c>
      <c r="M152" s="133">
        <f>SUMIFS(SevkAdetleri!$D:$D,SevkAdetleri!$A:$A,A152,SevkAdetleri!$E:$E,"TEMMUZ")</f>
        <v>0</v>
      </c>
      <c r="N152" s="133">
        <f>SUMIFS(SevkAdetleri!$D:$D,SevkAdetleri!$A:$A,A152,SevkAdetleri!$E:$E,"AĞUSTOS")</f>
        <v>0</v>
      </c>
      <c r="O152" s="133">
        <f>SUMIFS(SevkAdetleri!$D:$D,SevkAdetleri!$A:$A,A152,SevkAdetleri!$E:$E,"EYLÜL")</f>
        <v>0</v>
      </c>
      <c r="P152" s="133">
        <f>SUMIFS(SevkAdetleri!$D:$D,SevkAdetleri!$A:$A,A152,SevkAdetleri!$E:$E,"EKİM")</f>
        <v>0</v>
      </c>
      <c r="Q152" s="133">
        <f>SUMIFS(SevkAdetleri!$D:$D,SevkAdetleri!$A:$A,A152,SevkAdetleri!$E:$E,"KASIM")</f>
        <v>0</v>
      </c>
      <c r="R152" s="133">
        <f>SUMIFS(SevkAdetleri!$D:$D,SevkAdetleri!$A:$A,A152,SevkAdetleri!$E:$E,"ARALIK")</f>
        <v>0</v>
      </c>
    </row>
    <row r="153" spans="1:18">
      <c r="A153" s="132" t="s">
        <v>97</v>
      </c>
      <c r="B153" s="133" t="str">
        <f>VLOOKUP(Tablo810[[#This Row],[ ÜRÜN KODU]],YMKODLARI!$A$1:$H$376,2,0)</f>
        <v>TİRLE VİDA</v>
      </c>
      <c r="C153" s="133">
        <f>SUMIF(Tablo8[[ ÜRÜN KODU]],Tablo810[[#This Row],[ ÜRÜN KODU]],Tablo8[SEVK ADEDİ])-Tablo810[[#This Row],[GERİ İADE ÜRÜN]]</f>
        <v>4556</v>
      </c>
      <c r="D153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3094</v>
      </c>
      <c r="E153" s="133"/>
      <c r="F153" s="133">
        <f t="shared" si="2"/>
        <v>-1462</v>
      </c>
      <c r="G153" s="133">
        <f>SUMIFS(SevkAdetleri!$D:$D,SevkAdetleri!$A:$A,A153,SevkAdetleri!$E:$E,"OCAK")</f>
        <v>0</v>
      </c>
      <c r="H153" s="133">
        <f>SUMIFS(SevkAdetleri!$D:$D,SevkAdetleri!$A:$A,A153,SevkAdetleri!$E:$E,"ŞUBAT")</f>
        <v>0</v>
      </c>
      <c r="I153" s="133">
        <f>SUMIFS(SevkAdetleri!$D:$D,SevkAdetleri!$A:$A,A153,SevkAdetleri!$E:$E,"MART")</f>
        <v>0</v>
      </c>
      <c r="J153" s="133">
        <f>SUMIFS(SevkAdetleri!$D:$D,SevkAdetleri!$A:$A,A153,SevkAdetleri!$E:$E,"NİSAN")</f>
        <v>0</v>
      </c>
      <c r="K153" s="133">
        <f>SUMIFS(SevkAdetleri!$D:$D,SevkAdetleri!$A:$A,A153,SevkAdetleri!$E:$E,"MAYIS")</f>
        <v>0</v>
      </c>
      <c r="L153" s="133">
        <f>SUMIFS(SevkAdetleri!$D:$D,SevkAdetleri!$A:$A,A153,SevkAdetleri!$E:$E,"HAZIRAN")</f>
        <v>0</v>
      </c>
      <c r="M153" s="133">
        <f>SUMIFS(SevkAdetleri!$D:$D,SevkAdetleri!$A:$A,A153,SevkAdetleri!$E:$E,"TEMMUZ")</f>
        <v>4556</v>
      </c>
      <c r="N153" s="133">
        <f>SUMIFS(SevkAdetleri!$D:$D,SevkAdetleri!$A:$A,A153,SevkAdetleri!$E:$E,"AĞUSTOS")</f>
        <v>0</v>
      </c>
      <c r="O153" s="133">
        <f>SUMIFS(SevkAdetleri!$D:$D,SevkAdetleri!$A:$A,A153,SevkAdetleri!$E:$E,"EYLÜL")</f>
        <v>0</v>
      </c>
      <c r="P153" s="133">
        <f>SUMIFS(SevkAdetleri!$D:$D,SevkAdetleri!$A:$A,A153,SevkAdetleri!$E:$E,"EKİM")</f>
        <v>0</v>
      </c>
      <c r="Q153" s="133">
        <f>SUMIFS(SevkAdetleri!$D:$D,SevkAdetleri!$A:$A,A153,SevkAdetleri!$E:$E,"KASIM")</f>
        <v>0</v>
      </c>
      <c r="R153" s="133">
        <f>SUMIFS(SevkAdetleri!$D:$D,SevkAdetleri!$A:$A,A153,SevkAdetleri!$E:$E,"ARALIK")</f>
        <v>0</v>
      </c>
    </row>
    <row r="154" spans="1:18">
      <c r="A154" s="132" t="s">
        <v>327</v>
      </c>
      <c r="B154" s="133" t="str">
        <f>VLOOKUP(Tablo810[[#This Row],[ ÜRÜN KODU]],YMKODLARI!$A$1:$H$376,2,0)</f>
        <v>GENİŞ AĞIZ BİBERON VİDA</v>
      </c>
      <c r="C154" s="133">
        <f>SUMIF(Tablo8[[ ÜRÜN KODU]],Tablo810[[#This Row],[ ÜRÜN KODU]],Tablo8[SEVK ADEDİ])-Tablo810[[#This Row],[GERİ İADE ÜRÜN]]</f>
        <v>0</v>
      </c>
      <c r="D154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2728</v>
      </c>
      <c r="E154" s="133"/>
      <c r="F154" s="133">
        <f t="shared" si="2"/>
        <v>2728</v>
      </c>
      <c r="G154" s="133">
        <f>SUMIFS(SevkAdetleri!$D:$D,SevkAdetleri!$A:$A,A154,SevkAdetleri!$E:$E,"OCAK")</f>
        <v>0</v>
      </c>
      <c r="H154" s="133">
        <f>SUMIFS(SevkAdetleri!$D:$D,SevkAdetleri!$A:$A,A154,SevkAdetleri!$E:$E,"ŞUBAT")</f>
        <v>0</v>
      </c>
      <c r="I154" s="133">
        <f>SUMIFS(SevkAdetleri!$D:$D,SevkAdetleri!$A:$A,A154,SevkAdetleri!$E:$E,"MART")</f>
        <v>0</v>
      </c>
      <c r="J154" s="133">
        <f>SUMIFS(SevkAdetleri!$D:$D,SevkAdetleri!$A:$A,A154,SevkAdetleri!$E:$E,"NİSAN")</f>
        <v>0</v>
      </c>
      <c r="K154" s="133">
        <f>SUMIFS(SevkAdetleri!$D:$D,SevkAdetleri!$A:$A,A154,SevkAdetleri!$E:$E,"MAYIS")</f>
        <v>0</v>
      </c>
      <c r="L154" s="133">
        <f>SUMIFS(SevkAdetleri!$D:$D,SevkAdetleri!$A:$A,A154,SevkAdetleri!$E:$E,"HAZIRAN")</f>
        <v>0</v>
      </c>
      <c r="M154" s="133">
        <f>SUMIFS(SevkAdetleri!$D:$D,SevkAdetleri!$A:$A,A154,SevkAdetleri!$E:$E,"TEMMUZ")</f>
        <v>0</v>
      </c>
      <c r="N154" s="133">
        <f>SUMIFS(SevkAdetleri!$D:$D,SevkAdetleri!$A:$A,A154,SevkAdetleri!$E:$E,"AĞUSTOS")</f>
        <v>0</v>
      </c>
      <c r="O154" s="133">
        <f>SUMIFS(SevkAdetleri!$D:$D,SevkAdetleri!$A:$A,A154,SevkAdetleri!$E:$E,"EYLÜL")</f>
        <v>0</v>
      </c>
      <c r="P154" s="133">
        <f>SUMIFS(SevkAdetleri!$D:$D,SevkAdetleri!$A:$A,A154,SevkAdetleri!$E:$E,"EKİM")</f>
        <v>0</v>
      </c>
      <c r="Q154" s="133">
        <f>SUMIFS(SevkAdetleri!$D:$D,SevkAdetleri!$A:$A,A154,SevkAdetleri!$E:$E,"KASIM")</f>
        <v>0</v>
      </c>
      <c r="R154" s="133">
        <f>SUMIFS(SevkAdetleri!$D:$D,SevkAdetleri!$A:$A,A154,SevkAdetleri!$E:$E,"ARALIK")</f>
        <v>0</v>
      </c>
    </row>
    <row r="155" spans="1:18">
      <c r="A155" s="132" t="s">
        <v>238</v>
      </c>
      <c r="B155" s="133" t="str">
        <f>VLOOKUP(Tablo810[[#This Row],[ ÜRÜN KODU]],YMKODLARI!$A$1:$H$376,2,0)</f>
        <v>GENİŞ AĞIZ BİBERON VİDA</v>
      </c>
      <c r="C155" s="133">
        <f>SUMIF(Tablo8[[ ÜRÜN KODU]],Tablo810[[#This Row],[ ÜRÜN KODU]],Tablo8[SEVK ADEDİ])-Tablo810[[#This Row],[GERİ İADE ÜRÜN]]</f>
        <v>5572</v>
      </c>
      <c r="D155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11636</v>
      </c>
      <c r="E155" s="133"/>
      <c r="F155" s="133">
        <f t="shared" si="2"/>
        <v>6064</v>
      </c>
      <c r="G155" s="133">
        <f>SUMIFS(SevkAdetleri!$D:$D,SevkAdetleri!$A:$A,A155,SevkAdetleri!$E:$E,"OCAK")</f>
        <v>0</v>
      </c>
      <c r="H155" s="133">
        <f>SUMIFS(SevkAdetleri!$D:$D,SevkAdetleri!$A:$A,A155,SevkAdetleri!$E:$E,"ŞUBAT")</f>
        <v>0</v>
      </c>
      <c r="I155" s="133">
        <f>SUMIFS(SevkAdetleri!$D:$D,SevkAdetleri!$A:$A,A155,SevkAdetleri!$E:$E,"MART")</f>
        <v>0</v>
      </c>
      <c r="J155" s="133">
        <f>SUMIFS(SevkAdetleri!$D:$D,SevkAdetleri!$A:$A,A155,SevkAdetleri!$E:$E,"NİSAN")</f>
        <v>0</v>
      </c>
      <c r="K155" s="133">
        <f>SUMIFS(SevkAdetleri!$D:$D,SevkAdetleri!$A:$A,A155,SevkAdetleri!$E:$E,"MAYIS")</f>
        <v>0</v>
      </c>
      <c r="L155" s="133">
        <f>SUMIFS(SevkAdetleri!$D:$D,SevkAdetleri!$A:$A,A155,SevkAdetleri!$E:$E,"HAZIRAN")</f>
        <v>0</v>
      </c>
      <c r="M155" s="133">
        <f>SUMIFS(SevkAdetleri!$D:$D,SevkAdetleri!$A:$A,A155,SevkAdetleri!$E:$E,"TEMMUZ")</f>
        <v>1545</v>
      </c>
      <c r="N155" s="133">
        <f>SUMIFS(SevkAdetleri!$D:$D,SevkAdetleri!$A:$A,A155,SevkAdetleri!$E:$E,"AĞUSTOS")</f>
        <v>0</v>
      </c>
      <c r="O155" s="133">
        <f>SUMIFS(SevkAdetleri!$D:$D,SevkAdetleri!$A:$A,A155,SevkAdetleri!$E:$E,"EYLÜL")</f>
        <v>4027</v>
      </c>
      <c r="P155" s="133">
        <f>SUMIFS(SevkAdetleri!$D:$D,SevkAdetleri!$A:$A,A155,SevkAdetleri!$E:$E,"EKİM")</f>
        <v>0</v>
      </c>
      <c r="Q155" s="133">
        <f>SUMIFS(SevkAdetleri!$D:$D,SevkAdetleri!$A:$A,A155,SevkAdetleri!$E:$E,"KASIM")</f>
        <v>0</v>
      </c>
      <c r="R155" s="133">
        <f>SUMIFS(SevkAdetleri!$D:$D,SevkAdetleri!$A:$A,A155,SevkAdetleri!$E:$E,"ARALIK")</f>
        <v>0</v>
      </c>
    </row>
    <row r="156" spans="1:18">
      <c r="A156" s="132" t="s">
        <v>239</v>
      </c>
      <c r="B156" s="133" t="str">
        <f>VLOOKUP(Tablo810[[#This Row],[ ÜRÜN KODU]],YMKODLARI!$A$1:$H$376,2,0)</f>
        <v>GENİŞ AĞIZ BİBERON VİDA</v>
      </c>
      <c r="C156" s="133">
        <f>SUMIF(Tablo8[[ ÜRÜN KODU]],Tablo810[[#This Row],[ ÜRÜN KODU]],Tablo8[SEVK ADEDİ])-Tablo810[[#This Row],[GERİ İADE ÜRÜN]]</f>
        <v>2574</v>
      </c>
      <c r="D156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2804</v>
      </c>
      <c r="E156" s="133"/>
      <c r="F156" s="133">
        <f t="shared" si="2"/>
        <v>230</v>
      </c>
      <c r="G156" s="133">
        <f>SUMIFS(SevkAdetleri!$D:$D,SevkAdetleri!$A:$A,A156,SevkAdetleri!$E:$E,"OCAK")</f>
        <v>0</v>
      </c>
      <c r="H156" s="133">
        <f>SUMIFS(SevkAdetleri!$D:$D,SevkAdetleri!$A:$A,A156,SevkAdetleri!$E:$E,"ŞUBAT")</f>
        <v>0</v>
      </c>
      <c r="I156" s="133">
        <f>SUMIFS(SevkAdetleri!$D:$D,SevkAdetleri!$A:$A,A156,SevkAdetleri!$E:$E,"MART")</f>
        <v>0</v>
      </c>
      <c r="J156" s="133">
        <f>SUMIFS(SevkAdetleri!$D:$D,SevkAdetleri!$A:$A,A156,SevkAdetleri!$E:$E,"NİSAN")</f>
        <v>0</v>
      </c>
      <c r="K156" s="133">
        <f>SUMIFS(SevkAdetleri!$D:$D,SevkAdetleri!$A:$A,A156,SevkAdetleri!$E:$E,"MAYIS")</f>
        <v>0</v>
      </c>
      <c r="L156" s="133">
        <f>SUMIFS(SevkAdetleri!$D:$D,SevkAdetleri!$A:$A,A156,SevkAdetleri!$E:$E,"HAZIRAN")</f>
        <v>0</v>
      </c>
      <c r="M156" s="133">
        <f>SUMIFS(SevkAdetleri!$D:$D,SevkAdetleri!$A:$A,A156,SevkAdetleri!$E:$E,"TEMMUZ")</f>
        <v>1544</v>
      </c>
      <c r="N156" s="133">
        <f>SUMIFS(SevkAdetleri!$D:$D,SevkAdetleri!$A:$A,A156,SevkAdetleri!$E:$E,"AĞUSTOS")</f>
        <v>0</v>
      </c>
      <c r="O156" s="133">
        <f>SUMIFS(SevkAdetleri!$D:$D,SevkAdetleri!$A:$A,A156,SevkAdetleri!$E:$E,"EYLÜL")</f>
        <v>1030</v>
      </c>
      <c r="P156" s="133">
        <f>SUMIFS(SevkAdetleri!$D:$D,SevkAdetleri!$A:$A,A156,SevkAdetleri!$E:$E,"EKİM")</f>
        <v>0</v>
      </c>
      <c r="Q156" s="133">
        <f>SUMIFS(SevkAdetleri!$D:$D,SevkAdetleri!$A:$A,A156,SevkAdetleri!$E:$E,"KASIM")</f>
        <v>0</v>
      </c>
      <c r="R156" s="133">
        <f>SUMIFS(SevkAdetleri!$D:$D,SevkAdetleri!$A:$A,A156,SevkAdetleri!$E:$E,"ARALIK")</f>
        <v>0</v>
      </c>
    </row>
    <row r="157" spans="1:18">
      <c r="A157" s="132" t="s">
        <v>245</v>
      </c>
      <c r="B157" s="133" t="str">
        <f>VLOOKUP(Tablo810[[#This Row],[ ÜRÜN KODU]],YMKODLARI!$A$1:$H$376,2,0)</f>
        <v>GENİŞ AĞIZ BİBERON VİDA</v>
      </c>
      <c r="C157" s="133">
        <f>SUMIF(Tablo8[[ ÜRÜN KODU]],Tablo810[[#This Row],[ ÜRÜN KODU]],Tablo8[SEVK ADEDİ])-Tablo810[[#This Row],[GERİ İADE ÜRÜN]]</f>
        <v>1000</v>
      </c>
      <c r="D157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4456</v>
      </c>
      <c r="E157" s="133"/>
      <c r="F157" s="133">
        <f t="shared" si="2"/>
        <v>3456</v>
      </c>
      <c r="G157" s="133">
        <f>SUMIFS(SevkAdetleri!$D:$D,SevkAdetleri!$A:$A,A157,SevkAdetleri!$E:$E,"OCAK")</f>
        <v>0</v>
      </c>
      <c r="H157" s="133">
        <f>SUMIFS(SevkAdetleri!$D:$D,SevkAdetleri!$A:$A,A157,SevkAdetleri!$E:$E,"ŞUBAT")</f>
        <v>0</v>
      </c>
      <c r="I157" s="133">
        <f>SUMIFS(SevkAdetleri!$D:$D,SevkAdetleri!$A:$A,A157,SevkAdetleri!$E:$E,"MART")</f>
        <v>0</v>
      </c>
      <c r="J157" s="133">
        <f>SUMIFS(SevkAdetleri!$D:$D,SevkAdetleri!$A:$A,A157,SevkAdetleri!$E:$E,"NİSAN")</f>
        <v>0</v>
      </c>
      <c r="K157" s="133">
        <f>SUMIFS(SevkAdetleri!$D:$D,SevkAdetleri!$A:$A,A157,SevkAdetleri!$E:$E,"MAYIS")</f>
        <v>0</v>
      </c>
      <c r="L157" s="133">
        <f>SUMIFS(SevkAdetleri!$D:$D,SevkAdetleri!$A:$A,A157,SevkAdetleri!$E:$E,"HAZIRAN")</f>
        <v>0</v>
      </c>
      <c r="M157" s="133">
        <f>SUMIFS(SevkAdetleri!$D:$D,SevkAdetleri!$A:$A,A157,SevkAdetleri!$E:$E,"TEMMUZ")</f>
        <v>0</v>
      </c>
      <c r="N157" s="133">
        <f>SUMIFS(SevkAdetleri!$D:$D,SevkAdetleri!$A:$A,A157,SevkAdetleri!$E:$E,"AĞUSTOS")</f>
        <v>0</v>
      </c>
      <c r="O157" s="133">
        <f>SUMIFS(SevkAdetleri!$D:$D,SevkAdetleri!$A:$A,A157,SevkAdetleri!$E:$E,"EYLÜL")</f>
        <v>1000</v>
      </c>
      <c r="P157" s="133">
        <f>SUMIFS(SevkAdetleri!$D:$D,SevkAdetleri!$A:$A,A157,SevkAdetleri!$E:$E,"EKİM")</f>
        <v>0</v>
      </c>
      <c r="Q157" s="133">
        <f>SUMIFS(SevkAdetleri!$D:$D,SevkAdetleri!$A:$A,A157,SevkAdetleri!$E:$E,"KASIM")</f>
        <v>0</v>
      </c>
      <c r="R157" s="133">
        <f>SUMIFS(SevkAdetleri!$D:$D,SevkAdetleri!$A:$A,A157,SevkAdetleri!$E:$E,"ARALIK")</f>
        <v>0</v>
      </c>
    </row>
    <row r="158" spans="1:18">
      <c r="A158" s="132" t="s">
        <v>237</v>
      </c>
      <c r="B158" s="133" t="str">
        <f>VLOOKUP(Tablo810[[#This Row],[ ÜRÜN KODU]],YMKODLARI!$A$1:$H$376,2,0)</f>
        <v>GENİŞ AĞIZ BİBERON VİDA</v>
      </c>
      <c r="C158" s="133">
        <f>SUMIF(Tablo8[[ ÜRÜN KODU]],Tablo810[[#This Row],[ ÜRÜN KODU]],Tablo8[SEVK ADEDİ])-Tablo810[[#This Row],[GERİ İADE ÜRÜN]]</f>
        <v>7107</v>
      </c>
      <c r="D158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12860</v>
      </c>
      <c r="E158" s="133"/>
      <c r="F158" s="133">
        <f t="shared" si="2"/>
        <v>5753</v>
      </c>
      <c r="G158" s="133">
        <f>SUMIFS(SevkAdetleri!$D:$D,SevkAdetleri!$A:$A,A158,SevkAdetleri!$E:$E,"OCAK")</f>
        <v>0</v>
      </c>
      <c r="H158" s="133">
        <f>SUMIFS(SevkAdetleri!$D:$D,SevkAdetleri!$A:$A,A158,SevkAdetleri!$E:$E,"ŞUBAT")</f>
        <v>0</v>
      </c>
      <c r="I158" s="133">
        <f>SUMIFS(SevkAdetleri!$D:$D,SevkAdetleri!$A:$A,A158,SevkAdetleri!$E:$E,"MART")</f>
        <v>0</v>
      </c>
      <c r="J158" s="133">
        <f>SUMIFS(SevkAdetleri!$D:$D,SevkAdetleri!$A:$A,A158,SevkAdetleri!$E:$E,"NİSAN")</f>
        <v>0</v>
      </c>
      <c r="K158" s="133">
        <f>SUMIFS(SevkAdetleri!$D:$D,SevkAdetleri!$A:$A,A158,SevkAdetleri!$E:$E,"MAYIS")</f>
        <v>0</v>
      </c>
      <c r="L158" s="133">
        <f>SUMIFS(SevkAdetleri!$D:$D,SevkAdetleri!$A:$A,A158,SevkAdetleri!$E:$E,"HAZIRAN")</f>
        <v>0</v>
      </c>
      <c r="M158" s="133">
        <f>SUMIFS(SevkAdetleri!$D:$D,SevkAdetleri!$A:$A,A158,SevkAdetleri!$E:$E,"TEMMUZ")</f>
        <v>2070</v>
      </c>
      <c r="N158" s="133">
        <f>SUMIFS(SevkAdetleri!$D:$D,SevkAdetleri!$A:$A,A158,SevkAdetleri!$E:$E,"AĞUSTOS")</f>
        <v>0</v>
      </c>
      <c r="O158" s="133">
        <f>SUMIFS(SevkAdetleri!$D:$D,SevkAdetleri!$A:$A,A158,SevkAdetleri!$E:$E,"EYLÜL")</f>
        <v>5037</v>
      </c>
      <c r="P158" s="133">
        <f>SUMIFS(SevkAdetleri!$D:$D,SevkAdetleri!$A:$A,A158,SevkAdetleri!$E:$E,"EKİM")</f>
        <v>0</v>
      </c>
      <c r="Q158" s="133">
        <f>SUMIFS(SevkAdetleri!$D:$D,SevkAdetleri!$A:$A,A158,SevkAdetleri!$E:$E,"KASIM")</f>
        <v>0</v>
      </c>
      <c r="R158" s="133">
        <f>SUMIFS(SevkAdetleri!$D:$D,SevkAdetleri!$A:$A,A158,SevkAdetleri!$E:$E,"ARALIK")</f>
        <v>0</v>
      </c>
    </row>
    <row r="159" spans="1:18">
      <c r="A159" s="132" t="s">
        <v>244</v>
      </c>
      <c r="B159" s="133" t="str">
        <f>VLOOKUP(Tablo810[[#This Row],[ ÜRÜN KODU]],YMKODLARI!$A$1:$H$376,2,0)</f>
        <v>GENİŞ AĞIZ BİBERON VİDA</v>
      </c>
      <c r="C159" s="133">
        <f>SUMIF(Tablo8[[ ÜRÜN KODU]],Tablo810[[#This Row],[ ÜRÜN KODU]],Tablo8[SEVK ADEDİ])-Tablo810[[#This Row],[GERİ İADE ÜRÜN]]</f>
        <v>568</v>
      </c>
      <c r="D159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3852</v>
      </c>
      <c r="E159" s="133"/>
      <c r="F159" s="133">
        <f t="shared" si="2"/>
        <v>3284</v>
      </c>
      <c r="G159" s="133">
        <f>SUMIFS(SevkAdetleri!$D:$D,SevkAdetleri!$A:$A,A159,SevkAdetleri!$E:$E,"OCAK")</f>
        <v>0</v>
      </c>
      <c r="H159" s="133">
        <f>SUMIFS(SevkAdetleri!$D:$D,SevkAdetleri!$A:$A,A159,SevkAdetleri!$E:$E,"ŞUBAT")</f>
        <v>0</v>
      </c>
      <c r="I159" s="133">
        <f>SUMIFS(SevkAdetleri!$D:$D,SevkAdetleri!$A:$A,A159,SevkAdetleri!$E:$E,"MART")</f>
        <v>0</v>
      </c>
      <c r="J159" s="133">
        <f>SUMIFS(SevkAdetleri!$D:$D,SevkAdetleri!$A:$A,A159,SevkAdetleri!$E:$E,"NİSAN")</f>
        <v>0</v>
      </c>
      <c r="K159" s="133">
        <f>SUMIFS(SevkAdetleri!$D:$D,SevkAdetleri!$A:$A,A159,SevkAdetleri!$E:$E,"MAYIS")</f>
        <v>0</v>
      </c>
      <c r="L159" s="133">
        <f>SUMIFS(SevkAdetleri!$D:$D,SevkAdetleri!$A:$A,A159,SevkAdetleri!$E:$E,"HAZIRAN")</f>
        <v>0</v>
      </c>
      <c r="M159" s="133">
        <f>SUMIFS(SevkAdetleri!$D:$D,SevkAdetleri!$A:$A,A159,SevkAdetleri!$E:$E,"TEMMUZ")</f>
        <v>0</v>
      </c>
      <c r="N159" s="133">
        <f>SUMIFS(SevkAdetleri!$D:$D,SevkAdetleri!$A:$A,A159,SevkAdetleri!$E:$E,"AĞUSTOS")</f>
        <v>0</v>
      </c>
      <c r="O159" s="133">
        <f>SUMIFS(SevkAdetleri!$D:$D,SevkAdetleri!$A:$A,A159,SevkAdetleri!$E:$E,"EYLÜL")</f>
        <v>568</v>
      </c>
      <c r="P159" s="133">
        <f>SUMIFS(SevkAdetleri!$D:$D,SevkAdetleri!$A:$A,A159,SevkAdetleri!$E:$E,"EKİM")</f>
        <v>0</v>
      </c>
      <c r="Q159" s="133">
        <f>SUMIFS(SevkAdetleri!$D:$D,SevkAdetleri!$A:$A,A159,SevkAdetleri!$E:$E,"KASIM")</f>
        <v>0</v>
      </c>
      <c r="R159" s="133">
        <f>SUMIFS(SevkAdetleri!$D:$D,SevkAdetleri!$A:$A,A159,SevkAdetleri!$E:$E,"ARALIK")</f>
        <v>0</v>
      </c>
    </row>
    <row r="160" spans="1:18">
      <c r="A160" s="132" t="s">
        <v>328</v>
      </c>
      <c r="B160" s="133" t="str">
        <f>VLOOKUP(Tablo810[[#This Row],[ ÜRÜN KODU]],YMKODLARI!$A$1:$H$376,2,0)</f>
        <v>TİRLE CONTA</v>
      </c>
      <c r="C160" s="133">
        <f>SUMIF(Tablo8[[ ÜRÜN KODU]],Tablo810[[#This Row],[ ÜRÜN KODU]],Tablo8[SEVK ADEDİ])-Tablo810[[#This Row],[GERİ İADE ÜRÜN]]</f>
        <v>0</v>
      </c>
      <c r="D160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160" s="133"/>
      <c r="F160" s="133">
        <f t="shared" si="2"/>
        <v>0</v>
      </c>
      <c r="G160" s="133">
        <f>SUMIFS(SevkAdetleri!$D:$D,SevkAdetleri!$A:$A,A160,SevkAdetleri!$E:$E,"OCAK")</f>
        <v>0</v>
      </c>
      <c r="H160" s="133">
        <f>SUMIFS(SevkAdetleri!$D:$D,SevkAdetleri!$A:$A,A160,SevkAdetleri!$E:$E,"ŞUBAT")</f>
        <v>0</v>
      </c>
      <c r="I160" s="133">
        <f>SUMIFS(SevkAdetleri!$D:$D,SevkAdetleri!$A:$A,A160,SevkAdetleri!$E:$E,"MART")</f>
        <v>0</v>
      </c>
      <c r="J160" s="133">
        <f>SUMIFS(SevkAdetleri!$D:$D,SevkAdetleri!$A:$A,A160,SevkAdetleri!$E:$E,"NİSAN")</f>
        <v>0</v>
      </c>
      <c r="K160" s="133">
        <f>SUMIFS(SevkAdetleri!$D:$D,SevkAdetleri!$A:$A,A160,SevkAdetleri!$E:$E,"MAYIS")</f>
        <v>0</v>
      </c>
      <c r="L160" s="133">
        <f>SUMIFS(SevkAdetleri!$D:$D,SevkAdetleri!$A:$A,A160,SevkAdetleri!$E:$E,"HAZIRAN")</f>
        <v>0</v>
      </c>
      <c r="M160" s="133">
        <f>SUMIFS(SevkAdetleri!$D:$D,SevkAdetleri!$A:$A,A160,SevkAdetleri!$E:$E,"TEMMUZ")</f>
        <v>0</v>
      </c>
      <c r="N160" s="133">
        <f>SUMIFS(SevkAdetleri!$D:$D,SevkAdetleri!$A:$A,A160,SevkAdetleri!$E:$E,"AĞUSTOS")</f>
        <v>0</v>
      </c>
      <c r="O160" s="133">
        <f>SUMIFS(SevkAdetleri!$D:$D,SevkAdetleri!$A:$A,A160,SevkAdetleri!$E:$E,"EYLÜL")</f>
        <v>0</v>
      </c>
      <c r="P160" s="133">
        <f>SUMIFS(SevkAdetleri!$D:$D,SevkAdetleri!$A:$A,A160,SevkAdetleri!$E:$E,"EKİM")</f>
        <v>0</v>
      </c>
      <c r="Q160" s="133">
        <f>SUMIFS(SevkAdetleri!$D:$D,SevkAdetleri!$A:$A,A160,SevkAdetleri!$E:$E,"KASIM")</f>
        <v>0</v>
      </c>
      <c r="R160" s="133">
        <f>SUMIFS(SevkAdetleri!$D:$D,SevkAdetleri!$A:$A,A160,SevkAdetleri!$E:$E,"ARALIK")</f>
        <v>0</v>
      </c>
    </row>
    <row r="161" spans="1:18">
      <c r="A161" s="132" t="s">
        <v>329</v>
      </c>
      <c r="B161" s="133" t="str">
        <f>VLOOKUP(Tablo810[[#This Row],[ ÜRÜN KODU]],YMKODLARI!$A$1:$H$376,2,0)</f>
        <v>TİRLE HUNİ</v>
      </c>
      <c r="C161" s="133">
        <f>SUMIF(Tablo8[[ ÜRÜN KODU]],Tablo810[[#This Row],[ ÜRÜN KODU]],Tablo8[SEVK ADEDİ])-Tablo810[[#This Row],[GERİ İADE ÜRÜN]]</f>
        <v>0</v>
      </c>
      <c r="D161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161" s="133"/>
      <c r="F161" s="133">
        <f t="shared" si="2"/>
        <v>0</v>
      </c>
      <c r="G161" s="133">
        <f>SUMIFS(SevkAdetleri!$D:$D,SevkAdetleri!$A:$A,A161,SevkAdetleri!$E:$E,"OCAK")</f>
        <v>0</v>
      </c>
      <c r="H161" s="133">
        <f>SUMIFS(SevkAdetleri!$D:$D,SevkAdetleri!$A:$A,A161,SevkAdetleri!$E:$E,"ŞUBAT")</f>
        <v>0</v>
      </c>
      <c r="I161" s="133">
        <f>SUMIFS(SevkAdetleri!$D:$D,SevkAdetleri!$A:$A,A161,SevkAdetleri!$E:$E,"MART")</f>
        <v>0</v>
      </c>
      <c r="J161" s="133">
        <f>SUMIFS(SevkAdetleri!$D:$D,SevkAdetleri!$A:$A,A161,SevkAdetleri!$E:$E,"NİSAN")</f>
        <v>0</v>
      </c>
      <c r="K161" s="133">
        <f>SUMIFS(SevkAdetleri!$D:$D,SevkAdetleri!$A:$A,A161,SevkAdetleri!$E:$E,"MAYIS")</f>
        <v>0</v>
      </c>
      <c r="L161" s="133">
        <f>SUMIFS(SevkAdetleri!$D:$D,SevkAdetleri!$A:$A,A161,SevkAdetleri!$E:$E,"HAZIRAN")</f>
        <v>0</v>
      </c>
      <c r="M161" s="133">
        <f>SUMIFS(SevkAdetleri!$D:$D,SevkAdetleri!$A:$A,A161,SevkAdetleri!$E:$E,"TEMMUZ")</f>
        <v>0</v>
      </c>
      <c r="N161" s="133">
        <f>SUMIFS(SevkAdetleri!$D:$D,SevkAdetleri!$A:$A,A161,SevkAdetleri!$E:$E,"AĞUSTOS")</f>
        <v>0</v>
      </c>
      <c r="O161" s="133">
        <f>SUMIFS(SevkAdetleri!$D:$D,SevkAdetleri!$A:$A,A161,SevkAdetleri!$E:$E,"EYLÜL")</f>
        <v>0</v>
      </c>
      <c r="P161" s="133">
        <f>SUMIFS(SevkAdetleri!$D:$D,SevkAdetleri!$A:$A,A161,SevkAdetleri!$E:$E,"EKİM")</f>
        <v>0</v>
      </c>
      <c r="Q161" s="133">
        <f>SUMIFS(SevkAdetleri!$D:$D,SevkAdetleri!$A:$A,A161,SevkAdetleri!$E:$E,"KASIM")</f>
        <v>0</v>
      </c>
      <c r="R161" s="133">
        <f>SUMIFS(SevkAdetleri!$D:$D,SevkAdetleri!$A:$A,A161,SevkAdetleri!$E:$E,"ARALIK")</f>
        <v>0</v>
      </c>
    </row>
    <row r="162" spans="1:18">
      <c r="A162" s="132" t="s">
        <v>225</v>
      </c>
      <c r="B162" s="133" t="str">
        <f>VLOOKUP(Tablo810[[#This Row],[ ÜRÜN KODU]],YMKODLARI!$A$1:$H$376,2,0)</f>
        <v>TİRLE ZURNA</v>
      </c>
      <c r="C162" s="133">
        <f>SUMIF(Tablo8[[ ÜRÜN KODU]],Tablo810[[#This Row],[ ÜRÜN KODU]],Tablo8[SEVK ADEDİ])-Tablo810[[#This Row],[GERİ İADE ÜRÜN]]</f>
        <v>2320</v>
      </c>
      <c r="D162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15290</v>
      </c>
      <c r="E162" s="133"/>
      <c r="F162" s="133">
        <f t="shared" si="2"/>
        <v>12970</v>
      </c>
      <c r="G162" s="133">
        <f>SUMIFS(SevkAdetleri!$D:$D,SevkAdetleri!$A:$A,A162,SevkAdetleri!$E:$E,"OCAK")</f>
        <v>0</v>
      </c>
      <c r="H162" s="133">
        <f>SUMIFS(SevkAdetleri!$D:$D,SevkAdetleri!$A:$A,A162,SevkAdetleri!$E:$E,"ŞUBAT")</f>
        <v>0</v>
      </c>
      <c r="I162" s="133">
        <f>SUMIFS(SevkAdetleri!$D:$D,SevkAdetleri!$A:$A,A162,SevkAdetleri!$E:$E,"MART")</f>
        <v>0</v>
      </c>
      <c r="J162" s="133">
        <f>SUMIFS(SevkAdetleri!$D:$D,SevkAdetleri!$A:$A,A162,SevkAdetleri!$E:$E,"NİSAN")</f>
        <v>0</v>
      </c>
      <c r="K162" s="133">
        <f>SUMIFS(SevkAdetleri!$D:$D,SevkAdetleri!$A:$A,A162,SevkAdetleri!$E:$E,"MAYIS")</f>
        <v>0</v>
      </c>
      <c r="L162" s="133">
        <f>SUMIFS(SevkAdetleri!$D:$D,SevkAdetleri!$A:$A,A162,SevkAdetleri!$E:$E,"HAZIRAN")</f>
        <v>2320</v>
      </c>
      <c r="M162" s="133">
        <f>SUMIFS(SevkAdetleri!$D:$D,SevkAdetleri!$A:$A,A162,SevkAdetleri!$E:$E,"TEMMUZ")</f>
        <v>0</v>
      </c>
      <c r="N162" s="133">
        <f>SUMIFS(SevkAdetleri!$D:$D,SevkAdetleri!$A:$A,A162,SevkAdetleri!$E:$E,"AĞUSTOS")</f>
        <v>0</v>
      </c>
      <c r="O162" s="133">
        <f>SUMIFS(SevkAdetleri!$D:$D,SevkAdetleri!$A:$A,A162,SevkAdetleri!$E:$E,"EYLÜL")</f>
        <v>0</v>
      </c>
      <c r="P162" s="133">
        <f>SUMIFS(SevkAdetleri!$D:$D,SevkAdetleri!$A:$A,A162,SevkAdetleri!$E:$E,"EKİM")</f>
        <v>0</v>
      </c>
      <c r="Q162" s="133">
        <f>SUMIFS(SevkAdetleri!$D:$D,SevkAdetleri!$A:$A,A162,SevkAdetleri!$E:$E,"KASIM")</f>
        <v>0</v>
      </c>
      <c r="R162" s="133">
        <f>SUMIFS(SevkAdetleri!$D:$D,SevkAdetleri!$A:$A,A162,SevkAdetleri!$E:$E,"ARALIK")</f>
        <v>0</v>
      </c>
    </row>
    <row r="163" spans="1:18">
      <c r="A163" s="132" t="s">
        <v>60</v>
      </c>
      <c r="B163" s="133" t="str">
        <f>VLOOKUP(Tablo810[[#This Row],[ ÜRÜN KODU]],YMKODLARI!$A$1:$H$376,2,0)</f>
        <v>EMZİK SAKLAMA KUTUSU ÜST</v>
      </c>
      <c r="C163" s="133">
        <f>SUMIF(Tablo8[[ ÜRÜN KODU]],Tablo810[[#This Row],[ ÜRÜN KODU]],Tablo8[SEVK ADEDİ])-Tablo810[[#This Row],[GERİ İADE ÜRÜN]]</f>
        <v>3069</v>
      </c>
      <c r="D163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2332</v>
      </c>
      <c r="E163" s="133"/>
      <c r="F163" s="133">
        <f t="shared" si="2"/>
        <v>-737</v>
      </c>
      <c r="G163" s="133">
        <f>SUMIFS(SevkAdetleri!$D:$D,SevkAdetleri!$A:$A,A163,SevkAdetleri!$E:$E,"OCAK")</f>
        <v>0</v>
      </c>
      <c r="H163" s="133">
        <f>SUMIFS(SevkAdetleri!$D:$D,SevkAdetleri!$A:$A,A163,SevkAdetleri!$E:$E,"ŞUBAT")</f>
        <v>2094</v>
      </c>
      <c r="I163" s="133">
        <f>SUMIFS(SevkAdetleri!$D:$D,SevkAdetleri!$A:$A,A163,SevkAdetleri!$E:$E,"MART")</f>
        <v>975</v>
      </c>
      <c r="J163" s="133">
        <f>SUMIFS(SevkAdetleri!$D:$D,SevkAdetleri!$A:$A,A163,SevkAdetleri!$E:$E,"NİSAN")</f>
        <v>0</v>
      </c>
      <c r="K163" s="133">
        <f>SUMIFS(SevkAdetleri!$D:$D,SevkAdetleri!$A:$A,A163,SevkAdetleri!$E:$E,"MAYIS")</f>
        <v>0</v>
      </c>
      <c r="L163" s="133">
        <f>SUMIFS(SevkAdetleri!$D:$D,SevkAdetleri!$A:$A,A163,SevkAdetleri!$E:$E,"HAZIRAN")</f>
        <v>0</v>
      </c>
      <c r="M163" s="133">
        <f>SUMIFS(SevkAdetleri!$D:$D,SevkAdetleri!$A:$A,A163,SevkAdetleri!$E:$E,"TEMMUZ")</f>
        <v>0</v>
      </c>
      <c r="N163" s="133">
        <f>SUMIFS(SevkAdetleri!$D:$D,SevkAdetleri!$A:$A,A163,SevkAdetleri!$E:$E,"AĞUSTOS")</f>
        <v>0</v>
      </c>
      <c r="O163" s="133">
        <f>SUMIFS(SevkAdetleri!$D:$D,SevkAdetleri!$A:$A,A163,SevkAdetleri!$E:$E,"EYLÜL")</f>
        <v>0</v>
      </c>
      <c r="P163" s="133">
        <f>SUMIFS(SevkAdetleri!$D:$D,SevkAdetleri!$A:$A,A163,SevkAdetleri!$E:$E,"EKİM")</f>
        <v>0</v>
      </c>
      <c r="Q163" s="133">
        <f>SUMIFS(SevkAdetleri!$D:$D,SevkAdetleri!$A:$A,A163,SevkAdetleri!$E:$E,"KASIM")</f>
        <v>0</v>
      </c>
      <c r="R163" s="133">
        <f>SUMIFS(SevkAdetleri!$D:$D,SevkAdetleri!$A:$A,A163,SevkAdetleri!$E:$E,"ARALIK")</f>
        <v>0</v>
      </c>
    </row>
    <row r="164" spans="1:18">
      <c r="A164" s="132" t="s">
        <v>61</v>
      </c>
      <c r="B164" s="133" t="str">
        <f>VLOOKUP(Tablo810[[#This Row],[ ÜRÜN KODU]],YMKODLARI!$A$1:$H$376,2,0)</f>
        <v>EMZİK SAKLAMA KUTUSU ALT</v>
      </c>
      <c r="C164" s="133">
        <f>SUMIF(Tablo8[[ ÜRÜN KODU]],Tablo810[[#This Row],[ ÜRÜN KODU]],Tablo8[SEVK ADEDİ])-Tablo810[[#This Row],[GERİ İADE ÜRÜN]]</f>
        <v>2066</v>
      </c>
      <c r="D164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2332</v>
      </c>
      <c r="E164" s="133"/>
      <c r="F164" s="133">
        <f t="shared" si="2"/>
        <v>266</v>
      </c>
      <c r="G164" s="133">
        <f>SUMIFS(SevkAdetleri!$D:$D,SevkAdetleri!$A:$A,A164,SevkAdetleri!$E:$E,"OCAK")</f>
        <v>0</v>
      </c>
      <c r="H164" s="133">
        <f>SUMIFS(SevkAdetleri!$D:$D,SevkAdetleri!$A:$A,A164,SevkAdetleri!$E:$E,"ŞUBAT")</f>
        <v>2066</v>
      </c>
      <c r="I164" s="133">
        <f>SUMIFS(SevkAdetleri!$D:$D,SevkAdetleri!$A:$A,A164,SevkAdetleri!$E:$E,"MART")</f>
        <v>0</v>
      </c>
      <c r="J164" s="133">
        <f>SUMIFS(SevkAdetleri!$D:$D,SevkAdetleri!$A:$A,A164,SevkAdetleri!$E:$E,"NİSAN")</f>
        <v>0</v>
      </c>
      <c r="K164" s="133">
        <f>SUMIFS(SevkAdetleri!$D:$D,SevkAdetleri!$A:$A,A164,SevkAdetleri!$E:$E,"MAYIS")</f>
        <v>0</v>
      </c>
      <c r="L164" s="133">
        <f>SUMIFS(SevkAdetleri!$D:$D,SevkAdetleri!$A:$A,A164,SevkAdetleri!$E:$E,"HAZIRAN")</f>
        <v>0</v>
      </c>
      <c r="M164" s="133">
        <f>SUMIFS(SevkAdetleri!$D:$D,SevkAdetleri!$A:$A,A164,SevkAdetleri!$E:$E,"TEMMUZ")</f>
        <v>0</v>
      </c>
      <c r="N164" s="133">
        <f>SUMIFS(SevkAdetleri!$D:$D,SevkAdetleri!$A:$A,A164,SevkAdetleri!$E:$E,"AĞUSTOS")</f>
        <v>0</v>
      </c>
      <c r="O164" s="133">
        <f>SUMIFS(SevkAdetleri!$D:$D,SevkAdetleri!$A:$A,A164,SevkAdetleri!$E:$E,"EYLÜL")</f>
        <v>0</v>
      </c>
      <c r="P164" s="133">
        <f>SUMIFS(SevkAdetleri!$D:$D,SevkAdetleri!$A:$A,A164,SevkAdetleri!$E:$E,"EKİM")</f>
        <v>0</v>
      </c>
      <c r="Q164" s="133">
        <f>SUMIFS(SevkAdetleri!$D:$D,SevkAdetleri!$A:$A,A164,SevkAdetleri!$E:$E,"KASIM")</f>
        <v>0</v>
      </c>
      <c r="R164" s="133">
        <f>SUMIFS(SevkAdetleri!$D:$D,SevkAdetleri!$A:$A,A164,SevkAdetleri!$E:$E,"ARALIK")</f>
        <v>0</v>
      </c>
    </row>
    <row r="165" spans="1:18">
      <c r="A165" s="132" t="s">
        <v>59</v>
      </c>
      <c r="B165" s="133" t="str">
        <f>VLOOKUP(Tablo810[[#This Row],[ ÜRÜN KODU]],YMKODLARI!$A$1:$H$376,2,0)</f>
        <v>EMZİK SAKLAMA KUTUSU ÜST</v>
      </c>
      <c r="C165" s="133">
        <f>SUMIF(Tablo8[[ ÜRÜN KODU]],Tablo810[[#This Row],[ ÜRÜN KODU]],Tablo8[SEVK ADEDİ])-Tablo810[[#This Row],[GERİ İADE ÜRÜN]]</f>
        <v>3422</v>
      </c>
      <c r="D165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5984</v>
      </c>
      <c r="E165" s="133"/>
      <c r="F165" s="133">
        <f t="shared" si="2"/>
        <v>2562</v>
      </c>
      <c r="G165" s="133">
        <f>SUMIFS(SevkAdetleri!$D:$D,SevkAdetleri!$A:$A,A165,SevkAdetleri!$E:$E,"OCAK")</f>
        <v>0</v>
      </c>
      <c r="H165" s="133">
        <f>SUMIFS(SevkAdetleri!$D:$D,SevkAdetleri!$A:$A,A165,SevkAdetleri!$E:$E,"ŞUBAT")</f>
        <v>1592</v>
      </c>
      <c r="I165" s="133">
        <f>SUMIFS(SevkAdetleri!$D:$D,SevkAdetleri!$A:$A,A165,SevkAdetleri!$E:$E,"MART")</f>
        <v>500</v>
      </c>
      <c r="J165" s="133">
        <f>SUMIFS(SevkAdetleri!$D:$D,SevkAdetleri!$A:$A,A165,SevkAdetleri!$E:$E,"NİSAN")</f>
        <v>0</v>
      </c>
      <c r="K165" s="133">
        <f>SUMIFS(SevkAdetleri!$D:$D,SevkAdetleri!$A:$A,A165,SevkAdetleri!$E:$E,"MAYIS")</f>
        <v>0</v>
      </c>
      <c r="L165" s="133">
        <f>SUMIFS(SevkAdetleri!$D:$D,SevkAdetleri!$A:$A,A165,SevkAdetleri!$E:$E,"HAZIRAN")</f>
        <v>0</v>
      </c>
      <c r="M165" s="133">
        <f>SUMIFS(SevkAdetleri!$D:$D,SevkAdetleri!$A:$A,A165,SevkAdetleri!$E:$E,"TEMMUZ")</f>
        <v>0</v>
      </c>
      <c r="N165" s="133">
        <f>SUMIFS(SevkAdetleri!$D:$D,SevkAdetleri!$A:$A,A165,SevkAdetleri!$E:$E,"AĞUSTOS")</f>
        <v>1330</v>
      </c>
      <c r="O165" s="133">
        <f>SUMIFS(SevkAdetleri!$D:$D,SevkAdetleri!$A:$A,A165,SevkAdetleri!$E:$E,"EYLÜL")</f>
        <v>0</v>
      </c>
      <c r="P165" s="133">
        <f>SUMIFS(SevkAdetleri!$D:$D,SevkAdetleri!$A:$A,A165,SevkAdetleri!$E:$E,"EKİM")</f>
        <v>0</v>
      </c>
      <c r="Q165" s="133">
        <f>SUMIFS(SevkAdetleri!$D:$D,SevkAdetleri!$A:$A,A165,SevkAdetleri!$E:$E,"KASIM")</f>
        <v>0</v>
      </c>
      <c r="R165" s="133">
        <f>SUMIFS(SevkAdetleri!$D:$D,SevkAdetleri!$A:$A,A165,SevkAdetleri!$E:$E,"ARALIK")</f>
        <v>0</v>
      </c>
    </row>
    <row r="166" spans="1:18">
      <c r="A166" s="132" t="s">
        <v>58</v>
      </c>
      <c r="B166" s="133" t="str">
        <f>VLOOKUP(Tablo810[[#This Row],[ ÜRÜN KODU]],YMKODLARI!$A$1:$H$376,2,0)</f>
        <v>EMZİK SAKLAMA KUTUSU ALT</v>
      </c>
      <c r="C166" s="133">
        <f>SUMIF(Tablo8[[ ÜRÜN KODU]],Tablo810[[#This Row],[ ÜRÜN KODU]],Tablo8[SEVK ADEDİ])-Tablo810[[#This Row],[GERİ İADE ÜRÜN]]</f>
        <v>2645</v>
      </c>
      <c r="D166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7016</v>
      </c>
      <c r="E166" s="133"/>
      <c r="F166" s="133">
        <f t="shared" si="2"/>
        <v>4371</v>
      </c>
      <c r="G166" s="133">
        <f>SUMIFS(SevkAdetleri!$D:$D,SevkAdetleri!$A:$A,A166,SevkAdetleri!$E:$E,"OCAK")</f>
        <v>0</v>
      </c>
      <c r="H166" s="133">
        <f>SUMIFS(SevkAdetleri!$D:$D,SevkAdetleri!$A:$A,A166,SevkAdetleri!$E:$E,"ŞUBAT")</f>
        <v>1010</v>
      </c>
      <c r="I166" s="133">
        <f>SUMIFS(SevkAdetleri!$D:$D,SevkAdetleri!$A:$A,A166,SevkAdetleri!$E:$E,"MART")</f>
        <v>515</v>
      </c>
      <c r="J166" s="133">
        <f>SUMIFS(SevkAdetleri!$D:$D,SevkAdetleri!$A:$A,A166,SevkAdetleri!$E:$E,"NİSAN")</f>
        <v>0</v>
      </c>
      <c r="K166" s="133">
        <f>SUMIFS(SevkAdetleri!$D:$D,SevkAdetleri!$A:$A,A166,SevkAdetleri!$E:$E,"MAYIS")</f>
        <v>0</v>
      </c>
      <c r="L166" s="133">
        <f>SUMIFS(SevkAdetleri!$D:$D,SevkAdetleri!$A:$A,A166,SevkAdetleri!$E:$E,"HAZIRAN")</f>
        <v>0</v>
      </c>
      <c r="M166" s="133">
        <f>SUMIFS(SevkAdetleri!$D:$D,SevkAdetleri!$A:$A,A166,SevkAdetleri!$E:$E,"TEMMUZ")</f>
        <v>0</v>
      </c>
      <c r="N166" s="133">
        <f>SUMIFS(SevkAdetleri!$D:$D,SevkAdetleri!$A:$A,A166,SevkAdetleri!$E:$E,"AĞUSTOS")</f>
        <v>1120</v>
      </c>
      <c r="O166" s="133">
        <f>SUMIFS(SevkAdetleri!$D:$D,SevkAdetleri!$A:$A,A166,SevkAdetleri!$E:$E,"EYLÜL")</f>
        <v>0</v>
      </c>
      <c r="P166" s="133">
        <f>SUMIFS(SevkAdetleri!$D:$D,SevkAdetleri!$A:$A,A166,SevkAdetleri!$E:$E,"EKİM")</f>
        <v>0</v>
      </c>
      <c r="Q166" s="133">
        <f>SUMIFS(SevkAdetleri!$D:$D,SevkAdetleri!$A:$A,A166,SevkAdetleri!$E:$E,"KASIM")</f>
        <v>0</v>
      </c>
      <c r="R166" s="133">
        <f>SUMIFS(SevkAdetleri!$D:$D,SevkAdetleri!$A:$A,A166,SevkAdetleri!$E:$E,"ARALIK")</f>
        <v>0</v>
      </c>
    </row>
    <row r="167" spans="1:18">
      <c r="A167" s="132" t="s">
        <v>59</v>
      </c>
      <c r="B167" s="133" t="str">
        <f>VLOOKUP(Tablo810[[#This Row],[ ÜRÜN KODU]],YMKODLARI!$A$1:$H$376,2,0)</f>
        <v>EMZİK SAKLAMA KUTUSU ÜST</v>
      </c>
      <c r="C167" s="133">
        <f>SUMIF(Tablo8[[ ÜRÜN KODU]],Tablo810[[#This Row],[ ÜRÜN KODU]],Tablo8[SEVK ADEDİ])-Tablo810[[#This Row],[GERİ İADE ÜRÜN]]</f>
        <v>3422</v>
      </c>
      <c r="D167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5984</v>
      </c>
      <c r="E167" s="133"/>
      <c r="F167" s="133">
        <f t="shared" si="2"/>
        <v>2562</v>
      </c>
      <c r="G167" s="133">
        <f>SUMIFS(SevkAdetleri!$D:$D,SevkAdetleri!$A:$A,A167,SevkAdetleri!$E:$E,"OCAK")</f>
        <v>0</v>
      </c>
      <c r="H167" s="133">
        <f>SUMIFS(SevkAdetleri!$D:$D,SevkAdetleri!$A:$A,A167,SevkAdetleri!$E:$E,"ŞUBAT")</f>
        <v>1592</v>
      </c>
      <c r="I167" s="133">
        <f>SUMIFS(SevkAdetleri!$D:$D,SevkAdetleri!$A:$A,A167,SevkAdetleri!$E:$E,"MART")</f>
        <v>500</v>
      </c>
      <c r="J167" s="133">
        <f>SUMIFS(SevkAdetleri!$D:$D,SevkAdetleri!$A:$A,A167,SevkAdetleri!$E:$E,"NİSAN")</f>
        <v>0</v>
      </c>
      <c r="K167" s="133">
        <f>SUMIFS(SevkAdetleri!$D:$D,SevkAdetleri!$A:$A,A167,SevkAdetleri!$E:$E,"MAYIS")</f>
        <v>0</v>
      </c>
      <c r="L167" s="133">
        <f>SUMIFS(SevkAdetleri!$D:$D,SevkAdetleri!$A:$A,A167,SevkAdetleri!$E:$E,"HAZIRAN")</f>
        <v>0</v>
      </c>
      <c r="M167" s="133">
        <f>SUMIFS(SevkAdetleri!$D:$D,SevkAdetleri!$A:$A,A167,SevkAdetleri!$E:$E,"TEMMUZ")</f>
        <v>0</v>
      </c>
      <c r="N167" s="133">
        <f>SUMIFS(SevkAdetleri!$D:$D,SevkAdetleri!$A:$A,A167,SevkAdetleri!$E:$E,"AĞUSTOS")</f>
        <v>1330</v>
      </c>
      <c r="O167" s="133">
        <f>SUMIFS(SevkAdetleri!$D:$D,SevkAdetleri!$A:$A,A167,SevkAdetleri!$E:$E,"EYLÜL")</f>
        <v>0</v>
      </c>
      <c r="P167" s="133">
        <f>SUMIFS(SevkAdetleri!$D:$D,SevkAdetleri!$A:$A,A167,SevkAdetleri!$E:$E,"EKİM")</f>
        <v>0</v>
      </c>
      <c r="Q167" s="133">
        <f>SUMIFS(SevkAdetleri!$D:$D,SevkAdetleri!$A:$A,A167,SevkAdetleri!$E:$E,"KASIM")</f>
        <v>0</v>
      </c>
      <c r="R167" s="133">
        <f>SUMIFS(SevkAdetleri!$D:$D,SevkAdetleri!$A:$A,A167,SevkAdetleri!$E:$E,"ARALIK")</f>
        <v>0</v>
      </c>
    </row>
    <row r="168" spans="1:18">
      <c r="A168" s="132" t="s">
        <v>58</v>
      </c>
      <c r="B168" s="133" t="str">
        <f>VLOOKUP(Tablo810[[#This Row],[ ÜRÜN KODU]],YMKODLARI!$A$1:$H$376,2,0)</f>
        <v>EMZİK SAKLAMA KUTUSU ALT</v>
      </c>
      <c r="C168" s="133">
        <f>SUMIF(Tablo8[[ ÜRÜN KODU]],Tablo810[[#This Row],[ ÜRÜN KODU]],Tablo8[SEVK ADEDİ])-Tablo810[[#This Row],[GERİ İADE ÜRÜN]]</f>
        <v>2645</v>
      </c>
      <c r="D168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7016</v>
      </c>
      <c r="E168" s="133"/>
      <c r="F168" s="133">
        <f t="shared" si="2"/>
        <v>4371</v>
      </c>
      <c r="G168" s="133">
        <f>SUMIFS(SevkAdetleri!$D:$D,SevkAdetleri!$A:$A,A168,SevkAdetleri!$E:$E,"OCAK")</f>
        <v>0</v>
      </c>
      <c r="H168" s="133">
        <f>SUMIFS(SevkAdetleri!$D:$D,SevkAdetleri!$A:$A,A168,SevkAdetleri!$E:$E,"ŞUBAT")</f>
        <v>1010</v>
      </c>
      <c r="I168" s="133">
        <f>SUMIFS(SevkAdetleri!$D:$D,SevkAdetleri!$A:$A,A168,SevkAdetleri!$E:$E,"MART")</f>
        <v>515</v>
      </c>
      <c r="J168" s="133">
        <f>SUMIFS(SevkAdetleri!$D:$D,SevkAdetleri!$A:$A,A168,SevkAdetleri!$E:$E,"NİSAN")</f>
        <v>0</v>
      </c>
      <c r="K168" s="133">
        <f>SUMIFS(SevkAdetleri!$D:$D,SevkAdetleri!$A:$A,A168,SevkAdetleri!$E:$E,"MAYIS")</f>
        <v>0</v>
      </c>
      <c r="L168" s="133">
        <f>SUMIFS(SevkAdetleri!$D:$D,SevkAdetleri!$A:$A,A168,SevkAdetleri!$E:$E,"HAZIRAN")</f>
        <v>0</v>
      </c>
      <c r="M168" s="133">
        <f>SUMIFS(SevkAdetleri!$D:$D,SevkAdetleri!$A:$A,A168,SevkAdetleri!$E:$E,"TEMMUZ")</f>
        <v>0</v>
      </c>
      <c r="N168" s="133">
        <f>SUMIFS(SevkAdetleri!$D:$D,SevkAdetleri!$A:$A,A168,SevkAdetleri!$E:$E,"AĞUSTOS")</f>
        <v>1120</v>
      </c>
      <c r="O168" s="133">
        <f>SUMIFS(SevkAdetleri!$D:$D,SevkAdetleri!$A:$A,A168,SevkAdetleri!$E:$E,"EYLÜL")</f>
        <v>0</v>
      </c>
      <c r="P168" s="133">
        <f>SUMIFS(SevkAdetleri!$D:$D,SevkAdetleri!$A:$A,A168,SevkAdetleri!$E:$E,"EKİM")</f>
        <v>0</v>
      </c>
      <c r="Q168" s="133">
        <f>SUMIFS(SevkAdetleri!$D:$D,SevkAdetleri!$A:$A,A168,SevkAdetleri!$E:$E,"KASIM")</f>
        <v>0</v>
      </c>
      <c r="R168" s="133">
        <f>SUMIFS(SevkAdetleri!$D:$D,SevkAdetleri!$A:$A,A168,SevkAdetleri!$E:$E,"ARALIK")</f>
        <v>0</v>
      </c>
    </row>
    <row r="169" spans="1:18">
      <c r="A169" s="132" t="s">
        <v>330</v>
      </c>
      <c r="B169" s="133" t="str">
        <f>VLOOKUP(Tablo810[[#This Row],[ ÜRÜN KODU]],YMKODLARI!$A$1:$H$376,2,0)</f>
        <v>MAMA TABAĞI</v>
      </c>
      <c r="C169" s="133">
        <f>SUMIF(Tablo8[[ ÜRÜN KODU]],Tablo810[[#This Row],[ ÜRÜN KODU]],Tablo8[SEVK ADEDİ])-Tablo810[[#This Row],[GERİ İADE ÜRÜN]]</f>
        <v>0</v>
      </c>
      <c r="D169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169" s="133"/>
      <c r="F169" s="133">
        <f t="shared" si="2"/>
        <v>0</v>
      </c>
      <c r="G169" s="133">
        <f>SUMIFS(SevkAdetleri!$D:$D,SevkAdetleri!$A:$A,A169,SevkAdetleri!$E:$E,"OCAK")</f>
        <v>0</v>
      </c>
      <c r="H169" s="133">
        <f>SUMIFS(SevkAdetleri!$D:$D,SevkAdetleri!$A:$A,A169,SevkAdetleri!$E:$E,"ŞUBAT")</f>
        <v>0</v>
      </c>
      <c r="I169" s="133">
        <f>SUMIFS(SevkAdetleri!$D:$D,SevkAdetleri!$A:$A,A169,SevkAdetleri!$E:$E,"MART")</f>
        <v>0</v>
      </c>
      <c r="J169" s="133">
        <f>SUMIFS(SevkAdetleri!$D:$D,SevkAdetleri!$A:$A,A169,SevkAdetleri!$E:$E,"NİSAN")</f>
        <v>0</v>
      </c>
      <c r="K169" s="133">
        <f>SUMIFS(SevkAdetleri!$D:$D,SevkAdetleri!$A:$A,A169,SevkAdetleri!$E:$E,"MAYIS")</f>
        <v>0</v>
      </c>
      <c r="L169" s="133">
        <f>SUMIFS(SevkAdetleri!$D:$D,SevkAdetleri!$A:$A,A169,SevkAdetleri!$E:$E,"HAZIRAN")</f>
        <v>0</v>
      </c>
      <c r="M169" s="133">
        <f>SUMIFS(SevkAdetleri!$D:$D,SevkAdetleri!$A:$A,A169,SevkAdetleri!$E:$E,"TEMMUZ")</f>
        <v>0</v>
      </c>
      <c r="N169" s="133">
        <f>SUMIFS(SevkAdetleri!$D:$D,SevkAdetleri!$A:$A,A169,SevkAdetleri!$E:$E,"AĞUSTOS")</f>
        <v>0</v>
      </c>
      <c r="O169" s="133">
        <f>SUMIFS(SevkAdetleri!$D:$D,SevkAdetleri!$A:$A,A169,SevkAdetleri!$E:$E,"EYLÜL")</f>
        <v>0</v>
      </c>
      <c r="P169" s="133">
        <f>SUMIFS(SevkAdetleri!$D:$D,SevkAdetleri!$A:$A,A169,SevkAdetleri!$E:$E,"EKİM")</f>
        <v>0</v>
      </c>
      <c r="Q169" s="133">
        <f>SUMIFS(SevkAdetleri!$D:$D,SevkAdetleri!$A:$A,A169,SevkAdetleri!$E:$E,"KASIM")</f>
        <v>0</v>
      </c>
      <c r="R169" s="133">
        <f>SUMIFS(SevkAdetleri!$D:$D,SevkAdetleri!$A:$A,A169,SevkAdetleri!$E:$E,"ARALIK")</f>
        <v>0</v>
      </c>
    </row>
    <row r="170" spans="1:18">
      <c r="A170" s="132" t="s">
        <v>331</v>
      </c>
      <c r="B170" s="133" t="str">
        <f>VLOOKUP(Tablo810[[#This Row],[ ÜRÜN KODU]],YMKODLARI!$A$1:$H$376,2,0)</f>
        <v>MAMA TABAĞI</v>
      </c>
      <c r="C170" s="133">
        <f>SUMIF(Tablo8[[ ÜRÜN KODU]],Tablo810[[#This Row],[ ÜRÜN KODU]],Tablo8[SEVK ADEDİ])-Tablo810[[#This Row],[GERİ İADE ÜRÜN]]</f>
        <v>0</v>
      </c>
      <c r="D170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170" s="133"/>
      <c r="F170" s="133">
        <f t="shared" si="2"/>
        <v>0</v>
      </c>
      <c r="G170" s="133">
        <f>SUMIFS(SevkAdetleri!$D:$D,SevkAdetleri!$A:$A,A170,SevkAdetleri!$E:$E,"OCAK")</f>
        <v>0</v>
      </c>
      <c r="H170" s="133">
        <f>SUMIFS(SevkAdetleri!$D:$D,SevkAdetleri!$A:$A,A170,SevkAdetleri!$E:$E,"ŞUBAT")</f>
        <v>0</v>
      </c>
      <c r="I170" s="133">
        <f>SUMIFS(SevkAdetleri!$D:$D,SevkAdetleri!$A:$A,A170,SevkAdetleri!$E:$E,"MART")</f>
        <v>0</v>
      </c>
      <c r="J170" s="133">
        <f>SUMIFS(SevkAdetleri!$D:$D,SevkAdetleri!$A:$A,A170,SevkAdetleri!$E:$E,"NİSAN")</f>
        <v>0</v>
      </c>
      <c r="K170" s="133">
        <f>SUMIFS(SevkAdetleri!$D:$D,SevkAdetleri!$A:$A,A170,SevkAdetleri!$E:$E,"MAYIS")</f>
        <v>0</v>
      </c>
      <c r="L170" s="133">
        <f>SUMIFS(SevkAdetleri!$D:$D,SevkAdetleri!$A:$A,A170,SevkAdetleri!$E:$E,"HAZIRAN")</f>
        <v>0</v>
      </c>
      <c r="M170" s="133">
        <f>SUMIFS(SevkAdetleri!$D:$D,SevkAdetleri!$A:$A,A170,SevkAdetleri!$E:$E,"TEMMUZ")</f>
        <v>0</v>
      </c>
      <c r="N170" s="133">
        <f>SUMIFS(SevkAdetleri!$D:$D,SevkAdetleri!$A:$A,A170,SevkAdetleri!$E:$E,"AĞUSTOS")</f>
        <v>0</v>
      </c>
      <c r="O170" s="133">
        <f>SUMIFS(SevkAdetleri!$D:$D,SevkAdetleri!$A:$A,A170,SevkAdetleri!$E:$E,"EYLÜL")</f>
        <v>0</v>
      </c>
      <c r="P170" s="133">
        <f>SUMIFS(SevkAdetleri!$D:$D,SevkAdetleri!$A:$A,A170,SevkAdetleri!$E:$E,"EKİM")</f>
        <v>0</v>
      </c>
      <c r="Q170" s="133">
        <f>SUMIFS(SevkAdetleri!$D:$D,SevkAdetleri!$A:$A,A170,SevkAdetleri!$E:$E,"KASIM")</f>
        <v>0</v>
      </c>
      <c r="R170" s="133">
        <f>SUMIFS(SevkAdetleri!$D:$D,SevkAdetleri!$A:$A,A170,SevkAdetleri!$E:$E,"ARALIK")</f>
        <v>0</v>
      </c>
    </row>
    <row r="171" spans="1:18">
      <c r="A171" s="132" t="s">
        <v>332</v>
      </c>
      <c r="B171" s="133" t="str">
        <f>VLOOKUP(Tablo810[[#This Row],[ ÜRÜN KODU]],YMKODLARI!$A$1:$H$376,2,0)</f>
        <v>MAMA TABAĞI</v>
      </c>
      <c r="C171" s="133">
        <f>SUMIF(Tablo8[[ ÜRÜN KODU]],Tablo810[[#This Row],[ ÜRÜN KODU]],Tablo8[SEVK ADEDİ])-Tablo810[[#This Row],[GERİ İADE ÜRÜN]]</f>
        <v>0</v>
      </c>
      <c r="D171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171" s="133"/>
      <c r="F171" s="133">
        <f t="shared" si="2"/>
        <v>0</v>
      </c>
      <c r="G171" s="133">
        <f>SUMIFS(SevkAdetleri!$D:$D,SevkAdetleri!$A:$A,A171,SevkAdetleri!$E:$E,"OCAK")</f>
        <v>0</v>
      </c>
      <c r="H171" s="133">
        <f>SUMIFS(SevkAdetleri!$D:$D,SevkAdetleri!$A:$A,A171,SevkAdetleri!$E:$E,"ŞUBAT")</f>
        <v>0</v>
      </c>
      <c r="I171" s="133">
        <f>SUMIFS(SevkAdetleri!$D:$D,SevkAdetleri!$A:$A,A171,SevkAdetleri!$E:$E,"MART")</f>
        <v>0</v>
      </c>
      <c r="J171" s="133">
        <f>SUMIFS(SevkAdetleri!$D:$D,SevkAdetleri!$A:$A,A171,SevkAdetleri!$E:$E,"NİSAN")</f>
        <v>0</v>
      </c>
      <c r="K171" s="133">
        <f>SUMIFS(SevkAdetleri!$D:$D,SevkAdetleri!$A:$A,A171,SevkAdetleri!$E:$E,"MAYIS")</f>
        <v>0</v>
      </c>
      <c r="L171" s="133">
        <f>SUMIFS(SevkAdetleri!$D:$D,SevkAdetleri!$A:$A,A171,SevkAdetleri!$E:$E,"HAZIRAN")</f>
        <v>0</v>
      </c>
      <c r="M171" s="133">
        <f>SUMIFS(SevkAdetleri!$D:$D,SevkAdetleri!$A:$A,A171,SevkAdetleri!$E:$E,"TEMMUZ")</f>
        <v>0</v>
      </c>
      <c r="N171" s="133">
        <f>SUMIFS(SevkAdetleri!$D:$D,SevkAdetleri!$A:$A,A171,SevkAdetleri!$E:$E,"AĞUSTOS")</f>
        <v>0</v>
      </c>
      <c r="O171" s="133">
        <f>SUMIFS(SevkAdetleri!$D:$D,SevkAdetleri!$A:$A,A171,SevkAdetleri!$E:$E,"EYLÜL")</f>
        <v>0</v>
      </c>
      <c r="P171" s="133">
        <f>SUMIFS(SevkAdetleri!$D:$D,SevkAdetleri!$A:$A,A171,SevkAdetleri!$E:$E,"EKİM")</f>
        <v>0</v>
      </c>
      <c r="Q171" s="133">
        <f>SUMIFS(SevkAdetleri!$D:$D,SevkAdetleri!$A:$A,A171,SevkAdetleri!$E:$E,"KASIM")</f>
        <v>0</v>
      </c>
      <c r="R171" s="133">
        <f>SUMIFS(SevkAdetleri!$D:$D,SevkAdetleri!$A:$A,A171,SevkAdetleri!$E:$E,"ARALIK")</f>
        <v>0</v>
      </c>
    </row>
    <row r="172" spans="1:18">
      <c r="A172" s="132" t="s">
        <v>139</v>
      </c>
      <c r="B172" s="133" t="str">
        <f>VLOOKUP(Tablo810[[#This Row],[ ÜRÜN KODU]],YMKODLARI!$A$1:$H$376,2,0)</f>
        <v>KURBAĞA DİŞ KAŞIYICI TUTACAK</v>
      </c>
      <c r="C172" s="133">
        <f>SUMIF(Tablo8[[ ÜRÜN KODU]],Tablo810[[#This Row],[ ÜRÜN KODU]],Tablo8[SEVK ADEDİ])-Tablo810[[#This Row],[GERİ İADE ÜRÜN]]</f>
        <v>8036</v>
      </c>
      <c r="D172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6084</v>
      </c>
      <c r="E172" s="133"/>
      <c r="F172" s="133">
        <f t="shared" si="2"/>
        <v>-1952</v>
      </c>
      <c r="G172" s="133">
        <f>SUMIFS(SevkAdetleri!$D:$D,SevkAdetleri!$A:$A,A172,SevkAdetleri!$E:$E,"OCAK")</f>
        <v>0</v>
      </c>
      <c r="H172" s="133">
        <f>SUMIFS(SevkAdetleri!$D:$D,SevkAdetleri!$A:$A,A172,SevkAdetleri!$E:$E,"ŞUBAT")</f>
        <v>2062</v>
      </c>
      <c r="I172" s="133">
        <f>SUMIFS(SevkAdetleri!$D:$D,SevkAdetleri!$A:$A,A172,SevkAdetleri!$E:$E,"MART")</f>
        <v>0</v>
      </c>
      <c r="J172" s="133">
        <f>SUMIFS(SevkAdetleri!$D:$D,SevkAdetleri!$A:$A,A172,SevkAdetleri!$E:$E,"NİSAN")</f>
        <v>0</v>
      </c>
      <c r="K172" s="133">
        <f>SUMIFS(SevkAdetleri!$D:$D,SevkAdetleri!$A:$A,A172,SevkAdetleri!$E:$E,"MAYIS")</f>
        <v>0</v>
      </c>
      <c r="L172" s="133">
        <f>SUMIFS(SevkAdetleri!$D:$D,SevkAdetleri!$A:$A,A172,SevkAdetleri!$E:$E,"HAZIRAN")</f>
        <v>1265</v>
      </c>
      <c r="M172" s="133">
        <f>SUMIFS(SevkAdetleri!$D:$D,SevkAdetleri!$A:$A,A172,SevkAdetleri!$E:$E,"TEMMUZ")</f>
        <v>0</v>
      </c>
      <c r="N172" s="133">
        <f>SUMIFS(SevkAdetleri!$D:$D,SevkAdetleri!$A:$A,A172,SevkAdetleri!$E:$E,"AĞUSTOS")</f>
        <v>0</v>
      </c>
      <c r="O172" s="133">
        <f>SUMIFS(SevkAdetleri!$D:$D,SevkAdetleri!$A:$A,A172,SevkAdetleri!$E:$E,"EYLÜL")</f>
        <v>0</v>
      </c>
      <c r="P172" s="133">
        <f>SUMIFS(SevkAdetleri!$D:$D,SevkAdetleri!$A:$A,A172,SevkAdetleri!$E:$E,"EKİM")</f>
        <v>4709</v>
      </c>
      <c r="Q172" s="133">
        <f>SUMIFS(SevkAdetleri!$D:$D,SevkAdetleri!$A:$A,A172,SevkAdetleri!$E:$E,"KASIM")</f>
        <v>0</v>
      </c>
      <c r="R172" s="133">
        <f>SUMIFS(SevkAdetleri!$D:$D,SevkAdetleri!$A:$A,A172,SevkAdetleri!$E:$E,"ARALIK")</f>
        <v>0</v>
      </c>
    </row>
    <row r="173" spans="1:18">
      <c r="A173" s="132" t="s">
        <v>178</v>
      </c>
      <c r="B173" s="133" t="str">
        <f>VLOOKUP(Tablo810[[#This Row],[ ÜRÜN KODU]],YMKODLARI!$A$1:$H$376,2,0)</f>
        <v>KURBAĞA DİŞ KAŞIYICI TUTACAK</v>
      </c>
      <c r="C173" s="133">
        <f>SUMIF(Tablo8[[ ÜRÜN KODU]],Tablo810[[#This Row],[ ÜRÜN KODU]],Tablo8[SEVK ADEDİ])-Tablo810[[#This Row],[GERİ İADE ÜRÜN]]</f>
        <v>7250</v>
      </c>
      <c r="D173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6940</v>
      </c>
      <c r="E173" s="133"/>
      <c r="F173" s="133">
        <f t="shared" si="2"/>
        <v>-310</v>
      </c>
      <c r="G173" s="133">
        <f>SUMIFS(SevkAdetleri!$D:$D,SevkAdetleri!$A:$A,A173,SevkAdetleri!$E:$E,"OCAK")</f>
        <v>0</v>
      </c>
      <c r="H173" s="133">
        <f>SUMIFS(SevkAdetleri!$D:$D,SevkAdetleri!$A:$A,A173,SevkAdetleri!$E:$E,"ŞUBAT")</f>
        <v>0</v>
      </c>
      <c r="I173" s="133">
        <f>SUMIFS(SevkAdetleri!$D:$D,SevkAdetleri!$A:$A,A173,SevkAdetleri!$E:$E,"MART")</f>
        <v>0</v>
      </c>
      <c r="J173" s="133">
        <f>SUMIFS(SevkAdetleri!$D:$D,SevkAdetleri!$A:$A,A173,SevkAdetleri!$E:$E,"NİSAN")</f>
        <v>0</v>
      </c>
      <c r="K173" s="133">
        <f>SUMIFS(SevkAdetleri!$D:$D,SevkAdetleri!$A:$A,A173,SevkAdetleri!$E:$E,"MAYIS")</f>
        <v>0</v>
      </c>
      <c r="L173" s="133">
        <f>SUMIFS(SevkAdetleri!$D:$D,SevkAdetleri!$A:$A,A173,SevkAdetleri!$E:$E,"HAZIRAN")</f>
        <v>1000</v>
      </c>
      <c r="M173" s="133">
        <f>SUMIFS(SevkAdetleri!$D:$D,SevkAdetleri!$A:$A,A173,SevkAdetleri!$E:$E,"TEMMUZ")</f>
        <v>0</v>
      </c>
      <c r="N173" s="133">
        <f>SUMIFS(SevkAdetleri!$D:$D,SevkAdetleri!$A:$A,A173,SevkAdetleri!$E:$E,"AĞUSTOS")</f>
        <v>0</v>
      </c>
      <c r="O173" s="133">
        <f>SUMIFS(SevkAdetleri!$D:$D,SevkAdetleri!$A:$A,A173,SevkAdetleri!$E:$E,"EYLÜL")</f>
        <v>0</v>
      </c>
      <c r="P173" s="133">
        <f>SUMIFS(SevkAdetleri!$D:$D,SevkAdetleri!$A:$A,A173,SevkAdetleri!$E:$E,"EKİM")</f>
        <v>6250</v>
      </c>
      <c r="Q173" s="133">
        <f>SUMIFS(SevkAdetleri!$D:$D,SevkAdetleri!$A:$A,A173,SevkAdetleri!$E:$E,"KASIM")</f>
        <v>0</v>
      </c>
      <c r="R173" s="133">
        <f>SUMIFS(SevkAdetleri!$D:$D,SevkAdetleri!$A:$A,A173,SevkAdetleri!$E:$E,"ARALIK")</f>
        <v>0</v>
      </c>
    </row>
    <row r="174" spans="1:18">
      <c r="A174" s="135" t="s">
        <v>138</v>
      </c>
      <c r="B174" s="133" t="str">
        <f>VLOOKUP(Tablo810[[#This Row],[ ÜRÜN KODU]],YMKODLARI!$A$1:$H$376,2,0)</f>
        <v>KURBAĞA DİŞ KAŞIYICI TUTACAK</v>
      </c>
      <c r="C174" s="133">
        <f>SUMIF(Tablo8[[ ÜRÜN KODU]],Tablo810[[#This Row],[ ÜRÜN KODU]],Tablo8[SEVK ADEDİ])-Tablo810[[#This Row],[GERİ İADE ÜRÜN]]</f>
        <v>8799</v>
      </c>
      <c r="D174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8128</v>
      </c>
      <c r="E174" s="133"/>
      <c r="F174" s="133">
        <f t="shared" si="2"/>
        <v>-671</v>
      </c>
      <c r="G174" s="133">
        <f>SUMIFS(SevkAdetleri!$D:$D,SevkAdetleri!$A:$A,A174,SevkAdetleri!$E:$E,"OCAK")</f>
        <v>0</v>
      </c>
      <c r="H174" s="133">
        <f>SUMIFS(SevkAdetleri!$D:$D,SevkAdetleri!$A:$A,A174,SevkAdetleri!$E:$E,"ŞUBAT")</f>
        <v>2139</v>
      </c>
      <c r="I174" s="133">
        <f>SUMIFS(SevkAdetleri!$D:$D,SevkAdetleri!$A:$A,A174,SevkAdetleri!$E:$E,"MART")</f>
        <v>0</v>
      </c>
      <c r="J174" s="133">
        <f>SUMIFS(SevkAdetleri!$D:$D,SevkAdetleri!$A:$A,A174,SevkAdetleri!$E:$E,"NİSAN")</f>
        <v>0</v>
      </c>
      <c r="K174" s="133">
        <f>SUMIFS(SevkAdetleri!$D:$D,SevkAdetleri!$A:$A,A174,SevkAdetleri!$E:$E,"MAYIS")</f>
        <v>0</v>
      </c>
      <c r="L174" s="133">
        <f>SUMIFS(SevkAdetleri!$D:$D,SevkAdetleri!$A:$A,A174,SevkAdetleri!$E:$E,"HAZIRAN")</f>
        <v>1160</v>
      </c>
      <c r="M174" s="133">
        <f>SUMIFS(SevkAdetleri!$D:$D,SevkAdetleri!$A:$A,A174,SevkAdetleri!$E:$E,"TEMMUZ")</f>
        <v>0</v>
      </c>
      <c r="N174" s="133">
        <f>SUMIFS(SevkAdetleri!$D:$D,SevkAdetleri!$A:$A,A174,SevkAdetleri!$E:$E,"AĞUSTOS")</f>
        <v>0</v>
      </c>
      <c r="O174" s="133">
        <f>SUMIFS(SevkAdetleri!$D:$D,SevkAdetleri!$A:$A,A174,SevkAdetleri!$E:$E,"EYLÜL")</f>
        <v>0</v>
      </c>
      <c r="P174" s="133">
        <f>SUMIFS(SevkAdetleri!$D:$D,SevkAdetleri!$A:$A,A174,SevkAdetleri!$E:$E,"EKİM")</f>
        <v>5500</v>
      </c>
      <c r="Q174" s="133">
        <f>SUMIFS(SevkAdetleri!$D:$D,SevkAdetleri!$A:$A,A174,SevkAdetleri!$E:$E,"KASIM")</f>
        <v>0</v>
      </c>
      <c r="R174" s="133">
        <f>SUMIFS(SevkAdetleri!$D:$D,SevkAdetleri!$A:$A,A174,SevkAdetleri!$E:$E,"ARALIK")</f>
        <v>0</v>
      </c>
    </row>
    <row r="175" spans="1:18">
      <c r="A175" s="135" t="s">
        <v>79</v>
      </c>
      <c r="B175" s="133" t="str">
        <f>VLOOKUP(Tablo810[[#This Row],[ ÜRÜN KODU]],YMKODLARI!$A$1:$H$376,2,0)</f>
        <v>YENİ EMZİK TIPASI</v>
      </c>
      <c r="C175" s="133">
        <f>SUMIF(Tablo8[[ ÜRÜN KODU]],Tablo810[[#This Row],[ ÜRÜN KODU]],Tablo8[SEVK ADEDİ])-Tablo810[[#This Row],[GERİ İADE ÜRÜN]]</f>
        <v>28878</v>
      </c>
      <c r="D175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25848</v>
      </c>
      <c r="E175" s="133"/>
      <c r="F175" s="133">
        <f>(D175-C175)+E175</f>
        <v>-3030</v>
      </c>
      <c r="G175" s="134">
        <f>SUMIFS(SevkAdetleri!$D:$D,SevkAdetleri!$A:$A,A175,SevkAdetleri!$E:$E,"OCAK")</f>
        <v>0</v>
      </c>
      <c r="H175" s="133">
        <f>SUMIFS(SevkAdetleri!$D:$D,SevkAdetleri!$A:$A,A175,SevkAdetleri!$E:$E,"ŞUBAT")</f>
        <v>0</v>
      </c>
      <c r="I175" s="133">
        <f>SUMIFS(SevkAdetleri!$D:$D,SevkAdetleri!$A:$A,A175,SevkAdetleri!$E:$E,"MART")</f>
        <v>0</v>
      </c>
      <c r="J175" s="133">
        <f>SUMIFS(SevkAdetleri!$D:$D,SevkAdetleri!$A:$A,A175,SevkAdetleri!$E:$E,"NİSAN")</f>
        <v>0</v>
      </c>
      <c r="K175" s="133">
        <f>SUMIFS(SevkAdetleri!$D:$D,SevkAdetleri!$A:$A,A175,SevkAdetleri!$E:$E,"MAYIS")</f>
        <v>0</v>
      </c>
      <c r="L175" s="133">
        <f>SUMIFS(SevkAdetleri!$D:$D,SevkAdetleri!$A:$A,A175,SevkAdetleri!$E:$E,"HAZIRAN")</f>
        <v>28878</v>
      </c>
      <c r="M175" s="133">
        <f>SUMIFS(SevkAdetleri!$D:$D,SevkAdetleri!$A:$A,A175,SevkAdetleri!$E:$E,"TEMMUZ")</f>
        <v>0</v>
      </c>
      <c r="N175" s="133">
        <f>SUMIFS(SevkAdetleri!$D:$D,SevkAdetleri!$A:$A,A175,SevkAdetleri!$E:$E,"AĞUSTOS")</f>
        <v>0</v>
      </c>
      <c r="O175" s="133">
        <f>SUMIFS(SevkAdetleri!$D:$D,SevkAdetleri!$A:$A,A175,SevkAdetleri!$E:$E,"EYLÜL")</f>
        <v>0</v>
      </c>
      <c r="P175" s="133">
        <f>SUMIFS(SevkAdetleri!$D:$D,SevkAdetleri!$A:$A,A175,SevkAdetleri!$E:$E,"EKİM")</f>
        <v>0</v>
      </c>
      <c r="Q175" s="133">
        <f>SUMIFS(SevkAdetleri!$D:$D,SevkAdetleri!$A:$A,A175,SevkAdetleri!$E:$E,"KASIM")</f>
        <v>0</v>
      </c>
      <c r="R175" s="133">
        <f>SUMIFS(SevkAdetleri!$D:$D,SevkAdetleri!$A:$A,A175,SevkAdetleri!$E:$E,"ARALIK")</f>
        <v>0</v>
      </c>
    </row>
    <row r="176" spans="1:18">
      <c r="A176" s="135" t="s">
        <v>140</v>
      </c>
      <c r="B176" s="133" t="str">
        <f>VLOOKUP(Tablo810[[#This Row],[ ÜRÜN KODU]],YMKODLARI!$A$1:$H$376,2,0)</f>
        <v>NEŞELİ ÇINGIRAK</v>
      </c>
      <c r="C176" s="133">
        <f>SUMIF(Tablo8[[ ÜRÜN KODU]],Tablo810[[#This Row],[ ÜRÜN KODU]],Tablo8[SEVK ADEDİ])-Tablo810[[#This Row],[GERİ İADE ÜRÜN]]</f>
        <v>6414</v>
      </c>
      <c r="D176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6502</v>
      </c>
      <c r="E176" s="133"/>
      <c r="F176" s="133">
        <f t="shared" si="2"/>
        <v>88</v>
      </c>
      <c r="G176" s="133">
        <f>SUMIFS(SevkAdetleri!$D:$D,SevkAdetleri!$A:$A,A176,SevkAdetleri!$E:$E,"OCAK")</f>
        <v>0</v>
      </c>
      <c r="H176" s="133">
        <f>SUMIFS(SevkAdetleri!$D:$D,SevkAdetleri!$A:$A,A176,SevkAdetleri!$E:$E,"ŞUBAT")</f>
        <v>1025</v>
      </c>
      <c r="I176" s="133">
        <f>SUMIFS(SevkAdetleri!$D:$D,SevkAdetleri!$A:$A,A176,SevkAdetleri!$E:$E,"MART")</f>
        <v>0</v>
      </c>
      <c r="J176" s="133">
        <f>SUMIFS(SevkAdetleri!$D:$D,SevkAdetleri!$A:$A,A176,SevkAdetleri!$E:$E,"NİSAN")</f>
        <v>0</v>
      </c>
      <c r="K176" s="133">
        <f>SUMIFS(SevkAdetleri!$D:$D,SevkAdetleri!$A:$A,A176,SevkAdetleri!$E:$E,"MAYIS")</f>
        <v>0</v>
      </c>
      <c r="L176" s="133">
        <f>SUMIFS(SevkAdetleri!$D:$D,SevkAdetleri!$A:$A,A176,SevkAdetleri!$E:$E,"HAZIRAN")</f>
        <v>5389</v>
      </c>
      <c r="M176" s="133">
        <f>SUMIFS(SevkAdetleri!$D:$D,SevkAdetleri!$A:$A,A176,SevkAdetleri!$E:$E,"TEMMUZ")</f>
        <v>0</v>
      </c>
      <c r="N176" s="133">
        <f>SUMIFS(SevkAdetleri!$D:$D,SevkAdetleri!$A:$A,A176,SevkAdetleri!$E:$E,"AĞUSTOS")</f>
        <v>0</v>
      </c>
      <c r="O176" s="133">
        <f>SUMIFS(SevkAdetleri!$D:$D,SevkAdetleri!$A:$A,A176,SevkAdetleri!$E:$E,"EYLÜL")</f>
        <v>0</v>
      </c>
      <c r="P176" s="133">
        <f>SUMIFS(SevkAdetleri!$D:$D,SevkAdetleri!$A:$A,A176,SevkAdetleri!$E:$E,"EKİM")</f>
        <v>0</v>
      </c>
      <c r="Q176" s="133">
        <f>SUMIFS(SevkAdetleri!$D:$D,SevkAdetleri!$A:$A,A176,SevkAdetleri!$E:$E,"KASIM")</f>
        <v>0</v>
      </c>
      <c r="R176" s="133">
        <f>SUMIFS(SevkAdetleri!$D:$D,SevkAdetleri!$A:$A,A176,SevkAdetleri!$E:$E,"ARALIK")</f>
        <v>0</v>
      </c>
    </row>
    <row r="177" spans="1:18">
      <c r="A177" s="135" t="s">
        <v>142</v>
      </c>
      <c r="B177" s="133" t="str">
        <f>VLOOKUP(Tablo810[[#This Row],[ ÜRÜN KODU]],YMKODLARI!$A$1:$H$376,2,0)</f>
        <v>NEŞELİ ÇINGIRAK</v>
      </c>
      <c r="C177" s="133">
        <f>SUMIF(Tablo8[[ ÜRÜN KODU]],Tablo810[[#This Row],[ ÜRÜN KODU]],Tablo8[SEVK ADEDİ])-Tablo810[[#This Row],[GERİ İADE ÜRÜN]]</f>
        <v>6369</v>
      </c>
      <c r="D177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6502</v>
      </c>
      <c r="E177" s="133"/>
      <c r="F177" s="133">
        <f t="shared" si="2"/>
        <v>133</v>
      </c>
      <c r="G177" s="133">
        <f>SUMIFS(SevkAdetleri!$D:$D,SevkAdetleri!$A:$A,A177,SevkAdetleri!$E:$E,"OCAK")</f>
        <v>0</v>
      </c>
      <c r="H177" s="133">
        <f>SUMIFS(SevkAdetleri!$D:$D,SevkAdetleri!$A:$A,A177,SevkAdetleri!$E:$E,"ŞUBAT")</f>
        <v>1019</v>
      </c>
      <c r="I177" s="133">
        <f>SUMIFS(SevkAdetleri!$D:$D,SevkAdetleri!$A:$A,A177,SevkAdetleri!$E:$E,"MART")</f>
        <v>0</v>
      </c>
      <c r="J177" s="133">
        <f>SUMIFS(SevkAdetleri!$D:$D,SevkAdetleri!$A:$A,A177,SevkAdetleri!$E:$E,"NİSAN")</f>
        <v>0</v>
      </c>
      <c r="K177" s="133">
        <f>SUMIFS(SevkAdetleri!$D:$D,SevkAdetleri!$A:$A,A177,SevkAdetleri!$E:$E,"MAYIS")</f>
        <v>0</v>
      </c>
      <c r="L177" s="133">
        <f>SUMIFS(SevkAdetleri!$D:$D,SevkAdetleri!$A:$A,A177,SevkAdetleri!$E:$E,"HAZIRAN")</f>
        <v>5350</v>
      </c>
      <c r="M177" s="133">
        <f>SUMIFS(SevkAdetleri!$D:$D,SevkAdetleri!$A:$A,A177,SevkAdetleri!$E:$E,"TEMMUZ")</f>
        <v>0</v>
      </c>
      <c r="N177" s="133">
        <f>SUMIFS(SevkAdetleri!$D:$D,SevkAdetleri!$A:$A,A177,SevkAdetleri!$E:$E,"AĞUSTOS")</f>
        <v>0</v>
      </c>
      <c r="O177" s="133">
        <f>SUMIFS(SevkAdetleri!$D:$D,SevkAdetleri!$A:$A,A177,SevkAdetleri!$E:$E,"EYLÜL")</f>
        <v>0</v>
      </c>
      <c r="P177" s="133">
        <f>SUMIFS(SevkAdetleri!$D:$D,SevkAdetleri!$A:$A,A177,SevkAdetleri!$E:$E,"EKİM")</f>
        <v>0</v>
      </c>
      <c r="Q177" s="133">
        <f>SUMIFS(SevkAdetleri!$D:$D,SevkAdetleri!$A:$A,A177,SevkAdetleri!$E:$E,"KASIM")</f>
        <v>0</v>
      </c>
      <c r="R177" s="133">
        <f>SUMIFS(SevkAdetleri!$D:$D,SevkAdetleri!$A:$A,A177,SevkAdetleri!$E:$E,"ARALIK")</f>
        <v>0</v>
      </c>
    </row>
    <row r="178" spans="1:18">
      <c r="A178" s="135" t="s">
        <v>143</v>
      </c>
      <c r="B178" s="133" t="str">
        <f>VLOOKUP(Tablo810[[#This Row],[ ÜRÜN KODU]],YMKODLARI!$A$1:$H$376,2,0)</f>
        <v>NEŞELİ ÇINGIRAK</v>
      </c>
      <c r="C178" s="133">
        <f>SUMIF(Tablo8[[ ÜRÜN KODU]],Tablo810[[#This Row],[ ÜRÜN KODU]],Tablo8[SEVK ADEDİ])-Tablo810[[#This Row],[GERİ İADE ÜRÜN]]</f>
        <v>6377</v>
      </c>
      <c r="D178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6502</v>
      </c>
      <c r="E178" s="133"/>
      <c r="F178" s="133">
        <f t="shared" si="2"/>
        <v>125</v>
      </c>
      <c r="G178" s="133">
        <f>SUMIFS(SevkAdetleri!$D:$D,SevkAdetleri!$A:$A,A178,SevkAdetleri!$E:$E,"OCAK")</f>
        <v>0</v>
      </c>
      <c r="H178" s="133">
        <f>SUMIFS(SevkAdetleri!$D:$D,SevkAdetleri!$A:$A,A178,SevkAdetleri!$E:$E,"ŞUBAT")</f>
        <v>1039</v>
      </c>
      <c r="I178" s="133">
        <f>SUMIFS(SevkAdetleri!$D:$D,SevkAdetleri!$A:$A,A178,SevkAdetleri!$E:$E,"MART")</f>
        <v>0</v>
      </c>
      <c r="J178" s="133">
        <f>SUMIFS(SevkAdetleri!$D:$D,SevkAdetleri!$A:$A,A178,SevkAdetleri!$E:$E,"NİSAN")</f>
        <v>0</v>
      </c>
      <c r="K178" s="133">
        <f>SUMIFS(SevkAdetleri!$D:$D,SevkAdetleri!$A:$A,A178,SevkAdetleri!$E:$E,"MAYIS")</f>
        <v>0</v>
      </c>
      <c r="L178" s="133">
        <f>SUMIFS(SevkAdetleri!$D:$D,SevkAdetleri!$A:$A,A178,SevkAdetleri!$E:$E,"HAZIRAN")</f>
        <v>5338</v>
      </c>
      <c r="M178" s="133">
        <f>SUMIFS(SevkAdetleri!$D:$D,SevkAdetleri!$A:$A,A178,SevkAdetleri!$E:$E,"TEMMUZ")</f>
        <v>0</v>
      </c>
      <c r="N178" s="133">
        <f>SUMIFS(SevkAdetleri!$D:$D,SevkAdetleri!$A:$A,A178,SevkAdetleri!$E:$E,"AĞUSTOS")</f>
        <v>0</v>
      </c>
      <c r="O178" s="133">
        <f>SUMIFS(SevkAdetleri!$D:$D,SevkAdetleri!$A:$A,A178,SevkAdetleri!$E:$E,"EYLÜL")</f>
        <v>0</v>
      </c>
      <c r="P178" s="133">
        <f>SUMIFS(SevkAdetleri!$D:$D,SevkAdetleri!$A:$A,A178,SevkAdetleri!$E:$E,"EKİM")</f>
        <v>0</v>
      </c>
      <c r="Q178" s="133">
        <f>SUMIFS(SevkAdetleri!$D:$D,SevkAdetleri!$A:$A,A178,SevkAdetleri!$E:$E,"KASIM")</f>
        <v>0</v>
      </c>
      <c r="R178" s="133">
        <f>SUMIFS(SevkAdetleri!$D:$D,SevkAdetleri!$A:$A,A178,SevkAdetleri!$E:$E,"ARALIK")</f>
        <v>0</v>
      </c>
    </row>
    <row r="179" spans="1:18">
      <c r="A179" s="135" t="s">
        <v>144</v>
      </c>
      <c r="B179" s="133" t="str">
        <f>VLOOKUP(Tablo810[[#This Row],[ ÜRÜN KODU]],YMKODLARI!$A$1:$H$376,2,0)</f>
        <v>NEŞELİ ÇINGIRAK</v>
      </c>
      <c r="C179" s="133">
        <f>SUMIF(Tablo8[[ ÜRÜN KODU]],Tablo810[[#This Row],[ ÜRÜN KODU]],Tablo8[SEVK ADEDİ])-Tablo810[[#This Row],[GERİ İADE ÜRÜN]]</f>
        <v>6436</v>
      </c>
      <c r="D179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6502</v>
      </c>
      <c r="E179" s="133"/>
      <c r="F179" s="133">
        <f t="shared" si="2"/>
        <v>66</v>
      </c>
      <c r="G179" s="133">
        <f>SUMIFS(SevkAdetleri!$D:$D,SevkAdetleri!$A:$A,A179,SevkAdetleri!$E:$E,"OCAK")</f>
        <v>0</v>
      </c>
      <c r="H179" s="133">
        <f>SUMIFS(SevkAdetleri!$D:$D,SevkAdetleri!$A:$A,A179,SevkAdetleri!$E:$E,"ŞUBAT")</f>
        <v>1050</v>
      </c>
      <c r="I179" s="133">
        <f>SUMIFS(SevkAdetleri!$D:$D,SevkAdetleri!$A:$A,A179,SevkAdetleri!$E:$E,"MART")</f>
        <v>0</v>
      </c>
      <c r="J179" s="133">
        <f>SUMIFS(SevkAdetleri!$D:$D,SevkAdetleri!$A:$A,A179,SevkAdetleri!$E:$E,"NİSAN")</f>
        <v>0</v>
      </c>
      <c r="K179" s="133">
        <f>SUMIFS(SevkAdetleri!$D:$D,SevkAdetleri!$A:$A,A179,SevkAdetleri!$E:$E,"MAYIS")</f>
        <v>0</v>
      </c>
      <c r="L179" s="133">
        <f>SUMIFS(SevkAdetleri!$D:$D,SevkAdetleri!$A:$A,A179,SevkAdetleri!$E:$E,"HAZIRAN")</f>
        <v>5386</v>
      </c>
      <c r="M179" s="133">
        <f>SUMIFS(SevkAdetleri!$D:$D,SevkAdetleri!$A:$A,A179,SevkAdetleri!$E:$E,"TEMMUZ")</f>
        <v>0</v>
      </c>
      <c r="N179" s="133">
        <f>SUMIFS(SevkAdetleri!$D:$D,SevkAdetleri!$A:$A,A179,SevkAdetleri!$E:$E,"AĞUSTOS")</f>
        <v>0</v>
      </c>
      <c r="O179" s="133">
        <f>SUMIFS(SevkAdetleri!$D:$D,SevkAdetleri!$A:$A,A179,SevkAdetleri!$E:$E,"EYLÜL")</f>
        <v>0</v>
      </c>
      <c r="P179" s="133">
        <f>SUMIFS(SevkAdetleri!$D:$D,SevkAdetleri!$A:$A,A179,SevkAdetleri!$E:$E,"EKİM")</f>
        <v>0</v>
      </c>
      <c r="Q179" s="133">
        <f>SUMIFS(SevkAdetleri!$D:$D,SevkAdetleri!$A:$A,A179,SevkAdetleri!$E:$E,"KASIM")</f>
        <v>0</v>
      </c>
      <c r="R179" s="133">
        <f>SUMIFS(SevkAdetleri!$D:$D,SevkAdetleri!$A:$A,A179,SevkAdetleri!$E:$E,"ARALIK")</f>
        <v>0</v>
      </c>
    </row>
    <row r="180" spans="1:18">
      <c r="A180" s="135" t="s">
        <v>149</v>
      </c>
      <c r="B180" s="133" t="str">
        <f>VLOOKUP(Tablo810[[#This Row],[ ÜRÜN KODU]],YMKODLARI!$A$1:$H$376,2,0)</f>
        <v>NEŞELİ ÇINGIRAK</v>
      </c>
      <c r="C180" s="133">
        <f>SUMIF(Tablo8[[ ÜRÜN KODU]],Tablo810[[#This Row],[ ÜRÜN KODU]],Tablo8[SEVK ADEDİ])-Tablo810[[#This Row],[GERİ İADE ÜRÜN]]</f>
        <v>2163</v>
      </c>
      <c r="D180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2440</v>
      </c>
      <c r="E180" s="133"/>
      <c r="F180" s="133">
        <f t="shared" si="2"/>
        <v>277</v>
      </c>
      <c r="G180" s="133">
        <f>SUMIFS(SevkAdetleri!$D:$D,SevkAdetleri!$A:$A,A180,SevkAdetleri!$E:$E,"OCAK")</f>
        <v>0</v>
      </c>
      <c r="H180" s="133">
        <f>SUMIFS(SevkAdetleri!$D:$D,SevkAdetleri!$A:$A,A180,SevkAdetleri!$E:$E,"ŞUBAT")</f>
        <v>545</v>
      </c>
      <c r="I180" s="133">
        <f>SUMIFS(SevkAdetleri!$D:$D,SevkAdetleri!$A:$A,A180,SevkAdetleri!$E:$E,"MART")</f>
        <v>0</v>
      </c>
      <c r="J180" s="133">
        <f>SUMIFS(SevkAdetleri!$D:$D,SevkAdetleri!$A:$A,A180,SevkAdetleri!$E:$E,"NİSAN")</f>
        <v>0</v>
      </c>
      <c r="K180" s="133">
        <f>SUMIFS(SevkAdetleri!$D:$D,SevkAdetleri!$A:$A,A180,SevkAdetleri!$E:$E,"MAYIS")</f>
        <v>0</v>
      </c>
      <c r="L180" s="133">
        <f>SUMIFS(SevkAdetleri!$D:$D,SevkAdetleri!$A:$A,A180,SevkAdetleri!$E:$E,"HAZIRAN")</f>
        <v>0</v>
      </c>
      <c r="M180" s="133">
        <f>SUMIFS(SevkAdetleri!$D:$D,SevkAdetleri!$A:$A,A180,SevkAdetleri!$E:$E,"TEMMUZ")</f>
        <v>0</v>
      </c>
      <c r="N180" s="133">
        <f>SUMIFS(SevkAdetleri!$D:$D,SevkAdetleri!$A:$A,A180,SevkAdetleri!$E:$E,"AĞUSTOS")</f>
        <v>1618</v>
      </c>
      <c r="O180" s="133">
        <f>SUMIFS(SevkAdetleri!$D:$D,SevkAdetleri!$A:$A,A180,SevkAdetleri!$E:$E,"EYLÜL")</f>
        <v>0</v>
      </c>
      <c r="P180" s="133">
        <f>SUMIFS(SevkAdetleri!$D:$D,SevkAdetleri!$A:$A,A180,SevkAdetleri!$E:$E,"EKİM")</f>
        <v>0</v>
      </c>
      <c r="Q180" s="133">
        <f>SUMIFS(SevkAdetleri!$D:$D,SevkAdetleri!$A:$A,A180,SevkAdetleri!$E:$E,"KASIM")</f>
        <v>0</v>
      </c>
      <c r="R180" s="133">
        <f>SUMIFS(SevkAdetleri!$D:$D,SevkAdetleri!$A:$A,A180,SevkAdetleri!$E:$E,"ARALIK")</f>
        <v>0</v>
      </c>
    </row>
    <row r="181" spans="1:18">
      <c r="A181" s="135" t="s">
        <v>150</v>
      </c>
      <c r="B181" s="133" t="str">
        <f>VLOOKUP(Tablo810[[#This Row],[ ÜRÜN KODU]],YMKODLARI!$A$1:$H$376,2,0)</f>
        <v>NEŞELİ ÇINGIRAK</v>
      </c>
      <c r="C181" s="133">
        <f>SUMIF(Tablo8[[ ÜRÜN KODU]],Tablo810[[#This Row],[ ÜRÜN KODU]],Tablo8[SEVK ADEDİ])-Tablo810[[#This Row],[GERİ İADE ÜRÜN]]</f>
        <v>2136</v>
      </c>
      <c r="D181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2440</v>
      </c>
      <c r="E181" s="133"/>
      <c r="F181" s="133">
        <f t="shared" si="2"/>
        <v>304</v>
      </c>
      <c r="G181" s="133">
        <f>SUMIFS(SevkAdetleri!$D:$D,SevkAdetleri!$A:$A,A181,SevkAdetleri!$E:$E,"OCAK")</f>
        <v>0</v>
      </c>
      <c r="H181" s="133">
        <f>SUMIFS(SevkAdetleri!$D:$D,SevkAdetleri!$A:$A,A181,SevkAdetleri!$E:$E,"ŞUBAT")</f>
        <v>518</v>
      </c>
      <c r="I181" s="133">
        <f>SUMIFS(SevkAdetleri!$D:$D,SevkAdetleri!$A:$A,A181,SevkAdetleri!$E:$E,"MART")</f>
        <v>0</v>
      </c>
      <c r="J181" s="133">
        <f>SUMIFS(SevkAdetleri!$D:$D,SevkAdetleri!$A:$A,A181,SevkAdetleri!$E:$E,"NİSAN")</f>
        <v>0</v>
      </c>
      <c r="K181" s="133">
        <f>SUMIFS(SevkAdetleri!$D:$D,SevkAdetleri!$A:$A,A181,SevkAdetleri!$E:$E,"MAYIS")</f>
        <v>0</v>
      </c>
      <c r="L181" s="133">
        <f>SUMIFS(SevkAdetleri!$D:$D,SevkAdetleri!$A:$A,A181,SevkAdetleri!$E:$E,"HAZIRAN")</f>
        <v>0</v>
      </c>
      <c r="M181" s="133">
        <f>SUMIFS(SevkAdetleri!$D:$D,SevkAdetleri!$A:$A,A181,SevkAdetleri!$E:$E,"TEMMUZ")</f>
        <v>0</v>
      </c>
      <c r="N181" s="133">
        <f>SUMIFS(SevkAdetleri!$D:$D,SevkAdetleri!$A:$A,A181,SevkAdetleri!$E:$E,"AĞUSTOS")</f>
        <v>1618</v>
      </c>
      <c r="O181" s="133">
        <f>SUMIFS(SevkAdetleri!$D:$D,SevkAdetleri!$A:$A,A181,SevkAdetleri!$E:$E,"EYLÜL")</f>
        <v>0</v>
      </c>
      <c r="P181" s="133">
        <f>SUMIFS(SevkAdetleri!$D:$D,SevkAdetleri!$A:$A,A181,SevkAdetleri!$E:$E,"EKİM")</f>
        <v>0</v>
      </c>
      <c r="Q181" s="133">
        <f>SUMIFS(SevkAdetleri!$D:$D,SevkAdetleri!$A:$A,A181,SevkAdetleri!$E:$E,"KASIM")</f>
        <v>0</v>
      </c>
      <c r="R181" s="133">
        <f>SUMIFS(SevkAdetleri!$D:$D,SevkAdetleri!$A:$A,A181,SevkAdetleri!$E:$E,"ARALIK")</f>
        <v>0</v>
      </c>
    </row>
    <row r="182" spans="1:18">
      <c r="A182" s="135" t="s">
        <v>151</v>
      </c>
      <c r="B182" s="133" t="str">
        <f>VLOOKUP(Tablo810[[#This Row],[ ÜRÜN KODU]],YMKODLARI!$A$1:$H$376,2,0)</f>
        <v>NEŞELİ ÇINGIRAK</v>
      </c>
      <c r="C182" s="133">
        <f>SUMIF(Tablo8[[ ÜRÜN KODU]],Tablo810[[#This Row],[ ÜRÜN KODU]],Tablo8[SEVK ADEDİ])-Tablo810[[#This Row],[GERİ İADE ÜRÜN]]</f>
        <v>2158</v>
      </c>
      <c r="D182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2440</v>
      </c>
      <c r="E182" s="133"/>
      <c r="F182" s="133">
        <f t="shared" si="2"/>
        <v>282</v>
      </c>
      <c r="G182" s="133">
        <f>SUMIFS(SevkAdetleri!$D:$D,SevkAdetleri!$A:$A,A182,SevkAdetleri!$E:$E,"OCAK")</f>
        <v>0</v>
      </c>
      <c r="H182" s="133">
        <f>SUMIFS(SevkAdetleri!$D:$D,SevkAdetleri!$A:$A,A182,SevkAdetleri!$E:$E,"ŞUBAT")</f>
        <v>540</v>
      </c>
      <c r="I182" s="133">
        <f>SUMIFS(SevkAdetleri!$D:$D,SevkAdetleri!$A:$A,A182,SevkAdetleri!$E:$E,"MART")</f>
        <v>0</v>
      </c>
      <c r="J182" s="133">
        <f>SUMIFS(SevkAdetleri!$D:$D,SevkAdetleri!$A:$A,A182,SevkAdetleri!$E:$E,"NİSAN")</f>
        <v>0</v>
      </c>
      <c r="K182" s="133">
        <f>SUMIFS(SevkAdetleri!$D:$D,SevkAdetleri!$A:$A,A182,SevkAdetleri!$E:$E,"MAYIS")</f>
        <v>0</v>
      </c>
      <c r="L182" s="133">
        <f>SUMIFS(SevkAdetleri!$D:$D,SevkAdetleri!$A:$A,A182,SevkAdetleri!$E:$E,"HAZIRAN")</f>
        <v>0</v>
      </c>
      <c r="M182" s="133">
        <f>SUMIFS(SevkAdetleri!$D:$D,SevkAdetleri!$A:$A,A182,SevkAdetleri!$E:$E,"TEMMUZ")</f>
        <v>0</v>
      </c>
      <c r="N182" s="133">
        <f>SUMIFS(SevkAdetleri!$D:$D,SevkAdetleri!$A:$A,A182,SevkAdetleri!$E:$E,"AĞUSTOS")</f>
        <v>1618</v>
      </c>
      <c r="O182" s="133">
        <f>SUMIFS(SevkAdetleri!$D:$D,SevkAdetleri!$A:$A,A182,SevkAdetleri!$E:$E,"EYLÜL")</f>
        <v>0</v>
      </c>
      <c r="P182" s="133">
        <f>SUMIFS(SevkAdetleri!$D:$D,SevkAdetleri!$A:$A,A182,SevkAdetleri!$E:$E,"EKİM")</f>
        <v>0</v>
      </c>
      <c r="Q182" s="133">
        <f>SUMIFS(SevkAdetleri!$D:$D,SevkAdetleri!$A:$A,A182,SevkAdetleri!$E:$E,"KASIM")</f>
        <v>0</v>
      </c>
      <c r="R182" s="133">
        <f>SUMIFS(SevkAdetleri!$D:$D,SevkAdetleri!$A:$A,A182,SevkAdetleri!$E:$E,"ARALIK")</f>
        <v>0</v>
      </c>
    </row>
    <row r="183" spans="1:18">
      <c r="A183" s="135" t="s">
        <v>152</v>
      </c>
      <c r="B183" s="133" t="str">
        <f>VLOOKUP(Tablo810[[#This Row],[ ÜRÜN KODU]],YMKODLARI!$A$1:$H$376,2,0)</f>
        <v>NEŞELİ ÇINGIRAK</v>
      </c>
      <c r="C183" s="133">
        <f>SUMIF(Tablo8[[ ÜRÜN KODU]],Tablo810[[#This Row],[ ÜRÜN KODU]],Tablo8[SEVK ADEDİ])-Tablo810[[#This Row],[GERİ İADE ÜRÜN]]</f>
        <v>2213</v>
      </c>
      <c r="D183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2440</v>
      </c>
      <c r="E183" s="133"/>
      <c r="F183" s="133">
        <f t="shared" si="2"/>
        <v>227</v>
      </c>
      <c r="G183" s="133">
        <f>SUMIFS(SevkAdetleri!$D:$D,SevkAdetleri!$A:$A,A183,SevkAdetleri!$E:$E,"OCAK")</f>
        <v>0</v>
      </c>
      <c r="H183" s="133">
        <f>SUMIFS(SevkAdetleri!$D:$D,SevkAdetleri!$A:$A,A183,SevkAdetleri!$E:$E,"ŞUBAT")</f>
        <v>595</v>
      </c>
      <c r="I183" s="133">
        <f>SUMIFS(SevkAdetleri!$D:$D,SevkAdetleri!$A:$A,A183,SevkAdetleri!$E:$E,"MART")</f>
        <v>0</v>
      </c>
      <c r="J183" s="133">
        <f>SUMIFS(SevkAdetleri!$D:$D,SevkAdetleri!$A:$A,A183,SevkAdetleri!$E:$E,"NİSAN")</f>
        <v>0</v>
      </c>
      <c r="K183" s="133">
        <f>SUMIFS(SevkAdetleri!$D:$D,SevkAdetleri!$A:$A,A183,SevkAdetleri!$E:$E,"MAYIS")</f>
        <v>0</v>
      </c>
      <c r="L183" s="133">
        <f>SUMIFS(SevkAdetleri!$D:$D,SevkAdetleri!$A:$A,A183,SevkAdetleri!$E:$E,"HAZIRAN")</f>
        <v>0</v>
      </c>
      <c r="M183" s="133">
        <f>SUMIFS(SevkAdetleri!$D:$D,SevkAdetleri!$A:$A,A183,SevkAdetleri!$E:$E,"TEMMUZ")</f>
        <v>0</v>
      </c>
      <c r="N183" s="133">
        <f>SUMIFS(SevkAdetleri!$D:$D,SevkAdetleri!$A:$A,A183,SevkAdetleri!$E:$E,"AĞUSTOS")</f>
        <v>1618</v>
      </c>
      <c r="O183" s="133">
        <f>SUMIFS(SevkAdetleri!$D:$D,SevkAdetleri!$A:$A,A183,SevkAdetleri!$E:$E,"EYLÜL")</f>
        <v>0</v>
      </c>
      <c r="P183" s="133">
        <f>SUMIFS(SevkAdetleri!$D:$D,SevkAdetleri!$A:$A,A183,SevkAdetleri!$E:$E,"EKİM")</f>
        <v>0</v>
      </c>
      <c r="Q183" s="133">
        <f>SUMIFS(SevkAdetleri!$D:$D,SevkAdetleri!$A:$A,A183,SevkAdetleri!$E:$E,"KASIM")</f>
        <v>0</v>
      </c>
      <c r="R183" s="133">
        <f>SUMIFS(SevkAdetleri!$D:$D,SevkAdetleri!$A:$A,A183,SevkAdetleri!$E:$E,"ARALIK")</f>
        <v>0</v>
      </c>
    </row>
    <row r="184" spans="1:18">
      <c r="A184" s="135" t="s">
        <v>157</v>
      </c>
      <c r="B184" s="133" t="str">
        <f>VLOOKUP(Tablo810[[#This Row],[ ÜRÜN KODU]],YMKODLARI!$A$1:$H$376,2,0)</f>
        <v>NEŞELİ ÇINGIRAK</v>
      </c>
      <c r="C184" s="133">
        <f>SUMIF(Tablo8[[ ÜRÜN KODU]],Tablo810[[#This Row],[ ÜRÜN KODU]],Tablo8[SEVK ADEDİ])-Tablo810[[#This Row],[GERİ İADE ÜRÜN]]</f>
        <v>3021</v>
      </c>
      <c r="D184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3374</v>
      </c>
      <c r="E184" s="133"/>
      <c r="F184" s="133">
        <f t="shared" si="2"/>
        <v>353</v>
      </c>
      <c r="G184" s="133">
        <f>SUMIFS(SevkAdetleri!$D:$D,SevkAdetleri!$A:$A,A184,SevkAdetleri!$E:$E,"OCAK")</f>
        <v>0</v>
      </c>
      <c r="H184" s="133">
        <f>SUMIFS(SevkAdetleri!$D:$D,SevkAdetleri!$A:$A,A184,SevkAdetleri!$E:$E,"ŞUBAT")</f>
        <v>521</v>
      </c>
      <c r="I184" s="133">
        <f>SUMIFS(SevkAdetleri!$D:$D,SevkAdetleri!$A:$A,A184,SevkAdetleri!$E:$E,"MART")</f>
        <v>0</v>
      </c>
      <c r="J184" s="133">
        <f>SUMIFS(SevkAdetleri!$D:$D,SevkAdetleri!$A:$A,A184,SevkAdetleri!$E:$E,"NİSAN")</f>
        <v>0</v>
      </c>
      <c r="K184" s="133">
        <f>SUMIFS(SevkAdetleri!$D:$D,SevkAdetleri!$A:$A,A184,SevkAdetleri!$E:$E,"MAYIS")</f>
        <v>0</v>
      </c>
      <c r="L184" s="133">
        <f>SUMIFS(SevkAdetleri!$D:$D,SevkAdetleri!$A:$A,A184,SevkAdetleri!$E:$E,"HAZIRAN")</f>
        <v>0</v>
      </c>
      <c r="M184" s="133">
        <f>SUMIFS(SevkAdetleri!$D:$D,SevkAdetleri!$A:$A,A184,SevkAdetleri!$E:$E,"TEMMUZ")</f>
        <v>0</v>
      </c>
      <c r="N184" s="133">
        <f>SUMIFS(SevkAdetleri!$D:$D,SevkAdetleri!$A:$A,A184,SevkAdetleri!$E:$E,"AĞUSTOS")</f>
        <v>2500</v>
      </c>
      <c r="O184" s="133">
        <f>SUMIFS(SevkAdetleri!$D:$D,SevkAdetleri!$A:$A,A184,SevkAdetleri!$E:$E,"EYLÜL")</f>
        <v>0</v>
      </c>
      <c r="P184" s="133">
        <f>SUMIFS(SevkAdetleri!$D:$D,SevkAdetleri!$A:$A,A184,SevkAdetleri!$E:$E,"EKİM")</f>
        <v>0</v>
      </c>
      <c r="Q184" s="133">
        <f>SUMIFS(SevkAdetleri!$D:$D,SevkAdetleri!$A:$A,A184,SevkAdetleri!$E:$E,"KASIM")</f>
        <v>0</v>
      </c>
      <c r="R184" s="133">
        <f>SUMIFS(SevkAdetleri!$D:$D,SevkAdetleri!$A:$A,A184,SevkAdetleri!$E:$E,"ARALIK")</f>
        <v>0</v>
      </c>
    </row>
    <row r="185" spans="1:18">
      <c r="A185" s="135" t="s">
        <v>158</v>
      </c>
      <c r="B185" s="133" t="str">
        <f>VLOOKUP(Tablo810[[#This Row],[ ÜRÜN KODU]],YMKODLARI!$A$1:$H$376,2,0)</f>
        <v>NEŞELİ ÇINGIRAK</v>
      </c>
      <c r="C185" s="133">
        <f>SUMIF(Tablo8[[ ÜRÜN KODU]],Tablo810[[#This Row],[ ÜRÜN KODU]],Tablo8[SEVK ADEDİ])-Tablo810[[#This Row],[GERİ İADE ÜRÜN]]</f>
        <v>2976</v>
      </c>
      <c r="D185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3374</v>
      </c>
      <c r="E185" s="133"/>
      <c r="F185" s="133">
        <f t="shared" si="2"/>
        <v>398</v>
      </c>
      <c r="G185" s="133">
        <f>SUMIFS(SevkAdetleri!$D:$D,SevkAdetleri!$A:$A,A185,SevkAdetleri!$E:$E,"OCAK")</f>
        <v>0</v>
      </c>
      <c r="H185" s="133">
        <f>SUMIFS(SevkAdetleri!$D:$D,SevkAdetleri!$A:$A,A185,SevkAdetleri!$E:$E,"ŞUBAT")</f>
        <v>476</v>
      </c>
      <c r="I185" s="133">
        <f>SUMIFS(SevkAdetleri!$D:$D,SevkAdetleri!$A:$A,A185,SevkAdetleri!$E:$E,"MART")</f>
        <v>0</v>
      </c>
      <c r="J185" s="133">
        <f>SUMIFS(SevkAdetleri!$D:$D,SevkAdetleri!$A:$A,A185,SevkAdetleri!$E:$E,"NİSAN")</f>
        <v>0</v>
      </c>
      <c r="K185" s="133">
        <f>SUMIFS(SevkAdetleri!$D:$D,SevkAdetleri!$A:$A,A185,SevkAdetleri!$E:$E,"MAYIS")</f>
        <v>0</v>
      </c>
      <c r="L185" s="133">
        <f>SUMIFS(SevkAdetleri!$D:$D,SevkAdetleri!$A:$A,A185,SevkAdetleri!$E:$E,"HAZIRAN")</f>
        <v>0</v>
      </c>
      <c r="M185" s="133">
        <f>SUMIFS(SevkAdetleri!$D:$D,SevkAdetleri!$A:$A,A185,SevkAdetleri!$E:$E,"TEMMUZ")</f>
        <v>0</v>
      </c>
      <c r="N185" s="133">
        <f>SUMIFS(SevkAdetleri!$D:$D,SevkAdetleri!$A:$A,A185,SevkAdetleri!$E:$E,"AĞUSTOS")</f>
        <v>2500</v>
      </c>
      <c r="O185" s="133">
        <f>SUMIFS(SevkAdetleri!$D:$D,SevkAdetleri!$A:$A,A185,SevkAdetleri!$E:$E,"EYLÜL")</f>
        <v>0</v>
      </c>
      <c r="P185" s="133">
        <f>SUMIFS(SevkAdetleri!$D:$D,SevkAdetleri!$A:$A,A185,SevkAdetleri!$E:$E,"EKİM")</f>
        <v>0</v>
      </c>
      <c r="Q185" s="133">
        <f>SUMIFS(SevkAdetleri!$D:$D,SevkAdetleri!$A:$A,A185,SevkAdetleri!$E:$E,"KASIM")</f>
        <v>0</v>
      </c>
      <c r="R185" s="133">
        <f>SUMIFS(SevkAdetleri!$D:$D,SevkAdetleri!$A:$A,A185,SevkAdetleri!$E:$E,"ARALIK")</f>
        <v>0</v>
      </c>
    </row>
    <row r="186" spans="1:18">
      <c r="A186" s="135" t="s">
        <v>159</v>
      </c>
      <c r="B186" s="133" t="str">
        <f>VLOOKUP(Tablo810[[#This Row],[ ÜRÜN KODU]],YMKODLARI!$A$1:$H$376,2,0)</f>
        <v>NEŞELİ ÇINGIRAK</v>
      </c>
      <c r="C186" s="133">
        <f>SUMIF(Tablo8[[ ÜRÜN KODU]],Tablo810[[#This Row],[ ÜRÜN KODU]],Tablo8[SEVK ADEDİ])-Tablo810[[#This Row],[GERİ İADE ÜRÜN]]</f>
        <v>2927</v>
      </c>
      <c r="D186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3374</v>
      </c>
      <c r="E186" s="133"/>
      <c r="F186" s="133">
        <f t="shared" si="2"/>
        <v>447</v>
      </c>
      <c r="G186" s="133">
        <f>SUMIFS(SevkAdetleri!$D:$D,SevkAdetleri!$A:$A,A186,SevkAdetleri!$E:$E,"OCAK")</f>
        <v>0</v>
      </c>
      <c r="H186" s="133">
        <f>SUMIFS(SevkAdetleri!$D:$D,SevkAdetleri!$A:$A,A186,SevkAdetleri!$E:$E,"ŞUBAT")</f>
        <v>427</v>
      </c>
      <c r="I186" s="133">
        <f>SUMIFS(SevkAdetleri!$D:$D,SevkAdetleri!$A:$A,A186,SevkAdetleri!$E:$E,"MART")</f>
        <v>0</v>
      </c>
      <c r="J186" s="133">
        <f>SUMIFS(SevkAdetleri!$D:$D,SevkAdetleri!$A:$A,A186,SevkAdetleri!$E:$E,"NİSAN")</f>
        <v>0</v>
      </c>
      <c r="K186" s="133">
        <f>SUMIFS(SevkAdetleri!$D:$D,SevkAdetleri!$A:$A,A186,SevkAdetleri!$E:$E,"MAYIS")</f>
        <v>0</v>
      </c>
      <c r="L186" s="133">
        <f>SUMIFS(SevkAdetleri!$D:$D,SevkAdetleri!$A:$A,A186,SevkAdetleri!$E:$E,"HAZIRAN")</f>
        <v>0</v>
      </c>
      <c r="M186" s="133">
        <f>SUMIFS(SevkAdetleri!$D:$D,SevkAdetleri!$A:$A,A186,SevkAdetleri!$E:$E,"TEMMUZ")</f>
        <v>0</v>
      </c>
      <c r="N186" s="133">
        <f>SUMIFS(SevkAdetleri!$D:$D,SevkAdetleri!$A:$A,A186,SevkAdetleri!$E:$E,"AĞUSTOS")</f>
        <v>2500</v>
      </c>
      <c r="O186" s="133">
        <f>SUMIFS(SevkAdetleri!$D:$D,SevkAdetleri!$A:$A,A186,SevkAdetleri!$E:$E,"EYLÜL")</f>
        <v>0</v>
      </c>
      <c r="P186" s="133">
        <f>SUMIFS(SevkAdetleri!$D:$D,SevkAdetleri!$A:$A,A186,SevkAdetleri!$E:$E,"EKİM")</f>
        <v>0</v>
      </c>
      <c r="Q186" s="133">
        <f>SUMIFS(SevkAdetleri!$D:$D,SevkAdetleri!$A:$A,A186,SevkAdetleri!$E:$E,"KASIM")</f>
        <v>0</v>
      </c>
      <c r="R186" s="133">
        <f>SUMIFS(SevkAdetleri!$D:$D,SevkAdetleri!$A:$A,A186,SevkAdetleri!$E:$E,"ARALIK")</f>
        <v>0</v>
      </c>
    </row>
    <row r="187" spans="1:18">
      <c r="A187" s="135" t="s">
        <v>160</v>
      </c>
      <c r="B187" s="133" t="str">
        <f>VLOOKUP(Tablo810[[#This Row],[ ÜRÜN KODU]],YMKODLARI!$A$1:$H$376,2,0)</f>
        <v>NEŞELİ ÇINGIRAK</v>
      </c>
      <c r="C187" s="133">
        <f>SUMIF(Tablo8[[ ÜRÜN KODU]],Tablo810[[#This Row],[ ÜRÜN KODU]],Tablo8[SEVK ADEDİ])-Tablo810[[#This Row],[GERİ İADE ÜRÜN]]</f>
        <v>3036</v>
      </c>
      <c r="D187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3374</v>
      </c>
      <c r="E187" s="133"/>
      <c r="F187" s="133">
        <f t="shared" si="2"/>
        <v>338</v>
      </c>
      <c r="G187" s="133">
        <f>SUMIFS(SevkAdetleri!$D:$D,SevkAdetleri!$A:$A,A187,SevkAdetleri!$E:$E,"OCAK")</f>
        <v>0</v>
      </c>
      <c r="H187" s="133">
        <f>SUMIFS(SevkAdetleri!$D:$D,SevkAdetleri!$A:$A,A187,SevkAdetleri!$E:$E,"ŞUBAT")</f>
        <v>536</v>
      </c>
      <c r="I187" s="133">
        <f>SUMIFS(SevkAdetleri!$D:$D,SevkAdetleri!$A:$A,A187,SevkAdetleri!$E:$E,"MART")</f>
        <v>0</v>
      </c>
      <c r="J187" s="133">
        <f>SUMIFS(SevkAdetleri!$D:$D,SevkAdetleri!$A:$A,A187,SevkAdetleri!$E:$E,"NİSAN")</f>
        <v>0</v>
      </c>
      <c r="K187" s="133">
        <f>SUMIFS(SevkAdetleri!$D:$D,SevkAdetleri!$A:$A,A187,SevkAdetleri!$E:$E,"MAYIS")</f>
        <v>0</v>
      </c>
      <c r="L187" s="133">
        <f>SUMIFS(SevkAdetleri!$D:$D,SevkAdetleri!$A:$A,A187,SevkAdetleri!$E:$E,"HAZIRAN")</f>
        <v>0</v>
      </c>
      <c r="M187" s="133">
        <f>SUMIFS(SevkAdetleri!$D:$D,SevkAdetleri!$A:$A,A187,SevkAdetleri!$E:$E,"TEMMUZ")</f>
        <v>0</v>
      </c>
      <c r="N187" s="133">
        <f>SUMIFS(SevkAdetleri!$D:$D,SevkAdetleri!$A:$A,A187,SevkAdetleri!$E:$E,"AĞUSTOS")</f>
        <v>2500</v>
      </c>
      <c r="O187" s="133">
        <f>SUMIFS(SevkAdetleri!$D:$D,SevkAdetleri!$A:$A,A187,SevkAdetleri!$E:$E,"EYLÜL")</f>
        <v>0</v>
      </c>
      <c r="P187" s="133">
        <f>SUMIFS(SevkAdetleri!$D:$D,SevkAdetleri!$A:$A,A187,SevkAdetleri!$E:$E,"EKİM")</f>
        <v>0</v>
      </c>
      <c r="Q187" s="133">
        <f>SUMIFS(SevkAdetleri!$D:$D,SevkAdetleri!$A:$A,A187,SevkAdetleri!$E:$E,"KASIM")</f>
        <v>0</v>
      </c>
      <c r="R187" s="133">
        <f>SUMIFS(SevkAdetleri!$D:$D,SevkAdetleri!$A:$A,A187,SevkAdetleri!$E:$E,"ARALIK")</f>
        <v>0</v>
      </c>
    </row>
    <row r="188" spans="1:18">
      <c r="A188" s="120" t="s">
        <v>189</v>
      </c>
      <c r="B188" s="133" t="str">
        <f>VLOOKUP(Tablo810[[#This Row],[ ÜRÜN KODU]],YMKODLARI!$A$1:$H$376,2,0)</f>
        <v>NEŞELİ ÇINGIRAK</v>
      </c>
      <c r="C188" s="133">
        <f>SUMIF(Tablo8[[ ÜRÜN KODU]],Tablo810[[#This Row],[ ÜRÜN KODU]],Tablo8[SEVK ADEDİ])-Tablo810[[#This Row],[GERİ İADE ÜRÜN]]</f>
        <v>961</v>
      </c>
      <c r="D188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982</v>
      </c>
      <c r="E188" s="133"/>
      <c r="F188" s="133">
        <f t="shared" si="2"/>
        <v>21</v>
      </c>
      <c r="G188" s="133">
        <f>SUMIFS(SevkAdetleri!$D:$D,SevkAdetleri!$A:$A,A188,SevkAdetleri!$E:$E,"OCAK")</f>
        <v>0</v>
      </c>
      <c r="H188" s="133">
        <f>SUMIFS(SevkAdetleri!$D:$D,SevkAdetleri!$A:$A,A188,SevkAdetleri!$E:$E,"ŞUBAT")</f>
        <v>0</v>
      </c>
      <c r="I188" s="133">
        <f>SUMIFS(SevkAdetleri!$D:$D,SevkAdetleri!$A:$A,A188,SevkAdetleri!$E:$E,"MART")</f>
        <v>0</v>
      </c>
      <c r="J188" s="133">
        <f>SUMIFS(SevkAdetleri!$D:$D,SevkAdetleri!$A:$A,A188,SevkAdetleri!$E:$E,"NİSAN")</f>
        <v>0</v>
      </c>
      <c r="K188" s="133">
        <f>SUMIFS(SevkAdetleri!$D:$D,SevkAdetleri!$A:$A,A188,SevkAdetleri!$E:$E,"MAYIS")</f>
        <v>0</v>
      </c>
      <c r="L188" s="133">
        <f>SUMIFS(SevkAdetleri!$D:$D,SevkAdetleri!$A:$A,A188,SevkAdetleri!$E:$E,"HAZIRAN")</f>
        <v>0</v>
      </c>
      <c r="M188" s="133">
        <f>SUMIFS(SevkAdetleri!$D:$D,SevkAdetleri!$A:$A,A188,SevkAdetleri!$E:$E,"TEMMUZ")</f>
        <v>0</v>
      </c>
      <c r="N188" s="133">
        <f>SUMIFS(SevkAdetleri!$D:$D,SevkAdetleri!$A:$A,A188,SevkAdetleri!$E:$E,"AĞUSTOS")</f>
        <v>961</v>
      </c>
      <c r="O188" s="133">
        <f>SUMIFS(SevkAdetleri!$D:$D,SevkAdetleri!$A:$A,A188,SevkAdetleri!$E:$E,"EYLÜL")</f>
        <v>0</v>
      </c>
      <c r="P188" s="133">
        <f>SUMIFS(SevkAdetleri!$D:$D,SevkAdetleri!$A:$A,A188,SevkAdetleri!$E:$E,"EKİM")</f>
        <v>0</v>
      </c>
      <c r="Q188" s="133">
        <f>SUMIFS(SevkAdetleri!$D:$D,SevkAdetleri!$A:$A,A188,SevkAdetleri!$E:$E,"KASIM")</f>
        <v>0</v>
      </c>
      <c r="R188" s="133">
        <f>SUMIFS(SevkAdetleri!$D:$D,SevkAdetleri!$A:$A,A188,SevkAdetleri!$E:$E,"ARALIK")</f>
        <v>0</v>
      </c>
    </row>
    <row r="189" spans="1:18">
      <c r="A189" s="120" t="s">
        <v>190</v>
      </c>
      <c r="B189" s="133" t="str">
        <f>VLOOKUP(Tablo810[[#This Row],[ ÜRÜN KODU]],YMKODLARI!$A$1:$H$376,2,0)</f>
        <v>NEŞELİ ÇINGIRAK</v>
      </c>
      <c r="C189" s="133">
        <f>SUMIF(Tablo8[[ ÜRÜN KODU]],Tablo810[[#This Row],[ ÜRÜN KODU]],Tablo8[SEVK ADEDİ])-Tablo810[[#This Row],[GERİ İADE ÜRÜN]]</f>
        <v>962</v>
      </c>
      <c r="D189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982</v>
      </c>
      <c r="E189" s="133"/>
      <c r="F189" s="133">
        <f t="shared" si="2"/>
        <v>20</v>
      </c>
      <c r="G189" s="133">
        <f>SUMIFS(SevkAdetleri!$D:$D,SevkAdetleri!$A:$A,A189,SevkAdetleri!$E:$E,"OCAK")</f>
        <v>0</v>
      </c>
      <c r="H189" s="133">
        <f>SUMIFS(SevkAdetleri!$D:$D,SevkAdetleri!$A:$A,A189,SevkAdetleri!$E:$E,"ŞUBAT")</f>
        <v>0</v>
      </c>
      <c r="I189" s="133">
        <f>SUMIFS(SevkAdetleri!$D:$D,SevkAdetleri!$A:$A,A189,SevkAdetleri!$E:$E,"MART")</f>
        <v>0</v>
      </c>
      <c r="J189" s="133">
        <f>SUMIFS(SevkAdetleri!$D:$D,SevkAdetleri!$A:$A,A189,SevkAdetleri!$E:$E,"NİSAN")</f>
        <v>0</v>
      </c>
      <c r="K189" s="133">
        <f>SUMIFS(SevkAdetleri!$D:$D,SevkAdetleri!$A:$A,A189,SevkAdetleri!$E:$E,"MAYIS")</f>
        <v>0</v>
      </c>
      <c r="L189" s="133">
        <f>SUMIFS(SevkAdetleri!$D:$D,SevkAdetleri!$A:$A,A189,SevkAdetleri!$E:$E,"HAZIRAN")</f>
        <v>0</v>
      </c>
      <c r="M189" s="133">
        <f>SUMIFS(SevkAdetleri!$D:$D,SevkAdetleri!$A:$A,A189,SevkAdetleri!$E:$E,"TEMMUZ")</f>
        <v>0</v>
      </c>
      <c r="N189" s="133">
        <f>SUMIFS(SevkAdetleri!$D:$D,SevkAdetleri!$A:$A,A189,SevkAdetleri!$E:$E,"AĞUSTOS")</f>
        <v>962</v>
      </c>
      <c r="O189" s="133">
        <f>SUMIFS(SevkAdetleri!$D:$D,SevkAdetleri!$A:$A,A189,SevkAdetleri!$E:$E,"EYLÜL")</f>
        <v>0</v>
      </c>
      <c r="P189" s="133">
        <f>SUMIFS(SevkAdetleri!$D:$D,SevkAdetleri!$A:$A,A189,SevkAdetleri!$E:$E,"EKİM")</f>
        <v>0</v>
      </c>
      <c r="Q189" s="133">
        <f>SUMIFS(SevkAdetleri!$D:$D,SevkAdetleri!$A:$A,A189,SevkAdetleri!$E:$E,"KASIM")</f>
        <v>0</v>
      </c>
      <c r="R189" s="133">
        <f>SUMIFS(SevkAdetleri!$D:$D,SevkAdetleri!$A:$A,A189,SevkAdetleri!$E:$E,"ARALIK")</f>
        <v>0</v>
      </c>
    </row>
    <row r="190" spans="1:18">
      <c r="A190" s="120" t="s">
        <v>191</v>
      </c>
      <c r="B190" s="133" t="str">
        <f>VLOOKUP(Tablo810[[#This Row],[ ÜRÜN KODU]],YMKODLARI!$A$1:$H$376,2,0)</f>
        <v>NEŞELİ ÇINGIRAK</v>
      </c>
      <c r="C190" s="133">
        <f>SUMIF(Tablo8[[ ÜRÜN KODU]],Tablo810[[#This Row],[ ÜRÜN KODU]],Tablo8[SEVK ADEDİ])-Tablo810[[#This Row],[GERİ İADE ÜRÜN]]</f>
        <v>966</v>
      </c>
      <c r="D190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982</v>
      </c>
      <c r="E190" s="133"/>
      <c r="F190" s="133">
        <f t="shared" si="2"/>
        <v>16</v>
      </c>
      <c r="G190" s="133">
        <f>SUMIFS(SevkAdetleri!$D:$D,SevkAdetleri!$A:$A,A190,SevkAdetleri!$E:$E,"OCAK")</f>
        <v>0</v>
      </c>
      <c r="H190" s="133">
        <f>SUMIFS(SevkAdetleri!$D:$D,SevkAdetleri!$A:$A,A190,SevkAdetleri!$E:$E,"ŞUBAT")</f>
        <v>0</v>
      </c>
      <c r="I190" s="133">
        <f>SUMIFS(SevkAdetleri!$D:$D,SevkAdetleri!$A:$A,A190,SevkAdetleri!$E:$E,"MART")</f>
        <v>0</v>
      </c>
      <c r="J190" s="133">
        <f>SUMIFS(SevkAdetleri!$D:$D,SevkAdetleri!$A:$A,A190,SevkAdetleri!$E:$E,"NİSAN")</f>
        <v>0</v>
      </c>
      <c r="K190" s="133">
        <f>SUMIFS(SevkAdetleri!$D:$D,SevkAdetleri!$A:$A,A190,SevkAdetleri!$E:$E,"MAYIS")</f>
        <v>0</v>
      </c>
      <c r="L190" s="133">
        <f>SUMIFS(SevkAdetleri!$D:$D,SevkAdetleri!$A:$A,A190,SevkAdetleri!$E:$E,"HAZIRAN")</f>
        <v>0</v>
      </c>
      <c r="M190" s="133">
        <f>SUMIFS(SevkAdetleri!$D:$D,SevkAdetleri!$A:$A,A190,SevkAdetleri!$E:$E,"TEMMUZ")</f>
        <v>0</v>
      </c>
      <c r="N190" s="133">
        <f>SUMIFS(SevkAdetleri!$D:$D,SevkAdetleri!$A:$A,A190,SevkAdetleri!$E:$E,"AĞUSTOS")</f>
        <v>966</v>
      </c>
      <c r="O190" s="133">
        <f>SUMIFS(SevkAdetleri!$D:$D,SevkAdetleri!$A:$A,A190,SevkAdetleri!$E:$E,"EYLÜL")</f>
        <v>0</v>
      </c>
      <c r="P190" s="133">
        <f>SUMIFS(SevkAdetleri!$D:$D,SevkAdetleri!$A:$A,A190,SevkAdetleri!$E:$E,"EKİM")</f>
        <v>0</v>
      </c>
      <c r="Q190" s="133">
        <f>SUMIFS(SevkAdetleri!$D:$D,SevkAdetleri!$A:$A,A190,SevkAdetleri!$E:$E,"KASIM")</f>
        <v>0</v>
      </c>
      <c r="R190" s="133">
        <f>SUMIFS(SevkAdetleri!$D:$D,SevkAdetleri!$A:$A,A190,SevkAdetleri!$E:$E,"ARALIK")</f>
        <v>0</v>
      </c>
    </row>
    <row r="191" spans="1:18">
      <c r="A191" s="120" t="s">
        <v>192</v>
      </c>
      <c r="B191" s="133" t="str">
        <f>VLOOKUP(Tablo810[[#This Row],[ ÜRÜN KODU]],YMKODLARI!$A$1:$H$376,2,0)</f>
        <v>NEŞELİ ÇINGIRAK</v>
      </c>
      <c r="C191" s="133">
        <f>SUMIF(Tablo8[[ ÜRÜN KODU]],Tablo810[[#This Row],[ ÜRÜN KODU]],Tablo8[SEVK ADEDİ])-Tablo810[[#This Row],[GERİ İADE ÜRÜN]]</f>
        <v>964</v>
      </c>
      <c r="D191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982</v>
      </c>
      <c r="E191" s="133"/>
      <c r="F191" s="133">
        <f>(D191-C191)+E191</f>
        <v>18</v>
      </c>
      <c r="G191" s="134">
        <f>SUMIFS(SevkAdetleri!$D:$D,SevkAdetleri!$A:$A,A191,SevkAdetleri!$E:$E,"OCAK")</f>
        <v>0</v>
      </c>
      <c r="H191" s="133">
        <f>SUMIFS(SevkAdetleri!$D:$D,SevkAdetleri!$A:$A,A191,SevkAdetleri!$E:$E,"ŞUBAT")</f>
        <v>0</v>
      </c>
      <c r="I191" s="133">
        <f>SUMIFS(SevkAdetleri!$D:$D,SevkAdetleri!$A:$A,A191,SevkAdetleri!$E:$E,"MART")</f>
        <v>0</v>
      </c>
      <c r="J191" s="133">
        <f>SUMIFS(SevkAdetleri!$D:$D,SevkAdetleri!$A:$A,A191,SevkAdetleri!$E:$E,"NİSAN")</f>
        <v>0</v>
      </c>
      <c r="K191" s="133">
        <f>SUMIFS(SevkAdetleri!$D:$D,SevkAdetleri!$A:$A,A191,SevkAdetleri!$E:$E,"MAYIS")</f>
        <v>0</v>
      </c>
      <c r="L191" s="133">
        <f>SUMIFS(SevkAdetleri!$D:$D,SevkAdetleri!$A:$A,A191,SevkAdetleri!$E:$E,"HAZIRAN")</f>
        <v>0</v>
      </c>
      <c r="M191" s="133">
        <f>SUMIFS(SevkAdetleri!$D:$D,SevkAdetleri!$A:$A,A191,SevkAdetleri!$E:$E,"TEMMUZ")</f>
        <v>0</v>
      </c>
      <c r="N191" s="133">
        <f>SUMIFS(SevkAdetleri!$D:$D,SevkAdetleri!$A:$A,A191,SevkAdetleri!$E:$E,"AĞUSTOS")</f>
        <v>964</v>
      </c>
      <c r="O191" s="133">
        <f>SUMIFS(SevkAdetleri!$D:$D,SevkAdetleri!$A:$A,A191,SevkAdetleri!$E:$E,"EYLÜL")</f>
        <v>0</v>
      </c>
      <c r="P191" s="133">
        <f>SUMIFS(SevkAdetleri!$D:$D,SevkAdetleri!$A:$A,A191,SevkAdetleri!$E:$E,"EKİM")</f>
        <v>0</v>
      </c>
      <c r="Q191" s="133">
        <f>SUMIFS(SevkAdetleri!$D:$D,SevkAdetleri!$A:$A,A191,SevkAdetleri!$E:$E,"KASIM")</f>
        <v>0</v>
      </c>
      <c r="R191" s="133">
        <f>SUMIFS(SevkAdetleri!$D:$D,SevkAdetleri!$A:$A,A191,SevkAdetleri!$E:$E,"ARALIK")</f>
        <v>0</v>
      </c>
    </row>
    <row r="192" spans="1:18">
      <c r="A192" s="135" t="s">
        <v>145</v>
      </c>
      <c r="B192" s="133" t="str">
        <f>VLOOKUP(Tablo810[[#This Row],[ ÜRÜN KODU]],YMKODLARI!$A$1:$H$376,2,0)</f>
        <v>NEŞELİ ÇINGIRAK</v>
      </c>
      <c r="C192" s="133">
        <f>SUMIF(Tablo8[[ ÜRÜN KODU]],Tablo810[[#This Row],[ ÜRÜN KODU]],Tablo8[SEVK ADEDİ])-Tablo810[[#This Row],[GERİ İADE ÜRÜN]]</f>
        <v>6155</v>
      </c>
      <c r="D192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6622</v>
      </c>
      <c r="E192" s="133"/>
      <c r="F192" s="133">
        <f t="shared" si="2"/>
        <v>467</v>
      </c>
      <c r="G192" s="133">
        <f>SUMIFS(SevkAdetleri!$D:$D,SevkAdetleri!$A:$A,A192,SevkAdetleri!$E:$E,"OCAK")</f>
        <v>0</v>
      </c>
      <c r="H192" s="133">
        <f>SUMIFS(SevkAdetleri!$D:$D,SevkAdetleri!$A:$A,A192,SevkAdetleri!$E:$E,"ŞUBAT")</f>
        <v>520</v>
      </c>
      <c r="I192" s="133">
        <f>SUMIFS(SevkAdetleri!$D:$D,SevkAdetleri!$A:$A,A192,SevkAdetleri!$E:$E,"MART")</f>
        <v>0</v>
      </c>
      <c r="J192" s="133">
        <f>SUMIFS(SevkAdetleri!$D:$D,SevkAdetleri!$A:$A,A192,SevkAdetleri!$E:$E,"NİSAN")</f>
        <v>0</v>
      </c>
      <c r="K192" s="133">
        <f>SUMIFS(SevkAdetleri!$D:$D,SevkAdetleri!$A:$A,A192,SevkAdetleri!$E:$E,"MAYIS")</f>
        <v>0</v>
      </c>
      <c r="L192" s="133">
        <f>SUMIFS(SevkAdetleri!$D:$D,SevkAdetleri!$A:$A,A192,SevkAdetleri!$E:$E,"HAZIRAN")</f>
        <v>4635</v>
      </c>
      <c r="M192" s="133">
        <f>SUMIFS(SevkAdetleri!$D:$D,SevkAdetleri!$A:$A,A192,SevkAdetleri!$E:$E,"TEMMUZ")</f>
        <v>0</v>
      </c>
      <c r="N192" s="133">
        <f>SUMIFS(SevkAdetleri!$D:$D,SevkAdetleri!$A:$A,A192,SevkAdetleri!$E:$E,"AĞUSTOS")</f>
        <v>1000</v>
      </c>
      <c r="O192" s="133">
        <f>SUMIFS(SevkAdetleri!$D:$D,SevkAdetleri!$A:$A,A192,SevkAdetleri!$E:$E,"EYLÜL")</f>
        <v>0</v>
      </c>
      <c r="P192" s="133">
        <f>SUMIFS(SevkAdetleri!$D:$D,SevkAdetleri!$A:$A,A192,SevkAdetleri!$E:$E,"EKİM")</f>
        <v>0</v>
      </c>
      <c r="Q192" s="133">
        <f>SUMIFS(SevkAdetleri!$D:$D,SevkAdetleri!$A:$A,A192,SevkAdetleri!$E:$E,"KASIM")</f>
        <v>0</v>
      </c>
      <c r="R192" s="133">
        <f>SUMIFS(SevkAdetleri!$D:$D,SevkAdetleri!$A:$A,A192,SevkAdetleri!$E:$E,"ARALIK")</f>
        <v>0</v>
      </c>
    </row>
    <row r="193" spans="1:18">
      <c r="A193" s="135" t="s">
        <v>146</v>
      </c>
      <c r="B193" s="133" t="str">
        <f>VLOOKUP(Tablo810[[#This Row],[ ÜRÜN KODU]],YMKODLARI!$A$1:$H$376,2,0)</f>
        <v>NEŞELİ ÇINGIRAK</v>
      </c>
      <c r="C193" s="133">
        <f>SUMIF(Tablo8[[ ÜRÜN KODU]],Tablo810[[#This Row],[ ÜRÜN KODU]],Tablo8[SEVK ADEDİ])-Tablo810[[#This Row],[GERİ İADE ÜRÜN]]</f>
        <v>6155</v>
      </c>
      <c r="D193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6622</v>
      </c>
      <c r="E193" s="133"/>
      <c r="F193" s="133">
        <f t="shared" si="2"/>
        <v>467</v>
      </c>
      <c r="G193" s="133">
        <f>SUMIFS(SevkAdetleri!$D:$D,SevkAdetleri!$A:$A,A193,SevkAdetleri!$E:$E,"OCAK")</f>
        <v>0</v>
      </c>
      <c r="H193" s="133">
        <f>SUMIFS(SevkAdetleri!$D:$D,SevkAdetleri!$A:$A,A193,SevkAdetleri!$E:$E,"ŞUBAT")</f>
        <v>520</v>
      </c>
      <c r="I193" s="133">
        <f>SUMIFS(SevkAdetleri!$D:$D,SevkAdetleri!$A:$A,A193,SevkAdetleri!$E:$E,"MART")</f>
        <v>0</v>
      </c>
      <c r="J193" s="133">
        <f>SUMIFS(SevkAdetleri!$D:$D,SevkAdetleri!$A:$A,A193,SevkAdetleri!$E:$E,"NİSAN")</f>
        <v>0</v>
      </c>
      <c r="K193" s="133">
        <f>SUMIFS(SevkAdetleri!$D:$D,SevkAdetleri!$A:$A,A193,SevkAdetleri!$E:$E,"MAYIS")</f>
        <v>0</v>
      </c>
      <c r="L193" s="133">
        <f>SUMIFS(SevkAdetleri!$D:$D,SevkAdetleri!$A:$A,A193,SevkAdetleri!$E:$E,"HAZIRAN")</f>
        <v>4635</v>
      </c>
      <c r="M193" s="133">
        <f>SUMIFS(SevkAdetleri!$D:$D,SevkAdetleri!$A:$A,A193,SevkAdetleri!$E:$E,"TEMMUZ")</f>
        <v>0</v>
      </c>
      <c r="N193" s="133">
        <f>SUMIFS(SevkAdetleri!$D:$D,SevkAdetleri!$A:$A,A193,SevkAdetleri!$E:$E,"AĞUSTOS")</f>
        <v>1000</v>
      </c>
      <c r="O193" s="133">
        <f>SUMIFS(SevkAdetleri!$D:$D,SevkAdetleri!$A:$A,A193,SevkAdetleri!$E:$E,"EYLÜL")</f>
        <v>0</v>
      </c>
      <c r="P193" s="133">
        <f>SUMIFS(SevkAdetleri!$D:$D,SevkAdetleri!$A:$A,A193,SevkAdetleri!$E:$E,"EKİM")</f>
        <v>0</v>
      </c>
      <c r="Q193" s="133">
        <f>SUMIFS(SevkAdetleri!$D:$D,SevkAdetleri!$A:$A,A193,SevkAdetleri!$E:$E,"KASIM")</f>
        <v>0</v>
      </c>
      <c r="R193" s="133">
        <f>SUMIFS(SevkAdetleri!$D:$D,SevkAdetleri!$A:$A,A193,SevkAdetleri!$E:$E,"ARALIK")</f>
        <v>0</v>
      </c>
    </row>
    <row r="194" spans="1:18">
      <c r="A194" s="135" t="s">
        <v>147</v>
      </c>
      <c r="B194" s="133" t="str">
        <f>VLOOKUP(Tablo810[[#This Row],[ ÜRÜN KODU]],YMKODLARI!$A$1:$H$376,2,0)</f>
        <v>NEŞELİ ÇINGIRAK</v>
      </c>
      <c r="C194" s="133">
        <f>SUMIF(Tablo8[[ ÜRÜN KODU]],Tablo810[[#This Row],[ ÜRÜN KODU]],Tablo8[SEVK ADEDİ])-Tablo810[[#This Row],[GERİ İADE ÜRÜN]]</f>
        <v>6194</v>
      </c>
      <c r="D194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6622</v>
      </c>
      <c r="E194" s="133"/>
      <c r="F194" s="133">
        <f t="shared" si="2"/>
        <v>428</v>
      </c>
      <c r="G194" s="133">
        <f>SUMIFS(SevkAdetleri!$D:$D,SevkAdetleri!$A:$A,A194,SevkAdetleri!$E:$E,"OCAK")</f>
        <v>0</v>
      </c>
      <c r="H194" s="133">
        <f>SUMIFS(SevkAdetleri!$D:$D,SevkAdetleri!$A:$A,A194,SevkAdetleri!$E:$E,"ŞUBAT")</f>
        <v>559</v>
      </c>
      <c r="I194" s="133">
        <f>SUMIFS(SevkAdetleri!$D:$D,SevkAdetleri!$A:$A,A194,SevkAdetleri!$E:$E,"MART")</f>
        <v>0</v>
      </c>
      <c r="J194" s="133">
        <f>SUMIFS(SevkAdetleri!$D:$D,SevkAdetleri!$A:$A,A194,SevkAdetleri!$E:$E,"NİSAN")</f>
        <v>0</v>
      </c>
      <c r="K194" s="133">
        <f>SUMIFS(SevkAdetleri!$D:$D,SevkAdetleri!$A:$A,A194,SevkAdetleri!$E:$E,"MAYIS")</f>
        <v>0</v>
      </c>
      <c r="L194" s="133">
        <f>SUMIFS(SevkAdetleri!$D:$D,SevkAdetleri!$A:$A,A194,SevkAdetleri!$E:$E,"HAZIRAN")</f>
        <v>4635</v>
      </c>
      <c r="M194" s="133">
        <f>SUMIFS(SevkAdetleri!$D:$D,SevkAdetleri!$A:$A,A194,SevkAdetleri!$E:$E,"TEMMUZ")</f>
        <v>0</v>
      </c>
      <c r="N194" s="133">
        <f>SUMIFS(SevkAdetleri!$D:$D,SevkAdetleri!$A:$A,A194,SevkAdetleri!$E:$E,"AĞUSTOS")</f>
        <v>1000</v>
      </c>
      <c r="O194" s="133">
        <f>SUMIFS(SevkAdetleri!$D:$D,SevkAdetleri!$A:$A,A194,SevkAdetleri!$E:$E,"EYLÜL")</f>
        <v>0</v>
      </c>
      <c r="P194" s="133">
        <f>SUMIFS(SevkAdetleri!$D:$D,SevkAdetleri!$A:$A,A194,SevkAdetleri!$E:$E,"EKİM")</f>
        <v>0</v>
      </c>
      <c r="Q194" s="133">
        <f>SUMIFS(SevkAdetleri!$D:$D,SevkAdetleri!$A:$A,A194,SevkAdetleri!$E:$E,"KASIM")</f>
        <v>0</v>
      </c>
      <c r="R194" s="133">
        <f>SUMIFS(SevkAdetleri!$D:$D,SevkAdetleri!$A:$A,A194,SevkAdetleri!$E:$E,"ARALIK")</f>
        <v>0</v>
      </c>
    </row>
    <row r="195" spans="1:18">
      <c r="A195" s="135" t="s">
        <v>148</v>
      </c>
      <c r="B195" s="133" t="str">
        <f>VLOOKUP(Tablo810[[#This Row],[ ÜRÜN KODU]],YMKODLARI!$A$1:$H$376,2,0)</f>
        <v>NEŞELİ ÇINGIRAK</v>
      </c>
      <c r="C195" s="133">
        <f>SUMIF(Tablo8[[ ÜRÜN KODU]],Tablo810[[#This Row],[ ÜRÜN KODU]],Tablo8[SEVK ADEDİ])-Tablo810[[#This Row],[GERİ İADE ÜRÜN]]</f>
        <v>6205</v>
      </c>
      <c r="D195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6622</v>
      </c>
      <c r="E195" s="133"/>
      <c r="F195" s="133">
        <f t="shared" si="2"/>
        <v>417</v>
      </c>
      <c r="G195" s="133">
        <f>SUMIFS(SevkAdetleri!$D:$D,SevkAdetleri!$A:$A,A195,SevkAdetleri!$E:$E,"OCAK")</f>
        <v>0</v>
      </c>
      <c r="H195" s="133">
        <f>SUMIFS(SevkAdetleri!$D:$D,SevkAdetleri!$A:$A,A195,SevkAdetleri!$E:$E,"ŞUBAT")</f>
        <v>570</v>
      </c>
      <c r="I195" s="133">
        <f>SUMIFS(SevkAdetleri!$D:$D,SevkAdetleri!$A:$A,A195,SevkAdetleri!$E:$E,"MART")</f>
        <v>0</v>
      </c>
      <c r="J195" s="133">
        <f>SUMIFS(SevkAdetleri!$D:$D,SevkAdetleri!$A:$A,A195,SevkAdetleri!$E:$E,"NİSAN")</f>
        <v>0</v>
      </c>
      <c r="K195" s="133">
        <f>SUMIFS(SevkAdetleri!$D:$D,SevkAdetleri!$A:$A,A195,SevkAdetleri!$E:$E,"MAYIS")</f>
        <v>0</v>
      </c>
      <c r="L195" s="133">
        <f>SUMIFS(SevkAdetleri!$D:$D,SevkAdetleri!$A:$A,A195,SevkAdetleri!$E:$E,"HAZIRAN")</f>
        <v>4635</v>
      </c>
      <c r="M195" s="133">
        <f>SUMIFS(SevkAdetleri!$D:$D,SevkAdetleri!$A:$A,A195,SevkAdetleri!$E:$E,"TEMMUZ")</f>
        <v>0</v>
      </c>
      <c r="N195" s="133">
        <f>SUMIFS(SevkAdetleri!$D:$D,SevkAdetleri!$A:$A,A195,SevkAdetleri!$E:$E,"AĞUSTOS")</f>
        <v>1000</v>
      </c>
      <c r="O195" s="133">
        <f>SUMIFS(SevkAdetleri!$D:$D,SevkAdetleri!$A:$A,A195,SevkAdetleri!$E:$E,"EYLÜL")</f>
        <v>0</v>
      </c>
      <c r="P195" s="133">
        <f>SUMIFS(SevkAdetleri!$D:$D,SevkAdetleri!$A:$A,A195,SevkAdetleri!$E:$E,"EKİM")</f>
        <v>0</v>
      </c>
      <c r="Q195" s="133">
        <f>SUMIFS(SevkAdetleri!$D:$D,SevkAdetleri!$A:$A,A195,SevkAdetleri!$E:$E,"KASIM")</f>
        <v>0</v>
      </c>
      <c r="R195" s="133">
        <f>SUMIFS(SevkAdetleri!$D:$D,SevkAdetleri!$A:$A,A195,SevkAdetleri!$E:$E,"ARALIK")</f>
        <v>0</v>
      </c>
    </row>
    <row r="196" spans="1:18">
      <c r="A196" s="135" t="s">
        <v>153</v>
      </c>
      <c r="B196" s="133" t="str">
        <f>VLOOKUP(Tablo810[[#This Row],[ ÜRÜN KODU]],YMKODLARI!$A$1:$H$376,2,0)</f>
        <v>NEŞELİ ÇINGIRAK</v>
      </c>
      <c r="C196" s="133">
        <f>SUMIF(Tablo8[[ ÜRÜN KODU]],Tablo810[[#This Row],[ ÜRÜN KODU]],Tablo8[SEVK ADEDİ])-Tablo810[[#This Row],[GERİ İADE ÜRÜN]]</f>
        <v>2062</v>
      </c>
      <c r="D196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2144</v>
      </c>
      <c r="E196" s="133"/>
      <c r="F196" s="133">
        <f t="shared" si="2"/>
        <v>82</v>
      </c>
      <c r="G196" s="133">
        <f>SUMIFS(SevkAdetleri!$D:$D,SevkAdetleri!$A:$A,A196,SevkAdetleri!$E:$E,"OCAK")</f>
        <v>0</v>
      </c>
      <c r="H196" s="133">
        <f>SUMIFS(SevkAdetleri!$D:$D,SevkAdetleri!$A:$A,A196,SevkAdetleri!$E:$E,"ŞUBAT")</f>
        <v>605</v>
      </c>
      <c r="I196" s="133">
        <f>SUMIFS(SevkAdetleri!$D:$D,SevkAdetleri!$A:$A,A196,SevkAdetleri!$E:$E,"MART")</f>
        <v>0</v>
      </c>
      <c r="J196" s="133">
        <f>SUMIFS(SevkAdetleri!$D:$D,SevkAdetleri!$A:$A,A196,SevkAdetleri!$E:$E,"NİSAN")</f>
        <v>0</v>
      </c>
      <c r="K196" s="133">
        <f>SUMIFS(SevkAdetleri!$D:$D,SevkAdetleri!$A:$A,A196,SevkAdetleri!$E:$E,"MAYIS")</f>
        <v>0</v>
      </c>
      <c r="L196" s="133">
        <f>SUMIFS(SevkAdetleri!$D:$D,SevkAdetleri!$A:$A,A196,SevkAdetleri!$E:$E,"HAZIRAN")</f>
        <v>0</v>
      </c>
      <c r="M196" s="133">
        <f>SUMIFS(SevkAdetleri!$D:$D,SevkAdetleri!$A:$A,A196,SevkAdetleri!$E:$E,"TEMMUZ")</f>
        <v>0</v>
      </c>
      <c r="N196" s="133">
        <f>SUMIFS(SevkAdetleri!$D:$D,SevkAdetleri!$A:$A,A196,SevkAdetleri!$E:$E,"AĞUSTOS")</f>
        <v>1457</v>
      </c>
      <c r="O196" s="133">
        <f>SUMIFS(SevkAdetleri!$D:$D,SevkAdetleri!$A:$A,A196,SevkAdetleri!$E:$E,"EYLÜL")</f>
        <v>0</v>
      </c>
      <c r="P196" s="133">
        <f>SUMIFS(SevkAdetleri!$D:$D,SevkAdetleri!$A:$A,A196,SevkAdetleri!$E:$E,"EKİM")</f>
        <v>0</v>
      </c>
      <c r="Q196" s="133">
        <f>SUMIFS(SevkAdetleri!$D:$D,SevkAdetleri!$A:$A,A196,SevkAdetleri!$E:$E,"KASIM")</f>
        <v>0</v>
      </c>
      <c r="R196" s="133">
        <f>SUMIFS(SevkAdetleri!$D:$D,SevkAdetleri!$A:$A,A196,SevkAdetleri!$E:$E,"ARALIK")</f>
        <v>0</v>
      </c>
    </row>
    <row r="197" spans="1:18">
      <c r="A197" s="135" t="s">
        <v>154</v>
      </c>
      <c r="B197" s="133" t="str">
        <f>VLOOKUP(Tablo810[[#This Row],[ ÜRÜN KODU]],YMKODLARI!$A$1:$H$376,2,0)</f>
        <v>NEŞELİ ÇINGIRAK</v>
      </c>
      <c r="C197" s="133">
        <f>SUMIF(Tablo8[[ ÜRÜN KODU]],Tablo810[[#This Row],[ ÜRÜN KODU]],Tablo8[SEVK ADEDİ])-Tablo810[[#This Row],[GERİ İADE ÜRÜN]]</f>
        <v>1984</v>
      </c>
      <c r="D197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2144</v>
      </c>
      <c r="E197" s="133"/>
      <c r="F197" s="133">
        <f t="shared" si="2"/>
        <v>160</v>
      </c>
      <c r="G197" s="133">
        <f>SUMIFS(SevkAdetleri!$D:$D,SevkAdetleri!$A:$A,A197,SevkAdetleri!$E:$E,"OCAK")</f>
        <v>0</v>
      </c>
      <c r="H197" s="133">
        <f>SUMIFS(SevkAdetleri!$D:$D,SevkAdetleri!$A:$A,A197,SevkAdetleri!$E:$E,"ŞUBAT")</f>
        <v>536</v>
      </c>
      <c r="I197" s="133">
        <f>SUMIFS(SevkAdetleri!$D:$D,SevkAdetleri!$A:$A,A197,SevkAdetleri!$E:$E,"MART")</f>
        <v>0</v>
      </c>
      <c r="J197" s="133">
        <f>SUMIFS(SevkAdetleri!$D:$D,SevkAdetleri!$A:$A,A197,SevkAdetleri!$E:$E,"NİSAN")</f>
        <v>0</v>
      </c>
      <c r="K197" s="133">
        <f>SUMIFS(SevkAdetleri!$D:$D,SevkAdetleri!$A:$A,A197,SevkAdetleri!$E:$E,"MAYIS")</f>
        <v>0</v>
      </c>
      <c r="L197" s="133">
        <f>SUMIFS(SevkAdetleri!$D:$D,SevkAdetleri!$A:$A,A197,SevkAdetleri!$E:$E,"HAZIRAN")</f>
        <v>0</v>
      </c>
      <c r="M197" s="133">
        <f>SUMIFS(SevkAdetleri!$D:$D,SevkAdetleri!$A:$A,A197,SevkAdetleri!$E:$E,"TEMMUZ")</f>
        <v>0</v>
      </c>
      <c r="N197" s="133">
        <f>SUMIFS(SevkAdetleri!$D:$D,SevkAdetleri!$A:$A,A197,SevkAdetleri!$E:$E,"AĞUSTOS")</f>
        <v>1448</v>
      </c>
      <c r="O197" s="133">
        <f>SUMIFS(SevkAdetleri!$D:$D,SevkAdetleri!$A:$A,A197,SevkAdetleri!$E:$E,"EYLÜL")</f>
        <v>0</v>
      </c>
      <c r="P197" s="133">
        <f>SUMIFS(SevkAdetleri!$D:$D,SevkAdetleri!$A:$A,A197,SevkAdetleri!$E:$E,"EKİM")</f>
        <v>0</v>
      </c>
      <c r="Q197" s="133">
        <f>SUMIFS(SevkAdetleri!$D:$D,SevkAdetleri!$A:$A,A197,SevkAdetleri!$E:$E,"KASIM")</f>
        <v>0</v>
      </c>
      <c r="R197" s="133">
        <f>SUMIFS(SevkAdetleri!$D:$D,SevkAdetleri!$A:$A,A197,SevkAdetleri!$E:$E,"ARALIK")</f>
        <v>0</v>
      </c>
    </row>
    <row r="198" spans="1:18">
      <c r="A198" s="135" t="s">
        <v>155</v>
      </c>
      <c r="B198" s="133" t="str">
        <f>VLOOKUP(Tablo810[[#This Row],[ ÜRÜN KODU]],YMKODLARI!$A$1:$H$376,2,0)</f>
        <v>NEŞELİ ÇINGIRAK</v>
      </c>
      <c r="C198" s="133">
        <f>SUMIF(Tablo8[[ ÜRÜN KODU]],Tablo810[[#This Row],[ ÜRÜN KODU]],Tablo8[SEVK ADEDİ])-Tablo810[[#This Row],[GERİ İADE ÜRÜN]]</f>
        <v>2003</v>
      </c>
      <c r="D198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2144</v>
      </c>
      <c r="E198" s="133"/>
      <c r="F198" s="133">
        <f t="shared" si="2"/>
        <v>141</v>
      </c>
      <c r="G198" s="133">
        <f>SUMIFS(SevkAdetleri!$D:$D,SevkAdetleri!$A:$A,A198,SevkAdetleri!$E:$E,"OCAK")</f>
        <v>0</v>
      </c>
      <c r="H198" s="133">
        <f>SUMIFS(SevkAdetleri!$D:$D,SevkAdetleri!$A:$A,A198,SevkAdetleri!$E:$E,"ŞUBAT")</f>
        <v>548</v>
      </c>
      <c r="I198" s="133">
        <f>SUMIFS(SevkAdetleri!$D:$D,SevkAdetleri!$A:$A,A198,SevkAdetleri!$E:$E,"MART")</f>
        <v>0</v>
      </c>
      <c r="J198" s="133">
        <f>SUMIFS(SevkAdetleri!$D:$D,SevkAdetleri!$A:$A,A198,SevkAdetleri!$E:$E,"NİSAN")</f>
        <v>0</v>
      </c>
      <c r="K198" s="133">
        <f>SUMIFS(SevkAdetleri!$D:$D,SevkAdetleri!$A:$A,A198,SevkAdetleri!$E:$E,"MAYIS")</f>
        <v>0</v>
      </c>
      <c r="L198" s="133">
        <f>SUMIFS(SevkAdetleri!$D:$D,SevkAdetleri!$A:$A,A198,SevkAdetleri!$E:$E,"HAZIRAN")</f>
        <v>0</v>
      </c>
      <c r="M198" s="133">
        <f>SUMIFS(SevkAdetleri!$D:$D,SevkAdetleri!$A:$A,A198,SevkAdetleri!$E:$E,"TEMMUZ")</f>
        <v>0</v>
      </c>
      <c r="N198" s="133">
        <f>SUMIFS(SevkAdetleri!$D:$D,SevkAdetleri!$A:$A,A198,SevkAdetleri!$E:$E,"AĞUSTOS")</f>
        <v>1455</v>
      </c>
      <c r="O198" s="133">
        <f>SUMIFS(SevkAdetleri!$D:$D,SevkAdetleri!$A:$A,A198,SevkAdetleri!$E:$E,"EYLÜL")</f>
        <v>0</v>
      </c>
      <c r="P198" s="133">
        <f>SUMIFS(SevkAdetleri!$D:$D,SevkAdetleri!$A:$A,A198,SevkAdetleri!$E:$E,"EKİM")</f>
        <v>0</v>
      </c>
      <c r="Q198" s="133">
        <f>SUMIFS(SevkAdetleri!$D:$D,SevkAdetleri!$A:$A,A198,SevkAdetleri!$E:$E,"KASIM")</f>
        <v>0</v>
      </c>
      <c r="R198" s="133">
        <f>SUMIFS(SevkAdetleri!$D:$D,SevkAdetleri!$A:$A,A198,SevkAdetleri!$E:$E,"ARALIK")</f>
        <v>0</v>
      </c>
    </row>
    <row r="199" spans="1:18">
      <c r="A199" s="135" t="s">
        <v>156</v>
      </c>
      <c r="B199" s="133" t="str">
        <f>VLOOKUP(Tablo810[[#This Row],[ ÜRÜN KODU]],YMKODLARI!$A$1:$H$376,2,0)</f>
        <v>NEŞELİ ÇINGIRAK</v>
      </c>
      <c r="C199" s="133">
        <f>SUMIF(Tablo8[[ ÜRÜN KODU]],Tablo810[[#This Row],[ ÜRÜN KODU]],Tablo8[SEVK ADEDİ])-Tablo810[[#This Row],[GERİ İADE ÜRÜN]]</f>
        <v>2070</v>
      </c>
      <c r="D199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2144</v>
      </c>
      <c r="E199" s="133"/>
      <c r="F199" s="133">
        <f t="shared" si="2"/>
        <v>74</v>
      </c>
      <c r="G199" s="133">
        <f>SUMIFS(SevkAdetleri!$D:$D,SevkAdetleri!$A:$A,A199,SevkAdetleri!$E:$E,"OCAK")</f>
        <v>0</v>
      </c>
      <c r="H199" s="133">
        <f>SUMIFS(SevkAdetleri!$D:$D,SevkAdetleri!$A:$A,A199,SevkAdetleri!$E:$E,"ŞUBAT")</f>
        <v>617</v>
      </c>
      <c r="I199" s="133">
        <f>SUMIFS(SevkAdetleri!$D:$D,SevkAdetleri!$A:$A,A199,SevkAdetleri!$E:$E,"MART")</f>
        <v>0</v>
      </c>
      <c r="J199" s="133">
        <f>SUMIFS(SevkAdetleri!$D:$D,SevkAdetleri!$A:$A,A199,SevkAdetleri!$E:$E,"NİSAN")</f>
        <v>0</v>
      </c>
      <c r="K199" s="133">
        <f>SUMIFS(SevkAdetleri!$D:$D,SevkAdetleri!$A:$A,A199,SevkAdetleri!$E:$E,"MAYIS")</f>
        <v>0</v>
      </c>
      <c r="L199" s="133">
        <f>SUMIFS(SevkAdetleri!$D:$D,SevkAdetleri!$A:$A,A199,SevkAdetleri!$E:$E,"HAZIRAN")</f>
        <v>0</v>
      </c>
      <c r="M199" s="133">
        <f>SUMIFS(SevkAdetleri!$D:$D,SevkAdetleri!$A:$A,A199,SevkAdetleri!$E:$E,"TEMMUZ")</f>
        <v>0</v>
      </c>
      <c r="N199" s="133">
        <f>SUMIFS(SevkAdetleri!$D:$D,SevkAdetleri!$A:$A,A199,SevkAdetleri!$E:$E,"AĞUSTOS")</f>
        <v>1453</v>
      </c>
      <c r="O199" s="133">
        <f>SUMIFS(SevkAdetleri!$D:$D,SevkAdetleri!$A:$A,A199,SevkAdetleri!$E:$E,"EYLÜL")</f>
        <v>0</v>
      </c>
      <c r="P199" s="133">
        <f>SUMIFS(SevkAdetleri!$D:$D,SevkAdetleri!$A:$A,A199,SevkAdetleri!$E:$E,"EKİM")</f>
        <v>0</v>
      </c>
      <c r="Q199" s="133">
        <f>SUMIFS(SevkAdetleri!$D:$D,SevkAdetleri!$A:$A,A199,SevkAdetleri!$E:$E,"KASIM")</f>
        <v>0</v>
      </c>
      <c r="R199" s="133">
        <f>SUMIFS(SevkAdetleri!$D:$D,SevkAdetleri!$A:$A,A199,SevkAdetleri!$E:$E,"ARALIK")</f>
        <v>0</v>
      </c>
    </row>
    <row r="200" spans="1:18">
      <c r="A200" s="132" t="s">
        <v>230</v>
      </c>
      <c r="B200" s="133" t="str">
        <f>VLOOKUP(Tablo810[[#This Row],[ ÜRÜN KODU]],YMKODLARI!$A$1:$H$376,2,0)</f>
        <v>SAÇ FIRÇASI</v>
      </c>
      <c r="C200" s="133">
        <f>SUMIF(Tablo8[[ ÜRÜN KODU]],Tablo810[[#This Row],[ ÜRÜN KODU]],Tablo8[SEVK ADEDİ])-Tablo810[[#This Row],[GERİ İADE ÜRÜN]]</f>
        <v>2419</v>
      </c>
      <c r="D200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6688</v>
      </c>
      <c r="E200" s="133"/>
      <c r="F200" s="133">
        <f t="shared" si="2"/>
        <v>4269</v>
      </c>
      <c r="G200" s="133">
        <f>SUMIFS(SevkAdetleri!$D:$D,SevkAdetleri!$A:$A,A200,SevkAdetleri!$E:$E,"OCAK")</f>
        <v>0</v>
      </c>
      <c r="H200" s="133">
        <f>SUMIFS(SevkAdetleri!$D:$D,SevkAdetleri!$A:$A,A200,SevkAdetleri!$E:$E,"ŞUBAT")</f>
        <v>0</v>
      </c>
      <c r="I200" s="133">
        <f>SUMIFS(SevkAdetleri!$D:$D,SevkAdetleri!$A:$A,A200,SevkAdetleri!$E:$E,"MART")</f>
        <v>0</v>
      </c>
      <c r="J200" s="133">
        <f>SUMIFS(SevkAdetleri!$D:$D,SevkAdetleri!$A:$A,A200,SevkAdetleri!$E:$E,"NİSAN")</f>
        <v>0</v>
      </c>
      <c r="K200" s="133">
        <f>SUMIFS(SevkAdetleri!$D:$D,SevkAdetleri!$A:$A,A200,SevkAdetleri!$E:$E,"MAYIS")</f>
        <v>0</v>
      </c>
      <c r="L200" s="133">
        <f>SUMIFS(SevkAdetleri!$D:$D,SevkAdetleri!$A:$A,A200,SevkAdetleri!$E:$E,"HAZIRAN")</f>
        <v>1500</v>
      </c>
      <c r="M200" s="133">
        <f>SUMIFS(SevkAdetleri!$D:$D,SevkAdetleri!$A:$A,A200,SevkAdetleri!$E:$E,"TEMMUZ")</f>
        <v>0</v>
      </c>
      <c r="N200" s="133">
        <f>SUMIFS(SevkAdetleri!$D:$D,SevkAdetleri!$A:$A,A200,SevkAdetleri!$E:$E,"AĞUSTOS")</f>
        <v>0</v>
      </c>
      <c r="O200" s="133">
        <f>SUMIFS(SevkAdetleri!$D:$D,SevkAdetleri!$A:$A,A200,SevkAdetleri!$E:$E,"EYLÜL")</f>
        <v>919</v>
      </c>
      <c r="P200" s="133">
        <f>SUMIFS(SevkAdetleri!$D:$D,SevkAdetleri!$A:$A,A200,SevkAdetleri!$E:$E,"EKİM")</f>
        <v>0</v>
      </c>
      <c r="Q200" s="133">
        <f>SUMIFS(SevkAdetleri!$D:$D,SevkAdetleri!$A:$A,A200,SevkAdetleri!$E:$E,"KASIM")</f>
        <v>0</v>
      </c>
      <c r="R200" s="133">
        <f>SUMIFS(SevkAdetleri!$D:$D,SevkAdetleri!$A:$A,A200,SevkAdetleri!$E:$E,"ARALIK")</f>
        <v>0</v>
      </c>
    </row>
    <row r="201" spans="1:18">
      <c r="A201" s="132" t="s">
        <v>228</v>
      </c>
      <c r="B201" s="133" t="str">
        <f>VLOOKUP(Tablo810[[#This Row],[ ÜRÜN KODU]],YMKODLARI!$A$1:$H$376,2,0)</f>
        <v>SAÇ FIRÇASI</v>
      </c>
      <c r="C201" s="133">
        <f>SUMIF(Tablo8[[ ÜRÜN KODU]],Tablo810[[#This Row],[ ÜRÜN KODU]],Tablo8[SEVK ADEDİ])-Tablo810[[#This Row],[GERİ İADE ÜRÜN]]</f>
        <v>2736</v>
      </c>
      <c r="D201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5906</v>
      </c>
      <c r="E201" s="133"/>
      <c r="F201" s="133">
        <f t="shared" si="2"/>
        <v>3170</v>
      </c>
      <c r="G201" s="133">
        <f>SUMIFS(SevkAdetleri!$D:$D,SevkAdetleri!$A:$A,A201,SevkAdetleri!$E:$E,"OCAK")</f>
        <v>0</v>
      </c>
      <c r="H201" s="133">
        <f>SUMIFS(SevkAdetleri!$D:$D,SevkAdetleri!$A:$A,A201,SevkAdetleri!$E:$E,"ŞUBAT")</f>
        <v>0</v>
      </c>
      <c r="I201" s="133">
        <f>SUMIFS(SevkAdetleri!$D:$D,SevkAdetleri!$A:$A,A201,SevkAdetleri!$E:$E,"MART")</f>
        <v>0</v>
      </c>
      <c r="J201" s="133">
        <f>SUMIFS(SevkAdetleri!$D:$D,SevkAdetleri!$A:$A,A201,SevkAdetleri!$E:$E,"NİSAN")</f>
        <v>0</v>
      </c>
      <c r="K201" s="133">
        <f>SUMIFS(SevkAdetleri!$D:$D,SevkAdetleri!$A:$A,A201,SevkAdetleri!$E:$E,"MAYIS")</f>
        <v>0</v>
      </c>
      <c r="L201" s="133">
        <f>SUMIFS(SevkAdetleri!$D:$D,SevkAdetleri!$A:$A,A201,SevkAdetleri!$E:$E,"HAZIRAN")</f>
        <v>1527</v>
      </c>
      <c r="M201" s="133">
        <f>SUMIFS(SevkAdetleri!$D:$D,SevkAdetleri!$A:$A,A201,SevkAdetleri!$E:$E,"TEMMUZ")</f>
        <v>0</v>
      </c>
      <c r="N201" s="133">
        <f>SUMIFS(SevkAdetleri!$D:$D,SevkAdetleri!$A:$A,A201,SevkAdetleri!$E:$E,"AĞUSTOS")</f>
        <v>0</v>
      </c>
      <c r="O201" s="133">
        <f>SUMIFS(SevkAdetleri!$D:$D,SevkAdetleri!$A:$A,A201,SevkAdetleri!$E:$E,"EYLÜL")</f>
        <v>1209</v>
      </c>
      <c r="P201" s="133">
        <f>SUMIFS(SevkAdetleri!$D:$D,SevkAdetleri!$A:$A,A201,SevkAdetleri!$E:$E,"EKİM")</f>
        <v>0</v>
      </c>
      <c r="Q201" s="133">
        <f>SUMIFS(SevkAdetleri!$D:$D,SevkAdetleri!$A:$A,A201,SevkAdetleri!$E:$E,"KASIM")</f>
        <v>0</v>
      </c>
      <c r="R201" s="133">
        <f>SUMIFS(SevkAdetleri!$D:$D,SevkAdetleri!$A:$A,A201,SevkAdetleri!$E:$E,"ARALIK")</f>
        <v>0</v>
      </c>
    </row>
    <row r="202" spans="1:18">
      <c r="A202" s="132" t="s">
        <v>226</v>
      </c>
      <c r="B202" s="133" t="str">
        <f>VLOOKUP(Tablo810[[#This Row],[ ÜRÜN KODU]],YMKODLARI!$A$1:$H$376,2,0)</f>
        <v>SAÇ FIRÇASI</v>
      </c>
      <c r="C202" s="133">
        <f>SUMIF(Tablo8[[ ÜRÜN KODU]],Tablo810[[#This Row],[ ÜRÜN KODU]],Tablo8[SEVK ADEDİ])-Tablo810[[#This Row],[GERİ İADE ÜRÜN]]</f>
        <v>3683</v>
      </c>
      <c r="D202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6638</v>
      </c>
      <c r="E202" s="133"/>
      <c r="F202" s="133">
        <f t="shared" si="2"/>
        <v>2955</v>
      </c>
      <c r="G202" s="133">
        <f>SUMIFS(SevkAdetleri!$D:$D,SevkAdetleri!$A:$A,A202,SevkAdetleri!$E:$E,"OCAK")</f>
        <v>0</v>
      </c>
      <c r="H202" s="133">
        <f>SUMIFS(SevkAdetleri!$D:$D,SevkAdetleri!$A:$A,A202,SevkAdetleri!$E:$E,"ŞUBAT")</f>
        <v>0</v>
      </c>
      <c r="I202" s="133">
        <f>SUMIFS(SevkAdetleri!$D:$D,SevkAdetleri!$A:$A,A202,SevkAdetleri!$E:$E,"MART")</f>
        <v>0</v>
      </c>
      <c r="J202" s="133">
        <f>SUMIFS(SevkAdetleri!$D:$D,SevkAdetleri!$A:$A,A202,SevkAdetleri!$E:$E,"NİSAN")</f>
        <v>0</v>
      </c>
      <c r="K202" s="133">
        <f>SUMIFS(SevkAdetleri!$D:$D,SevkAdetleri!$A:$A,A202,SevkAdetleri!$E:$E,"MAYIS")</f>
        <v>0</v>
      </c>
      <c r="L202" s="133">
        <f>SUMIFS(SevkAdetleri!$D:$D,SevkAdetleri!$A:$A,A202,SevkAdetleri!$E:$E,"HAZIRAN")</f>
        <v>1479</v>
      </c>
      <c r="M202" s="133">
        <f>SUMIFS(SevkAdetleri!$D:$D,SevkAdetleri!$A:$A,A202,SevkAdetleri!$E:$E,"TEMMUZ")</f>
        <v>0</v>
      </c>
      <c r="N202" s="133">
        <f>SUMIFS(SevkAdetleri!$D:$D,SevkAdetleri!$A:$A,A202,SevkAdetleri!$E:$E,"AĞUSTOS")</f>
        <v>0</v>
      </c>
      <c r="O202" s="133">
        <f>SUMIFS(SevkAdetleri!$D:$D,SevkAdetleri!$A:$A,A202,SevkAdetleri!$E:$E,"EYLÜL")</f>
        <v>2204</v>
      </c>
      <c r="P202" s="133">
        <f>SUMIFS(SevkAdetleri!$D:$D,SevkAdetleri!$A:$A,A202,SevkAdetleri!$E:$E,"EKİM")</f>
        <v>0</v>
      </c>
      <c r="Q202" s="133">
        <f>SUMIFS(SevkAdetleri!$D:$D,SevkAdetleri!$A:$A,A202,SevkAdetleri!$E:$E,"KASIM")</f>
        <v>0</v>
      </c>
      <c r="R202" s="133">
        <f>SUMIFS(SevkAdetleri!$D:$D,SevkAdetleri!$A:$A,A202,SevkAdetleri!$E:$E,"ARALIK")</f>
        <v>0</v>
      </c>
    </row>
    <row r="203" spans="1:18">
      <c r="A203" s="132"/>
      <c r="B203" s="133" t="e">
        <f>VLOOKUP(Tablo810[[#This Row],[ ÜRÜN KODU]],YMKODLARI!$A$1:$H$376,2,0)</f>
        <v>#N/A</v>
      </c>
      <c r="C203" s="133">
        <f>SUMIF(Tablo8[[ ÜRÜN KODU]],Tablo810[[#This Row],[ ÜRÜN KODU]],Tablo8[SEVK ADEDİ])-Tablo810[[#This Row],[GERİ İADE ÜRÜN]]</f>
        <v>0</v>
      </c>
      <c r="D203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203" s="133"/>
      <c r="F203" s="133">
        <f t="shared" si="2"/>
        <v>0</v>
      </c>
      <c r="G203" s="133">
        <f>SUMIFS(SevkAdetleri!$D:$D,SevkAdetleri!$A:$A,A203,SevkAdetleri!$E:$E,"OCAK")</f>
        <v>0</v>
      </c>
      <c r="H203" s="133">
        <f>SUMIFS(SevkAdetleri!$D:$D,SevkAdetleri!$A:$A,A203,SevkAdetleri!$E:$E,"ŞUBAT")</f>
        <v>0</v>
      </c>
      <c r="I203" s="133">
        <f>SUMIFS(SevkAdetleri!$D:$D,SevkAdetleri!$A:$A,A203,SevkAdetleri!$E:$E,"MART")</f>
        <v>0</v>
      </c>
      <c r="J203" s="133">
        <f>SUMIFS(SevkAdetleri!$D:$D,SevkAdetleri!$A:$A,A203,SevkAdetleri!$E:$E,"NİSAN")</f>
        <v>0</v>
      </c>
      <c r="K203" s="133">
        <f>SUMIFS(SevkAdetleri!$D:$D,SevkAdetleri!$A:$A,A203,SevkAdetleri!$E:$E,"MAYIS")</f>
        <v>0</v>
      </c>
      <c r="L203" s="133">
        <f>SUMIFS(SevkAdetleri!$D:$D,SevkAdetleri!$A:$A,A203,SevkAdetleri!$E:$E,"HAZIRAN")</f>
        <v>0</v>
      </c>
      <c r="M203" s="133">
        <f>SUMIFS(SevkAdetleri!$D:$D,SevkAdetleri!$A:$A,A203,SevkAdetleri!$E:$E,"TEMMUZ")</f>
        <v>0</v>
      </c>
      <c r="N203" s="133">
        <f>SUMIFS(SevkAdetleri!$D:$D,SevkAdetleri!$A:$A,A203,SevkAdetleri!$E:$E,"AĞUSTOS")</f>
        <v>0</v>
      </c>
      <c r="O203" s="133">
        <f>SUMIFS(SevkAdetleri!$D:$D,SevkAdetleri!$A:$A,A203,SevkAdetleri!$E:$E,"EYLÜL")</f>
        <v>0</v>
      </c>
      <c r="P203" s="133">
        <f>SUMIFS(SevkAdetleri!$D:$D,SevkAdetleri!$A:$A,A203,SevkAdetleri!$E:$E,"EKİM")</f>
        <v>0</v>
      </c>
      <c r="Q203" s="133">
        <f>SUMIFS(SevkAdetleri!$D:$D,SevkAdetleri!$A:$A,A203,SevkAdetleri!$E:$E,"KASIM")</f>
        <v>0</v>
      </c>
      <c r="R203" s="133">
        <f>SUMIFS(SevkAdetleri!$D:$D,SevkAdetleri!$A:$A,A203,SevkAdetleri!$E:$E,"ARALIK")</f>
        <v>0</v>
      </c>
    </row>
    <row r="204" spans="1:18">
      <c r="A204" s="132" t="s">
        <v>231</v>
      </c>
      <c r="B204" s="133" t="str">
        <f>VLOOKUP(Tablo810[[#This Row],[ ÜRÜN KODU]],YMKODLARI!$A$1:$H$376,2,0)</f>
        <v>SAÇ TARAĞI</v>
      </c>
      <c r="C204" s="133">
        <f>SUMIF(Tablo8[[ ÜRÜN KODU]],Tablo810[[#This Row],[ ÜRÜN KODU]],Tablo8[SEVK ADEDİ])-Tablo810[[#This Row],[GERİ İADE ÜRÜN]]</f>
        <v>2405</v>
      </c>
      <c r="D204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6688</v>
      </c>
      <c r="E204" s="133"/>
      <c r="F204" s="133">
        <f t="shared" si="2"/>
        <v>4283</v>
      </c>
      <c r="G204" s="133">
        <f>SUMIFS(SevkAdetleri!$D:$D,SevkAdetleri!$A:$A,A204,SevkAdetleri!$E:$E,"OCAK")</f>
        <v>0</v>
      </c>
      <c r="H204" s="133">
        <f>SUMIFS(SevkAdetleri!$D:$D,SevkAdetleri!$A:$A,A204,SevkAdetleri!$E:$E,"ŞUBAT")</f>
        <v>0</v>
      </c>
      <c r="I204" s="133">
        <f>SUMIFS(SevkAdetleri!$D:$D,SevkAdetleri!$A:$A,A204,SevkAdetleri!$E:$E,"MART")</f>
        <v>0</v>
      </c>
      <c r="J204" s="133">
        <f>SUMIFS(SevkAdetleri!$D:$D,SevkAdetleri!$A:$A,A204,SevkAdetleri!$E:$E,"NİSAN")</f>
        <v>0</v>
      </c>
      <c r="K204" s="133">
        <f>SUMIFS(SevkAdetleri!$D:$D,SevkAdetleri!$A:$A,A204,SevkAdetleri!$E:$E,"MAYIS")</f>
        <v>0</v>
      </c>
      <c r="L204" s="133">
        <f>SUMIFS(SevkAdetleri!$D:$D,SevkAdetleri!$A:$A,A204,SevkAdetleri!$E:$E,"HAZIRAN")</f>
        <v>1500</v>
      </c>
      <c r="M204" s="133">
        <f>SUMIFS(SevkAdetleri!$D:$D,SevkAdetleri!$A:$A,A204,SevkAdetleri!$E:$E,"TEMMUZ")</f>
        <v>0</v>
      </c>
      <c r="N204" s="133">
        <f>SUMIFS(SevkAdetleri!$D:$D,SevkAdetleri!$A:$A,A204,SevkAdetleri!$E:$E,"AĞUSTOS")</f>
        <v>0</v>
      </c>
      <c r="O204" s="133">
        <f>SUMIFS(SevkAdetleri!$D:$D,SevkAdetleri!$A:$A,A204,SevkAdetleri!$E:$E,"EYLÜL")</f>
        <v>905</v>
      </c>
      <c r="P204" s="133">
        <f>SUMIFS(SevkAdetleri!$D:$D,SevkAdetleri!$A:$A,A204,SevkAdetleri!$E:$E,"EKİM")</f>
        <v>0</v>
      </c>
      <c r="Q204" s="133">
        <f>SUMIFS(SevkAdetleri!$D:$D,SevkAdetleri!$A:$A,A204,SevkAdetleri!$E:$E,"KASIM")</f>
        <v>0</v>
      </c>
      <c r="R204" s="133">
        <f>SUMIFS(SevkAdetleri!$D:$D,SevkAdetleri!$A:$A,A204,SevkAdetleri!$E:$E,"ARALIK")</f>
        <v>0</v>
      </c>
    </row>
    <row r="205" spans="1:18">
      <c r="A205" s="132" t="s">
        <v>229</v>
      </c>
      <c r="B205" s="133" t="str">
        <f>VLOOKUP(Tablo810[[#This Row],[ ÜRÜN KODU]],YMKODLARI!$A$1:$H$376,2,0)</f>
        <v>SAÇ TARAĞI</v>
      </c>
      <c r="C205" s="133">
        <f>SUMIF(Tablo8[[ ÜRÜN KODU]],Tablo810[[#This Row],[ ÜRÜN KODU]],Tablo8[SEVK ADEDİ])-Tablo810[[#This Row],[GERİ İADE ÜRÜN]]</f>
        <v>2702</v>
      </c>
      <c r="D205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5906</v>
      </c>
      <c r="E205" s="133"/>
      <c r="F205" s="133">
        <f t="shared" si="2"/>
        <v>3204</v>
      </c>
      <c r="G205" s="133">
        <f>SUMIFS(SevkAdetleri!$D:$D,SevkAdetleri!$A:$A,A205,SevkAdetleri!$E:$E,"OCAK")</f>
        <v>0</v>
      </c>
      <c r="H205" s="133">
        <f>SUMIFS(SevkAdetleri!$D:$D,SevkAdetleri!$A:$A,A205,SevkAdetleri!$E:$E,"ŞUBAT")</f>
        <v>0</v>
      </c>
      <c r="I205" s="133">
        <f>SUMIFS(SevkAdetleri!$D:$D,SevkAdetleri!$A:$A,A205,SevkAdetleri!$E:$E,"MART")</f>
        <v>0</v>
      </c>
      <c r="J205" s="133">
        <f>SUMIFS(SevkAdetleri!$D:$D,SevkAdetleri!$A:$A,A205,SevkAdetleri!$E:$E,"NİSAN")</f>
        <v>0</v>
      </c>
      <c r="K205" s="133">
        <f>SUMIFS(SevkAdetleri!$D:$D,SevkAdetleri!$A:$A,A205,SevkAdetleri!$E:$E,"MAYIS")</f>
        <v>0</v>
      </c>
      <c r="L205" s="133">
        <f>SUMIFS(SevkAdetleri!$D:$D,SevkAdetleri!$A:$A,A205,SevkAdetleri!$E:$E,"HAZIRAN")</f>
        <v>1511</v>
      </c>
      <c r="M205" s="133">
        <f>SUMIFS(SevkAdetleri!$D:$D,SevkAdetleri!$A:$A,A205,SevkAdetleri!$E:$E,"TEMMUZ")</f>
        <v>0</v>
      </c>
      <c r="N205" s="133">
        <f>SUMIFS(SevkAdetleri!$D:$D,SevkAdetleri!$A:$A,A205,SevkAdetleri!$E:$E,"AĞUSTOS")</f>
        <v>0</v>
      </c>
      <c r="O205" s="133">
        <f>SUMIFS(SevkAdetleri!$D:$D,SevkAdetleri!$A:$A,A205,SevkAdetleri!$E:$E,"EYLÜL")</f>
        <v>1191</v>
      </c>
      <c r="P205" s="133">
        <f>SUMIFS(SevkAdetleri!$D:$D,SevkAdetleri!$A:$A,A205,SevkAdetleri!$E:$E,"EKİM")</f>
        <v>0</v>
      </c>
      <c r="Q205" s="133">
        <f>SUMIFS(SevkAdetleri!$D:$D,SevkAdetleri!$A:$A,A205,SevkAdetleri!$E:$E,"KASIM")</f>
        <v>0</v>
      </c>
      <c r="R205" s="133">
        <f>SUMIFS(SevkAdetleri!$D:$D,SevkAdetleri!$A:$A,A205,SevkAdetleri!$E:$E,"ARALIK")</f>
        <v>0</v>
      </c>
    </row>
    <row r="206" spans="1:18">
      <c r="A206" s="132" t="s">
        <v>227</v>
      </c>
      <c r="B206" s="133" t="str">
        <f>VLOOKUP(Tablo810[[#This Row],[ ÜRÜN KODU]],YMKODLARI!$A$1:$H$376,2,0)</f>
        <v>SAÇ TARAĞI</v>
      </c>
      <c r="C206" s="133">
        <f>SUMIF(Tablo8[[ ÜRÜN KODU]],Tablo810[[#This Row],[ ÜRÜN KODU]],Tablo8[SEVK ADEDİ])-Tablo810[[#This Row],[GERİ İADE ÜRÜN]]</f>
        <v>3695</v>
      </c>
      <c r="D206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6638</v>
      </c>
      <c r="E206" s="133"/>
      <c r="F206" s="133">
        <f t="shared" si="2"/>
        <v>2943</v>
      </c>
      <c r="G206" s="133">
        <f>SUMIFS(SevkAdetleri!$D:$D,SevkAdetleri!$A:$A,A206,SevkAdetleri!$E:$E,"OCAK")</f>
        <v>0</v>
      </c>
      <c r="H206" s="133">
        <f>SUMIFS(SevkAdetleri!$D:$D,SevkAdetleri!$A:$A,A206,SevkAdetleri!$E:$E,"ŞUBAT")</f>
        <v>0</v>
      </c>
      <c r="I206" s="133">
        <f>SUMIFS(SevkAdetleri!$D:$D,SevkAdetleri!$A:$A,A206,SevkAdetleri!$E:$E,"MART")</f>
        <v>0</v>
      </c>
      <c r="J206" s="133">
        <f>SUMIFS(SevkAdetleri!$D:$D,SevkAdetleri!$A:$A,A206,SevkAdetleri!$E:$E,"NİSAN")</f>
        <v>0</v>
      </c>
      <c r="K206" s="133">
        <f>SUMIFS(SevkAdetleri!$D:$D,SevkAdetleri!$A:$A,A206,SevkAdetleri!$E:$E,"MAYIS")</f>
        <v>0</v>
      </c>
      <c r="L206" s="133">
        <f>SUMIFS(SevkAdetleri!$D:$D,SevkAdetleri!$A:$A,A206,SevkAdetleri!$E:$E,"HAZIRAN")</f>
        <v>1500</v>
      </c>
      <c r="M206" s="133">
        <f>SUMIFS(SevkAdetleri!$D:$D,SevkAdetleri!$A:$A,A206,SevkAdetleri!$E:$E,"TEMMUZ")</f>
        <v>0</v>
      </c>
      <c r="N206" s="133">
        <f>SUMIFS(SevkAdetleri!$D:$D,SevkAdetleri!$A:$A,A206,SevkAdetleri!$E:$E,"AĞUSTOS")</f>
        <v>0</v>
      </c>
      <c r="O206" s="133">
        <f>SUMIFS(SevkAdetleri!$D:$D,SevkAdetleri!$A:$A,A206,SevkAdetleri!$E:$E,"EYLÜL")</f>
        <v>2195</v>
      </c>
      <c r="P206" s="133">
        <f>SUMIFS(SevkAdetleri!$D:$D,SevkAdetleri!$A:$A,A206,SevkAdetleri!$E:$E,"EKİM")</f>
        <v>0</v>
      </c>
      <c r="Q206" s="133">
        <f>SUMIFS(SevkAdetleri!$D:$D,SevkAdetleri!$A:$A,A206,SevkAdetleri!$E:$E,"KASIM")</f>
        <v>0</v>
      </c>
      <c r="R206" s="133">
        <f>SUMIFS(SevkAdetleri!$D:$D,SevkAdetleri!$A:$A,A206,SevkAdetleri!$E:$E,"ARALIK")</f>
        <v>0</v>
      </c>
    </row>
    <row r="207" spans="1:18">
      <c r="A207" s="132" t="s">
        <v>333</v>
      </c>
      <c r="B207" s="133" t="str">
        <f>VLOOKUP(Tablo810[[#This Row],[ ÜRÜN KODU]],YMKODLARI!$A$1:$H$376,2,0)</f>
        <v>ÇATAL</v>
      </c>
      <c r="C207" s="133">
        <f>SUMIF(Tablo8[[ ÜRÜN KODU]],Tablo810[[#This Row],[ ÜRÜN KODU]],Tablo8[SEVK ADEDİ])-Tablo810[[#This Row],[GERİ İADE ÜRÜN]]</f>
        <v>0</v>
      </c>
      <c r="D207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207" s="133"/>
      <c r="F207" s="133">
        <f t="shared" si="2"/>
        <v>0</v>
      </c>
      <c r="G207" s="133">
        <f>SUMIFS(SevkAdetleri!$D:$D,SevkAdetleri!$A:$A,A207,SevkAdetleri!$E:$E,"OCAK")</f>
        <v>0</v>
      </c>
      <c r="H207" s="133">
        <f>SUMIFS(SevkAdetleri!$D:$D,SevkAdetleri!$A:$A,A207,SevkAdetleri!$E:$E,"ŞUBAT")</f>
        <v>0</v>
      </c>
      <c r="I207" s="133">
        <f>SUMIFS(SevkAdetleri!$D:$D,SevkAdetleri!$A:$A,A207,SevkAdetleri!$E:$E,"MART")</f>
        <v>0</v>
      </c>
      <c r="J207" s="133">
        <f>SUMIFS(SevkAdetleri!$D:$D,SevkAdetleri!$A:$A,A207,SevkAdetleri!$E:$E,"NİSAN")</f>
        <v>0</v>
      </c>
      <c r="K207" s="133">
        <f>SUMIFS(SevkAdetleri!$D:$D,SevkAdetleri!$A:$A,A207,SevkAdetleri!$E:$E,"MAYIS")</f>
        <v>0</v>
      </c>
      <c r="L207" s="133">
        <f>SUMIFS(SevkAdetleri!$D:$D,SevkAdetleri!$A:$A,A207,SevkAdetleri!$E:$E,"HAZIRAN")</f>
        <v>0</v>
      </c>
      <c r="M207" s="133">
        <f>SUMIFS(SevkAdetleri!$D:$D,SevkAdetleri!$A:$A,A207,SevkAdetleri!$E:$E,"TEMMUZ")</f>
        <v>0</v>
      </c>
      <c r="N207" s="133">
        <f>SUMIFS(SevkAdetleri!$D:$D,SevkAdetleri!$A:$A,A207,SevkAdetleri!$E:$E,"AĞUSTOS")</f>
        <v>0</v>
      </c>
      <c r="O207" s="133">
        <f>SUMIFS(SevkAdetleri!$D:$D,SevkAdetleri!$A:$A,A207,SevkAdetleri!$E:$E,"EYLÜL")</f>
        <v>0</v>
      </c>
      <c r="P207" s="133">
        <f>SUMIFS(SevkAdetleri!$D:$D,SevkAdetleri!$A:$A,A207,SevkAdetleri!$E:$E,"EKİM")</f>
        <v>0</v>
      </c>
      <c r="Q207" s="133">
        <f>SUMIFS(SevkAdetleri!$D:$D,SevkAdetleri!$A:$A,A207,SevkAdetleri!$E:$E,"KASIM")</f>
        <v>0</v>
      </c>
      <c r="R207" s="133">
        <f>SUMIFS(SevkAdetleri!$D:$D,SevkAdetleri!$A:$A,A207,SevkAdetleri!$E:$E,"ARALIK")</f>
        <v>0</v>
      </c>
    </row>
    <row r="208" spans="1:18">
      <c r="A208" s="132" t="s">
        <v>334</v>
      </c>
      <c r="B208" s="133" t="str">
        <f>VLOOKUP(Tablo810[[#This Row],[ ÜRÜN KODU]],YMKODLARI!$A$1:$H$376,2,0)</f>
        <v>ÇATAL</v>
      </c>
      <c r="C208" s="133">
        <f>SUMIF(Tablo8[[ ÜRÜN KODU]],Tablo810[[#This Row],[ ÜRÜN KODU]],Tablo8[SEVK ADEDİ])-Tablo810[[#This Row],[GERİ İADE ÜRÜN]]</f>
        <v>0</v>
      </c>
      <c r="D208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208" s="133"/>
      <c r="F208" s="133">
        <f t="shared" si="2"/>
        <v>0</v>
      </c>
      <c r="G208" s="133">
        <f>SUMIFS(SevkAdetleri!$D:$D,SevkAdetleri!$A:$A,A208,SevkAdetleri!$E:$E,"OCAK")</f>
        <v>0</v>
      </c>
      <c r="H208" s="133">
        <f>SUMIFS(SevkAdetleri!$D:$D,SevkAdetleri!$A:$A,A208,SevkAdetleri!$E:$E,"ŞUBAT")</f>
        <v>0</v>
      </c>
      <c r="I208" s="133">
        <f>SUMIFS(SevkAdetleri!$D:$D,SevkAdetleri!$A:$A,A208,SevkAdetleri!$E:$E,"MART")</f>
        <v>0</v>
      </c>
      <c r="J208" s="133">
        <f>SUMIFS(SevkAdetleri!$D:$D,SevkAdetleri!$A:$A,A208,SevkAdetleri!$E:$E,"NİSAN")</f>
        <v>0</v>
      </c>
      <c r="K208" s="133">
        <f>SUMIFS(SevkAdetleri!$D:$D,SevkAdetleri!$A:$A,A208,SevkAdetleri!$E:$E,"MAYIS")</f>
        <v>0</v>
      </c>
      <c r="L208" s="133">
        <f>SUMIFS(SevkAdetleri!$D:$D,SevkAdetleri!$A:$A,A208,SevkAdetleri!$E:$E,"HAZIRAN")</f>
        <v>0</v>
      </c>
      <c r="M208" s="133">
        <f>SUMIFS(SevkAdetleri!$D:$D,SevkAdetleri!$A:$A,A208,SevkAdetleri!$E:$E,"TEMMUZ")</f>
        <v>0</v>
      </c>
      <c r="N208" s="133">
        <f>SUMIFS(SevkAdetleri!$D:$D,SevkAdetleri!$A:$A,A208,SevkAdetleri!$E:$E,"AĞUSTOS")</f>
        <v>0</v>
      </c>
      <c r="O208" s="133">
        <f>SUMIFS(SevkAdetleri!$D:$D,SevkAdetleri!$A:$A,A208,SevkAdetleri!$E:$E,"EYLÜL")</f>
        <v>0</v>
      </c>
      <c r="P208" s="133">
        <f>SUMIFS(SevkAdetleri!$D:$D,SevkAdetleri!$A:$A,A208,SevkAdetleri!$E:$E,"EKİM")</f>
        <v>0</v>
      </c>
      <c r="Q208" s="133">
        <f>SUMIFS(SevkAdetleri!$D:$D,SevkAdetleri!$A:$A,A208,SevkAdetleri!$E:$E,"KASIM")</f>
        <v>0</v>
      </c>
      <c r="R208" s="133">
        <f>SUMIFS(SevkAdetleri!$D:$D,SevkAdetleri!$A:$A,A208,SevkAdetleri!$E:$E,"ARALIK")</f>
        <v>0</v>
      </c>
    </row>
    <row r="209" spans="1:18">
      <c r="A209" s="132" t="s">
        <v>335</v>
      </c>
      <c r="B209" s="133" t="str">
        <f>VLOOKUP(Tablo810[[#This Row],[ ÜRÜN KODU]],YMKODLARI!$A$1:$H$376,2,0)</f>
        <v>ÇATAL</v>
      </c>
      <c r="C209" s="133">
        <f>SUMIF(Tablo8[[ ÜRÜN KODU]],Tablo810[[#This Row],[ ÜRÜN KODU]],Tablo8[SEVK ADEDİ])-Tablo810[[#This Row],[GERİ İADE ÜRÜN]]</f>
        <v>0</v>
      </c>
      <c r="D209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209" s="133"/>
      <c r="F209" s="133">
        <f t="shared" si="2"/>
        <v>0</v>
      </c>
      <c r="G209" s="133">
        <f>SUMIFS(SevkAdetleri!$D:$D,SevkAdetleri!$A:$A,A209,SevkAdetleri!$E:$E,"OCAK")</f>
        <v>0</v>
      </c>
      <c r="H209" s="133">
        <f>SUMIFS(SevkAdetleri!$D:$D,SevkAdetleri!$A:$A,A209,SevkAdetleri!$E:$E,"ŞUBAT")</f>
        <v>0</v>
      </c>
      <c r="I209" s="133">
        <f>SUMIFS(SevkAdetleri!$D:$D,SevkAdetleri!$A:$A,A209,SevkAdetleri!$E:$E,"MART")</f>
        <v>0</v>
      </c>
      <c r="J209" s="133">
        <f>SUMIFS(SevkAdetleri!$D:$D,SevkAdetleri!$A:$A,A209,SevkAdetleri!$E:$E,"NİSAN")</f>
        <v>0</v>
      </c>
      <c r="K209" s="133">
        <f>SUMIFS(SevkAdetleri!$D:$D,SevkAdetleri!$A:$A,A209,SevkAdetleri!$E:$E,"MAYIS")</f>
        <v>0</v>
      </c>
      <c r="L209" s="133">
        <f>SUMIFS(SevkAdetleri!$D:$D,SevkAdetleri!$A:$A,A209,SevkAdetleri!$E:$E,"HAZIRAN")</f>
        <v>0</v>
      </c>
      <c r="M209" s="133">
        <f>SUMIFS(SevkAdetleri!$D:$D,SevkAdetleri!$A:$A,A209,SevkAdetleri!$E:$E,"TEMMUZ")</f>
        <v>0</v>
      </c>
      <c r="N209" s="133">
        <f>SUMIFS(SevkAdetleri!$D:$D,SevkAdetleri!$A:$A,A209,SevkAdetleri!$E:$E,"AĞUSTOS")</f>
        <v>0</v>
      </c>
      <c r="O209" s="133">
        <f>SUMIFS(SevkAdetleri!$D:$D,SevkAdetleri!$A:$A,A209,SevkAdetleri!$E:$E,"EYLÜL")</f>
        <v>0</v>
      </c>
      <c r="P209" s="133">
        <f>SUMIFS(SevkAdetleri!$D:$D,SevkAdetleri!$A:$A,A209,SevkAdetleri!$E:$E,"EKİM")</f>
        <v>0</v>
      </c>
      <c r="Q209" s="133">
        <f>SUMIFS(SevkAdetleri!$D:$D,SevkAdetleri!$A:$A,A209,SevkAdetleri!$E:$E,"KASIM")</f>
        <v>0</v>
      </c>
      <c r="R209" s="133">
        <f>SUMIFS(SevkAdetleri!$D:$D,SevkAdetleri!$A:$A,A209,SevkAdetleri!$E:$E,"ARALIK")</f>
        <v>0</v>
      </c>
    </row>
    <row r="210" spans="1:18">
      <c r="A210" s="132" t="s">
        <v>336</v>
      </c>
      <c r="B210" s="133" t="str">
        <f>VLOOKUP(Tablo810[[#This Row],[ ÜRÜN KODU]],YMKODLARI!$A$1:$H$376,2,0)</f>
        <v>ÇATAL</v>
      </c>
      <c r="C210" s="133">
        <f>SUMIF(Tablo8[[ ÜRÜN KODU]],Tablo810[[#This Row],[ ÜRÜN KODU]],Tablo8[SEVK ADEDİ])-Tablo810[[#This Row],[GERİ İADE ÜRÜN]]</f>
        <v>0</v>
      </c>
      <c r="D210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210" s="133"/>
      <c r="F210" s="133">
        <f t="shared" si="2"/>
        <v>0</v>
      </c>
      <c r="G210" s="133">
        <f>SUMIFS(SevkAdetleri!$D:$D,SevkAdetleri!$A:$A,A210,SevkAdetleri!$E:$E,"OCAK")</f>
        <v>0</v>
      </c>
      <c r="H210" s="133">
        <f>SUMIFS(SevkAdetleri!$D:$D,SevkAdetleri!$A:$A,A210,SevkAdetleri!$E:$E,"ŞUBAT")</f>
        <v>0</v>
      </c>
      <c r="I210" s="133">
        <f>SUMIFS(SevkAdetleri!$D:$D,SevkAdetleri!$A:$A,A210,SevkAdetleri!$E:$E,"MART")</f>
        <v>0</v>
      </c>
      <c r="J210" s="133">
        <f>SUMIFS(SevkAdetleri!$D:$D,SevkAdetleri!$A:$A,A210,SevkAdetleri!$E:$E,"NİSAN")</f>
        <v>0</v>
      </c>
      <c r="K210" s="133">
        <f>SUMIFS(SevkAdetleri!$D:$D,SevkAdetleri!$A:$A,A210,SevkAdetleri!$E:$E,"MAYIS")</f>
        <v>0</v>
      </c>
      <c r="L210" s="133">
        <f>SUMIFS(SevkAdetleri!$D:$D,SevkAdetleri!$A:$A,A210,SevkAdetleri!$E:$E,"HAZIRAN")</f>
        <v>0</v>
      </c>
      <c r="M210" s="133">
        <f>SUMIFS(SevkAdetleri!$D:$D,SevkAdetleri!$A:$A,A210,SevkAdetleri!$E:$E,"TEMMUZ")</f>
        <v>0</v>
      </c>
      <c r="N210" s="133">
        <f>SUMIFS(SevkAdetleri!$D:$D,SevkAdetleri!$A:$A,A210,SevkAdetleri!$E:$E,"AĞUSTOS")</f>
        <v>0</v>
      </c>
      <c r="O210" s="133">
        <f>SUMIFS(SevkAdetleri!$D:$D,SevkAdetleri!$A:$A,A210,SevkAdetleri!$E:$E,"EYLÜL")</f>
        <v>0</v>
      </c>
      <c r="P210" s="133">
        <f>SUMIFS(SevkAdetleri!$D:$D,SevkAdetleri!$A:$A,A210,SevkAdetleri!$E:$E,"EKİM")</f>
        <v>0</v>
      </c>
      <c r="Q210" s="133">
        <f>SUMIFS(SevkAdetleri!$D:$D,SevkAdetleri!$A:$A,A210,SevkAdetleri!$E:$E,"KASIM")</f>
        <v>0</v>
      </c>
      <c r="R210" s="133">
        <f>SUMIFS(SevkAdetleri!$D:$D,SevkAdetleri!$A:$A,A210,SevkAdetleri!$E:$E,"ARALIK")</f>
        <v>0</v>
      </c>
    </row>
    <row r="211" spans="1:18">
      <c r="A211" s="132" t="s">
        <v>337</v>
      </c>
      <c r="B211" s="133" t="str">
        <f>VLOOKUP(Tablo810[[#This Row],[ ÜRÜN KODU]],YMKODLARI!$A$1:$H$376,2,0)</f>
        <v>KAŞIK</v>
      </c>
      <c r="C211" s="133">
        <f>SUMIF(Tablo8[[ ÜRÜN KODU]],Tablo810[[#This Row],[ ÜRÜN KODU]],Tablo8[SEVK ADEDİ])-Tablo810[[#This Row],[GERİ İADE ÜRÜN]]</f>
        <v>0</v>
      </c>
      <c r="D211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211" s="133"/>
      <c r="F211" s="133">
        <f t="shared" si="2"/>
        <v>0</v>
      </c>
      <c r="G211" s="133">
        <f>SUMIFS(SevkAdetleri!$D:$D,SevkAdetleri!$A:$A,A211,SevkAdetleri!$E:$E,"OCAK")</f>
        <v>0</v>
      </c>
      <c r="H211" s="133">
        <f>SUMIFS(SevkAdetleri!$D:$D,SevkAdetleri!$A:$A,A211,SevkAdetleri!$E:$E,"ŞUBAT")</f>
        <v>0</v>
      </c>
      <c r="I211" s="133">
        <f>SUMIFS(SevkAdetleri!$D:$D,SevkAdetleri!$A:$A,A211,SevkAdetleri!$E:$E,"MART")</f>
        <v>0</v>
      </c>
      <c r="J211" s="133">
        <f>SUMIFS(SevkAdetleri!$D:$D,SevkAdetleri!$A:$A,A211,SevkAdetleri!$E:$E,"NİSAN")</f>
        <v>0</v>
      </c>
      <c r="K211" s="133">
        <f>SUMIFS(SevkAdetleri!$D:$D,SevkAdetleri!$A:$A,A211,SevkAdetleri!$E:$E,"MAYIS")</f>
        <v>0</v>
      </c>
      <c r="L211" s="133">
        <f>SUMIFS(SevkAdetleri!$D:$D,SevkAdetleri!$A:$A,A211,SevkAdetleri!$E:$E,"HAZIRAN")</f>
        <v>0</v>
      </c>
      <c r="M211" s="133">
        <f>SUMIFS(SevkAdetleri!$D:$D,SevkAdetleri!$A:$A,A211,SevkAdetleri!$E:$E,"TEMMUZ")</f>
        <v>0</v>
      </c>
      <c r="N211" s="133">
        <f>SUMIFS(SevkAdetleri!$D:$D,SevkAdetleri!$A:$A,A211,SevkAdetleri!$E:$E,"AĞUSTOS")</f>
        <v>0</v>
      </c>
      <c r="O211" s="133">
        <f>SUMIFS(SevkAdetleri!$D:$D,SevkAdetleri!$A:$A,A211,SevkAdetleri!$E:$E,"EYLÜL")</f>
        <v>0</v>
      </c>
      <c r="P211" s="133">
        <f>SUMIFS(SevkAdetleri!$D:$D,SevkAdetleri!$A:$A,A211,SevkAdetleri!$E:$E,"EKİM")</f>
        <v>0</v>
      </c>
      <c r="Q211" s="133">
        <f>SUMIFS(SevkAdetleri!$D:$D,SevkAdetleri!$A:$A,A211,SevkAdetleri!$E:$E,"KASIM")</f>
        <v>0</v>
      </c>
      <c r="R211" s="133">
        <f>SUMIFS(SevkAdetleri!$D:$D,SevkAdetleri!$A:$A,A211,SevkAdetleri!$E:$E,"ARALIK")</f>
        <v>0</v>
      </c>
    </row>
    <row r="212" spans="1:18">
      <c r="A212" s="132" t="s">
        <v>338</v>
      </c>
      <c r="B212" s="133" t="str">
        <f>VLOOKUP(Tablo810[[#This Row],[ ÜRÜN KODU]],YMKODLARI!$A$1:$H$376,2,0)</f>
        <v>KAŞIK</v>
      </c>
      <c r="C212" s="133">
        <f>SUMIF(Tablo8[[ ÜRÜN KODU]],Tablo810[[#This Row],[ ÜRÜN KODU]],Tablo8[SEVK ADEDİ])-Tablo810[[#This Row],[GERİ İADE ÜRÜN]]</f>
        <v>0</v>
      </c>
      <c r="D212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212" s="133"/>
      <c r="F212" s="133">
        <f t="shared" ref="F212:F278" si="3">(D212-C212)+E212</f>
        <v>0</v>
      </c>
      <c r="G212" s="133">
        <f>SUMIFS(SevkAdetleri!$D:$D,SevkAdetleri!$A:$A,A212,SevkAdetleri!$E:$E,"OCAK")</f>
        <v>0</v>
      </c>
      <c r="H212" s="133">
        <f>SUMIFS(SevkAdetleri!$D:$D,SevkAdetleri!$A:$A,A212,SevkAdetleri!$E:$E,"ŞUBAT")</f>
        <v>0</v>
      </c>
      <c r="I212" s="133">
        <f>SUMIFS(SevkAdetleri!$D:$D,SevkAdetleri!$A:$A,A212,SevkAdetleri!$E:$E,"MART")</f>
        <v>0</v>
      </c>
      <c r="J212" s="133">
        <f>SUMIFS(SevkAdetleri!$D:$D,SevkAdetleri!$A:$A,A212,SevkAdetleri!$E:$E,"NİSAN")</f>
        <v>0</v>
      </c>
      <c r="K212" s="133">
        <f>SUMIFS(SevkAdetleri!$D:$D,SevkAdetleri!$A:$A,A212,SevkAdetleri!$E:$E,"MAYIS")</f>
        <v>0</v>
      </c>
      <c r="L212" s="133">
        <f>SUMIFS(SevkAdetleri!$D:$D,SevkAdetleri!$A:$A,A212,SevkAdetleri!$E:$E,"HAZIRAN")</f>
        <v>0</v>
      </c>
      <c r="M212" s="133">
        <f>SUMIFS(SevkAdetleri!$D:$D,SevkAdetleri!$A:$A,A212,SevkAdetleri!$E:$E,"TEMMUZ")</f>
        <v>0</v>
      </c>
      <c r="N212" s="133">
        <f>SUMIFS(SevkAdetleri!$D:$D,SevkAdetleri!$A:$A,A212,SevkAdetleri!$E:$E,"AĞUSTOS")</f>
        <v>0</v>
      </c>
      <c r="O212" s="133">
        <f>SUMIFS(SevkAdetleri!$D:$D,SevkAdetleri!$A:$A,A212,SevkAdetleri!$E:$E,"EYLÜL")</f>
        <v>0</v>
      </c>
      <c r="P212" s="133">
        <f>SUMIFS(SevkAdetleri!$D:$D,SevkAdetleri!$A:$A,A212,SevkAdetleri!$E:$E,"EKİM")</f>
        <v>0</v>
      </c>
      <c r="Q212" s="133">
        <f>SUMIFS(SevkAdetleri!$D:$D,SevkAdetleri!$A:$A,A212,SevkAdetleri!$E:$E,"KASIM")</f>
        <v>0</v>
      </c>
      <c r="R212" s="133">
        <f>SUMIFS(SevkAdetleri!$D:$D,SevkAdetleri!$A:$A,A212,SevkAdetleri!$E:$E,"ARALIK")</f>
        <v>0</v>
      </c>
    </row>
    <row r="213" spans="1:18">
      <c r="A213" s="132" t="s">
        <v>339</v>
      </c>
      <c r="B213" s="133" t="str">
        <f>VLOOKUP(Tablo810[[#This Row],[ ÜRÜN KODU]],YMKODLARI!$A$1:$H$376,2,0)</f>
        <v>KAŞIK</v>
      </c>
      <c r="C213" s="133">
        <f>SUMIF(Tablo8[[ ÜRÜN KODU]],Tablo810[[#This Row],[ ÜRÜN KODU]],Tablo8[SEVK ADEDİ])-Tablo810[[#This Row],[GERİ İADE ÜRÜN]]</f>
        <v>0</v>
      </c>
      <c r="D213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213" s="133"/>
      <c r="F213" s="133">
        <f t="shared" si="3"/>
        <v>0</v>
      </c>
      <c r="G213" s="133">
        <f>SUMIFS(SevkAdetleri!$D:$D,SevkAdetleri!$A:$A,A213,SevkAdetleri!$E:$E,"OCAK")</f>
        <v>0</v>
      </c>
      <c r="H213" s="133">
        <f>SUMIFS(SevkAdetleri!$D:$D,SevkAdetleri!$A:$A,A213,SevkAdetleri!$E:$E,"ŞUBAT")</f>
        <v>0</v>
      </c>
      <c r="I213" s="133">
        <f>SUMIFS(SevkAdetleri!$D:$D,SevkAdetleri!$A:$A,A213,SevkAdetleri!$E:$E,"MART")</f>
        <v>0</v>
      </c>
      <c r="J213" s="133">
        <f>SUMIFS(SevkAdetleri!$D:$D,SevkAdetleri!$A:$A,A213,SevkAdetleri!$E:$E,"NİSAN")</f>
        <v>0</v>
      </c>
      <c r="K213" s="133">
        <f>SUMIFS(SevkAdetleri!$D:$D,SevkAdetleri!$A:$A,A213,SevkAdetleri!$E:$E,"MAYIS")</f>
        <v>0</v>
      </c>
      <c r="L213" s="133">
        <f>SUMIFS(SevkAdetleri!$D:$D,SevkAdetleri!$A:$A,A213,SevkAdetleri!$E:$E,"HAZIRAN")</f>
        <v>0</v>
      </c>
      <c r="M213" s="133">
        <f>SUMIFS(SevkAdetleri!$D:$D,SevkAdetleri!$A:$A,A213,SevkAdetleri!$E:$E,"TEMMUZ")</f>
        <v>0</v>
      </c>
      <c r="N213" s="133">
        <f>SUMIFS(SevkAdetleri!$D:$D,SevkAdetleri!$A:$A,A213,SevkAdetleri!$E:$E,"AĞUSTOS")</f>
        <v>0</v>
      </c>
      <c r="O213" s="133">
        <f>SUMIFS(SevkAdetleri!$D:$D,SevkAdetleri!$A:$A,A213,SevkAdetleri!$E:$E,"EYLÜL")</f>
        <v>0</v>
      </c>
      <c r="P213" s="133">
        <f>SUMIFS(SevkAdetleri!$D:$D,SevkAdetleri!$A:$A,A213,SevkAdetleri!$E:$E,"EKİM")</f>
        <v>0</v>
      </c>
      <c r="Q213" s="133">
        <f>SUMIFS(SevkAdetleri!$D:$D,SevkAdetleri!$A:$A,A213,SevkAdetleri!$E:$E,"KASIM")</f>
        <v>0</v>
      </c>
      <c r="R213" s="133">
        <f>SUMIFS(SevkAdetleri!$D:$D,SevkAdetleri!$A:$A,A213,SevkAdetleri!$E:$E,"ARALIK")</f>
        <v>0</v>
      </c>
    </row>
    <row r="214" spans="1:18">
      <c r="A214" s="132" t="s">
        <v>340</v>
      </c>
      <c r="B214" s="133" t="str">
        <f>VLOOKUP(Tablo810[[#This Row],[ ÜRÜN KODU]],YMKODLARI!$A$1:$H$376,2,0)</f>
        <v>KAŞIK</v>
      </c>
      <c r="C214" s="133">
        <f>SUMIF(Tablo8[[ ÜRÜN KODU]],Tablo810[[#This Row],[ ÜRÜN KODU]],Tablo8[SEVK ADEDİ])-Tablo810[[#This Row],[GERİ İADE ÜRÜN]]</f>
        <v>0</v>
      </c>
      <c r="D214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214" s="133"/>
      <c r="F214" s="133">
        <f t="shared" si="3"/>
        <v>0</v>
      </c>
      <c r="G214" s="133">
        <f>SUMIFS(SevkAdetleri!$D:$D,SevkAdetleri!$A:$A,A214,SevkAdetleri!$E:$E,"OCAK")</f>
        <v>0</v>
      </c>
      <c r="H214" s="133">
        <f>SUMIFS(SevkAdetleri!$D:$D,SevkAdetleri!$A:$A,A214,SevkAdetleri!$E:$E,"ŞUBAT")</f>
        <v>0</v>
      </c>
      <c r="I214" s="133">
        <f>SUMIFS(SevkAdetleri!$D:$D,SevkAdetleri!$A:$A,A214,SevkAdetleri!$E:$E,"MART")</f>
        <v>0</v>
      </c>
      <c r="J214" s="133">
        <f>SUMIFS(SevkAdetleri!$D:$D,SevkAdetleri!$A:$A,A214,SevkAdetleri!$E:$E,"NİSAN")</f>
        <v>0</v>
      </c>
      <c r="K214" s="133">
        <f>SUMIFS(SevkAdetleri!$D:$D,SevkAdetleri!$A:$A,A214,SevkAdetleri!$E:$E,"MAYIS")</f>
        <v>0</v>
      </c>
      <c r="L214" s="133">
        <f>SUMIFS(SevkAdetleri!$D:$D,SevkAdetleri!$A:$A,A214,SevkAdetleri!$E:$E,"HAZIRAN")</f>
        <v>0</v>
      </c>
      <c r="M214" s="133">
        <f>SUMIFS(SevkAdetleri!$D:$D,SevkAdetleri!$A:$A,A214,SevkAdetleri!$E:$E,"TEMMUZ")</f>
        <v>0</v>
      </c>
      <c r="N214" s="133">
        <f>SUMIFS(SevkAdetleri!$D:$D,SevkAdetleri!$A:$A,A214,SevkAdetleri!$E:$E,"AĞUSTOS")</f>
        <v>0</v>
      </c>
      <c r="O214" s="133">
        <f>SUMIFS(SevkAdetleri!$D:$D,SevkAdetleri!$A:$A,A214,SevkAdetleri!$E:$E,"EYLÜL")</f>
        <v>0</v>
      </c>
      <c r="P214" s="133">
        <f>SUMIFS(SevkAdetleri!$D:$D,SevkAdetleri!$A:$A,A214,SevkAdetleri!$E:$E,"EKİM")</f>
        <v>0</v>
      </c>
      <c r="Q214" s="133">
        <f>SUMIFS(SevkAdetleri!$D:$D,SevkAdetleri!$A:$A,A214,SevkAdetleri!$E:$E,"KASIM")</f>
        <v>0</v>
      </c>
      <c r="R214" s="133">
        <f>SUMIFS(SevkAdetleri!$D:$D,SevkAdetleri!$A:$A,A214,SevkAdetleri!$E:$E,"ARALIK")</f>
        <v>0</v>
      </c>
    </row>
    <row r="215" spans="1:18">
      <c r="A215" s="132" t="s">
        <v>341</v>
      </c>
      <c r="B215" s="133" t="e">
        <f>VLOOKUP(Tablo810[[#This Row],[ ÜRÜN KODU]],YMKODLARI!$A$1:$H$376,2,0)</f>
        <v>#N/A</v>
      </c>
      <c r="C215" s="133">
        <f>SUMIF(Tablo8[[ ÜRÜN KODU]],Tablo810[[#This Row],[ ÜRÜN KODU]],Tablo8[SEVK ADEDİ])-Tablo810[[#This Row],[GERİ İADE ÜRÜN]]</f>
        <v>0</v>
      </c>
      <c r="D215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215" s="133"/>
      <c r="F215" s="133">
        <f t="shared" si="3"/>
        <v>0</v>
      </c>
      <c r="G215" s="133">
        <f>SUMIFS(SevkAdetleri!$D:$D,SevkAdetleri!$A:$A,A215,SevkAdetleri!$E:$E,"OCAK")</f>
        <v>0</v>
      </c>
      <c r="H215" s="133">
        <f>SUMIFS(SevkAdetleri!$D:$D,SevkAdetleri!$A:$A,A215,SevkAdetleri!$E:$E,"ŞUBAT")</f>
        <v>0</v>
      </c>
      <c r="I215" s="133">
        <f>SUMIFS(SevkAdetleri!$D:$D,SevkAdetleri!$A:$A,A215,SevkAdetleri!$E:$E,"MART")</f>
        <v>0</v>
      </c>
      <c r="J215" s="133">
        <f>SUMIFS(SevkAdetleri!$D:$D,SevkAdetleri!$A:$A,A215,SevkAdetleri!$E:$E,"NİSAN")</f>
        <v>0</v>
      </c>
      <c r="K215" s="133">
        <f>SUMIFS(SevkAdetleri!$D:$D,SevkAdetleri!$A:$A,A215,SevkAdetleri!$E:$E,"MAYIS")</f>
        <v>0</v>
      </c>
      <c r="L215" s="133">
        <f>SUMIFS(SevkAdetleri!$D:$D,SevkAdetleri!$A:$A,A215,SevkAdetleri!$E:$E,"HAZIRAN")</f>
        <v>0</v>
      </c>
      <c r="M215" s="133">
        <f>SUMIFS(SevkAdetleri!$D:$D,SevkAdetleri!$A:$A,A215,SevkAdetleri!$E:$E,"TEMMUZ")</f>
        <v>0</v>
      </c>
      <c r="N215" s="133">
        <f>SUMIFS(SevkAdetleri!$D:$D,SevkAdetleri!$A:$A,A215,SevkAdetleri!$E:$E,"AĞUSTOS")</f>
        <v>0</v>
      </c>
      <c r="O215" s="133">
        <f>SUMIFS(SevkAdetleri!$D:$D,SevkAdetleri!$A:$A,A215,SevkAdetleri!$E:$E,"EYLÜL")</f>
        <v>0</v>
      </c>
      <c r="P215" s="133">
        <f>SUMIFS(SevkAdetleri!$D:$D,SevkAdetleri!$A:$A,A215,SevkAdetleri!$E:$E,"EKİM")</f>
        <v>0</v>
      </c>
      <c r="Q215" s="133">
        <f>SUMIFS(SevkAdetleri!$D:$D,SevkAdetleri!$A:$A,A215,SevkAdetleri!$E:$E,"KASIM")</f>
        <v>0</v>
      </c>
      <c r="R215" s="133">
        <f>SUMIFS(SevkAdetleri!$D:$D,SevkAdetleri!$A:$A,A215,SevkAdetleri!$E:$E,"ARALIK")</f>
        <v>0</v>
      </c>
    </row>
    <row r="216" spans="1:18">
      <c r="A216" s="132" t="s">
        <v>342</v>
      </c>
      <c r="B216" s="133" t="str">
        <f>VLOOKUP(Tablo810[[#This Row],[ ÜRÜN KODU]],YMKODLARI!$A$1:$H$376,2,0)</f>
        <v>125 ml BOMBELİ BİBERON KULP</v>
      </c>
      <c r="C216" s="133">
        <f>SUMIF(Tablo8[[ ÜRÜN KODU]],Tablo810[[#This Row],[ ÜRÜN KODU]],Tablo8[SEVK ADEDİ])-Tablo810[[#This Row],[GERİ İADE ÜRÜN]]</f>
        <v>0</v>
      </c>
      <c r="D216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216" s="133"/>
      <c r="F216" s="133">
        <f t="shared" si="3"/>
        <v>0</v>
      </c>
      <c r="G216" s="133">
        <f>SUMIFS(SevkAdetleri!$D:$D,SevkAdetleri!$A:$A,A216,SevkAdetleri!$E:$E,"OCAK")</f>
        <v>0</v>
      </c>
      <c r="H216" s="133">
        <f>SUMIFS(SevkAdetleri!$D:$D,SevkAdetleri!$A:$A,A216,SevkAdetleri!$E:$E,"ŞUBAT")</f>
        <v>0</v>
      </c>
      <c r="I216" s="133">
        <f>SUMIFS(SevkAdetleri!$D:$D,SevkAdetleri!$A:$A,A216,SevkAdetleri!$E:$E,"MART")</f>
        <v>0</v>
      </c>
      <c r="J216" s="133">
        <f>SUMIFS(SevkAdetleri!$D:$D,SevkAdetleri!$A:$A,A216,SevkAdetleri!$E:$E,"NİSAN")</f>
        <v>0</v>
      </c>
      <c r="K216" s="133">
        <f>SUMIFS(SevkAdetleri!$D:$D,SevkAdetleri!$A:$A,A216,SevkAdetleri!$E:$E,"MAYIS")</f>
        <v>0</v>
      </c>
      <c r="L216" s="133">
        <f>SUMIFS(SevkAdetleri!$D:$D,SevkAdetleri!$A:$A,A216,SevkAdetleri!$E:$E,"HAZIRAN")</f>
        <v>0</v>
      </c>
      <c r="M216" s="133">
        <f>SUMIFS(SevkAdetleri!$D:$D,SevkAdetleri!$A:$A,A216,SevkAdetleri!$E:$E,"TEMMUZ")</f>
        <v>0</v>
      </c>
      <c r="N216" s="133">
        <f>SUMIFS(SevkAdetleri!$D:$D,SevkAdetleri!$A:$A,A216,SevkAdetleri!$E:$E,"AĞUSTOS")</f>
        <v>0</v>
      </c>
      <c r="O216" s="133">
        <f>SUMIFS(SevkAdetleri!$D:$D,SevkAdetleri!$A:$A,A216,SevkAdetleri!$E:$E,"EYLÜL")</f>
        <v>0</v>
      </c>
      <c r="P216" s="133">
        <f>SUMIFS(SevkAdetleri!$D:$D,SevkAdetleri!$A:$A,A216,SevkAdetleri!$E:$E,"EKİM")</f>
        <v>0</v>
      </c>
      <c r="Q216" s="133">
        <f>SUMIFS(SevkAdetleri!$D:$D,SevkAdetleri!$A:$A,A216,SevkAdetleri!$E:$E,"KASIM")</f>
        <v>0</v>
      </c>
      <c r="R216" s="133">
        <f>SUMIFS(SevkAdetleri!$D:$D,SevkAdetleri!$A:$A,A216,SevkAdetleri!$E:$E,"ARALIK")</f>
        <v>0</v>
      </c>
    </row>
    <row r="217" spans="1:18">
      <c r="A217" s="132" t="s">
        <v>343</v>
      </c>
      <c r="B217" s="133" t="str">
        <f>VLOOKUP(Tablo810[[#This Row],[ ÜRÜN KODU]],YMKODLARI!$A$1:$H$376,2,0)</f>
        <v>125 ml BOMBELİ BİBERON KULP</v>
      </c>
      <c r="C217" s="133">
        <f>SUMIF(Tablo8[[ ÜRÜN KODU]],Tablo810[[#This Row],[ ÜRÜN KODU]],Tablo8[SEVK ADEDİ])-Tablo810[[#This Row],[GERİ İADE ÜRÜN]]</f>
        <v>0</v>
      </c>
      <c r="D217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217" s="133"/>
      <c r="F217" s="133">
        <f t="shared" si="3"/>
        <v>0</v>
      </c>
      <c r="G217" s="133">
        <f>SUMIFS(SevkAdetleri!$D:$D,SevkAdetleri!$A:$A,A217,SevkAdetleri!$E:$E,"OCAK")</f>
        <v>0</v>
      </c>
      <c r="H217" s="133">
        <f>SUMIFS(SevkAdetleri!$D:$D,SevkAdetleri!$A:$A,A217,SevkAdetleri!$E:$E,"ŞUBAT")</f>
        <v>0</v>
      </c>
      <c r="I217" s="133">
        <f>SUMIFS(SevkAdetleri!$D:$D,SevkAdetleri!$A:$A,A217,SevkAdetleri!$E:$E,"MART")</f>
        <v>0</v>
      </c>
      <c r="J217" s="133">
        <f>SUMIFS(SevkAdetleri!$D:$D,SevkAdetleri!$A:$A,A217,SevkAdetleri!$E:$E,"NİSAN")</f>
        <v>0</v>
      </c>
      <c r="K217" s="133">
        <f>SUMIFS(SevkAdetleri!$D:$D,SevkAdetleri!$A:$A,A217,SevkAdetleri!$E:$E,"MAYIS")</f>
        <v>0</v>
      </c>
      <c r="L217" s="133">
        <f>SUMIFS(SevkAdetleri!$D:$D,SevkAdetleri!$A:$A,A217,SevkAdetleri!$E:$E,"HAZIRAN")</f>
        <v>0</v>
      </c>
      <c r="M217" s="133">
        <f>SUMIFS(SevkAdetleri!$D:$D,SevkAdetleri!$A:$A,A217,SevkAdetleri!$E:$E,"TEMMUZ")</f>
        <v>0</v>
      </c>
      <c r="N217" s="133">
        <f>SUMIFS(SevkAdetleri!$D:$D,SevkAdetleri!$A:$A,A217,SevkAdetleri!$E:$E,"AĞUSTOS")</f>
        <v>0</v>
      </c>
      <c r="O217" s="133">
        <f>SUMIFS(SevkAdetleri!$D:$D,SevkAdetleri!$A:$A,A217,SevkAdetleri!$E:$E,"EYLÜL")</f>
        <v>0</v>
      </c>
      <c r="P217" s="133">
        <f>SUMIFS(SevkAdetleri!$D:$D,SevkAdetleri!$A:$A,A217,SevkAdetleri!$E:$E,"EKİM")</f>
        <v>0</v>
      </c>
      <c r="Q217" s="133">
        <f>SUMIFS(SevkAdetleri!$D:$D,SevkAdetleri!$A:$A,A217,SevkAdetleri!$E:$E,"KASIM")</f>
        <v>0</v>
      </c>
      <c r="R217" s="133">
        <f>SUMIFS(SevkAdetleri!$D:$D,SevkAdetleri!$A:$A,A217,SevkAdetleri!$E:$E,"ARALIK")</f>
        <v>0</v>
      </c>
    </row>
    <row r="218" spans="1:18">
      <c r="A218" s="132" t="s">
        <v>344</v>
      </c>
      <c r="B218" s="133" t="str">
        <f>VLOOKUP(Tablo810[[#This Row],[ ÜRÜN KODU]],YMKODLARI!$A$1:$H$376,2,0)</f>
        <v>125 ml BOMBELİ BİBERON KULP</v>
      </c>
      <c r="C218" s="133">
        <f>SUMIF(Tablo8[[ ÜRÜN KODU]],Tablo810[[#This Row],[ ÜRÜN KODU]],Tablo8[SEVK ADEDİ])-Tablo810[[#This Row],[GERİ İADE ÜRÜN]]</f>
        <v>784</v>
      </c>
      <c r="D218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888</v>
      </c>
      <c r="E218" s="133"/>
      <c r="F218" s="133">
        <f t="shared" si="3"/>
        <v>104</v>
      </c>
      <c r="G218" s="133">
        <f>SUMIFS(SevkAdetleri!$D:$D,SevkAdetleri!$A:$A,A218,SevkAdetleri!$E:$E,"OCAK")</f>
        <v>0</v>
      </c>
      <c r="H218" s="133">
        <f>SUMIFS(SevkAdetleri!$D:$D,SevkAdetleri!$A:$A,A218,SevkAdetleri!$E:$E,"ŞUBAT")</f>
        <v>0</v>
      </c>
      <c r="I218" s="133">
        <f>SUMIFS(SevkAdetleri!$D:$D,SevkAdetleri!$A:$A,A218,SevkAdetleri!$E:$E,"MART")</f>
        <v>0</v>
      </c>
      <c r="J218" s="133">
        <f>SUMIFS(SevkAdetleri!$D:$D,SevkAdetleri!$A:$A,A218,SevkAdetleri!$E:$E,"NİSAN")</f>
        <v>0</v>
      </c>
      <c r="K218" s="133">
        <f>SUMIFS(SevkAdetleri!$D:$D,SevkAdetleri!$A:$A,A218,SevkAdetleri!$E:$E,"MAYIS")</f>
        <v>0</v>
      </c>
      <c r="L218" s="133">
        <f>SUMIFS(SevkAdetleri!$D:$D,SevkAdetleri!$A:$A,A218,SevkAdetleri!$E:$E,"HAZIRAN")</f>
        <v>0</v>
      </c>
      <c r="M218" s="133">
        <f>SUMIFS(SevkAdetleri!$D:$D,SevkAdetleri!$A:$A,A218,SevkAdetleri!$E:$E,"TEMMUZ")</f>
        <v>0</v>
      </c>
      <c r="N218" s="133">
        <f>SUMIFS(SevkAdetleri!$D:$D,SevkAdetleri!$A:$A,A218,SevkAdetleri!$E:$E,"AĞUSTOS")</f>
        <v>0</v>
      </c>
      <c r="O218" s="133">
        <f>SUMIFS(SevkAdetleri!$D:$D,SevkAdetleri!$A:$A,A218,SevkAdetleri!$E:$E,"EYLÜL")</f>
        <v>0</v>
      </c>
      <c r="P218" s="133">
        <f>SUMIFS(SevkAdetleri!$D:$D,SevkAdetleri!$A:$A,A218,SevkAdetleri!$E:$E,"EKİM")</f>
        <v>784</v>
      </c>
      <c r="Q218" s="133">
        <f>SUMIFS(SevkAdetleri!$D:$D,SevkAdetleri!$A:$A,A218,SevkAdetleri!$E:$E,"KASIM")</f>
        <v>0</v>
      </c>
      <c r="R218" s="133">
        <f>SUMIFS(SevkAdetleri!$D:$D,SevkAdetleri!$A:$A,A218,SevkAdetleri!$E:$E,"ARALIK")</f>
        <v>0</v>
      </c>
    </row>
    <row r="219" spans="1:18">
      <c r="A219" s="132" t="s">
        <v>345</v>
      </c>
      <c r="B219" s="133" t="str">
        <f>VLOOKUP(Tablo810[[#This Row],[ ÜRÜN KODU]],YMKODLARI!$A$1:$H$376,2,0)</f>
        <v>125 ml BOMBELİ BİBERON KULP</v>
      </c>
      <c r="C219" s="133">
        <f>SUMIF(Tablo8[[ ÜRÜN KODU]],Tablo810[[#This Row],[ ÜRÜN KODU]],Tablo8[SEVK ADEDİ])-Tablo810[[#This Row],[GERİ İADE ÜRÜN]]</f>
        <v>1000</v>
      </c>
      <c r="D219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1172</v>
      </c>
      <c r="E219" s="133"/>
      <c r="F219" s="133">
        <f t="shared" si="3"/>
        <v>172</v>
      </c>
      <c r="G219" s="133">
        <f>SUMIFS(SevkAdetleri!$D:$D,SevkAdetleri!$A:$A,A219,SevkAdetleri!$E:$E,"OCAK")</f>
        <v>0</v>
      </c>
      <c r="H219" s="133">
        <f>SUMIFS(SevkAdetleri!$D:$D,SevkAdetleri!$A:$A,A219,SevkAdetleri!$E:$E,"ŞUBAT")</f>
        <v>0</v>
      </c>
      <c r="I219" s="133">
        <f>SUMIFS(SevkAdetleri!$D:$D,SevkAdetleri!$A:$A,A219,SevkAdetleri!$E:$E,"MART")</f>
        <v>0</v>
      </c>
      <c r="J219" s="133">
        <f>SUMIFS(SevkAdetleri!$D:$D,SevkAdetleri!$A:$A,A219,SevkAdetleri!$E:$E,"NİSAN")</f>
        <v>0</v>
      </c>
      <c r="K219" s="133">
        <f>SUMIFS(SevkAdetleri!$D:$D,SevkAdetleri!$A:$A,A219,SevkAdetleri!$E:$E,"MAYIS")</f>
        <v>0</v>
      </c>
      <c r="L219" s="133">
        <f>SUMIFS(SevkAdetleri!$D:$D,SevkAdetleri!$A:$A,A219,SevkAdetleri!$E:$E,"HAZIRAN")</f>
        <v>0</v>
      </c>
      <c r="M219" s="133">
        <f>SUMIFS(SevkAdetleri!$D:$D,SevkAdetleri!$A:$A,A219,SevkAdetleri!$E:$E,"TEMMUZ")</f>
        <v>0</v>
      </c>
      <c r="N219" s="133">
        <f>SUMIFS(SevkAdetleri!$D:$D,SevkAdetleri!$A:$A,A219,SevkAdetleri!$E:$E,"AĞUSTOS")</f>
        <v>0</v>
      </c>
      <c r="O219" s="133">
        <f>SUMIFS(SevkAdetleri!$D:$D,SevkAdetleri!$A:$A,A219,SevkAdetleri!$E:$E,"EYLÜL")</f>
        <v>0</v>
      </c>
      <c r="P219" s="133">
        <f>SUMIFS(SevkAdetleri!$D:$D,SevkAdetleri!$A:$A,A219,SevkAdetleri!$E:$E,"EKİM")</f>
        <v>1000</v>
      </c>
      <c r="Q219" s="133">
        <f>SUMIFS(SevkAdetleri!$D:$D,SevkAdetleri!$A:$A,A219,SevkAdetleri!$E:$E,"KASIM")</f>
        <v>0</v>
      </c>
      <c r="R219" s="133">
        <f>SUMIFS(SevkAdetleri!$D:$D,SevkAdetleri!$A:$A,A219,SevkAdetleri!$E:$E,"ARALIK")</f>
        <v>0</v>
      </c>
    </row>
    <row r="220" spans="1:18">
      <c r="A220" s="132" t="s">
        <v>346</v>
      </c>
      <c r="B220" s="133" t="str">
        <f>VLOOKUP(Tablo810[[#This Row],[ ÜRÜN KODU]],YMKODLARI!$A$1:$H$376,2,0)</f>
        <v>125 ml BOMBELİ BİBERON KULP</v>
      </c>
      <c r="C220" s="133">
        <f>SUMIF(Tablo8[[ ÜRÜN KODU]],Tablo810[[#This Row],[ ÜRÜN KODU]],Tablo8[SEVK ADEDİ])-Tablo810[[#This Row],[GERİ İADE ÜRÜN]]</f>
        <v>0</v>
      </c>
      <c r="D220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220" s="133"/>
      <c r="F220" s="133">
        <f t="shared" si="3"/>
        <v>0</v>
      </c>
      <c r="G220" s="133">
        <f>SUMIFS(SevkAdetleri!$D:$D,SevkAdetleri!$A:$A,A220,SevkAdetleri!$E:$E,"OCAK")</f>
        <v>0</v>
      </c>
      <c r="H220" s="133">
        <f>SUMIFS(SevkAdetleri!$D:$D,SevkAdetleri!$A:$A,A220,SevkAdetleri!$E:$E,"ŞUBAT")</f>
        <v>0</v>
      </c>
      <c r="I220" s="133">
        <f>SUMIFS(SevkAdetleri!$D:$D,SevkAdetleri!$A:$A,A220,SevkAdetleri!$E:$E,"MART")</f>
        <v>0</v>
      </c>
      <c r="J220" s="133">
        <f>SUMIFS(SevkAdetleri!$D:$D,SevkAdetleri!$A:$A,A220,SevkAdetleri!$E:$E,"NİSAN")</f>
        <v>0</v>
      </c>
      <c r="K220" s="133">
        <f>SUMIFS(SevkAdetleri!$D:$D,SevkAdetleri!$A:$A,A220,SevkAdetleri!$E:$E,"MAYIS")</f>
        <v>0</v>
      </c>
      <c r="L220" s="133">
        <f>SUMIFS(SevkAdetleri!$D:$D,SevkAdetleri!$A:$A,A220,SevkAdetleri!$E:$E,"HAZIRAN")</f>
        <v>0</v>
      </c>
      <c r="M220" s="133">
        <f>SUMIFS(SevkAdetleri!$D:$D,SevkAdetleri!$A:$A,A220,SevkAdetleri!$E:$E,"TEMMUZ")</f>
        <v>0</v>
      </c>
      <c r="N220" s="133">
        <f>SUMIFS(SevkAdetleri!$D:$D,SevkAdetleri!$A:$A,A220,SevkAdetleri!$E:$E,"AĞUSTOS")</f>
        <v>0</v>
      </c>
      <c r="O220" s="133">
        <f>SUMIFS(SevkAdetleri!$D:$D,SevkAdetleri!$A:$A,A220,SevkAdetleri!$E:$E,"EYLÜL")</f>
        <v>0</v>
      </c>
      <c r="P220" s="133">
        <f>SUMIFS(SevkAdetleri!$D:$D,SevkAdetleri!$A:$A,A220,SevkAdetleri!$E:$E,"EKİM")</f>
        <v>0</v>
      </c>
      <c r="Q220" s="133">
        <f>SUMIFS(SevkAdetleri!$D:$D,SevkAdetleri!$A:$A,A220,SevkAdetleri!$E:$E,"KASIM")</f>
        <v>0</v>
      </c>
      <c r="R220" s="133">
        <f>SUMIFS(SevkAdetleri!$D:$D,SevkAdetleri!$A:$A,A220,SevkAdetleri!$E:$E,"ARALIK")</f>
        <v>0</v>
      </c>
    </row>
    <row r="221" spans="1:18">
      <c r="A221" s="132" t="s">
        <v>194</v>
      </c>
      <c r="B221" s="133" t="str">
        <f>VLOOKUP(Tablo810[[#This Row],[ ÜRÜN KODU]],YMKODLARI!$A$1:$H$376,2,0)</f>
        <v>250 ml BOMBELİ BİBERON KULP</v>
      </c>
      <c r="C221" s="133">
        <f>SUMIF(Tablo8[[ ÜRÜN KODU]],Tablo810[[#This Row],[ ÜRÜN KODU]],Tablo8[SEVK ADEDİ])-Tablo810[[#This Row],[GERİ İADE ÜRÜN]]</f>
        <v>1043</v>
      </c>
      <c r="D221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1100</v>
      </c>
      <c r="E221" s="133"/>
      <c r="F221" s="133">
        <f t="shared" si="3"/>
        <v>57</v>
      </c>
      <c r="G221" s="133">
        <f>SUMIFS(SevkAdetleri!$D:$D,SevkAdetleri!$A:$A,A221,SevkAdetleri!$E:$E,"OCAK")</f>
        <v>0</v>
      </c>
      <c r="H221" s="133">
        <f>SUMIFS(SevkAdetleri!$D:$D,SevkAdetleri!$A:$A,A221,SevkAdetleri!$E:$E,"ŞUBAT")</f>
        <v>0</v>
      </c>
      <c r="I221" s="133">
        <f>SUMIFS(SevkAdetleri!$D:$D,SevkAdetleri!$A:$A,A221,SevkAdetleri!$E:$E,"MART")</f>
        <v>0</v>
      </c>
      <c r="J221" s="133">
        <f>SUMIFS(SevkAdetleri!$D:$D,SevkAdetleri!$A:$A,A221,SevkAdetleri!$E:$E,"NİSAN")</f>
        <v>0</v>
      </c>
      <c r="K221" s="133">
        <f>SUMIFS(SevkAdetleri!$D:$D,SevkAdetleri!$A:$A,A221,SevkAdetleri!$E:$E,"MAYIS")</f>
        <v>0</v>
      </c>
      <c r="L221" s="133">
        <f>SUMIFS(SevkAdetleri!$D:$D,SevkAdetleri!$A:$A,A221,SevkAdetleri!$E:$E,"HAZIRAN")</f>
        <v>0</v>
      </c>
      <c r="M221" s="133">
        <f>SUMIFS(SevkAdetleri!$D:$D,SevkAdetleri!$A:$A,A221,SevkAdetleri!$E:$E,"TEMMUZ")</f>
        <v>0</v>
      </c>
      <c r="N221" s="133">
        <f>SUMIFS(SevkAdetleri!$D:$D,SevkAdetleri!$A:$A,A221,SevkAdetleri!$E:$E,"AĞUSTOS")</f>
        <v>0</v>
      </c>
      <c r="O221" s="133">
        <f>SUMIFS(SevkAdetleri!$D:$D,SevkAdetleri!$A:$A,A221,SevkAdetleri!$E:$E,"EYLÜL")</f>
        <v>1043</v>
      </c>
      <c r="P221" s="133">
        <f>SUMIFS(SevkAdetleri!$D:$D,SevkAdetleri!$A:$A,A221,SevkAdetleri!$E:$E,"EKİM")</f>
        <v>0</v>
      </c>
      <c r="Q221" s="133">
        <f>SUMIFS(SevkAdetleri!$D:$D,SevkAdetleri!$A:$A,A221,SevkAdetleri!$E:$E,"KASIM")</f>
        <v>0</v>
      </c>
      <c r="R221" s="133">
        <f>SUMIFS(SevkAdetleri!$D:$D,SevkAdetleri!$A:$A,A221,SevkAdetleri!$E:$E,"ARALIK")</f>
        <v>0</v>
      </c>
    </row>
    <row r="222" spans="1:18">
      <c r="A222" s="132" t="s">
        <v>197</v>
      </c>
      <c r="B222" s="133" t="str">
        <f>VLOOKUP(Tablo810[[#This Row],[ ÜRÜN KODU]],YMKODLARI!$A$1:$H$376,2,0)</f>
        <v>250 ml BOMBELİ BİBERON KULP</v>
      </c>
      <c r="C222" s="133">
        <f>SUMIF(Tablo8[[ ÜRÜN KODU]],Tablo810[[#This Row],[ ÜRÜN KODU]],Tablo8[SEVK ADEDİ])-Tablo810[[#This Row],[GERİ İADE ÜRÜN]]</f>
        <v>1282</v>
      </c>
      <c r="D222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1332</v>
      </c>
      <c r="E222" s="133"/>
      <c r="F222" s="133">
        <f t="shared" si="3"/>
        <v>50</v>
      </c>
      <c r="G222" s="133">
        <f>SUMIFS(SevkAdetleri!$D:$D,SevkAdetleri!$A:$A,A222,SevkAdetleri!$E:$E,"OCAK")</f>
        <v>0</v>
      </c>
      <c r="H222" s="133">
        <f>SUMIFS(SevkAdetleri!$D:$D,SevkAdetleri!$A:$A,A222,SevkAdetleri!$E:$E,"ŞUBAT")</f>
        <v>0</v>
      </c>
      <c r="I222" s="133">
        <f>SUMIFS(SevkAdetleri!$D:$D,SevkAdetleri!$A:$A,A222,SevkAdetleri!$E:$E,"MART")</f>
        <v>0</v>
      </c>
      <c r="J222" s="133">
        <f>SUMIFS(SevkAdetleri!$D:$D,SevkAdetleri!$A:$A,A222,SevkAdetleri!$E:$E,"NİSAN")</f>
        <v>0</v>
      </c>
      <c r="K222" s="133">
        <f>SUMIFS(SevkAdetleri!$D:$D,SevkAdetleri!$A:$A,A222,SevkAdetleri!$E:$E,"MAYIS")</f>
        <v>0</v>
      </c>
      <c r="L222" s="133">
        <f>SUMIFS(SevkAdetleri!$D:$D,SevkAdetleri!$A:$A,A222,SevkAdetleri!$E:$E,"HAZIRAN")</f>
        <v>0</v>
      </c>
      <c r="M222" s="133">
        <f>SUMIFS(SevkAdetleri!$D:$D,SevkAdetleri!$A:$A,A222,SevkAdetleri!$E:$E,"TEMMUZ")</f>
        <v>0</v>
      </c>
      <c r="N222" s="133">
        <f>SUMIFS(SevkAdetleri!$D:$D,SevkAdetleri!$A:$A,A222,SevkAdetleri!$E:$E,"AĞUSTOS")</f>
        <v>0</v>
      </c>
      <c r="O222" s="133">
        <f>SUMIFS(SevkAdetleri!$D:$D,SevkAdetleri!$A:$A,A222,SevkAdetleri!$E:$E,"EYLÜL")</f>
        <v>1282</v>
      </c>
      <c r="P222" s="133">
        <f>SUMIFS(SevkAdetleri!$D:$D,SevkAdetleri!$A:$A,A222,SevkAdetleri!$E:$E,"EKİM")</f>
        <v>0</v>
      </c>
      <c r="Q222" s="133">
        <f>SUMIFS(SevkAdetleri!$D:$D,SevkAdetleri!$A:$A,A222,SevkAdetleri!$E:$E,"KASIM")</f>
        <v>0</v>
      </c>
      <c r="R222" s="133">
        <f>SUMIFS(SevkAdetleri!$D:$D,SevkAdetleri!$A:$A,A222,SevkAdetleri!$E:$E,"ARALIK")</f>
        <v>0</v>
      </c>
    </row>
    <row r="223" spans="1:18">
      <c r="A223" s="132" t="s">
        <v>199</v>
      </c>
      <c r="B223" s="133" t="str">
        <f>VLOOKUP(Tablo810[[#This Row],[ ÜRÜN KODU]],YMKODLARI!$A$1:$H$376,2,0)</f>
        <v>250 ml BOMBELİ BİBERON KULP</v>
      </c>
      <c r="C223" s="133">
        <f>SUMIF(Tablo8[[ ÜRÜN KODU]],Tablo810[[#This Row],[ ÜRÜN KODU]],Tablo8[SEVK ADEDİ])-Tablo810[[#This Row],[GERİ İADE ÜRÜN]]</f>
        <v>981</v>
      </c>
      <c r="D223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1000</v>
      </c>
      <c r="E223" s="133"/>
      <c r="F223" s="133">
        <f t="shared" si="3"/>
        <v>19</v>
      </c>
      <c r="G223" s="133">
        <f>SUMIFS(SevkAdetleri!$D:$D,SevkAdetleri!$A:$A,A223,SevkAdetleri!$E:$E,"OCAK")</f>
        <v>0</v>
      </c>
      <c r="H223" s="133">
        <f>SUMIFS(SevkAdetleri!$D:$D,SevkAdetleri!$A:$A,A223,SevkAdetleri!$E:$E,"ŞUBAT")</f>
        <v>0</v>
      </c>
      <c r="I223" s="133">
        <f>SUMIFS(SevkAdetleri!$D:$D,SevkAdetleri!$A:$A,A223,SevkAdetleri!$E:$E,"MART")</f>
        <v>0</v>
      </c>
      <c r="J223" s="133">
        <f>SUMIFS(SevkAdetleri!$D:$D,SevkAdetleri!$A:$A,A223,SevkAdetleri!$E:$E,"NİSAN")</f>
        <v>0</v>
      </c>
      <c r="K223" s="133">
        <f>SUMIFS(SevkAdetleri!$D:$D,SevkAdetleri!$A:$A,A223,SevkAdetleri!$E:$E,"MAYIS")</f>
        <v>0</v>
      </c>
      <c r="L223" s="133">
        <f>SUMIFS(SevkAdetleri!$D:$D,SevkAdetleri!$A:$A,A223,SevkAdetleri!$E:$E,"HAZIRAN")</f>
        <v>0</v>
      </c>
      <c r="M223" s="133">
        <f>SUMIFS(SevkAdetleri!$D:$D,SevkAdetleri!$A:$A,A223,SevkAdetleri!$E:$E,"TEMMUZ")</f>
        <v>0</v>
      </c>
      <c r="N223" s="133">
        <f>SUMIFS(SevkAdetleri!$D:$D,SevkAdetleri!$A:$A,A223,SevkAdetleri!$E:$E,"AĞUSTOS")</f>
        <v>0</v>
      </c>
      <c r="O223" s="133">
        <f>SUMIFS(SevkAdetleri!$D:$D,SevkAdetleri!$A:$A,A223,SevkAdetleri!$E:$E,"EYLÜL")</f>
        <v>981</v>
      </c>
      <c r="P223" s="133">
        <f>SUMIFS(SevkAdetleri!$D:$D,SevkAdetleri!$A:$A,A223,SevkAdetleri!$E:$E,"EKİM")</f>
        <v>0</v>
      </c>
      <c r="Q223" s="133">
        <f>SUMIFS(SevkAdetleri!$D:$D,SevkAdetleri!$A:$A,A223,SevkAdetleri!$E:$E,"KASIM")</f>
        <v>0</v>
      </c>
      <c r="R223" s="133">
        <f>SUMIFS(SevkAdetleri!$D:$D,SevkAdetleri!$A:$A,A223,SevkAdetleri!$E:$E,"ARALIK")</f>
        <v>0</v>
      </c>
    </row>
    <row r="224" spans="1:18">
      <c r="A224" s="132" t="s">
        <v>195</v>
      </c>
      <c r="B224" s="133" t="str">
        <f>VLOOKUP(Tablo810[[#This Row],[ ÜRÜN KODU]],YMKODLARI!$A$1:$H$376,2,0)</f>
        <v>250 ml BOMBELİ BİBERON KULP</v>
      </c>
      <c r="C224" s="133">
        <f>SUMIF(Tablo8[[ ÜRÜN KODU]],Tablo810[[#This Row],[ ÜRÜN KODU]],Tablo8[SEVK ADEDİ])-Tablo810[[#This Row],[GERİ İADE ÜRÜN]]</f>
        <v>1048</v>
      </c>
      <c r="D224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1098</v>
      </c>
      <c r="E224" s="133"/>
      <c r="F224" s="133">
        <f t="shared" si="3"/>
        <v>50</v>
      </c>
      <c r="G224" s="133">
        <f>SUMIFS(SevkAdetleri!$D:$D,SevkAdetleri!$A:$A,A224,SevkAdetleri!$E:$E,"OCAK")</f>
        <v>0</v>
      </c>
      <c r="H224" s="133">
        <f>SUMIFS(SevkAdetleri!$D:$D,SevkAdetleri!$A:$A,A224,SevkAdetleri!$E:$E,"ŞUBAT")</f>
        <v>0</v>
      </c>
      <c r="I224" s="133">
        <f>SUMIFS(SevkAdetleri!$D:$D,SevkAdetleri!$A:$A,A224,SevkAdetleri!$E:$E,"MART")</f>
        <v>0</v>
      </c>
      <c r="J224" s="133">
        <f>SUMIFS(SevkAdetleri!$D:$D,SevkAdetleri!$A:$A,A224,SevkAdetleri!$E:$E,"NİSAN")</f>
        <v>0</v>
      </c>
      <c r="K224" s="133">
        <f>SUMIFS(SevkAdetleri!$D:$D,SevkAdetleri!$A:$A,A224,SevkAdetleri!$E:$E,"MAYIS")</f>
        <v>0</v>
      </c>
      <c r="L224" s="133">
        <f>SUMIFS(SevkAdetleri!$D:$D,SevkAdetleri!$A:$A,A224,SevkAdetleri!$E:$E,"HAZIRAN")</f>
        <v>0</v>
      </c>
      <c r="M224" s="133">
        <f>SUMIFS(SevkAdetleri!$D:$D,SevkAdetleri!$A:$A,A224,SevkAdetleri!$E:$E,"TEMMUZ")</f>
        <v>0</v>
      </c>
      <c r="N224" s="133">
        <f>SUMIFS(SevkAdetleri!$D:$D,SevkAdetleri!$A:$A,A224,SevkAdetleri!$E:$E,"AĞUSTOS")</f>
        <v>0</v>
      </c>
      <c r="O224" s="133">
        <f>SUMIFS(SevkAdetleri!$D:$D,SevkAdetleri!$A:$A,A224,SevkAdetleri!$E:$E,"EYLÜL")</f>
        <v>1048</v>
      </c>
      <c r="P224" s="133">
        <f>SUMIFS(SevkAdetleri!$D:$D,SevkAdetleri!$A:$A,A224,SevkAdetleri!$E:$E,"EKİM")</f>
        <v>0</v>
      </c>
      <c r="Q224" s="133">
        <f>SUMIFS(SevkAdetleri!$D:$D,SevkAdetleri!$A:$A,A224,SevkAdetleri!$E:$E,"KASIM")</f>
        <v>0</v>
      </c>
      <c r="R224" s="133">
        <f>SUMIFS(SevkAdetleri!$D:$D,SevkAdetleri!$A:$A,A224,SevkAdetleri!$E:$E,"ARALIK")</f>
        <v>0</v>
      </c>
    </row>
    <row r="225" spans="1:18">
      <c r="A225" s="132" t="s">
        <v>196</v>
      </c>
      <c r="B225" s="133" t="str">
        <f>VLOOKUP(Tablo810[[#This Row],[ ÜRÜN KODU]],YMKODLARI!$A$1:$H$376,2,0)</f>
        <v>250 ml BOMBELİ BİBERON KULP</v>
      </c>
      <c r="C225" s="133">
        <f>SUMIF(Tablo8[[ ÜRÜN KODU]],Tablo810[[#This Row],[ ÜRÜN KODU]],Tablo8[SEVK ADEDİ])-Tablo810[[#This Row],[GERİ İADE ÜRÜN]]</f>
        <v>1030</v>
      </c>
      <c r="D225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1372</v>
      </c>
      <c r="E225" s="133"/>
      <c r="F225" s="133">
        <f t="shared" si="3"/>
        <v>342</v>
      </c>
      <c r="G225" s="133">
        <f>SUMIFS(SevkAdetleri!$D:$D,SevkAdetleri!$A:$A,A225,SevkAdetleri!$E:$E,"OCAK")</f>
        <v>0</v>
      </c>
      <c r="H225" s="133">
        <f>SUMIFS(SevkAdetleri!$D:$D,SevkAdetleri!$A:$A,A225,SevkAdetleri!$E:$E,"ŞUBAT")</f>
        <v>0</v>
      </c>
      <c r="I225" s="133">
        <f>SUMIFS(SevkAdetleri!$D:$D,SevkAdetleri!$A:$A,A225,SevkAdetleri!$E:$E,"MART")</f>
        <v>0</v>
      </c>
      <c r="J225" s="133">
        <f>SUMIFS(SevkAdetleri!$D:$D,SevkAdetleri!$A:$A,A225,SevkAdetleri!$E:$E,"NİSAN")</f>
        <v>0</v>
      </c>
      <c r="K225" s="133">
        <f>SUMIFS(SevkAdetleri!$D:$D,SevkAdetleri!$A:$A,A225,SevkAdetleri!$E:$E,"MAYIS")</f>
        <v>0</v>
      </c>
      <c r="L225" s="133">
        <f>SUMIFS(SevkAdetleri!$D:$D,SevkAdetleri!$A:$A,A225,SevkAdetleri!$E:$E,"HAZIRAN")</f>
        <v>0</v>
      </c>
      <c r="M225" s="133">
        <f>SUMIFS(SevkAdetleri!$D:$D,SevkAdetleri!$A:$A,A225,SevkAdetleri!$E:$E,"TEMMUZ")</f>
        <v>0</v>
      </c>
      <c r="N225" s="133">
        <f>SUMIFS(SevkAdetleri!$D:$D,SevkAdetleri!$A:$A,A225,SevkAdetleri!$E:$E,"AĞUSTOS")</f>
        <v>0</v>
      </c>
      <c r="O225" s="133">
        <f>SUMIFS(SevkAdetleri!$D:$D,SevkAdetleri!$A:$A,A225,SevkAdetleri!$E:$E,"EYLÜL")</f>
        <v>1030</v>
      </c>
      <c r="P225" s="133">
        <f>SUMIFS(SevkAdetleri!$D:$D,SevkAdetleri!$A:$A,A225,SevkAdetleri!$E:$E,"EKİM")</f>
        <v>0</v>
      </c>
      <c r="Q225" s="133">
        <f>SUMIFS(SevkAdetleri!$D:$D,SevkAdetleri!$A:$A,A225,SevkAdetleri!$E:$E,"KASIM")</f>
        <v>0</v>
      </c>
      <c r="R225" s="133">
        <f>SUMIFS(SevkAdetleri!$D:$D,SevkAdetleri!$A:$A,A225,SevkAdetleri!$E:$E,"ARALIK")</f>
        <v>0</v>
      </c>
    </row>
    <row r="226" spans="1:18">
      <c r="A226" s="132" t="s">
        <v>198</v>
      </c>
      <c r="B226" s="133" t="str">
        <f>VLOOKUP(Tablo810[[#This Row],[ ÜRÜN KODU]],YMKODLARI!$A$1:$H$376,2,0)</f>
        <v>250 ml BOMBELİ BİBERON KULP</v>
      </c>
      <c r="C226" s="133">
        <f>SUMIF(Tablo8[[ ÜRÜN KODU]],Tablo810[[#This Row],[ ÜRÜN KODU]],Tablo8[SEVK ADEDİ])-Tablo810[[#This Row],[GERİ İADE ÜRÜN]]</f>
        <v>534</v>
      </c>
      <c r="D226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570</v>
      </c>
      <c r="E226" s="133"/>
      <c r="F226" s="133">
        <f t="shared" si="3"/>
        <v>36</v>
      </c>
      <c r="G226" s="133">
        <f>SUMIFS(SevkAdetleri!$D:$D,SevkAdetleri!$A:$A,A226,SevkAdetleri!$E:$E,"OCAK")</f>
        <v>0</v>
      </c>
      <c r="H226" s="133">
        <f>SUMIFS(SevkAdetleri!$D:$D,SevkAdetleri!$A:$A,A226,SevkAdetleri!$E:$E,"ŞUBAT")</f>
        <v>0</v>
      </c>
      <c r="I226" s="133">
        <f>SUMIFS(SevkAdetleri!$D:$D,SevkAdetleri!$A:$A,A226,SevkAdetleri!$E:$E,"MART")</f>
        <v>0</v>
      </c>
      <c r="J226" s="133">
        <f>SUMIFS(SevkAdetleri!$D:$D,SevkAdetleri!$A:$A,A226,SevkAdetleri!$E:$E,"NİSAN")</f>
        <v>0</v>
      </c>
      <c r="K226" s="133">
        <f>SUMIFS(SevkAdetleri!$D:$D,SevkAdetleri!$A:$A,A226,SevkAdetleri!$E:$E,"MAYIS")</f>
        <v>0</v>
      </c>
      <c r="L226" s="133">
        <f>SUMIFS(SevkAdetleri!$D:$D,SevkAdetleri!$A:$A,A226,SevkAdetleri!$E:$E,"HAZIRAN")</f>
        <v>0</v>
      </c>
      <c r="M226" s="133">
        <f>SUMIFS(SevkAdetleri!$D:$D,SevkAdetleri!$A:$A,A226,SevkAdetleri!$E:$E,"TEMMUZ")</f>
        <v>0</v>
      </c>
      <c r="N226" s="133">
        <f>SUMIFS(SevkAdetleri!$D:$D,SevkAdetleri!$A:$A,A226,SevkAdetleri!$E:$E,"AĞUSTOS")</f>
        <v>0</v>
      </c>
      <c r="O226" s="133">
        <f>SUMIFS(SevkAdetleri!$D:$D,SevkAdetleri!$A:$A,A226,SevkAdetleri!$E:$E,"EYLÜL")</f>
        <v>534</v>
      </c>
      <c r="P226" s="133">
        <f>SUMIFS(SevkAdetleri!$D:$D,SevkAdetleri!$A:$A,A226,SevkAdetleri!$E:$E,"EKİM")</f>
        <v>0</v>
      </c>
      <c r="Q226" s="133">
        <f>SUMIFS(SevkAdetleri!$D:$D,SevkAdetleri!$A:$A,A226,SevkAdetleri!$E:$E,"KASIM")</f>
        <v>0</v>
      </c>
      <c r="R226" s="133">
        <f>SUMIFS(SevkAdetleri!$D:$D,SevkAdetleri!$A:$A,A226,SevkAdetleri!$E:$E,"ARALIK")</f>
        <v>0</v>
      </c>
    </row>
    <row r="227" spans="1:18">
      <c r="A227" s="132" t="s">
        <v>243</v>
      </c>
      <c r="B227" s="133" t="str">
        <f>VLOOKUP(Tablo810[[#This Row],[ ÜRÜN KODU]],YMKODLARI!$A$1:$H$376,2,0)</f>
        <v>GENİŞ AĞIZ BİBERON KULP</v>
      </c>
      <c r="C227" s="133">
        <f>SUMIF(Tablo8[[ ÜRÜN KODU]],Tablo810[[#This Row],[ ÜRÜN KODU]],Tablo8[SEVK ADEDİ])-Tablo810[[#This Row],[GERİ İADE ÜRÜN]]</f>
        <v>556</v>
      </c>
      <c r="D227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3670</v>
      </c>
      <c r="E227" s="133"/>
      <c r="F227" s="133">
        <f t="shared" si="3"/>
        <v>3114</v>
      </c>
      <c r="G227" s="133">
        <f>SUMIFS(SevkAdetleri!$D:$D,SevkAdetleri!$A:$A,A227,SevkAdetleri!$E:$E,"OCAK")</f>
        <v>0</v>
      </c>
      <c r="H227" s="133">
        <f>SUMIFS(SevkAdetleri!$D:$D,SevkAdetleri!$A:$A,A227,SevkAdetleri!$E:$E,"ŞUBAT")</f>
        <v>0</v>
      </c>
      <c r="I227" s="133">
        <f>SUMIFS(SevkAdetleri!$D:$D,SevkAdetleri!$A:$A,A227,SevkAdetleri!$E:$E,"MART")</f>
        <v>0</v>
      </c>
      <c r="J227" s="133">
        <f>SUMIFS(SevkAdetleri!$D:$D,SevkAdetleri!$A:$A,A227,SevkAdetleri!$E:$E,"NİSAN")</f>
        <v>0</v>
      </c>
      <c r="K227" s="133">
        <f>SUMIFS(SevkAdetleri!$D:$D,SevkAdetleri!$A:$A,A227,SevkAdetleri!$E:$E,"MAYIS")</f>
        <v>0</v>
      </c>
      <c r="L227" s="133">
        <f>SUMIFS(SevkAdetleri!$D:$D,SevkAdetleri!$A:$A,A227,SevkAdetleri!$E:$E,"HAZIRAN")</f>
        <v>0</v>
      </c>
      <c r="M227" s="133">
        <f>SUMIFS(SevkAdetleri!$D:$D,SevkAdetleri!$A:$A,A227,SevkAdetleri!$E:$E,"TEMMUZ")</f>
        <v>0</v>
      </c>
      <c r="N227" s="133">
        <f>SUMIFS(SevkAdetleri!$D:$D,SevkAdetleri!$A:$A,A227,SevkAdetleri!$E:$E,"AĞUSTOS")</f>
        <v>556</v>
      </c>
      <c r="O227" s="133">
        <f>SUMIFS(SevkAdetleri!$D:$D,SevkAdetleri!$A:$A,A227,SevkAdetleri!$E:$E,"EYLÜL")</f>
        <v>0</v>
      </c>
      <c r="P227" s="133">
        <f>SUMIFS(SevkAdetleri!$D:$D,SevkAdetleri!$A:$A,A227,SevkAdetleri!$E:$E,"EKİM")</f>
        <v>0</v>
      </c>
      <c r="Q227" s="133">
        <f>SUMIFS(SevkAdetleri!$D:$D,SevkAdetleri!$A:$A,A227,SevkAdetleri!$E:$E,"KASIM")</f>
        <v>0</v>
      </c>
      <c r="R227" s="133">
        <f>SUMIFS(SevkAdetleri!$D:$D,SevkAdetleri!$A:$A,A227,SevkAdetleri!$E:$E,"ARALIK")</f>
        <v>0</v>
      </c>
    </row>
    <row r="228" spans="1:18">
      <c r="A228" s="132" t="s">
        <v>242</v>
      </c>
      <c r="B228" s="133" t="str">
        <f>VLOOKUP(Tablo810[[#This Row],[ ÜRÜN KODU]],YMKODLARI!$A$1:$H$376,2,0)</f>
        <v>GENİŞ AĞIZ BİBERON KULP</v>
      </c>
      <c r="C228" s="133">
        <f>SUMIF(Tablo8[[ ÜRÜN KODU]],Tablo810[[#This Row],[ ÜRÜN KODU]],Tablo8[SEVK ADEDİ])-Tablo810[[#This Row],[GERİ İADE ÜRÜN]]</f>
        <v>4000</v>
      </c>
      <c r="D228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10058</v>
      </c>
      <c r="E228" s="133"/>
      <c r="F228" s="133">
        <f t="shared" si="3"/>
        <v>6058</v>
      </c>
      <c r="G228" s="133">
        <f>SUMIFS(SevkAdetleri!$D:$D,SevkAdetleri!$A:$A,A228,SevkAdetleri!$E:$E,"OCAK")</f>
        <v>0</v>
      </c>
      <c r="H228" s="133">
        <f>SUMIFS(SevkAdetleri!$D:$D,SevkAdetleri!$A:$A,A228,SevkAdetleri!$E:$E,"ŞUBAT")</f>
        <v>0</v>
      </c>
      <c r="I228" s="133">
        <f>SUMIFS(SevkAdetleri!$D:$D,SevkAdetleri!$A:$A,A228,SevkAdetleri!$E:$E,"MART")</f>
        <v>0</v>
      </c>
      <c r="J228" s="133">
        <f>SUMIFS(SevkAdetleri!$D:$D,SevkAdetleri!$A:$A,A228,SevkAdetleri!$E:$E,"NİSAN")</f>
        <v>0</v>
      </c>
      <c r="K228" s="133">
        <f>SUMIFS(SevkAdetleri!$D:$D,SevkAdetleri!$A:$A,A228,SevkAdetleri!$E:$E,"MAYIS")</f>
        <v>0</v>
      </c>
      <c r="L228" s="133">
        <f>SUMIFS(SevkAdetleri!$D:$D,SevkAdetleri!$A:$A,A228,SevkAdetleri!$E:$E,"HAZIRAN")</f>
        <v>0</v>
      </c>
      <c r="M228" s="133">
        <f>SUMIFS(SevkAdetleri!$D:$D,SevkAdetleri!$A:$A,A228,SevkAdetleri!$E:$E,"TEMMUZ")</f>
        <v>0</v>
      </c>
      <c r="N228" s="133">
        <f>SUMIFS(SevkAdetleri!$D:$D,SevkAdetleri!$A:$A,A228,SevkAdetleri!$E:$E,"AĞUSTOS")</f>
        <v>4000</v>
      </c>
      <c r="O228" s="133">
        <f>SUMIFS(SevkAdetleri!$D:$D,SevkAdetleri!$A:$A,A228,SevkAdetleri!$E:$E,"EYLÜL")</f>
        <v>0</v>
      </c>
      <c r="P228" s="133">
        <f>SUMIFS(SevkAdetleri!$D:$D,SevkAdetleri!$A:$A,A228,SevkAdetleri!$E:$E,"EKİM")</f>
        <v>0</v>
      </c>
      <c r="Q228" s="133">
        <f>SUMIFS(SevkAdetleri!$D:$D,SevkAdetleri!$A:$A,A228,SevkAdetleri!$E:$E,"KASIM")</f>
        <v>0</v>
      </c>
      <c r="R228" s="133">
        <f>SUMIFS(SevkAdetleri!$D:$D,SevkAdetleri!$A:$A,A228,SevkAdetleri!$E:$E,"ARALIK")</f>
        <v>0</v>
      </c>
    </row>
    <row r="229" spans="1:18">
      <c r="A229" s="132" t="s">
        <v>241</v>
      </c>
      <c r="B229" s="133" t="str">
        <f>VLOOKUP(Tablo810[[#This Row],[ ÜRÜN KODU]],YMKODLARI!$A$1:$H$376,2,0)</f>
        <v>GENİŞ AĞIZ BİBERON KULP</v>
      </c>
      <c r="C229" s="133">
        <f>SUMIF(Tablo8[[ ÜRÜN KODU]],Tablo810[[#This Row],[ ÜRÜN KODU]],Tablo8[SEVK ADEDİ])-Tablo810[[#This Row],[GERİ İADE ÜRÜN]]</f>
        <v>1060</v>
      </c>
      <c r="D229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3978</v>
      </c>
      <c r="E229" s="133"/>
      <c r="F229" s="133">
        <f t="shared" si="3"/>
        <v>2918</v>
      </c>
      <c r="G229" s="133">
        <f>SUMIFS(SevkAdetleri!$D:$D,SevkAdetleri!$A:$A,A229,SevkAdetleri!$E:$E,"OCAK")</f>
        <v>0</v>
      </c>
      <c r="H229" s="133">
        <f>SUMIFS(SevkAdetleri!$D:$D,SevkAdetleri!$A:$A,A229,SevkAdetleri!$E:$E,"ŞUBAT")</f>
        <v>0</v>
      </c>
      <c r="I229" s="133">
        <f>SUMIFS(SevkAdetleri!$D:$D,SevkAdetleri!$A:$A,A229,SevkAdetleri!$E:$E,"MART")</f>
        <v>0</v>
      </c>
      <c r="J229" s="133">
        <f>SUMIFS(SevkAdetleri!$D:$D,SevkAdetleri!$A:$A,A229,SevkAdetleri!$E:$E,"NİSAN")</f>
        <v>0</v>
      </c>
      <c r="K229" s="133">
        <f>SUMIFS(SevkAdetleri!$D:$D,SevkAdetleri!$A:$A,A229,SevkAdetleri!$E:$E,"MAYIS")</f>
        <v>0</v>
      </c>
      <c r="L229" s="133">
        <f>SUMIFS(SevkAdetleri!$D:$D,SevkAdetleri!$A:$A,A229,SevkAdetleri!$E:$E,"HAZIRAN")</f>
        <v>0</v>
      </c>
      <c r="M229" s="133">
        <f>SUMIFS(SevkAdetleri!$D:$D,SevkAdetleri!$A:$A,A229,SevkAdetleri!$E:$E,"TEMMUZ")</f>
        <v>0</v>
      </c>
      <c r="N229" s="133">
        <f>SUMIFS(SevkAdetleri!$D:$D,SevkAdetleri!$A:$A,A229,SevkAdetleri!$E:$E,"AĞUSTOS")</f>
        <v>1060</v>
      </c>
      <c r="O229" s="133">
        <f>SUMIFS(SevkAdetleri!$D:$D,SevkAdetleri!$A:$A,A229,SevkAdetleri!$E:$E,"EYLÜL")</f>
        <v>0</v>
      </c>
      <c r="P229" s="133">
        <f>SUMIFS(SevkAdetleri!$D:$D,SevkAdetleri!$A:$A,A229,SevkAdetleri!$E:$E,"EKİM")</f>
        <v>0</v>
      </c>
      <c r="Q229" s="133">
        <f>SUMIFS(SevkAdetleri!$D:$D,SevkAdetleri!$A:$A,A229,SevkAdetleri!$E:$E,"KASIM")</f>
        <v>0</v>
      </c>
      <c r="R229" s="133">
        <f>SUMIFS(SevkAdetleri!$D:$D,SevkAdetleri!$A:$A,A229,SevkAdetleri!$E:$E,"ARALIK")</f>
        <v>0</v>
      </c>
    </row>
    <row r="230" spans="1:18">
      <c r="A230" s="132" t="s">
        <v>347</v>
      </c>
      <c r="B230" s="133" t="str">
        <f>VLOOKUP(Tablo810[[#This Row],[ ÜRÜN KODU]],YMKODLARI!$A$1:$H$376,2,0)</f>
        <v>GENİŞ AĞIZ BİBERON KULP</v>
      </c>
      <c r="C230" s="133">
        <f>SUMIF(Tablo8[[ ÜRÜN KODU]],Tablo810[[#This Row],[ ÜRÜN KODU]],Tablo8[SEVK ADEDİ])-Tablo810[[#This Row],[GERİ İADE ÜRÜN]]</f>
        <v>0</v>
      </c>
      <c r="D230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3776</v>
      </c>
      <c r="E230" s="133"/>
      <c r="F230" s="133">
        <f t="shared" si="3"/>
        <v>3776</v>
      </c>
      <c r="G230" s="133">
        <f>SUMIFS(SevkAdetleri!$D:$D,SevkAdetleri!$A:$A,A230,SevkAdetleri!$E:$E,"OCAK")</f>
        <v>0</v>
      </c>
      <c r="H230" s="133">
        <f>SUMIFS(SevkAdetleri!$D:$D,SevkAdetleri!$A:$A,A230,SevkAdetleri!$E:$E,"ŞUBAT")</f>
        <v>0</v>
      </c>
      <c r="I230" s="133">
        <f>SUMIFS(SevkAdetleri!$D:$D,SevkAdetleri!$A:$A,A230,SevkAdetleri!$E:$E,"MART")</f>
        <v>0</v>
      </c>
      <c r="J230" s="133">
        <f>SUMIFS(SevkAdetleri!$D:$D,SevkAdetleri!$A:$A,A230,SevkAdetleri!$E:$E,"NİSAN")</f>
        <v>0</v>
      </c>
      <c r="K230" s="133">
        <f>SUMIFS(SevkAdetleri!$D:$D,SevkAdetleri!$A:$A,A230,SevkAdetleri!$E:$E,"MAYIS")</f>
        <v>0</v>
      </c>
      <c r="L230" s="133">
        <f>SUMIFS(SevkAdetleri!$D:$D,SevkAdetleri!$A:$A,A230,SevkAdetleri!$E:$E,"HAZIRAN")</f>
        <v>0</v>
      </c>
      <c r="M230" s="133">
        <f>SUMIFS(SevkAdetleri!$D:$D,SevkAdetleri!$A:$A,A230,SevkAdetleri!$E:$E,"TEMMUZ")</f>
        <v>0</v>
      </c>
      <c r="N230" s="133">
        <f>SUMIFS(SevkAdetleri!$D:$D,SevkAdetleri!$A:$A,A230,SevkAdetleri!$E:$E,"AĞUSTOS")</f>
        <v>0</v>
      </c>
      <c r="O230" s="133">
        <f>SUMIFS(SevkAdetleri!$D:$D,SevkAdetleri!$A:$A,A230,SevkAdetleri!$E:$E,"EYLÜL")</f>
        <v>0</v>
      </c>
      <c r="P230" s="133">
        <f>SUMIFS(SevkAdetleri!$D:$D,SevkAdetleri!$A:$A,A230,SevkAdetleri!$E:$E,"EKİM")</f>
        <v>0</v>
      </c>
      <c r="Q230" s="133">
        <f>SUMIFS(SevkAdetleri!$D:$D,SevkAdetleri!$A:$A,A230,SevkAdetleri!$E:$E,"KASIM")</f>
        <v>0</v>
      </c>
      <c r="R230" s="133">
        <f>SUMIFS(SevkAdetleri!$D:$D,SevkAdetleri!$A:$A,A230,SevkAdetleri!$E:$E,"ARALIK")</f>
        <v>0</v>
      </c>
    </row>
    <row r="231" spans="1:18">
      <c r="A231" s="132" t="s">
        <v>219</v>
      </c>
      <c r="B231" s="133" t="str">
        <f>VLOOKUP(Tablo810[[#This Row],[ ÜRÜN KODU]],YMKODLARI!$A$1:$H$376,2,0)</f>
        <v>GENİŞ AĞIZ BİBERON KULP</v>
      </c>
      <c r="C231" s="133">
        <f>SUMIF(Tablo8[[ ÜRÜN KODU]],Tablo810[[#This Row],[ ÜRÜN KODU]],Tablo8[SEVK ADEDİ])-Tablo810[[#This Row],[GERİ İADE ÜRÜN]]</f>
        <v>4007</v>
      </c>
      <c r="D231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10034</v>
      </c>
      <c r="E231" s="133"/>
      <c r="F231" s="133">
        <f t="shared" si="3"/>
        <v>6027</v>
      </c>
      <c r="G231" s="133">
        <f>SUMIFS(SevkAdetleri!$D:$D,SevkAdetleri!$A:$A,A231,SevkAdetleri!$E:$E,"OCAK")</f>
        <v>0</v>
      </c>
      <c r="H231" s="133">
        <f>SUMIFS(SevkAdetleri!$D:$D,SevkAdetleri!$A:$A,A231,SevkAdetleri!$E:$E,"ŞUBAT")</f>
        <v>0</v>
      </c>
      <c r="I231" s="133">
        <f>SUMIFS(SevkAdetleri!$D:$D,SevkAdetleri!$A:$A,A231,SevkAdetleri!$E:$E,"MART")</f>
        <v>2976</v>
      </c>
      <c r="J231" s="133">
        <f>SUMIFS(SevkAdetleri!$D:$D,SevkAdetleri!$A:$A,A231,SevkAdetleri!$E:$E,"NİSAN")</f>
        <v>0</v>
      </c>
      <c r="K231" s="133">
        <f>SUMIFS(SevkAdetleri!$D:$D,SevkAdetleri!$A:$A,A231,SevkAdetleri!$E:$E,"MAYIS")</f>
        <v>0</v>
      </c>
      <c r="L231" s="133">
        <f>SUMIFS(SevkAdetleri!$D:$D,SevkAdetleri!$A:$A,A231,SevkAdetleri!$E:$E,"HAZIRAN")</f>
        <v>0</v>
      </c>
      <c r="M231" s="133">
        <f>SUMIFS(SevkAdetleri!$D:$D,SevkAdetleri!$A:$A,A231,SevkAdetleri!$E:$E,"TEMMUZ")</f>
        <v>0</v>
      </c>
      <c r="N231" s="133">
        <f>SUMIFS(SevkAdetleri!$D:$D,SevkAdetleri!$A:$A,A231,SevkAdetleri!$E:$E,"AĞUSTOS")</f>
        <v>1031</v>
      </c>
      <c r="O231" s="133">
        <f>SUMIFS(SevkAdetleri!$D:$D,SevkAdetleri!$A:$A,A231,SevkAdetleri!$E:$E,"EYLÜL")</f>
        <v>0</v>
      </c>
      <c r="P231" s="133">
        <f>SUMIFS(SevkAdetleri!$D:$D,SevkAdetleri!$A:$A,A231,SevkAdetleri!$E:$E,"EKİM")</f>
        <v>0</v>
      </c>
      <c r="Q231" s="133">
        <f>SUMIFS(SevkAdetleri!$D:$D,SevkAdetleri!$A:$A,A231,SevkAdetleri!$E:$E,"KASIM")</f>
        <v>0</v>
      </c>
      <c r="R231" s="133">
        <f>SUMIFS(SevkAdetleri!$D:$D,SevkAdetleri!$A:$A,A231,SevkAdetleri!$E:$E,"ARALIK")</f>
        <v>0</v>
      </c>
    </row>
    <row r="232" spans="1:18">
      <c r="A232" s="132" t="s">
        <v>348</v>
      </c>
      <c r="B232" s="133" t="str">
        <f>VLOOKUP(Tablo810[[#This Row],[ ÜRÜN KODU]],YMKODLARI!$A$1:$H$376,2,0)</f>
        <v>GENİŞ AĞIZ BİBERON KULP</v>
      </c>
      <c r="C232" s="133">
        <f>SUMIF(Tablo8[[ ÜRÜN KODU]],Tablo810[[#This Row],[ ÜRÜN KODU]],Tablo8[SEVK ADEDİ])-Tablo810[[#This Row],[GERİ İADE ÜRÜN]]</f>
        <v>0</v>
      </c>
      <c r="D232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2530</v>
      </c>
      <c r="E232" s="133"/>
      <c r="F232" s="133">
        <f t="shared" si="3"/>
        <v>2530</v>
      </c>
      <c r="G232" s="133">
        <f>SUMIFS(SevkAdetleri!$D:$D,SevkAdetleri!$A:$A,A232,SevkAdetleri!$E:$E,"OCAK")</f>
        <v>0</v>
      </c>
      <c r="H232" s="133">
        <f>SUMIFS(SevkAdetleri!$D:$D,SevkAdetleri!$A:$A,A232,SevkAdetleri!$E:$E,"ŞUBAT")</f>
        <v>0</v>
      </c>
      <c r="I232" s="133">
        <f>SUMIFS(SevkAdetleri!$D:$D,SevkAdetleri!$A:$A,A232,SevkAdetleri!$E:$E,"MART")</f>
        <v>0</v>
      </c>
      <c r="J232" s="133">
        <f>SUMIFS(SevkAdetleri!$D:$D,SevkAdetleri!$A:$A,A232,SevkAdetleri!$E:$E,"NİSAN")</f>
        <v>0</v>
      </c>
      <c r="K232" s="133">
        <f>SUMIFS(SevkAdetleri!$D:$D,SevkAdetleri!$A:$A,A232,SevkAdetleri!$E:$E,"MAYIS")</f>
        <v>0</v>
      </c>
      <c r="L232" s="133">
        <f>SUMIFS(SevkAdetleri!$D:$D,SevkAdetleri!$A:$A,A232,SevkAdetleri!$E:$E,"HAZIRAN")</f>
        <v>0</v>
      </c>
      <c r="M232" s="133">
        <f>SUMIFS(SevkAdetleri!$D:$D,SevkAdetleri!$A:$A,A232,SevkAdetleri!$E:$E,"TEMMUZ")</f>
        <v>0</v>
      </c>
      <c r="N232" s="133">
        <f>SUMIFS(SevkAdetleri!$D:$D,SevkAdetleri!$A:$A,A232,SevkAdetleri!$E:$E,"AĞUSTOS")</f>
        <v>0</v>
      </c>
      <c r="O232" s="133">
        <f>SUMIFS(SevkAdetleri!$D:$D,SevkAdetleri!$A:$A,A232,SevkAdetleri!$E:$E,"EYLÜL")</f>
        <v>0</v>
      </c>
      <c r="P232" s="133">
        <f>SUMIFS(SevkAdetleri!$D:$D,SevkAdetleri!$A:$A,A232,SevkAdetleri!$E:$E,"EKİM")</f>
        <v>0</v>
      </c>
      <c r="Q232" s="133">
        <f>SUMIFS(SevkAdetleri!$D:$D,SevkAdetleri!$A:$A,A232,SevkAdetleri!$E:$E,"KASIM")</f>
        <v>0</v>
      </c>
      <c r="R232" s="133">
        <f>SUMIFS(SevkAdetleri!$D:$D,SevkAdetleri!$A:$A,A232,SevkAdetleri!$E:$E,"ARALIK")</f>
        <v>0</v>
      </c>
    </row>
    <row r="233" spans="1:18">
      <c r="A233" s="132" t="s">
        <v>349</v>
      </c>
      <c r="B233" s="133" t="str">
        <f>VLOOKUP(Tablo810[[#This Row],[ ÜRÜN KODU]],YMKODLARI!$A$1:$H$376,2,0)</f>
        <v>KOMPLE SİLİKON BİBERON HALKA</v>
      </c>
      <c r="C233" s="133">
        <f>SUMIF(Tablo8[[ ÜRÜN KODU]],Tablo810[[#This Row],[ ÜRÜN KODU]],Tablo8[SEVK ADEDİ])-Tablo810[[#This Row],[GERİ İADE ÜRÜN]]</f>
        <v>0</v>
      </c>
      <c r="D233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233" s="133"/>
      <c r="F233" s="133">
        <f t="shared" si="3"/>
        <v>0</v>
      </c>
      <c r="G233" s="133">
        <f>SUMIFS(SevkAdetleri!$D:$D,SevkAdetleri!$A:$A,A233,SevkAdetleri!$E:$E,"OCAK")</f>
        <v>0</v>
      </c>
      <c r="H233" s="133">
        <f>SUMIFS(SevkAdetleri!$D:$D,SevkAdetleri!$A:$A,A233,SevkAdetleri!$E:$E,"ŞUBAT")</f>
        <v>0</v>
      </c>
      <c r="I233" s="133">
        <f>SUMIFS(SevkAdetleri!$D:$D,SevkAdetleri!$A:$A,A233,SevkAdetleri!$E:$E,"MART")</f>
        <v>0</v>
      </c>
      <c r="J233" s="133">
        <f>SUMIFS(SevkAdetleri!$D:$D,SevkAdetleri!$A:$A,A233,SevkAdetleri!$E:$E,"NİSAN")</f>
        <v>0</v>
      </c>
      <c r="K233" s="133">
        <f>SUMIFS(SevkAdetleri!$D:$D,SevkAdetleri!$A:$A,A233,SevkAdetleri!$E:$E,"MAYIS")</f>
        <v>0</v>
      </c>
      <c r="L233" s="133">
        <f>SUMIFS(SevkAdetleri!$D:$D,SevkAdetleri!$A:$A,A233,SevkAdetleri!$E:$E,"HAZIRAN")</f>
        <v>0</v>
      </c>
      <c r="M233" s="133">
        <f>SUMIFS(SevkAdetleri!$D:$D,SevkAdetleri!$A:$A,A233,SevkAdetleri!$E:$E,"TEMMUZ")</f>
        <v>0</v>
      </c>
      <c r="N233" s="133">
        <f>SUMIFS(SevkAdetleri!$D:$D,SevkAdetleri!$A:$A,A233,SevkAdetleri!$E:$E,"AĞUSTOS")</f>
        <v>0</v>
      </c>
      <c r="O233" s="133">
        <f>SUMIFS(SevkAdetleri!$D:$D,SevkAdetleri!$A:$A,A233,SevkAdetleri!$E:$E,"EYLÜL")</f>
        <v>0</v>
      </c>
      <c r="P233" s="133">
        <f>SUMIFS(SevkAdetleri!$D:$D,SevkAdetleri!$A:$A,A233,SevkAdetleri!$E:$E,"EKİM")</f>
        <v>0</v>
      </c>
      <c r="Q233" s="133">
        <f>SUMIFS(SevkAdetleri!$D:$D,SevkAdetleri!$A:$A,A233,SevkAdetleri!$E:$E,"KASIM")</f>
        <v>0</v>
      </c>
      <c r="R233" s="133">
        <f>SUMIFS(SevkAdetleri!$D:$D,SevkAdetleri!$A:$A,A233,SevkAdetleri!$E:$E,"ARALIK")</f>
        <v>0</v>
      </c>
    </row>
    <row r="234" spans="1:18">
      <c r="A234" s="132" t="s">
        <v>350</v>
      </c>
      <c r="B234" s="133" t="str">
        <f>VLOOKUP(Tablo810[[#This Row],[ ÜRÜN KODU]],YMKODLARI!$A$1:$H$376,2,0)</f>
        <v>KOMPLE SİLİKON BİBERON HALKA</v>
      </c>
      <c r="C234" s="133">
        <f>SUMIF(Tablo8[[ ÜRÜN KODU]],Tablo810[[#This Row],[ ÜRÜN KODU]],Tablo8[SEVK ADEDİ])-Tablo810[[#This Row],[GERİ İADE ÜRÜN]]</f>
        <v>0</v>
      </c>
      <c r="D234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234" s="133"/>
      <c r="F234" s="133">
        <f t="shared" si="3"/>
        <v>0</v>
      </c>
      <c r="G234" s="133">
        <f>SUMIFS(SevkAdetleri!$D:$D,SevkAdetleri!$A:$A,A234,SevkAdetleri!$E:$E,"OCAK")</f>
        <v>0</v>
      </c>
      <c r="H234" s="133">
        <f>SUMIFS(SevkAdetleri!$D:$D,SevkAdetleri!$A:$A,A234,SevkAdetleri!$E:$E,"ŞUBAT")</f>
        <v>0</v>
      </c>
      <c r="I234" s="133">
        <f>SUMIFS(SevkAdetleri!$D:$D,SevkAdetleri!$A:$A,A234,SevkAdetleri!$E:$E,"MART")</f>
        <v>0</v>
      </c>
      <c r="J234" s="133">
        <f>SUMIFS(SevkAdetleri!$D:$D,SevkAdetleri!$A:$A,A234,SevkAdetleri!$E:$E,"NİSAN")</f>
        <v>0</v>
      </c>
      <c r="K234" s="133">
        <f>SUMIFS(SevkAdetleri!$D:$D,SevkAdetleri!$A:$A,A234,SevkAdetleri!$E:$E,"MAYIS")</f>
        <v>0</v>
      </c>
      <c r="L234" s="133">
        <f>SUMIFS(SevkAdetleri!$D:$D,SevkAdetleri!$A:$A,A234,SevkAdetleri!$E:$E,"HAZIRAN")</f>
        <v>0</v>
      </c>
      <c r="M234" s="133">
        <f>SUMIFS(SevkAdetleri!$D:$D,SevkAdetleri!$A:$A,A234,SevkAdetleri!$E:$E,"TEMMUZ")</f>
        <v>0</v>
      </c>
      <c r="N234" s="133">
        <f>SUMIFS(SevkAdetleri!$D:$D,SevkAdetleri!$A:$A,A234,SevkAdetleri!$E:$E,"AĞUSTOS")</f>
        <v>0</v>
      </c>
      <c r="O234" s="133">
        <f>SUMIFS(SevkAdetleri!$D:$D,SevkAdetleri!$A:$A,A234,SevkAdetleri!$E:$E,"EYLÜL")</f>
        <v>0</v>
      </c>
      <c r="P234" s="133">
        <f>SUMIFS(SevkAdetleri!$D:$D,SevkAdetleri!$A:$A,A234,SevkAdetleri!$E:$E,"EKİM")</f>
        <v>0</v>
      </c>
      <c r="Q234" s="133">
        <f>SUMIFS(SevkAdetleri!$D:$D,SevkAdetleri!$A:$A,A234,SevkAdetleri!$E:$E,"KASIM")</f>
        <v>0</v>
      </c>
      <c r="R234" s="133">
        <f>SUMIFS(SevkAdetleri!$D:$D,SevkAdetleri!$A:$A,A234,SevkAdetleri!$E:$E,"ARALIK")</f>
        <v>0</v>
      </c>
    </row>
    <row r="235" spans="1:18">
      <c r="A235" s="132" t="s">
        <v>351</v>
      </c>
      <c r="B235" s="133" t="str">
        <f>VLOOKUP(Tablo810[[#This Row],[ ÜRÜN KODU]],YMKODLARI!$A$1:$H$376,2,0)</f>
        <v>KOMPLE SİLİKON BİBERON HALKA</v>
      </c>
      <c r="C235" s="133">
        <f>SUMIF(Tablo8[[ ÜRÜN KODU]],Tablo810[[#This Row],[ ÜRÜN KODU]],Tablo8[SEVK ADEDİ])-Tablo810[[#This Row],[GERİ İADE ÜRÜN]]</f>
        <v>0</v>
      </c>
      <c r="D235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235" s="133"/>
      <c r="F235" s="133">
        <f t="shared" si="3"/>
        <v>0</v>
      </c>
      <c r="G235" s="133">
        <f>SUMIFS(SevkAdetleri!$D:$D,SevkAdetleri!$A:$A,A235,SevkAdetleri!$E:$E,"OCAK")</f>
        <v>0</v>
      </c>
      <c r="H235" s="133">
        <f>SUMIFS(SevkAdetleri!$D:$D,SevkAdetleri!$A:$A,A235,SevkAdetleri!$E:$E,"ŞUBAT")</f>
        <v>0</v>
      </c>
      <c r="I235" s="133">
        <f>SUMIFS(SevkAdetleri!$D:$D,SevkAdetleri!$A:$A,A235,SevkAdetleri!$E:$E,"MART")</f>
        <v>0</v>
      </c>
      <c r="J235" s="133">
        <f>SUMIFS(SevkAdetleri!$D:$D,SevkAdetleri!$A:$A,A235,SevkAdetleri!$E:$E,"NİSAN")</f>
        <v>0</v>
      </c>
      <c r="K235" s="133">
        <f>SUMIFS(SevkAdetleri!$D:$D,SevkAdetleri!$A:$A,A235,SevkAdetleri!$E:$E,"MAYIS")</f>
        <v>0</v>
      </c>
      <c r="L235" s="133">
        <f>SUMIFS(SevkAdetleri!$D:$D,SevkAdetleri!$A:$A,A235,SevkAdetleri!$E:$E,"HAZIRAN")</f>
        <v>0</v>
      </c>
      <c r="M235" s="133">
        <f>SUMIFS(SevkAdetleri!$D:$D,SevkAdetleri!$A:$A,A235,SevkAdetleri!$E:$E,"TEMMUZ")</f>
        <v>0</v>
      </c>
      <c r="N235" s="133">
        <f>SUMIFS(SevkAdetleri!$D:$D,SevkAdetleri!$A:$A,A235,SevkAdetleri!$E:$E,"AĞUSTOS")</f>
        <v>0</v>
      </c>
      <c r="O235" s="133">
        <f>SUMIFS(SevkAdetleri!$D:$D,SevkAdetleri!$A:$A,A235,SevkAdetleri!$E:$E,"EYLÜL")</f>
        <v>0</v>
      </c>
      <c r="P235" s="133">
        <f>SUMIFS(SevkAdetleri!$D:$D,SevkAdetleri!$A:$A,A235,SevkAdetleri!$E:$E,"EKİM")</f>
        <v>0</v>
      </c>
      <c r="Q235" s="133">
        <f>SUMIFS(SevkAdetleri!$D:$D,SevkAdetleri!$A:$A,A235,SevkAdetleri!$E:$E,"KASIM")</f>
        <v>0</v>
      </c>
      <c r="R235" s="133">
        <f>SUMIFS(SevkAdetleri!$D:$D,SevkAdetleri!$A:$A,A235,SevkAdetleri!$E:$E,"ARALIK")</f>
        <v>0</v>
      </c>
    </row>
    <row r="236" spans="1:18">
      <c r="A236" s="132" t="s">
        <v>223</v>
      </c>
      <c r="B236" s="133" t="str">
        <f>VLOOKUP(Tablo810[[#This Row],[ ÜRÜN KODU]],YMKODLARI!$A$1:$H$376,2,0)</f>
        <v>EMZİK ASKISI YUVARLAK GÖVDE</v>
      </c>
      <c r="C236" s="133">
        <f>SUMIF(Tablo8[[ ÜRÜN KODU]],Tablo810[[#This Row],[ ÜRÜN KODU]],Tablo8[SEVK ADEDİ])-Tablo810[[#This Row],[GERİ İADE ÜRÜN]]</f>
        <v>21822</v>
      </c>
      <c r="D236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23960</v>
      </c>
      <c r="E236" s="133"/>
      <c r="F236" s="133">
        <f t="shared" si="3"/>
        <v>2138</v>
      </c>
      <c r="G236" s="133">
        <f>SUMIFS(SevkAdetleri!$D:$D,SevkAdetleri!$A:$A,A236,SevkAdetleri!$E:$E,"OCAK")</f>
        <v>0</v>
      </c>
      <c r="H236" s="133">
        <f>SUMIFS(SevkAdetleri!$D:$D,SevkAdetleri!$A:$A,A236,SevkAdetleri!$E:$E,"ŞUBAT")</f>
        <v>0</v>
      </c>
      <c r="I236" s="133">
        <f>SUMIFS(SevkAdetleri!$D:$D,SevkAdetleri!$A:$A,A236,SevkAdetleri!$E:$E,"MART")</f>
        <v>0</v>
      </c>
      <c r="J236" s="133">
        <f>SUMIFS(SevkAdetleri!$D:$D,SevkAdetleri!$A:$A,A236,SevkAdetleri!$E:$E,"NİSAN")</f>
        <v>0</v>
      </c>
      <c r="K236" s="133">
        <f>SUMIFS(SevkAdetleri!$D:$D,SevkAdetleri!$A:$A,A236,SevkAdetleri!$E:$E,"MAYIS")</f>
        <v>0</v>
      </c>
      <c r="L236" s="133">
        <f>SUMIFS(SevkAdetleri!$D:$D,SevkAdetleri!$A:$A,A236,SevkAdetleri!$E:$E,"HAZIRAN")</f>
        <v>11195</v>
      </c>
      <c r="M236" s="133">
        <f>SUMIFS(SevkAdetleri!$D:$D,SevkAdetleri!$A:$A,A236,SevkAdetleri!$E:$E,"TEMMUZ")</f>
        <v>0</v>
      </c>
      <c r="N236" s="133">
        <f>SUMIFS(SevkAdetleri!$D:$D,SevkAdetleri!$A:$A,A236,SevkAdetleri!$E:$E,"AĞUSTOS")</f>
        <v>0</v>
      </c>
      <c r="O236" s="133">
        <f>SUMIFS(SevkAdetleri!$D:$D,SevkAdetleri!$A:$A,A236,SevkAdetleri!$E:$E,"EYLÜL")</f>
        <v>10627</v>
      </c>
      <c r="P236" s="133">
        <f>SUMIFS(SevkAdetleri!$D:$D,SevkAdetleri!$A:$A,A236,SevkAdetleri!$E:$E,"EKİM")</f>
        <v>0</v>
      </c>
      <c r="Q236" s="133">
        <f>SUMIFS(SevkAdetleri!$D:$D,SevkAdetleri!$A:$A,A236,SevkAdetleri!$E:$E,"KASIM")</f>
        <v>0</v>
      </c>
      <c r="R236" s="133">
        <f>SUMIFS(SevkAdetleri!$D:$D,SevkAdetleri!$A:$A,A236,SevkAdetleri!$E:$E,"ARALIK")</f>
        <v>0</v>
      </c>
    </row>
    <row r="237" spans="1:18">
      <c r="A237" s="132" t="s">
        <v>224</v>
      </c>
      <c r="B237" s="133" t="str">
        <f>VLOOKUP(Tablo810[[#This Row],[ ÜRÜN KODU]],YMKODLARI!$A$1:$H$376,2,0)</f>
        <v>EMZİK ASKISI YUVARLAK MANDAL</v>
      </c>
      <c r="C237" s="133">
        <f>SUMIF(Tablo8[[ ÜRÜN KODU]],Tablo810[[#This Row],[ ÜRÜN KODU]],Tablo8[SEVK ADEDİ])-Tablo810[[#This Row],[GERİ İADE ÜRÜN]]</f>
        <v>24982</v>
      </c>
      <c r="D237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26432</v>
      </c>
      <c r="E237" s="133"/>
      <c r="F237" s="133">
        <f t="shared" si="3"/>
        <v>1450</v>
      </c>
      <c r="G237" s="133">
        <f>SUMIFS(SevkAdetleri!$D:$D,SevkAdetleri!$A:$A,A237,SevkAdetleri!$E:$E,"OCAK")</f>
        <v>0</v>
      </c>
      <c r="H237" s="133">
        <f>SUMIFS(SevkAdetleri!$D:$D,SevkAdetleri!$A:$A,A237,SevkAdetleri!$E:$E,"ŞUBAT")</f>
        <v>0</v>
      </c>
      <c r="I237" s="133">
        <f>SUMIFS(SevkAdetleri!$D:$D,SevkAdetleri!$A:$A,A237,SevkAdetleri!$E:$E,"MART")</f>
        <v>0</v>
      </c>
      <c r="J237" s="133">
        <f>SUMIFS(SevkAdetleri!$D:$D,SevkAdetleri!$A:$A,A237,SevkAdetleri!$E:$E,"NİSAN")</f>
        <v>0</v>
      </c>
      <c r="K237" s="133">
        <f>SUMIFS(SevkAdetleri!$D:$D,SevkAdetleri!$A:$A,A237,SevkAdetleri!$E:$E,"MAYIS")</f>
        <v>0</v>
      </c>
      <c r="L237" s="133">
        <f>SUMIFS(SevkAdetleri!$D:$D,SevkAdetleri!$A:$A,A237,SevkAdetleri!$E:$E,"HAZIRAN")</f>
        <v>14052</v>
      </c>
      <c r="M237" s="133">
        <f>SUMIFS(SevkAdetleri!$D:$D,SevkAdetleri!$A:$A,A237,SevkAdetleri!$E:$E,"TEMMUZ")</f>
        <v>0</v>
      </c>
      <c r="N237" s="133">
        <f>SUMIFS(SevkAdetleri!$D:$D,SevkAdetleri!$A:$A,A237,SevkAdetleri!$E:$E,"AĞUSTOS")</f>
        <v>0</v>
      </c>
      <c r="O237" s="133">
        <f>SUMIFS(SevkAdetleri!$D:$D,SevkAdetleri!$A:$A,A237,SevkAdetleri!$E:$E,"EYLÜL")</f>
        <v>10930</v>
      </c>
      <c r="P237" s="133">
        <f>SUMIFS(SevkAdetleri!$D:$D,SevkAdetleri!$A:$A,A237,SevkAdetleri!$E:$E,"EKİM")</f>
        <v>0</v>
      </c>
      <c r="Q237" s="133">
        <f>SUMIFS(SevkAdetleri!$D:$D,SevkAdetleri!$A:$A,A237,SevkAdetleri!$E:$E,"KASIM")</f>
        <v>0</v>
      </c>
      <c r="R237" s="133">
        <f>SUMIFS(SevkAdetleri!$D:$D,SevkAdetleri!$A:$A,A237,SevkAdetleri!$E:$E,"ARALIK")</f>
        <v>0</v>
      </c>
    </row>
    <row r="238" spans="1:18">
      <c r="A238" s="132" t="s">
        <v>352</v>
      </c>
      <c r="B238" s="133" t="e">
        <f>VLOOKUP(Tablo810[[#This Row],[ ÜRÜN KODU]],YMKODLARI!$A$1:$H$376,2,0)</f>
        <v>#N/A</v>
      </c>
      <c r="C238" s="133">
        <f>SUMIF(Tablo8[[ ÜRÜN KODU]],Tablo810[[#This Row],[ ÜRÜN KODU]],Tablo8[SEVK ADEDİ])-Tablo810[[#This Row],[GERİ İADE ÜRÜN]]</f>
        <v>0</v>
      </c>
      <c r="D238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238" s="133"/>
      <c r="F238" s="133">
        <f t="shared" si="3"/>
        <v>0</v>
      </c>
      <c r="G238" s="133">
        <f>SUMIFS(SevkAdetleri!$D:$D,SevkAdetleri!$A:$A,A238,SevkAdetleri!$E:$E,"OCAK")</f>
        <v>0</v>
      </c>
      <c r="H238" s="133">
        <f>SUMIFS(SevkAdetleri!$D:$D,SevkAdetleri!$A:$A,A238,SevkAdetleri!$E:$E,"ŞUBAT")</f>
        <v>0</v>
      </c>
      <c r="I238" s="133">
        <f>SUMIFS(SevkAdetleri!$D:$D,SevkAdetleri!$A:$A,A238,SevkAdetleri!$E:$E,"MART")</f>
        <v>0</v>
      </c>
      <c r="J238" s="133">
        <f>SUMIFS(SevkAdetleri!$D:$D,SevkAdetleri!$A:$A,A238,SevkAdetleri!$E:$E,"NİSAN")</f>
        <v>0</v>
      </c>
      <c r="K238" s="133">
        <f>SUMIFS(SevkAdetleri!$D:$D,SevkAdetleri!$A:$A,A238,SevkAdetleri!$E:$E,"MAYIS")</f>
        <v>0</v>
      </c>
      <c r="L238" s="133">
        <f>SUMIFS(SevkAdetleri!$D:$D,SevkAdetleri!$A:$A,A238,SevkAdetleri!$E:$E,"HAZIRAN")</f>
        <v>0</v>
      </c>
      <c r="M238" s="133">
        <f>SUMIFS(SevkAdetleri!$D:$D,SevkAdetleri!$A:$A,A238,SevkAdetleri!$E:$E,"TEMMUZ")</f>
        <v>0</v>
      </c>
      <c r="N238" s="133">
        <f>SUMIFS(SevkAdetleri!$D:$D,SevkAdetleri!$A:$A,A238,SevkAdetleri!$E:$E,"AĞUSTOS")</f>
        <v>0</v>
      </c>
      <c r="O238" s="133">
        <f>SUMIFS(SevkAdetleri!$D:$D,SevkAdetleri!$A:$A,A238,SevkAdetleri!$E:$E,"EYLÜL")</f>
        <v>0</v>
      </c>
      <c r="P238" s="133">
        <f>SUMIFS(SevkAdetleri!$D:$D,SevkAdetleri!$A:$A,A238,SevkAdetleri!$E:$E,"EKİM")</f>
        <v>0</v>
      </c>
      <c r="Q238" s="133">
        <f>SUMIFS(SevkAdetleri!$D:$D,SevkAdetleri!$A:$A,A238,SevkAdetleri!$E:$E,"KASIM")</f>
        <v>0</v>
      </c>
      <c r="R238" s="133">
        <f>SUMIFS(SevkAdetleri!$D:$D,SevkAdetleri!$A:$A,A238,SevkAdetleri!$E:$E,"ARALIK")</f>
        <v>0</v>
      </c>
    </row>
    <row r="239" spans="1:18">
      <c r="A239" s="132" t="s">
        <v>236</v>
      </c>
      <c r="B239" s="133" t="str">
        <f>VLOOKUP(Tablo810[[#This Row],[ ÜRÜN KODU]],YMKODLARI!$A$1:$H$376,2,0)</f>
        <v>EMZİK ASKISI ZİNCİR</v>
      </c>
      <c r="C239" s="133">
        <f>SUMIF(Tablo8[[ ÜRÜN KODU]],Tablo810[[#This Row],[ ÜRÜN KODU]],Tablo8[SEVK ADEDİ])-Tablo810[[#This Row],[GERİ İADE ÜRÜN]]</f>
        <v>15330</v>
      </c>
      <c r="D239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16300</v>
      </c>
      <c r="E239" s="133"/>
      <c r="F239" s="133">
        <f t="shared" si="3"/>
        <v>970</v>
      </c>
      <c r="G239" s="133">
        <f>SUMIFS(SevkAdetleri!$D:$D,SevkAdetleri!$A:$A,A239,SevkAdetleri!$E:$E,"OCAK")</f>
        <v>0</v>
      </c>
      <c r="H239" s="133">
        <f>SUMIFS(SevkAdetleri!$D:$D,SevkAdetleri!$A:$A,A239,SevkAdetleri!$E:$E,"ŞUBAT")</f>
        <v>0</v>
      </c>
      <c r="I239" s="133">
        <f>SUMIFS(SevkAdetleri!$D:$D,SevkAdetleri!$A:$A,A239,SevkAdetleri!$E:$E,"MART")</f>
        <v>0</v>
      </c>
      <c r="J239" s="133">
        <f>SUMIFS(SevkAdetleri!$D:$D,SevkAdetleri!$A:$A,A239,SevkAdetleri!$E:$E,"NİSAN")</f>
        <v>0</v>
      </c>
      <c r="K239" s="133">
        <f>SUMIFS(SevkAdetleri!$D:$D,SevkAdetleri!$A:$A,A239,SevkAdetleri!$E:$E,"MAYIS")</f>
        <v>0</v>
      </c>
      <c r="L239" s="133">
        <f>SUMIFS(SevkAdetleri!$D:$D,SevkAdetleri!$A:$A,A239,SevkAdetleri!$E:$E,"HAZIRAN")</f>
        <v>0</v>
      </c>
      <c r="M239" s="133">
        <f>SUMIFS(SevkAdetleri!$D:$D,SevkAdetleri!$A:$A,A239,SevkAdetleri!$E:$E,"TEMMUZ")</f>
        <v>5245</v>
      </c>
      <c r="N239" s="133">
        <f>SUMIFS(SevkAdetleri!$D:$D,SevkAdetleri!$A:$A,A239,SevkAdetleri!$E:$E,"AĞUSTOS")</f>
        <v>0</v>
      </c>
      <c r="O239" s="133">
        <f>SUMIFS(SevkAdetleri!$D:$D,SevkAdetleri!$A:$A,A239,SevkAdetleri!$E:$E,"EYLÜL")</f>
        <v>10085</v>
      </c>
      <c r="P239" s="133">
        <f>SUMIFS(SevkAdetleri!$D:$D,SevkAdetleri!$A:$A,A239,SevkAdetleri!$E:$E,"EKİM")</f>
        <v>0</v>
      </c>
      <c r="Q239" s="133">
        <f>SUMIFS(SevkAdetleri!$D:$D,SevkAdetleri!$A:$A,A239,SevkAdetleri!$E:$E,"KASIM")</f>
        <v>0</v>
      </c>
      <c r="R239" s="133">
        <f>SUMIFS(SevkAdetleri!$D:$D,SevkAdetleri!$A:$A,A239,SevkAdetleri!$E:$E,"ARALIK")</f>
        <v>0</v>
      </c>
    </row>
    <row r="240" spans="1:18">
      <c r="A240" s="121" t="s">
        <v>234</v>
      </c>
      <c r="B240" s="133" t="str">
        <f>VLOOKUP(Tablo810[[#This Row],[ ÜRÜN KODU]],YMKODLARI!$A$1:$H$376,2,0)</f>
        <v>EMZİK ASKISI ZİNCİR</v>
      </c>
      <c r="C240" s="133">
        <f>SUMIF(Tablo8[[ ÜRÜN KODU]],Tablo810[[#This Row],[ ÜRÜN KODU]],Tablo8[SEVK ADEDİ])-Tablo810[[#This Row],[GERİ İADE ÜRÜN]]</f>
        <v>4880</v>
      </c>
      <c r="D240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5616</v>
      </c>
      <c r="E240" s="133"/>
      <c r="F240" s="133">
        <f t="shared" ref="F240:F247" si="4">(D240-C240)+E240</f>
        <v>736</v>
      </c>
      <c r="G240" s="134">
        <f>SUMIFS(SevkAdetleri!$D:$D,SevkAdetleri!$A:$A,A240,SevkAdetleri!$E:$E,"OCAK")</f>
        <v>0</v>
      </c>
      <c r="H240" s="133">
        <f>SUMIFS(SevkAdetleri!$D:$D,SevkAdetleri!$A:$A,A240,SevkAdetleri!$E:$E,"ŞUBAT")</f>
        <v>0</v>
      </c>
      <c r="I240" s="133">
        <f>SUMIFS(SevkAdetleri!$D:$D,SevkAdetleri!$A:$A,A240,SevkAdetleri!$E:$E,"MART")</f>
        <v>0</v>
      </c>
      <c r="J240" s="133">
        <f>SUMIFS(SevkAdetleri!$D:$D,SevkAdetleri!$A:$A,A240,SevkAdetleri!$E:$E,"NİSAN")</f>
        <v>0</v>
      </c>
      <c r="K240" s="133">
        <f>SUMIFS(SevkAdetleri!$D:$D,SevkAdetleri!$A:$A,A240,SevkAdetleri!$E:$E,"MAYIS")</f>
        <v>0</v>
      </c>
      <c r="L240" s="133">
        <f>SUMIFS(SevkAdetleri!$D:$D,SevkAdetleri!$A:$A,A240,SevkAdetleri!$E:$E,"HAZIRAN")</f>
        <v>0</v>
      </c>
      <c r="M240" s="133">
        <f>SUMIFS(SevkAdetleri!$D:$D,SevkAdetleri!$A:$A,A240,SevkAdetleri!$E:$E,"TEMMUZ")</f>
        <v>4880</v>
      </c>
      <c r="N240" s="133">
        <f>SUMIFS(SevkAdetleri!$D:$D,SevkAdetleri!$A:$A,A240,SevkAdetleri!$E:$E,"AĞUSTOS")</f>
        <v>0</v>
      </c>
      <c r="O240" s="133">
        <f>SUMIFS(SevkAdetleri!$D:$D,SevkAdetleri!$A:$A,A240,SevkAdetleri!$E:$E,"EYLÜL")</f>
        <v>0</v>
      </c>
      <c r="P240" s="133">
        <f>SUMIFS(SevkAdetleri!$D:$D,SevkAdetleri!$A:$A,A240,SevkAdetleri!$E:$E,"EKİM")</f>
        <v>0</v>
      </c>
      <c r="Q240" s="133">
        <f>SUMIFS(SevkAdetleri!$D:$D,SevkAdetleri!$A:$A,A240,SevkAdetleri!$E:$E,"KASIM")</f>
        <v>0</v>
      </c>
      <c r="R240" s="133">
        <f>SUMIFS(SevkAdetleri!$D:$D,SevkAdetleri!$A:$A,A240,SevkAdetleri!$E:$E,"ARALIK")</f>
        <v>0</v>
      </c>
    </row>
    <row r="241" spans="1:18">
      <c r="A241" s="121" t="s">
        <v>233</v>
      </c>
      <c r="B241" s="133" t="str">
        <f>VLOOKUP(Tablo810[[#This Row],[ ÜRÜN KODU]],YMKODLARI!$A$1:$H$376,2,0)</f>
        <v>EMZİK ASKISI ZİNCİR</v>
      </c>
      <c r="C241" s="133">
        <f>SUMIF(Tablo8[[ ÜRÜN KODU]],Tablo810[[#This Row],[ ÜRÜN KODU]],Tablo8[SEVK ADEDİ])-Tablo810[[#This Row],[GERİ İADE ÜRÜN]]</f>
        <v>4050</v>
      </c>
      <c r="D241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4428</v>
      </c>
      <c r="E241" s="133"/>
      <c r="F241" s="133">
        <f t="shared" si="4"/>
        <v>378</v>
      </c>
      <c r="G241" s="134">
        <f>SUMIFS(SevkAdetleri!$D:$D,SevkAdetleri!$A:$A,A241,SevkAdetleri!$E:$E,"OCAK")</f>
        <v>0</v>
      </c>
      <c r="H241" s="133">
        <f>SUMIFS(SevkAdetleri!$D:$D,SevkAdetleri!$A:$A,A241,SevkAdetleri!$E:$E,"ŞUBAT")</f>
        <v>0</v>
      </c>
      <c r="I241" s="133">
        <f>SUMIFS(SevkAdetleri!$D:$D,SevkAdetleri!$A:$A,A241,SevkAdetleri!$E:$E,"MART")</f>
        <v>0</v>
      </c>
      <c r="J241" s="133">
        <f>SUMIFS(SevkAdetleri!$D:$D,SevkAdetleri!$A:$A,A241,SevkAdetleri!$E:$E,"NİSAN")</f>
        <v>0</v>
      </c>
      <c r="K241" s="133">
        <f>SUMIFS(SevkAdetleri!$D:$D,SevkAdetleri!$A:$A,A241,SevkAdetleri!$E:$E,"MAYIS")</f>
        <v>0</v>
      </c>
      <c r="L241" s="133">
        <f>SUMIFS(SevkAdetleri!$D:$D,SevkAdetleri!$A:$A,A241,SevkAdetleri!$E:$E,"HAZIRAN")</f>
        <v>0</v>
      </c>
      <c r="M241" s="133">
        <f>SUMIFS(SevkAdetleri!$D:$D,SevkAdetleri!$A:$A,A241,SevkAdetleri!$E:$E,"TEMMUZ")</f>
        <v>4050</v>
      </c>
      <c r="N241" s="133">
        <f>SUMIFS(SevkAdetleri!$D:$D,SevkAdetleri!$A:$A,A241,SevkAdetleri!$E:$E,"AĞUSTOS")</f>
        <v>0</v>
      </c>
      <c r="O241" s="133">
        <f>SUMIFS(SevkAdetleri!$D:$D,SevkAdetleri!$A:$A,A241,SevkAdetleri!$E:$E,"EYLÜL")</f>
        <v>0</v>
      </c>
      <c r="P241" s="133">
        <f>SUMIFS(SevkAdetleri!$D:$D,SevkAdetleri!$A:$A,A241,SevkAdetleri!$E:$E,"EKİM")</f>
        <v>0</v>
      </c>
      <c r="Q241" s="133">
        <f>SUMIFS(SevkAdetleri!$D:$D,SevkAdetleri!$A:$A,A241,SevkAdetleri!$E:$E,"KASIM")</f>
        <v>0</v>
      </c>
      <c r="R241" s="133">
        <f>SUMIFS(SevkAdetleri!$D:$D,SevkAdetleri!$A:$A,A241,SevkAdetleri!$E:$E,"ARALIK")</f>
        <v>0</v>
      </c>
    </row>
    <row r="242" spans="1:18">
      <c r="A242" s="121" t="s">
        <v>232</v>
      </c>
      <c r="B242" s="133" t="str">
        <f>VLOOKUP(Tablo810[[#This Row],[ ÜRÜN KODU]],YMKODLARI!$A$1:$H$376,2,0)</f>
        <v>EMZİK ASKISI ZİNCİR</v>
      </c>
      <c r="C242" s="133">
        <f>SUMIF(Tablo8[[ ÜRÜN KODU]],Tablo810[[#This Row],[ ÜRÜN KODU]],Tablo8[SEVK ADEDİ])-Tablo810[[#This Row],[GERİ İADE ÜRÜN]]</f>
        <v>4075</v>
      </c>
      <c r="D242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4488</v>
      </c>
      <c r="E242" s="133"/>
      <c r="F242" s="133">
        <f t="shared" si="4"/>
        <v>413</v>
      </c>
      <c r="G242" s="134">
        <f>SUMIFS(SevkAdetleri!$D:$D,SevkAdetleri!$A:$A,A242,SevkAdetleri!$E:$E,"OCAK")</f>
        <v>0</v>
      </c>
      <c r="H242" s="133">
        <f>SUMIFS(SevkAdetleri!$D:$D,SevkAdetleri!$A:$A,A242,SevkAdetleri!$E:$E,"ŞUBAT")</f>
        <v>0</v>
      </c>
      <c r="I242" s="133">
        <f>SUMIFS(SevkAdetleri!$D:$D,SevkAdetleri!$A:$A,A242,SevkAdetleri!$E:$E,"MART")</f>
        <v>0</v>
      </c>
      <c r="J242" s="133">
        <f>SUMIFS(SevkAdetleri!$D:$D,SevkAdetleri!$A:$A,A242,SevkAdetleri!$E:$E,"NİSAN")</f>
        <v>0</v>
      </c>
      <c r="K242" s="133">
        <f>SUMIFS(SevkAdetleri!$D:$D,SevkAdetleri!$A:$A,A242,SevkAdetleri!$E:$E,"MAYIS")</f>
        <v>0</v>
      </c>
      <c r="L242" s="133">
        <f>SUMIFS(SevkAdetleri!$D:$D,SevkAdetleri!$A:$A,A242,SevkAdetleri!$E:$E,"HAZIRAN")</f>
        <v>0</v>
      </c>
      <c r="M242" s="133">
        <f>SUMIFS(SevkAdetleri!$D:$D,SevkAdetleri!$A:$A,A242,SevkAdetleri!$E:$E,"TEMMUZ")</f>
        <v>4075</v>
      </c>
      <c r="N242" s="133">
        <f>SUMIFS(SevkAdetleri!$D:$D,SevkAdetleri!$A:$A,A242,SevkAdetleri!$E:$E,"AĞUSTOS")</f>
        <v>0</v>
      </c>
      <c r="O242" s="133">
        <f>SUMIFS(SevkAdetleri!$D:$D,SevkAdetleri!$A:$A,A242,SevkAdetleri!$E:$E,"EYLÜL")</f>
        <v>0</v>
      </c>
      <c r="P242" s="133">
        <f>SUMIFS(SevkAdetleri!$D:$D,SevkAdetleri!$A:$A,A242,SevkAdetleri!$E:$E,"EKİM")</f>
        <v>0</v>
      </c>
      <c r="Q242" s="133">
        <f>SUMIFS(SevkAdetleri!$D:$D,SevkAdetleri!$A:$A,A242,SevkAdetleri!$E:$E,"KASIM")</f>
        <v>0</v>
      </c>
      <c r="R242" s="133">
        <f>SUMIFS(SevkAdetleri!$D:$D,SevkAdetleri!$A:$A,A242,SevkAdetleri!$E:$E,"ARALIK")</f>
        <v>0</v>
      </c>
    </row>
    <row r="243" spans="1:18">
      <c r="A243" s="121" t="s">
        <v>235</v>
      </c>
      <c r="B243" s="133" t="str">
        <f>VLOOKUP(Tablo810[[#This Row],[ ÜRÜN KODU]],YMKODLARI!$A$1:$H$376,2,0)</f>
        <v>EMZİK ASKISI ZİNCİR</v>
      </c>
      <c r="C243" s="133">
        <f>SUMIF(Tablo8[[ ÜRÜN KODU]],Tablo810[[#This Row],[ ÜRÜN KODU]],Tablo8[SEVK ADEDİ])-Tablo810[[#This Row],[GERİ İADE ÜRÜN]]</f>
        <v>5245</v>
      </c>
      <c r="D243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5640</v>
      </c>
      <c r="E243" s="133"/>
      <c r="F243" s="133">
        <f t="shared" si="4"/>
        <v>395</v>
      </c>
      <c r="G243" s="134">
        <f>SUMIFS(SevkAdetleri!$D:$D,SevkAdetleri!$A:$A,A243,SevkAdetleri!$E:$E,"OCAK")</f>
        <v>0</v>
      </c>
      <c r="H243" s="133">
        <f>SUMIFS(SevkAdetleri!$D:$D,SevkAdetleri!$A:$A,A243,SevkAdetleri!$E:$E,"ŞUBAT")</f>
        <v>0</v>
      </c>
      <c r="I243" s="133">
        <f>SUMIFS(SevkAdetleri!$D:$D,SevkAdetleri!$A:$A,A243,SevkAdetleri!$E:$E,"MART")</f>
        <v>0</v>
      </c>
      <c r="J243" s="133">
        <f>SUMIFS(SevkAdetleri!$D:$D,SevkAdetleri!$A:$A,A243,SevkAdetleri!$E:$E,"NİSAN")</f>
        <v>0</v>
      </c>
      <c r="K243" s="133">
        <f>SUMIFS(SevkAdetleri!$D:$D,SevkAdetleri!$A:$A,A243,SevkAdetleri!$E:$E,"MAYIS")</f>
        <v>0</v>
      </c>
      <c r="L243" s="133">
        <f>SUMIFS(SevkAdetleri!$D:$D,SevkAdetleri!$A:$A,A243,SevkAdetleri!$E:$E,"HAZIRAN")</f>
        <v>0</v>
      </c>
      <c r="M243" s="133">
        <f>SUMIFS(SevkAdetleri!$D:$D,SevkAdetleri!$A:$A,A243,SevkAdetleri!$E:$E,"TEMMUZ")</f>
        <v>5245</v>
      </c>
      <c r="N243" s="133">
        <f>SUMIFS(SevkAdetleri!$D:$D,SevkAdetleri!$A:$A,A243,SevkAdetleri!$E:$E,"AĞUSTOS")</f>
        <v>0</v>
      </c>
      <c r="O243" s="133">
        <f>SUMIFS(SevkAdetleri!$D:$D,SevkAdetleri!$A:$A,A243,SevkAdetleri!$E:$E,"EYLÜL")</f>
        <v>0</v>
      </c>
      <c r="P243" s="133">
        <f>SUMIFS(SevkAdetleri!$D:$D,SevkAdetleri!$A:$A,A243,SevkAdetleri!$E:$E,"EKİM")</f>
        <v>0</v>
      </c>
      <c r="Q243" s="133">
        <f>SUMIFS(SevkAdetleri!$D:$D,SevkAdetleri!$A:$A,A243,SevkAdetleri!$E:$E,"KASIM")</f>
        <v>0</v>
      </c>
      <c r="R243" s="133">
        <f>SUMIFS(SevkAdetleri!$D:$D,SevkAdetleri!$A:$A,A243,SevkAdetleri!$E:$E,"ARALIK")</f>
        <v>0</v>
      </c>
    </row>
    <row r="244" spans="1:18">
      <c r="A244" s="121" t="s">
        <v>246</v>
      </c>
      <c r="B244" s="133" t="str">
        <f>VLOOKUP(Tablo810[[#This Row],[ ÜRÜN KODU]],YMKODLARI!$A$1:$H$376,2,0)</f>
        <v>EMZİK ASKISI ZİNCİR</v>
      </c>
      <c r="C244" s="133">
        <f>SUMIF(Tablo8[[ ÜRÜN KODU]],Tablo810[[#This Row],[ ÜRÜN KODU]],Tablo8[SEVK ADEDİ])-Tablo810[[#This Row],[GERİ İADE ÜRÜN]]</f>
        <v>7100</v>
      </c>
      <c r="D244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7476</v>
      </c>
      <c r="E244" s="133"/>
      <c r="F244" s="133">
        <f t="shared" si="4"/>
        <v>376</v>
      </c>
      <c r="G244" s="134">
        <f>SUMIFS(SevkAdetleri!$D:$D,SevkAdetleri!$A:$A,A244,SevkAdetleri!$E:$E,"OCAK")</f>
        <v>0</v>
      </c>
      <c r="H244" s="133">
        <f>SUMIFS(SevkAdetleri!$D:$D,SevkAdetleri!$A:$A,A244,SevkAdetleri!$E:$E,"ŞUBAT")</f>
        <v>0</v>
      </c>
      <c r="I244" s="133">
        <f>SUMIFS(SevkAdetleri!$D:$D,SevkAdetleri!$A:$A,A244,SevkAdetleri!$E:$E,"MART")</f>
        <v>0</v>
      </c>
      <c r="J244" s="133">
        <f>SUMIFS(SevkAdetleri!$D:$D,SevkAdetleri!$A:$A,A244,SevkAdetleri!$E:$E,"NİSAN")</f>
        <v>0</v>
      </c>
      <c r="K244" s="133">
        <f>SUMIFS(SevkAdetleri!$D:$D,SevkAdetleri!$A:$A,A244,SevkAdetleri!$E:$E,"MAYIS")</f>
        <v>0</v>
      </c>
      <c r="L244" s="133">
        <f>SUMIFS(SevkAdetleri!$D:$D,SevkAdetleri!$A:$A,A244,SevkAdetleri!$E:$E,"HAZIRAN")</f>
        <v>0</v>
      </c>
      <c r="M244" s="133">
        <f>SUMIFS(SevkAdetleri!$D:$D,SevkAdetleri!$A:$A,A244,SevkAdetleri!$E:$E,"TEMMUZ")</f>
        <v>0</v>
      </c>
      <c r="N244" s="133">
        <f>SUMIFS(SevkAdetleri!$D:$D,SevkAdetleri!$A:$A,A244,SevkAdetleri!$E:$E,"AĞUSTOS")</f>
        <v>0</v>
      </c>
      <c r="O244" s="133">
        <f>SUMIFS(SevkAdetleri!$D:$D,SevkAdetleri!$A:$A,A244,SevkAdetleri!$E:$E,"EYLÜL")</f>
        <v>7100</v>
      </c>
      <c r="P244" s="133">
        <f>SUMIFS(SevkAdetleri!$D:$D,SevkAdetleri!$A:$A,A244,SevkAdetleri!$E:$E,"EKİM")</f>
        <v>0</v>
      </c>
      <c r="Q244" s="133">
        <f>SUMIFS(SevkAdetleri!$D:$D,SevkAdetleri!$A:$A,A244,SevkAdetleri!$E:$E,"KASIM")</f>
        <v>0</v>
      </c>
      <c r="R244" s="133">
        <f>SUMIFS(SevkAdetleri!$D:$D,SevkAdetleri!$A:$A,A244,SevkAdetleri!$E:$E,"ARALIK")</f>
        <v>0</v>
      </c>
    </row>
    <row r="245" spans="1:18">
      <c r="A245" s="121" t="s">
        <v>247</v>
      </c>
      <c r="B245" s="133" t="str">
        <f>VLOOKUP(Tablo810[[#This Row],[ ÜRÜN KODU]],YMKODLARI!$A$1:$H$376,2,0)</f>
        <v>EMZİK ASKISI ZİNCİR</v>
      </c>
      <c r="C245" s="133">
        <f>SUMIF(Tablo8[[ ÜRÜN KODU]],Tablo810[[#This Row],[ ÜRÜN KODU]],Tablo8[SEVK ADEDİ])-Tablo810[[#This Row],[GERİ İADE ÜRÜN]]</f>
        <v>10000</v>
      </c>
      <c r="D245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7308</v>
      </c>
      <c r="E245" s="133"/>
      <c r="F245" s="133">
        <f t="shared" si="4"/>
        <v>-2692</v>
      </c>
      <c r="G245" s="134">
        <f>SUMIFS(SevkAdetleri!$D:$D,SevkAdetleri!$A:$A,A245,SevkAdetleri!$E:$E,"OCAK")</f>
        <v>0</v>
      </c>
      <c r="H245" s="133">
        <f>SUMIFS(SevkAdetleri!$D:$D,SevkAdetleri!$A:$A,A245,SevkAdetleri!$E:$E,"ŞUBAT")</f>
        <v>0</v>
      </c>
      <c r="I245" s="133">
        <f>SUMIFS(SevkAdetleri!$D:$D,SevkAdetleri!$A:$A,A245,SevkAdetleri!$E:$E,"MART")</f>
        <v>0</v>
      </c>
      <c r="J245" s="133">
        <f>SUMIFS(SevkAdetleri!$D:$D,SevkAdetleri!$A:$A,A245,SevkAdetleri!$E:$E,"NİSAN")</f>
        <v>0</v>
      </c>
      <c r="K245" s="133">
        <f>SUMIFS(SevkAdetleri!$D:$D,SevkAdetleri!$A:$A,A245,SevkAdetleri!$E:$E,"MAYIS")</f>
        <v>0</v>
      </c>
      <c r="L245" s="133">
        <f>SUMIFS(SevkAdetleri!$D:$D,SevkAdetleri!$A:$A,A245,SevkAdetleri!$E:$E,"HAZIRAN")</f>
        <v>0</v>
      </c>
      <c r="M245" s="133">
        <f>SUMIFS(SevkAdetleri!$D:$D,SevkAdetleri!$A:$A,A245,SevkAdetleri!$E:$E,"TEMMUZ")</f>
        <v>0</v>
      </c>
      <c r="N245" s="133">
        <f>SUMIFS(SevkAdetleri!$D:$D,SevkAdetleri!$A:$A,A245,SevkAdetleri!$E:$E,"AĞUSTOS")</f>
        <v>0</v>
      </c>
      <c r="O245" s="133">
        <f>SUMIFS(SevkAdetleri!$D:$D,SevkAdetleri!$A:$A,A245,SevkAdetleri!$E:$E,"EYLÜL")</f>
        <v>0</v>
      </c>
      <c r="P245" s="133">
        <f>SUMIFS(SevkAdetleri!$D:$D,SevkAdetleri!$A:$A,A245,SevkAdetleri!$E:$E,"EKİM")</f>
        <v>10000</v>
      </c>
      <c r="Q245" s="133">
        <f>SUMIFS(SevkAdetleri!$D:$D,SevkAdetleri!$A:$A,A245,SevkAdetleri!$E:$E,"KASIM")</f>
        <v>0</v>
      </c>
      <c r="R245" s="133">
        <f>SUMIFS(SevkAdetleri!$D:$D,SevkAdetleri!$A:$A,A245,SevkAdetleri!$E:$E,"ARALIK")</f>
        <v>0</v>
      </c>
    </row>
    <row r="246" spans="1:18">
      <c r="A246" s="121" t="s">
        <v>248</v>
      </c>
      <c r="B246" s="133" t="str">
        <f>VLOOKUP(Tablo810[[#This Row],[ ÜRÜN KODU]],YMKODLARI!$A$1:$H$376,2,0)</f>
        <v>EMZİK ASKISI ZİNCİR</v>
      </c>
      <c r="C246" s="133">
        <f>SUMIF(Tablo8[[ ÜRÜN KODU]],Tablo810[[#This Row],[ ÜRÜN KODU]],Tablo8[SEVK ADEDİ])-Tablo810[[#This Row],[GERİ İADE ÜRÜN]]</f>
        <v>2035</v>
      </c>
      <c r="D246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3200</v>
      </c>
      <c r="E246" s="133"/>
      <c r="F246" s="133">
        <f t="shared" si="4"/>
        <v>1165</v>
      </c>
      <c r="G246" s="134">
        <f>SUMIFS(SevkAdetleri!$D:$D,SevkAdetleri!$A:$A,A246,SevkAdetleri!$E:$E,"OCAK")</f>
        <v>0</v>
      </c>
      <c r="H246" s="133">
        <f>SUMIFS(SevkAdetleri!$D:$D,SevkAdetleri!$A:$A,A246,SevkAdetleri!$E:$E,"ŞUBAT")</f>
        <v>0</v>
      </c>
      <c r="I246" s="133">
        <f>SUMIFS(SevkAdetleri!$D:$D,SevkAdetleri!$A:$A,A246,SevkAdetleri!$E:$E,"MART")</f>
        <v>0</v>
      </c>
      <c r="J246" s="133">
        <f>SUMIFS(SevkAdetleri!$D:$D,SevkAdetleri!$A:$A,A246,SevkAdetleri!$E:$E,"NİSAN")</f>
        <v>0</v>
      </c>
      <c r="K246" s="133">
        <f>SUMIFS(SevkAdetleri!$D:$D,SevkAdetleri!$A:$A,A246,SevkAdetleri!$E:$E,"MAYIS")</f>
        <v>0</v>
      </c>
      <c r="L246" s="133">
        <f>SUMIFS(SevkAdetleri!$D:$D,SevkAdetleri!$A:$A,A246,SevkAdetleri!$E:$E,"HAZIRAN")</f>
        <v>0</v>
      </c>
      <c r="M246" s="133">
        <f>SUMIFS(SevkAdetleri!$D:$D,SevkAdetleri!$A:$A,A246,SevkAdetleri!$E:$E,"TEMMUZ")</f>
        <v>0</v>
      </c>
      <c r="N246" s="133">
        <f>SUMIFS(SevkAdetleri!$D:$D,SevkAdetleri!$A:$A,A246,SevkAdetleri!$E:$E,"AĞUSTOS")</f>
        <v>0</v>
      </c>
      <c r="O246" s="133">
        <f>SUMIFS(SevkAdetleri!$D:$D,SevkAdetleri!$A:$A,A246,SevkAdetleri!$E:$E,"EYLÜL")</f>
        <v>0</v>
      </c>
      <c r="P246" s="133">
        <f>SUMIFS(SevkAdetleri!$D:$D,SevkAdetleri!$A:$A,A246,SevkAdetleri!$E:$E,"EKİM")</f>
        <v>2035</v>
      </c>
      <c r="Q246" s="133">
        <f>SUMIFS(SevkAdetleri!$D:$D,SevkAdetleri!$A:$A,A246,SevkAdetleri!$E:$E,"KASIM")</f>
        <v>0</v>
      </c>
      <c r="R246" s="133">
        <f>SUMIFS(SevkAdetleri!$D:$D,SevkAdetleri!$A:$A,A246,SevkAdetleri!$E:$E,"ARALIK")</f>
        <v>0</v>
      </c>
    </row>
    <row r="247" spans="1:18">
      <c r="A247" s="121" t="s">
        <v>249</v>
      </c>
      <c r="B247" s="133" t="str">
        <f>VLOOKUP(Tablo810[[#This Row],[ ÜRÜN KODU]],YMKODLARI!$A$1:$H$376,2,0)</f>
        <v>EMZİK ASKISI ZİNCİR</v>
      </c>
      <c r="C247" s="133">
        <f>SUMIF(Tablo8[[ ÜRÜN KODU]],Tablo810[[#This Row],[ ÜRÜN KODU]],Tablo8[SEVK ADEDİ])-Tablo810[[#This Row],[GERİ İADE ÜRÜN]]</f>
        <v>4183</v>
      </c>
      <c r="D247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3232</v>
      </c>
      <c r="E247" s="133"/>
      <c r="F247" s="133">
        <f t="shared" si="4"/>
        <v>-951</v>
      </c>
      <c r="G247" s="134">
        <f>SUMIFS(SevkAdetleri!$D:$D,SevkAdetleri!$A:$A,A247,SevkAdetleri!$E:$E,"OCAK")</f>
        <v>0</v>
      </c>
      <c r="H247" s="133">
        <f>SUMIFS(SevkAdetleri!$D:$D,SevkAdetleri!$A:$A,A247,SevkAdetleri!$E:$E,"ŞUBAT")</f>
        <v>0</v>
      </c>
      <c r="I247" s="133">
        <f>SUMIFS(SevkAdetleri!$D:$D,SevkAdetleri!$A:$A,A247,SevkAdetleri!$E:$E,"MART")</f>
        <v>0</v>
      </c>
      <c r="J247" s="133">
        <f>SUMIFS(SevkAdetleri!$D:$D,SevkAdetleri!$A:$A,A247,SevkAdetleri!$E:$E,"NİSAN")</f>
        <v>0</v>
      </c>
      <c r="K247" s="133">
        <f>SUMIFS(SevkAdetleri!$D:$D,SevkAdetleri!$A:$A,A247,SevkAdetleri!$E:$E,"MAYIS")</f>
        <v>0</v>
      </c>
      <c r="L247" s="133">
        <f>SUMIFS(SevkAdetleri!$D:$D,SevkAdetleri!$A:$A,A247,SevkAdetleri!$E:$E,"HAZIRAN")</f>
        <v>0</v>
      </c>
      <c r="M247" s="133">
        <f>SUMIFS(SevkAdetleri!$D:$D,SevkAdetleri!$A:$A,A247,SevkAdetleri!$E:$E,"TEMMUZ")</f>
        <v>0</v>
      </c>
      <c r="N247" s="133">
        <f>SUMIFS(SevkAdetleri!$D:$D,SevkAdetleri!$A:$A,A247,SevkAdetleri!$E:$E,"AĞUSTOS")</f>
        <v>0</v>
      </c>
      <c r="O247" s="133">
        <f>SUMIFS(SevkAdetleri!$D:$D,SevkAdetleri!$A:$A,A247,SevkAdetleri!$E:$E,"EYLÜL")</f>
        <v>0</v>
      </c>
      <c r="P247" s="133">
        <f>SUMIFS(SevkAdetleri!$D:$D,SevkAdetleri!$A:$A,A247,SevkAdetleri!$E:$E,"EKİM")</f>
        <v>4183</v>
      </c>
      <c r="Q247" s="133">
        <f>SUMIFS(SevkAdetleri!$D:$D,SevkAdetleri!$A:$A,A247,SevkAdetleri!$E:$E,"KASIM")</f>
        <v>0</v>
      </c>
      <c r="R247" s="133">
        <f>SUMIFS(SevkAdetleri!$D:$D,SevkAdetleri!$A:$A,A247,SevkAdetleri!$E:$E,"ARALIK")</f>
        <v>0</v>
      </c>
    </row>
    <row r="248" spans="1:18">
      <c r="A248" s="132" t="s">
        <v>353</v>
      </c>
      <c r="B248" s="133" t="str">
        <f>VLOOKUP(Tablo810[[#This Row],[ ÜRÜN KODU]],YMKODLARI!$A$1:$H$376,2,0)</f>
        <v>EMZİK ASKI TIPA DÜZ KAFA</v>
      </c>
      <c r="C248" s="133">
        <f>SUMIF(Tablo8[[ ÜRÜN KODU]],Tablo810[[#This Row],[ ÜRÜN KODU]],Tablo8[SEVK ADEDİ])-Tablo810[[#This Row],[GERİ İADE ÜRÜN]]</f>
        <v>0</v>
      </c>
      <c r="D248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248" s="133"/>
      <c r="F248" s="133">
        <f t="shared" si="3"/>
        <v>0</v>
      </c>
      <c r="G248" s="133">
        <f>SUMIFS(SevkAdetleri!$D:$D,SevkAdetleri!$A:$A,A248,SevkAdetleri!$E:$E,"OCAK")</f>
        <v>0</v>
      </c>
      <c r="H248" s="133">
        <f>SUMIFS(SevkAdetleri!$D:$D,SevkAdetleri!$A:$A,A248,SevkAdetleri!$E:$E,"ŞUBAT")</f>
        <v>0</v>
      </c>
      <c r="I248" s="133">
        <f>SUMIFS(SevkAdetleri!$D:$D,SevkAdetleri!$A:$A,A248,SevkAdetleri!$E:$E,"MART")</f>
        <v>0</v>
      </c>
      <c r="J248" s="133">
        <f>SUMIFS(SevkAdetleri!$D:$D,SevkAdetleri!$A:$A,A248,SevkAdetleri!$E:$E,"NİSAN")</f>
        <v>0</v>
      </c>
      <c r="K248" s="133">
        <f>SUMIFS(SevkAdetleri!$D:$D,SevkAdetleri!$A:$A,A248,SevkAdetleri!$E:$E,"MAYIS")</f>
        <v>0</v>
      </c>
      <c r="L248" s="133">
        <f>SUMIFS(SevkAdetleri!$D:$D,SevkAdetleri!$A:$A,A248,SevkAdetleri!$E:$E,"HAZIRAN")</f>
        <v>0</v>
      </c>
      <c r="M248" s="133">
        <f>SUMIFS(SevkAdetleri!$D:$D,SevkAdetleri!$A:$A,A248,SevkAdetleri!$E:$E,"TEMMUZ")</f>
        <v>0</v>
      </c>
      <c r="N248" s="133">
        <f>SUMIFS(SevkAdetleri!$D:$D,SevkAdetleri!$A:$A,A248,SevkAdetleri!$E:$E,"AĞUSTOS")</f>
        <v>0</v>
      </c>
      <c r="O248" s="133">
        <f>SUMIFS(SevkAdetleri!$D:$D,SevkAdetleri!$A:$A,A248,SevkAdetleri!$E:$E,"EYLÜL")</f>
        <v>0</v>
      </c>
      <c r="P248" s="133">
        <f>SUMIFS(SevkAdetleri!$D:$D,SevkAdetleri!$A:$A,A248,SevkAdetleri!$E:$E,"EKİM")</f>
        <v>0</v>
      </c>
      <c r="Q248" s="133">
        <f>SUMIFS(SevkAdetleri!$D:$D,SevkAdetleri!$A:$A,A248,SevkAdetleri!$E:$E,"KASIM")</f>
        <v>0</v>
      </c>
      <c r="R248" s="133">
        <f>SUMIFS(SevkAdetleri!$D:$D,SevkAdetleri!$A:$A,A248,SevkAdetleri!$E:$E,"ARALIK")</f>
        <v>0</v>
      </c>
    </row>
    <row r="249" spans="1:18">
      <c r="A249" s="120" t="s">
        <v>354</v>
      </c>
      <c r="B249" s="133" t="str">
        <f>VLOOKUP(Tablo810[[#This Row],[ ÜRÜN KODU]],YMKODLARI!$A$1:$H$376,2,0)</f>
        <v>EMZİK ASKI TIPA ÖRDEK</v>
      </c>
      <c r="C249" s="133">
        <f>SUMIF(Tablo8[[ ÜRÜN KODU]],Tablo810[[#This Row],[ ÜRÜN KODU]],Tablo8[SEVK ADEDİ])-Tablo810[[#This Row],[GERİ İADE ÜRÜN]]</f>
        <v>0</v>
      </c>
      <c r="D249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249" s="133"/>
      <c r="F249" s="133">
        <f t="shared" si="3"/>
        <v>0</v>
      </c>
      <c r="G249" s="133">
        <f>SUMIFS(SevkAdetleri!$D:$D,SevkAdetleri!$A:$A,A249,SevkAdetleri!$E:$E,"OCAK")</f>
        <v>0</v>
      </c>
      <c r="H249" s="133">
        <f>SUMIFS(SevkAdetleri!$D:$D,SevkAdetleri!$A:$A,A249,SevkAdetleri!$E:$E,"ŞUBAT")</f>
        <v>0</v>
      </c>
      <c r="I249" s="133">
        <f>SUMIFS(SevkAdetleri!$D:$D,SevkAdetleri!$A:$A,A249,SevkAdetleri!$E:$E,"MART")</f>
        <v>0</v>
      </c>
      <c r="J249" s="133">
        <f>SUMIFS(SevkAdetleri!$D:$D,SevkAdetleri!$A:$A,A249,SevkAdetleri!$E:$E,"NİSAN")</f>
        <v>0</v>
      </c>
      <c r="K249" s="133">
        <f>SUMIFS(SevkAdetleri!$D:$D,SevkAdetleri!$A:$A,A249,SevkAdetleri!$E:$E,"MAYIS")</f>
        <v>0</v>
      </c>
      <c r="L249" s="133">
        <f>SUMIFS(SevkAdetleri!$D:$D,SevkAdetleri!$A:$A,A249,SevkAdetleri!$E:$E,"HAZIRAN")</f>
        <v>0</v>
      </c>
      <c r="M249" s="133">
        <f>SUMIFS(SevkAdetleri!$D:$D,SevkAdetleri!$A:$A,A249,SevkAdetleri!$E:$E,"TEMMUZ")</f>
        <v>0</v>
      </c>
      <c r="N249" s="133">
        <f>SUMIFS(SevkAdetleri!$D:$D,SevkAdetleri!$A:$A,A249,SevkAdetleri!$E:$E,"AĞUSTOS")</f>
        <v>0</v>
      </c>
      <c r="O249" s="133">
        <f>SUMIFS(SevkAdetleri!$D:$D,SevkAdetleri!$A:$A,A249,SevkAdetleri!$E:$E,"EYLÜL")</f>
        <v>0</v>
      </c>
      <c r="P249" s="133">
        <f>SUMIFS(SevkAdetleri!$D:$D,SevkAdetleri!$A:$A,A249,SevkAdetleri!$E:$E,"EKİM")</f>
        <v>0</v>
      </c>
      <c r="Q249" s="133">
        <f>SUMIFS(SevkAdetleri!$D:$D,SevkAdetleri!$A:$A,A249,SevkAdetleri!$E:$E,"KASIM")</f>
        <v>0</v>
      </c>
      <c r="R249" s="133">
        <f>SUMIFS(SevkAdetleri!$D:$D,SevkAdetleri!$A:$A,A249,SevkAdetleri!$E:$E,"ARALIK")</f>
        <v>0</v>
      </c>
    </row>
    <row r="250" spans="1:18">
      <c r="A250" s="120" t="s">
        <v>93</v>
      </c>
      <c r="B250" s="133" t="str">
        <f>VLOOKUP(Tablo810[[#This Row],[ ÜRÜN KODU]],YMKODLARI!$A$1:$H$376,2,0)</f>
        <v>EMZİK ASKI TIPA ÖRDEK</v>
      </c>
      <c r="C250" s="133">
        <f>SUMIF(Tablo8[[ ÜRÜN KODU]],Tablo810[[#This Row],[ ÜRÜN KODU]],Tablo8[SEVK ADEDİ])-Tablo810[[#This Row],[GERİ İADE ÜRÜN]]</f>
        <v>6215</v>
      </c>
      <c r="D250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7008</v>
      </c>
      <c r="E250" s="133"/>
      <c r="F250" s="133">
        <f t="shared" ref="F250:F256" si="5">(D250-C250)+E250</f>
        <v>793</v>
      </c>
      <c r="G250" s="134">
        <f>SUMIFS(SevkAdetleri!$D:$D,SevkAdetleri!$A:$A,A250,SevkAdetleri!$E:$E,"OCAK")</f>
        <v>0</v>
      </c>
      <c r="H250" s="133">
        <f>SUMIFS(SevkAdetleri!$D:$D,SevkAdetleri!$A:$A,A250,SevkAdetleri!$E:$E,"ŞUBAT")</f>
        <v>0</v>
      </c>
      <c r="I250" s="133">
        <f>SUMIFS(SevkAdetleri!$D:$D,SevkAdetleri!$A:$A,A250,SevkAdetleri!$E:$E,"MART")</f>
        <v>0</v>
      </c>
      <c r="J250" s="133">
        <f>SUMIFS(SevkAdetleri!$D:$D,SevkAdetleri!$A:$A,A250,SevkAdetleri!$E:$E,"NİSAN")</f>
        <v>0</v>
      </c>
      <c r="K250" s="133">
        <f>SUMIFS(SevkAdetleri!$D:$D,SevkAdetleri!$A:$A,A250,SevkAdetleri!$E:$E,"MAYIS")</f>
        <v>0</v>
      </c>
      <c r="L250" s="133">
        <f>SUMIFS(SevkAdetleri!$D:$D,SevkAdetleri!$A:$A,A250,SevkAdetleri!$E:$E,"HAZIRAN")</f>
        <v>0</v>
      </c>
      <c r="M250" s="133">
        <f>SUMIFS(SevkAdetleri!$D:$D,SevkAdetleri!$A:$A,A250,SevkAdetleri!$E:$E,"TEMMUZ")</f>
        <v>3215</v>
      </c>
      <c r="N250" s="133">
        <f>SUMIFS(SevkAdetleri!$D:$D,SevkAdetleri!$A:$A,A250,SevkAdetleri!$E:$E,"AĞUSTOS")</f>
        <v>0</v>
      </c>
      <c r="O250" s="133">
        <f>SUMIFS(SevkAdetleri!$D:$D,SevkAdetleri!$A:$A,A250,SevkAdetleri!$E:$E,"EYLÜL")</f>
        <v>3000</v>
      </c>
      <c r="P250" s="133">
        <f>SUMIFS(SevkAdetleri!$D:$D,SevkAdetleri!$A:$A,A250,SevkAdetleri!$E:$E,"EKİM")</f>
        <v>0</v>
      </c>
      <c r="Q250" s="133">
        <f>SUMIFS(SevkAdetleri!$D:$D,SevkAdetleri!$A:$A,A250,SevkAdetleri!$E:$E,"KASIM")</f>
        <v>0</v>
      </c>
      <c r="R250" s="133">
        <f>SUMIFS(SevkAdetleri!$D:$D,SevkAdetleri!$A:$A,A250,SevkAdetleri!$E:$E,"ARALIK")</f>
        <v>0</v>
      </c>
    </row>
    <row r="251" spans="1:18">
      <c r="A251" s="120" t="s">
        <v>94</v>
      </c>
      <c r="B251" s="133" t="str">
        <f>VLOOKUP(Tablo810[[#This Row],[ ÜRÜN KODU]],YMKODLARI!$A$1:$H$376,2,0)</f>
        <v>EMZİK ASKI TIPA ÖRDEK</v>
      </c>
      <c r="C251" s="133">
        <f>SUMIF(Tablo8[[ ÜRÜN KODU]],Tablo810[[#This Row],[ ÜRÜN KODU]],Tablo8[SEVK ADEDİ])-Tablo810[[#This Row],[GERİ İADE ÜRÜN]]</f>
        <v>6427</v>
      </c>
      <c r="D251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8000</v>
      </c>
      <c r="E251" s="133"/>
      <c r="F251" s="133">
        <f t="shared" si="5"/>
        <v>1573</v>
      </c>
      <c r="G251" s="134">
        <f>SUMIFS(SevkAdetleri!$D:$D,SevkAdetleri!$A:$A,A251,SevkAdetleri!$E:$E,"OCAK")</f>
        <v>0</v>
      </c>
      <c r="H251" s="133">
        <f>SUMIFS(SevkAdetleri!$D:$D,SevkAdetleri!$A:$A,A251,SevkAdetleri!$E:$E,"ŞUBAT")</f>
        <v>0</v>
      </c>
      <c r="I251" s="133">
        <f>SUMIFS(SevkAdetleri!$D:$D,SevkAdetleri!$A:$A,A251,SevkAdetleri!$E:$E,"MART")</f>
        <v>0</v>
      </c>
      <c r="J251" s="133">
        <f>SUMIFS(SevkAdetleri!$D:$D,SevkAdetleri!$A:$A,A251,SevkAdetleri!$E:$E,"NİSAN")</f>
        <v>0</v>
      </c>
      <c r="K251" s="133">
        <f>SUMIFS(SevkAdetleri!$D:$D,SevkAdetleri!$A:$A,A251,SevkAdetleri!$E:$E,"MAYIS")</f>
        <v>0</v>
      </c>
      <c r="L251" s="133">
        <f>SUMIFS(SevkAdetleri!$D:$D,SevkAdetleri!$A:$A,A251,SevkAdetleri!$E:$E,"HAZIRAN")</f>
        <v>0</v>
      </c>
      <c r="M251" s="133">
        <f>SUMIFS(SevkAdetleri!$D:$D,SevkAdetleri!$A:$A,A251,SevkAdetleri!$E:$E,"TEMMUZ")</f>
        <v>3275</v>
      </c>
      <c r="N251" s="133">
        <f>SUMIFS(SevkAdetleri!$D:$D,SevkAdetleri!$A:$A,A251,SevkAdetleri!$E:$E,"AĞUSTOS")</f>
        <v>0</v>
      </c>
      <c r="O251" s="133">
        <f>SUMIFS(SevkAdetleri!$D:$D,SevkAdetleri!$A:$A,A251,SevkAdetleri!$E:$E,"EYLÜL")</f>
        <v>3152</v>
      </c>
      <c r="P251" s="133">
        <f>SUMIFS(SevkAdetleri!$D:$D,SevkAdetleri!$A:$A,A251,SevkAdetleri!$E:$E,"EKİM")</f>
        <v>0</v>
      </c>
      <c r="Q251" s="133">
        <f>SUMIFS(SevkAdetleri!$D:$D,SevkAdetleri!$A:$A,A251,SevkAdetleri!$E:$E,"KASIM")</f>
        <v>0</v>
      </c>
      <c r="R251" s="133">
        <f>SUMIFS(SevkAdetleri!$D:$D,SevkAdetleri!$A:$A,A251,SevkAdetleri!$E:$E,"ARALIK")</f>
        <v>0</v>
      </c>
    </row>
    <row r="252" spans="1:18">
      <c r="A252" s="120" t="s">
        <v>95</v>
      </c>
      <c r="B252" s="133" t="str">
        <f>VLOOKUP(Tablo810[[#This Row],[ ÜRÜN KODU]],YMKODLARI!$A$1:$H$376,2,0)</f>
        <v>EMZİK ASKI TIPA ÖRDEK</v>
      </c>
      <c r="C252" s="133">
        <f>SUMIF(Tablo8[[ ÜRÜN KODU]],Tablo810[[#This Row],[ ÜRÜN KODU]],Tablo8[SEVK ADEDİ])-Tablo810[[#This Row],[GERİ İADE ÜRÜN]]</f>
        <v>6178</v>
      </c>
      <c r="D252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7080</v>
      </c>
      <c r="E252" s="133"/>
      <c r="F252" s="133">
        <f t="shared" si="5"/>
        <v>902</v>
      </c>
      <c r="G252" s="134">
        <f>SUMIFS(SevkAdetleri!$D:$D,SevkAdetleri!$A:$A,A252,SevkAdetleri!$E:$E,"OCAK")</f>
        <v>0</v>
      </c>
      <c r="H252" s="133">
        <f>SUMIFS(SevkAdetleri!$D:$D,SevkAdetleri!$A:$A,A252,SevkAdetleri!$E:$E,"ŞUBAT")</f>
        <v>0</v>
      </c>
      <c r="I252" s="133">
        <f>SUMIFS(SevkAdetleri!$D:$D,SevkAdetleri!$A:$A,A252,SevkAdetleri!$E:$E,"MART")</f>
        <v>0</v>
      </c>
      <c r="J252" s="133">
        <f>SUMIFS(SevkAdetleri!$D:$D,SevkAdetleri!$A:$A,A252,SevkAdetleri!$E:$E,"NİSAN")</f>
        <v>0</v>
      </c>
      <c r="K252" s="133">
        <f>SUMIFS(SevkAdetleri!$D:$D,SevkAdetleri!$A:$A,A252,SevkAdetleri!$E:$E,"MAYIS")</f>
        <v>0</v>
      </c>
      <c r="L252" s="133">
        <f>SUMIFS(SevkAdetleri!$D:$D,SevkAdetleri!$A:$A,A252,SevkAdetleri!$E:$E,"HAZIRAN")</f>
        <v>0</v>
      </c>
      <c r="M252" s="133">
        <f>SUMIFS(SevkAdetleri!$D:$D,SevkAdetleri!$A:$A,A252,SevkAdetleri!$E:$E,"TEMMUZ")</f>
        <v>3340</v>
      </c>
      <c r="N252" s="133">
        <f>SUMIFS(SevkAdetleri!$D:$D,SevkAdetleri!$A:$A,A252,SevkAdetleri!$E:$E,"AĞUSTOS")</f>
        <v>0</v>
      </c>
      <c r="O252" s="133">
        <f>SUMIFS(SevkAdetleri!$D:$D,SevkAdetleri!$A:$A,A252,SevkAdetleri!$E:$E,"EYLÜL")</f>
        <v>2838</v>
      </c>
      <c r="P252" s="133">
        <f>SUMIFS(SevkAdetleri!$D:$D,SevkAdetleri!$A:$A,A252,SevkAdetleri!$E:$E,"EKİM")</f>
        <v>0</v>
      </c>
      <c r="Q252" s="133">
        <f>SUMIFS(SevkAdetleri!$D:$D,SevkAdetleri!$A:$A,A252,SevkAdetleri!$E:$E,"KASIM")</f>
        <v>0</v>
      </c>
      <c r="R252" s="133">
        <f>SUMIFS(SevkAdetleri!$D:$D,SevkAdetleri!$A:$A,A252,SevkAdetleri!$E:$E,"ARALIK")</f>
        <v>0</v>
      </c>
    </row>
    <row r="253" spans="1:18">
      <c r="A253" s="120" t="s">
        <v>96</v>
      </c>
      <c r="B253" s="133" t="str">
        <f>VLOOKUP(Tablo810[[#This Row],[ ÜRÜN KODU]],YMKODLARI!$A$1:$H$376,2,0)</f>
        <v>EMZİK ASKI TIPA ÖRDEK</v>
      </c>
      <c r="C253" s="133">
        <f>SUMIF(Tablo8[[ ÜRÜN KODU]],Tablo810[[#This Row],[ ÜRÜN KODU]],Tablo8[SEVK ADEDİ])-Tablo810[[#This Row],[GERİ İADE ÜRÜN]]</f>
        <v>6254</v>
      </c>
      <c r="D253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6984</v>
      </c>
      <c r="E253" s="133"/>
      <c r="F253" s="133">
        <f t="shared" si="5"/>
        <v>730</v>
      </c>
      <c r="G253" s="134">
        <f>SUMIFS(SevkAdetleri!$D:$D,SevkAdetleri!$A:$A,A253,SevkAdetleri!$E:$E,"OCAK")</f>
        <v>0</v>
      </c>
      <c r="H253" s="133">
        <f>SUMIFS(SevkAdetleri!$D:$D,SevkAdetleri!$A:$A,A253,SevkAdetleri!$E:$E,"ŞUBAT")</f>
        <v>0</v>
      </c>
      <c r="I253" s="133">
        <f>SUMIFS(SevkAdetleri!$D:$D,SevkAdetleri!$A:$A,A253,SevkAdetleri!$E:$E,"MART")</f>
        <v>0</v>
      </c>
      <c r="J253" s="133">
        <f>SUMIFS(SevkAdetleri!$D:$D,SevkAdetleri!$A:$A,A253,SevkAdetleri!$E:$E,"NİSAN")</f>
        <v>0</v>
      </c>
      <c r="K253" s="133">
        <f>SUMIFS(SevkAdetleri!$D:$D,SevkAdetleri!$A:$A,A253,SevkAdetleri!$E:$E,"MAYIS")</f>
        <v>0</v>
      </c>
      <c r="L253" s="133">
        <f>SUMIFS(SevkAdetleri!$D:$D,SevkAdetleri!$A:$A,A253,SevkAdetleri!$E:$E,"HAZIRAN")</f>
        <v>0</v>
      </c>
      <c r="M253" s="133">
        <f>SUMIFS(SevkAdetleri!$D:$D,SevkAdetleri!$A:$A,A253,SevkAdetleri!$E:$E,"TEMMUZ")</f>
        <v>3230</v>
      </c>
      <c r="N253" s="133">
        <f>SUMIFS(SevkAdetleri!$D:$D,SevkAdetleri!$A:$A,A253,SevkAdetleri!$E:$E,"AĞUSTOS")</f>
        <v>0</v>
      </c>
      <c r="O253" s="133">
        <f>SUMIFS(SevkAdetleri!$D:$D,SevkAdetleri!$A:$A,A253,SevkAdetleri!$E:$E,"EYLÜL")</f>
        <v>3024</v>
      </c>
      <c r="P253" s="133">
        <f>SUMIFS(SevkAdetleri!$D:$D,SevkAdetleri!$A:$A,A253,SevkAdetleri!$E:$E,"EKİM")</f>
        <v>0</v>
      </c>
      <c r="Q253" s="133">
        <f>SUMIFS(SevkAdetleri!$D:$D,SevkAdetleri!$A:$A,A253,SevkAdetleri!$E:$E,"KASIM")</f>
        <v>0</v>
      </c>
      <c r="R253" s="133">
        <f>SUMIFS(SevkAdetleri!$D:$D,SevkAdetleri!$A:$A,A253,SevkAdetleri!$E:$E,"ARALIK")</f>
        <v>0</v>
      </c>
    </row>
    <row r="254" spans="1:18">
      <c r="A254" s="121" t="s">
        <v>91</v>
      </c>
      <c r="B254" s="133" t="str">
        <f>VLOOKUP(Tablo810[[#This Row],[ ÜRÜN KODU]],YMKODLARI!$A$1:$H$376,2,0)</f>
        <v>EMZİK ASKI TIPA ÖRDEK</v>
      </c>
      <c r="C254" s="133">
        <f>SUMIF(Tablo8[[ ÜRÜN KODU]],Tablo810[[#This Row],[ ÜRÜN KODU]],Tablo8[SEVK ADEDİ])-Tablo810[[#This Row],[GERİ İADE ÜRÜN]]</f>
        <v>4260</v>
      </c>
      <c r="D254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4680</v>
      </c>
      <c r="E254" s="133"/>
      <c r="F254" s="133">
        <f t="shared" si="5"/>
        <v>420</v>
      </c>
      <c r="G254" s="134">
        <f>SUMIFS(SevkAdetleri!$D:$D,SevkAdetleri!$A:$A,A254,SevkAdetleri!$E:$E,"OCAK")</f>
        <v>0</v>
      </c>
      <c r="H254" s="133">
        <f>SUMIFS(SevkAdetleri!$D:$D,SevkAdetleri!$A:$A,A254,SevkAdetleri!$E:$E,"ŞUBAT")</f>
        <v>0</v>
      </c>
      <c r="I254" s="133">
        <f>SUMIFS(SevkAdetleri!$D:$D,SevkAdetleri!$A:$A,A254,SevkAdetleri!$E:$E,"MART")</f>
        <v>0</v>
      </c>
      <c r="J254" s="133">
        <f>SUMIFS(SevkAdetleri!$D:$D,SevkAdetleri!$A:$A,A254,SevkAdetleri!$E:$E,"NİSAN")</f>
        <v>0</v>
      </c>
      <c r="K254" s="133">
        <f>SUMIFS(SevkAdetleri!$D:$D,SevkAdetleri!$A:$A,A254,SevkAdetleri!$E:$E,"MAYIS")</f>
        <v>0</v>
      </c>
      <c r="L254" s="133">
        <f>SUMIFS(SevkAdetleri!$D:$D,SevkAdetleri!$A:$A,A254,SevkAdetleri!$E:$E,"HAZIRAN")</f>
        <v>0</v>
      </c>
      <c r="M254" s="133">
        <f>SUMIFS(SevkAdetleri!$D:$D,SevkAdetleri!$A:$A,A254,SevkAdetleri!$E:$E,"TEMMUZ")</f>
        <v>4260</v>
      </c>
      <c r="N254" s="133">
        <f>SUMIFS(SevkAdetleri!$D:$D,SevkAdetleri!$A:$A,A254,SevkAdetleri!$E:$E,"AĞUSTOS")</f>
        <v>0</v>
      </c>
      <c r="O254" s="133">
        <f>SUMIFS(SevkAdetleri!$D:$D,SevkAdetleri!$A:$A,A254,SevkAdetleri!$E:$E,"EYLÜL")</f>
        <v>0</v>
      </c>
      <c r="P254" s="133">
        <f>SUMIFS(SevkAdetleri!$D:$D,SevkAdetleri!$A:$A,A254,SevkAdetleri!$E:$E,"EKİM")</f>
        <v>0</v>
      </c>
      <c r="Q254" s="133">
        <f>SUMIFS(SevkAdetleri!$D:$D,SevkAdetleri!$A:$A,A254,SevkAdetleri!$E:$E,"KASIM")</f>
        <v>0</v>
      </c>
      <c r="R254" s="133">
        <f>SUMIFS(SevkAdetleri!$D:$D,SevkAdetleri!$A:$A,A254,SevkAdetleri!$E:$E,"ARALIK")</f>
        <v>0</v>
      </c>
    </row>
    <row r="255" spans="1:18">
      <c r="A255" s="121" t="s">
        <v>89</v>
      </c>
      <c r="B255" s="133" t="str">
        <f>VLOOKUP(Tablo810[[#This Row],[ ÜRÜN KODU]],YMKODLARI!$A$1:$H$376,2,0)</f>
        <v>EMZİK ASKI TIPA ÖRDEK</v>
      </c>
      <c r="C255" s="133">
        <f>SUMIF(Tablo8[[ ÜRÜN KODU]],Tablo810[[#This Row],[ ÜRÜN KODU]],Tablo8[SEVK ADEDİ])-Tablo810[[#This Row],[GERİ İADE ÜRÜN]]</f>
        <v>5210</v>
      </c>
      <c r="D255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5624</v>
      </c>
      <c r="E255" s="133"/>
      <c r="F255" s="133">
        <f t="shared" si="5"/>
        <v>414</v>
      </c>
      <c r="G255" s="134">
        <f>SUMIFS(SevkAdetleri!$D:$D,SevkAdetleri!$A:$A,A255,SevkAdetleri!$E:$E,"OCAK")</f>
        <v>0</v>
      </c>
      <c r="H255" s="133">
        <f>SUMIFS(SevkAdetleri!$D:$D,SevkAdetleri!$A:$A,A255,SevkAdetleri!$E:$E,"ŞUBAT")</f>
        <v>0</v>
      </c>
      <c r="I255" s="133">
        <f>SUMIFS(SevkAdetleri!$D:$D,SevkAdetleri!$A:$A,A255,SevkAdetleri!$E:$E,"MART")</f>
        <v>0</v>
      </c>
      <c r="J255" s="133">
        <f>SUMIFS(SevkAdetleri!$D:$D,SevkAdetleri!$A:$A,A255,SevkAdetleri!$E:$E,"NİSAN")</f>
        <v>0</v>
      </c>
      <c r="K255" s="133">
        <f>SUMIFS(SevkAdetleri!$D:$D,SevkAdetleri!$A:$A,A255,SevkAdetleri!$E:$E,"MAYIS")</f>
        <v>0</v>
      </c>
      <c r="L255" s="133">
        <f>SUMIFS(SevkAdetleri!$D:$D,SevkAdetleri!$A:$A,A255,SevkAdetleri!$E:$E,"HAZIRAN")</f>
        <v>0</v>
      </c>
      <c r="M255" s="133">
        <f>SUMIFS(SevkAdetleri!$D:$D,SevkAdetleri!$A:$A,A255,SevkAdetleri!$E:$E,"TEMMUZ")</f>
        <v>5210</v>
      </c>
      <c r="N255" s="133">
        <f>SUMIFS(SevkAdetleri!$D:$D,SevkAdetleri!$A:$A,A255,SevkAdetleri!$E:$E,"AĞUSTOS")</f>
        <v>0</v>
      </c>
      <c r="O255" s="133">
        <f>SUMIFS(SevkAdetleri!$D:$D,SevkAdetleri!$A:$A,A255,SevkAdetleri!$E:$E,"EYLÜL")</f>
        <v>0</v>
      </c>
      <c r="P255" s="133">
        <f>SUMIFS(SevkAdetleri!$D:$D,SevkAdetleri!$A:$A,A255,SevkAdetleri!$E:$E,"EKİM")</f>
        <v>0</v>
      </c>
      <c r="Q255" s="133">
        <f>SUMIFS(SevkAdetleri!$D:$D,SevkAdetleri!$A:$A,A255,SevkAdetleri!$E:$E,"KASIM")</f>
        <v>0</v>
      </c>
      <c r="R255" s="133">
        <f>SUMIFS(SevkAdetleri!$D:$D,SevkAdetleri!$A:$A,A255,SevkAdetleri!$E:$E,"ARALIK")</f>
        <v>0</v>
      </c>
    </row>
    <row r="256" spans="1:18">
      <c r="A256" s="121" t="s">
        <v>90</v>
      </c>
      <c r="B256" s="133" t="str">
        <f>VLOOKUP(Tablo810[[#This Row],[ ÜRÜN KODU]],YMKODLARI!$A$1:$H$376,2,0)</f>
        <v>EMZİK ASKI TIPA ÖRDEK</v>
      </c>
      <c r="C256" s="133">
        <f>SUMIF(Tablo8[[ ÜRÜN KODU]],Tablo810[[#This Row],[ ÜRÜN KODU]],Tablo8[SEVK ADEDİ])-Tablo810[[#This Row],[GERİ İADE ÜRÜN]]</f>
        <v>4345</v>
      </c>
      <c r="D256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5168</v>
      </c>
      <c r="E256" s="133"/>
      <c r="F256" s="133">
        <f t="shared" si="5"/>
        <v>823</v>
      </c>
      <c r="G256" s="134">
        <f>SUMIFS(SevkAdetleri!$D:$D,SevkAdetleri!$A:$A,A256,SevkAdetleri!$E:$E,"OCAK")</f>
        <v>0</v>
      </c>
      <c r="H256" s="133">
        <f>SUMIFS(SevkAdetleri!$D:$D,SevkAdetleri!$A:$A,A256,SevkAdetleri!$E:$E,"ŞUBAT")</f>
        <v>0</v>
      </c>
      <c r="I256" s="133">
        <f>SUMIFS(SevkAdetleri!$D:$D,SevkAdetleri!$A:$A,A256,SevkAdetleri!$E:$E,"MART")</f>
        <v>0</v>
      </c>
      <c r="J256" s="133">
        <f>SUMIFS(SevkAdetleri!$D:$D,SevkAdetleri!$A:$A,A256,SevkAdetleri!$E:$E,"NİSAN")</f>
        <v>0</v>
      </c>
      <c r="K256" s="133">
        <f>SUMIFS(SevkAdetleri!$D:$D,SevkAdetleri!$A:$A,A256,SevkAdetleri!$E:$E,"MAYIS")</f>
        <v>0</v>
      </c>
      <c r="L256" s="133">
        <f>SUMIFS(SevkAdetleri!$D:$D,SevkAdetleri!$A:$A,A256,SevkAdetleri!$E:$E,"HAZIRAN")</f>
        <v>0</v>
      </c>
      <c r="M256" s="133">
        <f>SUMIFS(SevkAdetleri!$D:$D,SevkAdetleri!$A:$A,A256,SevkAdetleri!$E:$E,"TEMMUZ")</f>
        <v>4345</v>
      </c>
      <c r="N256" s="133">
        <f>SUMIFS(SevkAdetleri!$D:$D,SevkAdetleri!$A:$A,A256,SevkAdetleri!$E:$E,"AĞUSTOS")</f>
        <v>0</v>
      </c>
      <c r="O256" s="133">
        <f>SUMIFS(SevkAdetleri!$D:$D,SevkAdetleri!$A:$A,A256,SevkAdetleri!$E:$E,"EYLÜL")</f>
        <v>0</v>
      </c>
      <c r="P256" s="133">
        <f>SUMIFS(SevkAdetleri!$D:$D,SevkAdetleri!$A:$A,A256,SevkAdetleri!$E:$E,"EKİM")</f>
        <v>0</v>
      </c>
      <c r="Q256" s="133">
        <f>SUMIFS(SevkAdetleri!$D:$D,SevkAdetleri!$A:$A,A256,SevkAdetleri!$E:$E,"KASIM")</f>
        <v>0</v>
      </c>
      <c r="R256" s="133">
        <f>SUMIFS(SevkAdetleri!$D:$D,SevkAdetleri!$A:$A,A256,SevkAdetleri!$E:$E,"ARALIK")</f>
        <v>0</v>
      </c>
    </row>
    <row r="257" spans="1:18">
      <c r="A257" s="121" t="s">
        <v>92</v>
      </c>
      <c r="B257" s="133" t="str">
        <f>VLOOKUP(Tablo810[[#This Row],[ ÜRÜN KODU]],YMKODLARI!$A$1:$H$376,2,0)</f>
        <v>EMZİK ASKI TIPA ÖRDEK</v>
      </c>
      <c r="C257" s="133">
        <f>SUMIF(Tablo8[[ ÜRÜN KODU]],Tablo810[[#This Row],[ ÜRÜN KODU]],Tablo8[SEVK ADEDİ])-Tablo810[[#This Row],[GERİ İADE ÜRÜN]]</f>
        <v>2700</v>
      </c>
      <c r="D257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3552</v>
      </c>
      <c r="E257" s="133"/>
      <c r="F257" s="133">
        <f t="shared" si="3"/>
        <v>852</v>
      </c>
      <c r="G257" s="133">
        <f>SUMIFS(SevkAdetleri!$D:$D,SevkAdetleri!$A:$A,A257,SevkAdetleri!$E:$E,"OCAK")</f>
        <v>0</v>
      </c>
      <c r="H257" s="133">
        <f>SUMIFS(SevkAdetleri!$D:$D,SevkAdetleri!$A:$A,A257,SevkAdetleri!$E:$E,"ŞUBAT")</f>
        <v>0</v>
      </c>
      <c r="I257" s="133">
        <f>SUMIFS(SevkAdetleri!$D:$D,SevkAdetleri!$A:$A,A257,SevkAdetleri!$E:$E,"MART")</f>
        <v>0</v>
      </c>
      <c r="J257" s="133">
        <f>SUMIFS(SevkAdetleri!$D:$D,SevkAdetleri!$A:$A,A257,SevkAdetleri!$E:$E,"NİSAN")</f>
        <v>0</v>
      </c>
      <c r="K257" s="133">
        <f>SUMIFS(SevkAdetleri!$D:$D,SevkAdetleri!$A:$A,A257,SevkAdetleri!$E:$E,"MAYIS")</f>
        <v>0</v>
      </c>
      <c r="L257" s="133">
        <f>SUMIFS(SevkAdetleri!$D:$D,SevkAdetleri!$A:$A,A257,SevkAdetleri!$E:$E,"HAZIRAN")</f>
        <v>0</v>
      </c>
      <c r="M257" s="133">
        <f>SUMIFS(SevkAdetleri!$D:$D,SevkAdetleri!$A:$A,A257,SevkAdetleri!$E:$E,"TEMMUZ")</f>
        <v>2700</v>
      </c>
      <c r="N257" s="133">
        <f>SUMIFS(SevkAdetleri!$D:$D,SevkAdetleri!$A:$A,A257,SevkAdetleri!$E:$E,"AĞUSTOS")</f>
        <v>0</v>
      </c>
      <c r="O257" s="133">
        <f>SUMIFS(SevkAdetleri!$D:$D,SevkAdetleri!$A:$A,A257,SevkAdetleri!$E:$E,"EYLÜL")</f>
        <v>0</v>
      </c>
      <c r="P257" s="133">
        <f>SUMIFS(SevkAdetleri!$D:$D,SevkAdetleri!$A:$A,A257,SevkAdetleri!$E:$E,"EKİM")</f>
        <v>0</v>
      </c>
      <c r="Q257" s="133">
        <f>SUMIFS(SevkAdetleri!$D:$D,SevkAdetleri!$A:$A,A257,SevkAdetleri!$E:$E,"KASIM")</f>
        <v>0</v>
      </c>
      <c r="R257" s="133">
        <f>SUMIFS(SevkAdetleri!$D:$D,SevkAdetleri!$A:$A,A257,SevkAdetleri!$E:$E,"ARALIK")</f>
        <v>0</v>
      </c>
    </row>
    <row r="258" spans="1:18">
      <c r="A258" s="120" t="s">
        <v>355</v>
      </c>
      <c r="B258" s="133" t="str">
        <f>VLOOKUP(Tablo810[[#This Row],[ ÜRÜN KODU]],YMKODLARI!$A$1:$H$376,2,0)</f>
        <v>EMZİK ASKISI KISKAÇ ERKEK</v>
      </c>
      <c r="C258" s="133">
        <f>SUMIF(Tablo8[[ ÜRÜN KODU]],Tablo810[[#This Row],[ ÜRÜN KODU]],Tablo8[SEVK ADEDİ])-Tablo810[[#This Row],[GERİ İADE ÜRÜN]]</f>
        <v>0</v>
      </c>
      <c r="D258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258" s="133"/>
      <c r="F258" s="133">
        <f t="shared" ref="F258:F277" si="6">(D258-C258)+E258</f>
        <v>0</v>
      </c>
      <c r="G258" s="134">
        <f>SUMIFS(SevkAdetleri!$D:$D,SevkAdetleri!$A:$A,A258,SevkAdetleri!$E:$E,"OCAK")</f>
        <v>0</v>
      </c>
      <c r="H258" s="133">
        <f>SUMIFS(SevkAdetleri!$D:$D,SevkAdetleri!$A:$A,A258,SevkAdetleri!$E:$E,"ŞUBAT")</f>
        <v>0</v>
      </c>
      <c r="I258" s="133">
        <f>SUMIFS(SevkAdetleri!$D:$D,SevkAdetleri!$A:$A,A258,SevkAdetleri!$E:$E,"MART")</f>
        <v>0</v>
      </c>
      <c r="J258" s="133">
        <f>SUMIFS(SevkAdetleri!$D:$D,SevkAdetleri!$A:$A,A258,SevkAdetleri!$E:$E,"NİSAN")</f>
        <v>0</v>
      </c>
      <c r="K258" s="133">
        <f>SUMIFS(SevkAdetleri!$D:$D,SevkAdetleri!$A:$A,A258,SevkAdetleri!$E:$E,"MAYIS")</f>
        <v>0</v>
      </c>
      <c r="L258" s="133">
        <f>SUMIFS(SevkAdetleri!$D:$D,SevkAdetleri!$A:$A,A258,SevkAdetleri!$E:$E,"HAZIRAN")</f>
        <v>0</v>
      </c>
      <c r="M258" s="133">
        <f>SUMIFS(SevkAdetleri!$D:$D,SevkAdetleri!$A:$A,A258,SevkAdetleri!$E:$E,"TEMMUZ")</f>
        <v>0</v>
      </c>
      <c r="N258" s="133">
        <f>SUMIFS(SevkAdetleri!$D:$D,SevkAdetleri!$A:$A,A258,SevkAdetleri!$E:$E,"AĞUSTOS")</f>
        <v>0</v>
      </c>
      <c r="O258" s="133">
        <f>SUMIFS(SevkAdetleri!$D:$D,SevkAdetleri!$A:$A,A258,SevkAdetleri!$E:$E,"EYLÜL")</f>
        <v>0</v>
      </c>
      <c r="P258" s="133">
        <f>SUMIFS(SevkAdetleri!$D:$D,SevkAdetleri!$A:$A,A258,SevkAdetleri!$E:$E,"EKİM")</f>
        <v>0</v>
      </c>
      <c r="Q258" s="133">
        <f>SUMIFS(SevkAdetleri!$D:$D,SevkAdetleri!$A:$A,A258,SevkAdetleri!$E:$E,"KASIM")</f>
        <v>0</v>
      </c>
      <c r="R258" s="133">
        <f>SUMIFS(SevkAdetleri!$D:$D,SevkAdetleri!$A:$A,A258,SevkAdetleri!$E:$E,"ARALIK")</f>
        <v>0</v>
      </c>
    </row>
    <row r="259" spans="1:18">
      <c r="A259" s="120" t="s">
        <v>106</v>
      </c>
      <c r="B259" s="133" t="str">
        <f>VLOOKUP(Tablo810[[#This Row],[ ÜRÜN KODU]],YMKODLARI!$A$1:$H$376,2,0)</f>
        <v>EMZİK ASKISI KISKAÇ ERKEK</v>
      </c>
      <c r="C259" s="133">
        <f>SUMIF(Tablo8[[ ÜRÜN KODU]],Tablo810[[#This Row],[ ÜRÜN KODU]],Tablo8[SEVK ADEDİ])-Tablo810[[#This Row],[GERİ İADE ÜRÜN]]</f>
        <v>7280</v>
      </c>
      <c r="D259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7920</v>
      </c>
      <c r="E259" s="133"/>
      <c r="F259" s="133">
        <f t="shared" si="6"/>
        <v>640</v>
      </c>
      <c r="G259" s="134">
        <f>SUMIFS(SevkAdetleri!$D:$D,SevkAdetleri!$A:$A,A259,SevkAdetleri!$E:$E,"OCAK")</f>
        <v>0</v>
      </c>
      <c r="H259" s="133">
        <f>SUMIFS(SevkAdetleri!$D:$D,SevkAdetleri!$A:$A,A259,SevkAdetleri!$E:$E,"ŞUBAT")</f>
        <v>0</v>
      </c>
      <c r="I259" s="133">
        <f>SUMIFS(SevkAdetleri!$D:$D,SevkAdetleri!$A:$A,A259,SevkAdetleri!$E:$E,"MART")</f>
        <v>0</v>
      </c>
      <c r="J259" s="133">
        <f>SUMIFS(SevkAdetleri!$D:$D,SevkAdetleri!$A:$A,A259,SevkAdetleri!$E:$E,"NİSAN")</f>
        <v>0</v>
      </c>
      <c r="K259" s="133">
        <f>SUMIFS(SevkAdetleri!$D:$D,SevkAdetleri!$A:$A,A259,SevkAdetleri!$E:$E,"MAYIS")</f>
        <v>0</v>
      </c>
      <c r="L259" s="133">
        <f>SUMIFS(SevkAdetleri!$D:$D,SevkAdetleri!$A:$A,A259,SevkAdetleri!$E:$E,"HAZIRAN")</f>
        <v>0</v>
      </c>
      <c r="M259" s="133">
        <f>SUMIFS(SevkAdetleri!$D:$D,SevkAdetleri!$A:$A,A259,SevkAdetleri!$E:$E,"TEMMUZ")</f>
        <v>0</v>
      </c>
      <c r="N259" s="133">
        <f>SUMIFS(SevkAdetleri!$D:$D,SevkAdetleri!$A:$A,A259,SevkAdetleri!$E:$E,"AĞUSTOS")</f>
        <v>4280</v>
      </c>
      <c r="O259" s="133">
        <f>SUMIFS(SevkAdetleri!$D:$D,SevkAdetleri!$A:$A,A259,SevkAdetleri!$E:$E,"EYLÜL")</f>
        <v>3000</v>
      </c>
      <c r="P259" s="133">
        <f>SUMIFS(SevkAdetleri!$D:$D,SevkAdetleri!$A:$A,A259,SevkAdetleri!$E:$E,"EKİM")</f>
        <v>0</v>
      </c>
      <c r="Q259" s="133">
        <f>SUMIFS(SevkAdetleri!$D:$D,SevkAdetleri!$A:$A,A259,SevkAdetleri!$E:$E,"KASIM")</f>
        <v>0</v>
      </c>
      <c r="R259" s="133">
        <f>SUMIFS(SevkAdetleri!$D:$D,SevkAdetleri!$A:$A,A259,SevkAdetleri!$E:$E,"ARALIK")</f>
        <v>0</v>
      </c>
    </row>
    <row r="260" spans="1:18">
      <c r="A260" s="120" t="s">
        <v>104</v>
      </c>
      <c r="B260" s="133" t="str">
        <f>VLOOKUP(Tablo810[[#This Row],[ ÜRÜN KODU]],YMKODLARI!$A$1:$H$376,2,0)</f>
        <v>EMZİK ASKISI KISKAÇ ERKEK</v>
      </c>
      <c r="C260" s="133">
        <f>SUMIF(Tablo8[[ ÜRÜN KODU]],Tablo810[[#This Row],[ ÜRÜN KODU]],Tablo8[SEVK ADEDİ])-Tablo810[[#This Row],[GERİ İADE ÜRÜN]]</f>
        <v>5995</v>
      </c>
      <c r="D260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7216</v>
      </c>
      <c r="E260" s="133"/>
      <c r="F260" s="133">
        <f t="shared" si="6"/>
        <v>1221</v>
      </c>
      <c r="G260" s="134">
        <f>SUMIFS(SevkAdetleri!$D:$D,SevkAdetleri!$A:$A,A260,SevkAdetleri!$E:$E,"OCAK")</f>
        <v>0</v>
      </c>
      <c r="H260" s="133">
        <f>SUMIFS(SevkAdetleri!$D:$D,SevkAdetleri!$A:$A,A260,SevkAdetleri!$E:$E,"ŞUBAT")</f>
        <v>0</v>
      </c>
      <c r="I260" s="133">
        <f>SUMIFS(SevkAdetleri!$D:$D,SevkAdetleri!$A:$A,A260,SevkAdetleri!$E:$E,"MART")</f>
        <v>0</v>
      </c>
      <c r="J260" s="133">
        <f>SUMIFS(SevkAdetleri!$D:$D,SevkAdetleri!$A:$A,A260,SevkAdetleri!$E:$E,"NİSAN")</f>
        <v>0</v>
      </c>
      <c r="K260" s="133">
        <f>SUMIFS(SevkAdetleri!$D:$D,SevkAdetleri!$A:$A,A260,SevkAdetleri!$E:$E,"MAYIS")</f>
        <v>0</v>
      </c>
      <c r="L260" s="133">
        <f>SUMIFS(SevkAdetleri!$D:$D,SevkAdetleri!$A:$A,A260,SevkAdetleri!$E:$E,"HAZIRAN")</f>
        <v>0</v>
      </c>
      <c r="M260" s="133">
        <f>SUMIFS(SevkAdetleri!$D:$D,SevkAdetleri!$A:$A,A260,SevkAdetleri!$E:$E,"TEMMUZ")</f>
        <v>0</v>
      </c>
      <c r="N260" s="133">
        <f>SUMIFS(SevkAdetleri!$D:$D,SevkAdetleri!$A:$A,A260,SevkAdetleri!$E:$E,"AĞUSTOS")</f>
        <v>2995</v>
      </c>
      <c r="O260" s="133">
        <f>SUMIFS(SevkAdetleri!$D:$D,SevkAdetleri!$A:$A,A260,SevkAdetleri!$E:$E,"EYLÜL")</f>
        <v>3000</v>
      </c>
      <c r="P260" s="133">
        <f>SUMIFS(SevkAdetleri!$D:$D,SevkAdetleri!$A:$A,A260,SevkAdetleri!$E:$E,"EKİM")</f>
        <v>0</v>
      </c>
      <c r="Q260" s="133">
        <f>SUMIFS(SevkAdetleri!$D:$D,SevkAdetleri!$A:$A,A260,SevkAdetleri!$E:$E,"KASIM")</f>
        <v>0</v>
      </c>
      <c r="R260" s="133">
        <f>SUMIFS(SevkAdetleri!$D:$D,SevkAdetleri!$A:$A,A260,SevkAdetleri!$E:$E,"ARALIK")</f>
        <v>0</v>
      </c>
    </row>
    <row r="261" spans="1:18">
      <c r="A261" s="120" t="s">
        <v>110</v>
      </c>
      <c r="B261" s="133" t="str">
        <f>VLOOKUP(Tablo810[[#This Row],[ ÜRÜN KODU]],YMKODLARI!$A$1:$H$376,2,0)</f>
        <v>EMZİK ASKISI KISKAÇ ERKEK</v>
      </c>
      <c r="C261" s="133">
        <f>SUMIF(Tablo8[[ ÜRÜN KODU]],Tablo810[[#This Row],[ ÜRÜN KODU]],Tablo8[SEVK ADEDİ])-Tablo810[[#This Row],[GERİ İADE ÜRÜN]]</f>
        <v>6170</v>
      </c>
      <c r="D261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9020</v>
      </c>
      <c r="E261" s="133"/>
      <c r="F261" s="133">
        <f t="shared" si="6"/>
        <v>2850</v>
      </c>
      <c r="G261" s="134">
        <f>SUMIFS(SevkAdetleri!$D:$D,SevkAdetleri!$A:$A,A261,SevkAdetleri!$E:$E,"OCAK")</f>
        <v>0</v>
      </c>
      <c r="H261" s="133">
        <f>SUMIFS(SevkAdetleri!$D:$D,SevkAdetleri!$A:$A,A261,SevkAdetleri!$E:$E,"ŞUBAT")</f>
        <v>0</v>
      </c>
      <c r="I261" s="133">
        <f>SUMIFS(SevkAdetleri!$D:$D,SevkAdetleri!$A:$A,A261,SevkAdetleri!$E:$E,"MART")</f>
        <v>0</v>
      </c>
      <c r="J261" s="133">
        <f>SUMIFS(SevkAdetleri!$D:$D,SevkAdetleri!$A:$A,A261,SevkAdetleri!$E:$E,"NİSAN")</f>
        <v>0</v>
      </c>
      <c r="K261" s="133">
        <f>SUMIFS(SevkAdetleri!$D:$D,SevkAdetleri!$A:$A,A261,SevkAdetleri!$E:$E,"MAYIS")</f>
        <v>0</v>
      </c>
      <c r="L261" s="133">
        <f>SUMIFS(SevkAdetleri!$D:$D,SevkAdetleri!$A:$A,A261,SevkAdetleri!$E:$E,"HAZIRAN")</f>
        <v>0</v>
      </c>
      <c r="M261" s="133">
        <f>SUMIFS(SevkAdetleri!$D:$D,SevkAdetleri!$A:$A,A261,SevkAdetleri!$E:$E,"TEMMUZ")</f>
        <v>0</v>
      </c>
      <c r="N261" s="133">
        <f>SUMIFS(SevkAdetleri!$D:$D,SevkAdetleri!$A:$A,A261,SevkAdetleri!$E:$E,"AĞUSTOS")</f>
        <v>3000</v>
      </c>
      <c r="O261" s="133">
        <f>SUMIFS(SevkAdetleri!$D:$D,SevkAdetleri!$A:$A,A261,SevkAdetleri!$E:$E,"EYLÜL")</f>
        <v>3170</v>
      </c>
      <c r="P261" s="133">
        <f>SUMIFS(SevkAdetleri!$D:$D,SevkAdetleri!$A:$A,A261,SevkAdetleri!$E:$E,"EKİM")</f>
        <v>0</v>
      </c>
      <c r="Q261" s="133">
        <f>SUMIFS(SevkAdetleri!$D:$D,SevkAdetleri!$A:$A,A261,SevkAdetleri!$E:$E,"KASIM")</f>
        <v>0</v>
      </c>
      <c r="R261" s="133">
        <f>SUMIFS(SevkAdetleri!$D:$D,SevkAdetleri!$A:$A,A261,SevkAdetleri!$E:$E,"ARALIK")</f>
        <v>0</v>
      </c>
    </row>
    <row r="262" spans="1:18">
      <c r="A262" s="120" t="s">
        <v>108</v>
      </c>
      <c r="B262" s="133" t="str">
        <f>VLOOKUP(Tablo810[[#This Row],[ ÜRÜN KODU]],YMKODLARI!$A$1:$H$376,2,0)</f>
        <v>EMZİK ASKISI KISKAÇ ERKEK</v>
      </c>
      <c r="C262" s="133">
        <f>SUMIF(Tablo8[[ ÜRÜN KODU]],Tablo810[[#This Row],[ ÜRÜN KODU]],Tablo8[SEVK ADEDİ])-Tablo810[[#This Row],[GERİ İADE ÜRÜN]]</f>
        <v>6000</v>
      </c>
      <c r="D262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6548</v>
      </c>
      <c r="E262" s="133"/>
      <c r="F262" s="133">
        <f t="shared" si="6"/>
        <v>548</v>
      </c>
      <c r="G262" s="134">
        <f>SUMIFS(SevkAdetleri!$D:$D,SevkAdetleri!$A:$A,A262,SevkAdetleri!$E:$E,"OCAK")</f>
        <v>0</v>
      </c>
      <c r="H262" s="133">
        <f>SUMIFS(SevkAdetleri!$D:$D,SevkAdetleri!$A:$A,A262,SevkAdetleri!$E:$E,"ŞUBAT")</f>
        <v>0</v>
      </c>
      <c r="I262" s="133">
        <f>SUMIFS(SevkAdetleri!$D:$D,SevkAdetleri!$A:$A,A262,SevkAdetleri!$E:$E,"MART")</f>
        <v>0</v>
      </c>
      <c r="J262" s="133">
        <f>SUMIFS(SevkAdetleri!$D:$D,SevkAdetleri!$A:$A,A262,SevkAdetleri!$E:$E,"NİSAN")</f>
        <v>0</v>
      </c>
      <c r="K262" s="133">
        <f>SUMIFS(SevkAdetleri!$D:$D,SevkAdetleri!$A:$A,A262,SevkAdetleri!$E:$E,"MAYIS")</f>
        <v>0</v>
      </c>
      <c r="L262" s="133">
        <f>SUMIFS(SevkAdetleri!$D:$D,SevkAdetleri!$A:$A,A262,SevkAdetleri!$E:$E,"HAZIRAN")</f>
        <v>0</v>
      </c>
      <c r="M262" s="133">
        <f>SUMIFS(SevkAdetleri!$D:$D,SevkAdetleri!$A:$A,A262,SevkAdetleri!$E:$E,"TEMMUZ")</f>
        <v>0</v>
      </c>
      <c r="N262" s="133">
        <f>SUMIFS(SevkAdetleri!$D:$D,SevkAdetleri!$A:$A,A262,SevkAdetleri!$E:$E,"AĞUSTOS")</f>
        <v>3000</v>
      </c>
      <c r="O262" s="133">
        <f>SUMIFS(SevkAdetleri!$D:$D,SevkAdetleri!$A:$A,A262,SevkAdetleri!$E:$E,"EYLÜL")</f>
        <v>3000</v>
      </c>
      <c r="P262" s="133">
        <f>SUMIFS(SevkAdetleri!$D:$D,SevkAdetleri!$A:$A,A262,SevkAdetleri!$E:$E,"EKİM")</f>
        <v>0</v>
      </c>
      <c r="Q262" s="133">
        <f>SUMIFS(SevkAdetleri!$D:$D,SevkAdetleri!$A:$A,A262,SevkAdetleri!$E:$E,"KASIM")</f>
        <v>0</v>
      </c>
      <c r="R262" s="133">
        <f>SUMIFS(SevkAdetleri!$D:$D,SevkAdetleri!$A:$A,A262,SevkAdetleri!$E:$E,"ARALIK")</f>
        <v>0</v>
      </c>
    </row>
    <row r="263" spans="1:18">
      <c r="A263" s="120" t="s">
        <v>98</v>
      </c>
      <c r="B263" s="133" t="str">
        <f>VLOOKUP(Tablo810[[#This Row],[ ÜRÜN KODU]],YMKODLARI!$A$1:$H$376,2,0)</f>
        <v>EMZİK ASKISI KISKAÇ ERKEK</v>
      </c>
      <c r="C263" s="133">
        <f>SUMIF(Tablo8[[ ÜRÜN KODU]],Tablo810[[#This Row],[ ÜRÜN KODU]],Tablo8[SEVK ADEDİ])-Tablo810[[#This Row],[GERİ İADE ÜRÜN]]</f>
        <v>0</v>
      </c>
      <c r="D263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1488</v>
      </c>
      <c r="E263" s="133"/>
      <c r="F263" s="133">
        <f t="shared" si="6"/>
        <v>1488</v>
      </c>
      <c r="G263" s="134">
        <f>SUMIFS(SevkAdetleri!$D:$D,SevkAdetleri!$A:$A,A263,SevkAdetleri!$E:$E,"OCAK")</f>
        <v>0</v>
      </c>
      <c r="H263" s="133">
        <f>SUMIFS(SevkAdetleri!$D:$D,SevkAdetleri!$A:$A,A263,SevkAdetleri!$E:$E,"ŞUBAT")</f>
        <v>0</v>
      </c>
      <c r="I263" s="133">
        <f>SUMIFS(SevkAdetleri!$D:$D,SevkAdetleri!$A:$A,A263,SevkAdetleri!$E:$E,"MART")</f>
        <v>0</v>
      </c>
      <c r="J263" s="133">
        <f>SUMIFS(SevkAdetleri!$D:$D,SevkAdetleri!$A:$A,A263,SevkAdetleri!$E:$E,"NİSAN")</f>
        <v>0</v>
      </c>
      <c r="K263" s="133">
        <f>SUMIFS(SevkAdetleri!$D:$D,SevkAdetleri!$A:$A,A263,SevkAdetleri!$E:$E,"MAYIS")</f>
        <v>0</v>
      </c>
      <c r="L263" s="133">
        <f>SUMIFS(SevkAdetleri!$D:$D,SevkAdetleri!$A:$A,A263,SevkAdetleri!$E:$E,"HAZIRAN")</f>
        <v>0</v>
      </c>
      <c r="M263" s="133">
        <f>SUMIFS(SevkAdetleri!$D:$D,SevkAdetleri!$A:$A,A263,SevkAdetleri!$E:$E,"TEMMUZ")</f>
        <v>0</v>
      </c>
      <c r="N263" s="133">
        <f>SUMIFS(SevkAdetleri!$D:$D,SevkAdetleri!$A:$A,A263,SevkAdetleri!$E:$E,"AĞUSTOS")</f>
        <v>0</v>
      </c>
      <c r="O263" s="133">
        <f>SUMIFS(SevkAdetleri!$D:$D,SevkAdetleri!$A:$A,A263,SevkAdetleri!$E:$E,"EYLÜL")</f>
        <v>0</v>
      </c>
      <c r="P263" s="133">
        <f>SUMIFS(SevkAdetleri!$D:$D,SevkAdetleri!$A:$A,A263,SevkAdetleri!$E:$E,"EKİM")</f>
        <v>0</v>
      </c>
      <c r="Q263" s="133">
        <f>SUMIFS(SevkAdetleri!$D:$D,SevkAdetleri!$A:$A,A263,SevkAdetleri!$E:$E,"KASIM")</f>
        <v>0</v>
      </c>
      <c r="R263" s="133">
        <f>SUMIFS(SevkAdetleri!$D:$D,SevkAdetleri!$A:$A,A263,SevkAdetleri!$E:$E,"ARALIK")</f>
        <v>0</v>
      </c>
    </row>
    <row r="264" spans="1:18">
      <c r="A264" s="120" t="s">
        <v>100</v>
      </c>
      <c r="B264" s="133" t="str">
        <f>VLOOKUP(Tablo810[[#This Row],[ ÜRÜN KODU]],YMKODLARI!$A$1:$H$376,2,0)</f>
        <v>EMZİK ASKISI KISKAÇ ERKEK</v>
      </c>
      <c r="C264" s="133">
        <f>SUMIF(Tablo8[[ ÜRÜN KODU]],Tablo810[[#This Row],[ ÜRÜN KODU]],Tablo8[SEVK ADEDİ])-Tablo810[[#This Row],[GERİ İADE ÜRÜN]]</f>
        <v>6770</v>
      </c>
      <c r="D264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6692</v>
      </c>
      <c r="E264" s="133"/>
      <c r="F264" s="133">
        <f t="shared" si="6"/>
        <v>-78</v>
      </c>
      <c r="G264" s="134">
        <f>SUMIFS(SevkAdetleri!$D:$D,SevkAdetleri!$A:$A,A264,SevkAdetleri!$E:$E,"OCAK")</f>
        <v>0</v>
      </c>
      <c r="H264" s="133">
        <f>SUMIFS(SevkAdetleri!$D:$D,SevkAdetleri!$A:$A,A264,SevkAdetleri!$E:$E,"ŞUBAT")</f>
        <v>0</v>
      </c>
      <c r="I264" s="133">
        <f>SUMIFS(SevkAdetleri!$D:$D,SevkAdetleri!$A:$A,A264,SevkAdetleri!$E:$E,"MART")</f>
        <v>0</v>
      </c>
      <c r="J264" s="133">
        <f>SUMIFS(SevkAdetleri!$D:$D,SevkAdetleri!$A:$A,A264,SevkAdetleri!$E:$E,"NİSAN")</f>
        <v>0</v>
      </c>
      <c r="K264" s="133">
        <f>SUMIFS(SevkAdetleri!$D:$D,SevkAdetleri!$A:$A,A264,SevkAdetleri!$E:$E,"MAYIS")</f>
        <v>0</v>
      </c>
      <c r="L264" s="133">
        <f>SUMIFS(SevkAdetleri!$D:$D,SevkAdetleri!$A:$A,A264,SevkAdetleri!$E:$E,"HAZIRAN")</f>
        <v>0</v>
      </c>
      <c r="M264" s="133">
        <f>SUMIFS(SevkAdetleri!$D:$D,SevkAdetleri!$A:$A,A264,SevkAdetleri!$E:$E,"TEMMUZ")</f>
        <v>4770</v>
      </c>
      <c r="N264" s="133">
        <f>SUMIFS(SevkAdetleri!$D:$D,SevkAdetleri!$A:$A,A264,SevkAdetleri!$E:$E,"AĞUSTOS")</f>
        <v>2000</v>
      </c>
      <c r="O264" s="133">
        <f>SUMIFS(SevkAdetleri!$D:$D,SevkAdetleri!$A:$A,A264,SevkAdetleri!$E:$E,"EYLÜL")</f>
        <v>0</v>
      </c>
      <c r="P264" s="133">
        <f>SUMIFS(SevkAdetleri!$D:$D,SevkAdetleri!$A:$A,A264,SevkAdetleri!$E:$E,"EKİM")</f>
        <v>0</v>
      </c>
      <c r="Q264" s="133">
        <f>SUMIFS(SevkAdetleri!$D:$D,SevkAdetleri!$A:$A,A264,SevkAdetleri!$E:$E,"KASIM")</f>
        <v>0</v>
      </c>
      <c r="R264" s="133">
        <f>SUMIFS(SevkAdetleri!$D:$D,SevkAdetleri!$A:$A,A264,SevkAdetleri!$E:$E,"ARALIK")</f>
        <v>0</v>
      </c>
    </row>
    <row r="265" spans="1:18">
      <c r="A265" s="120" t="s">
        <v>71</v>
      </c>
      <c r="B265" s="133" t="str">
        <f>VLOOKUP(Tablo810[[#This Row],[ ÜRÜN KODU]],YMKODLARI!$A$1:$H$376,2,0)</f>
        <v>EMZİK ASKISI KISKAÇ ERKEK</v>
      </c>
      <c r="C265" s="133">
        <f>SUMIF(Tablo8[[ ÜRÜN KODU]],Tablo810[[#This Row],[ ÜRÜN KODU]],Tablo8[SEVK ADEDİ])-Tablo810[[#This Row],[GERİ İADE ÜRÜN]]</f>
        <v>9311</v>
      </c>
      <c r="D265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5796</v>
      </c>
      <c r="E265" s="133"/>
      <c r="F265" s="133">
        <f t="shared" si="6"/>
        <v>-3515</v>
      </c>
      <c r="G265" s="134">
        <f>SUMIFS(SevkAdetleri!$D:$D,SevkAdetleri!$A:$A,A265,SevkAdetleri!$E:$E,"OCAK")</f>
        <v>0</v>
      </c>
      <c r="H265" s="133">
        <f>SUMIFS(SevkAdetleri!$D:$D,SevkAdetleri!$A:$A,A265,SevkAdetleri!$E:$E,"ŞUBAT")</f>
        <v>0</v>
      </c>
      <c r="I265" s="133">
        <f>SUMIFS(SevkAdetleri!$D:$D,SevkAdetleri!$A:$A,A265,SevkAdetleri!$E:$E,"MART")</f>
        <v>0</v>
      </c>
      <c r="J265" s="133">
        <f>SUMIFS(SevkAdetleri!$D:$D,SevkAdetleri!$A:$A,A265,SevkAdetleri!$E:$E,"NİSAN")</f>
        <v>0</v>
      </c>
      <c r="K265" s="133">
        <f>SUMIFS(SevkAdetleri!$D:$D,SevkAdetleri!$A:$A,A265,SevkAdetleri!$E:$E,"MAYIS")</f>
        <v>376</v>
      </c>
      <c r="L265" s="133">
        <f>SUMIFS(SevkAdetleri!$D:$D,SevkAdetleri!$A:$A,A265,SevkAdetleri!$E:$E,"HAZIRAN")</f>
        <v>0</v>
      </c>
      <c r="M265" s="133">
        <f>SUMIFS(SevkAdetleri!$D:$D,SevkAdetleri!$A:$A,A265,SevkAdetleri!$E:$E,"TEMMUZ")</f>
        <v>8000</v>
      </c>
      <c r="N265" s="133">
        <f>SUMIFS(SevkAdetleri!$D:$D,SevkAdetleri!$A:$A,A265,SevkAdetleri!$E:$E,"AĞUSTOS")</f>
        <v>935</v>
      </c>
      <c r="O265" s="133">
        <f>SUMIFS(SevkAdetleri!$D:$D,SevkAdetleri!$A:$A,A265,SevkAdetleri!$E:$E,"EYLÜL")</f>
        <v>0</v>
      </c>
      <c r="P265" s="133">
        <f>SUMIFS(SevkAdetleri!$D:$D,SevkAdetleri!$A:$A,A265,SevkAdetleri!$E:$E,"EKİM")</f>
        <v>0</v>
      </c>
      <c r="Q265" s="133">
        <f>SUMIFS(SevkAdetleri!$D:$D,SevkAdetleri!$A:$A,A265,SevkAdetleri!$E:$E,"KASIM")</f>
        <v>0</v>
      </c>
      <c r="R265" s="133">
        <f>SUMIFS(SevkAdetleri!$D:$D,SevkAdetleri!$A:$A,A265,SevkAdetleri!$E:$E,"ARALIK")</f>
        <v>0</v>
      </c>
    </row>
    <row r="266" spans="1:18">
      <c r="A266" s="120" t="s">
        <v>263</v>
      </c>
      <c r="B266" s="133" t="str">
        <f>VLOOKUP(Tablo810[[#This Row],[ ÜRÜN KODU]],YMKODLARI!$A$1:$H$376,2,0)</f>
        <v>EMZİK ASKISI KISKAÇ ERKEK</v>
      </c>
      <c r="C266" s="133">
        <f>SUMIF(Tablo8[[ ÜRÜN KODU]],Tablo810[[#This Row],[ ÜRÜN KODU]],Tablo8[SEVK ADEDİ])-Tablo810[[#This Row],[GERİ İADE ÜRÜN]]</f>
        <v>1000</v>
      </c>
      <c r="D266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266" s="133"/>
      <c r="F266" s="133">
        <f t="shared" si="6"/>
        <v>-1000</v>
      </c>
      <c r="G266" s="134">
        <f>SUMIFS(SevkAdetleri!$D:$D,SevkAdetleri!$A:$A,A266,SevkAdetleri!$E:$E,"OCAK")</f>
        <v>0</v>
      </c>
      <c r="H266" s="133">
        <f>SUMIFS(SevkAdetleri!$D:$D,SevkAdetleri!$A:$A,A266,SevkAdetleri!$E:$E,"ŞUBAT")</f>
        <v>0</v>
      </c>
      <c r="I266" s="133">
        <f>SUMIFS(SevkAdetleri!$D:$D,SevkAdetleri!$A:$A,A266,SevkAdetleri!$E:$E,"MART")</f>
        <v>0</v>
      </c>
      <c r="J266" s="133">
        <f>SUMIFS(SevkAdetleri!$D:$D,SevkAdetleri!$A:$A,A266,SevkAdetleri!$E:$E,"NİSAN")</f>
        <v>0</v>
      </c>
      <c r="K266" s="133">
        <f>SUMIFS(SevkAdetleri!$D:$D,SevkAdetleri!$A:$A,A266,SevkAdetleri!$E:$E,"MAYIS")</f>
        <v>0</v>
      </c>
      <c r="L266" s="133">
        <f>SUMIFS(SevkAdetleri!$D:$D,SevkAdetleri!$A:$A,A266,SevkAdetleri!$E:$E,"HAZIRAN")</f>
        <v>0</v>
      </c>
      <c r="M266" s="133">
        <f>SUMIFS(SevkAdetleri!$D:$D,SevkAdetleri!$A:$A,A266,SevkAdetleri!$E:$E,"TEMMUZ")</f>
        <v>0</v>
      </c>
      <c r="N266" s="133">
        <f>SUMIFS(SevkAdetleri!$D:$D,SevkAdetleri!$A:$A,A266,SevkAdetleri!$E:$E,"AĞUSTOS")</f>
        <v>1000</v>
      </c>
      <c r="O266" s="133">
        <f>SUMIFS(SevkAdetleri!$D:$D,SevkAdetleri!$A:$A,A266,SevkAdetleri!$E:$E,"EYLÜL")</f>
        <v>0</v>
      </c>
      <c r="P266" s="133">
        <f>SUMIFS(SevkAdetleri!$D:$D,SevkAdetleri!$A:$A,A266,SevkAdetleri!$E:$E,"EKİM")</f>
        <v>0</v>
      </c>
      <c r="Q266" s="133">
        <f>SUMIFS(SevkAdetleri!$D:$D,SevkAdetleri!$A:$A,A266,SevkAdetleri!$E:$E,"KASIM")</f>
        <v>0</v>
      </c>
      <c r="R266" s="133">
        <f>SUMIFS(SevkAdetleri!$D:$D,SevkAdetleri!$A:$A,A266,SevkAdetleri!$E:$E,"ARALIK")</f>
        <v>0</v>
      </c>
    </row>
    <row r="267" spans="1:18">
      <c r="A267" s="120" t="s">
        <v>102</v>
      </c>
      <c r="B267" s="133" t="str">
        <f>VLOOKUP(Tablo810[[#This Row],[ ÜRÜN KODU]],YMKODLARI!$A$1:$H$376,2,0)</f>
        <v>EMZİK ASKISI KISKAÇ ERKEK</v>
      </c>
      <c r="C267" s="133">
        <f>SUMIF(Tablo8[[ ÜRÜN KODU]],Tablo810[[#This Row],[ ÜRÜN KODU]],Tablo8[SEVK ADEDİ])-Tablo810[[#This Row],[GERİ İADE ÜRÜN]]</f>
        <v>7612</v>
      </c>
      <c r="D267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3256</v>
      </c>
      <c r="E267" s="133"/>
      <c r="F267" s="133">
        <f t="shared" si="6"/>
        <v>-4356</v>
      </c>
      <c r="G267" s="134">
        <f>SUMIFS(SevkAdetleri!$D:$D,SevkAdetleri!$A:$A,A267,SevkAdetleri!$E:$E,"OCAK")</f>
        <v>0</v>
      </c>
      <c r="H267" s="133">
        <f>SUMIFS(SevkAdetleri!$D:$D,SevkAdetleri!$A:$A,A267,SevkAdetleri!$E:$E,"ŞUBAT")</f>
        <v>0</v>
      </c>
      <c r="I267" s="133">
        <f>SUMIFS(SevkAdetleri!$D:$D,SevkAdetleri!$A:$A,A267,SevkAdetleri!$E:$E,"MART")</f>
        <v>0</v>
      </c>
      <c r="J267" s="133">
        <f>SUMIFS(SevkAdetleri!$D:$D,SevkAdetleri!$A:$A,A267,SevkAdetleri!$E:$E,"NİSAN")</f>
        <v>0</v>
      </c>
      <c r="K267" s="133">
        <f>SUMIFS(SevkAdetleri!$D:$D,SevkAdetleri!$A:$A,A267,SevkAdetleri!$E:$E,"MAYIS")</f>
        <v>4612</v>
      </c>
      <c r="L267" s="133">
        <f>SUMIFS(SevkAdetleri!$D:$D,SevkAdetleri!$A:$A,A267,SevkAdetleri!$E:$E,"HAZIRAN")</f>
        <v>0</v>
      </c>
      <c r="M267" s="133">
        <f>SUMIFS(SevkAdetleri!$D:$D,SevkAdetleri!$A:$A,A267,SevkAdetleri!$E:$E,"TEMMUZ")</f>
        <v>0</v>
      </c>
      <c r="N267" s="133">
        <f>SUMIFS(SevkAdetleri!$D:$D,SevkAdetleri!$A:$A,A267,SevkAdetleri!$E:$E,"AĞUSTOS")</f>
        <v>3000</v>
      </c>
      <c r="O267" s="133">
        <f>SUMIFS(SevkAdetleri!$D:$D,SevkAdetleri!$A:$A,A267,SevkAdetleri!$E:$E,"EYLÜL")</f>
        <v>0</v>
      </c>
      <c r="P267" s="133">
        <f>SUMIFS(SevkAdetleri!$D:$D,SevkAdetleri!$A:$A,A267,SevkAdetleri!$E:$E,"EKİM")</f>
        <v>0</v>
      </c>
      <c r="Q267" s="133">
        <f>SUMIFS(SevkAdetleri!$D:$D,SevkAdetleri!$A:$A,A267,SevkAdetleri!$E:$E,"KASIM")</f>
        <v>0</v>
      </c>
      <c r="R267" s="133">
        <f>SUMIFS(SevkAdetleri!$D:$D,SevkAdetleri!$A:$A,A267,SevkAdetleri!$E:$E,"ARALIK")</f>
        <v>0</v>
      </c>
    </row>
    <row r="268" spans="1:18">
      <c r="A268" s="120" t="s">
        <v>356</v>
      </c>
      <c r="B268" s="133" t="str">
        <f>VLOOKUP(Tablo810[[#This Row],[ ÜRÜN KODU]],YMKODLARI!$A$1:$H$376,2,0)</f>
        <v>EMZİK ASKISI KISKAÇ DİŞİ</v>
      </c>
      <c r="C268" s="133">
        <f>SUMIF(Tablo8[[ ÜRÜN KODU]],Tablo810[[#This Row],[ ÜRÜN KODU]],Tablo8[SEVK ADEDİ])-Tablo810[[#This Row],[GERİ İADE ÜRÜN]]</f>
        <v>0</v>
      </c>
      <c r="D268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268" s="133"/>
      <c r="F268" s="133">
        <f t="shared" si="6"/>
        <v>0</v>
      </c>
      <c r="G268" s="134">
        <f>SUMIFS(SevkAdetleri!$D:$D,SevkAdetleri!$A:$A,A268,SevkAdetleri!$E:$E,"OCAK")</f>
        <v>0</v>
      </c>
      <c r="H268" s="133">
        <f>SUMIFS(SevkAdetleri!$D:$D,SevkAdetleri!$A:$A,A268,SevkAdetleri!$E:$E,"ŞUBAT")</f>
        <v>0</v>
      </c>
      <c r="I268" s="133">
        <f>SUMIFS(SevkAdetleri!$D:$D,SevkAdetleri!$A:$A,A268,SevkAdetleri!$E:$E,"MART")</f>
        <v>0</v>
      </c>
      <c r="J268" s="133">
        <f>SUMIFS(SevkAdetleri!$D:$D,SevkAdetleri!$A:$A,A268,SevkAdetleri!$E:$E,"NİSAN")</f>
        <v>0</v>
      </c>
      <c r="K268" s="133">
        <f>SUMIFS(SevkAdetleri!$D:$D,SevkAdetleri!$A:$A,A268,SevkAdetleri!$E:$E,"MAYIS")</f>
        <v>0</v>
      </c>
      <c r="L268" s="133">
        <f>SUMIFS(SevkAdetleri!$D:$D,SevkAdetleri!$A:$A,A268,SevkAdetleri!$E:$E,"HAZIRAN")</f>
        <v>0</v>
      </c>
      <c r="M268" s="133">
        <f>SUMIFS(SevkAdetleri!$D:$D,SevkAdetleri!$A:$A,A268,SevkAdetleri!$E:$E,"TEMMUZ")</f>
        <v>0</v>
      </c>
      <c r="N268" s="133">
        <f>SUMIFS(SevkAdetleri!$D:$D,SevkAdetleri!$A:$A,A268,SevkAdetleri!$E:$E,"AĞUSTOS")</f>
        <v>0</v>
      </c>
      <c r="O268" s="133">
        <f>SUMIFS(SevkAdetleri!$D:$D,SevkAdetleri!$A:$A,A268,SevkAdetleri!$E:$E,"EYLÜL")</f>
        <v>0</v>
      </c>
      <c r="P268" s="133">
        <f>SUMIFS(SevkAdetleri!$D:$D,SevkAdetleri!$A:$A,A268,SevkAdetleri!$E:$E,"EKİM")</f>
        <v>0</v>
      </c>
      <c r="Q268" s="133">
        <f>SUMIFS(SevkAdetleri!$D:$D,SevkAdetleri!$A:$A,A268,SevkAdetleri!$E:$E,"KASIM")</f>
        <v>0</v>
      </c>
      <c r="R268" s="133">
        <f>SUMIFS(SevkAdetleri!$D:$D,SevkAdetleri!$A:$A,A268,SevkAdetleri!$E:$E,"ARALIK")</f>
        <v>0</v>
      </c>
    </row>
    <row r="269" spans="1:18">
      <c r="A269" s="120" t="s">
        <v>107</v>
      </c>
      <c r="B269" s="133" t="str">
        <f>VLOOKUP(Tablo810[[#This Row],[ ÜRÜN KODU]],YMKODLARI!$A$1:$H$376,2,0)</f>
        <v>EMZİK ASKISI KISKAÇ DİŞİ</v>
      </c>
      <c r="C269" s="133">
        <f>SUMIF(Tablo8[[ ÜRÜN KODU]],Tablo810[[#This Row],[ ÜRÜN KODU]],Tablo8[SEVK ADEDİ])-Tablo810[[#This Row],[GERİ İADE ÜRÜN]]</f>
        <v>7280</v>
      </c>
      <c r="D269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7920</v>
      </c>
      <c r="E269" s="133"/>
      <c r="F269" s="133">
        <f t="shared" si="6"/>
        <v>640</v>
      </c>
      <c r="G269" s="134">
        <f>SUMIFS(SevkAdetleri!$D:$D,SevkAdetleri!$A:$A,A269,SevkAdetleri!$E:$E,"OCAK")</f>
        <v>0</v>
      </c>
      <c r="H269" s="133">
        <f>SUMIFS(SevkAdetleri!$D:$D,SevkAdetleri!$A:$A,A269,SevkAdetleri!$E:$E,"ŞUBAT")</f>
        <v>0</v>
      </c>
      <c r="I269" s="133">
        <f>SUMIFS(SevkAdetleri!$D:$D,SevkAdetleri!$A:$A,A269,SevkAdetleri!$E:$E,"MART")</f>
        <v>0</v>
      </c>
      <c r="J269" s="133">
        <f>SUMIFS(SevkAdetleri!$D:$D,SevkAdetleri!$A:$A,A269,SevkAdetleri!$E:$E,"NİSAN")</f>
        <v>0</v>
      </c>
      <c r="K269" s="133">
        <f>SUMIFS(SevkAdetleri!$D:$D,SevkAdetleri!$A:$A,A269,SevkAdetleri!$E:$E,"MAYIS")</f>
        <v>0</v>
      </c>
      <c r="L269" s="133">
        <f>SUMIFS(SevkAdetleri!$D:$D,SevkAdetleri!$A:$A,A269,SevkAdetleri!$E:$E,"HAZIRAN")</f>
        <v>0</v>
      </c>
      <c r="M269" s="133">
        <f>SUMIFS(SevkAdetleri!$D:$D,SevkAdetleri!$A:$A,A269,SevkAdetleri!$E:$E,"TEMMUZ")</f>
        <v>0</v>
      </c>
      <c r="N269" s="133">
        <f>SUMIFS(SevkAdetleri!$D:$D,SevkAdetleri!$A:$A,A269,SevkAdetleri!$E:$E,"AĞUSTOS")</f>
        <v>4280</v>
      </c>
      <c r="O269" s="133">
        <f>SUMIFS(SevkAdetleri!$D:$D,SevkAdetleri!$A:$A,A269,SevkAdetleri!$E:$E,"EYLÜL")</f>
        <v>3000</v>
      </c>
      <c r="P269" s="133">
        <f>SUMIFS(SevkAdetleri!$D:$D,SevkAdetleri!$A:$A,A269,SevkAdetleri!$E:$E,"EKİM")</f>
        <v>0</v>
      </c>
      <c r="Q269" s="133">
        <f>SUMIFS(SevkAdetleri!$D:$D,SevkAdetleri!$A:$A,A269,SevkAdetleri!$E:$E,"KASIM")</f>
        <v>0</v>
      </c>
      <c r="R269" s="133">
        <f>SUMIFS(SevkAdetleri!$D:$D,SevkAdetleri!$A:$A,A269,SevkAdetleri!$E:$E,"ARALIK")</f>
        <v>0</v>
      </c>
    </row>
    <row r="270" spans="1:18">
      <c r="A270" s="120" t="s">
        <v>105</v>
      </c>
      <c r="B270" s="133" t="str">
        <f>VLOOKUP(Tablo810[[#This Row],[ ÜRÜN KODU]],YMKODLARI!$A$1:$H$376,2,0)</f>
        <v>EMZİK ASKISI KISKAÇ DİŞİ</v>
      </c>
      <c r="C270" s="133">
        <f>SUMIF(Tablo8[[ ÜRÜN KODU]],Tablo810[[#This Row],[ ÜRÜN KODU]],Tablo8[SEVK ADEDİ])-Tablo810[[#This Row],[GERİ İADE ÜRÜN]]</f>
        <v>5995</v>
      </c>
      <c r="D270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7216</v>
      </c>
      <c r="E270" s="133"/>
      <c r="F270" s="133">
        <f t="shared" si="6"/>
        <v>1221</v>
      </c>
      <c r="G270" s="134">
        <f>SUMIFS(SevkAdetleri!$D:$D,SevkAdetleri!$A:$A,A270,SevkAdetleri!$E:$E,"OCAK")</f>
        <v>0</v>
      </c>
      <c r="H270" s="133">
        <f>SUMIFS(SevkAdetleri!$D:$D,SevkAdetleri!$A:$A,A270,SevkAdetleri!$E:$E,"ŞUBAT")</f>
        <v>0</v>
      </c>
      <c r="I270" s="133">
        <f>SUMIFS(SevkAdetleri!$D:$D,SevkAdetleri!$A:$A,A270,SevkAdetleri!$E:$E,"MART")</f>
        <v>0</v>
      </c>
      <c r="J270" s="133">
        <f>SUMIFS(SevkAdetleri!$D:$D,SevkAdetleri!$A:$A,A270,SevkAdetleri!$E:$E,"NİSAN")</f>
        <v>0</v>
      </c>
      <c r="K270" s="133">
        <f>SUMIFS(SevkAdetleri!$D:$D,SevkAdetleri!$A:$A,A270,SevkAdetleri!$E:$E,"MAYIS")</f>
        <v>0</v>
      </c>
      <c r="L270" s="133">
        <f>SUMIFS(SevkAdetleri!$D:$D,SevkAdetleri!$A:$A,A270,SevkAdetleri!$E:$E,"HAZIRAN")</f>
        <v>0</v>
      </c>
      <c r="M270" s="133">
        <f>SUMIFS(SevkAdetleri!$D:$D,SevkAdetleri!$A:$A,A270,SevkAdetleri!$E:$E,"TEMMUZ")</f>
        <v>0</v>
      </c>
      <c r="N270" s="133">
        <f>SUMIFS(SevkAdetleri!$D:$D,SevkAdetleri!$A:$A,A270,SevkAdetleri!$E:$E,"AĞUSTOS")</f>
        <v>2995</v>
      </c>
      <c r="O270" s="133">
        <f>SUMIFS(SevkAdetleri!$D:$D,SevkAdetleri!$A:$A,A270,SevkAdetleri!$E:$E,"EYLÜL")</f>
        <v>3000</v>
      </c>
      <c r="P270" s="133">
        <f>SUMIFS(SevkAdetleri!$D:$D,SevkAdetleri!$A:$A,A270,SevkAdetleri!$E:$E,"EKİM")</f>
        <v>0</v>
      </c>
      <c r="Q270" s="133">
        <f>SUMIFS(SevkAdetleri!$D:$D,SevkAdetleri!$A:$A,A270,SevkAdetleri!$E:$E,"KASIM")</f>
        <v>0</v>
      </c>
      <c r="R270" s="133">
        <f>SUMIFS(SevkAdetleri!$D:$D,SevkAdetleri!$A:$A,A270,SevkAdetleri!$E:$E,"ARALIK")</f>
        <v>0</v>
      </c>
    </row>
    <row r="271" spans="1:18">
      <c r="A271" s="120" t="s">
        <v>111</v>
      </c>
      <c r="B271" s="133" t="str">
        <f>VLOOKUP(Tablo810[[#This Row],[ ÜRÜN KODU]],YMKODLARI!$A$1:$H$376,2,0)</f>
        <v>EMZİK ASKISI KISKAÇ DİŞİ</v>
      </c>
      <c r="C271" s="133">
        <f>SUMIF(Tablo8[[ ÜRÜN KODU]],Tablo810[[#This Row],[ ÜRÜN KODU]],Tablo8[SEVK ADEDİ])-Tablo810[[#This Row],[GERİ İADE ÜRÜN]]</f>
        <v>6170</v>
      </c>
      <c r="D271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4812</v>
      </c>
      <c r="E271" s="133"/>
      <c r="F271" s="133">
        <f t="shared" si="6"/>
        <v>-1358</v>
      </c>
      <c r="G271" s="134">
        <f>SUMIFS(SevkAdetleri!$D:$D,SevkAdetleri!$A:$A,A271,SevkAdetleri!$E:$E,"OCAK")</f>
        <v>0</v>
      </c>
      <c r="H271" s="133">
        <f>SUMIFS(SevkAdetleri!$D:$D,SevkAdetleri!$A:$A,A271,SevkAdetleri!$E:$E,"ŞUBAT")</f>
        <v>0</v>
      </c>
      <c r="I271" s="133">
        <f>SUMIFS(SevkAdetleri!$D:$D,SevkAdetleri!$A:$A,A271,SevkAdetleri!$E:$E,"MART")</f>
        <v>0</v>
      </c>
      <c r="J271" s="133">
        <f>SUMIFS(SevkAdetleri!$D:$D,SevkAdetleri!$A:$A,A271,SevkAdetleri!$E:$E,"NİSAN")</f>
        <v>0</v>
      </c>
      <c r="K271" s="133">
        <f>SUMIFS(SevkAdetleri!$D:$D,SevkAdetleri!$A:$A,A271,SevkAdetleri!$E:$E,"MAYIS")</f>
        <v>0</v>
      </c>
      <c r="L271" s="133">
        <f>SUMIFS(SevkAdetleri!$D:$D,SevkAdetleri!$A:$A,A271,SevkAdetleri!$E:$E,"HAZIRAN")</f>
        <v>0</v>
      </c>
      <c r="M271" s="133">
        <f>SUMIFS(SevkAdetleri!$D:$D,SevkAdetleri!$A:$A,A271,SevkAdetleri!$E:$E,"TEMMUZ")</f>
        <v>0</v>
      </c>
      <c r="N271" s="133">
        <f>SUMIFS(SevkAdetleri!$D:$D,SevkAdetleri!$A:$A,A271,SevkAdetleri!$E:$E,"AĞUSTOS")</f>
        <v>3000</v>
      </c>
      <c r="O271" s="133">
        <f>SUMIFS(SevkAdetleri!$D:$D,SevkAdetleri!$A:$A,A271,SevkAdetleri!$E:$E,"EYLÜL")</f>
        <v>3170</v>
      </c>
      <c r="P271" s="133">
        <f>SUMIFS(SevkAdetleri!$D:$D,SevkAdetleri!$A:$A,A271,SevkAdetleri!$E:$E,"EKİM")</f>
        <v>0</v>
      </c>
      <c r="Q271" s="133">
        <f>SUMIFS(SevkAdetleri!$D:$D,SevkAdetleri!$A:$A,A271,SevkAdetleri!$E:$E,"KASIM")</f>
        <v>0</v>
      </c>
      <c r="R271" s="133">
        <f>SUMIFS(SevkAdetleri!$D:$D,SevkAdetleri!$A:$A,A271,SevkAdetleri!$E:$E,"ARALIK")</f>
        <v>0</v>
      </c>
    </row>
    <row r="272" spans="1:18">
      <c r="A272" s="120" t="s">
        <v>109</v>
      </c>
      <c r="B272" s="133" t="str">
        <f>VLOOKUP(Tablo810[[#This Row],[ ÜRÜN KODU]],YMKODLARI!$A$1:$H$376,2,0)</f>
        <v>EMZİK ASKISI KISKAÇ DİŞİ</v>
      </c>
      <c r="C272" s="133">
        <f>SUMIF(Tablo8[[ ÜRÜN KODU]],Tablo810[[#This Row],[ ÜRÜN KODU]],Tablo8[SEVK ADEDİ])-Tablo810[[#This Row],[GERİ İADE ÜRÜN]]</f>
        <v>6000</v>
      </c>
      <c r="D272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6548</v>
      </c>
      <c r="E272" s="133"/>
      <c r="F272" s="133">
        <f t="shared" si="6"/>
        <v>548</v>
      </c>
      <c r="G272" s="134">
        <f>SUMIFS(SevkAdetleri!$D:$D,SevkAdetleri!$A:$A,A272,SevkAdetleri!$E:$E,"OCAK")</f>
        <v>0</v>
      </c>
      <c r="H272" s="133">
        <f>SUMIFS(SevkAdetleri!$D:$D,SevkAdetleri!$A:$A,A272,SevkAdetleri!$E:$E,"ŞUBAT")</f>
        <v>0</v>
      </c>
      <c r="I272" s="133">
        <f>SUMIFS(SevkAdetleri!$D:$D,SevkAdetleri!$A:$A,A272,SevkAdetleri!$E:$E,"MART")</f>
        <v>0</v>
      </c>
      <c r="J272" s="133">
        <f>SUMIFS(SevkAdetleri!$D:$D,SevkAdetleri!$A:$A,A272,SevkAdetleri!$E:$E,"NİSAN")</f>
        <v>0</v>
      </c>
      <c r="K272" s="133">
        <f>SUMIFS(SevkAdetleri!$D:$D,SevkAdetleri!$A:$A,A272,SevkAdetleri!$E:$E,"MAYIS")</f>
        <v>0</v>
      </c>
      <c r="L272" s="133">
        <f>SUMIFS(SevkAdetleri!$D:$D,SevkAdetleri!$A:$A,A272,SevkAdetleri!$E:$E,"HAZIRAN")</f>
        <v>0</v>
      </c>
      <c r="M272" s="133">
        <f>SUMIFS(SevkAdetleri!$D:$D,SevkAdetleri!$A:$A,A272,SevkAdetleri!$E:$E,"TEMMUZ")</f>
        <v>0</v>
      </c>
      <c r="N272" s="133">
        <f>SUMIFS(SevkAdetleri!$D:$D,SevkAdetleri!$A:$A,A272,SevkAdetleri!$E:$E,"AĞUSTOS")</f>
        <v>3000</v>
      </c>
      <c r="O272" s="133">
        <f>SUMIFS(SevkAdetleri!$D:$D,SevkAdetleri!$A:$A,A272,SevkAdetleri!$E:$E,"EYLÜL")</f>
        <v>3000</v>
      </c>
      <c r="P272" s="133">
        <f>SUMIFS(SevkAdetleri!$D:$D,SevkAdetleri!$A:$A,A272,SevkAdetleri!$E:$E,"EKİM")</f>
        <v>0</v>
      </c>
      <c r="Q272" s="133">
        <f>SUMIFS(SevkAdetleri!$D:$D,SevkAdetleri!$A:$A,A272,SevkAdetleri!$E:$E,"KASIM")</f>
        <v>0</v>
      </c>
      <c r="R272" s="133">
        <f>SUMIFS(SevkAdetleri!$D:$D,SevkAdetleri!$A:$A,A272,SevkAdetleri!$E:$E,"ARALIK")</f>
        <v>0</v>
      </c>
    </row>
    <row r="273" spans="1:18">
      <c r="A273" s="120" t="s">
        <v>99</v>
      </c>
      <c r="B273" s="133" t="str">
        <f>VLOOKUP(Tablo810[[#This Row],[ ÜRÜN KODU]],YMKODLARI!$A$1:$H$376,2,0)</f>
        <v>EMZİK ASKISI KISKAÇ DİŞİ</v>
      </c>
      <c r="C273" s="133">
        <f>SUMIF(Tablo8[[ ÜRÜN KODU]],Tablo810[[#This Row],[ ÜRÜN KODU]],Tablo8[SEVK ADEDİ])-Tablo810[[#This Row],[GERİ İADE ÜRÜN]]</f>
        <v>0</v>
      </c>
      <c r="D273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1488</v>
      </c>
      <c r="E273" s="133"/>
      <c r="F273" s="133">
        <f t="shared" si="6"/>
        <v>1488</v>
      </c>
      <c r="G273" s="134">
        <f>SUMIFS(SevkAdetleri!$D:$D,SevkAdetleri!$A:$A,A273,SevkAdetleri!$E:$E,"OCAK")</f>
        <v>0</v>
      </c>
      <c r="H273" s="133">
        <f>SUMIFS(SevkAdetleri!$D:$D,SevkAdetleri!$A:$A,A273,SevkAdetleri!$E:$E,"ŞUBAT")</f>
        <v>0</v>
      </c>
      <c r="I273" s="133">
        <f>SUMIFS(SevkAdetleri!$D:$D,SevkAdetleri!$A:$A,A273,SevkAdetleri!$E:$E,"MART")</f>
        <v>0</v>
      </c>
      <c r="J273" s="133">
        <f>SUMIFS(SevkAdetleri!$D:$D,SevkAdetleri!$A:$A,A273,SevkAdetleri!$E:$E,"NİSAN")</f>
        <v>0</v>
      </c>
      <c r="K273" s="133">
        <f>SUMIFS(SevkAdetleri!$D:$D,SevkAdetleri!$A:$A,A273,SevkAdetleri!$E:$E,"MAYIS")</f>
        <v>0</v>
      </c>
      <c r="L273" s="133">
        <f>SUMIFS(SevkAdetleri!$D:$D,SevkAdetleri!$A:$A,A273,SevkAdetleri!$E:$E,"HAZIRAN")</f>
        <v>0</v>
      </c>
      <c r="M273" s="133">
        <f>SUMIFS(SevkAdetleri!$D:$D,SevkAdetleri!$A:$A,A273,SevkAdetleri!$E:$E,"TEMMUZ")</f>
        <v>0</v>
      </c>
      <c r="N273" s="133">
        <f>SUMIFS(SevkAdetleri!$D:$D,SevkAdetleri!$A:$A,A273,SevkAdetleri!$E:$E,"AĞUSTOS")</f>
        <v>0</v>
      </c>
      <c r="O273" s="133">
        <f>SUMIFS(SevkAdetleri!$D:$D,SevkAdetleri!$A:$A,A273,SevkAdetleri!$E:$E,"EYLÜL")</f>
        <v>0</v>
      </c>
      <c r="P273" s="133">
        <f>SUMIFS(SevkAdetleri!$D:$D,SevkAdetleri!$A:$A,A273,SevkAdetleri!$E:$E,"EKİM")</f>
        <v>0</v>
      </c>
      <c r="Q273" s="133">
        <f>SUMIFS(SevkAdetleri!$D:$D,SevkAdetleri!$A:$A,A273,SevkAdetleri!$E:$E,"KASIM")</f>
        <v>0</v>
      </c>
      <c r="R273" s="133">
        <f>SUMIFS(SevkAdetleri!$D:$D,SevkAdetleri!$A:$A,A273,SevkAdetleri!$E:$E,"ARALIK")</f>
        <v>0</v>
      </c>
    </row>
    <row r="274" spans="1:18">
      <c r="A274" s="120" t="s">
        <v>101</v>
      </c>
      <c r="B274" s="133" t="str">
        <f>VLOOKUP(Tablo810[[#This Row],[ ÜRÜN KODU]],YMKODLARI!$A$1:$H$376,2,0)</f>
        <v>EMZİK ASKISI KISKAÇ DİŞİ</v>
      </c>
      <c r="C274" s="133">
        <f>SUMIF(Tablo8[[ ÜRÜN KODU]],Tablo810[[#This Row],[ ÜRÜN KODU]],Tablo8[SEVK ADEDİ])-Tablo810[[#This Row],[GERİ İADE ÜRÜN]]</f>
        <v>4385</v>
      </c>
      <c r="D274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6692</v>
      </c>
      <c r="E274" s="133"/>
      <c r="F274" s="133">
        <f t="shared" si="6"/>
        <v>2307</v>
      </c>
      <c r="G274" s="134">
        <f>SUMIFS(SevkAdetleri!$D:$D,SevkAdetleri!$A:$A,A274,SevkAdetleri!$E:$E,"OCAK")</f>
        <v>0</v>
      </c>
      <c r="H274" s="133">
        <f>SUMIFS(SevkAdetleri!$D:$D,SevkAdetleri!$A:$A,A274,SevkAdetleri!$E:$E,"ŞUBAT")</f>
        <v>0</v>
      </c>
      <c r="I274" s="133">
        <f>SUMIFS(SevkAdetleri!$D:$D,SevkAdetleri!$A:$A,A274,SevkAdetleri!$E:$E,"MART")</f>
        <v>0</v>
      </c>
      <c r="J274" s="133">
        <f>SUMIFS(SevkAdetleri!$D:$D,SevkAdetleri!$A:$A,A274,SevkAdetleri!$E:$E,"NİSAN")</f>
        <v>0</v>
      </c>
      <c r="K274" s="133">
        <f>SUMIFS(SevkAdetleri!$D:$D,SevkAdetleri!$A:$A,A274,SevkAdetleri!$E:$E,"MAYIS")</f>
        <v>0</v>
      </c>
      <c r="L274" s="133">
        <f>SUMIFS(SevkAdetleri!$D:$D,SevkAdetleri!$A:$A,A274,SevkAdetleri!$E:$E,"HAZIRAN")</f>
        <v>0</v>
      </c>
      <c r="M274" s="133">
        <f>SUMIFS(SevkAdetleri!$D:$D,SevkAdetleri!$A:$A,A274,SevkAdetleri!$E:$E,"TEMMUZ")</f>
        <v>2385</v>
      </c>
      <c r="N274" s="133">
        <f>SUMIFS(SevkAdetleri!$D:$D,SevkAdetleri!$A:$A,A274,SevkAdetleri!$E:$E,"AĞUSTOS")</f>
        <v>2000</v>
      </c>
      <c r="O274" s="133">
        <f>SUMIFS(SevkAdetleri!$D:$D,SevkAdetleri!$A:$A,A274,SevkAdetleri!$E:$E,"EYLÜL")</f>
        <v>0</v>
      </c>
      <c r="P274" s="133">
        <f>SUMIFS(SevkAdetleri!$D:$D,SevkAdetleri!$A:$A,A274,SevkAdetleri!$E:$E,"EKİM")</f>
        <v>0</v>
      </c>
      <c r="Q274" s="133">
        <f>SUMIFS(SevkAdetleri!$D:$D,SevkAdetleri!$A:$A,A274,SevkAdetleri!$E:$E,"KASIM")</f>
        <v>0</v>
      </c>
      <c r="R274" s="133">
        <f>SUMIFS(SevkAdetleri!$D:$D,SevkAdetleri!$A:$A,A274,SevkAdetleri!$E:$E,"ARALIK")</f>
        <v>0</v>
      </c>
    </row>
    <row r="275" spans="1:18">
      <c r="A275" s="120" t="s">
        <v>72</v>
      </c>
      <c r="B275" s="133" t="str">
        <f>VLOOKUP(Tablo810[[#This Row],[ ÜRÜN KODU]],YMKODLARI!$A$1:$H$376,2,0)</f>
        <v>EMZİK ASKISI KISKAÇ DİŞİ</v>
      </c>
      <c r="C275" s="133">
        <f>SUMIF(Tablo8[[ ÜRÜN KODU]],Tablo810[[#This Row],[ ÜRÜN KODU]],Tablo8[SEVK ADEDİ])-Tablo810[[#This Row],[GERİ İADE ÜRÜN]]</f>
        <v>5311</v>
      </c>
      <c r="D275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5796</v>
      </c>
      <c r="E275" s="133"/>
      <c r="F275" s="133">
        <f t="shared" si="6"/>
        <v>485</v>
      </c>
      <c r="G275" s="134">
        <f>SUMIFS(SevkAdetleri!$D:$D,SevkAdetleri!$A:$A,A275,SevkAdetleri!$E:$E,"OCAK")</f>
        <v>0</v>
      </c>
      <c r="H275" s="133">
        <f>SUMIFS(SevkAdetleri!$D:$D,SevkAdetleri!$A:$A,A275,SevkAdetleri!$E:$E,"ŞUBAT")</f>
        <v>0</v>
      </c>
      <c r="I275" s="133">
        <f>SUMIFS(SevkAdetleri!$D:$D,SevkAdetleri!$A:$A,A275,SevkAdetleri!$E:$E,"MART")</f>
        <v>0</v>
      </c>
      <c r="J275" s="133">
        <f>SUMIFS(SevkAdetleri!$D:$D,SevkAdetleri!$A:$A,A275,SevkAdetleri!$E:$E,"NİSAN")</f>
        <v>0</v>
      </c>
      <c r="K275" s="133">
        <f>SUMIFS(SevkAdetleri!$D:$D,SevkAdetleri!$A:$A,A275,SevkAdetleri!$E:$E,"MAYIS")</f>
        <v>376</v>
      </c>
      <c r="L275" s="133">
        <f>SUMIFS(SevkAdetleri!$D:$D,SevkAdetleri!$A:$A,A275,SevkAdetleri!$E:$E,"HAZIRAN")</f>
        <v>0</v>
      </c>
      <c r="M275" s="133">
        <f>SUMIFS(SevkAdetleri!$D:$D,SevkAdetleri!$A:$A,A275,SevkAdetleri!$E:$E,"TEMMUZ")</f>
        <v>4000</v>
      </c>
      <c r="N275" s="133">
        <f>SUMIFS(SevkAdetleri!$D:$D,SevkAdetleri!$A:$A,A275,SevkAdetleri!$E:$E,"AĞUSTOS")</f>
        <v>935</v>
      </c>
      <c r="O275" s="133">
        <f>SUMIFS(SevkAdetleri!$D:$D,SevkAdetleri!$A:$A,A275,SevkAdetleri!$E:$E,"EYLÜL")</f>
        <v>0</v>
      </c>
      <c r="P275" s="133">
        <f>SUMIFS(SevkAdetleri!$D:$D,SevkAdetleri!$A:$A,A275,SevkAdetleri!$E:$E,"EKİM")</f>
        <v>0</v>
      </c>
      <c r="Q275" s="133">
        <f>SUMIFS(SevkAdetleri!$D:$D,SevkAdetleri!$A:$A,A275,SevkAdetleri!$E:$E,"KASIM")</f>
        <v>0</v>
      </c>
      <c r="R275" s="133">
        <f>SUMIFS(SevkAdetleri!$D:$D,SevkAdetleri!$A:$A,A275,SevkAdetleri!$E:$E,"ARALIK")</f>
        <v>0</v>
      </c>
    </row>
    <row r="276" spans="1:18">
      <c r="A276" s="120" t="s">
        <v>264</v>
      </c>
      <c r="B276" s="133" t="str">
        <f>VLOOKUP(Tablo810[[#This Row],[ ÜRÜN KODU]],YMKODLARI!$A$1:$H$376,2,0)</f>
        <v>EMZİK ASKISI KISKAÇ DİŞİ</v>
      </c>
      <c r="C276" s="133">
        <f>SUMIF(Tablo8[[ ÜRÜN KODU]],Tablo810[[#This Row],[ ÜRÜN KODU]],Tablo8[SEVK ADEDİ])-Tablo810[[#This Row],[GERİ İADE ÜRÜN]]</f>
        <v>1000</v>
      </c>
      <c r="D276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276" s="133"/>
      <c r="F276" s="133">
        <f t="shared" si="6"/>
        <v>-1000</v>
      </c>
      <c r="G276" s="134">
        <f>SUMIFS(SevkAdetleri!$D:$D,SevkAdetleri!$A:$A,A276,SevkAdetleri!$E:$E,"OCAK")</f>
        <v>0</v>
      </c>
      <c r="H276" s="133">
        <f>SUMIFS(SevkAdetleri!$D:$D,SevkAdetleri!$A:$A,A276,SevkAdetleri!$E:$E,"ŞUBAT")</f>
        <v>0</v>
      </c>
      <c r="I276" s="133">
        <f>SUMIFS(SevkAdetleri!$D:$D,SevkAdetleri!$A:$A,A276,SevkAdetleri!$E:$E,"MART")</f>
        <v>0</v>
      </c>
      <c r="J276" s="133">
        <f>SUMIFS(SevkAdetleri!$D:$D,SevkAdetleri!$A:$A,A276,SevkAdetleri!$E:$E,"NİSAN")</f>
        <v>0</v>
      </c>
      <c r="K276" s="133">
        <f>SUMIFS(SevkAdetleri!$D:$D,SevkAdetleri!$A:$A,A276,SevkAdetleri!$E:$E,"MAYIS")</f>
        <v>0</v>
      </c>
      <c r="L276" s="133">
        <f>SUMIFS(SevkAdetleri!$D:$D,SevkAdetleri!$A:$A,A276,SevkAdetleri!$E:$E,"HAZIRAN")</f>
        <v>0</v>
      </c>
      <c r="M276" s="133">
        <f>SUMIFS(SevkAdetleri!$D:$D,SevkAdetleri!$A:$A,A276,SevkAdetleri!$E:$E,"TEMMUZ")</f>
        <v>0</v>
      </c>
      <c r="N276" s="133">
        <f>SUMIFS(SevkAdetleri!$D:$D,SevkAdetleri!$A:$A,A276,SevkAdetleri!$E:$E,"AĞUSTOS")</f>
        <v>1000</v>
      </c>
      <c r="O276" s="133">
        <f>SUMIFS(SevkAdetleri!$D:$D,SevkAdetleri!$A:$A,A276,SevkAdetleri!$E:$E,"EYLÜL")</f>
        <v>0</v>
      </c>
      <c r="P276" s="133">
        <f>SUMIFS(SevkAdetleri!$D:$D,SevkAdetleri!$A:$A,A276,SevkAdetleri!$E:$E,"EKİM")</f>
        <v>0</v>
      </c>
      <c r="Q276" s="133">
        <f>SUMIFS(SevkAdetleri!$D:$D,SevkAdetleri!$A:$A,A276,SevkAdetleri!$E:$E,"KASIM")</f>
        <v>0</v>
      </c>
      <c r="R276" s="133">
        <f>SUMIFS(SevkAdetleri!$D:$D,SevkAdetleri!$A:$A,A276,SevkAdetleri!$E:$E,"ARALIK")</f>
        <v>0</v>
      </c>
    </row>
    <row r="277" spans="1:18">
      <c r="A277" s="120" t="s">
        <v>103</v>
      </c>
      <c r="B277" s="133" t="str">
        <f>VLOOKUP(Tablo810[[#This Row],[ ÜRÜN KODU]],YMKODLARI!$A$1:$H$376,2,0)</f>
        <v>EMZİK ASKISI KISKAÇ DİŞİ</v>
      </c>
      <c r="C277" s="133">
        <f>SUMIF(Tablo8[[ ÜRÜN KODU]],Tablo810[[#This Row],[ ÜRÜN KODU]],Tablo8[SEVK ADEDİ])-Tablo810[[#This Row],[GERİ İADE ÜRÜN]]</f>
        <v>7612</v>
      </c>
      <c r="D277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3256</v>
      </c>
      <c r="E277" s="133"/>
      <c r="F277" s="133">
        <f t="shared" si="6"/>
        <v>-4356</v>
      </c>
      <c r="G277" s="134">
        <f>SUMIFS(SevkAdetleri!$D:$D,SevkAdetleri!$A:$A,A277,SevkAdetleri!$E:$E,"OCAK")</f>
        <v>0</v>
      </c>
      <c r="H277" s="133">
        <f>SUMIFS(SevkAdetleri!$D:$D,SevkAdetleri!$A:$A,A277,SevkAdetleri!$E:$E,"ŞUBAT")</f>
        <v>0</v>
      </c>
      <c r="I277" s="133">
        <f>SUMIFS(SevkAdetleri!$D:$D,SevkAdetleri!$A:$A,A277,SevkAdetleri!$E:$E,"MART")</f>
        <v>0</v>
      </c>
      <c r="J277" s="133">
        <f>SUMIFS(SevkAdetleri!$D:$D,SevkAdetleri!$A:$A,A277,SevkAdetleri!$E:$E,"NİSAN")</f>
        <v>0</v>
      </c>
      <c r="K277" s="133">
        <f>SUMIFS(SevkAdetleri!$D:$D,SevkAdetleri!$A:$A,A277,SevkAdetleri!$E:$E,"MAYIS")</f>
        <v>4612</v>
      </c>
      <c r="L277" s="133">
        <f>SUMIFS(SevkAdetleri!$D:$D,SevkAdetleri!$A:$A,A277,SevkAdetleri!$E:$E,"HAZIRAN")</f>
        <v>0</v>
      </c>
      <c r="M277" s="133">
        <f>SUMIFS(SevkAdetleri!$D:$D,SevkAdetleri!$A:$A,A277,SevkAdetleri!$E:$E,"TEMMUZ")</f>
        <v>0</v>
      </c>
      <c r="N277" s="133">
        <f>SUMIFS(SevkAdetleri!$D:$D,SevkAdetleri!$A:$A,A277,SevkAdetleri!$E:$E,"AĞUSTOS")</f>
        <v>3000</v>
      </c>
      <c r="O277" s="133">
        <f>SUMIFS(SevkAdetleri!$D:$D,SevkAdetleri!$A:$A,A277,SevkAdetleri!$E:$E,"EYLÜL")</f>
        <v>0</v>
      </c>
      <c r="P277" s="133">
        <f>SUMIFS(SevkAdetleri!$D:$D,SevkAdetleri!$A:$A,A277,SevkAdetleri!$E:$E,"EKİM")</f>
        <v>0</v>
      </c>
      <c r="Q277" s="133">
        <f>SUMIFS(SevkAdetleri!$D:$D,SevkAdetleri!$A:$A,A277,SevkAdetleri!$E:$E,"KASIM")</f>
        <v>0</v>
      </c>
      <c r="R277" s="133">
        <f>SUMIFS(SevkAdetleri!$D:$D,SevkAdetleri!$A:$A,A277,SevkAdetleri!$E:$E,"ARALIK")</f>
        <v>0</v>
      </c>
    </row>
    <row r="278" spans="1:18">
      <c r="A278" s="136" t="s">
        <v>87</v>
      </c>
      <c r="B278" s="133" t="str">
        <f>VLOOKUP(Tablo810[[#This Row],[ ÜRÜN KODU]],YMKODLARI!$A$1:$H$376,2,0)</f>
        <v>EMZİK ASKISI MANDAL</v>
      </c>
      <c r="C278" s="133">
        <f>SUMIF(Tablo8[[ ÜRÜN KODU]],Tablo810[[#This Row],[ ÜRÜN KODU]],Tablo8[SEVK ADEDİ])-Tablo810[[#This Row],[GERİ İADE ÜRÜN]]</f>
        <v>33400</v>
      </c>
      <c r="D278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56712</v>
      </c>
      <c r="E278" s="133"/>
      <c r="F278" s="133">
        <f t="shared" si="3"/>
        <v>23312</v>
      </c>
      <c r="G278" s="133">
        <f>SUMIFS(SevkAdetleri!$D:$D,SevkAdetleri!$A:$A,A278,SevkAdetleri!$E:$E,"OCAK")</f>
        <v>0</v>
      </c>
      <c r="H278" s="133">
        <f>SUMIFS(SevkAdetleri!$D:$D,SevkAdetleri!$A:$A,A278,SevkAdetleri!$E:$E,"ŞUBAT")</f>
        <v>0</v>
      </c>
      <c r="I278" s="133">
        <f>SUMIFS(SevkAdetleri!$D:$D,SevkAdetleri!$A:$A,A278,SevkAdetleri!$E:$E,"MART")</f>
        <v>0</v>
      </c>
      <c r="J278" s="133">
        <f>SUMIFS(SevkAdetleri!$D:$D,SevkAdetleri!$A:$A,A278,SevkAdetleri!$E:$E,"NİSAN")</f>
        <v>0</v>
      </c>
      <c r="K278" s="133">
        <f>SUMIFS(SevkAdetleri!$D:$D,SevkAdetleri!$A:$A,A278,SevkAdetleri!$E:$E,"MAYIS")</f>
        <v>0</v>
      </c>
      <c r="L278" s="133">
        <f>SUMIFS(SevkAdetleri!$D:$D,SevkAdetleri!$A:$A,A278,SevkAdetleri!$E:$E,"HAZIRAN")</f>
        <v>0</v>
      </c>
      <c r="M278" s="133">
        <f>SUMIFS(SevkAdetleri!$D:$D,SevkAdetleri!$A:$A,A278,SevkAdetleri!$E:$E,"TEMMUZ")</f>
        <v>33400</v>
      </c>
      <c r="N278" s="133">
        <f>SUMIFS(SevkAdetleri!$D:$D,SevkAdetleri!$A:$A,A278,SevkAdetleri!$E:$E,"AĞUSTOS")</f>
        <v>0</v>
      </c>
      <c r="O278" s="133">
        <f>SUMIFS(SevkAdetleri!$D:$D,SevkAdetleri!$A:$A,A278,SevkAdetleri!$E:$E,"EYLÜL")</f>
        <v>0</v>
      </c>
      <c r="P278" s="133">
        <f>SUMIFS(SevkAdetleri!$D:$D,SevkAdetleri!$A:$A,A278,SevkAdetleri!$E:$E,"EKİM")</f>
        <v>0</v>
      </c>
      <c r="Q278" s="133">
        <f>SUMIFS(SevkAdetleri!$D:$D,SevkAdetleri!$A:$A,A278,SevkAdetleri!$E:$E,"KASIM")</f>
        <v>0</v>
      </c>
      <c r="R278" s="133">
        <f>SUMIFS(SevkAdetleri!$D:$D,SevkAdetleri!$A:$A,A278,SevkAdetleri!$E:$E,"ARALIK")</f>
        <v>0</v>
      </c>
    </row>
    <row r="279" spans="1:18">
      <c r="A279" s="121" t="s">
        <v>555</v>
      </c>
      <c r="B279" s="133" t="str">
        <f>VLOOKUP(Tablo810[[#This Row],[ ÜRÜN KODU]],YMKODLARI!$A$1:$H$376,2,0)</f>
        <v>KARE SAKLAMA KABI NO 1</v>
      </c>
      <c r="C279" s="133">
        <f>SUMIF(Tablo8[[ ÜRÜN KODU]],Tablo810[[#This Row],[ ÜRÜN KODU]],Tablo8[SEVK ADEDİ])-Tablo810[[#This Row],[GERİ İADE ÜRÜN]]</f>
        <v>0</v>
      </c>
      <c r="D279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6646</v>
      </c>
      <c r="E279" s="133"/>
      <c r="F279" s="133">
        <f t="shared" ref="F279:F291" si="7">(D279-C279)+E279</f>
        <v>6646</v>
      </c>
      <c r="G279" s="134">
        <f>SUMIFS(SevkAdetleri!$D:$D,SevkAdetleri!$A:$A,A279,SevkAdetleri!$E:$E,"OCAK")</f>
        <v>0</v>
      </c>
      <c r="H279" s="133">
        <f>SUMIFS(SevkAdetleri!$D:$D,SevkAdetleri!$A:$A,A279,SevkAdetleri!$E:$E,"ŞUBAT")</f>
        <v>0</v>
      </c>
      <c r="I279" s="133">
        <f>SUMIFS(SevkAdetleri!$D:$D,SevkAdetleri!$A:$A,A279,SevkAdetleri!$E:$E,"MART")</f>
        <v>0</v>
      </c>
      <c r="J279" s="133">
        <f>SUMIFS(SevkAdetleri!$D:$D,SevkAdetleri!$A:$A,A279,SevkAdetleri!$E:$E,"NİSAN")</f>
        <v>0</v>
      </c>
      <c r="K279" s="133">
        <f>SUMIFS(SevkAdetleri!$D:$D,SevkAdetleri!$A:$A,A279,SevkAdetleri!$E:$E,"MAYIS")</f>
        <v>0</v>
      </c>
      <c r="L279" s="133">
        <f>SUMIFS(SevkAdetleri!$D:$D,SevkAdetleri!$A:$A,A279,SevkAdetleri!$E:$E,"HAZIRAN")</f>
        <v>0</v>
      </c>
      <c r="M279" s="133">
        <f>SUMIFS(SevkAdetleri!$D:$D,SevkAdetleri!$A:$A,A279,SevkAdetleri!$E:$E,"TEMMUZ")</f>
        <v>0</v>
      </c>
      <c r="N279" s="133">
        <f>SUMIFS(SevkAdetleri!$D:$D,SevkAdetleri!$A:$A,A279,SevkAdetleri!$E:$E,"AĞUSTOS")</f>
        <v>0</v>
      </c>
      <c r="O279" s="133">
        <f>SUMIFS(SevkAdetleri!$D:$D,SevkAdetleri!$A:$A,A279,SevkAdetleri!$E:$E,"EYLÜL")</f>
        <v>0</v>
      </c>
      <c r="P279" s="133">
        <f>SUMIFS(SevkAdetleri!$D:$D,SevkAdetleri!$A:$A,A279,SevkAdetleri!$E:$E,"EKİM")</f>
        <v>0</v>
      </c>
      <c r="Q279" s="133">
        <f>SUMIFS(SevkAdetleri!$D:$D,SevkAdetleri!$A:$A,A279,SevkAdetleri!$E:$E,"KASIM")</f>
        <v>0</v>
      </c>
      <c r="R279" s="133">
        <f>SUMIFS(SevkAdetleri!$D:$D,SevkAdetleri!$A:$A,A279,SevkAdetleri!$E:$E,"ARALIK")</f>
        <v>0</v>
      </c>
    </row>
    <row r="280" spans="1:18">
      <c r="A280" s="121" t="s">
        <v>556</v>
      </c>
      <c r="B280" s="133" t="str">
        <f>VLOOKUP(Tablo810[[#This Row],[ ÜRÜN KODU]],YMKODLARI!$A$1:$H$376,2,0)</f>
        <v>KARE SAKLAMA KABI NO 2</v>
      </c>
      <c r="C280" s="133">
        <f>SUMIF(Tablo8[[ ÜRÜN KODU]],Tablo810[[#This Row],[ ÜRÜN KODU]],Tablo8[SEVK ADEDİ])-Tablo810[[#This Row],[GERİ İADE ÜRÜN]]</f>
        <v>1500</v>
      </c>
      <c r="D280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2621</v>
      </c>
      <c r="E280" s="133"/>
      <c r="F280" s="133">
        <f t="shared" si="7"/>
        <v>1121</v>
      </c>
      <c r="G280" s="134">
        <f>SUMIFS(SevkAdetleri!$D:$D,SevkAdetleri!$A:$A,A280,SevkAdetleri!$E:$E,"OCAK")</f>
        <v>0</v>
      </c>
      <c r="H280" s="133">
        <f>SUMIFS(SevkAdetleri!$D:$D,SevkAdetleri!$A:$A,A280,SevkAdetleri!$E:$E,"ŞUBAT")</f>
        <v>0</v>
      </c>
      <c r="I280" s="133">
        <f>SUMIFS(SevkAdetleri!$D:$D,SevkAdetleri!$A:$A,A280,SevkAdetleri!$E:$E,"MART")</f>
        <v>0</v>
      </c>
      <c r="J280" s="133">
        <f>SUMIFS(SevkAdetleri!$D:$D,SevkAdetleri!$A:$A,A280,SevkAdetleri!$E:$E,"NİSAN")</f>
        <v>0</v>
      </c>
      <c r="K280" s="133">
        <f>SUMIFS(SevkAdetleri!$D:$D,SevkAdetleri!$A:$A,A280,SevkAdetleri!$E:$E,"MAYIS")</f>
        <v>0</v>
      </c>
      <c r="L280" s="133">
        <f>SUMIFS(SevkAdetleri!$D:$D,SevkAdetleri!$A:$A,A280,SevkAdetleri!$E:$E,"HAZIRAN")</f>
        <v>0</v>
      </c>
      <c r="M280" s="133">
        <f>SUMIFS(SevkAdetleri!$D:$D,SevkAdetleri!$A:$A,A280,SevkAdetleri!$E:$E,"TEMMUZ")</f>
        <v>0</v>
      </c>
      <c r="N280" s="133">
        <f>SUMIFS(SevkAdetleri!$D:$D,SevkAdetleri!$A:$A,A280,SevkAdetleri!$E:$E,"AĞUSTOS")</f>
        <v>0</v>
      </c>
      <c r="O280" s="133">
        <f>SUMIFS(SevkAdetleri!$D:$D,SevkAdetleri!$A:$A,A280,SevkAdetleri!$E:$E,"EYLÜL")</f>
        <v>0</v>
      </c>
      <c r="P280" s="133">
        <f>SUMIFS(SevkAdetleri!$D:$D,SevkAdetleri!$A:$A,A280,SevkAdetleri!$E:$E,"EKİM")</f>
        <v>1500</v>
      </c>
      <c r="Q280" s="133">
        <f>SUMIFS(SevkAdetleri!$D:$D,SevkAdetleri!$A:$A,A280,SevkAdetleri!$E:$E,"KASIM")</f>
        <v>0</v>
      </c>
      <c r="R280" s="133">
        <f>SUMIFS(SevkAdetleri!$D:$D,SevkAdetleri!$A:$A,A280,SevkAdetleri!$E:$E,"ARALIK")</f>
        <v>0</v>
      </c>
    </row>
    <row r="281" spans="1:18">
      <c r="A281" s="121" t="s">
        <v>557</v>
      </c>
      <c r="B281" s="133" t="str">
        <f>VLOOKUP(Tablo810[[#This Row],[ ÜRÜN KODU]],YMKODLARI!$A$1:$H$376,2,0)</f>
        <v>YUVARLAK SAKLAMA KABI NO 1</v>
      </c>
      <c r="C281" s="133">
        <f>SUMIF(Tablo8[[ ÜRÜN KODU]],Tablo810[[#This Row],[ ÜRÜN KODU]],Tablo8[SEVK ADEDİ])-Tablo810[[#This Row],[GERİ İADE ÜRÜN]]</f>
        <v>0</v>
      </c>
      <c r="D281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782</v>
      </c>
      <c r="E281" s="133"/>
      <c r="F281" s="133">
        <f t="shared" si="7"/>
        <v>782</v>
      </c>
      <c r="G281" s="134">
        <f>SUMIFS(SevkAdetleri!$D:$D,SevkAdetleri!$A:$A,A281,SevkAdetleri!$E:$E,"OCAK")</f>
        <v>0</v>
      </c>
      <c r="H281" s="133">
        <f>SUMIFS(SevkAdetleri!$D:$D,SevkAdetleri!$A:$A,A281,SevkAdetleri!$E:$E,"ŞUBAT")</f>
        <v>0</v>
      </c>
      <c r="I281" s="133">
        <f>SUMIFS(SevkAdetleri!$D:$D,SevkAdetleri!$A:$A,A281,SevkAdetleri!$E:$E,"MART")</f>
        <v>0</v>
      </c>
      <c r="J281" s="133">
        <f>SUMIFS(SevkAdetleri!$D:$D,SevkAdetleri!$A:$A,A281,SevkAdetleri!$E:$E,"NİSAN")</f>
        <v>0</v>
      </c>
      <c r="K281" s="133">
        <f>SUMIFS(SevkAdetleri!$D:$D,SevkAdetleri!$A:$A,A281,SevkAdetleri!$E:$E,"MAYIS")</f>
        <v>0</v>
      </c>
      <c r="L281" s="133">
        <f>SUMIFS(SevkAdetleri!$D:$D,SevkAdetleri!$A:$A,A281,SevkAdetleri!$E:$E,"HAZIRAN")</f>
        <v>0</v>
      </c>
      <c r="M281" s="133">
        <f>SUMIFS(SevkAdetleri!$D:$D,SevkAdetleri!$A:$A,A281,SevkAdetleri!$E:$E,"TEMMUZ")</f>
        <v>0</v>
      </c>
      <c r="N281" s="133">
        <f>SUMIFS(SevkAdetleri!$D:$D,SevkAdetleri!$A:$A,A281,SevkAdetleri!$E:$E,"AĞUSTOS")</f>
        <v>0</v>
      </c>
      <c r="O281" s="133">
        <f>SUMIFS(SevkAdetleri!$D:$D,SevkAdetleri!$A:$A,A281,SevkAdetleri!$E:$E,"EYLÜL")</f>
        <v>0</v>
      </c>
      <c r="P281" s="133">
        <f>SUMIFS(SevkAdetleri!$D:$D,SevkAdetleri!$A:$A,A281,SevkAdetleri!$E:$E,"EKİM")</f>
        <v>0</v>
      </c>
      <c r="Q281" s="133">
        <f>SUMIFS(SevkAdetleri!$D:$D,SevkAdetleri!$A:$A,A281,SevkAdetleri!$E:$E,"KASIM")</f>
        <v>0</v>
      </c>
      <c r="R281" s="133">
        <f>SUMIFS(SevkAdetleri!$D:$D,SevkAdetleri!$A:$A,A281,SevkAdetleri!$E:$E,"ARALIK")</f>
        <v>0</v>
      </c>
    </row>
    <row r="282" spans="1:18">
      <c r="A282" s="121" t="s">
        <v>558</v>
      </c>
      <c r="B282" s="133" t="str">
        <f>VLOOKUP(Tablo810[[#This Row],[ ÜRÜN KODU]],YMKODLARI!$A$1:$H$376,2,0)</f>
        <v>YUVARLAK SAKLAMA KABI NO 2</v>
      </c>
      <c r="C282" s="133">
        <f>SUMIF(Tablo8[[ ÜRÜN KODU]],Tablo810[[#This Row],[ ÜRÜN KODU]],Tablo8[SEVK ADEDİ])-Tablo810[[#This Row],[GERİ İADE ÜRÜN]]</f>
        <v>0</v>
      </c>
      <c r="D282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520</v>
      </c>
      <c r="E282" s="133"/>
      <c r="F282" s="133">
        <f t="shared" si="7"/>
        <v>520</v>
      </c>
      <c r="G282" s="134">
        <f>SUMIFS(SevkAdetleri!$D:$D,SevkAdetleri!$A:$A,A282,SevkAdetleri!$E:$E,"OCAK")</f>
        <v>0</v>
      </c>
      <c r="H282" s="133">
        <f>SUMIFS(SevkAdetleri!$D:$D,SevkAdetleri!$A:$A,A282,SevkAdetleri!$E:$E,"ŞUBAT")</f>
        <v>0</v>
      </c>
      <c r="I282" s="133">
        <f>SUMIFS(SevkAdetleri!$D:$D,SevkAdetleri!$A:$A,A282,SevkAdetleri!$E:$E,"MART")</f>
        <v>0</v>
      </c>
      <c r="J282" s="133">
        <f>SUMIFS(SevkAdetleri!$D:$D,SevkAdetleri!$A:$A,A282,SevkAdetleri!$E:$E,"NİSAN")</f>
        <v>0</v>
      </c>
      <c r="K282" s="133">
        <f>SUMIFS(SevkAdetleri!$D:$D,SevkAdetleri!$A:$A,A282,SevkAdetleri!$E:$E,"MAYIS")</f>
        <v>0</v>
      </c>
      <c r="L282" s="133">
        <f>SUMIFS(SevkAdetleri!$D:$D,SevkAdetleri!$A:$A,A282,SevkAdetleri!$E:$E,"HAZIRAN")</f>
        <v>0</v>
      </c>
      <c r="M282" s="133">
        <f>SUMIFS(SevkAdetleri!$D:$D,SevkAdetleri!$A:$A,A282,SevkAdetleri!$E:$E,"TEMMUZ")</f>
        <v>0</v>
      </c>
      <c r="N282" s="133">
        <f>SUMIFS(SevkAdetleri!$D:$D,SevkAdetleri!$A:$A,A282,SevkAdetleri!$E:$E,"AĞUSTOS")</f>
        <v>0</v>
      </c>
      <c r="O282" s="133">
        <f>SUMIFS(SevkAdetleri!$D:$D,SevkAdetleri!$A:$A,A282,SevkAdetleri!$E:$E,"EYLÜL")</f>
        <v>0</v>
      </c>
      <c r="P282" s="133">
        <f>SUMIFS(SevkAdetleri!$D:$D,SevkAdetleri!$A:$A,A282,SevkAdetleri!$E:$E,"EKİM")</f>
        <v>0</v>
      </c>
      <c r="Q282" s="133">
        <f>SUMIFS(SevkAdetleri!$D:$D,SevkAdetleri!$A:$A,A282,SevkAdetleri!$E:$E,"KASIM")</f>
        <v>0</v>
      </c>
      <c r="R282" s="133">
        <f>SUMIFS(SevkAdetleri!$D:$D,SevkAdetleri!$A:$A,A282,SevkAdetleri!$E:$E,"ARALIK")</f>
        <v>0</v>
      </c>
    </row>
    <row r="283" spans="1:18">
      <c r="A283" s="137" t="s">
        <v>559</v>
      </c>
      <c r="B283" s="133" t="str">
        <f>VLOOKUP(Tablo810[[#This Row],[ ÜRÜN KODU]],YMKODLARI!$A$1:$H$376,2,0)</f>
        <v>YUVARLAK SAKLAMA KABI NO 3</v>
      </c>
      <c r="C283" s="133">
        <f>SUMIF(Tablo8[[ ÜRÜN KODU]],Tablo810[[#This Row],[ ÜRÜN KODU]],Tablo8[SEVK ADEDİ])-Tablo810[[#This Row],[GERİ İADE ÜRÜN]]</f>
        <v>0</v>
      </c>
      <c r="D283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611</v>
      </c>
      <c r="E283" s="133"/>
      <c r="F283" s="133">
        <f t="shared" si="7"/>
        <v>611</v>
      </c>
      <c r="G283" s="134">
        <f>SUMIFS(SevkAdetleri!$D:$D,SevkAdetleri!$A:$A,A283,SevkAdetleri!$E:$E,"OCAK")</f>
        <v>0</v>
      </c>
      <c r="H283" s="133">
        <f>SUMIFS(SevkAdetleri!$D:$D,SevkAdetleri!$A:$A,A283,SevkAdetleri!$E:$E,"ŞUBAT")</f>
        <v>0</v>
      </c>
      <c r="I283" s="133">
        <f>SUMIFS(SevkAdetleri!$D:$D,SevkAdetleri!$A:$A,A283,SevkAdetleri!$E:$E,"MART")</f>
        <v>0</v>
      </c>
      <c r="J283" s="133">
        <f>SUMIFS(SevkAdetleri!$D:$D,SevkAdetleri!$A:$A,A283,SevkAdetleri!$E:$E,"NİSAN")</f>
        <v>0</v>
      </c>
      <c r="K283" s="133">
        <f>SUMIFS(SevkAdetleri!$D:$D,SevkAdetleri!$A:$A,A283,SevkAdetleri!$E:$E,"MAYIS")</f>
        <v>0</v>
      </c>
      <c r="L283" s="133">
        <f>SUMIFS(SevkAdetleri!$D:$D,SevkAdetleri!$A:$A,A283,SevkAdetleri!$E:$E,"HAZIRAN")</f>
        <v>0</v>
      </c>
      <c r="M283" s="133">
        <f>SUMIFS(SevkAdetleri!$D:$D,SevkAdetleri!$A:$A,A283,SevkAdetleri!$E:$E,"TEMMUZ")</f>
        <v>0</v>
      </c>
      <c r="N283" s="133">
        <f>SUMIFS(SevkAdetleri!$D:$D,SevkAdetleri!$A:$A,A283,SevkAdetleri!$E:$E,"AĞUSTOS")</f>
        <v>0</v>
      </c>
      <c r="O283" s="133">
        <f>SUMIFS(SevkAdetleri!$D:$D,SevkAdetleri!$A:$A,A283,SevkAdetleri!$E:$E,"EYLÜL")</f>
        <v>0</v>
      </c>
      <c r="P283" s="133">
        <f>SUMIFS(SevkAdetleri!$D:$D,SevkAdetleri!$A:$A,A283,SevkAdetleri!$E:$E,"EKİM")</f>
        <v>0</v>
      </c>
      <c r="Q283" s="133">
        <f>SUMIFS(SevkAdetleri!$D:$D,SevkAdetleri!$A:$A,A283,SevkAdetleri!$E:$E,"KASIM")</f>
        <v>0</v>
      </c>
      <c r="R283" s="133">
        <f>SUMIFS(SevkAdetleri!$D:$D,SevkAdetleri!$A:$A,A283,SevkAdetleri!$E:$E,"ARALIK")</f>
        <v>0</v>
      </c>
    </row>
    <row r="284" spans="1:18">
      <c r="A284" s="121" t="s">
        <v>560</v>
      </c>
      <c r="B284" s="133" t="str">
        <f>VLOOKUP(Tablo810[[#This Row],[ ÜRÜN KODU]],YMKODLARI!$A$1:$H$376,2,0)</f>
        <v>YUVARLAK SAKLAMA KABI KAPAĞI 1</v>
      </c>
      <c r="C284" s="133">
        <f>SUMIF(Tablo8[[ ÜRÜN KODU]],Tablo810[[#This Row],[ ÜRÜN KODU]],Tablo8[SEVK ADEDİ])-Tablo810[[#This Row],[GERİ İADE ÜRÜN]]</f>
        <v>4082</v>
      </c>
      <c r="D284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1430</v>
      </c>
      <c r="E284" s="133"/>
      <c r="F284" s="133">
        <f t="shared" si="7"/>
        <v>-2652</v>
      </c>
      <c r="G284" s="134">
        <f>SUMIFS(SevkAdetleri!$D:$D,SevkAdetleri!$A:$A,A284,SevkAdetleri!$E:$E,"OCAK")</f>
        <v>0</v>
      </c>
      <c r="H284" s="133">
        <f>SUMIFS(SevkAdetleri!$D:$D,SevkAdetleri!$A:$A,A284,SevkAdetleri!$E:$E,"ŞUBAT")</f>
        <v>0</v>
      </c>
      <c r="I284" s="133">
        <f>SUMIFS(SevkAdetleri!$D:$D,SevkAdetleri!$A:$A,A284,SevkAdetleri!$E:$E,"MART")</f>
        <v>0</v>
      </c>
      <c r="J284" s="133">
        <f>SUMIFS(SevkAdetleri!$D:$D,SevkAdetleri!$A:$A,A284,SevkAdetleri!$E:$E,"NİSAN")</f>
        <v>0</v>
      </c>
      <c r="K284" s="133">
        <f>SUMIFS(SevkAdetleri!$D:$D,SevkAdetleri!$A:$A,A284,SevkAdetleri!$E:$E,"MAYIS")</f>
        <v>0</v>
      </c>
      <c r="L284" s="133">
        <f>SUMIFS(SevkAdetleri!$D:$D,SevkAdetleri!$A:$A,A284,SevkAdetleri!$E:$E,"HAZIRAN")</f>
        <v>0</v>
      </c>
      <c r="M284" s="133">
        <f>SUMIFS(SevkAdetleri!$D:$D,SevkAdetleri!$A:$A,A284,SevkAdetleri!$E:$E,"TEMMUZ")</f>
        <v>0</v>
      </c>
      <c r="N284" s="133">
        <f>SUMIFS(SevkAdetleri!$D:$D,SevkAdetleri!$A:$A,A284,SevkAdetleri!$E:$E,"AĞUSTOS")</f>
        <v>0</v>
      </c>
      <c r="O284" s="133">
        <f>SUMIFS(SevkAdetleri!$D:$D,SevkAdetleri!$A:$A,A284,SevkAdetleri!$E:$E,"EYLÜL")</f>
        <v>0</v>
      </c>
      <c r="P284" s="133">
        <f>SUMIFS(SevkAdetleri!$D:$D,SevkAdetleri!$A:$A,A284,SevkAdetleri!$E:$E,"EKİM")</f>
        <v>4082</v>
      </c>
      <c r="Q284" s="133">
        <f>SUMIFS(SevkAdetleri!$D:$D,SevkAdetleri!$A:$A,A284,SevkAdetleri!$E:$E,"KASIM")</f>
        <v>0</v>
      </c>
      <c r="R284" s="133">
        <f>SUMIFS(SevkAdetleri!$D:$D,SevkAdetleri!$A:$A,A284,SevkAdetleri!$E:$E,"ARALIK")</f>
        <v>0</v>
      </c>
    </row>
    <row r="285" spans="1:18">
      <c r="A285" s="121" t="s">
        <v>561</v>
      </c>
      <c r="B285" s="133" t="str">
        <f>VLOOKUP(Tablo810[[#This Row],[ ÜRÜN KODU]],YMKODLARI!$A$1:$H$376,2,0)</f>
        <v>YUVARLAK SAKLAMA KABI KAPAĞI 2</v>
      </c>
      <c r="C285" s="133">
        <f>SUMIF(Tablo8[[ ÜRÜN KODU]],Tablo810[[#This Row],[ ÜRÜN KODU]],Tablo8[SEVK ADEDİ])-Tablo810[[#This Row],[GERİ İADE ÜRÜN]]</f>
        <v>570</v>
      </c>
      <c r="D285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982</v>
      </c>
      <c r="E285" s="133"/>
      <c r="F285" s="133">
        <f t="shared" si="7"/>
        <v>412</v>
      </c>
      <c r="G285" s="134">
        <f>SUMIFS(SevkAdetleri!$D:$D,SevkAdetleri!$A:$A,A285,SevkAdetleri!$E:$E,"OCAK")</f>
        <v>0</v>
      </c>
      <c r="H285" s="133">
        <f>SUMIFS(SevkAdetleri!$D:$D,SevkAdetleri!$A:$A,A285,SevkAdetleri!$E:$E,"ŞUBAT")</f>
        <v>0</v>
      </c>
      <c r="I285" s="133">
        <f>SUMIFS(SevkAdetleri!$D:$D,SevkAdetleri!$A:$A,A285,SevkAdetleri!$E:$E,"MART")</f>
        <v>0</v>
      </c>
      <c r="J285" s="133">
        <f>SUMIFS(SevkAdetleri!$D:$D,SevkAdetleri!$A:$A,A285,SevkAdetleri!$E:$E,"NİSAN")</f>
        <v>0</v>
      </c>
      <c r="K285" s="133">
        <f>SUMIFS(SevkAdetleri!$D:$D,SevkAdetleri!$A:$A,A285,SevkAdetleri!$E:$E,"MAYIS")</f>
        <v>0</v>
      </c>
      <c r="L285" s="133">
        <f>SUMIFS(SevkAdetleri!$D:$D,SevkAdetleri!$A:$A,A285,SevkAdetleri!$E:$E,"HAZIRAN")</f>
        <v>0</v>
      </c>
      <c r="M285" s="133">
        <f>SUMIFS(SevkAdetleri!$D:$D,SevkAdetleri!$A:$A,A285,SevkAdetleri!$E:$E,"TEMMUZ")</f>
        <v>0</v>
      </c>
      <c r="N285" s="133">
        <f>SUMIFS(SevkAdetleri!$D:$D,SevkAdetleri!$A:$A,A285,SevkAdetleri!$E:$E,"AĞUSTOS")</f>
        <v>0</v>
      </c>
      <c r="O285" s="133">
        <f>SUMIFS(SevkAdetleri!$D:$D,SevkAdetleri!$A:$A,A285,SevkAdetleri!$E:$E,"EYLÜL")</f>
        <v>0</v>
      </c>
      <c r="P285" s="133">
        <f>SUMIFS(SevkAdetleri!$D:$D,SevkAdetleri!$A:$A,A285,SevkAdetleri!$E:$E,"EKİM")</f>
        <v>570</v>
      </c>
      <c r="Q285" s="133">
        <f>SUMIFS(SevkAdetleri!$D:$D,SevkAdetleri!$A:$A,A285,SevkAdetleri!$E:$E,"KASIM")</f>
        <v>0</v>
      </c>
      <c r="R285" s="133">
        <f>SUMIFS(SevkAdetleri!$D:$D,SevkAdetleri!$A:$A,A285,SevkAdetleri!$E:$E,"ARALIK")</f>
        <v>0</v>
      </c>
    </row>
    <row r="286" spans="1:18">
      <c r="A286" s="121" t="s">
        <v>562</v>
      </c>
      <c r="B286" s="133" t="str">
        <f>VLOOKUP(Tablo810[[#This Row],[ ÜRÜN KODU]],YMKODLARI!$A$1:$H$376,2,0)</f>
        <v>YUVARLAK SAKLAMA KABI KAPAĞI 3</v>
      </c>
      <c r="C286" s="133">
        <f>SUMIF(Tablo8[[ ÜRÜN KODU]],Tablo810[[#This Row],[ ÜRÜN KODU]],Tablo8[SEVK ADEDİ])-Tablo810[[#This Row],[GERİ İADE ÜRÜN]]</f>
        <v>0</v>
      </c>
      <c r="D286" s="133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566</v>
      </c>
      <c r="E286" s="133"/>
      <c r="F286" s="133">
        <f t="shared" si="7"/>
        <v>566</v>
      </c>
      <c r="G286" s="134">
        <f>SUMIFS(SevkAdetleri!$D:$D,SevkAdetleri!$A:$A,A286,SevkAdetleri!$E:$E,"OCAK")</f>
        <v>0</v>
      </c>
      <c r="H286" s="133">
        <f>SUMIFS(SevkAdetleri!$D:$D,SevkAdetleri!$A:$A,A286,SevkAdetleri!$E:$E,"ŞUBAT")</f>
        <v>0</v>
      </c>
      <c r="I286" s="133">
        <f>SUMIFS(SevkAdetleri!$D:$D,SevkAdetleri!$A:$A,A286,SevkAdetleri!$E:$E,"MART")</f>
        <v>0</v>
      </c>
      <c r="J286" s="133">
        <f>SUMIFS(SevkAdetleri!$D:$D,SevkAdetleri!$A:$A,A286,SevkAdetleri!$E:$E,"NİSAN")</f>
        <v>0</v>
      </c>
      <c r="K286" s="133">
        <f>SUMIFS(SevkAdetleri!$D:$D,SevkAdetleri!$A:$A,A286,SevkAdetleri!$E:$E,"MAYIS")</f>
        <v>0</v>
      </c>
      <c r="L286" s="133">
        <f>SUMIFS(SevkAdetleri!$D:$D,SevkAdetleri!$A:$A,A286,SevkAdetleri!$E:$E,"HAZIRAN")</f>
        <v>0</v>
      </c>
      <c r="M286" s="133">
        <f>SUMIFS(SevkAdetleri!$D:$D,SevkAdetleri!$A:$A,A286,SevkAdetleri!$E:$E,"TEMMUZ")</f>
        <v>0</v>
      </c>
      <c r="N286" s="133">
        <f>SUMIFS(SevkAdetleri!$D:$D,SevkAdetleri!$A:$A,A286,SevkAdetleri!$E:$E,"AĞUSTOS")</f>
        <v>0</v>
      </c>
      <c r="O286" s="133">
        <f>SUMIFS(SevkAdetleri!$D:$D,SevkAdetleri!$A:$A,A286,SevkAdetleri!$E:$E,"EYLÜL")</f>
        <v>0</v>
      </c>
      <c r="P286" s="133">
        <f>SUMIFS(SevkAdetleri!$D:$D,SevkAdetleri!$A:$A,A286,SevkAdetleri!$E:$E,"EKİM")</f>
        <v>0</v>
      </c>
      <c r="Q286" s="133">
        <f>SUMIFS(SevkAdetleri!$D:$D,SevkAdetleri!$A:$A,A286,SevkAdetleri!$E:$E,"KASIM")</f>
        <v>0</v>
      </c>
      <c r="R286" s="133">
        <f>SUMIFS(SevkAdetleri!$D:$D,SevkAdetleri!$A:$A,A286,SevkAdetleri!$E:$E,"ARALIK")</f>
        <v>0</v>
      </c>
    </row>
    <row r="287" spans="1:18">
      <c r="A287" s="121" t="s">
        <v>573</v>
      </c>
      <c r="B287" s="133" t="str">
        <f>VLOOKUP(Tablo810[[#This Row],[ ÜRÜN KODU]],YMKODLARI!$A$1:$H$376,2,0)</f>
        <v>KARE SAKLAMA KABI KAPAĞI</v>
      </c>
      <c r="C287" s="133">
        <f>SUMIF(Tablo8[[ ÜRÜN KODU]],Tablo810[[#This Row],[ ÜRÜN KODU]],Tablo8[SEVK ADEDİ])-Tablo810[[#This Row],[GERİ İADE ÜRÜN]]</f>
        <v>1720</v>
      </c>
      <c r="D287" s="138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17564</v>
      </c>
      <c r="E287" s="138"/>
      <c r="F287" s="138">
        <f t="shared" si="7"/>
        <v>15844</v>
      </c>
      <c r="G287" s="139">
        <f>SUMIFS(SevkAdetleri!$D:$D,SevkAdetleri!$A:$A,A287,SevkAdetleri!$E:$E,"OCAK")</f>
        <v>0</v>
      </c>
      <c r="H287" s="138">
        <f>SUMIFS(SevkAdetleri!$D:$D,SevkAdetleri!$A:$A,A287,SevkAdetleri!$E:$E,"ŞUBAT")</f>
        <v>0</v>
      </c>
      <c r="I287" s="138">
        <f>SUMIFS(SevkAdetleri!$D:$D,SevkAdetleri!$A:$A,A287,SevkAdetleri!$E:$E,"MART")</f>
        <v>0</v>
      </c>
      <c r="J287" s="133">
        <f>SUMIFS(SevkAdetleri!$D:$D,SevkAdetleri!$A:$A,A287,SevkAdetleri!$E:$E,"NİSAN")</f>
        <v>0</v>
      </c>
      <c r="K287" s="133">
        <f>SUMIFS(SevkAdetleri!$D:$D,SevkAdetleri!$A:$A,A287,SevkAdetleri!$E:$E,"MAYIS")</f>
        <v>0</v>
      </c>
      <c r="L287" s="133">
        <f>SUMIFS(SevkAdetleri!$D:$D,SevkAdetleri!$A:$A,A287,SevkAdetleri!$E:$E,"HAZIRAN")</f>
        <v>0</v>
      </c>
      <c r="M287" s="133">
        <f>SUMIFS(SevkAdetleri!$D:$D,SevkAdetleri!$A:$A,A287,SevkAdetleri!$E:$E,"TEMMUZ")</f>
        <v>0</v>
      </c>
      <c r="N287" s="133">
        <f>SUMIFS(SevkAdetleri!$D:$D,SevkAdetleri!$A:$A,A287,SevkAdetleri!$E:$E,"AĞUSTOS")</f>
        <v>0</v>
      </c>
      <c r="O287" s="133">
        <f>SUMIFS(SevkAdetleri!$D:$D,SevkAdetleri!$A:$A,A287,SevkAdetleri!$E:$E,"EYLÜL")</f>
        <v>0</v>
      </c>
      <c r="P287" s="133">
        <f>SUMIFS(SevkAdetleri!$D:$D,SevkAdetleri!$A:$A,A287,SevkAdetleri!$E:$E,"EKİM")</f>
        <v>1720</v>
      </c>
      <c r="Q287" s="133">
        <f>SUMIFS(SevkAdetleri!$D:$D,SevkAdetleri!$A:$A,A287,SevkAdetleri!$E:$E,"KASIM")</f>
        <v>0</v>
      </c>
      <c r="R287" s="133">
        <f>SUMIFS(SevkAdetleri!$D:$D,SevkAdetleri!$A:$A,A287,SevkAdetleri!$E:$E,"ARALIK")</f>
        <v>0</v>
      </c>
    </row>
    <row r="288" spans="1:18">
      <c r="A288" s="121" t="s">
        <v>54</v>
      </c>
      <c r="B288" s="133" t="str">
        <f>VLOOKUP(Tablo810[[#This Row],[ ÜRÜN KODU]],YMKODLARI!$A$1:$H$376,2,0)</f>
        <v>KARE SAKLAMA KAPAĞI CONTASI</v>
      </c>
      <c r="C288" s="133">
        <f>SUMIF(Tablo8[[ ÜRÜN KODU]],Tablo810[[#This Row],[ ÜRÜN KODU]],Tablo8[SEVK ADEDİ])-Tablo810[[#This Row],[GERİ İADE ÜRÜN]]</f>
        <v>7440</v>
      </c>
      <c r="D288" s="138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9212</v>
      </c>
      <c r="E288" s="138"/>
      <c r="F288" s="138">
        <f t="shared" si="7"/>
        <v>1772</v>
      </c>
      <c r="G288" s="139">
        <f>SUMIFS(SevkAdetleri!$D:$D,SevkAdetleri!$A:$A,A288,SevkAdetleri!$E:$E,"OCAK")</f>
        <v>0</v>
      </c>
      <c r="H288" s="138">
        <f>SUMIFS(SevkAdetleri!$D:$D,SevkAdetleri!$A:$A,A288,SevkAdetleri!$E:$E,"ŞUBAT")</f>
        <v>0</v>
      </c>
      <c r="I288" s="138">
        <f>SUMIFS(SevkAdetleri!$D:$D,SevkAdetleri!$A:$A,A288,SevkAdetleri!$E:$E,"MART")</f>
        <v>0</v>
      </c>
      <c r="J288" s="133">
        <f>SUMIFS(SevkAdetleri!$D:$D,SevkAdetleri!$A:$A,A288,SevkAdetleri!$E:$E,"NİSAN")</f>
        <v>0</v>
      </c>
      <c r="K288" s="133">
        <f>SUMIFS(SevkAdetleri!$D:$D,SevkAdetleri!$A:$A,A288,SevkAdetleri!$E:$E,"MAYIS")</f>
        <v>0</v>
      </c>
      <c r="L288" s="133">
        <f>SUMIFS(SevkAdetleri!$D:$D,SevkAdetleri!$A:$A,A288,SevkAdetleri!$E:$E,"HAZIRAN")</f>
        <v>0</v>
      </c>
      <c r="M288" s="133">
        <f>SUMIFS(SevkAdetleri!$D:$D,SevkAdetleri!$A:$A,A288,SevkAdetleri!$E:$E,"TEMMUZ")</f>
        <v>0</v>
      </c>
      <c r="N288" s="133">
        <f>SUMIFS(SevkAdetleri!$D:$D,SevkAdetleri!$A:$A,A288,SevkAdetleri!$E:$E,"AĞUSTOS")</f>
        <v>0</v>
      </c>
      <c r="O288" s="133">
        <f>SUMIFS(SevkAdetleri!$D:$D,SevkAdetleri!$A:$A,A288,SevkAdetleri!$E:$E,"EYLÜL")</f>
        <v>0</v>
      </c>
      <c r="P288" s="133">
        <f>SUMIFS(SevkAdetleri!$D:$D,SevkAdetleri!$A:$A,A288,SevkAdetleri!$E:$E,"EKİM")</f>
        <v>7440</v>
      </c>
      <c r="Q288" s="133">
        <f>SUMIFS(SevkAdetleri!$D:$D,SevkAdetleri!$A:$A,A288,SevkAdetleri!$E:$E,"KASIM")</f>
        <v>0</v>
      </c>
      <c r="R288" s="133">
        <f>SUMIFS(SevkAdetleri!$D:$D,SevkAdetleri!$A:$A,A288,SevkAdetleri!$E:$E,"ARALIK")</f>
        <v>0</v>
      </c>
    </row>
    <row r="289" spans="1:18">
      <c r="A289" s="133"/>
      <c r="B289" s="133" t="e">
        <f>VLOOKUP(Tablo810[[#This Row],[ ÜRÜN KODU]],YMKODLARI!$A$1:$H$376,2,0)</f>
        <v>#N/A</v>
      </c>
      <c r="C289" s="133">
        <f>SUMIF(Tablo8[[ ÜRÜN KODU]],Tablo810[[#This Row],[ ÜRÜN KODU]],Tablo8[SEVK ADEDİ])-Tablo810[[#This Row],[GERİ İADE ÜRÜN]]</f>
        <v>0</v>
      </c>
      <c r="D289" s="138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289" s="138"/>
      <c r="F289" s="138">
        <f t="shared" si="7"/>
        <v>0</v>
      </c>
      <c r="G289" s="139">
        <f>SUMIFS(SevkAdetleri!$D:$D,SevkAdetleri!$A:$A,A289,SevkAdetleri!$E:$E,"OCAK")</f>
        <v>0</v>
      </c>
      <c r="H289" s="138">
        <f>SUMIFS(SevkAdetleri!$D:$D,SevkAdetleri!$A:$A,A289,SevkAdetleri!$E:$E,"ŞUBAT")</f>
        <v>0</v>
      </c>
      <c r="I289" s="138">
        <f>SUMIFS(SevkAdetleri!$D:$D,SevkAdetleri!$A:$A,A289,SevkAdetleri!$E:$E,"MART")</f>
        <v>0</v>
      </c>
      <c r="J289" s="133">
        <f>SUMIFS(SevkAdetleri!$D:$D,SevkAdetleri!$A:$A,A289,SevkAdetleri!$E:$E,"NİSAN")</f>
        <v>0</v>
      </c>
      <c r="K289" s="133">
        <f>SUMIFS(SevkAdetleri!$D:$D,SevkAdetleri!$A:$A,A289,SevkAdetleri!$E:$E,"MAYIS")</f>
        <v>0</v>
      </c>
      <c r="L289" s="133">
        <f>SUMIFS(SevkAdetleri!$D:$D,SevkAdetleri!$A:$A,A289,SevkAdetleri!$E:$E,"HAZIRAN")</f>
        <v>0</v>
      </c>
      <c r="M289" s="133">
        <f>SUMIFS(SevkAdetleri!$D:$D,SevkAdetleri!$A:$A,A289,SevkAdetleri!$E:$E,"TEMMUZ")</f>
        <v>0</v>
      </c>
      <c r="N289" s="133">
        <f>SUMIFS(SevkAdetleri!$D:$D,SevkAdetleri!$A:$A,A289,SevkAdetleri!$E:$E,"AĞUSTOS")</f>
        <v>0</v>
      </c>
      <c r="O289" s="133">
        <f>SUMIFS(SevkAdetleri!$D:$D,SevkAdetleri!$A:$A,A289,SevkAdetleri!$E:$E,"EYLÜL")</f>
        <v>0</v>
      </c>
      <c r="P289" s="133">
        <f>SUMIFS(SevkAdetleri!$D:$D,SevkAdetleri!$A:$A,A289,SevkAdetleri!$E:$E,"EKİM")</f>
        <v>0</v>
      </c>
      <c r="Q289" s="133">
        <f>SUMIFS(SevkAdetleri!$D:$D,SevkAdetleri!$A:$A,A289,SevkAdetleri!$E:$E,"KASIM")</f>
        <v>0</v>
      </c>
      <c r="R289" s="133">
        <f>SUMIFS(SevkAdetleri!$D:$D,SevkAdetleri!$A:$A,A289,SevkAdetleri!$E:$E,"ARALIK")</f>
        <v>0</v>
      </c>
    </row>
    <row r="290" spans="1:18">
      <c r="A290" s="133"/>
      <c r="B290" s="133" t="e">
        <f>VLOOKUP(Tablo810[[#This Row],[ ÜRÜN KODU]],YMKODLARI!$A$1:$H$376,2,0)</f>
        <v>#N/A</v>
      </c>
      <c r="C290" s="133">
        <f>SUMIF(Tablo8[[ ÜRÜN KODU]],Tablo810[[#This Row],[ ÜRÜN KODU]],Tablo8[SEVK ADEDİ])-Tablo810[[#This Row],[GERİ İADE ÜRÜN]]</f>
        <v>0</v>
      </c>
      <c r="D290" s="138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290" s="138"/>
      <c r="F290" s="138">
        <f t="shared" si="7"/>
        <v>0</v>
      </c>
      <c r="G290" s="139">
        <f>SUMIFS(SevkAdetleri!$D:$D,SevkAdetleri!$A:$A,A290,SevkAdetleri!$E:$E,"OCAK")</f>
        <v>0</v>
      </c>
      <c r="H290" s="138">
        <f>SUMIFS(SevkAdetleri!$D:$D,SevkAdetleri!$A:$A,A290,SevkAdetleri!$E:$E,"ŞUBAT")</f>
        <v>0</v>
      </c>
      <c r="I290" s="138">
        <f>SUMIFS(SevkAdetleri!$D:$D,SevkAdetleri!$A:$A,A290,SevkAdetleri!$E:$E,"MART")</f>
        <v>0</v>
      </c>
      <c r="J290" s="133">
        <f>SUMIFS(SevkAdetleri!$D:$D,SevkAdetleri!$A:$A,A290,SevkAdetleri!$E:$E,"NİSAN")</f>
        <v>0</v>
      </c>
      <c r="K290" s="133">
        <f>SUMIFS(SevkAdetleri!$D:$D,SevkAdetleri!$A:$A,A290,SevkAdetleri!$E:$E,"MAYIS")</f>
        <v>0</v>
      </c>
      <c r="L290" s="133">
        <f>SUMIFS(SevkAdetleri!$D:$D,SevkAdetleri!$A:$A,A290,SevkAdetleri!$E:$E,"HAZIRAN")</f>
        <v>0</v>
      </c>
      <c r="M290" s="133">
        <f>SUMIFS(SevkAdetleri!$D:$D,SevkAdetleri!$A:$A,A290,SevkAdetleri!$E:$E,"TEMMUZ")</f>
        <v>0</v>
      </c>
      <c r="N290" s="133">
        <f>SUMIFS(SevkAdetleri!$D:$D,SevkAdetleri!$A:$A,A290,SevkAdetleri!$E:$E,"AĞUSTOS")</f>
        <v>0</v>
      </c>
      <c r="O290" s="133">
        <f>SUMIFS(SevkAdetleri!$D:$D,SevkAdetleri!$A:$A,A290,SevkAdetleri!$E:$E,"EYLÜL")</f>
        <v>0</v>
      </c>
      <c r="P290" s="133">
        <f>SUMIFS(SevkAdetleri!$D:$D,SevkAdetleri!$A:$A,A290,SevkAdetleri!$E:$E,"EKİM")</f>
        <v>0</v>
      </c>
      <c r="Q290" s="133">
        <f>SUMIFS(SevkAdetleri!$D:$D,SevkAdetleri!$A:$A,A290,SevkAdetleri!$E:$E,"KASIM")</f>
        <v>0</v>
      </c>
      <c r="R290" s="133">
        <f>SUMIFS(SevkAdetleri!$D:$D,SevkAdetleri!$A:$A,A290,SevkAdetleri!$E:$E,"ARALIK")</f>
        <v>0</v>
      </c>
    </row>
    <row r="291" spans="1:18">
      <c r="A291" s="138"/>
      <c r="B291" s="138" t="e">
        <f>VLOOKUP(Tablo810[[#This Row],[ ÜRÜN KODU]],YMKODLARI!$A$1:$H$376,2,0)</f>
        <v>#N/A</v>
      </c>
      <c r="C291" s="138">
        <f>SUMIF(Tablo8[[ ÜRÜN KODU]],Tablo810[[#This Row],[ ÜRÜN KODU]],Tablo8[SEVK ADEDİ])-Tablo810[[#This Row],[GERİ İADE ÜRÜN]]</f>
        <v>0</v>
      </c>
      <c r="D291" s="138">
        <f>SUMIF(Tablo5[ÜRÜN KODU],Tablo810[[#This Row],[ ÜRÜN KODU]],Tablo5[TOPLAM BASKI ADEDİ]) +SUMIF(Tablo515[ÜRÜN KODU],Tablo810[[#This Row],[ ÜRÜN KODU]],Tablo515[TOPLAM BASKI ADEDİ])+SUMIF(Tablo516[ÜRÜN KODU],Tablo810[[#This Row],[ ÜRÜN KODU]],Tablo516[TOPLAM BASKI ADEDİ]) +SUMIF(Tablo517[ÜRÜN KODU],Tablo810[[#This Row],[ ÜRÜN KODU]],Tablo517[TOPLAM BASKI ADEDİ]) +SUMIF(Tablo518[ÜRÜN KODU],Tablo810[[#This Row],[ ÜRÜN KODU]],Tablo518[TOPLAM BASKI ADEDİ]) +SUMIF(Tablo519[ÜRÜN KODU],Tablo810[[#This Row],[ ÜRÜN KODU]],Tablo519[TOPLAM BASKI ADEDİ]) +SUMIF(Tablo520[ÜRÜN KODU],Tablo810[[#This Row],[ ÜRÜN KODU]],Tablo520[TOPLAM BASKI ADEDİ])</f>
        <v>0</v>
      </c>
      <c r="E291" s="138"/>
      <c r="F291" s="138">
        <f t="shared" si="7"/>
        <v>0</v>
      </c>
      <c r="G291" s="139">
        <f>SUMIFS(SevkAdetleri!$D:$D,SevkAdetleri!$A:$A,A291,SevkAdetleri!$E:$E,"OCAK")</f>
        <v>0</v>
      </c>
      <c r="H291" s="138">
        <f>SUMIFS(SevkAdetleri!$D:$D,SevkAdetleri!$A:$A,A291,SevkAdetleri!$E:$E,"ŞUBAT")</f>
        <v>0</v>
      </c>
      <c r="I291" s="138">
        <f>SUMIFS(SevkAdetleri!$D:$D,SevkAdetleri!$A:$A,A291,SevkAdetleri!$E:$E,"MART")</f>
        <v>0</v>
      </c>
      <c r="J291" s="138">
        <f>SUMIFS(SevkAdetleri!$D:$D,SevkAdetleri!$A:$A,A291,SevkAdetleri!$E:$E,"NİSAN")</f>
        <v>0</v>
      </c>
      <c r="K291" s="138">
        <f>SUMIFS(SevkAdetleri!$D:$D,SevkAdetleri!$A:$A,A291,SevkAdetleri!$E:$E,"MAYIS")</f>
        <v>0</v>
      </c>
      <c r="L291" s="138">
        <f>SUMIFS(SevkAdetleri!$D:$D,SevkAdetleri!$A:$A,A291,SevkAdetleri!$E:$E,"HAZIRAN")</f>
        <v>0</v>
      </c>
      <c r="M291" s="138">
        <f>SUMIFS(SevkAdetleri!$D:$D,SevkAdetleri!$A:$A,A291,SevkAdetleri!$E:$E,"TEMMUZ")</f>
        <v>0</v>
      </c>
      <c r="N291" s="138">
        <f>SUMIFS(SevkAdetleri!$D:$D,SevkAdetleri!$A:$A,A291,SevkAdetleri!$E:$E,"AĞUSTOS")</f>
        <v>0</v>
      </c>
      <c r="O291" s="138">
        <f>SUMIFS(SevkAdetleri!$D:$D,SevkAdetleri!$A:$A,A291,SevkAdetleri!$E:$E,"EYLÜL")</f>
        <v>0</v>
      </c>
      <c r="P291" s="138">
        <f>SUMIFS(SevkAdetleri!$D:$D,SevkAdetleri!$A:$A,A291,SevkAdetleri!$E:$E,"EKİM")</f>
        <v>0</v>
      </c>
      <c r="Q291" s="138">
        <f>SUMIFS(SevkAdetleri!$D:$D,SevkAdetleri!$A:$A,A291,SevkAdetleri!$E:$E,"KASIM")</f>
        <v>0</v>
      </c>
      <c r="R291" s="138">
        <f>SUMIFS(SevkAdetleri!$D:$D,SevkAdetleri!$A:$A,A291,SevkAdetleri!$E:$E,"ARALIK")</f>
        <v>0</v>
      </c>
    </row>
    <row r="292" spans="1:18">
      <c r="D292" s="76"/>
      <c r="E292" s="24"/>
      <c r="F292" s="24"/>
      <c r="G292" s="76"/>
      <c r="H292" s="76"/>
      <c r="I292" s="76"/>
    </row>
    <row r="293" spans="1:18">
      <c r="D293" s="76"/>
      <c r="E293" s="77"/>
      <c r="F293" s="24"/>
      <c r="G293" s="76"/>
      <c r="H293" s="76"/>
      <c r="I293" s="76"/>
    </row>
    <row r="294" spans="1:18">
      <c r="D294" s="76"/>
      <c r="E294" s="77"/>
      <c r="F294" s="24"/>
      <c r="G294" s="76"/>
      <c r="H294" s="76"/>
      <c r="I294" s="76"/>
    </row>
    <row r="295" spans="1:18">
      <c r="D295" s="76"/>
      <c r="E295" s="77"/>
      <c r="F295" s="24"/>
      <c r="G295" s="76"/>
      <c r="H295" s="76"/>
      <c r="I295" s="76"/>
    </row>
    <row r="296" spans="1:18">
      <c r="D296" s="76"/>
      <c r="E296" s="77"/>
      <c r="F296" s="24"/>
      <c r="G296" s="76"/>
      <c r="H296" s="76"/>
      <c r="I296" s="76"/>
    </row>
    <row r="297" spans="1:18">
      <c r="D297" s="76"/>
      <c r="E297" s="76"/>
      <c r="F297" s="76"/>
      <c r="G297" s="76"/>
      <c r="H297" s="76"/>
      <c r="I297" s="76"/>
    </row>
  </sheetData>
  <sheetProtection password="CC17" sheet="1" objects="1" scenarios="1"/>
  <protectedRanges>
    <protectedRange password="CC09" sqref="A72:A73" name="girişler"/>
  </protectedRanges>
  <pageMargins left="0.7" right="0.7" top="0.75" bottom="0.75" header="0.3" footer="0.3"/>
  <pageSetup paperSize="9" orientation="portrait" verticalDpi="0" r:id="rId1"/>
  <ignoredErrors>
    <ignoredError sqref="L2" calculatedColumn="1"/>
  </ignoredErrors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>
  <sheetPr codeName="Sayfa2"/>
  <dimension ref="A1:J31"/>
  <sheetViews>
    <sheetView workbookViewId="0">
      <selection activeCell="C14" sqref="C14"/>
    </sheetView>
  </sheetViews>
  <sheetFormatPr defaultRowHeight="15"/>
  <cols>
    <col min="1" max="1" width="13.85546875" style="74" customWidth="1"/>
    <col min="2" max="2" width="20.5703125" style="74" bestFit="1" customWidth="1"/>
    <col min="3" max="3" width="22.85546875" style="74" bestFit="1" customWidth="1"/>
    <col min="4" max="4" width="19.5703125" style="74" customWidth="1"/>
    <col min="5" max="10" width="10.7109375" style="74" customWidth="1"/>
    <col min="11" max="16384" width="9.140625" style="74"/>
  </cols>
  <sheetData>
    <row r="1" spans="1:10" ht="58.5" customHeight="1">
      <c r="A1" s="72" t="s">
        <v>13</v>
      </c>
      <c r="B1" s="72" t="s">
        <v>1</v>
      </c>
      <c r="C1" s="72" t="s">
        <v>357</v>
      </c>
      <c r="D1" s="72" t="s">
        <v>358</v>
      </c>
      <c r="E1" s="73"/>
      <c r="F1" s="73"/>
      <c r="G1" s="26"/>
      <c r="H1" s="26"/>
      <c r="I1" s="26"/>
      <c r="J1" s="26"/>
    </row>
    <row r="2" spans="1:10">
      <c r="A2" s="74" t="s">
        <v>359</v>
      </c>
      <c r="B2" s="74" t="s">
        <v>360</v>
      </c>
      <c r="C2" s="74" t="s">
        <v>361</v>
      </c>
      <c r="D2" s="74" t="s">
        <v>362</v>
      </c>
    </row>
    <row r="3" spans="1:10">
      <c r="A3" s="74" t="s">
        <v>183</v>
      </c>
      <c r="B3" s="74" t="s">
        <v>363</v>
      </c>
      <c r="C3" s="74" t="s">
        <v>364</v>
      </c>
      <c r="D3" s="74" t="s">
        <v>362</v>
      </c>
    </row>
    <row r="4" spans="1:10">
      <c r="A4" s="74" t="s">
        <v>365</v>
      </c>
      <c r="B4" s="74" t="s">
        <v>366</v>
      </c>
      <c r="C4" s="74" t="s">
        <v>367</v>
      </c>
      <c r="D4" s="74" t="s">
        <v>368</v>
      </c>
    </row>
    <row r="5" spans="1:10">
      <c r="A5" s="74" t="s">
        <v>369</v>
      </c>
      <c r="B5" s="75" t="s">
        <v>370</v>
      </c>
      <c r="C5" s="75" t="s">
        <v>371</v>
      </c>
      <c r="D5" s="74" t="s">
        <v>372</v>
      </c>
    </row>
    <row r="6" spans="1:10">
      <c r="A6" s="74" t="s">
        <v>373</v>
      </c>
      <c r="B6" s="74" t="s">
        <v>374</v>
      </c>
      <c r="C6" s="74" t="s">
        <v>375</v>
      </c>
      <c r="D6" s="74" t="s">
        <v>372</v>
      </c>
    </row>
    <row r="7" spans="1:10">
      <c r="A7" s="74" t="s">
        <v>376</v>
      </c>
      <c r="B7" s="74" t="s">
        <v>377</v>
      </c>
      <c r="C7" s="74" t="s">
        <v>377</v>
      </c>
      <c r="D7" s="74" t="s">
        <v>378</v>
      </c>
    </row>
    <row r="8" spans="1:10">
      <c r="A8" s="74" t="s">
        <v>379</v>
      </c>
      <c r="B8" s="74" t="s">
        <v>380</v>
      </c>
      <c r="C8" s="74" t="s">
        <v>380</v>
      </c>
      <c r="D8" s="74" t="s">
        <v>378</v>
      </c>
    </row>
    <row r="9" spans="1:10">
      <c r="A9" s="74" t="s">
        <v>381</v>
      </c>
      <c r="B9" s="74" t="s">
        <v>382</v>
      </c>
      <c r="C9" s="74" t="s">
        <v>382</v>
      </c>
      <c r="D9" s="74" t="s">
        <v>378</v>
      </c>
    </row>
    <row r="10" spans="1:10">
      <c r="A10" s="74" t="s">
        <v>383</v>
      </c>
      <c r="B10" s="75" t="s">
        <v>384</v>
      </c>
      <c r="C10" s="75" t="s">
        <v>384</v>
      </c>
      <c r="D10" s="74" t="s">
        <v>580</v>
      </c>
    </row>
    <row r="11" spans="1:10">
      <c r="A11" s="74" t="s">
        <v>114</v>
      </c>
      <c r="B11" s="74" t="s">
        <v>385</v>
      </c>
      <c r="C11" s="74" t="s">
        <v>386</v>
      </c>
      <c r="D11" s="74" t="s">
        <v>387</v>
      </c>
    </row>
    <row r="12" spans="1:10">
      <c r="A12" s="74" t="s">
        <v>388</v>
      </c>
      <c r="B12" s="74" t="s">
        <v>389</v>
      </c>
      <c r="C12" s="74" t="s">
        <v>390</v>
      </c>
      <c r="D12" s="74" t="s">
        <v>387</v>
      </c>
    </row>
    <row r="13" spans="1:10">
      <c r="A13" s="74" t="s">
        <v>141</v>
      </c>
      <c r="B13" s="74" t="s">
        <v>391</v>
      </c>
      <c r="C13" s="74" t="s">
        <v>392</v>
      </c>
      <c r="D13" s="74" t="s">
        <v>387</v>
      </c>
    </row>
    <row r="14" spans="1:10">
      <c r="A14" s="74" t="s">
        <v>393</v>
      </c>
      <c r="B14" s="74" t="s">
        <v>394</v>
      </c>
      <c r="C14" s="74" t="s">
        <v>395</v>
      </c>
      <c r="D14" s="74" t="s">
        <v>387</v>
      </c>
    </row>
    <row r="15" spans="1:10">
      <c r="A15" s="74" t="s">
        <v>396</v>
      </c>
      <c r="B15" s="74" t="s">
        <v>397</v>
      </c>
      <c r="C15" s="74" t="s">
        <v>398</v>
      </c>
      <c r="D15" s="74" t="s">
        <v>387</v>
      </c>
    </row>
    <row r="16" spans="1:10">
      <c r="A16" s="74" t="s">
        <v>399</v>
      </c>
      <c r="B16" s="74" t="s">
        <v>400</v>
      </c>
      <c r="C16" s="74" t="s">
        <v>401</v>
      </c>
      <c r="D16" s="74" t="s">
        <v>387</v>
      </c>
    </row>
    <row r="17" spans="1:4">
      <c r="A17" s="74" t="s">
        <v>38</v>
      </c>
      <c r="B17" s="74" t="s">
        <v>402</v>
      </c>
      <c r="C17" s="74" t="s">
        <v>371</v>
      </c>
      <c r="D17" s="74" t="s">
        <v>403</v>
      </c>
    </row>
    <row r="20" spans="1:4">
      <c r="B20" s="75"/>
      <c r="C20" s="75"/>
      <c r="D20" s="75"/>
    </row>
    <row r="31" spans="1:4">
      <c r="D31" s="74" t="s">
        <v>579</v>
      </c>
    </row>
  </sheetData>
  <conditionalFormatting sqref="F2:F12">
    <cfRule type="iconSet" priority="5">
      <iconSet iconSet="3Flags">
        <cfvo type="percent" val="0"/>
        <cfvo type="percent" val="33"/>
        <cfvo type="percent" val="67"/>
      </iconSet>
    </cfRule>
  </conditionalFormatting>
  <conditionalFormatting sqref="F2:F12">
    <cfRule type="iconSet" priority="7">
      <iconSet iconSet="3Flags">
        <cfvo type="percent" val="0"/>
        <cfvo type="num" val="1000"/>
        <cfvo type="num" val="10000"/>
      </iconSet>
    </cfRule>
  </conditionalFormatting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>
  <sheetPr codeName="Sayfa3"/>
  <dimension ref="A1:F47"/>
  <sheetViews>
    <sheetView zoomScale="115" zoomScaleNormal="115" workbookViewId="0">
      <pane ySplit="1" topLeftCell="A20" activePane="bottomLeft" state="frozen"/>
      <selection activeCell="F19" sqref="F19"/>
      <selection pane="bottomLeft" activeCell="C47" sqref="C47"/>
    </sheetView>
  </sheetViews>
  <sheetFormatPr defaultRowHeight="15"/>
  <cols>
    <col min="1" max="1" width="15.28515625" style="55" bestFit="1" customWidth="1"/>
    <col min="2" max="2" width="17" style="55" bestFit="1" customWidth="1"/>
    <col min="3" max="3" width="21.5703125" style="56" bestFit="1" customWidth="1"/>
    <col min="4" max="4" width="19.5703125" style="46" customWidth="1"/>
    <col min="5" max="5" width="11.85546875" style="47" bestFit="1" customWidth="1"/>
    <col min="6" max="6" width="15.7109375" style="46" customWidth="1"/>
    <col min="7" max="16384" width="9.140625" style="46"/>
  </cols>
  <sheetData>
    <row r="1" spans="1:6" ht="39" customHeight="1">
      <c r="A1" s="51" t="s">
        <v>13</v>
      </c>
      <c r="B1" s="51" t="s">
        <v>1</v>
      </c>
      <c r="C1" s="52" t="s">
        <v>357</v>
      </c>
      <c r="D1" s="53" t="s">
        <v>358</v>
      </c>
      <c r="E1" s="54" t="s">
        <v>2</v>
      </c>
      <c r="F1" s="53" t="s">
        <v>404</v>
      </c>
    </row>
    <row r="2" spans="1:6">
      <c r="A2" s="140" t="s">
        <v>359</v>
      </c>
      <c r="B2" s="140" t="str">
        <f>IFERROR(VLOOKUP(Tablo2[[#This Row],[HAMMADDE KODU]],Tablo1[#All],2,0)," ")</f>
        <v>RANDUM</v>
      </c>
      <c r="C2" s="141" t="str">
        <f>IFERROR(VLOOKUP(Tablo2[[#This Row],[HAMMADDE KODU]],Tablo1[#All],3,0)," ")</f>
        <v>CAPILENE</v>
      </c>
      <c r="D2" s="142" t="str">
        <f>IFERROR(VLOOKUP(Tablo2[[#This Row],[HAMMADDE KODU]],Tablo1[#All],4,0)," ")</f>
        <v>PİNHAS</v>
      </c>
      <c r="E2" s="143">
        <v>43831</v>
      </c>
      <c r="F2" s="142">
        <v>987</v>
      </c>
    </row>
    <row r="3" spans="1:6">
      <c r="A3" s="140" t="s">
        <v>183</v>
      </c>
      <c r="B3" s="140" t="str">
        <f>IFERROR(VLOOKUP(Tablo2[[#This Row],[HAMMADDE KODU]],Tablo1[#All],2,0)," ")</f>
        <v>POLİKARBONAT</v>
      </c>
      <c r="C3" s="141" t="str">
        <f>IFERROR(VLOOKUP(Tablo2[[#This Row],[HAMMADDE KODU]],Tablo1[#All],3,0)," ")</f>
        <v>NOVAREX</v>
      </c>
      <c r="D3" s="142" t="str">
        <f>IFERROR(VLOOKUP(Tablo2[[#This Row],[HAMMADDE KODU]],Tablo1[#All],4,0)," ")</f>
        <v>PİNHAS</v>
      </c>
      <c r="E3" s="143">
        <v>43831</v>
      </c>
      <c r="F3" s="142">
        <v>1380</v>
      </c>
    </row>
    <row r="4" spans="1:6">
      <c r="A4" s="140" t="s">
        <v>365</v>
      </c>
      <c r="B4" s="140" t="str">
        <f>IFERROR(VLOOKUP(Tablo2[[#This Row],[HAMMADDE KODU]],Tablo1[#All],2,0)," ")</f>
        <v>SİLİKON 45 SHOR</v>
      </c>
      <c r="C4" s="141" t="str">
        <f>IFERROR(VLOOKUP(Tablo2[[#This Row],[HAMMADDE KODU]],Tablo1[#All],3,0)," ")</f>
        <v>LSR 45</v>
      </c>
      <c r="D4" s="142" t="str">
        <f>IFERROR(VLOOKUP(Tablo2[[#This Row],[HAMMADDE KODU]],Tablo1[#All],4,0)," ")</f>
        <v>SETA</v>
      </c>
      <c r="E4" s="143">
        <v>43831</v>
      </c>
      <c r="F4" s="142">
        <v>5140</v>
      </c>
    </row>
    <row r="5" spans="1:6">
      <c r="A5" s="140" t="s">
        <v>369</v>
      </c>
      <c r="B5" s="140" t="str">
        <f>IFERROR(VLOOKUP(Tablo2[[#This Row],[HAMMADDE KODU]],Tablo1[#All],2,0)," ")</f>
        <v>SİLİKON 50 SHOR</v>
      </c>
      <c r="C5" s="141" t="str">
        <f>IFERROR(VLOOKUP(Tablo2[[#This Row],[HAMMADDE KODU]],Tablo1[#All],3,0)," ")</f>
        <v>LSR 50</v>
      </c>
      <c r="D5" s="142" t="str">
        <f>IFERROR(VLOOKUP(Tablo2[[#This Row],[HAMMADDE KODU]],Tablo1[#All],4,0)," ")</f>
        <v>TERRA</v>
      </c>
      <c r="E5" s="143">
        <v>43831</v>
      </c>
      <c r="F5" s="142">
        <v>240</v>
      </c>
    </row>
    <row r="6" spans="1:6">
      <c r="A6" s="140" t="s">
        <v>373</v>
      </c>
      <c r="B6" s="140" t="str">
        <f>IFERROR(VLOOKUP(Tablo2[[#This Row],[HAMMADDE KODU]],Tablo1[#All],2,0)," ")</f>
        <v>SİLİKON 70 SHOR</v>
      </c>
      <c r="C6" s="141" t="str">
        <f>IFERROR(VLOOKUP(Tablo2[[#This Row],[HAMMADDE KODU]],Tablo1[#All],3,0)," ")</f>
        <v>LSR 70</v>
      </c>
      <c r="D6" s="142" t="str">
        <f>IFERROR(VLOOKUP(Tablo2[[#This Row],[HAMMADDE KODU]],Tablo1[#All],4,0)," ")</f>
        <v>TERRA</v>
      </c>
      <c r="E6" s="143">
        <v>43831</v>
      </c>
      <c r="F6" s="142">
        <v>160</v>
      </c>
    </row>
    <row r="7" spans="1:6">
      <c r="A7" s="140" t="s">
        <v>376</v>
      </c>
      <c r="B7" s="140" t="str">
        <f>IFERROR(VLOOKUP(Tablo2[[#This Row],[HAMMADDE KODU]],Tablo1[#All],2,0)," ")</f>
        <v>TRITAN</v>
      </c>
      <c r="C7" s="141" t="str">
        <f>IFERROR(VLOOKUP(Tablo2[[#This Row],[HAMMADDE KODU]],Tablo1[#All],3,0)," ")</f>
        <v>TRITAN</v>
      </c>
      <c r="D7" s="142" t="str">
        <f>IFERROR(VLOOKUP(Tablo2[[#This Row],[HAMMADDE KODU]],Tablo1[#All],4,0)," ")</f>
        <v>XXX</v>
      </c>
      <c r="E7" s="143">
        <v>43831</v>
      </c>
      <c r="F7" s="142"/>
    </row>
    <row r="8" spans="1:6">
      <c r="A8" s="140" t="s">
        <v>379</v>
      </c>
      <c r="B8" s="140" t="str">
        <f>IFERROR(VLOOKUP(Tablo2[[#This Row],[HAMMADDE KODU]],Tablo1[#All],2,0)," ")</f>
        <v>ABS</v>
      </c>
      <c r="C8" s="141" t="str">
        <f>IFERROR(VLOOKUP(Tablo2[[#This Row],[HAMMADDE KODU]],Tablo1[#All],3,0)," ")</f>
        <v>ABS</v>
      </c>
      <c r="D8" s="142" t="str">
        <f>IFERROR(VLOOKUP(Tablo2[[#This Row],[HAMMADDE KODU]],Tablo1[#All],4,0)," ")</f>
        <v>XXX</v>
      </c>
      <c r="E8" s="143">
        <v>43831</v>
      </c>
      <c r="F8" s="142"/>
    </row>
    <row r="9" spans="1:6">
      <c r="A9" s="140" t="s">
        <v>381</v>
      </c>
      <c r="B9" s="140" t="str">
        <f>IFERROR(VLOOKUP(Tablo2[[#This Row],[HAMMADDE KODU]],Tablo1[#All],2,0)," ")</f>
        <v>SAN</v>
      </c>
      <c r="C9" s="141" t="str">
        <f>IFERROR(VLOOKUP(Tablo2[[#This Row],[HAMMADDE KODU]],Tablo1[#All],3,0)," ")</f>
        <v>SAN</v>
      </c>
      <c r="D9" s="142" t="str">
        <f>IFERROR(VLOOKUP(Tablo2[[#This Row],[HAMMADDE KODU]],Tablo1[#All],4,0)," ")</f>
        <v>XXX</v>
      </c>
      <c r="E9" s="143">
        <v>43831</v>
      </c>
      <c r="F9" s="142">
        <v>25</v>
      </c>
    </row>
    <row r="10" spans="1:6">
      <c r="A10" s="140" t="s">
        <v>383</v>
      </c>
      <c r="B10" s="140" t="str">
        <f>IFERROR(VLOOKUP(Tablo2[[#This Row],[HAMMADDE KODU]],Tablo1[#All],2,0)," ")</f>
        <v>T.P.E.</v>
      </c>
      <c r="C10" s="141" t="str">
        <f>IFERROR(VLOOKUP(Tablo2[[#This Row],[HAMMADDE KODU]],Tablo1[#All],3,0)," ")</f>
        <v>T.P.E.</v>
      </c>
      <c r="D10" s="142" t="str">
        <f>IFERROR(VLOOKUP(Tablo2[[#This Row],[HAMMADDE KODU]],Tablo1[#All],4,0)," ")</f>
        <v>ELASTRON KİMYA</v>
      </c>
      <c r="E10" s="143">
        <v>43831</v>
      </c>
      <c r="F10" s="142">
        <v>1030</v>
      </c>
    </row>
    <row r="11" spans="1:6">
      <c r="A11" s="140" t="s">
        <v>114</v>
      </c>
      <c r="B11" s="140" t="str">
        <f>IFERROR(VLOOKUP(Tablo2[[#This Row],[HAMMADDE KODU]],Tablo1[#All],2,0)," ")</f>
        <v>2.KALİTE P.P.</v>
      </c>
      <c r="C11" s="141" t="str">
        <f>IFERROR(VLOOKUP(Tablo2[[#This Row],[HAMMADDE KODU]],Tablo1[#All],3,0)," ")</f>
        <v>KIRMA PP</v>
      </c>
      <c r="D11" s="142" t="str">
        <f>IFERROR(VLOOKUP(Tablo2[[#This Row],[HAMMADDE KODU]],Tablo1[#All],4,0)," ")</f>
        <v>KIRMA</v>
      </c>
      <c r="E11" s="143">
        <v>43831</v>
      </c>
      <c r="F11" s="100">
        <v>184</v>
      </c>
    </row>
    <row r="12" spans="1:6">
      <c r="A12" s="140" t="s">
        <v>388</v>
      </c>
      <c r="B12" s="140" t="str">
        <f>IFERROR(VLOOKUP(Tablo2[[#This Row],[HAMMADDE KODU]],Tablo1[#All],2,0)," ")</f>
        <v>2.KALİTE P.C.</v>
      </c>
      <c r="C12" s="141" t="str">
        <f>IFERROR(VLOOKUP(Tablo2[[#This Row],[HAMMADDE KODU]],Tablo1[#All],3,0)," ")</f>
        <v>KIRMA PC</v>
      </c>
      <c r="D12" s="142" t="str">
        <f>IFERROR(VLOOKUP(Tablo2[[#This Row],[HAMMADDE KODU]],Tablo1[#All],4,0)," ")</f>
        <v>KIRMA</v>
      </c>
      <c r="E12" s="143">
        <v>43831</v>
      </c>
      <c r="F12" s="100">
        <v>383</v>
      </c>
    </row>
    <row r="13" spans="1:6">
      <c r="A13" s="140" t="s">
        <v>141</v>
      </c>
      <c r="B13" s="140" t="str">
        <f>IFERROR(VLOOKUP(Tablo2[[#This Row],[HAMMADDE KODU]],Tablo1[#All],2,0)," ")</f>
        <v>2.KALİTE TRITAN</v>
      </c>
      <c r="C13" s="141" t="str">
        <f>IFERROR(VLOOKUP(Tablo2[[#This Row],[HAMMADDE KODU]],Tablo1[#All],3,0)," ")</f>
        <v>KIRMA TRITAN</v>
      </c>
      <c r="D13" s="142" t="str">
        <f>IFERROR(VLOOKUP(Tablo2[[#This Row],[HAMMADDE KODU]],Tablo1[#All],4,0)," ")</f>
        <v>KIRMA</v>
      </c>
      <c r="E13" s="143">
        <v>43831</v>
      </c>
      <c r="F13" s="142">
        <v>245</v>
      </c>
    </row>
    <row r="14" spans="1:6">
      <c r="A14" s="140" t="s">
        <v>393</v>
      </c>
      <c r="B14" s="140" t="str">
        <f>IFERROR(VLOOKUP(Tablo2[[#This Row],[HAMMADDE KODU]],Tablo1[#All],2,0)," ")</f>
        <v>2.KALİTE ABS</v>
      </c>
      <c r="C14" s="141" t="str">
        <f>IFERROR(VLOOKUP(Tablo2[[#This Row],[HAMMADDE KODU]],Tablo1[#All],3,0)," ")</f>
        <v>KIRMA ABS</v>
      </c>
      <c r="D14" s="142" t="str">
        <f>IFERROR(VLOOKUP(Tablo2[[#This Row],[HAMMADDE KODU]],Tablo1[#All],4,0)," ")</f>
        <v>KIRMA</v>
      </c>
      <c r="E14" s="143">
        <v>43831</v>
      </c>
      <c r="F14" s="142"/>
    </row>
    <row r="15" spans="1:6">
      <c r="A15" s="140" t="s">
        <v>396</v>
      </c>
      <c r="B15" s="140" t="str">
        <f>IFERROR(VLOOKUP(Tablo2[[#This Row],[HAMMADDE KODU]],Tablo1[#All],2,0)," ")</f>
        <v>2.KALİTE SAN</v>
      </c>
      <c r="C15" s="141" t="str">
        <f>IFERROR(VLOOKUP(Tablo2[[#This Row],[HAMMADDE KODU]],Tablo1[#All],3,0)," ")</f>
        <v xml:space="preserve">KIRMA SAN </v>
      </c>
      <c r="D15" s="142" t="str">
        <f>IFERROR(VLOOKUP(Tablo2[[#This Row],[HAMMADDE KODU]],Tablo1[#All],4,0)," ")</f>
        <v>KIRMA</v>
      </c>
      <c r="E15" s="143">
        <v>43831</v>
      </c>
      <c r="F15" s="142"/>
    </row>
    <row r="16" spans="1:6">
      <c r="A16" s="140" t="s">
        <v>399</v>
      </c>
      <c r="B16" s="140" t="str">
        <f>IFERROR(VLOOKUP(Tablo2[[#This Row],[HAMMADDE KODU]],Tablo1[#All],2,0)," ")</f>
        <v>2.KALİTE T.P.E.</v>
      </c>
      <c r="C16" s="141" t="str">
        <f>IFERROR(VLOOKUP(Tablo2[[#This Row],[HAMMADDE KODU]],Tablo1[#All],3,0)," ")</f>
        <v>KIRMA TPE</v>
      </c>
      <c r="D16" s="142" t="str">
        <f>IFERROR(VLOOKUP(Tablo2[[#This Row],[HAMMADDE KODU]],Tablo1[#All],4,0)," ")</f>
        <v>KIRMA</v>
      </c>
      <c r="E16" s="143">
        <v>43831</v>
      </c>
      <c r="F16" s="142">
        <v>23.5</v>
      </c>
    </row>
    <row r="17" spans="1:6">
      <c r="A17" s="140" t="s">
        <v>183</v>
      </c>
      <c r="B17" s="140" t="str">
        <f>IFERROR(VLOOKUP(Tablo2[[#This Row],[HAMMADDE KODU]],Tablo1[#All],2,0)," ")</f>
        <v>POLİKARBONAT</v>
      </c>
      <c r="C17" s="141" t="str">
        <f>IFERROR(VLOOKUP(Tablo2[[#This Row],[HAMMADDE KODU]],Tablo1[#All],3,0)," ")</f>
        <v>NOVAREX</v>
      </c>
      <c r="D17" s="142" t="str">
        <f>IFERROR(VLOOKUP(Tablo2[[#This Row],[HAMMADDE KODU]],Tablo1[#All],4,0)," ")</f>
        <v>PİNHAS</v>
      </c>
      <c r="E17" s="143">
        <v>43874</v>
      </c>
      <c r="F17" s="142">
        <v>500</v>
      </c>
    </row>
    <row r="18" spans="1:6">
      <c r="A18" s="140" t="s">
        <v>359</v>
      </c>
      <c r="B18" s="140" t="str">
        <f>IFERROR(VLOOKUP(Tablo2[[#This Row],[HAMMADDE KODU]],Tablo1[#All],2,0)," ")</f>
        <v>RANDUM</v>
      </c>
      <c r="C18" s="141" t="str">
        <f>IFERROR(VLOOKUP(Tablo2[[#This Row],[HAMMADDE KODU]],Tablo1[#All],3,0)," ")</f>
        <v>CAPILENE</v>
      </c>
      <c r="D18" s="142" t="str">
        <f>IFERROR(VLOOKUP(Tablo2[[#This Row],[HAMMADDE KODU]],Tablo1[#All],4,0)," ")</f>
        <v>PİNHAS</v>
      </c>
      <c r="E18" s="143">
        <v>43874</v>
      </c>
      <c r="F18" s="142">
        <v>500</v>
      </c>
    </row>
    <row r="19" spans="1:6">
      <c r="A19" s="140" t="s">
        <v>365</v>
      </c>
      <c r="B19" s="140" t="str">
        <f>IFERROR(VLOOKUP(Tablo2[[#This Row],[HAMMADDE KODU]],Tablo1[#All],2,0)," ")</f>
        <v>SİLİKON 45 SHOR</v>
      </c>
      <c r="C19" s="141" t="str">
        <f>IFERROR(VLOOKUP(Tablo2[[#This Row],[HAMMADDE KODU]],Tablo1[#All],3,0)," ")</f>
        <v>LSR 45</v>
      </c>
      <c r="D19" s="142" t="str">
        <f>IFERROR(VLOOKUP(Tablo2[[#This Row],[HAMMADDE KODU]],Tablo1[#All],4,0)," ")</f>
        <v>SETA</v>
      </c>
      <c r="E19" s="143">
        <v>43866</v>
      </c>
      <c r="F19" s="142">
        <v>1600</v>
      </c>
    </row>
    <row r="20" spans="1:6">
      <c r="A20" s="140" t="s">
        <v>369</v>
      </c>
      <c r="B20" s="140" t="str">
        <f>IFERROR(VLOOKUP(Tablo2[[#This Row],[HAMMADDE KODU]],Tablo1[#All],2,0)," ")</f>
        <v>SİLİKON 50 SHOR</v>
      </c>
      <c r="C20" s="141" t="str">
        <f>IFERROR(VLOOKUP(Tablo2[[#This Row],[HAMMADDE KODU]],Tablo1[#All],3,0)," ")</f>
        <v>LSR 50</v>
      </c>
      <c r="D20" s="142" t="str">
        <f>IFERROR(VLOOKUP(Tablo2[[#This Row],[HAMMADDE KODU]],Tablo1[#All],4,0)," ")</f>
        <v>TERRA</v>
      </c>
      <c r="E20" s="143">
        <v>43866</v>
      </c>
      <c r="F20" s="142">
        <v>800</v>
      </c>
    </row>
    <row r="21" spans="1:6">
      <c r="A21" s="140" t="s">
        <v>365</v>
      </c>
      <c r="B21" s="140" t="str">
        <f>IFERROR(VLOOKUP(Tablo2[[#This Row],[HAMMADDE KODU]],Tablo1[#All],2,0)," ")</f>
        <v>SİLİKON 45 SHOR</v>
      </c>
      <c r="C21" s="141" t="str">
        <f>IFERROR(VLOOKUP(Tablo2[[#This Row],[HAMMADDE KODU]],Tablo1[#All],3,0)," ")</f>
        <v>LSR 45</v>
      </c>
      <c r="D21" s="142" t="str">
        <f>IFERROR(VLOOKUP(Tablo2[[#This Row],[HAMMADDE KODU]],Tablo1[#All],4,0)," ")</f>
        <v>SETA</v>
      </c>
      <c r="E21" s="143">
        <v>43900</v>
      </c>
      <c r="F21" s="142">
        <v>6000</v>
      </c>
    </row>
    <row r="22" spans="1:6">
      <c r="A22" s="140" t="s">
        <v>379</v>
      </c>
      <c r="B22" s="140" t="str">
        <f>IFERROR(VLOOKUP(Tablo2[[#This Row],[HAMMADDE KODU]],Tablo1[#All],2,0)," ")</f>
        <v>ABS</v>
      </c>
      <c r="C22" s="141" t="str">
        <f>IFERROR(VLOOKUP(Tablo2[[#This Row],[HAMMADDE KODU]],Tablo1[#All],3,0)," ")</f>
        <v>ABS</v>
      </c>
      <c r="D22" s="142" t="str">
        <f>IFERROR(VLOOKUP(Tablo2[[#This Row],[HAMMADDE KODU]],Tablo1[#All],4,0)," ")</f>
        <v>XXX</v>
      </c>
      <c r="E22" s="143">
        <v>43908</v>
      </c>
      <c r="F22" s="142">
        <v>25</v>
      </c>
    </row>
    <row r="23" spans="1:6">
      <c r="A23" s="140" t="s">
        <v>373</v>
      </c>
      <c r="B23" s="140" t="str">
        <f>IFERROR(VLOOKUP(Tablo2[[#This Row],[HAMMADDE KODU]],Tablo1[#All],2,0)," ")</f>
        <v>SİLİKON 70 SHOR</v>
      </c>
      <c r="C23" s="141" t="str">
        <f>IFERROR(VLOOKUP(Tablo2[[#This Row],[HAMMADDE KODU]],Tablo1[#All],3,0)," ")</f>
        <v>LSR 70</v>
      </c>
      <c r="D23" s="142" t="str">
        <f>IFERROR(VLOOKUP(Tablo2[[#This Row],[HAMMADDE KODU]],Tablo1[#All],4,0)," ")</f>
        <v>TERRA</v>
      </c>
      <c r="E23" s="143">
        <v>43908</v>
      </c>
      <c r="F23" s="142">
        <v>400</v>
      </c>
    </row>
    <row r="24" spans="1:6">
      <c r="A24" s="140" t="s">
        <v>359</v>
      </c>
      <c r="B24" s="140" t="str">
        <f>IFERROR(VLOOKUP(Tablo2[[#This Row],[HAMMADDE KODU]],Tablo1[#All],2,0)," ")</f>
        <v>RANDUM</v>
      </c>
      <c r="C24" s="141" t="str">
        <f>IFERROR(VLOOKUP(Tablo2[[#This Row],[HAMMADDE KODU]],Tablo1[#All],3,0)," ")</f>
        <v>CAPILENE</v>
      </c>
      <c r="D24" s="142" t="str">
        <f>IFERROR(VLOOKUP(Tablo2[[#This Row],[HAMMADDE KODU]],Tablo1[#All],4,0)," ")</f>
        <v>PİNHAS</v>
      </c>
      <c r="E24" s="143">
        <v>43914</v>
      </c>
      <c r="F24" s="142">
        <v>500</v>
      </c>
    </row>
    <row r="25" spans="1:6">
      <c r="A25" s="140" t="s">
        <v>183</v>
      </c>
      <c r="B25" s="140" t="str">
        <f>IFERROR(VLOOKUP(Tablo2[[#This Row],[HAMMADDE KODU]],Tablo1[#All],2,0)," ")</f>
        <v>POLİKARBONAT</v>
      </c>
      <c r="C25" s="141" t="str">
        <f>IFERROR(VLOOKUP(Tablo2[[#This Row],[HAMMADDE KODU]],Tablo1[#All],3,0)," ")</f>
        <v>NOVAREX</v>
      </c>
      <c r="D25" s="142" t="str">
        <f>IFERROR(VLOOKUP(Tablo2[[#This Row],[HAMMADDE KODU]],Tablo1[#All],4,0)," ")</f>
        <v>PİNHAS</v>
      </c>
      <c r="E25" s="143">
        <v>43914</v>
      </c>
      <c r="F25" s="142">
        <v>1000</v>
      </c>
    </row>
    <row r="26" spans="1:6">
      <c r="A26" s="140" t="s">
        <v>38</v>
      </c>
      <c r="B26" s="140" t="str">
        <f>IFERROR(VLOOKUP(Tablo2[[#This Row],[HAMMADDE KODU]],Tablo1[#All],2,0)," ")</f>
        <v>SİLİKON 52 SHOR</v>
      </c>
      <c r="C26" s="141" t="str">
        <f>IFERROR(VLOOKUP(Tablo2[[#This Row],[HAMMADDE KODU]],Tablo1[#All],3,0)," ")</f>
        <v>LSR 50</v>
      </c>
      <c r="D26" s="142" t="str">
        <f>IFERROR(VLOOKUP(Tablo2[[#This Row],[HAMMADDE KODU]],Tablo1[#All],4,0)," ")</f>
        <v>KCC</v>
      </c>
      <c r="E26" s="143">
        <v>43915</v>
      </c>
      <c r="F26" s="142">
        <v>400</v>
      </c>
    </row>
    <row r="27" spans="1:6">
      <c r="A27" s="140" t="s">
        <v>183</v>
      </c>
      <c r="B27" s="140" t="str">
        <f>IFERROR(VLOOKUP(Tablo2[[#This Row],[HAMMADDE KODU]],Tablo1[#All],2,0)," ")</f>
        <v>POLİKARBONAT</v>
      </c>
      <c r="C27" s="141" t="str">
        <f>IFERROR(VLOOKUP(Tablo2[[#This Row],[HAMMADDE KODU]],Tablo1[#All],3,0)," ")</f>
        <v>NOVAREX</v>
      </c>
      <c r="D27" s="142" t="str">
        <f>IFERROR(VLOOKUP(Tablo2[[#This Row],[HAMMADDE KODU]],Tablo1[#All],4,0)," ")</f>
        <v>PİNHAS</v>
      </c>
      <c r="E27" s="143">
        <v>43924</v>
      </c>
      <c r="F27" s="142">
        <v>1000</v>
      </c>
    </row>
    <row r="28" spans="1:6">
      <c r="A28" s="140" t="s">
        <v>183</v>
      </c>
      <c r="B28" s="140" t="str">
        <f>IFERROR(VLOOKUP(Tablo2[[#This Row],[HAMMADDE KODU]],Tablo1[#All],2,0)," ")</f>
        <v>POLİKARBONAT</v>
      </c>
      <c r="C28" s="141" t="str">
        <f>IFERROR(VLOOKUP(Tablo2[[#This Row],[HAMMADDE KODU]],Tablo1[#All],3,0)," ")</f>
        <v>NOVAREX</v>
      </c>
      <c r="D28" s="142" t="str">
        <f>IFERROR(VLOOKUP(Tablo2[[#This Row],[HAMMADDE KODU]],Tablo1[#All],4,0)," ")</f>
        <v>PİNHAS</v>
      </c>
      <c r="E28" s="143">
        <v>43936</v>
      </c>
      <c r="F28" s="142">
        <v>1000</v>
      </c>
    </row>
    <row r="29" spans="1:6">
      <c r="A29" s="140" t="s">
        <v>38</v>
      </c>
      <c r="B29" s="140" t="str">
        <f>IFERROR(VLOOKUP(Tablo2[[#This Row],[HAMMADDE KODU]],Tablo1[#All],2,0)," ")</f>
        <v>SİLİKON 52 SHOR</v>
      </c>
      <c r="C29" s="141" t="str">
        <f>IFERROR(VLOOKUP(Tablo2[[#This Row],[HAMMADDE KODU]],Tablo1[#All],3,0)," ")</f>
        <v>LSR 50</v>
      </c>
      <c r="D29" s="142" t="str">
        <f>IFERROR(VLOOKUP(Tablo2[[#This Row],[HAMMADDE KODU]],Tablo1[#All],4,0)," ")</f>
        <v>KCC</v>
      </c>
      <c r="E29" s="143">
        <v>43936</v>
      </c>
      <c r="F29" s="142">
        <v>400</v>
      </c>
    </row>
    <row r="30" spans="1:6">
      <c r="A30" s="140" t="s">
        <v>183</v>
      </c>
      <c r="B30" s="140" t="str">
        <f>IFERROR(VLOOKUP(Tablo2[[#This Row],[HAMMADDE KODU]],Tablo1[#All],2,0)," ")</f>
        <v>POLİKARBONAT</v>
      </c>
      <c r="C30" s="141" t="str">
        <f>IFERROR(VLOOKUP(Tablo2[[#This Row],[HAMMADDE KODU]],Tablo1[#All],3,0)," ")</f>
        <v>NOVAREX</v>
      </c>
      <c r="D30" s="142" t="str">
        <f>IFERROR(VLOOKUP(Tablo2[[#This Row],[HAMMADDE KODU]],Tablo1[#All],4,0)," ")</f>
        <v>PİNHAS</v>
      </c>
      <c r="E30" s="143">
        <v>43942</v>
      </c>
      <c r="F30" s="100">
        <v>1000</v>
      </c>
    </row>
    <row r="31" spans="1:6">
      <c r="A31" s="140" t="s">
        <v>38</v>
      </c>
      <c r="B31" s="140" t="str">
        <f>IFERROR(VLOOKUP(Tablo2[[#This Row],[HAMMADDE KODU]],Tablo1[#All],2,0)," ")</f>
        <v>SİLİKON 52 SHOR</v>
      </c>
      <c r="C31" s="141" t="str">
        <f>IFERROR(VLOOKUP(Tablo2[[#This Row],[HAMMADDE KODU]],Tablo1[#All],3,0)," ")</f>
        <v>LSR 50</v>
      </c>
      <c r="D31" s="142" t="str">
        <f>IFERROR(VLOOKUP(Tablo2[[#This Row],[HAMMADDE KODU]],Tablo1[#All],4,0)," ")</f>
        <v>KCC</v>
      </c>
      <c r="E31" s="143">
        <v>43957</v>
      </c>
      <c r="F31" s="100">
        <v>400</v>
      </c>
    </row>
    <row r="32" spans="1:6">
      <c r="A32" s="140" t="s">
        <v>359</v>
      </c>
      <c r="B32" s="140" t="str">
        <f>IFERROR(VLOOKUP(Tablo2[[#This Row],[HAMMADDE KODU]],Tablo1[#All],2,0)," ")</f>
        <v>RANDUM</v>
      </c>
      <c r="C32" s="141" t="str">
        <f>IFERROR(VLOOKUP(Tablo2[[#This Row],[HAMMADDE KODU]],Tablo1[#All],3,0)," ")</f>
        <v>CAPILENE</v>
      </c>
      <c r="D32" s="142" t="str">
        <f>IFERROR(VLOOKUP(Tablo2[[#This Row],[HAMMADDE KODU]],Tablo1[#All],4,0)," ")</f>
        <v>PİNHAS</v>
      </c>
      <c r="E32" s="143">
        <v>43986</v>
      </c>
      <c r="F32" s="142">
        <v>900</v>
      </c>
    </row>
    <row r="33" spans="1:6">
      <c r="A33" s="140" t="s">
        <v>379</v>
      </c>
      <c r="B33" s="140" t="str">
        <f>IFERROR(VLOOKUP(Tablo2[[#This Row],[HAMMADDE KODU]],Tablo1[#All],2,0)," ")</f>
        <v>ABS</v>
      </c>
      <c r="C33" s="141" t="str">
        <f>IFERROR(VLOOKUP(Tablo2[[#This Row],[HAMMADDE KODU]],Tablo1[#All],3,0)," ")</f>
        <v>ABS</v>
      </c>
      <c r="D33" s="142" t="str">
        <f>IFERROR(VLOOKUP(Tablo2[[#This Row],[HAMMADDE KODU]],Tablo1[#All],4,0)," ")</f>
        <v>XXX</v>
      </c>
      <c r="E33" s="143">
        <v>43993</v>
      </c>
      <c r="F33" s="142">
        <v>100</v>
      </c>
    </row>
    <row r="34" spans="1:6">
      <c r="A34" s="140" t="s">
        <v>365</v>
      </c>
      <c r="B34" s="140" t="str">
        <f>IFERROR(VLOOKUP(Tablo2[[#This Row],[HAMMADDE KODU]],Tablo1[#All],2,0)," ")</f>
        <v>SİLİKON 45 SHOR</v>
      </c>
      <c r="C34" s="141" t="str">
        <f>IFERROR(VLOOKUP(Tablo2[[#This Row],[HAMMADDE KODU]],Tablo1[#All],3,0)," ")</f>
        <v>LSR 45</v>
      </c>
      <c r="D34" s="142" t="str">
        <f>IFERROR(VLOOKUP(Tablo2[[#This Row],[HAMMADDE KODU]],Tablo1[#All],4,0)," ")</f>
        <v>SETA</v>
      </c>
      <c r="E34" s="143">
        <v>44026</v>
      </c>
      <c r="F34" s="142">
        <v>4800</v>
      </c>
    </row>
    <row r="35" spans="1:6">
      <c r="A35" s="140" t="s">
        <v>38</v>
      </c>
      <c r="B35" s="140" t="str">
        <f>IFERROR(VLOOKUP(Tablo2[[#This Row],[HAMMADDE KODU]],Tablo1[#All],2,0)," ")</f>
        <v>SİLİKON 52 SHOR</v>
      </c>
      <c r="C35" s="141" t="str">
        <f>IFERROR(VLOOKUP(Tablo2[[#This Row],[HAMMADDE KODU]],Tablo1[#All],3,0)," ")</f>
        <v>LSR 50</v>
      </c>
      <c r="D35" s="142" t="str">
        <f>IFERROR(VLOOKUP(Tablo2[[#This Row],[HAMMADDE KODU]],Tablo1[#All],4,0)," ")</f>
        <v>KCC</v>
      </c>
      <c r="E35" s="99">
        <v>44013</v>
      </c>
      <c r="F35" s="100">
        <v>400</v>
      </c>
    </row>
    <row r="36" spans="1:6">
      <c r="A36" s="140" t="s">
        <v>183</v>
      </c>
      <c r="B36" s="140" t="str">
        <f>IFERROR(VLOOKUP(Tablo2[[#This Row],[HAMMADDE KODU]],Tablo1[#All],2,0)," ")</f>
        <v>POLİKARBONAT</v>
      </c>
      <c r="C36" s="141" t="str">
        <f>IFERROR(VLOOKUP(Tablo2[[#This Row],[HAMMADDE KODU]],Tablo1[#All],3,0)," ")</f>
        <v>NOVAREX</v>
      </c>
      <c r="D36" s="142" t="str">
        <f>IFERROR(VLOOKUP(Tablo2[[#This Row],[HAMMADDE KODU]],Tablo1[#All],4,0)," ")</f>
        <v>PİNHAS</v>
      </c>
      <c r="E36" s="99">
        <v>44013</v>
      </c>
      <c r="F36" s="142">
        <v>500</v>
      </c>
    </row>
    <row r="37" spans="1:6">
      <c r="A37" s="140" t="s">
        <v>183</v>
      </c>
      <c r="B37" s="140" t="str">
        <f>IFERROR(VLOOKUP(Tablo2[[#This Row],[HAMMADDE KODU]],Tablo1[#All],2,0)," ")</f>
        <v>POLİKARBONAT</v>
      </c>
      <c r="C37" s="144" t="str">
        <f>IFERROR(VLOOKUP(Tablo2[[#This Row],[HAMMADDE KODU]],Tablo1[#All],3,0)," ")</f>
        <v>NOVAREX</v>
      </c>
      <c r="D37" s="100" t="str">
        <f>IFERROR(VLOOKUP(Tablo2[[#This Row],[HAMMADDE KODU]],Tablo1[#All],4,0)," ")</f>
        <v>PİNHAS</v>
      </c>
      <c r="E37" s="99">
        <v>44040</v>
      </c>
      <c r="F37" s="100">
        <v>1000</v>
      </c>
    </row>
    <row r="38" spans="1:6">
      <c r="A38" s="108" t="s">
        <v>359</v>
      </c>
      <c r="B38" s="140" t="str">
        <f>IFERROR(VLOOKUP(Tablo2[[#This Row],[HAMMADDE KODU]],Tablo1[#All],2,0)," ")</f>
        <v>RANDUM</v>
      </c>
      <c r="C38" s="144" t="str">
        <f>IFERROR(VLOOKUP(Tablo2[[#This Row],[HAMMADDE KODU]],Tablo1[#All],3,0)," ")</f>
        <v>CAPILENE</v>
      </c>
      <c r="D38" s="100" t="str">
        <f>IFERROR(VLOOKUP(Tablo2[[#This Row],[HAMMADDE KODU]],Tablo1[#All],4,0)," ")</f>
        <v>PİNHAS</v>
      </c>
      <c r="E38" s="99">
        <v>44040</v>
      </c>
      <c r="F38" s="100">
        <v>1000</v>
      </c>
    </row>
    <row r="39" spans="1:6">
      <c r="A39" s="108" t="s">
        <v>359</v>
      </c>
      <c r="B39" s="140" t="str">
        <f>IFERROR(VLOOKUP(Tablo2[[#This Row],[HAMMADDE KODU]],Tablo1[#All],2,0)," ")</f>
        <v>RANDUM</v>
      </c>
      <c r="C39" s="141" t="str">
        <f>IFERROR(VLOOKUP(Tablo2[[#This Row],[HAMMADDE KODU]],Tablo1[#All],3,0)," ")</f>
        <v>CAPILENE</v>
      </c>
      <c r="D39" s="142" t="str">
        <f>IFERROR(VLOOKUP(Tablo2[[#This Row],[HAMMADDE KODU]],Tablo1[#All],4,0)," ")</f>
        <v>PİNHAS</v>
      </c>
      <c r="E39" s="143">
        <v>44084</v>
      </c>
      <c r="F39" s="142">
        <v>800</v>
      </c>
    </row>
    <row r="40" spans="1:6">
      <c r="A40" s="140" t="s">
        <v>183</v>
      </c>
      <c r="B40" s="140" t="str">
        <f>IFERROR(VLOOKUP(Tablo2[[#This Row],[HAMMADDE KODU]],Tablo1[#All],2,0)," ")</f>
        <v>POLİKARBONAT</v>
      </c>
      <c r="C40" s="141" t="str">
        <f>IFERROR(VLOOKUP(Tablo2[[#This Row],[HAMMADDE KODU]],Tablo1[#All],3,0)," ")</f>
        <v>NOVAREX</v>
      </c>
      <c r="D40" s="142" t="str">
        <f>IFERROR(VLOOKUP(Tablo2[[#This Row],[HAMMADDE KODU]],Tablo1[#All],4,0)," ")</f>
        <v>PİNHAS</v>
      </c>
      <c r="E40" s="143">
        <v>44084</v>
      </c>
      <c r="F40" s="142">
        <v>300</v>
      </c>
    </row>
    <row r="41" spans="1:6">
      <c r="A41" s="108" t="s">
        <v>376</v>
      </c>
      <c r="B41" s="140" t="str">
        <f>IFERROR(VLOOKUP(Tablo2[[#This Row],[HAMMADDE KODU]],Tablo1[#All],2,0)," ")</f>
        <v>TRITAN</v>
      </c>
      <c r="C41" s="144" t="str">
        <f>IFERROR(VLOOKUP(Tablo2[[#This Row],[HAMMADDE KODU]],Tablo1[#All],3,0)," ")</f>
        <v>TRITAN</v>
      </c>
      <c r="D41" s="100" t="str">
        <f>IFERROR(VLOOKUP(Tablo2[[#This Row],[HAMMADDE KODU]],Tablo1[#All],4,0)," ")</f>
        <v>XXX</v>
      </c>
      <c r="E41" s="99">
        <v>44114</v>
      </c>
      <c r="F41" s="100">
        <v>750</v>
      </c>
    </row>
    <row r="42" spans="1:6">
      <c r="A42" s="108" t="s">
        <v>376</v>
      </c>
      <c r="B42" s="140" t="str">
        <f>IFERROR(VLOOKUP(Tablo2[[#This Row],[HAMMADDE KODU]],Tablo1[#All],2,0)," ")</f>
        <v>TRITAN</v>
      </c>
      <c r="C42" s="141" t="str">
        <f>IFERROR(VLOOKUP(Tablo2[[#This Row],[HAMMADDE KODU]],Tablo1[#All],3,0)," ")</f>
        <v>TRITAN</v>
      </c>
      <c r="D42" s="142" t="str">
        <f>IFERROR(VLOOKUP(Tablo2[[#This Row],[HAMMADDE KODU]],Tablo1[#All],4,0)," ")</f>
        <v>XXX</v>
      </c>
      <c r="E42" s="143">
        <v>44120</v>
      </c>
      <c r="F42" s="142">
        <v>200</v>
      </c>
    </row>
    <row r="43" spans="1:6">
      <c r="A43" s="140" t="s">
        <v>359</v>
      </c>
      <c r="B43" s="140" t="str">
        <f>IFERROR(VLOOKUP(Tablo2[[#This Row],[HAMMADDE KODU]],Tablo1[#All],2,0)," ")</f>
        <v>RANDUM</v>
      </c>
      <c r="C43" s="141" t="str">
        <f>IFERROR(VLOOKUP(Tablo2[[#This Row],[HAMMADDE KODU]],Tablo1[#All],3,0)," ")</f>
        <v>CAPILENE</v>
      </c>
      <c r="D43" s="142" t="str">
        <f>IFERROR(VLOOKUP(Tablo2[[#This Row],[HAMMADDE KODU]],Tablo1[#All],4,0)," ")</f>
        <v>PİNHAS</v>
      </c>
      <c r="E43" s="143">
        <v>44145</v>
      </c>
      <c r="F43" s="142">
        <v>500</v>
      </c>
    </row>
    <row r="44" spans="1:6">
      <c r="A44" s="140" t="s">
        <v>183</v>
      </c>
      <c r="B44" s="140" t="str">
        <f>IFERROR(VLOOKUP(Tablo2[[#This Row],[HAMMADDE KODU]],Tablo1[#All],2,0)," ")</f>
        <v>POLİKARBONAT</v>
      </c>
      <c r="C44" s="141" t="str">
        <f>IFERROR(VLOOKUP(Tablo2[[#This Row],[HAMMADDE KODU]],Tablo1[#All],3,0)," ")</f>
        <v>NOVAREX</v>
      </c>
      <c r="D44" s="142" t="str">
        <f>IFERROR(VLOOKUP(Tablo2[[#This Row],[HAMMADDE KODU]],Tablo1[#All],4,0)," ")</f>
        <v>PİNHAS</v>
      </c>
      <c r="E44" s="143">
        <v>44145</v>
      </c>
      <c r="F44" s="142">
        <v>500</v>
      </c>
    </row>
    <row r="45" spans="1:6">
      <c r="A45" s="140" t="s">
        <v>376</v>
      </c>
      <c r="B45" s="140" t="str">
        <f>IFERROR(VLOOKUP(Tablo2[[#This Row],[HAMMADDE KODU]],Tablo1[#All],2,0)," ")</f>
        <v>TRITAN</v>
      </c>
      <c r="C45" s="141" t="str">
        <f>IFERROR(VLOOKUP(Tablo2[[#This Row],[HAMMADDE KODU]],Tablo1[#All],3,0)," ")</f>
        <v>TRITAN</v>
      </c>
      <c r="D45" s="142" t="str">
        <f>IFERROR(VLOOKUP(Tablo2[[#This Row],[HAMMADDE KODU]],Tablo1[#All],4,0)," ")</f>
        <v>XXX</v>
      </c>
      <c r="E45" s="143">
        <v>44146</v>
      </c>
      <c r="F45" s="142">
        <v>1300</v>
      </c>
    </row>
    <row r="46" spans="1:6">
      <c r="A46" s="140" t="s">
        <v>359</v>
      </c>
      <c r="B46" s="140" t="str">
        <f>IFERROR(VLOOKUP(Tablo2[[#This Row],[HAMMADDE KODU]],Tablo1[#All],2,0)," ")</f>
        <v>RANDUM</v>
      </c>
      <c r="C46" s="141" t="s">
        <v>590</v>
      </c>
      <c r="D46" s="142" t="s">
        <v>586</v>
      </c>
      <c r="E46" s="143">
        <v>44167</v>
      </c>
      <c r="F46" s="142">
        <v>200</v>
      </c>
    </row>
    <row r="47" spans="1:6">
      <c r="A47" s="108"/>
      <c r="B47" s="140" t="str">
        <f>IFERROR(VLOOKUP(Tablo2[[#This Row],[HAMMADDE KODU]],Tablo1[#All],2,0)," ")</f>
        <v xml:space="preserve"> </v>
      </c>
      <c r="C47" s="144" t="str">
        <f>IFERROR(VLOOKUP(Tablo2[[#This Row],[HAMMADDE KODU]],Tablo1[#All],3,0)," ")</f>
        <v xml:space="preserve"> </v>
      </c>
      <c r="D47" s="100" t="str">
        <f>IFERROR(VLOOKUP(Tablo2[[#This Row],[HAMMADDE KODU]],Tablo1[#All],4,0)," ")</f>
        <v xml:space="preserve"> </v>
      </c>
      <c r="E47" s="99"/>
      <c r="F47" s="100"/>
    </row>
  </sheetData>
  <sheetProtection password="CC17" sheet="1" objects="1" scenarios="1"/>
  <protectedRanges>
    <protectedRange password="CC09" sqref="A1:A1048576 E1:F1048576" name="Girişler"/>
  </protectedRanges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>
  <sheetPr codeName="Sayfa4"/>
  <dimension ref="A1:E30"/>
  <sheetViews>
    <sheetView workbookViewId="0">
      <pane ySplit="1" topLeftCell="A2" activePane="bottomLeft" state="frozen"/>
      <selection activeCell="F19" sqref="F19"/>
      <selection pane="bottomLeft" activeCell="I35" sqref="I35"/>
    </sheetView>
  </sheetViews>
  <sheetFormatPr defaultColWidth="13.42578125" defaultRowHeight="15"/>
  <cols>
    <col min="1" max="1" width="13.42578125" style="23"/>
    <col min="2" max="5" width="22.7109375" style="23" customWidth="1"/>
    <col min="6" max="16384" width="13.42578125" style="23"/>
  </cols>
  <sheetData>
    <row r="1" spans="1:5" ht="46.5" customHeight="1">
      <c r="A1" s="22" t="s">
        <v>13</v>
      </c>
      <c r="B1" s="25" t="s">
        <v>1</v>
      </c>
      <c r="C1" s="25" t="s">
        <v>357</v>
      </c>
      <c r="D1" s="25" t="s">
        <v>358</v>
      </c>
      <c r="E1" s="25" t="s">
        <v>405</v>
      </c>
    </row>
    <row r="2" spans="1:5">
      <c r="A2" s="140" t="s">
        <v>359</v>
      </c>
      <c r="B2" s="140" t="str">
        <f>VLOOKUP(Tablo3[[#This Row],[HAMMADDE KODU]],Tablo1[#All],2,0)</f>
        <v>RANDUM</v>
      </c>
      <c r="C2" s="140" t="str">
        <f>VLOOKUP(Tablo3[[#This Row],[HAMMADDE KODU]],Tablo1[#All],3,0)</f>
        <v>CAPILENE</v>
      </c>
      <c r="D2" s="140" t="str">
        <f>VLOOKUP(Tablo3[[#This Row],[HAMMADDE KODU]],Tablo1[#All],4,0)</f>
        <v>PİNHAS</v>
      </c>
      <c r="E2" s="108">
        <f>SUMIF(Tablo5[HAMMADDE KODU],Tablo3[[#This Row],[HAMMADDE KODU]],Tablo5[HAMMADDE TÜKETİM KG]) +SUMIF(Tablo515[HAMMADDE KODU],Tablo3[[#This Row],[HAMMADDE KODU]],Tablo515[HAMMADDE TÜKETİM KG])+SUMIF(Tablo516[HAMMADDE KODU],Tablo3[[#This Row],[HAMMADDE KODU]],Tablo516[HAMMADDE TÜKETİM KG]) +SUMIF(Tablo517[HAMMADDE KODU],Tablo3[[#This Row],[HAMMADDE KODU]],Tablo517[HAMMADDE TÜKETİM KG]) +SUMIF(Tablo518[HAMMADDE KODU],Tablo3[[#This Row],[HAMMADDE KODU]],Tablo518[HAMMADDE TÜKETİM KG]) +SUMIF(Tablo519[HAMMADDE KODU],Tablo3[[#This Row],[HAMMADDE KODU]],Tablo519[HAMMADDE TÜKETİM KG]) +SUMIF(Tablo520[HAMMADDE KODU],Tablo3[[#This Row],[HAMMADDE KODU]],Tablo520[HAMMADDE TÜKETİM KG])</f>
        <v>5335.4217000000017</v>
      </c>
    </row>
    <row r="3" spans="1:5">
      <c r="A3" s="140" t="s">
        <v>183</v>
      </c>
      <c r="B3" s="140" t="str">
        <f>VLOOKUP(Tablo3[[#This Row],[HAMMADDE KODU]],Tablo1[#All],2,0)</f>
        <v>POLİKARBONAT</v>
      </c>
      <c r="C3" s="140" t="str">
        <f>VLOOKUP(Tablo3[[#This Row],[HAMMADDE KODU]],Tablo1[#All],3,0)</f>
        <v>NOVAREX</v>
      </c>
      <c r="D3" s="140" t="str">
        <f>VLOOKUP(Tablo3[[#This Row],[HAMMADDE KODU]],Tablo1[#All],4,0)</f>
        <v>PİNHAS</v>
      </c>
      <c r="E3" s="108">
        <f>SUMIF(Tablo5[HAMMADDE KODU],Tablo3[[#This Row],[HAMMADDE KODU]],Tablo5[HAMMADDE TÜKETİM KG]) +SUMIF(Tablo515[HAMMADDE KODU],Tablo3[[#This Row],[HAMMADDE KODU]],Tablo515[HAMMADDE TÜKETİM KG])+SUMIF(Tablo516[HAMMADDE KODU],Tablo3[[#This Row],[HAMMADDE KODU]],Tablo516[HAMMADDE TÜKETİM KG]) +SUMIF(Tablo517[HAMMADDE KODU],Tablo3[[#This Row],[HAMMADDE KODU]],Tablo517[HAMMADDE TÜKETİM KG]) +SUMIF(Tablo518[HAMMADDE KODU],Tablo3[[#This Row],[HAMMADDE KODU]],Tablo518[HAMMADDE TÜKETİM KG]) +SUMIF(Tablo519[HAMMADDE KODU],Tablo3[[#This Row],[HAMMADDE KODU]],Tablo519[HAMMADDE TÜKETİM KG]) +SUMIF(Tablo520[HAMMADDE KODU],Tablo3[[#This Row],[HAMMADDE KODU]],Tablo520[HAMMADDE TÜKETİM KG])</f>
        <v>7486.0271000000012</v>
      </c>
    </row>
    <row r="4" spans="1:5">
      <c r="A4" s="140" t="s">
        <v>365</v>
      </c>
      <c r="B4" s="140" t="str">
        <f>VLOOKUP(Tablo3[[#This Row],[HAMMADDE KODU]],Tablo1[#All],2,0)</f>
        <v>SİLİKON 45 SHOR</v>
      </c>
      <c r="C4" s="140" t="str">
        <f>VLOOKUP(Tablo3[[#This Row],[HAMMADDE KODU]],Tablo1[#All],3,0)</f>
        <v>LSR 45</v>
      </c>
      <c r="D4" s="140" t="str">
        <f>VLOOKUP(Tablo3[[#This Row],[HAMMADDE KODU]],Tablo1[#All],4,0)</f>
        <v>SETA</v>
      </c>
      <c r="E4" s="108">
        <f>SUMIF(Tablo5[HAMMADDE KODU],Tablo3[[#This Row],[HAMMADDE KODU]],Tablo5[HAMMADDE TÜKETİM KG]) +SUMIF(Tablo515[HAMMADDE KODU],Tablo3[[#This Row],[HAMMADDE KODU]],Tablo515[HAMMADDE TÜKETİM KG])+SUMIF(Tablo516[HAMMADDE KODU],Tablo3[[#This Row],[HAMMADDE KODU]],Tablo516[HAMMADDE TÜKETİM KG]) +SUMIF(Tablo517[HAMMADDE KODU],Tablo3[[#This Row],[HAMMADDE KODU]],Tablo517[HAMMADDE TÜKETİM KG]) +SUMIF(Tablo518[HAMMADDE KODU],Tablo3[[#This Row],[HAMMADDE KODU]],Tablo518[HAMMADDE TÜKETİM KG]) +SUMIF(Tablo519[HAMMADDE KODU],Tablo3[[#This Row],[HAMMADDE KODU]],Tablo519[HAMMADDE TÜKETİM KG]) +SUMIF(Tablo520[HAMMADDE KODU],Tablo3[[#This Row],[HAMMADDE KODU]],Tablo520[HAMMADDE TÜKETİM KG])</f>
        <v>10915.303099999999</v>
      </c>
    </row>
    <row r="5" spans="1:5">
      <c r="A5" s="140" t="s">
        <v>369</v>
      </c>
      <c r="B5" s="140" t="str">
        <f>VLOOKUP(Tablo3[[#This Row],[HAMMADDE KODU]],Tablo1[#All],2,0)</f>
        <v>SİLİKON 50 SHOR</v>
      </c>
      <c r="C5" s="140" t="str">
        <f>VLOOKUP(Tablo3[[#This Row],[HAMMADDE KODU]],Tablo1[#All],3,0)</f>
        <v>LSR 50</v>
      </c>
      <c r="D5" s="140" t="str">
        <f>VLOOKUP(Tablo3[[#This Row],[HAMMADDE KODU]],Tablo1[#All],4,0)</f>
        <v>TERRA</v>
      </c>
      <c r="E5" s="108">
        <f>SUMIF(Tablo5[HAMMADDE KODU],Tablo3[[#This Row],[HAMMADDE KODU]],Tablo5[HAMMADDE TÜKETİM KG]) +SUMIF(Tablo515[HAMMADDE KODU],Tablo3[[#This Row],[HAMMADDE KODU]],Tablo515[HAMMADDE TÜKETİM KG])+SUMIF(Tablo516[HAMMADDE KODU],Tablo3[[#This Row],[HAMMADDE KODU]],Tablo516[HAMMADDE TÜKETİM KG]) +SUMIF(Tablo517[HAMMADDE KODU],Tablo3[[#This Row],[HAMMADDE KODU]],Tablo517[HAMMADDE TÜKETİM KG]) +SUMIF(Tablo518[HAMMADDE KODU],Tablo3[[#This Row],[HAMMADDE KODU]],Tablo518[HAMMADDE TÜKETİM KG]) +SUMIF(Tablo519[HAMMADDE KODU],Tablo3[[#This Row],[HAMMADDE KODU]],Tablo519[HAMMADDE TÜKETİM KG]) +SUMIF(Tablo520[HAMMADDE KODU],Tablo3[[#This Row],[HAMMADDE KODU]],Tablo520[HAMMADDE TÜKETİM KG])</f>
        <v>1305.1505000000002</v>
      </c>
    </row>
    <row r="6" spans="1:5">
      <c r="A6" s="140" t="s">
        <v>373</v>
      </c>
      <c r="B6" s="140" t="str">
        <f>VLOOKUP(Tablo3[[#This Row],[HAMMADDE KODU]],Tablo1[#All],2,0)</f>
        <v>SİLİKON 70 SHOR</v>
      </c>
      <c r="C6" s="140" t="str">
        <f>VLOOKUP(Tablo3[[#This Row],[HAMMADDE KODU]],Tablo1[#All],3,0)</f>
        <v>LSR 70</v>
      </c>
      <c r="D6" s="140" t="str">
        <f>VLOOKUP(Tablo3[[#This Row],[HAMMADDE KODU]],Tablo1[#All],4,0)</f>
        <v>TERRA</v>
      </c>
      <c r="E6" s="108">
        <f>SUMIF(Tablo5[HAMMADDE KODU],Tablo3[[#This Row],[HAMMADDE KODU]],Tablo5[HAMMADDE TÜKETİM KG]) +SUMIF(Tablo515[HAMMADDE KODU],Tablo3[[#This Row],[HAMMADDE KODU]],Tablo515[HAMMADDE TÜKETİM KG])+SUMIF(Tablo516[HAMMADDE KODU],Tablo3[[#This Row],[HAMMADDE KODU]],Tablo516[HAMMADDE TÜKETİM KG]) +SUMIF(Tablo517[HAMMADDE KODU],Tablo3[[#This Row],[HAMMADDE KODU]],Tablo517[HAMMADDE TÜKETİM KG]) +SUMIF(Tablo518[HAMMADDE KODU],Tablo3[[#This Row],[HAMMADDE KODU]],Tablo518[HAMMADDE TÜKETİM KG]) +SUMIF(Tablo519[HAMMADDE KODU],Tablo3[[#This Row],[HAMMADDE KODU]],Tablo519[HAMMADDE TÜKETİM KG]) +SUMIF(Tablo520[HAMMADDE KODU],Tablo3[[#This Row],[HAMMADDE KODU]],Tablo520[HAMMADDE TÜKETİM KG])</f>
        <v>774.7912</v>
      </c>
    </row>
    <row r="7" spans="1:5">
      <c r="A7" s="140" t="s">
        <v>376</v>
      </c>
      <c r="B7" s="140" t="str">
        <f>VLOOKUP(Tablo3[[#This Row],[HAMMADDE KODU]],Tablo1[#All],2,0)</f>
        <v>TRITAN</v>
      </c>
      <c r="C7" s="140" t="str">
        <f>VLOOKUP(Tablo3[[#This Row],[HAMMADDE KODU]],Tablo1[#All],3,0)</f>
        <v>TRITAN</v>
      </c>
      <c r="D7" s="140" t="str">
        <f>VLOOKUP(Tablo3[[#This Row],[HAMMADDE KODU]],Tablo1[#All],4,0)</f>
        <v>XXX</v>
      </c>
      <c r="E7" s="108">
        <f>SUMIF(Tablo5[HAMMADDE KODU],Tablo3[[#This Row],[HAMMADDE KODU]],Tablo5[HAMMADDE TÜKETİM KG]) +SUMIF(Tablo515[HAMMADDE KODU],Tablo3[[#This Row],[HAMMADDE KODU]],Tablo515[HAMMADDE TÜKETİM KG])+SUMIF(Tablo516[HAMMADDE KODU],Tablo3[[#This Row],[HAMMADDE KODU]],Tablo516[HAMMADDE TÜKETİM KG]) +SUMIF(Tablo517[HAMMADDE KODU],Tablo3[[#This Row],[HAMMADDE KODU]],Tablo517[HAMMADDE TÜKETİM KG]) +SUMIF(Tablo518[HAMMADDE KODU],Tablo3[[#This Row],[HAMMADDE KODU]],Tablo518[HAMMADDE TÜKETİM KG]) +SUMIF(Tablo519[HAMMADDE KODU],Tablo3[[#This Row],[HAMMADDE KODU]],Tablo519[HAMMADDE TÜKETİM KG]) +SUMIF(Tablo520[HAMMADDE KODU],Tablo3[[#This Row],[HAMMADDE KODU]],Tablo520[HAMMADDE TÜKETİM KG])</f>
        <v>1490.5685000000001</v>
      </c>
    </row>
    <row r="8" spans="1:5">
      <c r="A8" s="140" t="s">
        <v>379</v>
      </c>
      <c r="B8" s="140" t="str">
        <f>VLOOKUP(Tablo3[[#This Row],[HAMMADDE KODU]],Tablo1[#All],2,0)</f>
        <v>ABS</v>
      </c>
      <c r="C8" s="140" t="str">
        <f>VLOOKUP(Tablo3[[#This Row],[HAMMADDE KODU]],Tablo1[#All],3,0)</f>
        <v>ABS</v>
      </c>
      <c r="D8" s="140" t="str">
        <f>VLOOKUP(Tablo3[[#This Row],[HAMMADDE KODU]],Tablo1[#All],4,0)</f>
        <v>XXX</v>
      </c>
      <c r="E8" s="108">
        <f>SUMIF(Tablo5[HAMMADDE KODU],Tablo3[[#This Row],[HAMMADDE KODU]],Tablo5[HAMMADDE TÜKETİM KG]) +SUMIF(Tablo515[HAMMADDE KODU],Tablo3[[#This Row],[HAMMADDE KODU]],Tablo515[HAMMADDE TÜKETİM KG])+SUMIF(Tablo516[HAMMADDE KODU],Tablo3[[#This Row],[HAMMADDE KODU]],Tablo516[HAMMADDE TÜKETİM KG]) +SUMIF(Tablo517[HAMMADDE KODU],Tablo3[[#This Row],[HAMMADDE KODU]],Tablo517[HAMMADDE TÜKETİM KG]) +SUMIF(Tablo518[HAMMADDE KODU],Tablo3[[#This Row],[HAMMADDE KODU]],Tablo518[HAMMADDE TÜKETİM KG]) +SUMIF(Tablo519[HAMMADDE KODU],Tablo3[[#This Row],[HAMMADDE KODU]],Tablo519[HAMMADDE TÜKETİM KG]) +SUMIF(Tablo520[HAMMADDE KODU],Tablo3[[#This Row],[HAMMADDE KODU]],Tablo520[HAMMADDE TÜKETİM KG])</f>
        <v>171.20170000000002</v>
      </c>
    </row>
    <row r="9" spans="1:5">
      <c r="A9" s="140" t="s">
        <v>381</v>
      </c>
      <c r="B9" s="108" t="str">
        <f>VLOOKUP(Tablo3[[#This Row],[HAMMADDE KODU]],Tablo1[#All],2,0)</f>
        <v>SAN</v>
      </c>
      <c r="C9" s="108" t="str">
        <f>VLOOKUP(Tablo3[[#This Row],[HAMMADDE KODU]],Tablo1[#All],3,0)</f>
        <v>SAN</v>
      </c>
      <c r="D9" s="140" t="str">
        <f>VLOOKUP(Tablo3[[#This Row],[HAMMADDE KODU]],Tablo1[#All],4,0)</f>
        <v>XXX</v>
      </c>
      <c r="E9" s="108">
        <f>SUMIF(Tablo5[HAMMADDE KODU],Tablo3[[#This Row],[HAMMADDE KODU]],Tablo5[HAMMADDE TÜKETİM KG]) +SUMIF(Tablo515[HAMMADDE KODU],Tablo3[[#This Row],[HAMMADDE KODU]],Tablo515[HAMMADDE TÜKETİM KG])+SUMIF(Tablo516[HAMMADDE KODU],Tablo3[[#This Row],[HAMMADDE KODU]],Tablo516[HAMMADDE TÜKETİM KG]) +SUMIF(Tablo517[HAMMADDE KODU],Tablo3[[#This Row],[HAMMADDE KODU]],Tablo517[HAMMADDE TÜKETİM KG]) +SUMIF(Tablo518[HAMMADDE KODU],Tablo3[[#This Row],[HAMMADDE KODU]],Tablo518[HAMMADDE TÜKETİM KG]) +SUMIF(Tablo519[HAMMADDE KODU],Tablo3[[#This Row],[HAMMADDE KODU]],Tablo519[HAMMADDE TÜKETİM KG]) +SUMIF(Tablo520[HAMMADDE KODU],Tablo3[[#This Row],[HAMMADDE KODU]],Tablo520[HAMMADDE TÜKETİM KG])</f>
        <v>0</v>
      </c>
    </row>
    <row r="10" spans="1:5">
      <c r="A10" s="140" t="s">
        <v>383</v>
      </c>
      <c r="B10" s="140" t="str">
        <f>VLOOKUP(Tablo3[[#This Row],[HAMMADDE KODU]],Tablo1[#All],2,0)</f>
        <v>T.P.E.</v>
      </c>
      <c r="C10" s="140" t="str">
        <f>VLOOKUP(Tablo3[[#This Row],[HAMMADDE KODU]],Tablo1[#All],3,0)</f>
        <v>T.P.E.</v>
      </c>
      <c r="D10" s="140" t="str">
        <f>VLOOKUP(Tablo3[[#This Row],[HAMMADDE KODU]],Tablo1[#All],4,0)</f>
        <v>ELASTRON KİMYA</v>
      </c>
      <c r="E10" s="108">
        <f>SUMIF(Tablo5[HAMMADDE KODU],Tablo3[[#This Row],[HAMMADDE KODU]],Tablo5[HAMMADDE TÜKETİM KG]) +SUMIF(Tablo515[HAMMADDE KODU],Tablo3[[#This Row],[HAMMADDE KODU]],Tablo515[HAMMADDE TÜKETİM KG])+SUMIF(Tablo516[HAMMADDE KODU],Tablo3[[#This Row],[HAMMADDE KODU]],Tablo516[HAMMADDE TÜKETİM KG]) +SUMIF(Tablo517[HAMMADDE KODU],Tablo3[[#This Row],[HAMMADDE KODU]],Tablo517[HAMMADDE TÜKETİM KG]) +SUMIF(Tablo518[HAMMADDE KODU],Tablo3[[#This Row],[HAMMADDE KODU]],Tablo518[HAMMADDE TÜKETİM KG]) +SUMIF(Tablo519[HAMMADDE KODU],Tablo3[[#This Row],[HAMMADDE KODU]],Tablo519[HAMMADDE TÜKETİM KG]) +SUMIF(Tablo520[HAMMADDE KODU],Tablo3[[#This Row],[HAMMADDE KODU]],Tablo520[HAMMADDE TÜKETİM KG])</f>
        <v>880.90760000000012</v>
      </c>
    </row>
    <row r="11" spans="1:5">
      <c r="A11" s="140" t="s">
        <v>114</v>
      </c>
      <c r="B11" s="108" t="str">
        <f>VLOOKUP(Tablo3[[#This Row],[HAMMADDE KODU]],Tablo1[#All],2,0)</f>
        <v>2.KALİTE P.P.</v>
      </c>
      <c r="C11" s="140" t="str">
        <f>VLOOKUP(Tablo3[[#This Row],[HAMMADDE KODU]],Tablo1[#All],3,0)</f>
        <v>KIRMA PP</v>
      </c>
      <c r="D11" s="140" t="str">
        <f>VLOOKUP(Tablo3[[#This Row],[HAMMADDE KODU]],Tablo1[#All],4,0)</f>
        <v>KIRMA</v>
      </c>
      <c r="E11" s="108">
        <f>SUMIF(Tablo5[HAMMADDE KODU],Tablo3[[#This Row],[HAMMADDE KODU]],Tablo5[HAMMADDE TÜKETİM KG]) +SUMIF(Tablo515[HAMMADDE KODU],Tablo3[[#This Row],[HAMMADDE KODU]],Tablo515[HAMMADDE TÜKETİM KG])+SUMIF(Tablo516[HAMMADDE KODU],Tablo3[[#This Row],[HAMMADDE KODU]],Tablo516[HAMMADDE TÜKETİM KG]) +SUMIF(Tablo517[HAMMADDE KODU],Tablo3[[#This Row],[HAMMADDE KODU]],Tablo517[HAMMADDE TÜKETİM KG]) +SUMIF(Tablo518[HAMMADDE KODU],Tablo3[[#This Row],[HAMMADDE KODU]],Tablo518[HAMMADDE TÜKETİM KG]) +SUMIF(Tablo519[HAMMADDE KODU],Tablo3[[#This Row],[HAMMADDE KODU]],Tablo519[HAMMADDE TÜKETİM KG]) +SUMIF(Tablo520[HAMMADDE KODU],Tablo3[[#This Row],[HAMMADDE KODU]],Tablo520[HAMMADDE TÜKETİM KG])</f>
        <v>299.95979999999997</v>
      </c>
    </row>
    <row r="12" spans="1:5">
      <c r="A12" s="140" t="s">
        <v>388</v>
      </c>
      <c r="B12" s="140" t="str">
        <f>VLOOKUP(Tablo3[[#This Row],[HAMMADDE KODU]],Tablo1[#All],2,0)</f>
        <v>2.KALİTE P.C.</v>
      </c>
      <c r="C12" s="140" t="str">
        <f>VLOOKUP(Tablo3[[#This Row],[HAMMADDE KODU]],Tablo1[#All],3,0)</f>
        <v>KIRMA PC</v>
      </c>
      <c r="D12" s="140" t="str">
        <f>VLOOKUP(Tablo3[[#This Row],[HAMMADDE KODU]],Tablo1[#All],4,0)</f>
        <v>KIRMA</v>
      </c>
      <c r="E12" s="108">
        <f>SUMIF(Tablo5[HAMMADDE KODU],Tablo3[[#This Row],[HAMMADDE KODU]],Tablo5[HAMMADDE TÜKETİM KG]) +SUMIF(Tablo515[HAMMADDE KODU],Tablo3[[#This Row],[HAMMADDE KODU]],Tablo515[HAMMADDE TÜKETİM KG])+SUMIF(Tablo516[HAMMADDE KODU],Tablo3[[#This Row],[HAMMADDE KODU]],Tablo516[HAMMADDE TÜKETİM KG]) +SUMIF(Tablo517[HAMMADDE KODU],Tablo3[[#This Row],[HAMMADDE KODU]],Tablo517[HAMMADDE TÜKETİM KG]) +SUMIF(Tablo518[HAMMADDE KODU],Tablo3[[#This Row],[HAMMADDE KODU]],Tablo518[HAMMADDE TÜKETİM KG]) +SUMIF(Tablo519[HAMMADDE KODU],Tablo3[[#This Row],[HAMMADDE KODU]],Tablo519[HAMMADDE TÜKETİM KG]) +SUMIF(Tablo520[HAMMADDE KODU],Tablo3[[#This Row],[HAMMADDE KODU]],Tablo520[HAMMADDE TÜKETİM KG])</f>
        <v>694.31159999999988</v>
      </c>
    </row>
    <row r="13" spans="1:5">
      <c r="A13" s="140" t="s">
        <v>141</v>
      </c>
      <c r="B13" s="140" t="str">
        <f>VLOOKUP(Tablo3[[#This Row],[HAMMADDE KODU]],Tablo1[#All],2,0)</f>
        <v>2.KALİTE TRITAN</v>
      </c>
      <c r="C13" s="140" t="str">
        <f>VLOOKUP(Tablo3[[#This Row],[HAMMADDE KODU]],Tablo1[#All],3,0)</f>
        <v>KIRMA TRITAN</v>
      </c>
      <c r="D13" s="140" t="str">
        <f>VLOOKUP(Tablo3[[#This Row],[HAMMADDE KODU]],Tablo1[#All],4,0)</f>
        <v>KIRMA</v>
      </c>
      <c r="E13" s="108">
        <f>SUMIF(Tablo5[HAMMADDE KODU],Tablo3[[#This Row],[HAMMADDE KODU]],Tablo5[HAMMADDE TÜKETİM KG]) +SUMIF(Tablo515[HAMMADDE KODU],Tablo3[[#This Row],[HAMMADDE KODU]],Tablo515[HAMMADDE TÜKETİM KG])+SUMIF(Tablo516[HAMMADDE KODU],Tablo3[[#This Row],[HAMMADDE KODU]],Tablo516[HAMMADDE TÜKETİM KG]) +SUMIF(Tablo517[HAMMADDE KODU],Tablo3[[#This Row],[HAMMADDE KODU]],Tablo517[HAMMADDE TÜKETİM KG]) +SUMIF(Tablo518[HAMMADDE KODU],Tablo3[[#This Row],[HAMMADDE KODU]],Tablo518[HAMMADDE TÜKETİM KG]) +SUMIF(Tablo519[HAMMADDE KODU],Tablo3[[#This Row],[HAMMADDE KODU]],Tablo519[HAMMADDE TÜKETİM KG]) +SUMIF(Tablo520[HAMMADDE KODU],Tablo3[[#This Row],[HAMMADDE KODU]],Tablo520[HAMMADDE TÜKETİM KG])</f>
        <v>136.72569999999999</v>
      </c>
    </row>
    <row r="14" spans="1:5">
      <c r="A14" s="140" t="s">
        <v>393</v>
      </c>
      <c r="B14" s="140" t="str">
        <f>VLOOKUP(Tablo3[[#This Row],[HAMMADDE KODU]],Tablo1[#All],2,0)</f>
        <v>2.KALİTE ABS</v>
      </c>
      <c r="C14" s="140" t="str">
        <f>VLOOKUP(Tablo3[[#This Row],[HAMMADDE KODU]],Tablo1[#All],3,0)</f>
        <v>KIRMA ABS</v>
      </c>
      <c r="D14" s="140" t="str">
        <f>VLOOKUP(Tablo3[[#This Row],[HAMMADDE KODU]],Tablo1[#All],4,0)</f>
        <v>KIRMA</v>
      </c>
      <c r="E14" s="108">
        <f>SUMIF(Tablo5[HAMMADDE KODU],Tablo3[[#This Row],[HAMMADDE KODU]],Tablo5[HAMMADDE TÜKETİM KG]) +SUMIF(Tablo515[HAMMADDE KODU],Tablo3[[#This Row],[HAMMADDE KODU]],Tablo515[HAMMADDE TÜKETİM KG])+SUMIF(Tablo516[HAMMADDE KODU],Tablo3[[#This Row],[HAMMADDE KODU]],Tablo516[HAMMADDE TÜKETİM KG]) +SUMIF(Tablo517[HAMMADDE KODU],Tablo3[[#This Row],[HAMMADDE KODU]],Tablo517[HAMMADDE TÜKETİM KG]) +SUMIF(Tablo518[HAMMADDE KODU],Tablo3[[#This Row],[HAMMADDE KODU]],Tablo518[HAMMADDE TÜKETİM KG]) +SUMIF(Tablo519[HAMMADDE KODU],Tablo3[[#This Row],[HAMMADDE KODU]],Tablo519[HAMMADDE TÜKETİM KG]) +SUMIF(Tablo520[HAMMADDE KODU],Tablo3[[#This Row],[HAMMADDE KODU]],Tablo520[HAMMADDE TÜKETİM KG])</f>
        <v>0</v>
      </c>
    </row>
    <row r="15" spans="1:5">
      <c r="A15" s="140" t="s">
        <v>396</v>
      </c>
      <c r="B15" s="140" t="str">
        <f>VLOOKUP(Tablo3[[#This Row],[HAMMADDE KODU]],Tablo1[#All],2,0)</f>
        <v>2.KALİTE SAN</v>
      </c>
      <c r="C15" s="140" t="str">
        <f>VLOOKUP(Tablo3[[#This Row],[HAMMADDE KODU]],Tablo1[#All],3,0)</f>
        <v xml:space="preserve">KIRMA SAN </v>
      </c>
      <c r="D15" s="140" t="str">
        <f>VLOOKUP(Tablo3[[#This Row],[HAMMADDE KODU]],Tablo1[#All],4,0)</f>
        <v>KIRMA</v>
      </c>
      <c r="E15" s="108">
        <f>SUMIF(Tablo5[HAMMADDE KODU],Tablo3[[#This Row],[HAMMADDE KODU]],Tablo5[HAMMADDE TÜKETİM KG]) +SUMIF(Tablo515[HAMMADDE KODU],Tablo3[[#This Row],[HAMMADDE KODU]],Tablo515[HAMMADDE TÜKETİM KG])+SUMIF(Tablo516[HAMMADDE KODU],Tablo3[[#This Row],[HAMMADDE KODU]],Tablo516[HAMMADDE TÜKETİM KG]) +SUMIF(Tablo517[HAMMADDE KODU],Tablo3[[#This Row],[HAMMADDE KODU]],Tablo517[HAMMADDE TÜKETİM KG]) +SUMIF(Tablo518[HAMMADDE KODU],Tablo3[[#This Row],[HAMMADDE KODU]],Tablo518[HAMMADDE TÜKETİM KG]) +SUMIF(Tablo519[HAMMADDE KODU],Tablo3[[#This Row],[HAMMADDE KODU]],Tablo519[HAMMADDE TÜKETİM KG]) +SUMIF(Tablo520[HAMMADDE KODU],Tablo3[[#This Row],[HAMMADDE KODU]],Tablo520[HAMMADDE TÜKETİM KG])</f>
        <v>0</v>
      </c>
    </row>
    <row r="16" spans="1:5">
      <c r="A16" s="140" t="s">
        <v>399</v>
      </c>
      <c r="B16" s="140" t="str">
        <f>VLOOKUP(Tablo3[[#This Row],[HAMMADDE KODU]],Tablo1[#All],2,0)</f>
        <v>2.KALİTE T.P.E.</v>
      </c>
      <c r="C16" s="140" t="str">
        <f>VLOOKUP(Tablo3[[#This Row],[HAMMADDE KODU]],Tablo1[#All],3,0)</f>
        <v>KIRMA TPE</v>
      </c>
      <c r="D16" s="140" t="str">
        <f>VLOOKUP(Tablo3[[#This Row],[HAMMADDE KODU]],Tablo1[#All],4,0)</f>
        <v>KIRMA</v>
      </c>
      <c r="E16" s="108">
        <f>SUMIF(Tablo5[HAMMADDE KODU],Tablo3[[#This Row],[HAMMADDE KODU]],Tablo5[HAMMADDE TÜKETİM KG]) +SUMIF(Tablo515[HAMMADDE KODU],Tablo3[[#This Row],[HAMMADDE KODU]],Tablo515[HAMMADDE TÜKETİM KG])+SUMIF(Tablo516[HAMMADDE KODU],Tablo3[[#This Row],[HAMMADDE KODU]],Tablo516[HAMMADDE TÜKETİM KG]) +SUMIF(Tablo517[HAMMADDE KODU],Tablo3[[#This Row],[HAMMADDE KODU]],Tablo517[HAMMADDE TÜKETİM KG]) +SUMIF(Tablo518[HAMMADDE KODU],Tablo3[[#This Row],[HAMMADDE KODU]],Tablo518[HAMMADDE TÜKETİM KG]) +SUMIF(Tablo519[HAMMADDE KODU],Tablo3[[#This Row],[HAMMADDE KODU]],Tablo519[HAMMADDE TÜKETİM KG]) +SUMIF(Tablo520[HAMMADDE KODU],Tablo3[[#This Row],[HAMMADDE KODU]],Tablo520[HAMMADDE TÜKETİM KG])</f>
        <v>0</v>
      </c>
    </row>
    <row r="17" spans="1:5">
      <c r="A17" s="108" t="s">
        <v>38</v>
      </c>
      <c r="B17" s="108" t="str">
        <f>VLOOKUP(Tablo3[[#This Row],[HAMMADDE KODU]],Tablo1[#All],2,0)</f>
        <v>SİLİKON 52 SHOR</v>
      </c>
      <c r="C17" s="108" t="str">
        <f>VLOOKUP(Tablo3[[#This Row],[HAMMADDE KODU]],Tablo1[#All],3,0)</f>
        <v>LSR 50</v>
      </c>
      <c r="D17" s="108" t="str">
        <f>VLOOKUP(Tablo3[[#This Row],[HAMMADDE KODU]],Tablo1[#All],4,0)</f>
        <v>KCC</v>
      </c>
      <c r="E17" s="108">
        <f>SUMIF(Tablo5[HAMMADDE KODU],Tablo3[[#This Row],[HAMMADDE KODU]],Tablo5[HAMMADDE TÜKETİM KG]) +SUMIF(Tablo515[HAMMADDE KODU],Tablo3[[#This Row],[HAMMADDE KODU]],Tablo515[HAMMADDE TÜKETİM KG])+SUMIF(Tablo516[HAMMADDE KODU],Tablo3[[#This Row],[HAMMADDE KODU]],Tablo516[HAMMADDE TÜKETİM KG]) +SUMIF(Tablo517[HAMMADDE KODU],Tablo3[[#This Row],[HAMMADDE KODU]],Tablo517[HAMMADDE TÜKETİM KG]) +SUMIF(Tablo518[HAMMADDE KODU],Tablo3[[#This Row],[HAMMADDE KODU]],Tablo518[HAMMADDE TÜKETİM KG]) +SUMIF(Tablo519[HAMMADDE KODU],Tablo3[[#This Row],[HAMMADDE KODU]],Tablo519[HAMMADDE TÜKETİM KG]) +SUMIF(Tablo520[HAMMADDE KODU],Tablo3[[#This Row],[HAMMADDE KODU]],Tablo520[HAMMADDE TÜKETİM KG])</f>
        <v>1637.2471999999998</v>
      </c>
    </row>
    <row r="30" spans="1:5">
      <c r="B30" s="24"/>
      <c r="C30" s="24"/>
      <c r="D30" s="24"/>
      <c r="E30" s="24"/>
    </row>
  </sheetData>
  <sheetProtection password="CC17" sheet="1" objects="1" scenarios="1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>
  <sheetPr codeName="Sayfa5"/>
  <dimension ref="A1:H33"/>
  <sheetViews>
    <sheetView workbookViewId="0">
      <pane ySplit="1" topLeftCell="A2" activePane="bottomLeft" state="frozen"/>
      <selection activeCell="F19" sqref="F19"/>
      <selection pane="bottomLeft" activeCell="H13" sqref="H13"/>
    </sheetView>
  </sheetViews>
  <sheetFormatPr defaultRowHeight="15"/>
  <cols>
    <col min="1" max="1" width="14.85546875" style="140" customWidth="1"/>
    <col min="2" max="2" width="17" style="140" bestFit="1" customWidth="1"/>
    <col min="3" max="3" width="21.5703125" style="140" bestFit="1" customWidth="1"/>
    <col min="4" max="4" width="19.5703125" style="140" customWidth="1"/>
    <col min="5" max="5" width="10.140625" style="147" customWidth="1"/>
    <col min="6" max="6" width="13.28515625" style="147" customWidth="1"/>
    <col min="7" max="7" width="13.7109375" style="147" customWidth="1"/>
    <col min="8" max="8" width="16.28515625" style="147" bestFit="1" customWidth="1"/>
    <col min="9" max="16384" width="9.140625" style="140"/>
  </cols>
  <sheetData>
    <row r="1" spans="1:8" ht="49.5" customHeight="1">
      <c r="A1" s="145" t="s">
        <v>13</v>
      </c>
      <c r="B1" s="145" t="s">
        <v>1</v>
      </c>
      <c r="C1" s="145" t="s">
        <v>357</v>
      </c>
      <c r="D1" s="145" t="s">
        <v>358</v>
      </c>
      <c r="E1" s="146" t="s">
        <v>404</v>
      </c>
      <c r="F1" s="146" t="s">
        <v>406</v>
      </c>
      <c r="G1" s="146" t="s">
        <v>407</v>
      </c>
      <c r="H1" s="147" t="s">
        <v>408</v>
      </c>
    </row>
    <row r="2" spans="1:8" ht="18.75" customHeight="1">
      <c r="A2" s="147" t="s">
        <v>359</v>
      </c>
      <c r="B2" s="140" t="str">
        <f>VLOOKUP(Tablo4[[#This Row],[HAMMADDE KODU]],Tablo1[#All],2,0)</f>
        <v>RANDUM</v>
      </c>
      <c r="C2" s="140" t="str">
        <f>VLOOKUP(Tablo4[[#This Row],[HAMMADDE KODU]],Tablo1[#All],3,0)</f>
        <v>CAPILENE</v>
      </c>
      <c r="D2" s="140" t="str">
        <f>VLOOKUP(Tablo4[[#This Row],[HAMMADDE KODU]],Tablo1[#All],4,0)</f>
        <v>PİNHAS</v>
      </c>
      <c r="E2" s="147">
        <f>SUMIF(Tablo2[ÜRÜN ADI],Tablo4[[#This Row],[ÜRÜN ADI]],Tablo2[ALINAN KG])</f>
        <v>5387</v>
      </c>
      <c r="F2" s="147">
        <f>SUMIF(Tablo3[ÜRÜN ADI],Tablo4[[#This Row],[ÜRÜN ADI]],Tablo3[TÜKETİLEN KG])</f>
        <v>5335.4217000000017</v>
      </c>
      <c r="G2" s="147">
        <f>Tablo4[[#This Row],[ALINAN KG]]-Tablo4[[#This Row],[KULLANILAN KG]]</f>
        <v>51.578299999998308</v>
      </c>
      <c r="H2" s="147" t="str">
        <f>IF(G2&lt;= 50,"AZALDI","NORMAL")</f>
        <v>NORMAL</v>
      </c>
    </row>
    <row r="3" spans="1:8" ht="18.75" customHeight="1">
      <c r="A3" s="147" t="s">
        <v>183</v>
      </c>
      <c r="B3" s="140" t="str">
        <f>VLOOKUP(Tablo4[[#This Row],[HAMMADDE KODU]],Tablo1[#All],2,0)</f>
        <v>POLİKARBONAT</v>
      </c>
      <c r="C3" s="140" t="str">
        <f>VLOOKUP(Tablo4[[#This Row],[HAMMADDE KODU]],Tablo1[#All],3,0)</f>
        <v>NOVAREX</v>
      </c>
      <c r="D3" s="140" t="str">
        <f>VLOOKUP(Tablo4[[#This Row],[HAMMADDE KODU]],Tablo1[#All],4,0)</f>
        <v>PİNHAS</v>
      </c>
      <c r="E3" s="147">
        <f>SUMIF(Tablo2[ÜRÜN ADI],Tablo4[[#This Row],[ÜRÜN ADI]],Tablo2[ALINAN KG])</f>
        <v>8180</v>
      </c>
      <c r="F3" s="147">
        <f>SUMIF(Tablo3[ÜRÜN ADI],Tablo4[[#This Row],[ÜRÜN ADI]],Tablo3[TÜKETİLEN KG])</f>
        <v>7486.0271000000012</v>
      </c>
      <c r="G3" s="147">
        <f>Tablo4[[#This Row],[ALINAN KG]]-Tablo4[[#This Row],[KULLANILAN KG]]</f>
        <v>693.97289999999884</v>
      </c>
      <c r="H3" s="147" t="str">
        <f t="shared" ref="H3:H17" si="0">IF(G3&lt;= 50,"AZALDI","NORMAL")</f>
        <v>NORMAL</v>
      </c>
    </row>
    <row r="4" spans="1:8" ht="18.75" customHeight="1">
      <c r="A4" s="147" t="s">
        <v>365</v>
      </c>
      <c r="B4" s="140" t="str">
        <f>VLOOKUP(Tablo4[[#This Row],[HAMMADDE KODU]],Tablo1[#All],2,0)</f>
        <v>SİLİKON 45 SHOR</v>
      </c>
      <c r="C4" s="140" t="str">
        <f>VLOOKUP(Tablo4[[#This Row],[HAMMADDE KODU]],Tablo1[#All],3,0)</f>
        <v>LSR 45</v>
      </c>
      <c r="D4" s="140" t="str">
        <f>VLOOKUP(Tablo4[[#This Row],[HAMMADDE KODU]],Tablo1[#All],4,0)</f>
        <v>SETA</v>
      </c>
      <c r="E4" s="147">
        <f>SUMIF(Tablo2[ÜRÜN ADI],Tablo4[[#This Row],[ÜRÜN ADI]],Tablo2[ALINAN KG])</f>
        <v>17540</v>
      </c>
      <c r="F4" s="147">
        <f>SUMIF(Tablo3[ÜRÜN ADI],Tablo4[[#This Row],[ÜRÜN ADI]],Tablo3[TÜKETİLEN KG])</f>
        <v>10915.303099999999</v>
      </c>
      <c r="G4" s="147">
        <f>Tablo4[[#This Row],[ALINAN KG]]-Tablo4[[#This Row],[KULLANILAN KG]]</f>
        <v>6624.6969000000008</v>
      </c>
      <c r="H4" s="147" t="str">
        <f t="shared" si="0"/>
        <v>NORMAL</v>
      </c>
    </row>
    <row r="5" spans="1:8" ht="18.75" customHeight="1">
      <c r="A5" s="147" t="s">
        <v>369</v>
      </c>
      <c r="B5" s="140" t="str">
        <f>VLOOKUP(Tablo4[[#This Row],[HAMMADDE KODU]],Tablo1[#All],2,0)</f>
        <v>SİLİKON 50 SHOR</v>
      </c>
      <c r="C5" s="140" t="str">
        <f>VLOOKUP(Tablo4[[#This Row],[HAMMADDE KODU]],Tablo1[#All],3,0)</f>
        <v>LSR 50</v>
      </c>
      <c r="D5" s="140" t="str">
        <f>VLOOKUP(Tablo4[[#This Row],[HAMMADDE KODU]],Tablo1[#All],4,0)</f>
        <v>TERRA</v>
      </c>
      <c r="E5" s="147">
        <f>SUMIF(Tablo2[ÜRÜN ADI],Tablo4[[#This Row],[ÜRÜN ADI]],Tablo2[ALINAN KG])</f>
        <v>1040</v>
      </c>
      <c r="F5" s="147">
        <f>SUMIF(Tablo3[ÜRÜN ADI],Tablo4[[#This Row],[ÜRÜN ADI]],Tablo3[TÜKETİLEN KG])</f>
        <v>1305.1505000000002</v>
      </c>
      <c r="G5" s="147">
        <f>Tablo4[[#This Row],[ALINAN KG]]-Tablo4[[#This Row],[KULLANILAN KG]]</f>
        <v>-265.15050000000019</v>
      </c>
      <c r="H5" s="147" t="str">
        <f t="shared" si="0"/>
        <v>AZALDI</v>
      </c>
    </row>
    <row r="6" spans="1:8" ht="18.75" customHeight="1">
      <c r="A6" s="147" t="s">
        <v>373</v>
      </c>
      <c r="B6" s="140" t="str">
        <f>VLOOKUP(Tablo4[[#This Row],[HAMMADDE KODU]],Tablo1[#All],2,0)</f>
        <v>SİLİKON 70 SHOR</v>
      </c>
      <c r="C6" s="140" t="str">
        <f>VLOOKUP(Tablo4[[#This Row],[HAMMADDE KODU]],Tablo1[#All],3,0)</f>
        <v>LSR 70</v>
      </c>
      <c r="D6" s="140" t="str">
        <f>VLOOKUP(Tablo4[[#This Row],[HAMMADDE KODU]],Tablo1[#All],4,0)</f>
        <v>TERRA</v>
      </c>
      <c r="E6" s="147">
        <f>SUMIF(Tablo2[ÜRÜN ADI],Tablo4[[#This Row],[ÜRÜN ADI]],Tablo2[ALINAN KG])</f>
        <v>560</v>
      </c>
      <c r="F6" s="147">
        <f>SUMIF(Tablo3[ÜRÜN ADI],Tablo4[[#This Row],[ÜRÜN ADI]],Tablo3[TÜKETİLEN KG])</f>
        <v>774.7912</v>
      </c>
      <c r="G6" s="147">
        <f>Tablo4[[#This Row],[ALINAN KG]]-Tablo4[[#This Row],[KULLANILAN KG]]</f>
        <v>-214.7912</v>
      </c>
      <c r="H6" s="147" t="str">
        <f t="shared" si="0"/>
        <v>AZALDI</v>
      </c>
    </row>
    <row r="7" spans="1:8" ht="18.75" customHeight="1">
      <c r="A7" s="147" t="s">
        <v>376</v>
      </c>
      <c r="B7" s="140" t="str">
        <f>VLOOKUP(Tablo4[[#This Row],[HAMMADDE KODU]],Tablo1[#All],2,0)</f>
        <v>TRITAN</v>
      </c>
      <c r="C7" s="140" t="str">
        <f>VLOOKUP(Tablo4[[#This Row],[HAMMADDE KODU]],Tablo1[#All],3,0)</f>
        <v>TRITAN</v>
      </c>
      <c r="D7" s="140" t="str">
        <f>VLOOKUP(Tablo4[[#This Row],[HAMMADDE KODU]],Tablo1[#All],4,0)</f>
        <v>XXX</v>
      </c>
      <c r="E7" s="147">
        <f>SUMIF(Tablo2[ÜRÜN ADI],Tablo4[[#This Row],[ÜRÜN ADI]],Tablo2[ALINAN KG])</f>
        <v>2250</v>
      </c>
      <c r="F7" s="147">
        <f>SUMIF(Tablo3[ÜRÜN ADI],Tablo4[[#This Row],[ÜRÜN ADI]],Tablo3[TÜKETİLEN KG])</f>
        <v>1490.5685000000001</v>
      </c>
      <c r="G7" s="147">
        <f>Tablo4[[#This Row],[ALINAN KG]]-Tablo4[[#This Row],[KULLANILAN KG]]</f>
        <v>759.43149999999991</v>
      </c>
      <c r="H7" s="147" t="str">
        <f t="shared" si="0"/>
        <v>NORMAL</v>
      </c>
    </row>
    <row r="8" spans="1:8" ht="18.75" customHeight="1">
      <c r="A8" s="147" t="s">
        <v>379</v>
      </c>
      <c r="B8" s="140" t="str">
        <f>VLOOKUP(Tablo4[[#This Row],[HAMMADDE KODU]],Tablo1[#All],2,0)</f>
        <v>ABS</v>
      </c>
      <c r="C8" s="140" t="str">
        <f>VLOOKUP(Tablo4[[#This Row],[HAMMADDE KODU]],Tablo1[#All],3,0)</f>
        <v>ABS</v>
      </c>
      <c r="D8" s="140" t="str">
        <f>VLOOKUP(Tablo4[[#This Row],[HAMMADDE KODU]],Tablo1[#All],4,0)</f>
        <v>XXX</v>
      </c>
      <c r="E8" s="147">
        <f>SUMIF(Tablo2[ÜRÜN ADI],Tablo4[[#This Row],[ÜRÜN ADI]],Tablo2[ALINAN KG])</f>
        <v>125</v>
      </c>
      <c r="F8" s="147">
        <f>SUMIF(Tablo3[ÜRÜN ADI],Tablo4[[#This Row],[ÜRÜN ADI]],Tablo3[TÜKETİLEN KG])</f>
        <v>171.20170000000002</v>
      </c>
      <c r="G8" s="147">
        <f>Tablo4[[#This Row],[ALINAN KG]]-Tablo4[[#This Row],[KULLANILAN KG]]</f>
        <v>-46.201700000000017</v>
      </c>
      <c r="H8" s="147" t="str">
        <f t="shared" si="0"/>
        <v>AZALDI</v>
      </c>
    </row>
    <row r="9" spans="1:8" ht="18.75" customHeight="1">
      <c r="A9" s="147" t="s">
        <v>381</v>
      </c>
      <c r="B9" s="140" t="str">
        <f>VLOOKUP(Tablo4[[#This Row],[HAMMADDE KODU]],Tablo1[#All],2,0)</f>
        <v>SAN</v>
      </c>
      <c r="C9" s="140" t="str">
        <f>VLOOKUP(Tablo4[[#This Row],[HAMMADDE KODU]],Tablo1[#All],3,0)</f>
        <v>SAN</v>
      </c>
      <c r="D9" s="140" t="str">
        <f>VLOOKUP(Tablo4[[#This Row],[HAMMADDE KODU]],Tablo1[#All],4,0)</f>
        <v>XXX</v>
      </c>
      <c r="E9" s="147">
        <f>SUMIF(Tablo2[ÜRÜN ADI],Tablo4[[#This Row],[ÜRÜN ADI]],Tablo2[ALINAN KG])</f>
        <v>25</v>
      </c>
      <c r="F9" s="147">
        <f>SUMIF(Tablo3[ÜRÜN ADI],Tablo4[[#This Row],[ÜRÜN ADI]],Tablo3[TÜKETİLEN KG])</f>
        <v>0</v>
      </c>
      <c r="G9" s="147">
        <f>Tablo4[[#This Row],[ALINAN KG]]-Tablo4[[#This Row],[KULLANILAN KG]]</f>
        <v>25</v>
      </c>
      <c r="H9" s="147" t="str">
        <f t="shared" si="0"/>
        <v>AZALDI</v>
      </c>
    </row>
    <row r="10" spans="1:8" ht="18.75" customHeight="1">
      <c r="A10" s="147" t="s">
        <v>383</v>
      </c>
      <c r="B10" s="140" t="str">
        <f>VLOOKUP(Tablo4[[#This Row],[HAMMADDE KODU]],Tablo1[#All],2,0)</f>
        <v>T.P.E.</v>
      </c>
      <c r="C10" s="140" t="str">
        <f>VLOOKUP(Tablo4[[#This Row],[HAMMADDE KODU]],Tablo1[#All],3,0)</f>
        <v>T.P.E.</v>
      </c>
      <c r="D10" s="140" t="str">
        <f>VLOOKUP(Tablo4[[#This Row],[HAMMADDE KODU]],Tablo1[#All],4,0)</f>
        <v>ELASTRON KİMYA</v>
      </c>
      <c r="E10" s="147">
        <f>SUMIF(Tablo2[ÜRÜN ADI],Tablo4[[#This Row],[ÜRÜN ADI]],Tablo2[ALINAN KG])</f>
        <v>1030</v>
      </c>
      <c r="F10" s="147">
        <f>SUMIF(Tablo3[ÜRÜN ADI],Tablo4[[#This Row],[ÜRÜN ADI]],Tablo3[TÜKETİLEN KG])</f>
        <v>880.90760000000012</v>
      </c>
      <c r="G10" s="147">
        <f>Tablo4[[#This Row],[ALINAN KG]]-Tablo4[[#This Row],[KULLANILAN KG]]</f>
        <v>149.09239999999988</v>
      </c>
      <c r="H10" s="147" t="str">
        <f t="shared" si="0"/>
        <v>NORMAL</v>
      </c>
    </row>
    <row r="11" spans="1:8" ht="18.75" customHeight="1">
      <c r="A11" s="147" t="s">
        <v>114</v>
      </c>
      <c r="B11" s="140" t="str">
        <f>VLOOKUP(Tablo4[[#This Row],[HAMMADDE KODU]],Tablo1[#All],2,0)</f>
        <v>2.KALİTE P.P.</v>
      </c>
      <c r="C11" s="140" t="str">
        <f>VLOOKUP(Tablo4[[#This Row],[HAMMADDE KODU]],Tablo1[#All],3,0)</f>
        <v>KIRMA PP</v>
      </c>
      <c r="D11" s="140" t="str">
        <f>VLOOKUP(Tablo4[[#This Row],[HAMMADDE KODU]],Tablo1[#All],4,0)</f>
        <v>KIRMA</v>
      </c>
      <c r="E11" s="147">
        <f>SUMIF(Tablo2[ÜRÜN ADI],Tablo4[[#This Row],[ÜRÜN ADI]],Tablo2[ALINAN KG])</f>
        <v>184</v>
      </c>
      <c r="F11" s="147">
        <f>SUMIF(Tablo3[ÜRÜN ADI],Tablo4[[#This Row],[ÜRÜN ADI]],Tablo3[TÜKETİLEN KG])</f>
        <v>299.95979999999997</v>
      </c>
      <c r="G11" s="147">
        <f>Tablo4[[#This Row],[ALINAN KG]]-Tablo4[[#This Row],[KULLANILAN KG]]</f>
        <v>-115.95979999999997</v>
      </c>
      <c r="H11" s="147" t="str">
        <f t="shared" si="0"/>
        <v>AZALDI</v>
      </c>
    </row>
    <row r="12" spans="1:8" ht="18.75" customHeight="1">
      <c r="A12" s="147" t="s">
        <v>388</v>
      </c>
      <c r="B12" s="140" t="str">
        <f>VLOOKUP(Tablo4[[#This Row],[HAMMADDE KODU]],Tablo1[#All],2,0)</f>
        <v>2.KALİTE P.C.</v>
      </c>
      <c r="C12" s="140" t="str">
        <f>VLOOKUP(Tablo4[[#This Row],[HAMMADDE KODU]],Tablo1[#All],3,0)</f>
        <v>KIRMA PC</v>
      </c>
      <c r="D12" s="140" t="str">
        <f>VLOOKUP(Tablo4[[#This Row],[HAMMADDE KODU]],Tablo1[#All],4,0)</f>
        <v>KIRMA</v>
      </c>
      <c r="E12" s="147">
        <f>SUMIF(Tablo2[ÜRÜN ADI],Tablo4[[#This Row],[ÜRÜN ADI]],Tablo2[ALINAN KG])</f>
        <v>383</v>
      </c>
      <c r="F12" s="147">
        <f>SUMIF(Tablo3[ÜRÜN ADI],Tablo4[[#This Row],[ÜRÜN ADI]],Tablo3[TÜKETİLEN KG])</f>
        <v>694.31159999999988</v>
      </c>
      <c r="G12" s="147">
        <f>Tablo4[[#This Row],[ALINAN KG]]-Tablo4[[#This Row],[KULLANILAN KG]]</f>
        <v>-311.31159999999988</v>
      </c>
      <c r="H12" s="147" t="str">
        <f t="shared" si="0"/>
        <v>AZALDI</v>
      </c>
    </row>
    <row r="13" spans="1:8" ht="18.75" customHeight="1">
      <c r="A13" s="147" t="s">
        <v>141</v>
      </c>
      <c r="B13" s="140" t="str">
        <f>VLOOKUP(Tablo4[[#This Row],[HAMMADDE KODU]],Tablo1[#All],2,0)</f>
        <v>2.KALİTE TRITAN</v>
      </c>
      <c r="C13" s="140" t="str">
        <f>VLOOKUP(Tablo4[[#This Row],[HAMMADDE KODU]],Tablo1[#All],3,0)</f>
        <v>KIRMA TRITAN</v>
      </c>
      <c r="D13" s="140" t="str">
        <f>VLOOKUP(Tablo4[[#This Row],[HAMMADDE KODU]],Tablo1[#All],4,0)</f>
        <v>KIRMA</v>
      </c>
      <c r="E13" s="147">
        <f>SUMIF(Tablo2[ÜRÜN ADI],Tablo4[[#This Row],[ÜRÜN ADI]],Tablo2[ALINAN KG])</f>
        <v>245</v>
      </c>
      <c r="F13" s="147">
        <f>SUMIF(Tablo3[ÜRÜN ADI],Tablo4[[#This Row],[ÜRÜN ADI]],Tablo3[TÜKETİLEN KG])</f>
        <v>136.72569999999999</v>
      </c>
      <c r="G13" s="147">
        <f>Tablo4[[#This Row],[ALINAN KG]]-Tablo4[[#This Row],[KULLANILAN KG]]</f>
        <v>108.27430000000001</v>
      </c>
      <c r="H13" s="147" t="str">
        <f t="shared" si="0"/>
        <v>NORMAL</v>
      </c>
    </row>
    <row r="14" spans="1:8" ht="18.75" customHeight="1">
      <c r="A14" s="147" t="s">
        <v>393</v>
      </c>
      <c r="B14" s="140" t="str">
        <f>VLOOKUP(Tablo4[[#This Row],[HAMMADDE KODU]],Tablo1[#All],2,0)</f>
        <v>2.KALİTE ABS</v>
      </c>
      <c r="C14" s="140" t="str">
        <f>VLOOKUP(Tablo4[[#This Row],[HAMMADDE KODU]],Tablo1[#All],3,0)</f>
        <v>KIRMA ABS</v>
      </c>
      <c r="D14" s="140" t="str">
        <f>VLOOKUP(Tablo4[[#This Row],[HAMMADDE KODU]],Tablo1[#All],4,0)</f>
        <v>KIRMA</v>
      </c>
      <c r="E14" s="147">
        <f>SUMIF(Tablo2[ÜRÜN ADI],Tablo4[[#This Row],[ÜRÜN ADI]],Tablo2[ALINAN KG])</f>
        <v>0</v>
      </c>
      <c r="F14" s="147">
        <f>SUMIF(Tablo3[ÜRÜN ADI],Tablo4[[#This Row],[ÜRÜN ADI]],Tablo3[TÜKETİLEN KG])</f>
        <v>0</v>
      </c>
      <c r="G14" s="147">
        <f>Tablo4[[#This Row],[ALINAN KG]]-Tablo4[[#This Row],[KULLANILAN KG]]</f>
        <v>0</v>
      </c>
      <c r="H14" s="147" t="str">
        <f t="shared" si="0"/>
        <v>AZALDI</v>
      </c>
    </row>
    <row r="15" spans="1:8" ht="18.75" customHeight="1">
      <c r="A15" s="147" t="s">
        <v>396</v>
      </c>
      <c r="B15" s="140" t="str">
        <f>VLOOKUP(Tablo4[[#This Row],[HAMMADDE KODU]],Tablo1[#All],2,0)</f>
        <v>2.KALİTE SAN</v>
      </c>
      <c r="C15" s="140" t="str">
        <f>VLOOKUP(Tablo4[[#This Row],[HAMMADDE KODU]],Tablo1[#All],3,0)</f>
        <v xml:space="preserve">KIRMA SAN </v>
      </c>
      <c r="D15" s="140" t="str">
        <f>VLOOKUP(Tablo4[[#This Row],[HAMMADDE KODU]],Tablo1[#All],4,0)</f>
        <v>KIRMA</v>
      </c>
      <c r="E15" s="147">
        <f>SUMIF(Tablo2[ÜRÜN ADI],Tablo4[[#This Row],[ÜRÜN ADI]],Tablo2[ALINAN KG])</f>
        <v>0</v>
      </c>
      <c r="F15" s="147">
        <f>SUMIF(Tablo3[ÜRÜN ADI],Tablo4[[#This Row],[ÜRÜN ADI]],Tablo3[TÜKETİLEN KG])</f>
        <v>0</v>
      </c>
      <c r="G15" s="147">
        <f>Tablo4[[#This Row],[ALINAN KG]]-Tablo4[[#This Row],[KULLANILAN KG]]</f>
        <v>0</v>
      </c>
      <c r="H15" s="147" t="str">
        <f t="shared" si="0"/>
        <v>AZALDI</v>
      </c>
    </row>
    <row r="16" spans="1:8" ht="18.75" customHeight="1">
      <c r="A16" s="147" t="s">
        <v>399</v>
      </c>
      <c r="B16" s="140" t="str">
        <f>VLOOKUP(Tablo4[[#This Row],[HAMMADDE KODU]],Tablo1[#All],2,0)</f>
        <v>2.KALİTE T.P.E.</v>
      </c>
      <c r="C16" s="140" t="str">
        <f>VLOOKUP(Tablo4[[#This Row],[HAMMADDE KODU]],Tablo1[#All],3,0)</f>
        <v>KIRMA TPE</v>
      </c>
      <c r="D16" s="140" t="str">
        <f>VLOOKUP(Tablo4[[#This Row],[HAMMADDE KODU]],Tablo1[#All],4,0)</f>
        <v>KIRMA</v>
      </c>
      <c r="E16" s="147">
        <f>SUMIF(Tablo2[ÜRÜN ADI],Tablo4[[#This Row],[ÜRÜN ADI]],Tablo2[ALINAN KG])</f>
        <v>23.5</v>
      </c>
      <c r="F16" s="147">
        <f>SUMIF(Tablo3[ÜRÜN ADI],Tablo4[[#This Row],[ÜRÜN ADI]],Tablo3[TÜKETİLEN KG])</f>
        <v>0</v>
      </c>
      <c r="G16" s="147">
        <f>Tablo4[[#This Row],[ALINAN KG]]-Tablo4[[#This Row],[KULLANILAN KG]]</f>
        <v>23.5</v>
      </c>
      <c r="H16" s="147" t="str">
        <f t="shared" si="0"/>
        <v>AZALDI</v>
      </c>
    </row>
    <row r="17" spans="1:8">
      <c r="A17" s="148" t="s">
        <v>38</v>
      </c>
      <c r="B17" s="108" t="str">
        <f>VLOOKUP(Tablo4[[#This Row],[HAMMADDE KODU]],Tablo1[#All],2,0)</f>
        <v>SİLİKON 52 SHOR</v>
      </c>
      <c r="C17" s="108" t="str">
        <f>VLOOKUP(Tablo4[[#This Row],[HAMMADDE KODU]],Tablo1[#All],3,0)</f>
        <v>LSR 50</v>
      </c>
      <c r="D17" s="108" t="str">
        <f>VLOOKUP(Tablo4[[#This Row],[HAMMADDE KODU]],Tablo1[#All],4,0)</f>
        <v>KCC</v>
      </c>
      <c r="E17" s="148">
        <f>SUMIF(Tablo2[ÜRÜN ADI],Tablo4[[#This Row],[ÜRÜN ADI]],Tablo2[ALINAN KG])</f>
        <v>1600</v>
      </c>
      <c r="F17" s="148">
        <f>SUMIF(Tablo3[ÜRÜN ADI],Tablo4[[#This Row],[ÜRÜN ADI]],Tablo3[TÜKETİLEN KG])</f>
        <v>1637.2471999999998</v>
      </c>
      <c r="G17" s="148">
        <f>Tablo4[[#This Row],[ALINAN KG]]-Tablo4[[#This Row],[KULLANILAN KG]]</f>
        <v>-37.247199999999793</v>
      </c>
      <c r="H17" s="147" t="str">
        <f t="shared" si="0"/>
        <v>AZALDI</v>
      </c>
    </row>
    <row r="33" spans="2:8">
      <c r="B33" s="108"/>
      <c r="C33" s="108"/>
      <c r="D33" s="108"/>
      <c r="E33" s="148"/>
      <c r="F33" s="148"/>
      <c r="G33" s="148"/>
      <c r="H33" s="148"/>
    </row>
  </sheetData>
  <conditionalFormatting sqref="H1:H1048576">
    <cfRule type="iconSet" priority="3">
      <iconSet>
        <cfvo type="percent" val="0"/>
        <cfvo type="num" val="50"/>
        <cfvo type="num" val="200"/>
      </iconSet>
    </cfRule>
    <cfRule type="iconSet" priority="5">
      <iconSet iconSet="3Arrows">
        <cfvo type="percent" val="0"/>
        <cfvo type="percent" val="33"/>
        <cfvo type="percent" val="67"/>
      </iconSet>
    </cfRule>
  </conditionalFormatting>
  <conditionalFormatting sqref="H2:H17">
    <cfRule type="cellIs" dxfId="58" priority="2" operator="equal">
      <formula>"AZALDI"</formula>
    </cfRule>
    <cfRule type="cellIs" dxfId="57" priority="1" operator="equal">
      <formula>"NORMAL"</formula>
    </cfRule>
  </conditionalFormatting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>
  <sheetPr codeName="Sayfa14"/>
  <dimension ref="A1:E37"/>
  <sheetViews>
    <sheetView workbookViewId="0">
      <pane ySplit="1" topLeftCell="A5" activePane="bottomLeft" state="frozen"/>
      <selection activeCell="F19" sqref="F19"/>
      <selection pane="bottomLeft" activeCell="A19" sqref="A19:E19"/>
    </sheetView>
  </sheetViews>
  <sheetFormatPr defaultRowHeight="15"/>
  <cols>
    <col min="1" max="1" width="21.5703125" style="55" bestFit="1" customWidth="1"/>
    <col min="2" max="2" width="19.5703125" style="55" customWidth="1"/>
    <col min="3" max="3" width="10.140625" style="57" bestFit="1" customWidth="1"/>
    <col min="4" max="4" width="15.7109375" style="46" customWidth="1"/>
    <col min="5" max="5" width="11.42578125" style="57" bestFit="1" customWidth="1"/>
    <col min="6" max="16384" width="9.140625" style="46"/>
  </cols>
  <sheetData>
    <row r="1" spans="1:5" ht="39" customHeight="1">
      <c r="A1" s="51" t="s">
        <v>9</v>
      </c>
      <c r="B1" s="51" t="s">
        <v>358</v>
      </c>
      <c r="C1" s="54" t="s">
        <v>10</v>
      </c>
      <c r="D1" s="53" t="s">
        <v>409</v>
      </c>
      <c r="E1" s="54" t="s">
        <v>2</v>
      </c>
    </row>
    <row r="2" spans="1:5">
      <c r="A2" s="108" t="s">
        <v>410</v>
      </c>
      <c r="B2" s="108" t="str">
        <f>IFERROR(VLOOKUP(Tablo211[[#This Row],[BOYA KODU]],Tablo14[#All],2,0)," ")</f>
        <v>2D KİMYA</v>
      </c>
      <c r="C2" s="100" t="str">
        <f>IFERROR(VLOOKUP(Tablo211[[#This Row],[BOYA KODU]],Tablo14[#All],4,0)," ")</f>
        <v>BEYAZ</v>
      </c>
      <c r="D2" s="100">
        <v>36700</v>
      </c>
      <c r="E2" s="143">
        <v>43831</v>
      </c>
    </row>
    <row r="3" spans="1:5">
      <c r="A3" s="108">
        <v>1290</v>
      </c>
      <c r="B3" s="108" t="str">
        <f>IFERROR(VLOOKUP(Tablo211[[#This Row],[BOYA KODU]],Tablo14[#All],2,0)," ")</f>
        <v>2D KİMYA</v>
      </c>
      <c r="C3" s="100" t="str">
        <f>IFERROR(VLOOKUP(Tablo211[[#This Row],[BOYA KODU]],Tablo14[#All],4,0)," ")</f>
        <v>SARI</v>
      </c>
      <c r="D3" s="100">
        <v>2300</v>
      </c>
      <c r="E3" s="143">
        <v>43831</v>
      </c>
    </row>
    <row r="4" spans="1:5">
      <c r="A4" s="108">
        <v>6192</v>
      </c>
      <c r="B4" s="108" t="str">
        <f>IFERROR(VLOOKUP(Tablo211[[#This Row],[BOYA KODU]],Tablo14[#All],2,0)," ")</f>
        <v>2D KİMYA</v>
      </c>
      <c r="C4" s="100" t="str">
        <f>IFERROR(VLOOKUP(Tablo211[[#This Row],[BOYA KODU]],Tablo14[#All],4,0)," ")</f>
        <v>YEŞİL</v>
      </c>
      <c r="D4" s="100">
        <v>2500</v>
      </c>
      <c r="E4" s="143">
        <v>43831</v>
      </c>
    </row>
    <row r="5" spans="1:5">
      <c r="A5" s="108">
        <v>3409</v>
      </c>
      <c r="B5" s="108" t="str">
        <f>IFERROR(VLOOKUP(Tablo211[[#This Row],[BOYA KODU]],Tablo14[#All],2,0)," ")</f>
        <v>2D KİMYA</v>
      </c>
      <c r="C5" s="100" t="str">
        <f>IFERROR(VLOOKUP(Tablo211[[#This Row],[BOYA KODU]],Tablo14[#All],4,0)," ")</f>
        <v>PEMBE</v>
      </c>
      <c r="D5" s="100">
        <v>2400</v>
      </c>
      <c r="E5" s="143">
        <v>43831</v>
      </c>
    </row>
    <row r="6" spans="1:5">
      <c r="A6" s="108">
        <v>5287</v>
      </c>
      <c r="B6" s="108" t="str">
        <f>IFERROR(VLOOKUP(Tablo211[[#This Row],[BOYA KODU]],Tablo14[#All],2,0)," ")</f>
        <v>2D KİMYA</v>
      </c>
      <c r="C6" s="100" t="str">
        <f>IFERROR(VLOOKUP(Tablo211[[#This Row],[BOYA KODU]],Tablo14[#All],4,0)," ")</f>
        <v>MAVİ</v>
      </c>
      <c r="D6" s="100">
        <v>7100</v>
      </c>
      <c r="E6" s="143">
        <v>43831</v>
      </c>
    </row>
    <row r="7" spans="1:5">
      <c r="A7" s="108">
        <v>4090</v>
      </c>
      <c r="B7" s="108" t="str">
        <f>IFERROR(VLOOKUP(Tablo211[[#This Row],[BOYA KODU]],Tablo14[#All],2,0)," ")</f>
        <v>2D KİMYA</v>
      </c>
      <c r="C7" s="100" t="str">
        <f>IFERROR(VLOOKUP(Tablo211[[#This Row],[BOYA KODU]],Tablo14[#All],4,0)," ")</f>
        <v>LİLA</v>
      </c>
      <c r="D7" s="100">
        <v>300</v>
      </c>
      <c r="E7" s="143">
        <v>43831</v>
      </c>
    </row>
    <row r="8" spans="1:5">
      <c r="A8" s="108">
        <v>3041</v>
      </c>
      <c r="B8" s="108" t="str">
        <f>IFERROR(VLOOKUP(Tablo211[[#This Row],[BOYA KODU]],Tablo14[#All],2,0)," ")</f>
        <v>2D KİMYA</v>
      </c>
      <c r="C8" s="100" t="str">
        <f>IFERROR(VLOOKUP(Tablo211[[#This Row],[BOYA KODU]],Tablo14[#All],4,0)," ")</f>
        <v>KIRMIZI</v>
      </c>
      <c r="D8" s="100">
        <v>3000</v>
      </c>
      <c r="E8" s="143">
        <v>43831</v>
      </c>
    </row>
    <row r="9" spans="1:5">
      <c r="A9" s="108" t="s">
        <v>411</v>
      </c>
      <c r="B9" s="108" t="str">
        <f>IFERROR(VLOOKUP(Tablo211[[#This Row],[BOYA KODU]],Tablo14[#All],2,0)," ")</f>
        <v>2D KİMYA</v>
      </c>
      <c r="C9" s="100" t="str">
        <f>IFERROR(VLOOKUP(Tablo211[[#This Row],[BOYA KODU]],Tablo14[#All],4,0)," ")</f>
        <v>LİLA</v>
      </c>
      <c r="D9" s="100">
        <v>3300</v>
      </c>
      <c r="E9" s="143">
        <v>43831</v>
      </c>
    </row>
    <row r="10" spans="1:5">
      <c r="A10" s="108">
        <v>1289</v>
      </c>
      <c r="B10" s="108" t="str">
        <f>IFERROR(VLOOKUP(Tablo211[[#This Row],[BOYA KODU]],Tablo14[#All],2,0)," ")</f>
        <v>2D KİMYA</v>
      </c>
      <c r="C10" s="100" t="str">
        <f>IFERROR(VLOOKUP(Tablo211[[#This Row],[BOYA KODU]],Tablo14[#All],4,0)," ")</f>
        <v>SARI</v>
      </c>
      <c r="D10" s="100">
        <v>2800</v>
      </c>
      <c r="E10" s="143">
        <v>43831</v>
      </c>
    </row>
    <row r="11" spans="1:5">
      <c r="A11" s="108">
        <v>3408</v>
      </c>
      <c r="B11" s="108" t="str">
        <f>IFERROR(VLOOKUP(Tablo211[[#This Row],[BOYA KODU]],Tablo14[#All],2,0)," ")</f>
        <v>2D KİMYA</v>
      </c>
      <c r="C11" s="100" t="str">
        <f>IFERROR(VLOOKUP(Tablo211[[#This Row],[BOYA KODU]],Tablo14[#All],4,0)," ")</f>
        <v>PEMBE</v>
      </c>
      <c r="D11" s="100">
        <v>8800</v>
      </c>
      <c r="E11" s="143">
        <v>43831</v>
      </c>
    </row>
    <row r="12" spans="1:5">
      <c r="A12" s="108" t="s">
        <v>412</v>
      </c>
      <c r="B12" s="108" t="str">
        <f>IFERROR(VLOOKUP(Tablo211[[#This Row],[BOYA KODU]],Tablo14[#All],2,0)," ")</f>
        <v>2D KİMYA</v>
      </c>
      <c r="C12" s="100" t="str">
        <f>IFERROR(VLOOKUP(Tablo211[[#This Row],[BOYA KODU]],Tablo14[#All],4,0)," ")</f>
        <v>MAVİ</v>
      </c>
      <c r="D12" s="100">
        <v>900</v>
      </c>
      <c r="E12" s="143">
        <v>43831</v>
      </c>
    </row>
    <row r="13" spans="1:5">
      <c r="A13" s="108">
        <v>4089</v>
      </c>
      <c r="B13" s="108" t="str">
        <f>IFERROR(VLOOKUP(Tablo211[[#This Row],[BOYA KODU]],Tablo14[#All],2,0)," ")</f>
        <v>2D KİMYA</v>
      </c>
      <c r="C13" s="100" t="str">
        <f>IFERROR(VLOOKUP(Tablo211[[#This Row],[BOYA KODU]],Tablo14[#All],4,0)," ")</f>
        <v>LİLA</v>
      </c>
      <c r="D13" s="100">
        <v>2300</v>
      </c>
      <c r="E13" s="143">
        <v>43831</v>
      </c>
    </row>
    <row r="14" spans="1:5">
      <c r="A14" s="108" t="s">
        <v>413</v>
      </c>
      <c r="B14" s="108" t="str">
        <f>IFERROR(VLOOKUP(Tablo211[[#This Row],[BOYA KODU]],Tablo14[#All],2,0)," ")</f>
        <v>2D KİMYA</v>
      </c>
      <c r="C14" s="100" t="str">
        <f>IFERROR(VLOOKUP(Tablo211[[#This Row],[BOYA KODU]],Tablo14[#All],4,0)," ")</f>
        <v>KIRMIZI</v>
      </c>
      <c r="D14" s="100">
        <v>6000</v>
      </c>
      <c r="E14" s="143">
        <v>43831</v>
      </c>
    </row>
    <row r="15" spans="1:5">
      <c r="A15" s="108">
        <v>3332</v>
      </c>
      <c r="B15" s="108" t="str">
        <f>IFERROR(VLOOKUP(Tablo211[[#This Row],[BOYA KODU]],Tablo14[#All],2,0)," ")</f>
        <v>2D KİMYA</v>
      </c>
      <c r="C15" s="100" t="str">
        <f>IFERROR(VLOOKUP(Tablo211[[#This Row],[BOYA KODU]],Tablo14[#All],4,0)," ")</f>
        <v>E.PEMBE</v>
      </c>
      <c r="D15" s="100">
        <v>2700</v>
      </c>
      <c r="E15" s="143">
        <v>43831</v>
      </c>
    </row>
    <row r="16" spans="1:5">
      <c r="A16" s="108">
        <v>1045</v>
      </c>
      <c r="B16" s="108" t="str">
        <f>IFERROR(VLOOKUP(Tablo211[[#This Row],[BOYA KODU]],Tablo14[#All],2,0)," ")</f>
        <v>2D KİMYA</v>
      </c>
      <c r="C16" s="100" t="str">
        <f>IFERROR(VLOOKUP(Tablo211[[#This Row],[BOYA KODU]],Tablo14[#All],4,0)," ")</f>
        <v>T.SARI</v>
      </c>
      <c r="D16" s="100">
        <v>3500</v>
      </c>
      <c r="E16" s="143">
        <v>43831</v>
      </c>
    </row>
    <row r="17" spans="1:5">
      <c r="A17" s="108" t="s">
        <v>414</v>
      </c>
      <c r="B17" s="108" t="str">
        <f>IFERROR(VLOOKUP(Tablo211[[#This Row],[BOYA KODU]],Tablo14[#All],2,0)," ")</f>
        <v>polytrend</v>
      </c>
      <c r="C17" s="100" t="str">
        <f>IFERROR(VLOOKUP(Tablo211[[#This Row],[BOYA KODU]],Tablo14[#All],4,0)," ")</f>
        <v>T.YEŞİL</v>
      </c>
      <c r="D17" s="100">
        <v>3500</v>
      </c>
      <c r="E17" s="143">
        <v>43831</v>
      </c>
    </row>
    <row r="18" spans="1:5">
      <c r="A18" s="108" t="s">
        <v>415</v>
      </c>
      <c r="B18" s="108" t="str">
        <f>IFERROR(VLOOKUP(Tablo211[[#This Row],[BOYA KODU]],Tablo14[#All],2,0)," ")</f>
        <v>polytrend</v>
      </c>
      <c r="C18" s="100" t="str">
        <f>IFERROR(VLOOKUP(Tablo211[[#This Row],[BOYA KODU]],Tablo14[#All],4,0)," ")</f>
        <v>T.PEMBE</v>
      </c>
      <c r="D18" s="100">
        <v>3000</v>
      </c>
      <c r="E18" s="143">
        <v>43831</v>
      </c>
    </row>
    <row r="19" spans="1:5">
      <c r="A19" s="108" t="s">
        <v>416</v>
      </c>
      <c r="B19" s="108" t="str">
        <f>IFERROR(VLOOKUP(Tablo211[[#This Row],[BOYA KODU]],Tablo14[#All],2,0)," ")</f>
        <v>2D KİMYA</v>
      </c>
      <c r="C19" s="100" t="str">
        <f>IFERROR(VLOOKUP(Tablo211[[#This Row],[BOYA KODU]],Tablo14[#All],4,0)," ")</f>
        <v>T.MAVİ</v>
      </c>
      <c r="D19" s="100">
        <v>800</v>
      </c>
      <c r="E19" s="143">
        <v>43831</v>
      </c>
    </row>
    <row r="20" spans="1:5">
      <c r="A20" s="108" t="s">
        <v>417</v>
      </c>
      <c r="B20" s="108" t="str">
        <f>IFERROR(VLOOKUP(Tablo211[[#This Row],[BOYA KODU]],Tablo14[#All],2,0)," ")</f>
        <v>polytrend</v>
      </c>
      <c r="C20" s="100" t="str">
        <f>IFERROR(VLOOKUP(Tablo211[[#This Row],[BOYA KODU]],Tablo14[#All],4,0)," ")</f>
        <v>T.VİOLET</v>
      </c>
      <c r="D20" s="100">
        <v>7300</v>
      </c>
      <c r="E20" s="143">
        <v>43831</v>
      </c>
    </row>
    <row r="21" spans="1:5">
      <c r="A21" s="108">
        <v>3014</v>
      </c>
      <c r="B21" s="108" t="str">
        <f>IFERROR(VLOOKUP(Tablo211[[#This Row],[BOYA KODU]],Tablo14[#All],2,0)," ")</f>
        <v>2D KİMYA</v>
      </c>
      <c r="C21" s="100" t="str">
        <f>IFERROR(VLOOKUP(Tablo211[[#This Row],[BOYA KODU]],Tablo14[#All],4,0)," ")</f>
        <v>T.KIRMIZI</v>
      </c>
      <c r="D21" s="100">
        <v>3800</v>
      </c>
      <c r="E21" s="143">
        <v>43831</v>
      </c>
    </row>
    <row r="22" spans="1:5">
      <c r="A22" s="108" t="s">
        <v>418</v>
      </c>
      <c r="B22" s="108" t="str">
        <f>IFERROR(VLOOKUP(Tablo211[[#This Row],[BOYA KODU]],Tablo14[#All],2,0)," ")</f>
        <v>polytrend</v>
      </c>
      <c r="C22" s="100" t="str">
        <f>IFERROR(VLOOKUP(Tablo211[[#This Row],[BOYA KODU]],Tablo14[#All],4,0)," ")</f>
        <v>T.ORANJ</v>
      </c>
      <c r="D22" s="100">
        <v>8000</v>
      </c>
      <c r="E22" s="143">
        <v>43831</v>
      </c>
    </row>
    <row r="23" spans="1:5">
      <c r="A23" s="108" t="s">
        <v>419</v>
      </c>
      <c r="B23" s="108" t="str">
        <f>IFERROR(VLOOKUP(Tablo211[[#This Row],[BOYA KODU]],Tablo14[#All],2,0)," ")</f>
        <v>GO-CHEM</v>
      </c>
      <c r="C23" s="100" t="str">
        <f>IFERROR(VLOOKUP(Tablo211[[#This Row],[BOYA KODU]],Tablo14[#All],4,0)," ")</f>
        <v>T.PEMBE</v>
      </c>
      <c r="D23" s="100">
        <v>16000</v>
      </c>
      <c r="E23" s="143">
        <v>43831</v>
      </c>
    </row>
    <row r="24" spans="1:5">
      <c r="A24" s="108" t="s">
        <v>420</v>
      </c>
      <c r="B24" s="108" t="str">
        <f>IFERROR(VLOOKUP(Tablo211[[#This Row],[BOYA KODU]],Tablo14[#All],2,0)," ")</f>
        <v>GO-CHEM</v>
      </c>
      <c r="C24" s="100" t="str">
        <f>IFERROR(VLOOKUP(Tablo211[[#This Row],[BOYA KODU]],Tablo14[#All],4,0)," ")</f>
        <v>T.MAVİ</v>
      </c>
      <c r="D24" s="100">
        <v>14800</v>
      </c>
      <c r="E24" s="143">
        <v>43831</v>
      </c>
    </row>
    <row r="25" spans="1:5">
      <c r="A25" s="108" t="s">
        <v>421</v>
      </c>
      <c r="B25" s="108" t="str">
        <f>IFERROR(VLOOKUP(Tablo211[[#This Row],[BOYA KODU]],Tablo14[#All],2,0)," ")</f>
        <v>2D KİMYA</v>
      </c>
      <c r="C25" s="100" t="str">
        <f>IFERROR(VLOOKUP(Tablo211[[#This Row],[BOYA KODU]],Tablo14[#All],4,0)," ")</f>
        <v>T.VİOLET</v>
      </c>
      <c r="D25" s="100">
        <v>3000</v>
      </c>
      <c r="E25" s="143">
        <v>43831</v>
      </c>
    </row>
    <row r="26" spans="1:5">
      <c r="A26" s="108" t="s">
        <v>422</v>
      </c>
      <c r="B26" s="108" t="str">
        <f>IFERROR(VLOOKUP(Tablo211[[#This Row],[BOYA KODU]],Tablo14[#All],2,0)," ")</f>
        <v>GO-CHEM</v>
      </c>
      <c r="C26" s="100" t="str">
        <f>IFERROR(VLOOKUP(Tablo211[[#This Row],[BOYA KODU]],Tablo14[#All],4,0)," ")</f>
        <v>ORANJ</v>
      </c>
      <c r="D26" s="100">
        <v>3000</v>
      </c>
      <c r="E26" s="143">
        <v>43831</v>
      </c>
    </row>
    <row r="27" spans="1:5">
      <c r="A27" s="140" t="s">
        <v>412</v>
      </c>
      <c r="B27" s="108" t="str">
        <f>IFERROR(VLOOKUP(Tablo211[[#This Row],[BOYA KODU]],Tablo14[#All],2,0)," ")</f>
        <v>2D KİMYA</v>
      </c>
      <c r="C27" s="100" t="str">
        <f>IFERROR(VLOOKUP(Tablo211[[#This Row],[BOYA KODU]],Tablo14[#All],4,0)," ")</f>
        <v>MAVİ</v>
      </c>
      <c r="D27" s="142">
        <v>4800</v>
      </c>
      <c r="E27" s="143">
        <v>43881</v>
      </c>
    </row>
    <row r="28" spans="1:5">
      <c r="A28" s="108" t="s">
        <v>423</v>
      </c>
      <c r="B28" s="108" t="str">
        <f>IFERROR(VLOOKUP(Tablo211[[#This Row],[BOYA KODU]],Tablo14[#All],2,0)," ")</f>
        <v>TAYF</v>
      </c>
      <c r="C28" s="100" t="str">
        <f>IFERROR(VLOOKUP(Tablo211[[#This Row],[BOYA KODU]],Tablo14[#All],4,0)," ")</f>
        <v>MAVİ</v>
      </c>
      <c r="D28" s="100">
        <v>1000</v>
      </c>
      <c r="E28" s="99">
        <v>43915</v>
      </c>
    </row>
    <row r="29" spans="1:5">
      <c r="A29" s="149" t="s">
        <v>424</v>
      </c>
      <c r="B29" s="149" t="s">
        <v>425</v>
      </c>
      <c r="C29" s="150" t="s">
        <v>426</v>
      </c>
      <c r="D29" s="151">
        <v>640</v>
      </c>
      <c r="E29" s="150">
        <v>43902</v>
      </c>
    </row>
    <row r="30" spans="1:5">
      <c r="A30" s="112" t="s">
        <v>427</v>
      </c>
      <c r="B30" s="149" t="s">
        <v>425</v>
      </c>
      <c r="C30" s="113" t="s">
        <v>428</v>
      </c>
      <c r="D30" s="111">
        <v>640</v>
      </c>
      <c r="E30" s="150">
        <v>43902</v>
      </c>
    </row>
    <row r="31" spans="1:5">
      <c r="A31" s="112" t="s">
        <v>429</v>
      </c>
      <c r="B31" s="112" t="s">
        <v>430</v>
      </c>
      <c r="C31" s="113" t="s">
        <v>431</v>
      </c>
      <c r="D31" s="111">
        <v>1000</v>
      </c>
      <c r="E31" s="113">
        <v>43988</v>
      </c>
    </row>
    <row r="32" spans="1:5">
      <c r="A32" s="149">
        <v>3409</v>
      </c>
      <c r="B32" s="149" t="str">
        <f>IFERROR(VLOOKUP(Tablo211[[#This Row],[BOYA KODU]],Tablo14[#All],2,0)," ")</f>
        <v>2D KİMYA</v>
      </c>
      <c r="C32" s="150" t="str">
        <f>IFERROR(VLOOKUP(Tablo211[[#This Row],[BOYA KODU]],Tablo14[#All],4,0)," ")</f>
        <v>PEMBE</v>
      </c>
      <c r="D32" s="151">
        <v>5000</v>
      </c>
      <c r="E32" s="150">
        <v>44070</v>
      </c>
    </row>
    <row r="33" spans="1:5">
      <c r="A33" s="149" t="s">
        <v>412</v>
      </c>
      <c r="B33" s="149" t="str">
        <f>IFERROR(VLOOKUP(Tablo211[[#This Row],[BOYA KODU]],Tablo14[#All],2,0)," ")</f>
        <v>2D KİMYA</v>
      </c>
      <c r="C33" s="150" t="str">
        <f>IFERROR(VLOOKUP(Tablo211[[#This Row],[BOYA KODU]],Tablo14[#All],4,0)," ")</f>
        <v>MAVİ</v>
      </c>
      <c r="D33" s="151">
        <v>5000</v>
      </c>
      <c r="E33" s="150">
        <v>44070</v>
      </c>
    </row>
    <row r="34" spans="1:5">
      <c r="A34" s="149">
        <v>4089</v>
      </c>
      <c r="B34" s="149" t="str">
        <f>IFERROR(VLOOKUP(Tablo211[[#This Row],[BOYA KODU]],Tablo14[#All],2,0)," ")</f>
        <v>2D KİMYA</v>
      </c>
      <c r="C34" s="150" t="str">
        <f>IFERROR(VLOOKUP(Tablo211[[#This Row],[BOYA KODU]],Tablo14[#All],4,0)," ")</f>
        <v>LİLA</v>
      </c>
      <c r="D34" s="151">
        <v>5000</v>
      </c>
      <c r="E34" s="150">
        <v>44070</v>
      </c>
    </row>
    <row r="35" spans="1:5">
      <c r="A35" s="149">
        <v>4090</v>
      </c>
      <c r="B35" s="149" t="str">
        <f>IFERROR(VLOOKUP(Tablo211[[#This Row],[BOYA KODU]],Tablo14[#All],2,0)," ")</f>
        <v>2D KİMYA</v>
      </c>
      <c r="C35" s="113" t="str">
        <f>IFERROR(VLOOKUP(Tablo211[[#This Row],[BOYA KODU]],Tablo14[#All],4,0)," ")</f>
        <v>LİLA</v>
      </c>
      <c r="D35" s="151">
        <v>5000</v>
      </c>
      <c r="E35" s="150">
        <v>44070</v>
      </c>
    </row>
    <row r="36" spans="1:5">
      <c r="A36" s="112">
        <v>16640</v>
      </c>
      <c r="B36" s="112" t="str">
        <f>IFERROR(VLOOKUP(Tablo211[[#This Row],[BOYA KODU]],Tablo14[#All],2,0)," ")</f>
        <v>AYDIN BOYA</v>
      </c>
      <c r="C36" s="113" t="str">
        <f>IFERROR(VLOOKUP(Tablo211[[#This Row],[BOYA KODU]],Tablo14[#All],4,0)," ")</f>
        <v>TURUNCU</v>
      </c>
      <c r="D36" s="111">
        <v>1000</v>
      </c>
      <c r="E36" s="113">
        <v>44111</v>
      </c>
    </row>
    <row r="37" spans="1:5">
      <c r="A37" s="112"/>
      <c r="B37" s="112" t="str">
        <f>IFERROR(VLOOKUP(Tablo211[[#This Row],[BOYA KODU]],Tablo14[#All],2,0)," ")</f>
        <v xml:space="preserve"> </v>
      </c>
      <c r="C37" s="113" t="str">
        <f>IFERROR(VLOOKUP(Tablo211[[#This Row],[BOYA KODU]],Tablo14[#All],4,0)," ")</f>
        <v xml:space="preserve"> </v>
      </c>
      <c r="D37" s="111"/>
      <c r="E37" s="113"/>
    </row>
  </sheetData>
  <sheetProtection password="CC17" sheet="1" objects="1" scenarios="1"/>
  <protectedRanges>
    <protectedRange password="CC09" sqref="A1:A1048576 D1:E1048576" name="Girişler"/>
  </protectedRanges>
  <pageMargins left="0.7" right="0.7" top="0.75" bottom="0.75" header="0.3" footer="0.3"/>
  <pageSetup paperSize="9" orientation="portrait" verticalDpi="0" r:id="rId1"/>
  <ignoredErrors>
    <ignoredError sqref="B29:C29" calculatedColumn="1"/>
  </ignoredErrors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>
  <sheetPr codeName="Sayfa15"/>
  <dimension ref="A1:G49"/>
  <sheetViews>
    <sheetView zoomScale="90" zoomScaleNormal="90" workbookViewId="0">
      <pane ySplit="1" topLeftCell="A2" activePane="bottomLeft" state="frozen"/>
      <selection pane="bottomLeft" activeCell="K25" sqref="K25"/>
    </sheetView>
  </sheetViews>
  <sheetFormatPr defaultRowHeight="15"/>
  <cols>
    <col min="1" max="1" width="14.85546875" style="162" bestFit="1" customWidth="1"/>
    <col min="2" max="2" width="20.7109375" style="159" customWidth="1"/>
    <col min="3" max="3" width="15.28515625" style="159" customWidth="1"/>
    <col min="4" max="4" width="10.7109375" style="159" bestFit="1" customWidth="1"/>
    <col min="5" max="5" width="9" style="159" customWidth="1"/>
    <col min="6" max="6" width="9.140625" style="159"/>
    <col min="7" max="7" width="10.42578125" style="159" customWidth="1"/>
    <col min="8" max="16384" width="9.140625" style="159"/>
  </cols>
  <sheetData>
    <row r="1" spans="1:7" s="157" customFormat="1" ht="43.5" customHeight="1">
      <c r="A1" s="152" t="s">
        <v>432</v>
      </c>
      <c r="B1" s="153" t="s">
        <v>358</v>
      </c>
      <c r="C1" s="154" t="s">
        <v>433</v>
      </c>
      <c r="D1" s="153" t="s">
        <v>434</v>
      </c>
      <c r="E1" s="153" t="s">
        <v>435</v>
      </c>
      <c r="F1" s="155" t="s">
        <v>11</v>
      </c>
      <c r="G1" s="156" t="s">
        <v>436</v>
      </c>
    </row>
    <row r="2" spans="1:7">
      <c r="A2" s="108" t="s">
        <v>410</v>
      </c>
      <c r="B2" s="100" t="s">
        <v>425</v>
      </c>
      <c r="C2" s="100" t="s">
        <v>437</v>
      </c>
      <c r="D2" s="100" t="s">
        <v>113</v>
      </c>
      <c r="E2" s="158" t="s">
        <v>438</v>
      </c>
      <c r="F2" s="102">
        <v>7.0000000000000001E-3</v>
      </c>
      <c r="G2" s="100">
        <f>SUMIF(Tablo5[BOYA KODU],Tablo14[[#This Row],[Boya Kodu]],Tablo5[KULLANILAN BOYA MİKTARI GRAM]) +SUMIF(Tablo515[BOYA KODU],Tablo14[[#This Row],[Boya Kodu]],Tablo515[KULLANILAN BOYA MİKTARI GRAM]) +SUMIF(Tablo516[BOYA KODU],Tablo14[[#This Row],[Boya Kodu]],Tablo516[KULLANILAN BOYA MİKTARI GRAM]) +SUMIF(Tablo517[BOYA KODU],Tablo14[[#This Row],[Boya Kodu]],Tablo517[KULLANILAN BOYA MİKTARI GRAM]) +SUMIF(Tablo518[BOYA KODU],Tablo14[[#This Row],[Boya Kodu]],Tablo518[KULLANILAN BOYA MİKTARI GRAM]) +SUMIF(Tablo519[BOYA KODU],Tablo14[[#This Row],[Boya Kodu]],Tablo519[KULLANILAN  BOYA MİKTARI GRAM]) +SUMIF(Tablo520[BOYA KODU],Tablo14[[#This Row],[Boya Kodu]],Tablo520[KULLANILAN BOYA MİKTARI GRAM])</f>
        <v>9789.1535000000003</v>
      </c>
    </row>
    <row r="3" spans="1:7">
      <c r="A3" s="108">
        <v>1290</v>
      </c>
      <c r="B3" s="100" t="s">
        <v>425</v>
      </c>
      <c r="C3" s="100" t="s">
        <v>439</v>
      </c>
      <c r="D3" s="100" t="s">
        <v>440</v>
      </c>
      <c r="E3" s="158" t="s">
        <v>438</v>
      </c>
      <c r="F3" s="102">
        <v>5.0000000000000001E-3</v>
      </c>
      <c r="G3" s="100">
        <f>SUMIF(Tablo5[BOYA KODU],Tablo14[[#This Row],[Boya Kodu]],Tablo5[KULLANILAN BOYA MİKTARI GRAM]) +SUMIF(Tablo515[BOYA KODU],Tablo14[[#This Row],[Boya Kodu]],Tablo515[KULLANILAN BOYA MİKTARI GRAM]) +SUMIF(Tablo516[BOYA KODU],Tablo14[[#This Row],[Boya Kodu]],Tablo516[KULLANILAN BOYA MİKTARI GRAM]) +SUMIF(Tablo517[BOYA KODU],Tablo14[[#This Row],[Boya Kodu]],Tablo517[KULLANILAN BOYA MİKTARI GRAM]) +SUMIF(Tablo518[BOYA KODU],Tablo14[[#This Row],[Boya Kodu]],Tablo518[KULLANILAN BOYA MİKTARI GRAM]) +SUMIF(Tablo519[BOYA KODU],Tablo14[[#This Row],[Boya Kodu]],Tablo519[KULLANILAN  BOYA MİKTARI GRAM]) +SUMIF(Tablo520[BOYA KODU],Tablo14[[#This Row],[Boya Kodu]],Tablo520[KULLANILAN BOYA MİKTARI GRAM])</f>
        <v>1500.4304999999999</v>
      </c>
    </row>
    <row r="4" spans="1:7">
      <c r="A4" s="108">
        <v>6192</v>
      </c>
      <c r="B4" s="100" t="s">
        <v>425</v>
      </c>
      <c r="C4" s="100" t="s">
        <v>441</v>
      </c>
      <c r="D4" s="100" t="s">
        <v>442</v>
      </c>
      <c r="E4" s="158" t="s">
        <v>438</v>
      </c>
      <c r="F4" s="102">
        <v>5.0000000000000001E-3</v>
      </c>
      <c r="G4" s="100">
        <f>SUMIF(Tablo5[BOYA KODU],Tablo14[[#This Row],[Boya Kodu]],Tablo5[KULLANILAN BOYA MİKTARI GRAM]) +SUMIF(Tablo515[BOYA KODU],Tablo14[[#This Row],[Boya Kodu]],Tablo515[KULLANILAN BOYA MİKTARI GRAM]) +SUMIF(Tablo516[BOYA KODU],Tablo14[[#This Row],[Boya Kodu]],Tablo516[KULLANILAN BOYA MİKTARI GRAM]) +SUMIF(Tablo517[BOYA KODU],Tablo14[[#This Row],[Boya Kodu]],Tablo517[KULLANILAN BOYA MİKTARI GRAM]) +SUMIF(Tablo518[BOYA KODU],Tablo14[[#This Row],[Boya Kodu]],Tablo518[KULLANILAN BOYA MİKTARI GRAM]) +SUMIF(Tablo519[BOYA KODU],Tablo14[[#This Row],[Boya Kodu]],Tablo519[KULLANILAN  BOYA MİKTARI GRAM]) +SUMIF(Tablo520[BOYA KODU],Tablo14[[#This Row],[Boya Kodu]],Tablo520[KULLANILAN BOYA MİKTARI GRAM])</f>
        <v>2445.7039999999997</v>
      </c>
    </row>
    <row r="5" spans="1:7">
      <c r="A5" s="108">
        <v>3409</v>
      </c>
      <c r="B5" s="100" t="s">
        <v>425</v>
      </c>
      <c r="C5" s="100" t="s">
        <v>439</v>
      </c>
      <c r="D5" s="100" t="s">
        <v>426</v>
      </c>
      <c r="E5" s="158" t="s">
        <v>438</v>
      </c>
      <c r="F5" s="102">
        <v>5.0000000000000001E-3</v>
      </c>
      <c r="G5" s="100">
        <f>SUMIF(Tablo5[BOYA KODU],Tablo14[[#This Row],[Boya Kodu]],Tablo5[KULLANILAN BOYA MİKTARI GRAM]) +SUMIF(Tablo515[BOYA KODU],Tablo14[[#This Row],[Boya Kodu]],Tablo515[KULLANILAN BOYA MİKTARI GRAM]) +SUMIF(Tablo516[BOYA KODU],Tablo14[[#This Row],[Boya Kodu]],Tablo516[KULLANILAN BOYA MİKTARI GRAM]) +SUMIF(Tablo517[BOYA KODU],Tablo14[[#This Row],[Boya Kodu]],Tablo517[KULLANILAN BOYA MİKTARI GRAM]) +SUMIF(Tablo518[BOYA KODU],Tablo14[[#This Row],[Boya Kodu]],Tablo518[KULLANILAN BOYA MİKTARI GRAM]) +SUMIF(Tablo519[BOYA KODU],Tablo14[[#This Row],[Boya Kodu]],Tablo519[KULLANILAN  BOYA MİKTARI GRAM]) +SUMIF(Tablo520[BOYA KODU],Tablo14[[#This Row],[Boya Kodu]],Tablo520[KULLANILAN BOYA MİKTARI GRAM])</f>
        <v>5188.9425000000001</v>
      </c>
    </row>
    <row r="6" spans="1:7">
      <c r="A6" s="108">
        <v>5287</v>
      </c>
      <c r="B6" s="100" t="s">
        <v>425</v>
      </c>
      <c r="C6" s="100" t="s">
        <v>439</v>
      </c>
      <c r="D6" s="100" t="s">
        <v>428</v>
      </c>
      <c r="E6" s="158" t="s">
        <v>438</v>
      </c>
      <c r="F6" s="102">
        <v>5.0000000000000001E-3</v>
      </c>
      <c r="G6" s="100">
        <f>SUMIF(Tablo5[BOYA KODU],Tablo14[[#This Row],[Boya Kodu]],Tablo5[KULLANILAN BOYA MİKTARI GRAM]) +SUMIF(Tablo515[BOYA KODU],Tablo14[[#This Row],[Boya Kodu]],Tablo515[KULLANILAN BOYA MİKTARI GRAM]) +SUMIF(Tablo516[BOYA KODU],Tablo14[[#This Row],[Boya Kodu]],Tablo516[KULLANILAN BOYA MİKTARI GRAM]) +SUMIF(Tablo517[BOYA KODU],Tablo14[[#This Row],[Boya Kodu]],Tablo517[KULLANILAN BOYA MİKTARI GRAM]) +SUMIF(Tablo518[BOYA KODU],Tablo14[[#This Row],[Boya Kodu]],Tablo518[KULLANILAN BOYA MİKTARI GRAM]) +SUMIF(Tablo519[BOYA KODU],Tablo14[[#This Row],[Boya Kodu]],Tablo519[KULLANILAN  BOYA MİKTARI GRAM]) +SUMIF(Tablo520[BOYA KODU],Tablo14[[#This Row],[Boya Kodu]],Tablo520[KULLANILAN BOYA MİKTARI GRAM])</f>
        <v>5022.2690000000002</v>
      </c>
    </row>
    <row r="7" spans="1:7">
      <c r="A7" s="108">
        <v>4090</v>
      </c>
      <c r="B7" s="100" t="s">
        <v>425</v>
      </c>
      <c r="C7" s="100" t="s">
        <v>439</v>
      </c>
      <c r="D7" s="100" t="s">
        <v>443</v>
      </c>
      <c r="E7" s="158" t="s">
        <v>438</v>
      </c>
      <c r="F7" s="102">
        <v>5.0000000000000001E-3</v>
      </c>
      <c r="G7" s="100">
        <f>SUMIF(Tablo5[BOYA KODU],Tablo14[[#This Row],[Boya Kodu]],Tablo5[KULLANILAN BOYA MİKTARI GRAM]) +SUMIF(Tablo515[BOYA KODU],Tablo14[[#This Row],[Boya Kodu]],Tablo515[KULLANILAN BOYA MİKTARI GRAM]) +SUMIF(Tablo516[BOYA KODU],Tablo14[[#This Row],[Boya Kodu]],Tablo516[KULLANILAN BOYA MİKTARI GRAM]) +SUMIF(Tablo517[BOYA KODU],Tablo14[[#This Row],[Boya Kodu]],Tablo517[KULLANILAN BOYA MİKTARI GRAM]) +SUMIF(Tablo518[BOYA KODU],Tablo14[[#This Row],[Boya Kodu]],Tablo518[KULLANILAN BOYA MİKTARI GRAM]) +SUMIF(Tablo519[BOYA KODU],Tablo14[[#This Row],[Boya Kodu]],Tablo519[KULLANILAN  BOYA MİKTARI GRAM]) +SUMIF(Tablo520[BOYA KODU],Tablo14[[#This Row],[Boya Kodu]],Tablo520[KULLANILAN BOYA MİKTARI GRAM])</f>
        <v>1202.4245000000001</v>
      </c>
    </row>
    <row r="8" spans="1:7">
      <c r="A8" s="108">
        <v>3041</v>
      </c>
      <c r="B8" s="100" t="s">
        <v>425</v>
      </c>
      <c r="C8" s="100" t="s">
        <v>439</v>
      </c>
      <c r="D8" s="100" t="s">
        <v>444</v>
      </c>
      <c r="E8" s="158" t="s">
        <v>438</v>
      </c>
      <c r="F8" s="102">
        <v>5.0000000000000001E-3</v>
      </c>
      <c r="G8" s="100">
        <f>SUMIF(Tablo5[BOYA KODU],Tablo14[[#This Row],[Boya Kodu]],Tablo5[KULLANILAN BOYA MİKTARI GRAM]) +SUMIF(Tablo515[BOYA KODU],Tablo14[[#This Row],[Boya Kodu]],Tablo515[KULLANILAN BOYA MİKTARI GRAM]) +SUMIF(Tablo516[BOYA KODU],Tablo14[[#This Row],[Boya Kodu]],Tablo516[KULLANILAN BOYA MİKTARI GRAM]) +SUMIF(Tablo517[BOYA KODU],Tablo14[[#This Row],[Boya Kodu]],Tablo517[KULLANILAN BOYA MİKTARI GRAM]) +SUMIF(Tablo518[BOYA KODU],Tablo14[[#This Row],[Boya Kodu]],Tablo518[KULLANILAN BOYA MİKTARI GRAM]) +SUMIF(Tablo519[BOYA KODU],Tablo14[[#This Row],[Boya Kodu]],Tablo519[KULLANILAN  BOYA MİKTARI GRAM]) +SUMIF(Tablo520[BOYA KODU],Tablo14[[#This Row],[Boya Kodu]],Tablo520[KULLANILAN BOYA MİKTARI GRAM])</f>
        <v>2443.6530000000002</v>
      </c>
    </row>
    <row r="9" spans="1:7">
      <c r="A9" s="108" t="s">
        <v>411</v>
      </c>
      <c r="B9" s="100" t="s">
        <v>425</v>
      </c>
      <c r="C9" s="100" t="s">
        <v>439</v>
      </c>
      <c r="D9" s="100" t="s">
        <v>443</v>
      </c>
      <c r="E9" s="158" t="s">
        <v>438</v>
      </c>
      <c r="F9" s="102">
        <v>5.0000000000000001E-3</v>
      </c>
      <c r="G9" s="100">
        <f>SUMIF(Tablo5[BOYA KODU],Tablo14[[#This Row],[Boya Kodu]],Tablo5[KULLANILAN BOYA MİKTARI GRAM]) +SUMIF(Tablo515[BOYA KODU],Tablo14[[#This Row],[Boya Kodu]],Tablo515[KULLANILAN BOYA MİKTARI GRAM]) +SUMIF(Tablo516[BOYA KODU],Tablo14[[#This Row],[Boya Kodu]],Tablo516[KULLANILAN BOYA MİKTARI GRAM]) +SUMIF(Tablo517[BOYA KODU],Tablo14[[#This Row],[Boya Kodu]],Tablo517[KULLANILAN BOYA MİKTARI GRAM]) +SUMIF(Tablo518[BOYA KODU],Tablo14[[#This Row],[Boya Kodu]],Tablo518[KULLANILAN BOYA MİKTARI GRAM]) +SUMIF(Tablo519[BOYA KODU],Tablo14[[#This Row],[Boya Kodu]],Tablo519[KULLANILAN  BOYA MİKTARI GRAM]) +SUMIF(Tablo520[BOYA KODU],Tablo14[[#This Row],[Boya Kodu]],Tablo520[KULLANILAN BOYA MİKTARI GRAM])</f>
        <v>0</v>
      </c>
    </row>
    <row r="10" spans="1:7">
      <c r="A10" s="108">
        <v>1289</v>
      </c>
      <c r="B10" s="100" t="s">
        <v>425</v>
      </c>
      <c r="C10" s="100" t="s">
        <v>445</v>
      </c>
      <c r="D10" s="100" t="s">
        <v>440</v>
      </c>
      <c r="E10" s="158" t="s">
        <v>438</v>
      </c>
      <c r="F10" s="102">
        <v>5.0000000000000001E-3</v>
      </c>
      <c r="G10" s="100">
        <f>SUMIF(Tablo5[BOYA KODU],Tablo14[[#This Row],[Boya Kodu]],Tablo5[KULLANILAN BOYA MİKTARI GRAM]) +SUMIF(Tablo515[BOYA KODU],Tablo14[[#This Row],[Boya Kodu]],Tablo515[KULLANILAN BOYA MİKTARI GRAM]) +SUMIF(Tablo516[BOYA KODU],Tablo14[[#This Row],[Boya Kodu]],Tablo516[KULLANILAN BOYA MİKTARI GRAM]) +SUMIF(Tablo517[BOYA KODU],Tablo14[[#This Row],[Boya Kodu]],Tablo517[KULLANILAN BOYA MİKTARI GRAM]) +SUMIF(Tablo518[BOYA KODU],Tablo14[[#This Row],[Boya Kodu]],Tablo518[KULLANILAN BOYA MİKTARI GRAM]) +SUMIF(Tablo519[BOYA KODU],Tablo14[[#This Row],[Boya Kodu]],Tablo519[KULLANILAN  BOYA MİKTARI GRAM]) +SUMIF(Tablo520[BOYA KODU],Tablo14[[#This Row],[Boya Kodu]],Tablo520[KULLANILAN BOYA MİKTARI GRAM])</f>
        <v>832.06499999999994</v>
      </c>
    </row>
    <row r="11" spans="1:7">
      <c r="A11" s="108">
        <v>3408</v>
      </c>
      <c r="B11" s="100" t="s">
        <v>425</v>
      </c>
      <c r="C11" s="100" t="s">
        <v>445</v>
      </c>
      <c r="D11" s="100" t="s">
        <v>426</v>
      </c>
      <c r="E11" s="158" t="s">
        <v>438</v>
      </c>
      <c r="F11" s="102">
        <v>5.0000000000000001E-3</v>
      </c>
      <c r="G11" s="100">
        <f>SUMIF(Tablo5[BOYA KODU],Tablo14[[#This Row],[Boya Kodu]],Tablo5[KULLANILAN BOYA MİKTARI GRAM]) +SUMIF(Tablo515[BOYA KODU],Tablo14[[#This Row],[Boya Kodu]],Tablo515[KULLANILAN BOYA MİKTARI GRAM]) +SUMIF(Tablo516[BOYA KODU],Tablo14[[#This Row],[Boya Kodu]],Tablo516[KULLANILAN BOYA MİKTARI GRAM]) +SUMIF(Tablo517[BOYA KODU],Tablo14[[#This Row],[Boya Kodu]],Tablo517[KULLANILAN BOYA MİKTARI GRAM]) +SUMIF(Tablo518[BOYA KODU],Tablo14[[#This Row],[Boya Kodu]],Tablo518[KULLANILAN BOYA MİKTARI GRAM]) +SUMIF(Tablo519[BOYA KODU],Tablo14[[#This Row],[Boya Kodu]],Tablo519[KULLANILAN  BOYA MİKTARI GRAM]) +SUMIF(Tablo520[BOYA KODU],Tablo14[[#This Row],[Boya Kodu]],Tablo520[KULLANILAN BOYA MİKTARI GRAM])</f>
        <v>2383.4969999999994</v>
      </c>
    </row>
    <row r="12" spans="1:7">
      <c r="A12" s="108" t="s">
        <v>412</v>
      </c>
      <c r="B12" s="100" t="s">
        <v>425</v>
      </c>
      <c r="C12" s="100" t="s">
        <v>445</v>
      </c>
      <c r="D12" s="100" t="s">
        <v>428</v>
      </c>
      <c r="E12" s="158" t="s">
        <v>438</v>
      </c>
      <c r="F12" s="102">
        <v>5.0000000000000001E-3</v>
      </c>
      <c r="G12" s="100">
        <f>SUMIF(Tablo5[BOYA KODU],Tablo14[[#This Row],[Boya Kodu]],Tablo5[KULLANILAN BOYA MİKTARI GRAM]) +SUMIF(Tablo515[BOYA KODU],Tablo14[[#This Row],[Boya Kodu]],Tablo515[KULLANILAN BOYA MİKTARI GRAM]) +SUMIF(Tablo516[BOYA KODU],Tablo14[[#This Row],[Boya Kodu]],Tablo516[KULLANILAN BOYA MİKTARI GRAM]) +SUMIF(Tablo517[BOYA KODU],Tablo14[[#This Row],[Boya Kodu]],Tablo517[KULLANILAN BOYA MİKTARI GRAM]) +SUMIF(Tablo518[BOYA KODU],Tablo14[[#This Row],[Boya Kodu]],Tablo518[KULLANILAN BOYA MİKTARI GRAM]) +SUMIF(Tablo519[BOYA KODU],Tablo14[[#This Row],[Boya Kodu]],Tablo519[KULLANILAN  BOYA MİKTARI GRAM]) +SUMIF(Tablo520[BOYA KODU],Tablo14[[#This Row],[Boya Kodu]],Tablo520[KULLANILAN BOYA MİKTARI GRAM])</f>
        <v>3877.2845000000007</v>
      </c>
    </row>
    <row r="13" spans="1:7">
      <c r="A13" s="108">
        <v>4089</v>
      </c>
      <c r="B13" s="100" t="s">
        <v>425</v>
      </c>
      <c r="C13" s="100" t="s">
        <v>445</v>
      </c>
      <c r="D13" s="100" t="s">
        <v>443</v>
      </c>
      <c r="E13" s="158" t="s">
        <v>438</v>
      </c>
      <c r="F13" s="102">
        <v>5.0000000000000001E-3</v>
      </c>
      <c r="G13" s="100">
        <f>SUMIF(Tablo5[BOYA KODU],Tablo14[[#This Row],[Boya Kodu]],Tablo5[KULLANILAN BOYA MİKTARI GRAM]) +SUMIF(Tablo515[BOYA KODU],Tablo14[[#This Row],[Boya Kodu]],Tablo515[KULLANILAN BOYA MİKTARI GRAM]) +SUMIF(Tablo516[BOYA KODU],Tablo14[[#This Row],[Boya Kodu]],Tablo516[KULLANILAN BOYA MİKTARI GRAM]) +SUMIF(Tablo517[BOYA KODU],Tablo14[[#This Row],[Boya Kodu]],Tablo517[KULLANILAN BOYA MİKTARI GRAM]) +SUMIF(Tablo518[BOYA KODU],Tablo14[[#This Row],[Boya Kodu]],Tablo518[KULLANILAN BOYA MİKTARI GRAM]) +SUMIF(Tablo519[BOYA KODU],Tablo14[[#This Row],[Boya Kodu]],Tablo519[KULLANILAN  BOYA MİKTARI GRAM]) +SUMIF(Tablo520[BOYA KODU],Tablo14[[#This Row],[Boya Kodu]],Tablo520[KULLANILAN BOYA MİKTARI GRAM])</f>
        <v>763.87799999999993</v>
      </c>
    </row>
    <row r="14" spans="1:7">
      <c r="A14" s="108" t="s">
        <v>413</v>
      </c>
      <c r="B14" s="100" t="s">
        <v>425</v>
      </c>
      <c r="C14" s="100" t="s">
        <v>445</v>
      </c>
      <c r="D14" s="100" t="s">
        <v>444</v>
      </c>
      <c r="E14" s="158" t="s">
        <v>438</v>
      </c>
      <c r="F14" s="102">
        <v>5.0000000000000001E-3</v>
      </c>
      <c r="G14" s="100">
        <f>SUMIF(Tablo5[BOYA KODU],Tablo14[[#This Row],[Boya Kodu]],Tablo5[KULLANILAN BOYA MİKTARI GRAM]) +SUMIF(Tablo515[BOYA KODU],Tablo14[[#This Row],[Boya Kodu]],Tablo515[KULLANILAN BOYA MİKTARI GRAM]) +SUMIF(Tablo516[BOYA KODU],Tablo14[[#This Row],[Boya Kodu]],Tablo516[KULLANILAN BOYA MİKTARI GRAM]) +SUMIF(Tablo517[BOYA KODU],Tablo14[[#This Row],[Boya Kodu]],Tablo517[KULLANILAN BOYA MİKTARI GRAM]) +SUMIF(Tablo518[BOYA KODU],Tablo14[[#This Row],[Boya Kodu]],Tablo518[KULLANILAN BOYA MİKTARI GRAM]) +SUMIF(Tablo519[BOYA KODU],Tablo14[[#This Row],[Boya Kodu]],Tablo519[KULLANILAN  BOYA MİKTARI GRAM]) +SUMIF(Tablo520[BOYA KODU],Tablo14[[#This Row],[Boya Kodu]],Tablo520[KULLANILAN BOYA MİKTARI GRAM])</f>
        <v>2473.7450000000003</v>
      </c>
    </row>
    <row r="15" spans="1:7">
      <c r="A15" s="108">
        <v>3332</v>
      </c>
      <c r="B15" s="100" t="s">
        <v>425</v>
      </c>
      <c r="C15" s="100" t="s">
        <v>445</v>
      </c>
      <c r="D15" s="100" t="s">
        <v>446</v>
      </c>
      <c r="E15" s="158" t="s">
        <v>438</v>
      </c>
      <c r="F15" s="102">
        <v>5.0000000000000001E-3</v>
      </c>
      <c r="G15" s="100">
        <f>SUMIF(Tablo5[BOYA KODU],Tablo14[[#This Row],[Boya Kodu]],Tablo5[KULLANILAN BOYA MİKTARI GRAM]) +SUMIF(Tablo515[BOYA KODU],Tablo14[[#This Row],[Boya Kodu]],Tablo515[KULLANILAN BOYA MİKTARI GRAM]) +SUMIF(Tablo516[BOYA KODU],Tablo14[[#This Row],[Boya Kodu]],Tablo516[KULLANILAN BOYA MİKTARI GRAM]) +SUMIF(Tablo517[BOYA KODU],Tablo14[[#This Row],[Boya Kodu]],Tablo517[KULLANILAN BOYA MİKTARI GRAM]) +SUMIF(Tablo518[BOYA KODU],Tablo14[[#This Row],[Boya Kodu]],Tablo518[KULLANILAN BOYA MİKTARI GRAM]) +SUMIF(Tablo519[BOYA KODU],Tablo14[[#This Row],[Boya Kodu]],Tablo519[KULLANILAN  BOYA MİKTARI GRAM]) +SUMIF(Tablo520[BOYA KODU],Tablo14[[#This Row],[Boya Kodu]],Tablo520[KULLANILAN BOYA MİKTARI GRAM])</f>
        <v>1349.9894999999999</v>
      </c>
    </row>
    <row r="16" spans="1:7">
      <c r="A16" s="108">
        <v>1045</v>
      </c>
      <c r="B16" s="100" t="s">
        <v>425</v>
      </c>
      <c r="C16" s="100" t="s">
        <v>437</v>
      </c>
      <c r="D16" s="100" t="s">
        <v>447</v>
      </c>
      <c r="E16" s="158" t="s">
        <v>448</v>
      </c>
      <c r="F16" s="102">
        <v>2E-3</v>
      </c>
      <c r="G16" s="100">
        <f>SUMIF(Tablo5[BOYA KODU],Tablo14[[#This Row],[Boya Kodu]],Tablo5[KULLANILAN BOYA MİKTARI GRAM]) +SUMIF(Tablo515[BOYA KODU],Tablo14[[#This Row],[Boya Kodu]],Tablo515[KULLANILAN BOYA MİKTARI GRAM]) +SUMIF(Tablo516[BOYA KODU],Tablo14[[#This Row],[Boya Kodu]],Tablo516[KULLANILAN BOYA MİKTARI GRAM]) +SUMIF(Tablo517[BOYA KODU],Tablo14[[#This Row],[Boya Kodu]],Tablo517[KULLANILAN BOYA MİKTARI GRAM]) +SUMIF(Tablo518[BOYA KODU],Tablo14[[#This Row],[Boya Kodu]],Tablo518[KULLANILAN BOYA MİKTARI GRAM]) +SUMIF(Tablo519[BOYA KODU],Tablo14[[#This Row],[Boya Kodu]],Tablo519[KULLANILAN  BOYA MİKTARI GRAM]) +SUMIF(Tablo520[BOYA KODU],Tablo14[[#This Row],[Boya Kodu]],Tablo520[KULLANILAN BOYA MİKTARI GRAM])</f>
        <v>696.8416000000002</v>
      </c>
    </row>
    <row r="17" spans="1:7">
      <c r="A17" s="108" t="s">
        <v>414</v>
      </c>
      <c r="B17" s="100" t="s">
        <v>449</v>
      </c>
      <c r="C17" s="100" t="s">
        <v>437</v>
      </c>
      <c r="D17" s="100" t="s">
        <v>450</v>
      </c>
      <c r="E17" s="158" t="s">
        <v>448</v>
      </c>
      <c r="F17" s="102">
        <v>2E-3</v>
      </c>
      <c r="G17" s="100">
        <f>SUMIF(Tablo5[BOYA KODU],Tablo14[[#This Row],[Boya Kodu]],Tablo5[KULLANILAN BOYA MİKTARI GRAM]) +SUMIF(Tablo515[BOYA KODU],Tablo14[[#This Row],[Boya Kodu]],Tablo515[KULLANILAN BOYA MİKTARI GRAM]) +SUMIF(Tablo516[BOYA KODU],Tablo14[[#This Row],[Boya Kodu]],Tablo516[KULLANILAN BOYA MİKTARI GRAM]) +SUMIF(Tablo517[BOYA KODU],Tablo14[[#This Row],[Boya Kodu]],Tablo517[KULLANILAN BOYA MİKTARI GRAM]) +SUMIF(Tablo518[BOYA KODU],Tablo14[[#This Row],[Boya Kodu]],Tablo518[KULLANILAN BOYA MİKTARI GRAM]) +SUMIF(Tablo519[BOYA KODU],Tablo14[[#This Row],[Boya Kodu]],Tablo519[KULLANILAN  BOYA MİKTARI GRAM]) +SUMIF(Tablo520[BOYA KODU],Tablo14[[#This Row],[Boya Kodu]],Tablo520[KULLANILAN BOYA MİKTARI GRAM])</f>
        <v>618.8252</v>
      </c>
    </row>
    <row r="18" spans="1:7">
      <c r="A18" s="108" t="s">
        <v>415</v>
      </c>
      <c r="B18" s="100" t="s">
        <v>449</v>
      </c>
      <c r="C18" s="100" t="s">
        <v>437</v>
      </c>
      <c r="D18" s="100" t="s">
        <v>451</v>
      </c>
      <c r="E18" s="158" t="s">
        <v>448</v>
      </c>
      <c r="F18" s="102">
        <v>2E-3</v>
      </c>
      <c r="G18" s="100">
        <f>SUMIF(Tablo5[BOYA KODU],Tablo14[[#This Row],[Boya Kodu]],Tablo5[KULLANILAN BOYA MİKTARI GRAM]) +SUMIF(Tablo515[BOYA KODU],Tablo14[[#This Row],[Boya Kodu]],Tablo515[KULLANILAN BOYA MİKTARI GRAM]) +SUMIF(Tablo516[BOYA KODU],Tablo14[[#This Row],[Boya Kodu]],Tablo516[KULLANILAN BOYA MİKTARI GRAM]) +SUMIF(Tablo517[BOYA KODU],Tablo14[[#This Row],[Boya Kodu]],Tablo517[KULLANILAN BOYA MİKTARI GRAM]) +SUMIF(Tablo518[BOYA KODU],Tablo14[[#This Row],[Boya Kodu]],Tablo518[KULLANILAN BOYA MİKTARI GRAM]) +SUMIF(Tablo519[BOYA KODU],Tablo14[[#This Row],[Boya Kodu]],Tablo519[KULLANILAN  BOYA MİKTARI GRAM]) +SUMIF(Tablo520[BOYA KODU],Tablo14[[#This Row],[Boya Kodu]],Tablo520[KULLANILAN BOYA MİKTARI GRAM])</f>
        <v>397.0292</v>
      </c>
    </row>
    <row r="19" spans="1:7">
      <c r="A19" s="108" t="s">
        <v>416</v>
      </c>
      <c r="B19" s="100" t="s">
        <v>425</v>
      </c>
      <c r="C19" s="100" t="s">
        <v>437</v>
      </c>
      <c r="D19" s="100" t="s">
        <v>452</v>
      </c>
      <c r="E19" s="158" t="s">
        <v>448</v>
      </c>
      <c r="F19" s="102">
        <v>1E-3</v>
      </c>
      <c r="G19" s="100">
        <f>SUMIF(Tablo5[BOYA KODU],Tablo14[[#This Row],[Boya Kodu]],Tablo5[KULLANILAN BOYA MİKTARI GRAM]) +SUMIF(Tablo515[BOYA KODU],Tablo14[[#This Row],[Boya Kodu]],Tablo515[KULLANILAN BOYA MİKTARI GRAM]) +SUMIF(Tablo516[BOYA KODU],Tablo14[[#This Row],[Boya Kodu]],Tablo516[KULLANILAN BOYA MİKTARI GRAM]) +SUMIF(Tablo517[BOYA KODU],Tablo14[[#This Row],[Boya Kodu]],Tablo517[KULLANILAN BOYA MİKTARI GRAM]) +SUMIF(Tablo518[BOYA KODU],Tablo14[[#This Row],[Boya Kodu]],Tablo518[KULLANILAN BOYA MİKTARI GRAM]) +SUMIF(Tablo519[BOYA KODU],Tablo14[[#This Row],[Boya Kodu]],Tablo519[KULLANILAN  BOYA MİKTARI GRAM]) +SUMIF(Tablo520[BOYA KODU],Tablo14[[#This Row],[Boya Kodu]],Tablo520[KULLANILAN BOYA MİKTARI GRAM])</f>
        <v>848.03579999999999</v>
      </c>
    </row>
    <row r="20" spans="1:7">
      <c r="A20" s="108" t="s">
        <v>417</v>
      </c>
      <c r="B20" s="100" t="s">
        <v>449</v>
      </c>
      <c r="C20" s="100" t="s">
        <v>437</v>
      </c>
      <c r="D20" s="100" t="s">
        <v>453</v>
      </c>
      <c r="E20" s="158" t="s">
        <v>448</v>
      </c>
      <c r="F20" s="102">
        <v>2E-3</v>
      </c>
      <c r="G20" s="100">
        <f>SUMIF(Tablo5[BOYA KODU],Tablo14[[#This Row],[Boya Kodu]],Tablo5[KULLANILAN BOYA MİKTARI GRAM]) +SUMIF(Tablo515[BOYA KODU],Tablo14[[#This Row],[Boya Kodu]],Tablo515[KULLANILAN BOYA MİKTARI GRAM]) +SUMIF(Tablo516[BOYA KODU],Tablo14[[#This Row],[Boya Kodu]],Tablo516[KULLANILAN BOYA MİKTARI GRAM]) +SUMIF(Tablo517[BOYA KODU],Tablo14[[#This Row],[Boya Kodu]],Tablo517[KULLANILAN BOYA MİKTARI GRAM]) +SUMIF(Tablo518[BOYA KODU],Tablo14[[#This Row],[Boya Kodu]],Tablo518[KULLANILAN BOYA MİKTARI GRAM]) +SUMIF(Tablo519[BOYA KODU],Tablo14[[#This Row],[Boya Kodu]],Tablo519[KULLANILAN  BOYA MİKTARI GRAM]) +SUMIF(Tablo520[BOYA KODU],Tablo14[[#This Row],[Boya Kodu]],Tablo520[KULLANILAN BOYA MİKTARI GRAM])</f>
        <v>852.42960000000016</v>
      </c>
    </row>
    <row r="21" spans="1:7">
      <c r="A21" s="108">
        <v>3014</v>
      </c>
      <c r="B21" s="100" t="s">
        <v>425</v>
      </c>
      <c r="C21" s="100" t="s">
        <v>437</v>
      </c>
      <c r="D21" s="100" t="s">
        <v>454</v>
      </c>
      <c r="E21" s="158" t="s">
        <v>448</v>
      </c>
      <c r="F21" s="102">
        <v>2E-3</v>
      </c>
      <c r="G21" s="100">
        <f>SUMIF(Tablo5[BOYA KODU],Tablo14[[#This Row],[Boya Kodu]],Tablo5[KULLANILAN BOYA MİKTARI GRAM]) +SUMIF(Tablo515[BOYA KODU],Tablo14[[#This Row],[Boya Kodu]],Tablo515[KULLANILAN BOYA MİKTARI GRAM]) +SUMIF(Tablo516[BOYA KODU],Tablo14[[#This Row],[Boya Kodu]],Tablo516[KULLANILAN BOYA MİKTARI GRAM]) +SUMIF(Tablo517[BOYA KODU],Tablo14[[#This Row],[Boya Kodu]],Tablo517[KULLANILAN BOYA MİKTARI GRAM]) +SUMIF(Tablo518[BOYA KODU],Tablo14[[#This Row],[Boya Kodu]],Tablo518[KULLANILAN BOYA MİKTARI GRAM]) +SUMIF(Tablo519[BOYA KODU],Tablo14[[#This Row],[Boya Kodu]],Tablo519[KULLANILAN  BOYA MİKTARI GRAM]) +SUMIF(Tablo520[BOYA KODU],Tablo14[[#This Row],[Boya Kodu]],Tablo520[KULLANILAN BOYA MİKTARI GRAM])</f>
        <v>640.53000000000009</v>
      </c>
    </row>
    <row r="22" spans="1:7">
      <c r="A22" s="108" t="s">
        <v>418</v>
      </c>
      <c r="B22" s="100" t="s">
        <v>449</v>
      </c>
      <c r="C22" s="100" t="s">
        <v>437</v>
      </c>
      <c r="D22" s="100" t="s">
        <v>455</v>
      </c>
      <c r="E22" s="158" t="s">
        <v>448</v>
      </c>
      <c r="F22" s="102">
        <v>1E-3</v>
      </c>
      <c r="G22" s="100">
        <f>SUMIF(Tablo5[BOYA KODU],Tablo14[[#This Row],[Boya Kodu]],Tablo5[KULLANILAN BOYA MİKTARI GRAM]) +SUMIF(Tablo515[BOYA KODU],Tablo14[[#This Row],[Boya Kodu]],Tablo515[KULLANILAN BOYA MİKTARI GRAM]) +SUMIF(Tablo516[BOYA KODU],Tablo14[[#This Row],[Boya Kodu]],Tablo516[KULLANILAN BOYA MİKTARI GRAM]) +SUMIF(Tablo517[BOYA KODU],Tablo14[[#This Row],[Boya Kodu]],Tablo517[KULLANILAN BOYA MİKTARI GRAM]) +SUMIF(Tablo518[BOYA KODU],Tablo14[[#This Row],[Boya Kodu]],Tablo518[KULLANILAN BOYA MİKTARI GRAM]) +SUMIF(Tablo519[BOYA KODU],Tablo14[[#This Row],[Boya Kodu]],Tablo519[KULLANILAN  BOYA MİKTARI GRAM]) +SUMIF(Tablo520[BOYA KODU],Tablo14[[#This Row],[Boya Kodu]],Tablo520[KULLANILAN BOYA MİKTARI GRAM])</f>
        <v>0</v>
      </c>
    </row>
    <row r="23" spans="1:7">
      <c r="A23" s="108" t="s">
        <v>419</v>
      </c>
      <c r="B23" s="100" t="s">
        <v>456</v>
      </c>
      <c r="C23" s="100" t="s">
        <v>457</v>
      </c>
      <c r="D23" s="100" t="s">
        <v>451</v>
      </c>
      <c r="E23" s="158" t="s">
        <v>448</v>
      </c>
      <c r="F23" s="102">
        <v>1.4E-3</v>
      </c>
      <c r="G23" s="100">
        <f>SUMIF(Tablo5[BOYA KODU],Tablo14[[#This Row],[Boya Kodu]],Tablo5[KULLANILAN BOYA MİKTARI GRAM]) +SUMIF(Tablo515[BOYA KODU],Tablo14[[#This Row],[Boya Kodu]],Tablo515[KULLANILAN BOYA MİKTARI GRAM]) +SUMIF(Tablo516[BOYA KODU],Tablo14[[#This Row],[Boya Kodu]],Tablo516[KULLANILAN BOYA MİKTARI GRAM]) +SUMIF(Tablo517[BOYA KODU],Tablo14[[#This Row],[Boya Kodu]],Tablo517[KULLANILAN BOYA MİKTARI GRAM]) +SUMIF(Tablo518[BOYA KODU],Tablo14[[#This Row],[Boya Kodu]],Tablo518[KULLANILAN BOYA MİKTARI GRAM]) +SUMIF(Tablo519[BOYA KODU],Tablo14[[#This Row],[Boya Kodu]],Tablo519[KULLANILAN  BOYA MİKTARI GRAM]) +SUMIF(Tablo520[BOYA KODU],Tablo14[[#This Row],[Boya Kodu]],Tablo520[KULLANILAN BOYA MİKTARI GRAM])</f>
        <v>0</v>
      </c>
    </row>
    <row r="24" spans="1:7">
      <c r="A24" s="108" t="s">
        <v>420</v>
      </c>
      <c r="B24" s="100" t="s">
        <v>456</v>
      </c>
      <c r="C24" s="100" t="s">
        <v>457</v>
      </c>
      <c r="D24" s="100" t="s">
        <v>452</v>
      </c>
      <c r="E24" s="158" t="s">
        <v>448</v>
      </c>
      <c r="F24" s="102">
        <v>1.4E-3</v>
      </c>
      <c r="G24" s="100">
        <f>SUMIF(Tablo5[BOYA KODU],Tablo14[[#This Row],[Boya Kodu]],Tablo5[KULLANILAN BOYA MİKTARI GRAM]) +SUMIF(Tablo515[BOYA KODU],Tablo14[[#This Row],[Boya Kodu]],Tablo515[KULLANILAN BOYA MİKTARI GRAM]) +SUMIF(Tablo516[BOYA KODU],Tablo14[[#This Row],[Boya Kodu]],Tablo516[KULLANILAN BOYA MİKTARI GRAM]) +SUMIF(Tablo517[BOYA KODU],Tablo14[[#This Row],[Boya Kodu]],Tablo517[KULLANILAN BOYA MİKTARI GRAM]) +SUMIF(Tablo518[BOYA KODU],Tablo14[[#This Row],[Boya Kodu]],Tablo518[KULLANILAN BOYA MİKTARI GRAM]) +SUMIF(Tablo519[BOYA KODU],Tablo14[[#This Row],[Boya Kodu]],Tablo519[KULLANILAN  BOYA MİKTARI GRAM]) +SUMIF(Tablo520[BOYA KODU],Tablo14[[#This Row],[Boya Kodu]],Tablo520[KULLANILAN BOYA MİKTARI GRAM])</f>
        <v>0</v>
      </c>
    </row>
    <row r="25" spans="1:7">
      <c r="A25" s="108" t="s">
        <v>421</v>
      </c>
      <c r="B25" s="100" t="s">
        <v>425</v>
      </c>
      <c r="C25" s="100" t="s">
        <v>457</v>
      </c>
      <c r="D25" s="100" t="s">
        <v>453</v>
      </c>
      <c r="E25" s="158" t="s">
        <v>448</v>
      </c>
      <c r="F25" s="102">
        <v>2E-3</v>
      </c>
      <c r="G25" s="100">
        <f>SUMIF(Tablo5[BOYA KODU],Tablo14[[#This Row],[Boya Kodu]],Tablo5[KULLANILAN BOYA MİKTARI GRAM]) +SUMIF(Tablo515[BOYA KODU],Tablo14[[#This Row],[Boya Kodu]],Tablo515[KULLANILAN BOYA MİKTARI GRAM]) +SUMIF(Tablo516[BOYA KODU],Tablo14[[#This Row],[Boya Kodu]],Tablo516[KULLANILAN BOYA MİKTARI GRAM]) +SUMIF(Tablo517[BOYA KODU],Tablo14[[#This Row],[Boya Kodu]],Tablo517[KULLANILAN BOYA MİKTARI GRAM]) +SUMIF(Tablo518[BOYA KODU],Tablo14[[#This Row],[Boya Kodu]],Tablo518[KULLANILAN BOYA MİKTARI GRAM]) +SUMIF(Tablo519[BOYA KODU],Tablo14[[#This Row],[Boya Kodu]],Tablo519[KULLANILAN  BOYA MİKTARI GRAM]) +SUMIF(Tablo520[BOYA KODU],Tablo14[[#This Row],[Boya Kodu]],Tablo520[KULLANILAN BOYA MİKTARI GRAM])</f>
        <v>0</v>
      </c>
    </row>
    <row r="26" spans="1:7">
      <c r="A26" s="108" t="s">
        <v>422</v>
      </c>
      <c r="B26" s="100" t="s">
        <v>456</v>
      </c>
      <c r="C26" s="100" t="s">
        <v>457</v>
      </c>
      <c r="D26" s="100" t="s">
        <v>458</v>
      </c>
      <c r="E26" s="158" t="s">
        <v>438</v>
      </c>
      <c r="F26" s="102">
        <v>2.2000000000000001E-3</v>
      </c>
      <c r="G26" s="100">
        <f>SUMIF(Tablo5[BOYA KODU],Tablo14[[#This Row],[Boya Kodu]],Tablo5[KULLANILAN BOYA MİKTARI GRAM]) +SUMIF(Tablo515[BOYA KODU],Tablo14[[#This Row],[Boya Kodu]],Tablo515[KULLANILAN BOYA MİKTARI GRAM]) +SUMIF(Tablo516[BOYA KODU],Tablo14[[#This Row],[Boya Kodu]],Tablo516[KULLANILAN BOYA MİKTARI GRAM]) +SUMIF(Tablo517[BOYA KODU],Tablo14[[#This Row],[Boya Kodu]],Tablo517[KULLANILAN BOYA MİKTARI GRAM]) +SUMIF(Tablo518[BOYA KODU],Tablo14[[#This Row],[Boya Kodu]],Tablo518[KULLANILAN BOYA MİKTARI GRAM]) +SUMIF(Tablo519[BOYA KODU],Tablo14[[#This Row],[Boya Kodu]],Tablo519[KULLANILAN  BOYA MİKTARI GRAM]) +SUMIF(Tablo520[BOYA KODU],Tablo14[[#This Row],[Boya Kodu]],Tablo520[KULLANILAN BOYA MİKTARI GRAM])</f>
        <v>131.47728000000001</v>
      </c>
    </row>
    <row r="27" spans="1:7">
      <c r="A27" s="108" t="s">
        <v>423</v>
      </c>
      <c r="B27" s="100" t="s">
        <v>459</v>
      </c>
      <c r="C27" s="160" t="s">
        <v>460</v>
      </c>
      <c r="D27" s="100" t="s">
        <v>428</v>
      </c>
      <c r="E27" s="158" t="s">
        <v>438</v>
      </c>
      <c r="F27" s="102">
        <v>1.4999999999999999E-2</v>
      </c>
      <c r="G27" s="100">
        <f>SUMIF(Tablo5[BOYA KODU],Tablo14[[#This Row],[Boya Kodu]],Tablo5[KULLANILAN BOYA MİKTARI GRAM]) +SUMIF(Tablo515[BOYA KODU],Tablo14[[#This Row],[Boya Kodu]],Tablo515[KULLANILAN BOYA MİKTARI GRAM]) +SUMIF(Tablo516[BOYA KODU],Tablo14[[#This Row],[Boya Kodu]],Tablo516[KULLANILAN BOYA MİKTARI GRAM]) +SUMIF(Tablo517[BOYA KODU],Tablo14[[#This Row],[Boya Kodu]],Tablo517[KULLANILAN BOYA MİKTARI GRAM]) +SUMIF(Tablo518[BOYA KODU],Tablo14[[#This Row],[Boya Kodu]],Tablo518[KULLANILAN BOYA MİKTARI GRAM]) +SUMIF(Tablo519[BOYA KODU],Tablo14[[#This Row],[Boya Kodu]],Tablo519[KULLANILAN  BOYA MİKTARI GRAM]) +SUMIF(Tablo520[BOYA KODU],Tablo14[[#This Row],[Boya Kodu]],Tablo520[KULLANILAN BOYA MİKTARI GRAM])</f>
        <v>396.64800000000002</v>
      </c>
    </row>
    <row r="28" spans="1:7">
      <c r="A28" s="108" t="s">
        <v>429</v>
      </c>
      <c r="B28" s="100" t="s">
        <v>430</v>
      </c>
      <c r="C28" s="100" t="s">
        <v>445</v>
      </c>
      <c r="D28" s="100" t="s">
        <v>431</v>
      </c>
      <c r="E28" s="158" t="s">
        <v>438</v>
      </c>
      <c r="F28" s="102">
        <v>2.5000000000000001E-2</v>
      </c>
      <c r="G28" s="100">
        <f>SUMIF(Tablo5[BOYA KODU],Tablo14[[#This Row],[Boya Kodu]],Tablo5[KULLANILAN BOYA MİKTARI GRAM]) +SUMIF(Tablo515[BOYA KODU],Tablo14[[#This Row],[Boya Kodu]],Tablo515[KULLANILAN BOYA MİKTARI GRAM]) +SUMIF(Tablo516[BOYA KODU],Tablo14[[#This Row],[Boya Kodu]],Tablo516[KULLANILAN BOYA MİKTARI GRAM]) +SUMIF(Tablo517[BOYA KODU],Tablo14[[#This Row],[Boya Kodu]],Tablo517[KULLANILAN BOYA MİKTARI GRAM]) +SUMIF(Tablo518[BOYA KODU],Tablo14[[#This Row],[Boya Kodu]],Tablo518[KULLANILAN BOYA MİKTARI GRAM]) +SUMIF(Tablo519[BOYA KODU],Tablo14[[#This Row],[Boya Kodu]],Tablo519[KULLANILAN  BOYA MİKTARI GRAM]) +SUMIF(Tablo520[BOYA KODU],Tablo14[[#This Row],[Boya Kodu]],Tablo520[KULLANILAN BOYA MİKTARI GRAM])</f>
        <v>691.68750000000011</v>
      </c>
    </row>
    <row r="29" spans="1:7">
      <c r="A29" s="108" t="s">
        <v>424</v>
      </c>
      <c r="B29" s="100" t="s">
        <v>425</v>
      </c>
      <c r="C29" s="161" t="s">
        <v>457</v>
      </c>
      <c r="D29" s="100" t="s">
        <v>426</v>
      </c>
      <c r="E29" s="158" t="s">
        <v>438</v>
      </c>
      <c r="F29" s="102">
        <v>2E-3</v>
      </c>
      <c r="G29" s="100">
        <f>SUMIF(Tablo5[BOYA KODU],Tablo14[[#This Row],[Boya Kodu]],Tablo5[KULLANILAN BOYA MİKTARI GRAM]) +SUMIF(Tablo515[BOYA KODU],Tablo14[[#This Row],[Boya Kodu]],Tablo515[KULLANILAN BOYA MİKTARI GRAM]) +SUMIF(Tablo516[BOYA KODU],Tablo14[[#This Row],[Boya Kodu]],Tablo516[KULLANILAN BOYA MİKTARI GRAM]) +SUMIF(Tablo517[BOYA KODU],Tablo14[[#This Row],[Boya Kodu]],Tablo517[KULLANILAN BOYA MİKTARI GRAM]) +SUMIF(Tablo518[BOYA KODU],Tablo14[[#This Row],[Boya Kodu]],Tablo518[KULLANILAN BOYA MİKTARI GRAM]) +SUMIF(Tablo519[BOYA KODU],Tablo14[[#This Row],[Boya Kodu]],Tablo519[KULLANILAN  BOYA MİKTARI GRAM]) +SUMIF(Tablo520[BOYA KODU],Tablo14[[#This Row],[Boya Kodu]],Tablo520[KULLANILAN BOYA MİKTARI GRAM])</f>
        <v>218.62399999999997</v>
      </c>
    </row>
    <row r="30" spans="1:7">
      <c r="A30" s="108" t="s">
        <v>427</v>
      </c>
      <c r="B30" s="100" t="s">
        <v>425</v>
      </c>
      <c r="C30" s="161" t="s">
        <v>457</v>
      </c>
      <c r="D30" s="100" t="s">
        <v>428</v>
      </c>
      <c r="E30" s="158" t="s">
        <v>438</v>
      </c>
      <c r="F30" s="102">
        <v>2E-3</v>
      </c>
      <c r="G30" s="100">
        <f>SUMIF(Tablo5[BOYA KODU],Tablo14[[#This Row],[Boya Kodu]],Tablo5[KULLANILAN BOYA MİKTARI GRAM]) +SUMIF(Tablo515[BOYA KODU],Tablo14[[#This Row],[Boya Kodu]],Tablo515[KULLANILAN BOYA MİKTARI GRAM]) +SUMIF(Tablo516[BOYA KODU],Tablo14[[#This Row],[Boya Kodu]],Tablo516[KULLANILAN BOYA MİKTARI GRAM]) +SUMIF(Tablo517[BOYA KODU],Tablo14[[#This Row],[Boya Kodu]],Tablo517[KULLANILAN BOYA MİKTARI GRAM]) +SUMIF(Tablo518[BOYA KODU],Tablo14[[#This Row],[Boya Kodu]],Tablo518[KULLANILAN BOYA MİKTARI GRAM]) +SUMIF(Tablo519[BOYA KODU],Tablo14[[#This Row],[Boya Kodu]],Tablo519[KULLANILAN  BOYA MİKTARI GRAM]) +SUMIF(Tablo520[BOYA KODU],Tablo14[[#This Row],[Boya Kodu]],Tablo520[KULLANILAN BOYA MİKTARI GRAM])</f>
        <v>287.35679999999996</v>
      </c>
    </row>
    <row r="31" spans="1:7">
      <c r="A31" s="108">
        <v>16640</v>
      </c>
      <c r="B31" s="100" t="s">
        <v>430</v>
      </c>
      <c r="C31" s="161" t="s">
        <v>460</v>
      </c>
      <c r="D31" s="100" t="s">
        <v>461</v>
      </c>
      <c r="E31" s="158" t="s">
        <v>438</v>
      </c>
      <c r="F31" s="102">
        <v>0.03</v>
      </c>
      <c r="G31" s="100">
        <f>SUMIF(Tablo5[BOYA KODU],Tablo14[[#This Row],[Boya Kodu]],Tablo5[KULLANILAN BOYA MİKTARI GRAM]) +SUMIF(Tablo515[BOYA KODU],Tablo14[[#This Row],[Boya Kodu]],Tablo515[KULLANILAN BOYA MİKTARI GRAM]) +SUMIF(Tablo516[BOYA KODU],Tablo14[[#This Row],[Boya Kodu]],Tablo516[KULLANILAN BOYA MİKTARI GRAM]) +SUMIF(Tablo517[BOYA KODU],Tablo14[[#This Row],[Boya Kodu]],Tablo517[KULLANILAN BOYA MİKTARI GRAM]) +SUMIF(Tablo518[BOYA KODU],Tablo14[[#This Row],[Boya Kodu]],Tablo518[KULLANILAN BOYA MİKTARI GRAM]) +SUMIF(Tablo519[BOYA KODU],Tablo14[[#This Row],[Boya Kodu]],Tablo519[KULLANILAN  BOYA MİKTARI GRAM]) +SUMIF(Tablo520[BOYA KODU],Tablo14[[#This Row],[Boya Kodu]],Tablo520[KULLANILAN BOYA MİKTARI GRAM])</f>
        <v>2913.0149999999999</v>
      </c>
    </row>
    <row r="32" spans="1:7">
      <c r="A32" s="108"/>
      <c r="B32" s="100"/>
      <c r="C32" s="161"/>
      <c r="D32" s="100"/>
      <c r="E32" s="158"/>
      <c r="F32" s="102"/>
      <c r="G32" s="100">
        <f>SUMIF(Tablo5[BOYA KODU],Tablo14[[#This Row],[Boya Kodu]],Tablo5[KULLANILAN BOYA MİKTARI GRAM]) +SUMIF(Tablo515[BOYA KODU],Tablo14[[#This Row],[Boya Kodu]],Tablo515[KULLANILAN BOYA MİKTARI GRAM]) +SUMIF(Tablo516[BOYA KODU],Tablo14[[#This Row],[Boya Kodu]],Tablo516[KULLANILAN BOYA MİKTARI GRAM]) +SUMIF(Tablo517[BOYA KODU],Tablo14[[#This Row],[Boya Kodu]],Tablo517[KULLANILAN BOYA MİKTARI GRAM]) +SUMIF(Tablo518[BOYA KODU],Tablo14[[#This Row],[Boya Kodu]],Tablo518[KULLANILAN BOYA MİKTARI GRAM]) +SUMIF(Tablo519[BOYA KODU],Tablo14[[#This Row],[Boya Kodu]],Tablo519[KULLANILAN  BOYA MİKTARI GRAM]) +SUMIF(Tablo520[BOYA KODU],Tablo14[[#This Row],[Boya Kodu]],Tablo520[KULLANILAN BOYA MİKTARI GRAM])</f>
        <v>0</v>
      </c>
    </row>
    <row r="33" spans="1:7">
      <c r="A33" s="108"/>
      <c r="B33" s="100"/>
      <c r="C33" s="161"/>
      <c r="D33" s="100"/>
      <c r="E33" s="158"/>
      <c r="F33" s="102"/>
      <c r="G33" s="100">
        <f>SUMIF(Tablo5[BOYA KODU],Tablo14[[#This Row],[Boya Kodu]],Tablo5[KULLANILAN BOYA MİKTARI GRAM]) +SUMIF(Tablo515[BOYA KODU],Tablo14[[#This Row],[Boya Kodu]],Tablo515[KULLANILAN BOYA MİKTARI GRAM]) +SUMIF(Tablo516[BOYA KODU],Tablo14[[#This Row],[Boya Kodu]],Tablo516[KULLANILAN BOYA MİKTARI GRAM]) +SUMIF(Tablo517[BOYA KODU],Tablo14[[#This Row],[Boya Kodu]],Tablo517[KULLANILAN BOYA MİKTARI GRAM]) +SUMIF(Tablo518[BOYA KODU],Tablo14[[#This Row],[Boya Kodu]],Tablo518[KULLANILAN BOYA MİKTARI GRAM]) +SUMIF(Tablo519[BOYA KODU],Tablo14[[#This Row],[Boya Kodu]],Tablo519[KULLANILAN  BOYA MİKTARI GRAM]) +SUMIF(Tablo520[BOYA KODU],Tablo14[[#This Row],[Boya Kodu]],Tablo520[KULLANILAN BOYA MİKTARI GRAM])</f>
        <v>0</v>
      </c>
    </row>
    <row r="34" spans="1:7">
      <c r="A34" s="108"/>
      <c r="B34" s="100"/>
      <c r="C34" s="161"/>
      <c r="D34" s="100"/>
      <c r="E34" s="158"/>
      <c r="F34" s="102"/>
      <c r="G34" s="100">
        <f>SUMIF(Tablo5[BOYA KODU],Tablo14[[#This Row],[Boya Kodu]],Tablo5[KULLANILAN BOYA MİKTARI GRAM]) +SUMIF(Tablo515[BOYA KODU],Tablo14[[#This Row],[Boya Kodu]],Tablo515[KULLANILAN BOYA MİKTARI GRAM]) +SUMIF(Tablo516[BOYA KODU],Tablo14[[#This Row],[Boya Kodu]],Tablo516[KULLANILAN BOYA MİKTARI GRAM]) +SUMIF(Tablo517[BOYA KODU],Tablo14[[#This Row],[Boya Kodu]],Tablo517[KULLANILAN BOYA MİKTARI GRAM]) +SUMIF(Tablo518[BOYA KODU],Tablo14[[#This Row],[Boya Kodu]],Tablo518[KULLANILAN BOYA MİKTARI GRAM]) +SUMIF(Tablo519[BOYA KODU],Tablo14[[#This Row],[Boya Kodu]],Tablo519[KULLANILAN  BOYA MİKTARI GRAM]) +SUMIF(Tablo520[BOYA KODU],Tablo14[[#This Row],[Boya Kodu]],Tablo520[KULLANILAN BOYA MİKTARI GRAM])</f>
        <v>0</v>
      </c>
    </row>
    <row r="35" spans="1:7">
      <c r="A35" s="108"/>
      <c r="B35" s="100"/>
      <c r="C35" s="161"/>
      <c r="D35" s="100"/>
      <c r="E35" s="158"/>
      <c r="F35" s="102"/>
      <c r="G35" s="100">
        <f>SUMIF(Tablo5[BOYA KODU],Tablo14[[#This Row],[Boya Kodu]],Tablo5[KULLANILAN BOYA MİKTARI GRAM]) +SUMIF(Tablo515[BOYA KODU],Tablo14[[#This Row],[Boya Kodu]],Tablo515[KULLANILAN BOYA MİKTARI GRAM]) +SUMIF(Tablo516[BOYA KODU],Tablo14[[#This Row],[Boya Kodu]],Tablo516[KULLANILAN BOYA MİKTARI GRAM]) +SUMIF(Tablo517[BOYA KODU],Tablo14[[#This Row],[Boya Kodu]],Tablo517[KULLANILAN BOYA MİKTARI GRAM]) +SUMIF(Tablo518[BOYA KODU],Tablo14[[#This Row],[Boya Kodu]],Tablo518[KULLANILAN BOYA MİKTARI GRAM]) +SUMIF(Tablo519[BOYA KODU],Tablo14[[#This Row],[Boya Kodu]],Tablo519[KULLANILAN  BOYA MİKTARI GRAM]) +SUMIF(Tablo520[BOYA KODU],Tablo14[[#This Row],[Boya Kodu]],Tablo520[KULLANILAN BOYA MİKTARI GRAM])</f>
        <v>0</v>
      </c>
    </row>
    <row r="36" spans="1:7">
      <c r="A36" s="108"/>
      <c r="B36" s="100"/>
      <c r="C36" s="161"/>
      <c r="D36" s="100"/>
      <c r="E36" s="158"/>
      <c r="F36" s="102"/>
      <c r="G36" s="100">
        <f>SUMIF(Tablo5[BOYA KODU],Tablo14[[#This Row],[Boya Kodu]],Tablo5[KULLANILAN BOYA MİKTARI GRAM]) +SUMIF(Tablo515[BOYA KODU],Tablo14[[#This Row],[Boya Kodu]],Tablo515[KULLANILAN BOYA MİKTARI GRAM]) +SUMIF(Tablo516[BOYA KODU],Tablo14[[#This Row],[Boya Kodu]],Tablo516[KULLANILAN BOYA MİKTARI GRAM]) +SUMIF(Tablo517[BOYA KODU],Tablo14[[#This Row],[Boya Kodu]],Tablo517[KULLANILAN BOYA MİKTARI GRAM]) +SUMIF(Tablo518[BOYA KODU],Tablo14[[#This Row],[Boya Kodu]],Tablo518[KULLANILAN BOYA MİKTARI GRAM]) +SUMIF(Tablo519[BOYA KODU],Tablo14[[#This Row],[Boya Kodu]],Tablo519[KULLANILAN  BOYA MİKTARI GRAM]) +SUMIF(Tablo520[BOYA KODU],Tablo14[[#This Row],[Boya Kodu]],Tablo520[KULLANILAN BOYA MİKTARI GRAM])</f>
        <v>0</v>
      </c>
    </row>
    <row r="37" spans="1:7">
      <c r="A37" s="108"/>
      <c r="B37" s="100"/>
      <c r="C37" s="161"/>
      <c r="D37" s="100"/>
      <c r="E37" s="158"/>
      <c r="F37" s="102"/>
      <c r="G37" s="100">
        <f>SUMIF(Tablo5[BOYA KODU],Tablo14[[#This Row],[Boya Kodu]],Tablo5[KULLANILAN BOYA MİKTARI GRAM]) +SUMIF(Tablo515[BOYA KODU],Tablo14[[#This Row],[Boya Kodu]],Tablo515[KULLANILAN BOYA MİKTARI GRAM]) +SUMIF(Tablo516[BOYA KODU],Tablo14[[#This Row],[Boya Kodu]],Tablo516[KULLANILAN BOYA MİKTARI GRAM]) +SUMIF(Tablo517[BOYA KODU],Tablo14[[#This Row],[Boya Kodu]],Tablo517[KULLANILAN BOYA MİKTARI GRAM]) +SUMIF(Tablo518[BOYA KODU],Tablo14[[#This Row],[Boya Kodu]],Tablo518[KULLANILAN BOYA MİKTARI GRAM]) +SUMIF(Tablo519[BOYA KODU],Tablo14[[#This Row],[Boya Kodu]],Tablo519[KULLANILAN  BOYA MİKTARI GRAM]) +SUMIF(Tablo520[BOYA KODU],Tablo14[[#This Row],[Boya Kodu]],Tablo520[KULLANILAN BOYA MİKTARI GRAM])</f>
        <v>0</v>
      </c>
    </row>
    <row r="38" spans="1:7">
      <c r="A38" s="108"/>
      <c r="B38" s="100"/>
      <c r="C38" s="161"/>
      <c r="D38" s="100"/>
      <c r="E38" s="158"/>
      <c r="F38" s="102"/>
      <c r="G38" s="100">
        <f>SUMIF(Tablo5[BOYA KODU],Tablo14[[#This Row],[Boya Kodu]],Tablo5[KULLANILAN BOYA MİKTARI GRAM]) +SUMIF(Tablo515[BOYA KODU],Tablo14[[#This Row],[Boya Kodu]],Tablo515[KULLANILAN BOYA MİKTARI GRAM]) +SUMIF(Tablo516[BOYA KODU],Tablo14[[#This Row],[Boya Kodu]],Tablo516[KULLANILAN BOYA MİKTARI GRAM]) +SUMIF(Tablo517[BOYA KODU],Tablo14[[#This Row],[Boya Kodu]],Tablo517[KULLANILAN BOYA MİKTARI GRAM]) +SUMIF(Tablo518[BOYA KODU],Tablo14[[#This Row],[Boya Kodu]],Tablo518[KULLANILAN BOYA MİKTARI GRAM]) +SUMIF(Tablo519[BOYA KODU],Tablo14[[#This Row],[Boya Kodu]],Tablo519[KULLANILAN  BOYA MİKTARI GRAM]) +SUMIF(Tablo520[BOYA KODU],Tablo14[[#This Row],[Boya Kodu]],Tablo520[KULLANILAN BOYA MİKTARI GRAM])</f>
        <v>0</v>
      </c>
    </row>
    <row r="39" spans="1:7">
      <c r="A39" s="108"/>
      <c r="B39" s="100"/>
      <c r="C39" s="161"/>
      <c r="D39" s="100"/>
      <c r="E39" s="158"/>
      <c r="F39" s="102"/>
      <c r="G39" s="100">
        <f>SUMIF(Tablo5[BOYA KODU],Tablo14[[#This Row],[Boya Kodu]],Tablo5[KULLANILAN BOYA MİKTARI GRAM]) +SUMIF(Tablo515[BOYA KODU],Tablo14[[#This Row],[Boya Kodu]],Tablo515[KULLANILAN BOYA MİKTARI GRAM]) +SUMIF(Tablo516[BOYA KODU],Tablo14[[#This Row],[Boya Kodu]],Tablo516[KULLANILAN BOYA MİKTARI GRAM]) +SUMIF(Tablo517[BOYA KODU],Tablo14[[#This Row],[Boya Kodu]],Tablo517[KULLANILAN BOYA MİKTARI GRAM]) +SUMIF(Tablo518[BOYA KODU],Tablo14[[#This Row],[Boya Kodu]],Tablo518[KULLANILAN BOYA MİKTARI GRAM]) +SUMIF(Tablo519[BOYA KODU],Tablo14[[#This Row],[Boya Kodu]],Tablo519[KULLANILAN  BOYA MİKTARI GRAM]) +SUMIF(Tablo520[BOYA KODU],Tablo14[[#This Row],[Boya Kodu]],Tablo520[KULLANILAN BOYA MİKTARI GRAM])</f>
        <v>0</v>
      </c>
    </row>
    <row r="40" spans="1:7">
      <c r="A40" s="108"/>
      <c r="B40" s="100"/>
      <c r="C40" s="161"/>
      <c r="D40" s="100"/>
      <c r="E40" s="158"/>
      <c r="F40" s="102"/>
      <c r="G40" s="100">
        <f>SUMIF(Tablo5[BOYA KODU],Tablo14[[#This Row],[Boya Kodu]],Tablo5[KULLANILAN BOYA MİKTARI GRAM]) +SUMIF(Tablo515[BOYA KODU],Tablo14[[#This Row],[Boya Kodu]],Tablo515[KULLANILAN BOYA MİKTARI GRAM]) +SUMIF(Tablo516[BOYA KODU],Tablo14[[#This Row],[Boya Kodu]],Tablo516[KULLANILAN BOYA MİKTARI GRAM]) +SUMIF(Tablo517[BOYA KODU],Tablo14[[#This Row],[Boya Kodu]],Tablo517[KULLANILAN BOYA MİKTARI GRAM]) +SUMIF(Tablo518[BOYA KODU],Tablo14[[#This Row],[Boya Kodu]],Tablo518[KULLANILAN BOYA MİKTARI GRAM]) +SUMIF(Tablo519[BOYA KODU],Tablo14[[#This Row],[Boya Kodu]],Tablo519[KULLANILAN  BOYA MİKTARI GRAM]) +SUMIF(Tablo520[BOYA KODU],Tablo14[[#This Row],[Boya Kodu]],Tablo520[KULLANILAN BOYA MİKTARI GRAM])</f>
        <v>0</v>
      </c>
    </row>
    <row r="41" spans="1:7">
      <c r="A41" s="108"/>
      <c r="B41" s="100"/>
      <c r="C41" s="161"/>
      <c r="D41" s="100"/>
      <c r="E41" s="158"/>
      <c r="F41" s="102"/>
      <c r="G41" s="100">
        <f>SUMIF(Tablo5[BOYA KODU],Tablo14[[#This Row],[Boya Kodu]],Tablo5[KULLANILAN BOYA MİKTARI GRAM]) +SUMIF(Tablo515[BOYA KODU],Tablo14[[#This Row],[Boya Kodu]],Tablo515[KULLANILAN BOYA MİKTARI GRAM]) +SUMIF(Tablo516[BOYA KODU],Tablo14[[#This Row],[Boya Kodu]],Tablo516[KULLANILAN BOYA MİKTARI GRAM]) +SUMIF(Tablo517[BOYA KODU],Tablo14[[#This Row],[Boya Kodu]],Tablo517[KULLANILAN BOYA MİKTARI GRAM]) +SUMIF(Tablo518[BOYA KODU],Tablo14[[#This Row],[Boya Kodu]],Tablo518[KULLANILAN BOYA MİKTARI GRAM]) +SUMIF(Tablo519[BOYA KODU],Tablo14[[#This Row],[Boya Kodu]],Tablo519[KULLANILAN  BOYA MİKTARI GRAM]) +SUMIF(Tablo520[BOYA KODU],Tablo14[[#This Row],[Boya Kodu]],Tablo520[KULLANILAN BOYA MİKTARI GRAM])</f>
        <v>0</v>
      </c>
    </row>
    <row r="42" spans="1:7">
      <c r="A42" s="108"/>
      <c r="B42" s="100"/>
      <c r="C42" s="161"/>
      <c r="D42" s="100"/>
      <c r="E42" s="158"/>
      <c r="F42" s="102"/>
      <c r="G42" s="100">
        <f>SUMIF(Tablo5[BOYA KODU],Tablo14[[#This Row],[Boya Kodu]],Tablo5[KULLANILAN BOYA MİKTARI GRAM]) +SUMIF(Tablo515[BOYA KODU],Tablo14[[#This Row],[Boya Kodu]],Tablo515[KULLANILAN BOYA MİKTARI GRAM]) +SUMIF(Tablo516[BOYA KODU],Tablo14[[#This Row],[Boya Kodu]],Tablo516[KULLANILAN BOYA MİKTARI GRAM]) +SUMIF(Tablo517[BOYA KODU],Tablo14[[#This Row],[Boya Kodu]],Tablo517[KULLANILAN BOYA MİKTARI GRAM]) +SUMIF(Tablo518[BOYA KODU],Tablo14[[#This Row],[Boya Kodu]],Tablo518[KULLANILAN BOYA MİKTARI GRAM]) +SUMIF(Tablo519[BOYA KODU],Tablo14[[#This Row],[Boya Kodu]],Tablo519[KULLANILAN  BOYA MİKTARI GRAM]) +SUMIF(Tablo520[BOYA KODU],Tablo14[[#This Row],[Boya Kodu]],Tablo520[KULLANILAN BOYA MİKTARI GRAM])</f>
        <v>0</v>
      </c>
    </row>
    <row r="43" spans="1:7">
      <c r="A43" s="108"/>
      <c r="B43" s="100"/>
      <c r="C43" s="161"/>
      <c r="D43" s="100"/>
      <c r="E43" s="158"/>
      <c r="F43" s="102"/>
      <c r="G43" s="100">
        <f>SUMIF(Tablo5[BOYA KODU],Tablo14[[#This Row],[Boya Kodu]],Tablo5[KULLANILAN BOYA MİKTARI GRAM]) +SUMIF(Tablo515[BOYA KODU],Tablo14[[#This Row],[Boya Kodu]],Tablo515[KULLANILAN BOYA MİKTARI GRAM]) +SUMIF(Tablo516[BOYA KODU],Tablo14[[#This Row],[Boya Kodu]],Tablo516[KULLANILAN BOYA MİKTARI GRAM]) +SUMIF(Tablo517[BOYA KODU],Tablo14[[#This Row],[Boya Kodu]],Tablo517[KULLANILAN BOYA MİKTARI GRAM]) +SUMIF(Tablo518[BOYA KODU],Tablo14[[#This Row],[Boya Kodu]],Tablo518[KULLANILAN BOYA MİKTARI GRAM]) +SUMIF(Tablo519[BOYA KODU],Tablo14[[#This Row],[Boya Kodu]],Tablo519[KULLANILAN  BOYA MİKTARI GRAM]) +SUMIF(Tablo520[BOYA KODU],Tablo14[[#This Row],[Boya Kodu]],Tablo520[KULLANILAN BOYA MİKTARI GRAM])</f>
        <v>0</v>
      </c>
    </row>
    <row r="44" spans="1:7">
      <c r="A44" s="108"/>
      <c r="B44" s="100"/>
      <c r="C44" s="161"/>
      <c r="D44" s="100"/>
      <c r="E44" s="158"/>
      <c r="F44" s="102"/>
      <c r="G44" s="100">
        <f>SUMIF(Tablo5[BOYA KODU],Tablo14[[#This Row],[Boya Kodu]],Tablo5[KULLANILAN BOYA MİKTARI GRAM]) +SUMIF(Tablo515[BOYA KODU],Tablo14[[#This Row],[Boya Kodu]],Tablo515[KULLANILAN BOYA MİKTARI GRAM]) +SUMIF(Tablo516[BOYA KODU],Tablo14[[#This Row],[Boya Kodu]],Tablo516[KULLANILAN BOYA MİKTARI GRAM]) +SUMIF(Tablo517[BOYA KODU],Tablo14[[#This Row],[Boya Kodu]],Tablo517[KULLANILAN BOYA MİKTARI GRAM]) +SUMIF(Tablo518[BOYA KODU],Tablo14[[#This Row],[Boya Kodu]],Tablo518[KULLANILAN BOYA MİKTARI GRAM]) +SUMIF(Tablo519[BOYA KODU],Tablo14[[#This Row],[Boya Kodu]],Tablo519[KULLANILAN  BOYA MİKTARI GRAM]) +SUMIF(Tablo520[BOYA KODU],Tablo14[[#This Row],[Boya Kodu]],Tablo520[KULLANILAN BOYA MİKTARI GRAM])</f>
        <v>0</v>
      </c>
    </row>
    <row r="45" spans="1:7">
      <c r="A45" s="108"/>
      <c r="B45" s="100"/>
      <c r="C45" s="161"/>
      <c r="D45" s="100"/>
      <c r="E45" s="158"/>
      <c r="F45" s="102"/>
      <c r="G45" s="100">
        <f>SUMIF(Tablo5[BOYA KODU],Tablo14[[#This Row],[Boya Kodu]],Tablo5[KULLANILAN BOYA MİKTARI GRAM]) +SUMIF(Tablo515[BOYA KODU],Tablo14[[#This Row],[Boya Kodu]],Tablo515[KULLANILAN BOYA MİKTARI GRAM]) +SUMIF(Tablo516[BOYA KODU],Tablo14[[#This Row],[Boya Kodu]],Tablo516[KULLANILAN BOYA MİKTARI GRAM]) +SUMIF(Tablo517[BOYA KODU],Tablo14[[#This Row],[Boya Kodu]],Tablo517[KULLANILAN BOYA MİKTARI GRAM]) +SUMIF(Tablo518[BOYA KODU],Tablo14[[#This Row],[Boya Kodu]],Tablo518[KULLANILAN BOYA MİKTARI GRAM]) +SUMIF(Tablo519[BOYA KODU],Tablo14[[#This Row],[Boya Kodu]],Tablo519[KULLANILAN  BOYA MİKTARI GRAM]) +SUMIF(Tablo520[BOYA KODU],Tablo14[[#This Row],[Boya Kodu]],Tablo520[KULLANILAN BOYA MİKTARI GRAM])</f>
        <v>0</v>
      </c>
    </row>
    <row r="46" spans="1:7">
      <c r="A46" s="108"/>
      <c r="B46" s="100"/>
      <c r="C46" s="161"/>
      <c r="D46" s="100"/>
      <c r="E46" s="158"/>
      <c r="F46" s="102"/>
      <c r="G46" s="100">
        <f>SUMIF(Tablo5[BOYA KODU],Tablo14[[#This Row],[Boya Kodu]],Tablo5[KULLANILAN BOYA MİKTARI GRAM]) +SUMIF(Tablo515[BOYA KODU],Tablo14[[#This Row],[Boya Kodu]],Tablo515[KULLANILAN BOYA MİKTARI GRAM]) +SUMIF(Tablo516[BOYA KODU],Tablo14[[#This Row],[Boya Kodu]],Tablo516[KULLANILAN BOYA MİKTARI GRAM]) +SUMIF(Tablo517[BOYA KODU],Tablo14[[#This Row],[Boya Kodu]],Tablo517[KULLANILAN BOYA MİKTARI GRAM]) +SUMIF(Tablo518[BOYA KODU],Tablo14[[#This Row],[Boya Kodu]],Tablo518[KULLANILAN BOYA MİKTARI GRAM]) +SUMIF(Tablo519[BOYA KODU],Tablo14[[#This Row],[Boya Kodu]],Tablo519[KULLANILAN  BOYA MİKTARI GRAM]) +SUMIF(Tablo520[BOYA KODU],Tablo14[[#This Row],[Boya Kodu]],Tablo520[KULLANILAN BOYA MİKTARI GRAM])</f>
        <v>0</v>
      </c>
    </row>
    <row r="47" spans="1:7">
      <c r="A47" s="108"/>
      <c r="B47" s="100"/>
      <c r="C47" s="161"/>
      <c r="D47" s="100"/>
      <c r="E47" s="158"/>
      <c r="F47" s="102"/>
      <c r="G47" s="100">
        <f>SUMIF(Tablo5[BOYA KODU],Tablo14[[#This Row],[Boya Kodu]],Tablo5[KULLANILAN BOYA MİKTARI GRAM]) +SUMIF(Tablo515[BOYA KODU],Tablo14[[#This Row],[Boya Kodu]],Tablo515[KULLANILAN BOYA MİKTARI GRAM]) +SUMIF(Tablo516[BOYA KODU],Tablo14[[#This Row],[Boya Kodu]],Tablo516[KULLANILAN BOYA MİKTARI GRAM]) +SUMIF(Tablo517[BOYA KODU],Tablo14[[#This Row],[Boya Kodu]],Tablo517[KULLANILAN BOYA MİKTARI GRAM]) +SUMIF(Tablo518[BOYA KODU],Tablo14[[#This Row],[Boya Kodu]],Tablo518[KULLANILAN BOYA MİKTARI GRAM]) +SUMIF(Tablo519[BOYA KODU],Tablo14[[#This Row],[Boya Kodu]],Tablo519[KULLANILAN  BOYA MİKTARI GRAM]) +SUMIF(Tablo520[BOYA KODU],Tablo14[[#This Row],[Boya Kodu]],Tablo520[KULLANILAN BOYA MİKTARI GRAM])</f>
        <v>0</v>
      </c>
    </row>
    <row r="48" spans="1:7">
      <c r="A48" s="108"/>
      <c r="B48" s="100"/>
      <c r="C48" s="161"/>
      <c r="D48" s="100"/>
      <c r="E48" s="158"/>
      <c r="F48" s="102"/>
      <c r="G48" s="100">
        <f>SUMIF(Tablo5[BOYA KODU],Tablo14[[#This Row],[Boya Kodu]],Tablo5[KULLANILAN BOYA MİKTARI GRAM]) +SUMIF(Tablo515[BOYA KODU],Tablo14[[#This Row],[Boya Kodu]],Tablo515[KULLANILAN BOYA MİKTARI GRAM]) +SUMIF(Tablo516[BOYA KODU],Tablo14[[#This Row],[Boya Kodu]],Tablo516[KULLANILAN BOYA MİKTARI GRAM]) +SUMIF(Tablo517[BOYA KODU],Tablo14[[#This Row],[Boya Kodu]],Tablo517[KULLANILAN BOYA MİKTARI GRAM]) +SUMIF(Tablo518[BOYA KODU],Tablo14[[#This Row],[Boya Kodu]],Tablo518[KULLANILAN BOYA MİKTARI GRAM]) +SUMIF(Tablo519[BOYA KODU],Tablo14[[#This Row],[Boya Kodu]],Tablo519[KULLANILAN  BOYA MİKTARI GRAM]) +SUMIF(Tablo520[BOYA KODU],Tablo14[[#This Row],[Boya Kodu]],Tablo520[KULLANILAN BOYA MİKTARI GRAM])</f>
        <v>0</v>
      </c>
    </row>
    <row r="49" spans="1:7">
      <c r="A49" s="108"/>
      <c r="B49" s="100"/>
      <c r="C49" s="161"/>
      <c r="D49" s="100"/>
      <c r="E49" s="158"/>
      <c r="F49" s="102"/>
      <c r="G49" s="100">
        <f>SUMIF(Tablo5[BOYA KODU],Tablo14[[#This Row],[Boya Kodu]],Tablo5[KULLANILAN BOYA MİKTARI GRAM]) +SUMIF(Tablo515[BOYA KODU],Tablo14[[#This Row],[Boya Kodu]],Tablo515[KULLANILAN BOYA MİKTARI GRAM]) +SUMIF(Tablo516[BOYA KODU],Tablo14[[#This Row],[Boya Kodu]],Tablo516[KULLANILAN BOYA MİKTARI GRAM]) +SUMIF(Tablo517[BOYA KODU],Tablo14[[#This Row],[Boya Kodu]],Tablo517[KULLANILAN BOYA MİKTARI GRAM]) +SUMIF(Tablo518[BOYA KODU],Tablo14[[#This Row],[Boya Kodu]],Tablo518[KULLANILAN BOYA MİKTARI GRAM]) +SUMIF(Tablo519[BOYA KODU],Tablo14[[#This Row],[Boya Kodu]],Tablo519[KULLANILAN  BOYA MİKTARI GRAM]) +SUMIF(Tablo520[BOYA KODU],Tablo14[[#This Row],[Boya Kodu]],Tablo520[KULLANILAN BOYA MİKTARI GRAM])</f>
        <v>0</v>
      </c>
    </row>
  </sheetData>
  <sheetProtection password="CC17" sheet="1" objects="1" scenarios="1"/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>
  <sheetPr codeName="Sayfa16"/>
  <dimension ref="A1:G33"/>
  <sheetViews>
    <sheetView tabSelected="1" zoomScale="80" zoomScaleNormal="80" workbookViewId="0">
      <pane ySplit="1" topLeftCell="A2" activePane="bottomLeft" state="frozen"/>
      <selection activeCell="F19" sqref="F19"/>
      <selection pane="bottomLeft" activeCell="G2" sqref="G2"/>
    </sheetView>
  </sheetViews>
  <sheetFormatPr defaultRowHeight="15"/>
  <cols>
    <col min="1" max="1" width="14.85546875" style="168" customWidth="1"/>
    <col min="2" max="2" width="17" style="140" bestFit="1" customWidth="1"/>
    <col min="3" max="3" width="21.7109375" style="140" bestFit="1" customWidth="1"/>
    <col min="4" max="4" width="13" style="147" customWidth="1"/>
    <col min="5" max="5" width="14" style="147" bestFit="1" customWidth="1"/>
    <col min="6" max="6" width="13.7109375" style="147" customWidth="1"/>
    <col min="7" max="7" width="16.28515625" style="147" bestFit="1" customWidth="1"/>
    <col min="8" max="16384" width="9.140625" style="140"/>
  </cols>
  <sheetData>
    <row r="1" spans="1:7" ht="49.5" customHeight="1">
      <c r="A1" s="163" t="s">
        <v>9</v>
      </c>
      <c r="B1" s="145" t="s">
        <v>358</v>
      </c>
      <c r="C1" s="145" t="s">
        <v>462</v>
      </c>
      <c r="D1" s="146" t="s">
        <v>409</v>
      </c>
      <c r="E1" s="146" t="s">
        <v>463</v>
      </c>
      <c r="F1" s="146" t="s">
        <v>407</v>
      </c>
      <c r="G1" s="164" t="s">
        <v>464</v>
      </c>
    </row>
    <row r="2" spans="1:7" ht="24" customHeight="1">
      <c r="A2" s="165" t="s">
        <v>410</v>
      </c>
      <c r="B2" s="140" t="str">
        <f>IFERROR(VLOOKUP(Tablo413[[#All],[BOYA KODU]],Tablo14[#All],2,0)," ")</f>
        <v>2D KİMYA</v>
      </c>
      <c r="C2" s="140" t="str">
        <f>IFERROR(VLOOKUP(Tablo413[[#All],[BOYA KODU]],Tablo14[#All],3,0)," ")</f>
        <v>P.C/P.P</v>
      </c>
      <c r="D2" s="147">
        <f>IFERROR(SUMIF(Tablo211[BOYA KODU],Tablo413[[#This Row],[BOYA KODU]],Tablo211[ALINAN GR])," " )</f>
        <v>36700</v>
      </c>
      <c r="E2" s="147">
        <f>SUMIF(Tablo413[[#This Row],[BOYA KODU]],Tablo14[[#This Row],[Boya Kodu]],Tablo14[[#This Row],[Tüketim
GRAM]])</f>
        <v>9789.1535000000003</v>
      </c>
      <c r="F2" s="147">
        <f>Tablo413[[#This Row],[ALINAN GR]]-Tablo413[[#This Row],[KULLANILAN GR]]</f>
        <v>26910.8465</v>
      </c>
      <c r="G2" s="147" t="str">
        <f>IF(F2 &lt;= 1,"AZALDI","NORMAL")</f>
        <v>NORMAL</v>
      </c>
    </row>
    <row r="3" spans="1:7" ht="24" customHeight="1">
      <c r="A3" s="165">
        <v>1290</v>
      </c>
      <c r="B3" s="140" t="str">
        <f>IFERROR(VLOOKUP(Tablo413[[#All],[BOYA KODU]],Tablo14[#All],2,0)," ")</f>
        <v>2D KİMYA</v>
      </c>
      <c r="C3" s="140" t="str">
        <f>IFERROR(VLOOKUP(Tablo413[[#All],[BOYA KODU]],Tablo14[#All],3,0)," ")</f>
        <v>P.P</v>
      </c>
      <c r="D3" s="147">
        <f>IFERROR(SUMIF(Tablo211[BOYA KODU],Tablo413[[#This Row],[BOYA KODU]],Tablo211[ALINAN GR])," " )</f>
        <v>2300</v>
      </c>
      <c r="E3" s="147">
        <f>SUMIF(Tablo413[[#This Row],[BOYA KODU]],Tablo14[[#This Row],[Boya Kodu]],Tablo14[[#This Row],[Tüketim
GRAM]])</f>
        <v>1500.4304999999999</v>
      </c>
      <c r="F3" s="147">
        <f>Tablo413[[#This Row],[ALINAN GR]]-Tablo413[[#This Row],[KULLANILAN GR]]</f>
        <v>799.56950000000006</v>
      </c>
      <c r="G3" s="147" t="str">
        <f t="shared" ref="G3:G32" si="0">IF(F3 &lt;= 1,"AZALDI","NORMAL")</f>
        <v>NORMAL</v>
      </c>
    </row>
    <row r="4" spans="1:7" ht="24" customHeight="1">
      <c r="A4" s="165">
        <v>6192</v>
      </c>
      <c r="B4" s="140" t="str">
        <f>IFERROR(VLOOKUP(Tablo413[[#All],[BOYA KODU]],Tablo14[#All],2,0)," ")</f>
        <v>2D KİMYA</v>
      </c>
      <c r="C4" s="140" t="str">
        <f>IFERROR(VLOOKUP(Tablo413[[#All],[BOYA KODU]],Tablo14[#All],3,0)," ")</f>
        <v>P.C/P.P/T.P.E.</v>
      </c>
      <c r="D4" s="147">
        <f>IFERROR(SUMIF(Tablo211[BOYA KODU],Tablo413[[#This Row],[BOYA KODU]],Tablo211[ALINAN GR])," " )</f>
        <v>2500</v>
      </c>
      <c r="E4" s="147">
        <f>SUMIF(Tablo413[[#This Row],[BOYA KODU]],Tablo14[[#This Row],[Boya Kodu]],Tablo14[[#This Row],[Tüketim
GRAM]])</f>
        <v>2445.7039999999997</v>
      </c>
      <c r="F4" s="147">
        <f>Tablo413[[#This Row],[ALINAN GR]]-Tablo413[[#This Row],[KULLANILAN GR]]</f>
        <v>54.296000000000276</v>
      </c>
      <c r="G4" s="147" t="str">
        <f t="shared" si="0"/>
        <v>NORMAL</v>
      </c>
    </row>
    <row r="5" spans="1:7" ht="24" customHeight="1">
      <c r="A5" s="165">
        <v>3409</v>
      </c>
      <c r="B5" s="140" t="str">
        <f>IFERROR(VLOOKUP(Tablo413[[#All],[BOYA KODU]],Tablo14[#All],2,0)," ")</f>
        <v>2D KİMYA</v>
      </c>
      <c r="C5" s="140" t="str">
        <f>IFERROR(VLOOKUP(Tablo413[[#All],[BOYA KODU]],Tablo14[#All],3,0)," ")</f>
        <v>P.P</v>
      </c>
      <c r="D5" s="147">
        <f>IFERROR(SUMIF(Tablo211[BOYA KODU],Tablo413[[#This Row],[BOYA KODU]],Tablo211[ALINAN GR])," " )</f>
        <v>7400</v>
      </c>
      <c r="E5" s="147">
        <f>SUMIF(Tablo413[[#This Row],[BOYA KODU]],Tablo14[[#This Row],[Boya Kodu]],Tablo14[[#This Row],[Tüketim
GRAM]])</f>
        <v>5188.9425000000001</v>
      </c>
      <c r="F5" s="147">
        <f>Tablo413[[#This Row],[ALINAN GR]]-Tablo413[[#This Row],[KULLANILAN GR]]</f>
        <v>2211.0574999999999</v>
      </c>
      <c r="G5" s="147" t="str">
        <f t="shared" si="0"/>
        <v>NORMAL</v>
      </c>
    </row>
    <row r="6" spans="1:7" ht="24" customHeight="1">
      <c r="A6" s="165">
        <v>5287</v>
      </c>
      <c r="B6" s="140" t="str">
        <f>IFERROR(VLOOKUP(Tablo413[[#All],[BOYA KODU]],Tablo14[#All],2,0)," ")</f>
        <v>2D KİMYA</v>
      </c>
      <c r="C6" s="140" t="str">
        <f>IFERROR(VLOOKUP(Tablo413[[#All],[BOYA KODU]],Tablo14[#All],3,0)," ")</f>
        <v>P.P</v>
      </c>
      <c r="D6" s="147">
        <f>IFERROR(SUMIF(Tablo211[BOYA KODU],Tablo413[[#This Row],[BOYA KODU]],Tablo211[ALINAN GR])," " )</f>
        <v>7100</v>
      </c>
      <c r="E6" s="147">
        <f>SUMIF(Tablo413[[#This Row],[BOYA KODU]],Tablo14[[#This Row],[Boya Kodu]],Tablo14[[#This Row],[Tüketim
GRAM]])</f>
        <v>5022.2690000000002</v>
      </c>
      <c r="F6" s="147">
        <f>Tablo413[[#This Row],[ALINAN GR]]-Tablo413[[#This Row],[KULLANILAN GR]]</f>
        <v>2077.7309999999998</v>
      </c>
      <c r="G6" s="147" t="str">
        <f t="shared" si="0"/>
        <v>NORMAL</v>
      </c>
    </row>
    <row r="7" spans="1:7" ht="24" customHeight="1">
      <c r="A7" s="165">
        <v>4090</v>
      </c>
      <c r="B7" s="140" t="str">
        <f>IFERROR(VLOOKUP(Tablo413[[#All],[BOYA KODU]],Tablo14[#All],2,0)," ")</f>
        <v>2D KİMYA</v>
      </c>
      <c r="C7" s="140" t="str">
        <f>IFERROR(VLOOKUP(Tablo413[[#All],[BOYA KODU]],Tablo14[#All],3,0)," ")</f>
        <v>P.P</v>
      </c>
      <c r="D7" s="147">
        <f>IFERROR(SUMIF(Tablo211[BOYA KODU],Tablo413[[#This Row],[BOYA KODU]],Tablo211[ALINAN GR])," " )</f>
        <v>5300</v>
      </c>
      <c r="E7" s="147">
        <f>SUMIF(Tablo413[[#This Row],[BOYA KODU]],Tablo14[[#This Row],[Boya Kodu]],Tablo14[[#This Row],[Tüketim
GRAM]])</f>
        <v>1202.4245000000001</v>
      </c>
      <c r="F7" s="147">
        <f>Tablo413[[#This Row],[ALINAN GR]]-Tablo413[[#This Row],[KULLANILAN GR]]</f>
        <v>4097.5754999999999</v>
      </c>
      <c r="G7" s="147" t="str">
        <f t="shared" si="0"/>
        <v>NORMAL</v>
      </c>
    </row>
    <row r="8" spans="1:7" ht="24" customHeight="1">
      <c r="A8" s="165">
        <v>3041</v>
      </c>
      <c r="B8" s="140" t="str">
        <f>IFERROR(VLOOKUP(Tablo413[[#All],[BOYA KODU]],Tablo14[#All],2,0)," ")</f>
        <v>2D KİMYA</v>
      </c>
      <c r="C8" s="140" t="str">
        <f>IFERROR(VLOOKUP(Tablo413[[#All],[BOYA KODU]],Tablo14[#All],3,0)," ")</f>
        <v>P.P</v>
      </c>
      <c r="D8" s="147">
        <f>IFERROR(SUMIF(Tablo211[BOYA KODU],Tablo413[[#This Row],[BOYA KODU]],Tablo211[ALINAN GR])," " )</f>
        <v>3000</v>
      </c>
      <c r="E8" s="147">
        <f>SUMIF(Tablo413[[#This Row],[BOYA KODU]],Tablo14[[#This Row],[Boya Kodu]],Tablo14[[#This Row],[Tüketim
GRAM]])</f>
        <v>2443.6530000000002</v>
      </c>
      <c r="F8" s="147">
        <f>Tablo413[[#This Row],[ALINAN GR]]-Tablo413[[#This Row],[KULLANILAN GR]]</f>
        <v>556.34699999999975</v>
      </c>
      <c r="G8" s="147" t="str">
        <f t="shared" si="0"/>
        <v>NORMAL</v>
      </c>
    </row>
    <row r="9" spans="1:7" ht="24" customHeight="1">
      <c r="A9" s="165" t="s">
        <v>411</v>
      </c>
      <c r="B9" s="140" t="str">
        <f>IFERROR(VLOOKUP(Tablo413[[#All],[BOYA KODU]],Tablo14[#All],2,0)," ")</f>
        <v>2D KİMYA</v>
      </c>
      <c r="C9" s="140" t="str">
        <f>IFERROR(VLOOKUP(Tablo413[[#All],[BOYA KODU]],Tablo14[#All],3,0)," ")</f>
        <v>P.P</v>
      </c>
      <c r="D9" s="147">
        <f>IFERROR(SUMIF(Tablo211[BOYA KODU],Tablo413[[#This Row],[BOYA KODU]],Tablo211[ALINAN GR])," " )</f>
        <v>3300</v>
      </c>
      <c r="E9" s="147">
        <f>SUMIF(Tablo413[[#This Row],[BOYA KODU]],Tablo14[[#This Row],[Boya Kodu]],Tablo14[[#This Row],[Tüketim
GRAM]])</f>
        <v>0</v>
      </c>
      <c r="F9" s="147">
        <f>Tablo413[[#This Row],[ALINAN GR]]-Tablo413[[#This Row],[KULLANILAN GR]]</f>
        <v>3300</v>
      </c>
      <c r="G9" s="147" t="str">
        <f t="shared" si="0"/>
        <v>NORMAL</v>
      </c>
    </row>
    <row r="10" spans="1:7" ht="24" customHeight="1">
      <c r="A10" s="165">
        <v>1289</v>
      </c>
      <c r="B10" s="140" t="str">
        <f>IFERROR(VLOOKUP(Tablo413[[#All],[BOYA KODU]],Tablo14[#All],2,0)," ")</f>
        <v>2D KİMYA</v>
      </c>
      <c r="C10" s="140" t="str">
        <f>IFERROR(VLOOKUP(Tablo413[[#All],[BOYA KODU]],Tablo14[#All],3,0)," ")</f>
        <v>P.C.</v>
      </c>
      <c r="D10" s="147">
        <f>IFERROR(SUMIF(Tablo211[BOYA KODU],Tablo413[[#This Row],[BOYA KODU]],Tablo211[ALINAN GR])," " )</f>
        <v>2800</v>
      </c>
      <c r="E10" s="147">
        <f>SUMIF(Tablo413[[#This Row],[BOYA KODU]],Tablo14[[#This Row],[Boya Kodu]],Tablo14[[#This Row],[Tüketim
GRAM]])</f>
        <v>832.06499999999994</v>
      </c>
      <c r="F10" s="147">
        <f>Tablo413[[#This Row],[ALINAN GR]]-Tablo413[[#This Row],[KULLANILAN GR]]</f>
        <v>1967.9349999999999</v>
      </c>
      <c r="G10" s="147" t="str">
        <f t="shared" si="0"/>
        <v>NORMAL</v>
      </c>
    </row>
    <row r="11" spans="1:7" ht="24" customHeight="1">
      <c r="A11" s="165">
        <v>3408</v>
      </c>
      <c r="B11" s="140" t="str">
        <f>IFERROR(VLOOKUP(Tablo413[[#All],[BOYA KODU]],Tablo14[#All],2,0)," ")</f>
        <v>2D KİMYA</v>
      </c>
      <c r="C11" s="140" t="str">
        <f>IFERROR(VLOOKUP(Tablo413[[#All],[BOYA KODU]],Tablo14[#All],3,0)," ")</f>
        <v>P.C.</v>
      </c>
      <c r="D11" s="147">
        <f>IFERROR(SUMIF(Tablo211[BOYA KODU],Tablo413[[#This Row],[BOYA KODU]],Tablo211[ALINAN GR])," " )</f>
        <v>8800</v>
      </c>
      <c r="E11" s="147">
        <f>SUMIF(Tablo413[[#This Row],[BOYA KODU]],Tablo14[[#This Row],[Boya Kodu]],Tablo14[[#This Row],[Tüketim
GRAM]])</f>
        <v>2383.4969999999994</v>
      </c>
      <c r="F11" s="147">
        <f>Tablo413[[#This Row],[ALINAN GR]]-Tablo413[[#This Row],[KULLANILAN GR]]</f>
        <v>6416.5030000000006</v>
      </c>
      <c r="G11" s="147" t="str">
        <f t="shared" si="0"/>
        <v>NORMAL</v>
      </c>
    </row>
    <row r="12" spans="1:7" ht="24" customHeight="1">
      <c r="A12" s="165" t="s">
        <v>412</v>
      </c>
      <c r="B12" s="140" t="str">
        <f>IFERROR(VLOOKUP(Tablo413[[#All],[BOYA KODU]],Tablo14[#All],2,0)," ")</f>
        <v>2D KİMYA</v>
      </c>
      <c r="C12" s="140" t="str">
        <f>IFERROR(VLOOKUP(Tablo413[[#All],[BOYA KODU]],Tablo14[#All],3,0)," ")</f>
        <v>P.C.</v>
      </c>
      <c r="D12" s="147">
        <f>IFERROR(SUMIF(Tablo211[BOYA KODU],Tablo413[[#This Row],[BOYA KODU]],Tablo211[ALINAN GR])," " )</f>
        <v>10700</v>
      </c>
      <c r="E12" s="147">
        <f>SUMIF(Tablo413[[#This Row],[BOYA KODU]],Tablo14[[#This Row],[Boya Kodu]],Tablo14[[#This Row],[Tüketim
GRAM]])</f>
        <v>3877.2845000000007</v>
      </c>
      <c r="F12" s="147">
        <f>Tablo413[[#This Row],[ALINAN GR]]-Tablo413[[#This Row],[KULLANILAN GR]]</f>
        <v>6822.7154999999993</v>
      </c>
      <c r="G12" s="147" t="str">
        <f t="shared" si="0"/>
        <v>NORMAL</v>
      </c>
    </row>
    <row r="13" spans="1:7" ht="24" customHeight="1">
      <c r="A13" s="165">
        <v>4089</v>
      </c>
      <c r="B13" s="140" t="str">
        <f>IFERROR(VLOOKUP(Tablo413[[#All],[BOYA KODU]],Tablo14[#All],2,0)," ")</f>
        <v>2D KİMYA</v>
      </c>
      <c r="C13" s="140" t="str">
        <f>IFERROR(VLOOKUP(Tablo413[[#All],[BOYA KODU]],Tablo14[#All],3,0)," ")</f>
        <v>P.C.</v>
      </c>
      <c r="D13" s="147">
        <f>IFERROR(SUMIF(Tablo211[BOYA KODU],Tablo413[[#This Row],[BOYA KODU]],Tablo211[ALINAN GR])," " )</f>
        <v>7300</v>
      </c>
      <c r="E13" s="147">
        <f>SUMIF(Tablo413[[#This Row],[BOYA KODU]],Tablo14[[#This Row],[Boya Kodu]],Tablo14[[#This Row],[Tüketim
GRAM]])</f>
        <v>763.87799999999993</v>
      </c>
      <c r="F13" s="147">
        <f>Tablo413[[#This Row],[ALINAN GR]]-Tablo413[[#This Row],[KULLANILAN GR]]</f>
        <v>6536.1220000000003</v>
      </c>
      <c r="G13" s="147" t="str">
        <f t="shared" si="0"/>
        <v>NORMAL</v>
      </c>
    </row>
    <row r="14" spans="1:7" ht="24" customHeight="1">
      <c r="A14" s="165" t="s">
        <v>413</v>
      </c>
      <c r="B14" s="140" t="str">
        <f>IFERROR(VLOOKUP(Tablo413[[#All],[BOYA KODU]],Tablo14[#All],2,0)," ")</f>
        <v>2D KİMYA</v>
      </c>
      <c r="C14" s="140" t="str">
        <f>IFERROR(VLOOKUP(Tablo413[[#All],[BOYA KODU]],Tablo14[#All],3,0)," ")</f>
        <v>P.C.</v>
      </c>
      <c r="D14" s="147">
        <f>IFERROR(SUMIF(Tablo211[BOYA KODU],Tablo413[[#This Row],[BOYA KODU]],Tablo211[ALINAN GR])," " )</f>
        <v>6000</v>
      </c>
      <c r="E14" s="147">
        <f>SUMIF(Tablo413[[#This Row],[BOYA KODU]],Tablo14[[#This Row],[Boya Kodu]],Tablo14[[#This Row],[Tüketim
GRAM]])</f>
        <v>2473.7450000000003</v>
      </c>
      <c r="F14" s="147">
        <f>Tablo413[[#This Row],[ALINAN GR]]-Tablo413[[#This Row],[KULLANILAN GR]]</f>
        <v>3526.2549999999997</v>
      </c>
      <c r="G14" s="147" t="str">
        <f t="shared" si="0"/>
        <v>NORMAL</v>
      </c>
    </row>
    <row r="15" spans="1:7" ht="24" customHeight="1">
      <c r="A15" s="165">
        <v>3332</v>
      </c>
      <c r="B15" s="140" t="str">
        <f>IFERROR(VLOOKUP(Tablo413[[#All],[BOYA KODU]],Tablo14[#All],2,0)," ")</f>
        <v>2D KİMYA</v>
      </c>
      <c r="C15" s="140" t="str">
        <f>IFERROR(VLOOKUP(Tablo413[[#All],[BOYA KODU]],Tablo14[#All],3,0)," ")</f>
        <v>P.C.</v>
      </c>
      <c r="D15" s="147">
        <f>IFERROR(SUMIF(Tablo211[BOYA KODU],Tablo413[[#This Row],[BOYA KODU]],Tablo211[ALINAN GR])," " )</f>
        <v>2700</v>
      </c>
      <c r="E15" s="147">
        <f>SUMIF(Tablo413[[#This Row],[BOYA KODU]],Tablo14[[#This Row],[Boya Kodu]],Tablo14[[#This Row],[Tüketim
GRAM]])</f>
        <v>1349.9894999999999</v>
      </c>
      <c r="F15" s="147">
        <f>Tablo413[[#This Row],[ALINAN GR]]-Tablo413[[#This Row],[KULLANILAN GR]]</f>
        <v>1350.0105000000001</v>
      </c>
      <c r="G15" s="147" t="str">
        <f t="shared" si="0"/>
        <v>NORMAL</v>
      </c>
    </row>
    <row r="16" spans="1:7" ht="24" customHeight="1">
      <c r="A16" s="165">
        <v>1045</v>
      </c>
      <c r="B16" s="140" t="str">
        <f>IFERROR(VLOOKUP(Tablo413[[#All],[BOYA KODU]],Tablo14[#All],2,0)," ")</f>
        <v>2D KİMYA</v>
      </c>
      <c r="C16" s="140" t="str">
        <f>IFERROR(VLOOKUP(Tablo413[[#All],[BOYA KODU]],Tablo14[#All],3,0)," ")</f>
        <v>P.C/P.P</v>
      </c>
      <c r="D16" s="147">
        <f>IFERROR(SUMIF(Tablo211[BOYA KODU],Tablo413[[#This Row],[BOYA KODU]],Tablo211[ALINAN GR])," " )</f>
        <v>3500</v>
      </c>
      <c r="E16" s="147">
        <f>SUMIF(Tablo413[[#This Row],[BOYA KODU]],Tablo14[[#This Row],[Boya Kodu]],Tablo14[[#This Row],[Tüketim
GRAM]])</f>
        <v>696.8416000000002</v>
      </c>
      <c r="F16" s="147">
        <f>Tablo413[[#This Row],[ALINAN GR]]-Tablo413[[#This Row],[KULLANILAN GR]]</f>
        <v>2803.1583999999998</v>
      </c>
      <c r="G16" s="147" t="str">
        <f t="shared" si="0"/>
        <v>NORMAL</v>
      </c>
    </row>
    <row r="17" spans="1:7" ht="24" customHeight="1">
      <c r="A17" s="165" t="s">
        <v>414</v>
      </c>
      <c r="B17" s="140" t="str">
        <f>IFERROR(VLOOKUP(Tablo413[[#All],[BOYA KODU]],Tablo14[#All],2,0)," ")</f>
        <v>polytrend</v>
      </c>
      <c r="C17" s="140" t="str">
        <f>IFERROR(VLOOKUP(Tablo413[[#All],[BOYA KODU]],Tablo14[#All],3,0)," ")</f>
        <v>P.C/P.P</v>
      </c>
      <c r="D17" s="147">
        <f>IFERROR(SUMIF(Tablo211[BOYA KODU],Tablo413[[#This Row],[BOYA KODU]],Tablo211[ALINAN GR])," " )</f>
        <v>3500</v>
      </c>
      <c r="E17" s="147">
        <f>SUMIF(Tablo413[[#This Row],[BOYA KODU]],Tablo14[[#This Row],[Boya Kodu]],Tablo14[[#This Row],[Tüketim
GRAM]])</f>
        <v>618.8252</v>
      </c>
      <c r="F17" s="147">
        <f>Tablo413[[#This Row],[ALINAN GR]]-Tablo413[[#This Row],[KULLANILAN GR]]</f>
        <v>2881.1747999999998</v>
      </c>
      <c r="G17" s="147" t="str">
        <f t="shared" si="0"/>
        <v>NORMAL</v>
      </c>
    </row>
    <row r="18" spans="1:7" ht="24" customHeight="1">
      <c r="A18" s="165" t="s">
        <v>415</v>
      </c>
      <c r="B18" s="140" t="str">
        <f>IFERROR(VLOOKUP(Tablo413[[#All],[BOYA KODU]],Tablo14[#All],2,0)," ")</f>
        <v>polytrend</v>
      </c>
      <c r="C18" s="140" t="str">
        <f>IFERROR(VLOOKUP(Tablo413[[#All],[BOYA KODU]],Tablo14[#All],3,0)," ")</f>
        <v>P.C/P.P</v>
      </c>
      <c r="D18" s="147">
        <f>IFERROR(SUMIF(Tablo211[BOYA KODU],Tablo413[[#This Row],[BOYA KODU]],Tablo211[ALINAN GR])," " )</f>
        <v>3000</v>
      </c>
      <c r="E18" s="147">
        <f>SUMIF(Tablo413[[#This Row],[BOYA KODU]],Tablo14[[#This Row],[Boya Kodu]],Tablo14[[#This Row],[Tüketim
GRAM]])</f>
        <v>397.0292</v>
      </c>
      <c r="F18" s="147">
        <f>Tablo413[[#This Row],[ALINAN GR]]-Tablo413[[#This Row],[KULLANILAN GR]]</f>
        <v>2602.9708000000001</v>
      </c>
      <c r="G18" s="147" t="str">
        <f t="shared" si="0"/>
        <v>NORMAL</v>
      </c>
    </row>
    <row r="19" spans="1:7" ht="24" customHeight="1">
      <c r="A19" s="165" t="s">
        <v>416</v>
      </c>
      <c r="B19" s="140" t="str">
        <f>IFERROR(VLOOKUP(Tablo413[[#All],[BOYA KODU]],Tablo14[#All],2,0)," ")</f>
        <v>2D KİMYA</v>
      </c>
      <c r="C19" s="140" t="str">
        <f>IFERROR(VLOOKUP(Tablo413[[#All],[BOYA KODU]],Tablo14[#All],3,0)," ")</f>
        <v>P.C/P.P</v>
      </c>
      <c r="D19" s="147">
        <f>IFERROR(SUMIF(Tablo211[BOYA KODU],Tablo413[[#This Row],[BOYA KODU]],Tablo211[ALINAN GR])," " )</f>
        <v>800</v>
      </c>
      <c r="E19" s="147">
        <f>SUMIF(Tablo413[[#This Row],[BOYA KODU]],Tablo14[[#This Row],[Boya Kodu]],Tablo14[[#This Row],[Tüketim
GRAM]])</f>
        <v>848.03579999999999</v>
      </c>
      <c r="F19" s="147">
        <f>Tablo413[[#This Row],[ALINAN GR]]-Tablo413[[#This Row],[KULLANILAN GR]]</f>
        <v>-48.035799999999995</v>
      </c>
      <c r="G19" s="147" t="str">
        <f t="shared" si="0"/>
        <v>AZALDI</v>
      </c>
    </row>
    <row r="20" spans="1:7" ht="24" customHeight="1">
      <c r="A20" s="165" t="s">
        <v>417</v>
      </c>
      <c r="B20" s="140" t="str">
        <f>IFERROR(VLOOKUP(Tablo413[[#All],[BOYA KODU]],Tablo14[#All],2,0)," ")</f>
        <v>polytrend</v>
      </c>
      <c r="C20" s="140" t="str">
        <f>IFERROR(VLOOKUP(Tablo413[[#All],[BOYA KODU]],Tablo14[#All],3,0)," ")</f>
        <v>P.C/P.P</v>
      </c>
      <c r="D20" s="147">
        <f>IFERROR(SUMIF(Tablo211[BOYA KODU],Tablo413[[#This Row],[BOYA KODU]],Tablo211[ALINAN GR])," " )</f>
        <v>7300</v>
      </c>
      <c r="E20" s="147">
        <f>SUMIF(Tablo413[[#This Row],[BOYA KODU]],Tablo14[[#This Row],[Boya Kodu]],Tablo14[[#This Row],[Tüketim
GRAM]])</f>
        <v>852.42960000000016</v>
      </c>
      <c r="F20" s="147">
        <f>Tablo413[[#This Row],[ALINAN GR]]-Tablo413[[#This Row],[KULLANILAN GR]]</f>
        <v>6447.5703999999996</v>
      </c>
      <c r="G20" s="147" t="str">
        <f t="shared" si="0"/>
        <v>NORMAL</v>
      </c>
    </row>
    <row r="21" spans="1:7" ht="24" customHeight="1">
      <c r="A21" s="165">
        <v>3014</v>
      </c>
      <c r="B21" s="140" t="str">
        <f>IFERROR(VLOOKUP(Tablo413[[#All],[BOYA KODU]],Tablo14[#All],2,0)," ")</f>
        <v>2D KİMYA</v>
      </c>
      <c r="C21" s="140" t="str">
        <f>IFERROR(VLOOKUP(Tablo413[[#All],[BOYA KODU]],Tablo14[#All],3,0)," ")</f>
        <v>P.C/P.P</v>
      </c>
      <c r="D21" s="147">
        <f>IFERROR(SUMIF(Tablo211[BOYA KODU],Tablo413[[#This Row],[BOYA KODU]],Tablo211[ALINAN GR])," " )</f>
        <v>3800</v>
      </c>
      <c r="E21" s="147">
        <f>SUMIF(Tablo413[[#This Row],[BOYA KODU]],Tablo14[[#This Row],[Boya Kodu]],Tablo14[[#This Row],[Tüketim
GRAM]])</f>
        <v>640.53000000000009</v>
      </c>
      <c r="F21" s="147">
        <f>Tablo413[[#This Row],[ALINAN GR]]-Tablo413[[#This Row],[KULLANILAN GR]]</f>
        <v>3159.47</v>
      </c>
      <c r="G21" s="147" t="str">
        <f t="shared" si="0"/>
        <v>NORMAL</v>
      </c>
    </row>
    <row r="22" spans="1:7" ht="24" customHeight="1">
      <c r="A22" s="165" t="s">
        <v>418</v>
      </c>
      <c r="B22" s="140" t="str">
        <f>IFERROR(VLOOKUP(Tablo413[[#All],[BOYA KODU]],Tablo14[#All],2,0)," ")</f>
        <v>polytrend</v>
      </c>
      <c r="C22" s="140" t="str">
        <f>IFERROR(VLOOKUP(Tablo413[[#All],[BOYA KODU]],Tablo14[#All],3,0)," ")</f>
        <v>P.C/P.P</v>
      </c>
      <c r="D22" s="147">
        <f>IFERROR(SUMIF(Tablo211[BOYA KODU],Tablo413[[#This Row],[BOYA KODU]],Tablo211[ALINAN GR])," " )</f>
        <v>8000</v>
      </c>
      <c r="E22" s="147">
        <f>SUMIF(Tablo413[[#This Row],[BOYA KODU]],Tablo14[[#This Row],[Boya Kodu]],Tablo14[[#This Row],[Tüketim
GRAM]])</f>
        <v>0</v>
      </c>
      <c r="F22" s="147">
        <f>Tablo413[[#This Row],[ALINAN GR]]-Tablo413[[#This Row],[KULLANILAN GR]]</f>
        <v>8000</v>
      </c>
      <c r="G22" s="147" t="str">
        <f t="shared" si="0"/>
        <v>NORMAL</v>
      </c>
    </row>
    <row r="23" spans="1:7" ht="24.75" customHeight="1">
      <c r="A23" s="165" t="s">
        <v>419</v>
      </c>
      <c r="B23" s="140" t="str">
        <f>IFERROR(VLOOKUP(Tablo413[[#All],[BOYA KODU]],Tablo14[#All],2,0)," ")</f>
        <v>GO-CHEM</v>
      </c>
      <c r="C23" s="140" t="str">
        <f>IFERROR(VLOOKUP(Tablo413[[#All],[BOYA KODU]],Tablo14[#All],3,0)," ")</f>
        <v>LSR</v>
      </c>
      <c r="D23" s="147">
        <f>IFERROR(SUMIF(Tablo211[BOYA KODU],Tablo413[[#This Row],[BOYA KODU]],Tablo211[ALINAN GR])," " )</f>
        <v>16000</v>
      </c>
      <c r="E23" s="147">
        <f>SUMIF(Tablo413[[#This Row],[BOYA KODU]],Tablo14[[#This Row],[Boya Kodu]],Tablo14[[#This Row],[Tüketim
GRAM]])</f>
        <v>0</v>
      </c>
      <c r="F23" s="147">
        <f>Tablo413[[#This Row],[ALINAN GR]]-Tablo413[[#This Row],[KULLANILAN GR]]</f>
        <v>16000</v>
      </c>
      <c r="G23" s="147" t="str">
        <f t="shared" si="0"/>
        <v>NORMAL</v>
      </c>
    </row>
    <row r="24" spans="1:7" ht="24.75" customHeight="1">
      <c r="A24" s="165" t="s">
        <v>420</v>
      </c>
      <c r="B24" s="140" t="str">
        <f>IFERROR(VLOOKUP(Tablo413[[#All],[BOYA KODU]],Tablo14[#All],2,0)," ")</f>
        <v>GO-CHEM</v>
      </c>
      <c r="C24" s="140" t="str">
        <f>IFERROR(VLOOKUP(Tablo413[[#All],[BOYA KODU]],Tablo14[#All],3,0)," ")</f>
        <v>LSR</v>
      </c>
      <c r="D24" s="147">
        <f>IFERROR(SUMIF(Tablo211[BOYA KODU],Tablo413[[#This Row],[BOYA KODU]],Tablo211[ALINAN GR])," " )</f>
        <v>14800</v>
      </c>
      <c r="E24" s="147">
        <f>SUMIF(Tablo413[[#This Row],[BOYA KODU]],Tablo14[[#This Row],[Boya Kodu]],Tablo14[[#This Row],[Tüketim
GRAM]])</f>
        <v>0</v>
      </c>
      <c r="F24" s="147">
        <f>Tablo413[[#This Row],[ALINAN GR]]-Tablo413[[#This Row],[KULLANILAN GR]]</f>
        <v>14800</v>
      </c>
      <c r="G24" s="147" t="str">
        <f t="shared" si="0"/>
        <v>NORMAL</v>
      </c>
    </row>
    <row r="25" spans="1:7" ht="24.75" customHeight="1">
      <c r="A25" s="165" t="s">
        <v>421</v>
      </c>
      <c r="B25" s="140" t="str">
        <f>IFERROR(VLOOKUP(Tablo413[[#All],[BOYA KODU]],Tablo14[#All],2,0)," ")</f>
        <v>2D KİMYA</v>
      </c>
      <c r="C25" s="140" t="str">
        <f>IFERROR(VLOOKUP(Tablo413[[#All],[BOYA KODU]],Tablo14[#All],3,0)," ")</f>
        <v>LSR</v>
      </c>
      <c r="D25" s="147">
        <f>IFERROR(SUMIF(Tablo211[BOYA KODU],Tablo413[[#This Row],[BOYA KODU]],Tablo211[ALINAN GR])," " )</f>
        <v>3000</v>
      </c>
      <c r="E25" s="147">
        <f>SUMIF(Tablo413[[#This Row],[BOYA KODU]],Tablo14[[#This Row],[Boya Kodu]],Tablo14[[#This Row],[Tüketim
GRAM]])</f>
        <v>0</v>
      </c>
      <c r="F25" s="147">
        <f>Tablo413[[#This Row],[ALINAN GR]]-Tablo413[[#This Row],[KULLANILAN GR]]</f>
        <v>3000</v>
      </c>
      <c r="G25" s="147" t="str">
        <f t="shared" si="0"/>
        <v>NORMAL</v>
      </c>
    </row>
    <row r="26" spans="1:7" ht="24.75" customHeight="1">
      <c r="A26" s="165" t="s">
        <v>422</v>
      </c>
      <c r="B26" s="140" t="str">
        <f>IFERROR(VLOOKUP(Tablo413[[#All],[BOYA KODU]],Tablo14[#All],2,0)," ")</f>
        <v>GO-CHEM</v>
      </c>
      <c r="C26" s="140" t="str">
        <f>IFERROR(VLOOKUP(Tablo413[[#All],[BOYA KODU]],Tablo14[#All],3,0)," ")</f>
        <v>LSR</v>
      </c>
      <c r="D26" s="147">
        <f>IFERROR(SUMIF(Tablo211[BOYA KODU],Tablo413[[#This Row],[BOYA KODU]],Tablo211[ALINAN GR])," " )</f>
        <v>3000</v>
      </c>
      <c r="E26" s="147">
        <f>SUMIF(Tablo413[[#This Row],[BOYA KODU]],Tablo14[[#This Row],[Boya Kodu]],Tablo14[[#This Row],[Tüketim
GRAM]])</f>
        <v>131.47728000000001</v>
      </c>
      <c r="F26" s="147">
        <f>Tablo413[[#This Row],[ALINAN GR]]-Tablo413[[#This Row],[KULLANILAN GR]]</f>
        <v>2868.5227199999999</v>
      </c>
      <c r="G26" s="147" t="str">
        <f t="shared" si="0"/>
        <v>NORMAL</v>
      </c>
    </row>
    <row r="27" spans="1:7" ht="24.75" customHeight="1">
      <c r="A27" s="165" t="s">
        <v>423</v>
      </c>
      <c r="B27" s="140" t="str">
        <f>IFERROR(VLOOKUP(Tablo413[[#All],[BOYA KODU]],Tablo14[#All],2,0)," ")</f>
        <v>TAYF</v>
      </c>
      <c r="C27" s="140" t="str">
        <f>IFERROR(VLOOKUP(Tablo413[[#All],[BOYA KODU]],Tablo14[#All],3,0)," ")</f>
        <v>P.P.</v>
      </c>
      <c r="D27" s="147">
        <f>IFERROR(SUMIF(Tablo211[BOYA KODU],Tablo413[[#This Row],[BOYA KODU]],Tablo211[ALINAN GR])," " )</f>
        <v>1000</v>
      </c>
      <c r="E27" s="147">
        <f>SUMIF(Tablo413[[#This Row],[BOYA KODU]],Tablo14[[#This Row],[Boya Kodu]],Tablo14[[#This Row],[Tüketim
GRAM]])</f>
        <v>396.64800000000002</v>
      </c>
      <c r="F27" s="147">
        <f>Tablo413[[#This Row],[ALINAN GR]]-Tablo413[[#This Row],[KULLANILAN GR]]</f>
        <v>603.35199999999998</v>
      </c>
      <c r="G27" s="147" t="str">
        <f t="shared" si="0"/>
        <v>NORMAL</v>
      </c>
    </row>
    <row r="28" spans="1:7" ht="24.75" customHeight="1">
      <c r="A28" s="166" t="s">
        <v>427</v>
      </c>
      <c r="B28" s="140" t="str">
        <f>IFERROR(VLOOKUP(Tablo413[[#All],[BOYA KODU]],Tablo14[#All],2,0)," ")</f>
        <v>2D KİMYA</v>
      </c>
      <c r="C28" s="140" t="str">
        <f>IFERROR(VLOOKUP(Tablo413[[#All],[BOYA KODU]],Tablo14[#All],3,0)," ")</f>
        <v>LSR</v>
      </c>
      <c r="D28" s="147">
        <f>IFERROR(SUMIF(Tablo211[BOYA KODU],Tablo413[[#This Row],[BOYA KODU]],Tablo211[ALINAN GR])," " )</f>
        <v>640</v>
      </c>
      <c r="E28" s="147">
        <f>SUMIF(Tablo413[[#This Row],[BOYA KODU]],Tablo14[[#This Row],[Boya Kodu]],Tablo14[[#This Row],[Tüketim
GRAM]])</f>
        <v>0</v>
      </c>
      <c r="F28" s="147">
        <f>Tablo413[[#This Row],[ALINAN GR]]-Tablo413[[#This Row],[KULLANILAN GR]]</f>
        <v>640</v>
      </c>
      <c r="G28" s="147" t="str">
        <f t="shared" si="0"/>
        <v>NORMAL</v>
      </c>
    </row>
    <row r="29" spans="1:7" ht="24.75" customHeight="1">
      <c r="A29" s="166" t="s">
        <v>424</v>
      </c>
      <c r="B29" s="140" t="str">
        <f>IFERROR(VLOOKUP(Tablo413[[#All],[BOYA KODU]],Tablo14[#All],2,0)," ")</f>
        <v>2D KİMYA</v>
      </c>
      <c r="C29" s="140" t="str">
        <f>IFERROR(VLOOKUP(Tablo413[[#All],[BOYA KODU]],Tablo14[#All],3,0)," ")</f>
        <v>LSR</v>
      </c>
      <c r="D29" s="147">
        <f>IFERROR(SUMIF(Tablo211[BOYA KODU],Tablo413[[#This Row],[BOYA KODU]],Tablo211[ALINAN GR])," " )</f>
        <v>640</v>
      </c>
      <c r="E29" s="147">
        <f>SUMIF(Tablo413[[#This Row],[BOYA KODU]],Tablo14[[#This Row],[Boya Kodu]],Tablo14[[#This Row],[Tüketim
GRAM]])</f>
        <v>218.62399999999997</v>
      </c>
      <c r="F29" s="147">
        <f>Tablo413[[#This Row],[ALINAN GR]]-Tablo413[[#This Row],[KULLANILAN GR]]</f>
        <v>421.37600000000003</v>
      </c>
      <c r="G29" s="147" t="str">
        <f t="shared" si="0"/>
        <v>NORMAL</v>
      </c>
    </row>
    <row r="30" spans="1:7" ht="24.75" customHeight="1">
      <c r="A30" s="167" t="s">
        <v>429</v>
      </c>
      <c r="B30" s="140" t="str">
        <f>IFERROR(VLOOKUP(Tablo413[[#All],[BOYA KODU]],Tablo14[#All],2,0)," ")</f>
        <v>AYDIN BOYA</v>
      </c>
      <c r="C30" s="108" t="str">
        <f>IFERROR(VLOOKUP(Tablo413[[#All],[BOYA KODU]],Tablo14[#All],3,0)," ")</f>
        <v>P.C.</v>
      </c>
      <c r="D30" s="148">
        <f>IFERROR(SUMIF(Tablo211[BOYA KODU],Tablo413[[#This Row],[BOYA KODU]],Tablo211[ALINAN GR])," " )</f>
        <v>1000</v>
      </c>
      <c r="E30" s="147">
        <f>SUMIF(Tablo413[[#This Row],[BOYA KODU]],Tablo14[[#This Row],[Boya Kodu]],Tablo14[[#This Row],[Tüketim
GRAM]])</f>
        <v>0</v>
      </c>
      <c r="F30" s="148">
        <f>Tablo413[[#This Row],[ALINAN GR]]-Tablo413[[#This Row],[KULLANILAN GR]]</f>
        <v>1000</v>
      </c>
      <c r="G30" s="147" t="str">
        <f t="shared" si="0"/>
        <v>NORMAL</v>
      </c>
    </row>
    <row r="31" spans="1:7" ht="24.75" customHeight="1">
      <c r="A31" s="166">
        <v>16640</v>
      </c>
      <c r="B31" s="140" t="str">
        <f>IFERROR(VLOOKUP(Tablo413[[#All],[BOYA KODU]],Tablo14[#All],2,0)," ")</f>
        <v>AYDIN BOYA</v>
      </c>
      <c r="C31" s="140" t="str">
        <f>IFERROR(VLOOKUP(Tablo413[[#All],[BOYA KODU]],Tablo14[#All],3,0)," ")</f>
        <v>P.P.</v>
      </c>
      <c r="D31" s="147">
        <f>IFERROR(SUMIF(Tablo211[BOYA KODU],Tablo413[[#This Row],[BOYA KODU]],Tablo211[ALINAN GR])," " )</f>
        <v>1000</v>
      </c>
      <c r="E31" s="147">
        <f>SUMIF(Tablo413[[#This Row],[BOYA KODU]],Tablo14[[#This Row],[Boya Kodu]],Tablo14[[#This Row],[Tüketim
GRAM]])</f>
        <v>2913.0149999999999</v>
      </c>
      <c r="F31" s="147">
        <f>Tablo413[[#This Row],[ALINAN GR]]-Tablo413[[#This Row],[KULLANILAN GR]]</f>
        <v>-1913.0149999999999</v>
      </c>
      <c r="G31" s="147" t="str">
        <f t="shared" si="0"/>
        <v>AZALDI</v>
      </c>
    </row>
    <row r="32" spans="1:7" ht="24.75" customHeight="1">
      <c r="A32" s="167"/>
      <c r="B32" s="140" t="str">
        <f>IFERROR(VLOOKUP(Tablo413[[#All],[BOYA KODU]],Tablo14[#All],2,0)," ")</f>
        <v xml:space="preserve"> </v>
      </c>
      <c r="C32" s="108" t="str">
        <f>IFERROR(VLOOKUP(Tablo413[[#All],[BOYA KODU]],Tablo14[#All],3,0)," ")</f>
        <v xml:space="preserve"> </v>
      </c>
      <c r="D32" s="148">
        <f>IFERROR(SUMIF(Tablo211[BOYA KODU],Tablo413[[#This Row],[BOYA KODU]],Tablo211[ALINAN GR])," " )</f>
        <v>0</v>
      </c>
      <c r="E32" s="147">
        <f>SUMIF(Tablo413[[#This Row],[BOYA KODU]],Tablo14[[#This Row],[Boya Kodu]],Tablo14[[#This Row],[Tüketim
GRAM]])</f>
        <v>0</v>
      </c>
      <c r="F32" s="148">
        <f>Tablo413[[#This Row],[ALINAN GR]]-Tablo413[[#This Row],[KULLANILAN GR]]</f>
        <v>0</v>
      </c>
      <c r="G32" s="147" t="str">
        <f t="shared" si="0"/>
        <v>AZALDI</v>
      </c>
    </row>
    <row r="33" spans="2:7" ht="24.75" customHeight="1">
      <c r="B33" s="108"/>
      <c r="C33" s="108"/>
      <c r="D33" s="148"/>
      <c r="E33" s="148"/>
      <c r="F33" s="148"/>
      <c r="G33" s="148"/>
    </row>
  </sheetData>
  <conditionalFormatting sqref="G1:G1048576">
    <cfRule type="iconSet" priority="3">
      <iconSet>
        <cfvo type="percent" val="0"/>
        <cfvo type="num" val="1"/>
        <cfvo type="num" val="3"/>
      </iconSet>
    </cfRule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G2:G32">
    <cfRule type="cellIs" dxfId="27" priority="2" operator="equal">
      <formula>"AZALDI"</formula>
    </cfRule>
    <cfRule type="cellIs" dxfId="26" priority="1" operator="equal">
      <formula>"NORMAL"</formula>
    </cfRule>
  </conditionalFormatting>
  <pageMargins left="0.7" right="0.7" top="0.75" bottom="0.75" header="0.3" footer="0.3"/>
  <ignoredErrors>
    <ignoredError sqref="B2" unlockedFormula="1"/>
  </ignoredErrors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>
  <sheetPr codeName="Sayfa17"/>
  <dimension ref="A1:XFD379"/>
  <sheetViews>
    <sheetView zoomScale="115" zoomScaleNormal="115" workbookViewId="0">
      <pane ySplit="1" topLeftCell="A347" activePane="bottomLeft" state="frozen"/>
      <selection activeCell="C14" sqref="C14"/>
      <selection pane="bottomLeft" activeCell="K353" sqref="K353"/>
    </sheetView>
  </sheetViews>
  <sheetFormatPr defaultRowHeight="15"/>
  <cols>
    <col min="1" max="1" width="19.28515625" style="34" customWidth="1"/>
    <col min="2" max="2" width="42.28515625" style="1" bestFit="1" customWidth="1"/>
    <col min="3" max="3" width="6.5703125" style="1" customWidth="1"/>
    <col min="4" max="4" width="8.5703125" style="1" customWidth="1"/>
    <col min="5" max="5" width="7.42578125" style="1" customWidth="1"/>
    <col min="6" max="6" width="9" style="1" customWidth="1"/>
    <col min="7" max="7" width="8.5703125" style="1" customWidth="1"/>
    <col min="8" max="8" width="9.5703125" style="1" customWidth="1"/>
    <col min="9" max="9" width="16.28515625" style="1" bestFit="1" customWidth="1"/>
  </cols>
  <sheetData>
    <row r="1" spans="1:12" ht="88.5" customHeight="1">
      <c r="A1" s="30" t="s">
        <v>465</v>
      </c>
      <c r="B1" s="3" t="s">
        <v>1</v>
      </c>
      <c r="C1" s="4" t="s">
        <v>466</v>
      </c>
      <c r="D1" s="4" t="s">
        <v>7</v>
      </c>
      <c r="E1" s="4" t="s">
        <v>467</v>
      </c>
      <c r="F1" s="4" t="s">
        <v>17</v>
      </c>
      <c r="G1" s="4" t="s">
        <v>468</v>
      </c>
      <c r="H1" s="5" t="s">
        <v>469</v>
      </c>
      <c r="I1" s="21" t="s">
        <v>9</v>
      </c>
      <c r="J1" s="2" t="s">
        <v>11</v>
      </c>
      <c r="K1" s="4" t="s">
        <v>470</v>
      </c>
      <c r="L1" s="83" t="s">
        <v>552</v>
      </c>
    </row>
    <row r="2" spans="1:12" ht="20.25" customHeight="1">
      <c r="A2" s="27" t="s">
        <v>272</v>
      </c>
      <c r="B2" s="7" t="s">
        <v>471</v>
      </c>
      <c r="C2" s="8">
        <v>8</v>
      </c>
      <c r="D2" s="8"/>
      <c r="E2" s="8"/>
      <c r="F2" s="8"/>
      <c r="G2" s="8">
        <f>Tablo17[[#This Row],[YOLLUK HARİÇ BASKI GRAMI]]/Tablo17[[#This Row],[GÖZ ADEDİ]]</f>
        <v>0</v>
      </c>
      <c r="H2" s="9" t="s">
        <v>365</v>
      </c>
      <c r="I2" s="8" t="s">
        <v>472</v>
      </c>
      <c r="J2" s="19"/>
      <c r="K2" s="17"/>
      <c r="L2" s="82"/>
    </row>
    <row r="3" spans="1:12" ht="19.5" customHeight="1">
      <c r="A3" s="27" t="s">
        <v>31</v>
      </c>
      <c r="B3" s="7" t="s">
        <v>473</v>
      </c>
      <c r="C3" s="8">
        <v>8</v>
      </c>
      <c r="D3" s="8">
        <v>38.5</v>
      </c>
      <c r="E3" s="8">
        <v>26.9</v>
      </c>
      <c r="F3" s="8">
        <v>20.9</v>
      </c>
      <c r="G3" s="8">
        <f>Tablo17[[#This Row],[YOLLUK HARİÇ BASKI GRAMI]]/Tablo17[[#This Row],[GÖZ ADEDİ]]</f>
        <v>2.6124999999999998</v>
      </c>
      <c r="H3" s="9" t="s">
        <v>365</v>
      </c>
      <c r="I3" s="8" t="s">
        <v>472</v>
      </c>
      <c r="J3" s="6"/>
      <c r="K3" s="8"/>
      <c r="L3" s="60"/>
    </row>
    <row r="4" spans="1:12" ht="20.25" customHeight="1">
      <c r="A4" s="27" t="s">
        <v>273</v>
      </c>
      <c r="B4" s="7" t="s">
        <v>474</v>
      </c>
      <c r="C4" s="8">
        <v>8</v>
      </c>
      <c r="D4" s="8">
        <v>38</v>
      </c>
      <c r="E4" s="8">
        <v>33.799999999999997</v>
      </c>
      <c r="F4" s="8">
        <v>27.9</v>
      </c>
      <c r="G4" s="8">
        <f>Tablo17[[#This Row],[YOLLUK HARİÇ BASKI GRAMI]]/Tablo17[[#This Row],[GÖZ ADEDİ]]</f>
        <v>3.4874999999999998</v>
      </c>
      <c r="H4" s="9" t="s">
        <v>365</v>
      </c>
      <c r="I4" s="8" t="s">
        <v>472</v>
      </c>
      <c r="J4" s="6"/>
      <c r="K4" s="8"/>
      <c r="L4" s="60"/>
    </row>
    <row r="5" spans="1:12" ht="6" customHeight="1">
      <c r="A5" s="31"/>
      <c r="B5" s="11"/>
      <c r="C5" s="12"/>
      <c r="D5" s="12"/>
      <c r="E5" s="12"/>
      <c r="F5" s="12"/>
      <c r="G5" s="12"/>
      <c r="H5" s="13"/>
      <c r="I5" s="12"/>
      <c r="J5" s="10"/>
      <c r="K5" s="12"/>
      <c r="L5" s="60"/>
    </row>
    <row r="6" spans="1:12" ht="20.25" customHeight="1">
      <c r="A6" s="27" t="s">
        <v>26</v>
      </c>
      <c r="B6" s="7" t="s">
        <v>475</v>
      </c>
      <c r="C6" s="8">
        <v>8</v>
      </c>
      <c r="D6" s="8">
        <v>30</v>
      </c>
      <c r="E6" s="8">
        <v>20.399999999999999</v>
      </c>
      <c r="F6" s="8">
        <v>14.2</v>
      </c>
      <c r="G6" s="8">
        <f>Tablo17[[#This Row],[YOLLUK HARİÇ BASKI GRAMI]]/Tablo17[[#This Row],[GÖZ ADEDİ]]</f>
        <v>1.7749999999999999</v>
      </c>
      <c r="H6" s="9" t="s">
        <v>369</v>
      </c>
      <c r="I6" s="8" t="s">
        <v>472</v>
      </c>
      <c r="J6" s="6"/>
      <c r="K6" s="8"/>
      <c r="L6" s="60"/>
    </row>
    <row r="7" spans="1:12" ht="18" customHeight="1">
      <c r="A7" s="27" t="s">
        <v>42</v>
      </c>
      <c r="B7" s="7" t="s">
        <v>476</v>
      </c>
      <c r="C7" s="8">
        <v>8</v>
      </c>
      <c r="D7" s="8">
        <v>30</v>
      </c>
      <c r="E7" s="8">
        <v>21.9</v>
      </c>
      <c r="F7" s="8">
        <v>16.100000000000001</v>
      </c>
      <c r="G7" s="8">
        <f>Tablo17[[#This Row],[YOLLUK HARİÇ BASKI GRAMI]]/Tablo17[[#This Row],[GÖZ ADEDİ]]</f>
        <v>2.0125000000000002</v>
      </c>
      <c r="H7" s="9" t="s">
        <v>369</v>
      </c>
      <c r="I7" s="8" t="s">
        <v>472</v>
      </c>
      <c r="J7" s="6"/>
      <c r="K7" s="8"/>
      <c r="L7" s="60"/>
    </row>
    <row r="8" spans="1:12" ht="20.25" customHeight="1">
      <c r="A8" s="27" t="s">
        <v>39</v>
      </c>
      <c r="B8" s="7" t="s">
        <v>477</v>
      </c>
      <c r="C8" s="8">
        <v>8</v>
      </c>
      <c r="D8" s="8">
        <v>33</v>
      </c>
      <c r="E8" s="8">
        <v>25</v>
      </c>
      <c r="F8" s="8">
        <v>19.5</v>
      </c>
      <c r="G8" s="8">
        <f>Tablo17[[#This Row],[YOLLUK HARİÇ BASKI GRAMI]]/Tablo17[[#This Row],[GÖZ ADEDİ]]</f>
        <v>2.4375</v>
      </c>
      <c r="H8" s="9" t="s">
        <v>369</v>
      </c>
      <c r="I8" s="8" t="s">
        <v>472</v>
      </c>
      <c r="J8" s="6"/>
      <c r="K8" s="8"/>
      <c r="L8" s="60"/>
    </row>
    <row r="9" spans="1:12" ht="6" customHeight="1">
      <c r="A9" s="31"/>
      <c r="B9" s="11"/>
      <c r="C9" s="12"/>
      <c r="D9" s="12"/>
      <c r="E9" s="12"/>
      <c r="F9" s="12"/>
      <c r="G9" s="12"/>
      <c r="H9" s="13"/>
      <c r="I9" s="12"/>
      <c r="J9" s="10"/>
      <c r="K9" s="12"/>
      <c r="L9" s="60"/>
    </row>
    <row r="10" spans="1:12" ht="20.25" customHeight="1">
      <c r="A10" s="27" t="s">
        <v>274</v>
      </c>
      <c r="B10" s="7" t="s">
        <v>478</v>
      </c>
      <c r="C10" s="8">
        <v>4</v>
      </c>
      <c r="D10" s="8"/>
      <c r="E10" s="8"/>
      <c r="F10" s="8"/>
      <c r="G10" s="8">
        <f>Tablo17[[#This Row],[YOLLUK HARİÇ BASKI GRAMI]]/Tablo17[[#This Row],[GÖZ ADEDİ]]</f>
        <v>0</v>
      </c>
      <c r="H10" s="9" t="s">
        <v>369</v>
      </c>
      <c r="I10" s="8" t="s">
        <v>472</v>
      </c>
      <c r="J10" s="6"/>
      <c r="K10" s="8"/>
      <c r="L10" s="60"/>
    </row>
    <row r="11" spans="1:12" ht="20.25" customHeight="1">
      <c r="A11" s="27" t="s">
        <v>275</v>
      </c>
      <c r="B11" s="7" t="s">
        <v>478</v>
      </c>
      <c r="C11" s="8">
        <v>4</v>
      </c>
      <c r="D11" s="8"/>
      <c r="E11" s="8"/>
      <c r="F11" s="8"/>
      <c r="G11" s="8">
        <f>Tablo17[[#This Row],[YOLLUK HARİÇ BASKI GRAMI]]/Tablo17[[#This Row],[GÖZ ADEDİ]]</f>
        <v>0</v>
      </c>
      <c r="H11" s="9" t="s">
        <v>369</v>
      </c>
      <c r="I11" s="8" t="s">
        <v>420</v>
      </c>
      <c r="J11" s="6"/>
      <c r="K11" s="8"/>
      <c r="L11" s="60"/>
    </row>
    <row r="12" spans="1:12" ht="20.25" customHeight="1">
      <c r="A12" s="27" t="s">
        <v>276</v>
      </c>
      <c r="B12" s="7" t="s">
        <v>478</v>
      </c>
      <c r="C12" s="8">
        <v>4</v>
      </c>
      <c r="D12" s="8"/>
      <c r="E12" s="8"/>
      <c r="F12" s="8"/>
      <c r="G12" s="8">
        <f>Tablo17[[#This Row],[YOLLUK HARİÇ BASKI GRAMI]]/Tablo17[[#This Row],[GÖZ ADEDİ]]</f>
        <v>0</v>
      </c>
      <c r="H12" s="9" t="s">
        <v>369</v>
      </c>
      <c r="I12" s="8" t="s">
        <v>419</v>
      </c>
      <c r="J12" s="6"/>
      <c r="K12" s="8"/>
      <c r="L12" s="60"/>
    </row>
    <row r="13" spans="1:12" ht="6" customHeight="1">
      <c r="A13" s="31"/>
      <c r="B13" s="11"/>
      <c r="C13" s="12"/>
      <c r="D13" s="12"/>
      <c r="E13" s="12"/>
      <c r="F13" s="12"/>
      <c r="G13" s="12"/>
      <c r="H13" s="13"/>
      <c r="I13" s="12"/>
      <c r="J13" s="10"/>
      <c r="K13" s="12"/>
      <c r="L13" s="60"/>
    </row>
    <row r="14" spans="1:12" ht="20.25" customHeight="1">
      <c r="A14" s="27" t="s">
        <v>277</v>
      </c>
      <c r="B14" s="7" t="s">
        <v>479</v>
      </c>
      <c r="C14" s="8">
        <v>4</v>
      </c>
      <c r="D14" s="8"/>
      <c r="E14" s="8"/>
      <c r="F14" s="8"/>
      <c r="G14" s="8">
        <f>Tablo17[[#This Row],[YOLLUK HARİÇ BASKI GRAMI]]/Tablo17[[#This Row],[GÖZ ADEDİ]]</f>
        <v>0</v>
      </c>
      <c r="H14" s="9" t="s">
        <v>369</v>
      </c>
      <c r="I14" s="8" t="s">
        <v>472</v>
      </c>
      <c r="J14" s="6"/>
      <c r="K14" s="8"/>
      <c r="L14" s="60"/>
    </row>
    <row r="15" spans="1:12" ht="20.25" customHeight="1">
      <c r="A15" s="27" t="s">
        <v>278</v>
      </c>
      <c r="B15" s="7" t="s">
        <v>479</v>
      </c>
      <c r="C15" s="8">
        <v>4</v>
      </c>
      <c r="D15" s="8"/>
      <c r="E15" s="8"/>
      <c r="F15" s="8"/>
      <c r="G15" s="8">
        <f>Tablo17[[#This Row],[YOLLUK HARİÇ BASKI GRAMI]]/Tablo17[[#This Row],[GÖZ ADEDİ]]</f>
        <v>0</v>
      </c>
      <c r="H15" s="9" t="s">
        <v>369</v>
      </c>
      <c r="I15" s="8" t="s">
        <v>420</v>
      </c>
      <c r="J15" s="6"/>
      <c r="K15" s="8"/>
      <c r="L15" s="60"/>
    </row>
    <row r="16" spans="1:12" ht="20.25" customHeight="1">
      <c r="A16" s="27" t="s">
        <v>279</v>
      </c>
      <c r="B16" s="7" t="s">
        <v>479</v>
      </c>
      <c r="C16" s="8">
        <v>4</v>
      </c>
      <c r="D16" s="8"/>
      <c r="E16" s="8"/>
      <c r="F16" s="8"/>
      <c r="G16" s="8">
        <f>Tablo17[[#This Row],[YOLLUK HARİÇ BASKI GRAMI]]/Tablo17[[#This Row],[GÖZ ADEDİ]]</f>
        <v>0</v>
      </c>
      <c r="H16" s="9" t="s">
        <v>369</v>
      </c>
      <c r="I16" s="8" t="s">
        <v>419</v>
      </c>
      <c r="J16" s="6"/>
      <c r="K16" s="8"/>
      <c r="L16" s="60"/>
    </row>
    <row r="17" spans="1:12" ht="6" customHeight="1">
      <c r="A17" s="31"/>
      <c r="B17" s="11"/>
      <c r="C17" s="12"/>
      <c r="D17" s="12"/>
      <c r="E17" s="12"/>
      <c r="F17" s="12"/>
      <c r="G17" s="12"/>
      <c r="H17" s="13"/>
      <c r="I17" s="12"/>
      <c r="J17" s="10"/>
      <c r="K17" s="12"/>
      <c r="L17" s="60"/>
    </row>
    <row r="18" spans="1:12" ht="20.25" customHeight="1">
      <c r="A18" s="27" t="s">
        <v>280</v>
      </c>
      <c r="B18" s="7" t="s">
        <v>480</v>
      </c>
      <c r="C18" s="8">
        <v>6</v>
      </c>
      <c r="D18" s="8"/>
      <c r="E18" s="8"/>
      <c r="F18" s="8"/>
      <c r="G18" s="8">
        <f>Tablo17[[#This Row],[YOLLUK HARİÇ BASKI GRAMI]]/Tablo17[[#This Row],[GÖZ ADEDİ]]</f>
        <v>0</v>
      </c>
      <c r="H18" s="9" t="s">
        <v>365</v>
      </c>
      <c r="I18" s="8" t="s">
        <v>472</v>
      </c>
      <c r="J18" s="6"/>
      <c r="K18" s="8"/>
      <c r="L18" s="60"/>
    </row>
    <row r="19" spans="1:12" ht="20.25" customHeight="1">
      <c r="A19" s="27" t="s">
        <v>281</v>
      </c>
      <c r="B19" s="7" t="s">
        <v>480</v>
      </c>
      <c r="C19" s="8">
        <v>6</v>
      </c>
      <c r="D19" s="8"/>
      <c r="E19" s="8"/>
      <c r="F19" s="8"/>
      <c r="G19" s="8">
        <f>Tablo17[[#This Row],[YOLLUK HARİÇ BASKI GRAMI]]/Tablo17[[#This Row],[GÖZ ADEDİ]]</f>
        <v>0</v>
      </c>
      <c r="H19" s="9" t="s">
        <v>365</v>
      </c>
      <c r="I19" s="8" t="s">
        <v>420</v>
      </c>
      <c r="J19" s="6"/>
      <c r="K19" s="8"/>
      <c r="L19" s="60"/>
    </row>
    <row r="20" spans="1:12" ht="20.25" customHeight="1">
      <c r="A20" s="27" t="s">
        <v>282</v>
      </c>
      <c r="B20" s="7" t="s">
        <v>480</v>
      </c>
      <c r="C20" s="8">
        <v>6</v>
      </c>
      <c r="D20" s="8"/>
      <c r="E20" s="8"/>
      <c r="F20" s="8"/>
      <c r="G20" s="8">
        <f>Tablo17[[#This Row],[YOLLUK HARİÇ BASKI GRAMI]]/Tablo17[[#This Row],[GÖZ ADEDİ]]</f>
        <v>0</v>
      </c>
      <c r="H20" s="9" t="s">
        <v>365</v>
      </c>
      <c r="I20" s="8" t="s">
        <v>419</v>
      </c>
      <c r="J20" s="6"/>
      <c r="K20" s="8"/>
      <c r="L20" s="60"/>
    </row>
    <row r="21" spans="1:12" ht="6" customHeight="1">
      <c r="A21" s="31"/>
      <c r="B21" s="11"/>
      <c r="C21" s="12"/>
      <c r="D21" s="12"/>
      <c r="E21" s="12"/>
      <c r="F21" s="12"/>
      <c r="G21" s="12"/>
      <c r="H21" s="13"/>
      <c r="I21" s="12"/>
      <c r="J21" s="10"/>
      <c r="K21" s="12"/>
      <c r="L21" s="60"/>
    </row>
    <row r="22" spans="1:12" ht="20.25" customHeight="1">
      <c r="A22" s="27" t="s">
        <v>34</v>
      </c>
      <c r="B22" s="7" t="s">
        <v>481</v>
      </c>
      <c r="C22" s="8">
        <v>8</v>
      </c>
      <c r="D22" s="8">
        <v>36</v>
      </c>
      <c r="E22" s="8">
        <v>51.7</v>
      </c>
      <c r="F22" s="8">
        <v>44.5</v>
      </c>
      <c r="G22" s="8">
        <f>Tablo17[[#This Row],[YOLLUK HARİÇ BASKI GRAMI]]/Tablo17[[#This Row],[GÖZ ADEDİ]]</f>
        <v>5.5625</v>
      </c>
      <c r="H22" s="9" t="s">
        <v>365</v>
      </c>
      <c r="I22" s="8" t="s">
        <v>472</v>
      </c>
      <c r="J22" s="6"/>
      <c r="K22" s="8"/>
      <c r="L22" s="60"/>
    </row>
    <row r="23" spans="1:12" ht="20.25" customHeight="1">
      <c r="A23" s="27" t="s">
        <v>28</v>
      </c>
      <c r="B23" s="7" t="s">
        <v>482</v>
      </c>
      <c r="C23" s="8">
        <v>8</v>
      </c>
      <c r="D23" s="8">
        <v>41</v>
      </c>
      <c r="E23" s="8">
        <v>54.8</v>
      </c>
      <c r="F23" s="8">
        <v>48.1</v>
      </c>
      <c r="G23" s="8">
        <f>Tablo17[[#This Row],[YOLLUK HARİÇ BASKI GRAMI]]/Tablo17[[#This Row],[GÖZ ADEDİ]]</f>
        <v>6.0125000000000002</v>
      </c>
      <c r="H23" s="9" t="s">
        <v>365</v>
      </c>
      <c r="I23" s="8" t="s">
        <v>472</v>
      </c>
      <c r="J23" s="6"/>
      <c r="K23" s="8"/>
      <c r="L23" s="60"/>
    </row>
    <row r="24" spans="1:12" ht="20.25" customHeight="1">
      <c r="A24" s="27" t="s">
        <v>46</v>
      </c>
      <c r="B24" s="7" t="s">
        <v>483</v>
      </c>
      <c r="C24" s="8">
        <v>8</v>
      </c>
      <c r="D24" s="8">
        <v>36</v>
      </c>
      <c r="E24" s="8">
        <v>55.6</v>
      </c>
      <c r="F24" s="8">
        <v>48.6</v>
      </c>
      <c r="G24" s="8">
        <f>Tablo17[[#This Row],[YOLLUK HARİÇ BASKI GRAMI]]/Tablo17[[#This Row],[GÖZ ADEDİ]]</f>
        <v>6.0750000000000002</v>
      </c>
      <c r="H24" s="9" t="s">
        <v>365</v>
      </c>
      <c r="I24" s="8" t="s">
        <v>472</v>
      </c>
      <c r="J24" s="6"/>
      <c r="K24" s="8"/>
      <c r="L24" s="60"/>
    </row>
    <row r="25" spans="1:12" ht="6" customHeight="1">
      <c r="A25" s="31"/>
      <c r="B25" s="11"/>
      <c r="C25" s="12"/>
      <c r="D25" s="12"/>
      <c r="E25" s="12"/>
      <c r="F25" s="12"/>
      <c r="G25" s="12"/>
      <c r="H25" s="13"/>
      <c r="I25" s="12"/>
      <c r="J25" s="10"/>
      <c r="K25" s="12"/>
      <c r="L25" s="60"/>
    </row>
    <row r="26" spans="1:12" ht="20.25" customHeight="1">
      <c r="A26" s="27" t="s">
        <v>283</v>
      </c>
      <c r="B26" s="7" t="s">
        <v>484</v>
      </c>
      <c r="C26" s="8">
        <v>4</v>
      </c>
      <c r="D26" s="8"/>
      <c r="E26" s="8"/>
      <c r="F26" s="8"/>
      <c r="G26" s="8">
        <f>Tablo17[[#This Row],[YOLLUK HARİÇ BASKI GRAMI]]/Tablo17[[#This Row],[GÖZ ADEDİ]]</f>
        <v>0</v>
      </c>
      <c r="H26" s="9" t="s">
        <v>365</v>
      </c>
      <c r="I26" s="8" t="s">
        <v>472</v>
      </c>
      <c r="J26" s="6"/>
      <c r="K26" s="8"/>
      <c r="L26" s="60"/>
    </row>
    <row r="27" spans="1:12" ht="20.25" customHeight="1">
      <c r="A27" s="27" t="s">
        <v>284</v>
      </c>
      <c r="B27" s="7" t="s">
        <v>485</v>
      </c>
      <c r="C27" s="8">
        <v>4</v>
      </c>
      <c r="D27" s="8"/>
      <c r="E27" s="8"/>
      <c r="F27" s="8"/>
      <c r="G27" s="8">
        <f>Tablo17[[#This Row],[YOLLUK HARİÇ BASKI GRAMI]]/Tablo17[[#This Row],[GÖZ ADEDİ]]</f>
        <v>0</v>
      </c>
      <c r="H27" s="9" t="s">
        <v>365</v>
      </c>
      <c r="I27" s="8" t="s">
        <v>472</v>
      </c>
      <c r="J27" s="6"/>
      <c r="K27" s="8"/>
      <c r="L27" s="60"/>
    </row>
    <row r="28" spans="1:12" ht="20.25" customHeight="1">
      <c r="A28" s="27" t="s">
        <v>43</v>
      </c>
      <c r="B28" s="7" t="s">
        <v>486</v>
      </c>
      <c r="C28" s="8">
        <v>4</v>
      </c>
      <c r="D28" s="8">
        <v>38.5</v>
      </c>
      <c r="E28" s="8">
        <v>28.5</v>
      </c>
      <c r="F28" s="8">
        <v>25.6</v>
      </c>
      <c r="G28" s="8">
        <f>Tablo17[[#This Row],[YOLLUK HARİÇ BASKI GRAMI]]/Tablo17[[#This Row],[GÖZ ADEDİ]]</f>
        <v>6.4</v>
      </c>
      <c r="H28" s="9" t="s">
        <v>365</v>
      </c>
      <c r="I28" s="8" t="s">
        <v>472</v>
      </c>
      <c r="J28" s="6"/>
      <c r="K28" s="8"/>
      <c r="L28" s="60"/>
    </row>
    <row r="29" spans="1:12" ht="6" customHeight="1">
      <c r="A29" s="31"/>
      <c r="B29" s="11"/>
      <c r="C29" s="12"/>
      <c r="D29" s="12"/>
      <c r="E29" s="12"/>
      <c r="F29" s="12"/>
      <c r="G29" s="12"/>
      <c r="H29" s="13"/>
      <c r="I29" s="12"/>
      <c r="J29" s="10"/>
      <c r="K29" s="12"/>
      <c r="L29" s="60"/>
    </row>
    <row r="30" spans="1:12" ht="20.25" customHeight="1">
      <c r="A30" s="27" t="s">
        <v>32</v>
      </c>
      <c r="B30" s="7" t="s">
        <v>487</v>
      </c>
      <c r="C30" s="8">
        <v>6</v>
      </c>
      <c r="D30" s="8">
        <v>45</v>
      </c>
      <c r="E30" s="8">
        <v>59.7</v>
      </c>
      <c r="F30" s="8">
        <v>53.6</v>
      </c>
      <c r="G30" s="8">
        <f>Tablo17[[#This Row],[YOLLUK HARİÇ BASKI GRAMI]]/Tablo17[[#This Row],[GÖZ ADEDİ]]</f>
        <v>8.9333333333333336</v>
      </c>
      <c r="H30" s="9" t="s">
        <v>365</v>
      </c>
      <c r="I30" s="8" t="s">
        <v>472</v>
      </c>
      <c r="J30" s="6"/>
      <c r="K30" s="8"/>
      <c r="L30" s="60"/>
    </row>
    <row r="31" spans="1:12" ht="6" customHeight="1">
      <c r="A31" s="31"/>
      <c r="B31" s="11"/>
      <c r="C31" s="12"/>
      <c r="D31" s="12"/>
      <c r="E31" s="12"/>
      <c r="F31" s="12"/>
      <c r="G31" s="12"/>
      <c r="H31" s="13"/>
      <c r="I31" s="12"/>
      <c r="J31" s="10"/>
      <c r="K31" s="12"/>
      <c r="L31" s="60"/>
    </row>
    <row r="32" spans="1:12" ht="20.25" customHeight="1">
      <c r="A32" s="27" t="s">
        <v>41</v>
      </c>
      <c r="B32" s="7" t="s">
        <v>488</v>
      </c>
      <c r="C32" s="8">
        <v>6</v>
      </c>
      <c r="D32" s="8">
        <v>55</v>
      </c>
      <c r="E32" s="8">
        <v>56.1</v>
      </c>
      <c r="F32" s="8">
        <v>50.2</v>
      </c>
      <c r="G32" s="8">
        <f>Tablo17[[#This Row],[YOLLUK HARİÇ BASKI GRAMI]]/Tablo17[[#This Row],[GÖZ ADEDİ]]</f>
        <v>8.3666666666666671</v>
      </c>
      <c r="H32" s="9" t="s">
        <v>365</v>
      </c>
      <c r="I32" s="8" t="s">
        <v>472</v>
      </c>
      <c r="J32" s="6"/>
      <c r="K32" s="8"/>
      <c r="L32" s="60"/>
    </row>
    <row r="33" spans="1:12" ht="6" customHeight="1">
      <c r="A33" s="31"/>
      <c r="B33" s="11"/>
      <c r="C33" s="12"/>
      <c r="D33" s="12"/>
      <c r="E33" s="12"/>
      <c r="F33" s="12"/>
      <c r="G33" s="12"/>
      <c r="H33" s="13"/>
      <c r="I33" s="12"/>
      <c r="J33" s="10"/>
      <c r="K33" s="12"/>
      <c r="L33" s="60"/>
    </row>
    <row r="34" spans="1:12" ht="20.25" customHeight="1">
      <c r="A34" s="27" t="s">
        <v>285</v>
      </c>
      <c r="B34" s="7" t="s">
        <v>489</v>
      </c>
      <c r="C34" s="8">
        <v>8</v>
      </c>
      <c r="D34" s="8"/>
      <c r="E34" s="8"/>
      <c r="F34" s="8"/>
      <c r="G34" s="8">
        <f>Tablo17[[#This Row],[YOLLUK HARİÇ BASKI GRAMI]]/Tablo17[[#This Row],[GÖZ ADEDİ]]</f>
        <v>0</v>
      </c>
      <c r="H34" s="9" t="s">
        <v>365</v>
      </c>
      <c r="I34" s="8" t="s">
        <v>472</v>
      </c>
      <c r="J34" s="6"/>
      <c r="K34" s="8"/>
      <c r="L34" s="60"/>
    </row>
    <row r="35" spans="1:12" ht="6" customHeight="1">
      <c r="A35" s="31"/>
      <c r="B35" s="11"/>
      <c r="C35" s="12"/>
      <c r="D35" s="12"/>
      <c r="E35" s="12"/>
      <c r="F35" s="12"/>
      <c r="G35" s="12"/>
      <c r="H35" s="13"/>
      <c r="I35" s="12"/>
      <c r="J35" s="10"/>
      <c r="K35" s="12"/>
      <c r="L35" s="60"/>
    </row>
    <row r="36" spans="1:12" ht="20.25" customHeight="1">
      <c r="A36" s="27" t="s">
        <v>53</v>
      </c>
      <c r="B36" s="7" t="s">
        <v>490</v>
      </c>
      <c r="C36" s="8">
        <v>8</v>
      </c>
      <c r="D36" s="8">
        <v>22</v>
      </c>
      <c r="E36" s="8">
        <v>42.8</v>
      </c>
      <c r="F36" s="8">
        <v>42</v>
      </c>
      <c r="G36" s="8">
        <f>Tablo17[[#This Row],[YOLLUK HARİÇ BASKI GRAMI]]/Tablo17[[#This Row],[GÖZ ADEDİ]]</f>
        <v>5.25</v>
      </c>
      <c r="H36" s="9" t="s">
        <v>373</v>
      </c>
      <c r="I36" s="8" t="s">
        <v>472</v>
      </c>
      <c r="J36" s="6"/>
      <c r="K36" s="8"/>
      <c r="L36" s="60"/>
    </row>
    <row r="37" spans="1:12" ht="6" customHeight="1">
      <c r="A37" s="31"/>
      <c r="B37" s="11"/>
      <c r="C37" s="12"/>
      <c r="D37" s="12"/>
      <c r="E37" s="12"/>
      <c r="F37" s="12"/>
      <c r="G37" s="12"/>
      <c r="H37" s="13"/>
      <c r="I37" s="12"/>
      <c r="J37" s="10"/>
      <c r="K37" s="12"/>
      <c r="L37" s="60"/>
    </row>
    <row r="38" spans="1:12" ht="20.25" customHeight="1">
      <c r="A38" s="27" t="s">
        <v>286</v>
      </c>
      <c r="B38" s="7" t="s">
        <v>491</v>
      </c>
      <c r="C38" s="8">
        <v>4</v>
      </c>
      <c r="D38" s="8"/>
      <c r="E38" s="8"/>
      <c r="F38" s="8"/>
      <c r="G38" s="8">
        <f>Tablo17[[#This Row],[YOLLUK HARİÇ BASKI GRAMI]]/Tablo17[[#This Row],[GÖZ ADEDİ]]</f>
        <v>0</v>
      </c>
      <c r="H38" s="9" t="s">
        <v>365</v>
      </c>
      <c r="I38" s="8" t="s">
        <v>472</v>
      </c>
      <c r="J38" s="6"/>
      <c r="K38" s="8"/>
      <c r="L38" s="60"/>
    </row>
    <row r="39" spans="1:12" ht="20.25" customHeight="1">
      <c r="A39" s="27" t="s">
        <v>287</v>
      </c>
      <c r="B39" s="7" t="s">
        <v>491</v>
      </c>
      <c r="C39" s="8">
        <v>4</v>
      </c>
      <c r="D39" s="8"/>
      <c r="E39" s="8"/>
      <c r="F39" s="8"/>
      <c r="G39" s="8">
        <f>Tablo17[[#This Row],[YOLLUK HARİÇ BASKI GRAMI]]/Tablo17[[#This Row],[GÖZ ADEDİ]]</f>
        <v>0</v>
      </c>
      <c r="H39" s="9" t="s">
        <v>365</v>
      </c>
      <c r="I39" s="8" t="s">
        <v>420</v>
      </c>
      <c r="J39" s="6"/>
      <c r="K39" s="8"/>
      <c r="L39" s="60"/>
    </row>
    <row r="40" spans="1:12" ht="20.25" customHeight="1">
      <c r="A40" s="27" t="s">
        <v>288</v>
      </c>
      <c r="B40" s="7" t="s">
        <v>491</v>
      </c>
      <c r="C40" s="8">
        <v>4</v>
      </c>
      <c r="D40" s="8"/>
      <c r="E40" s="8"/>
      <c r="F40" s="8"/>
      <c r="G40" s="8">
        <f>Tablo17[[#This Row],[YOLLUK HARİÇ BASKI GRAMI]]/Tablo17[[#This Row],[GÖZ ADEDİ]]</f>
        <v>0</v>
      </c>
      <c r="H40" s="9" t="s">
        <v>365</v>
      </c>
      <c r="I40" s="8" t="s">
        <v>419</v>
      </c>
      <c r="J40" s="6"/>
      <c r="K40" s="8"/>
      <c r="L40" s="60"/>
    </row>
    <row r="41" spans="1:12" ht="6" customHeight="1">
      <c r="A41" s="31"/>
      <c r="B41" s="11"/>
      <c r="C41" s="12"/>
      <c r="D41" s="12"/>
      <c r="E41" s="12"/>
      <c r="F41" s="12"/>
      <c r="G41" s="12"/>
      <c r="H41" s="13"/>
      <c r="I41" s="12"/>
      <c r="J41" s="10"/>
      <c r="K41" s="12"/>
      <c r="L41" s="60"/>
    </row>
    <row r="42" spans="1:12" ht="20.25" customHeight="1">
      <c r="A42" s="27" t="s">
        <v>289</v>
      </c>
      <c r="B42" s="7" t="s">
        <v>492</v>
      </c>
      <c r="C42" s="8">
        <v>2</v>
      </c>
      <c r="D42" s="8"/>
      <c r="E42" s="8"/>
      <c r="F42" s="8"/>
      <c r="G42" s="8">
        <f>Tablo17[[#This Row],[YOLLUK HARİÇ BASKI GRAMI]]/Tablo17[[#This Row],[GÖZ ADEDİ]]</f>
        <v>0</v>
      </c>
      <c r="H42" s="9" t="s">
        <v>365</v>
      </c>
      <c r="I42" s="8" t="s">
        <v>472</v>
      </c>
      <c r="J42" s="6"/>
      <c r="K42" s="8"/>
      <c r="L42" s="60"/>
    </row>
    <row r="43" spans="1:12" ht="6" customHeight="1">
      <c r="A43" s="31"/>
      <c r="B43" s="11"/>
      <c r="C43" s="12"/>
      <c r="D43" s="12"/>
      <c r="E43" s="12"/>
      <c r="F43" s="12"/>
      <c r="G43" s="12"/>
      <c r="H43" s="13"/>
      <c r="I43" s="12"/>
      <c r="J43" s="10"/>
      <c r="K43" s="12"/>
      <c r="L43" s="60"/>
    </row>
    <row r="44" spans="1:12" ht="20.25" customHeight="1">
      <c r="A44" s="27" t="s">
        <v>290</v>
      </c>
      <c r="B44" s="7" t="s">
        <v>493</v>
      </c>
      <c r="C44" s="8">
        <v>16</v>
      </c>
      <c r="D44" s="8"/>
      <c r="E44" s="8"/>
      <c r="F44" s="8"/>
      <c r="G44" s="8">
        <f>Tablo17[[#This Row],[YOLLUK HARİÇ BASKI GRAMI]]/Tablo17[[#This Row],[GÖZ ADEDİ]]</f>
        <v>0</v>
      </c>
      <c r="H44" s="9" t="s">
        <v>365</v>
      </c>
      <c r="I44" s="8" t="s">
        <v>472</v>
      </c>
      <c r="J44" s="6"/>
      <c r="K44" s="8"/>
      <c r="L44" s="60"/>
    </row>
    <row r="45" spans="1:12" ht="6" customHeight="1">
      <c r="A45" s="31"/>
      <c r="B45" s="11"/>
      <c r="C45" s="12"/>
      <c r="D45" s="12"/>
      <c r="E45" s="12"/>
      <c r="F45" s="12"/>
      <c r="G45" s="12"/>
      <c r="H45" s="13"/>
      <c r="I45" s="12"/>
      <c r="J45" s="10"/>
      <c r="K45" s="12"/>
      <c r="L45" s="60"/>
    </row>
    <row r="46" spans="1:12" ht="20.25" customHeight="1">
      <c r="A46" s="27" t="s">
        <v>240</v>
      </c>
      <c r="B46" s="7" t="s">
        <v>494</v>
      </c>
      <c r="C46" s="8">
        <v>4</v>
      </c>
      <c r="D46" s="8">
        <v>70</v>
      </c>
      <c r="E46" s="8">
        <v>167.4</v>
      </c>
      <c r="F46" s="8">
        <v>162.9</v>
      </c>
      <c r="G46" s="8">
        <f>Tablo17[[#This Row],[YOLLUK HARİÇ BASKI GRAMI]]/Tablo17[[#This Row],[GÖZ ADEDİ]]</f>
        <v>40.725000000000001</v>
      </c>
      <c r="H46" s="9" t="s">
        <v>383</v>
      </c>
      <c r="I46" s="8">
        <v>6192</v>
      </c>
      <c r="J46" s="6"/>
      <c r="K46" s="8"/>
      <c r="L46" s="60"/>
    </row>
    <row r="47" spans="1:12" ht="20.25" customHeight="1">
      <c r="A47" s="27" t="s">
        <v>571</v>
      </c>
      <c r="B47" s="7" t="s">
        <v>494</v>
      </c>
      <c r="C47" s="8">
        <v>4</v>
      </c>
      <c r="D47" s="8">
        <v>70</v>
      </c>
      <c r="E47" s="8">
        <v>167.4</v>
      </c>
      <c r="F47" s="8">
        <v>162.9</v>
      </c>
      <c r="G47" s="60">
        <f>Tablo17[[#This Row],[YOLLUK HARİÇ BASKI GRAMI]]/Tablo17[[#This Row],[GÖZ ADEDİ]]</f>
        <v>40.725000000000001</v>
      </c>
      <c r="H47" s="9" t="s">
        <v>383</v>
      </c>
      <c r="I47" s="60">
        <v>3409</v>
      </c>
      <c r="J47" s="60"/>
      <c r="K47" s="60"/>
      <c r="L47" s="60"/>
    </row>
    <row r="48" spans="1:12" ht="20.25" customHeight="1">
      <c r="A48" s="27" t="s">
        <v>572</v>
      </c>
      <c r="B48" s="7" t="s">
        <v>494</v>
      </c>
      <c r="C48" s="8">
        <v>4</v>
      </c>
      <c r="D48" s="8">
        <v>70</v>
      </c>
      <c r="E48" s="8">
        <v>167.4</v>
      </c>
      <c r="F48" s="8">
        <v>162.9</v>
      </c>
      <c r="G48" s="60">
        <f>Tablo17[[#This Row],[YOLLUK HARİÇ BASKI GRAMI]]/Tablo17[[#This Row],[GÖZ ADEDİ]]</f>
        <v>40.725000000000001</v>
      </c>
      <c r="H48" s="9" t="s">
        <v>383</v>
      </c>
      <c r="I48" s="60">
        <v>5287</v>
      </c>
      <c r="J48" s="60"/>
      <c r="K48" s="60"/>
      <c r="L48" s="60"/>
    </row>
    <row r="49" spans="1:12" ht="6" customHeight="1">
      <c r="A49" s="31"/>
      <c r="B49" s="11"/>
      <c r="C49" s="12"/>
      <c r="D49" s="12"/>
      <c r="E49" s="12"/>
      <c r="F49" s="12"/>
      <c r="G49" s="12"/>
      <c r="H49" s="13"/>
      <c r="I49" s="12"/>
      <c r="J49" s="10"/>
      <c r="K49" s="12"/>
      <c r="L49" s="60"/>
    </row>
    <row r="50" spans="1:12" ht="20.25" customHeight="1">
      <c r="A50" s="27" t="s">
        <v>52</v>
      </c>
      <c r="B50" s="7" t="s">
        <v>495</v>
      </c>
      <c r="C50" s="8">
        <v>4</v>
      </c>
      <c r="D50" s="8">
        <v>40</v>
      </c>
      <c r="E50" s="8">
        <v>88.8</v>
      </c>
      <c r="F50" s="8">
        <v>85.2</v>
      </c>
      <c r="G50" s="8">
        <f>Tablo17[[#This Row],[YOLLUK HARİÇ BASKI GRAMI]]/Tablo17[[#This Row],[GÖZ ADEDİ]]</f>
        <v>21.3</v>
      </c>
      <c r="H50" s="9" t="s">
        <v>373</v>
      </c>
      <c r="I50" s="8" t="s">
        <v>427</v>
      </c>
      <c r="J50" s="6"/>
      <c r="K50" s="8"/>
      <c r="L50" s="60"/>
    </row>
    <row r="51" spans="1:12" ht="20.25" customHeight="1">
      <c r="A51" s="27" t="s">
        <v>51</v>
      </c>
      <c r="B51" s="7" t="s">
        <v>495</v>
      </c>
      <c r="C51" s="8">
        <v>4</v>
      </c>
      <c r="D51" s="8">
        <v>40</v>
      </c>
      <c r="E51" s="8">
        <v>89.6</v>
      </c>
      <c r="F51" s="8">
        <v>86</v>
      </c>
      <c r="G51" s="8">
        <f>Tablo17[[#This Row],[YOLLUK HARİÇ BASKI GRAMI]]/Tablo17[[#This Row],[GÖZ ADEDİ]]</f>
        <v>21.5</v>
      </c>
      <c r="H51" s="9" t="s">
        <v>373</v>
      </c>
      <c r="I51" s="8" t="s">
        <v>424</v>
      </c>
      <c r="J51" s="6"/>
      <c r="K51" s="8"/>
      <c r="L51" s="60"/>
    </row>
    <row r="52" spans="1:12" ht="20.25" customHeight="1">
      <c r="A52" s="27" t="s">
        <v>50</v>
      </c>
      <c r="B52" s="7" t="s">
        <v>495</v>
      </c>
      <c r="C52" s="8">
        <v>4</v>
      </c>
      <c r="D52" s="8">
        <v>40</v>
      </c>
      <c r="E52" s="8">
        <v>88.8</v>
      </c>
      <c r="F52" s="8">
        <v>85.2</v>
      </c>
      <c r="G52" s="8">
        <f>Tablo17[[#This Row],[YOLLUK HARİÇ BASKI GRAMI]]/Tablo17[[#This Row],[GÖZ ADEDİ]]</f>
        <v>21.3</v>
      </c>
      <c r="H52" s="9" t="s">
        <v>373</v>
      </c>
      <c r="I52" s="8" t="s">
        <v>422</v>
      </c>
      <c r="J52" s="6"/>
      <c r="K52" s="8"/>
      <c r="L52" s="60"/>
    </row>
    <row r="53" spans="1:12" ht="6" customHeight="1">
      <c r="A53" s="31"/>
      <c r="B53" s="11"/>
      <c r="C53" s="12"/>
      <c r="D53" s="12"/>
      <c r="E53" s="12"/>
      <c r="F53" s="12"/>
      <c r="G53" s="12"/>
      <c r="H53" s="13"/>
      <c r="I53" s="12"/>
      <c r="J53" s="10"/>
      <c r="K53" s="12"/>
      <c r="L53" s="60"/>
    </row>
    <row r="54" spans="1:12" ht="20.25" customHeight="1">
      <c r="A54" s="27" t="s">
        <v>291</v>
      </c>
      <c r="B54" s="7" t="s">
        <v>496</v>
      </c>
      <c r="C54" s="8">
        <v>2</v>
      </c>
      <c r="D54" s="8"/>
      <c r="E54" s="8"/>
      <c r="F54" s="8"/>
      <c r="G54" s="8">
        <f>Tablo17[[#This Row],[YOLLUK HARİÇ BASKI GRAMI]]/Tablo17[[#This Row],[GÖZ ADEDİ]]</f>
        <v>0</v>
      </c>
      <c r="H54" s="9" t="s">
        <v>365</v>
      </c>
      <c r="I54" s="8" t="s">
        <v>472</v>
      </c>
      <c r="J54" s="6"/>
      <c r="K54" s="8"/>
      <c r="L54" s="60"/>
    </row>
    <row r="55" spans="1:12" ht="6" customHeight="1">
      <c r="A55" s="31"/>
      <c r="B55" s="11"/>
      <c r="C55" s="12"/>
      <c r="D55" s="12"/>
      <c r="E55" s="12"/>
      <c r="F55" s="12"/>
      <c r="G55" s="12"/>
      <c r="H55" s="13"/>
      <c r="I55" s="12"/>
      <c r="J55" s="10"/>
      <c r="K55" s="12"/>
      <c r="L55" s="60"/>
    </row>
    <row r="56" spans="1:12" ht="20.25" customHeight="1">
      <c r="A56" s="27" t="s">
        <v>137</v>
      </c>
      <c r="B56" s="7" t="s">
        <v>497</v>
      </c>
      <c r="C56" s="8">
        <v>8</v>
      </c>
      <c r="D56" s="8">
        <v>21</v>
      </c>
      <c r="E56" s="8">
        <v>29.6</v>
      </c>
      <c r="F56" s="8">
        <v>28.6</v>
      </c>
      <c r="G56" s="8">
        <f>Tablo17[[#This Row],[YOLLUK HARİÇ BASKI GRAMI]]/Tablo17[[#This Row],[GÖZ ADEDİ]]</f>
        <v>3.5750000000000002</v>
      </c>
      <c r="H56" s="9" t="s">
        <v>183</v>
      </c>
      <c r="I56" s="8" t="s">
        <v>410</v>
      </c>
      <c r="J56" s="6"/>
      <c r="K56" s="8"/>
      <c r="L56" s="60"/>
    </row>
    <row r="57" spans="1:12" ht="20.25" customHeight="1">
      <c r="A57" s="27" t="s">
        <v>166</v>
      </c>
      <c r="B57" s="7" t="s">
        <v>497</v>
      </c>
      <c r="C57" s="8">
        <v>8</v>
      </c>
      <c r="D57" s="8">
        <v>21</v>
      </c>
      <c r="E57" s="8">
        <v>29.6</v>
      </c>
      <c r="F57" s="8">
        <v>28.6</v>
      </c>
      <c r="G57" s="8">
        <f>Tablo17[[#This Row],[YOLLUK HARİÇ BASKI GRAMI]]/Tablo17[[#This Row],[GÖZ ADEDİ]]</f>
        <v>3.5750000000000002</v>
      </c>
      <c r="H57" s="9" t="s">
        <v>183</v>
      </c>
      <c r="I57" s="8" t="s">
        <v>412</v>
      </c>
      <c r="J57" s="6"/>
      <c r="K57" s="8"/>
      <c r="L57" s="60"/>
    </row>
    <row r="58" spans="1:12" ht="20.25" customHeight="1">
      <c r="A58" s="27" t="s">
        <v>167</v>
      </c>
      <c r="B58" s="7" t="s">
        <v>497</v>
      </c>
      <c r="C58" s="8">
        <v>8</v>
      </c>
      <c r="D58" s="8">
        <v>21</v>
      </c>
      <c r="E58" s="8">
        <v>29.6</v>
      </c>
      <c r="F58" s="8">
        <v>28.6</v>
      </c>
      <c r="G58" s="8">
        <f>Tablo17[[#This Row],[YOLLUK HARİÇ BASKI GRAMI]]/Tablo17[[#This Row],[GÖZ ADEDİ]]</f>
        <v>3.5750000000000002</v>
      </c>
      <c r="H58" s="9" t="s">
        <v>183</v>
      </c>
      <c r="I58" s="8" t="s">
        <v>413</v>
      </c>
      <c r="J58" s="6"/>
      <c r="K58" s="8"/>
      <c r="L58" s="60"/>
    </row>
    <row r="59" spans="1:12" ht="20.25" customHeight="1">
      <c r="A59" s="27" t="s">
        <v>169</v>
      </c>
      <c r="B59" s="7" t="s">
        <v>497</v>
      </c>
      <c r="C59" s="8">
        <v>8</v>
      </c>
      <c r="D59" s="8">
        <v>21</v>
      </c>
      <c r="E59" s="8">
        <v>29.6</v>
      </c>
      <c r="F59" s="8">
        <v>28.6</v>
      </c>
      <c r="G59" s="8">
        <f>Tablo17[[#This Row],[YOLLUK HARİÇ BASKI GRAMI]]/Tablo17[[#This Row],[GÖZ ADEDİ]]</f>
        <v>3.5750000000000002</v>
      </c>
      <c r="H59" s="9" t="s">
        <v>183</v>
      </c>
      <c r="I59" s="8">
        <v>3408</v>
      </c>
      <c r="J59" s="6"/>
      <c r="K59" s="8"/>
      <c r="L59" s="60"/>
    </row>
    <row r="60" spans="1:12" ht="20.25" customHeight="1">
      <c r="A60" s="27" t="s">
        <v>168</v>
      </c>
      <c r="B60" s="7" t="s">
        <v>497</v>
      </c>
      <c r="C60" s="8">
        <v>8</v>
      </c>
      <c r="D60" s="8">
        <v>21</v>
      </c>
      <c r="E60" s="8">
        <v>29.6</v>
      </c>
      <c r="F60" s="8">
        <v>28.6</v>
      </c>
      <c r="G60" s="8">
        <f>Tablo17[[#This Row],[YOLLUK HARİÇ BASKI GRAMI]]/Tablo17[[#This Row],[GÖZ ADEDİ]]</f>
        <v>3.5750000000000002</v>
      </c>
      <c r="H60" s="9" t="s">
        <v>365</v>
      </c>
      <c r="I60" s="8">
        <v>3332</v>
      </c>
      <c r="J60" s="6"/>
      <c r="K60" s="8"/>
      <c r="L60" s="60"/>
    </row>
    <row r="61" spans="1:12" ht="20.25" customHeight="1">
      <c r="A61" s="27" t="s">
        <v>201</v>
      </c>
      <c r="B61" s="7" t="s">
        <v>497</v>
      </c>
      <c r="C61" s="8">
        <v>8</v>
      </c>
      <c r="D61" s="8">
        <v>21</v>
      </c>
      <c r="E61" s="8">
        <v>29.6</v>
      </c>
      <c r="F61" s="8">
        <v>28.6</v>
      </c>
      <c r="G61" s="8">
        <f>Tablo17[[#This Row],[YOLLUK HARİÇ BASKI GRAMI]]/Tablo17[[#This Row],[GÖZ ADEDİ]]</f>
        <v>3.5750000000000002</v>
      </c>
      <c r="H61" s="9" t="s">
        <v>183</v>
      </c>
      <c r="I61" s="8">
        <v>1289</v>
      </c>
      <c r="J61" s="6"/>
      <c r="K61" s="8"/>
      <c r="L61" s="60"/>
    </row>
    <row r="62" spans="1:12" ht="20.25" customHeight="1">
      <c r="A62" s="27" t="s">
        <v>292</v>
      </c>
      <c r="B62" s="7" t="s">
        <v>497</v>
      </c>
      <c r="C62" s="8">
        <v>8</v>
      </c>
      <c r="D62" s="8">
        <v>21</v>
      </c>
      <c r="E62" s="8">
        <v>29.6</v>
      </c>
      <c r="F62" s="8">
        <v>28.6</v>
      </c>
      <c r="G62" s="8">
        <f>Tablo17[[#This Row],[YOLLUK HARİÇ BASKI GRAMI]]/Tablo17[[#This Row],[GÖZ ADEDİ]]</f>
        <v>3.5750000000000002</v>
      </c>
      <c r="H62" s="9" t="s">
        <v>183</v>
      </c>
      <c r="I62" s="8">
        <v>4089</v>
      </c>
      <c r="J62" s="6"/>
      <c r="K62" s="8"/>
      <c r="L62" s="60"/>
    </row>
    <row r="63" spans="1:12" ht="20.25" customHeight="1">
      <c r="A63" s="27" t="s">
        <v>163</v>
      </c>
      <c r="B63" s="7" t="s">
        <v>497</v>
      </c>
      <c r="C63" s="8">
        <v>8</v>
      </c>
      <c r="D63" s="8">
        <v>21</v>
      </c>
      <c r="E63" s="8">
        <v>29.6</v>
      </c>
      <c r="F63" s="8">
        <v>28.6</v>
      </c>
      <c r="G63" s="8">
        <f>Tablo17[[#This Row],[YOLLUK HARİÇ BASKI GRAMI]]/Tablo17[[#This Row],[GÖZ ADEDİ]]</f>
        <v>3.5750000000000002</v>
      </c>
      <c r="H63" s="9" t="s">
        <v>183</v>
      </c>
      <c r="I63" s="8" t="s">
        <v>472</v>
      </c>
      <c r="J63" s="6"/>
      <c r="K63" s="8"/>
      <c r="L63" s="60"/>
    </row>
    <row r="64" spans="1:12" ht="20.25" customHeight="1">
      <c r="A64" s="27" t="s">
        <v>125</v>
      </c>
      <c r="B64" s="7" t="s">
        <v>497</v>
      </c>
      <c r="C64" s="8">
        <v>8</v>
      </c>
      <c r="D64" s="8">
        <v>21</v>
      </c>
      <c r="E64" s="8">
        <v>29.6</v>
      </c>
      <c r="F64" s="8">
        <v>28.6</v>
      </c>
      <c r="G64" s="8">
        <f>Tablo17[[#This Row],[YOLLUK HARİÇ BASKI GRAMI]]/Tablo17[[#This Row],[GÖZ ADEDİ]]</f>
        <v>3.5750000000000002</v>
      </c>
      <c r="H64" s="9" t="s">
        <v>183</v>
      </c>
      <c r="I64" s="8">
        <v>1045</v>
      </c>
      <c r="J64" s="8"/>
      <c r="K64" s="8"/>
      <c r="L64" s="60"/>
    </row>
    <row r="65" spans="1:16384" ht="20.25" customHeight="1">
      <c r="A65" s="27" t="s">
        <v>128</v>
      </c>
      <c r="B65" s="7" t="s">
        <v>497</v>
      </c>
      <c r="C65" s="8">
        <v>8</v>
      </c>
      <c r="D65" s="8">
        <v>21</v>
      </c>
      <c r="E65" s="8">
        <v>29.6</v>
      </c>
      <c r="F65" s="8">
        <v>28.6</v>
      </c>
      <c r="G65" s="8">
        <f>Tablo17[[#This Row],[YOLLUK HARİÇ BASKI GRAMI]]/Tablo17[[#This Row],[GÖZ ADEDİ]]</f>
        <v>3.5750000000000002</v>
      </c>
      <c r="H65" s="9" t="s">
        <v>183</v>
      </c>
      <c r="I65" s="8" t="s">
        <v>415</v>
      </c>
      <c r="J65" s="8"/>
      <c r="K65" s="8"/>
      <c r="L65" s="60"/>
    </row>
    <row r="66" spans="1:16384" ht="20.25" customHeight="1">
      <c r="A66" s="27" t="s">
        <v>124</v>
      </c>
      <c r="B66" s="7" t="s">
        <v>497</v>
      </c>
      <c r="C66" s="8">
        <v>8</v>
      </c>
      <c r="D66" s="8">
        <v>21</v>
      </c>
      <c r="E66" s="8">
        <v>29.6</v>
      </c>
      <c r="F66" s="8">
        <v>28.6</v>
      </c>
      <c r="G66" s="8">
        <f>Tablo17[[#This Row],[YOLLUK HARİÇ BASKI GRAMI]]/Tablo17[[#This Row],[GÖZ ADEDİ]]</f>
        <v>3.5750000000000002</v>
      </c>
      <c r="H66" s="9" t="s">
        <v>183</v>
      </c>
      <c r="I66" s="8" t="s">
        <v>416</v>
      </c>
      <c r="J66" s="8"/>
      <c r="K66" s="8"/>
      <c r="L66" s="60"/>
    </row>
    <row r="67" spans="1:16384" ht="20.25" customHeight="1">
      <c r="A67" s="27" t="s">
        <v>126</v>
      </c>
      <c r="B67" s="7" t="s">
        <v>497</v>
      </c>
      <c r="C67" s="8">
        <v>8</v>
      </c>
      <c r="D67" s="8">
        <v>21</v>
      </c>
      <c r="E67" s="8">
        <v>29.6</v>
      </c>
      <c r="F67" s="8">
        <v>28.6</v>
      </c>
      <c r="G67" s="8">
        <f>Tablo17[[#This Row],[YOLLUK HARİÇ BASKI GRAMI]]/Tablo17[[#This Row],[GÖZ ADEDİ]]</f>
        <v>3.5750000000000002</v>
      </c>
      <c r="H67" s="9" t="s">
        <v>183</v>
      </c>
      <c r="I67" s="8">
        <v>3014</v>
      </c>
      <c r="J67" s="8"/>
      <c r="K67" s="8"/>
      <c r="L67" s="60"/>
    </row>
    <row r="68" spans="1:16384" ht="20.25" customHeight="1">
      <c r="A68" s="27" t="s">
        <v>127</v>
      </c>
      <c r="B68" s="7" t="s">
        <v>497</v>
      </c>
      <c r="C68" s="8">
        <v>8</v>
      </c>
      <c r="D68" s="8">
        <v>21</v>
      </c>
      <c r="E68" s="8">
        <v>29.9</v>
      </c>
      <c r="F68" s="8">
        <v>29.1</v>
      </c>
      <c r="G68" s="8">
        <f>Tablo17[[#This Row],[YOLLUK HARİÇ BASKI GRAMI]]/Tablo17[[#This Row],[GÖZ ADEDİ]]</f>
        <v>3.6375000000000002</v>
      </c>
      <c r="H68" s="9" t="s">
        <v>183</v>
      </c>
      <c r="I68" s="8" t="s">
        <v>417</v>
      </c>
      <c r="J68" s="8">
        <v>2E-3</v>
      </c>
      <c r="K68" s="8"/>
      <c r="L68" s="60"/>
    </row>
    <row r="69" spans="1:16384" ht="20.25" customHeight="1">
      <c r="A69" s="27" t="s">
        <v>162</v>
      </c>
      <c r="B69" s="7" t="s">
        <v>497</v>
      </c>
      <c r="C69" s="8">
        <v>8</v>
      </c>
      <c r="D69" s="8">
        <v>21</v>
      </c>
      <c r="E69" s="8">
        <v>29.6</v>
      </c>
      <c r="F69" s="8">
        <v>28.6</v>
      </c>
      <c r="G69" s="8">
        <f>Tablo17[[#This Row],[YOLLUK HARİÇ BASKI GRAMI]]/Tablo17[[#This Row],[GÖZ ADEDİ]]</f>
        <v>3.5750000000000002</v>
      </c>
      <c r="H69" s="9" t="s">
        <v>183</v>
      </c>
      <c r="I69" s="8" t="s">
        <v>414</v>
      </c>
      <c r="J69" s="8"/>
      <c r="K69" s="8"/>
      <c r="L69" s="60"/>
    </row>
    <row r="70" spans="1:16384" ht="20.25" customHeight="1">
      <c r="A70" s="27" t="s">
        <v>293</v>
      </c>
      <c r="B70" s="7" t="s">
        <v>498</v>
      </c>
      <c r="C70" s="8">
        <v>8</v>
      </c>
      <c r="D70" s="8">
        <v>21</v>
      </c>
      <c r="E70" s="8">
        <v>29.6</v>
      </c>
      <c r="F70" s="8">
        <v>28.6</v>
      </c>
      <c r="G70" s="8">
        <f>Tablo17[[#This Row],[YOLLUK HARİÇ BASKI GRAMI]]/Tablo17[[#This Row],[GÖZ ADEDİ]]</f>
        <v>3.5750000000000002</v>
      </c>
      <c r="H70" s="9" t="s">
        <v>183</v>
      </c>
      <c r="I70" s="8" t="s">
        <v>417</v>
      </c>
      <c r="J70" s="8">
        <v>3.0000000000000001E-3</v>
      </c>
      <c r="K70" s="8"/>
      <c r="L70" s="60"/>
    </row>
    <row r="71" spans="1:16384" ht="20.25" customHeight="1">
      <c r="A71" s="27" t="s">
        <v>294</v>
      </c>
      <c r="B71" s="7" t="s">
        <v>498</v>
      </c>
      <c r="C71" s="8">
        <v>8</v>
      </c>
      <c r="D71" s="8">
        <v>21</v>
      </c>
      <c r="E71" s="8">
        <v>29.6</v>
      </c>
      <c r="F71" s="8">
        <v>28.6</v>
      </c>
      <c r="G71" s="8">
        <f>Tablo17[[#This Row],[YOLLUK HARİÇ BASKI GRAMI]]/Tablo17[[#This Row],[GÖZ ADEDİ]]</f>
        <v>3.5750000000000002</v>
      </c>
      <c r="H71" s="9" t="s">
        <v>183</v>
      </c>
      <c r="I71" s="8" t="s">
        <v>416</v>
      </c>
      <c r="J71" s="8">
        <v>3.0000000000000001E-3</v>
      </c>
      <c r="K71" s="8"/>
      <c r="L71" s="60"/>
    </row>
    <row r="72" spans="1:16384" ht="6" customHeight="1">
      <c r="A72" s="31"/>
      <c r="B72" s="11"/>
      <c r="C72" s="12"/>
      <c r="D72" s="12"/>
      <c r="E72" s="12"/>
      <c r="F72" s="12"/>
      <c r="G72" s="12"/>
      <c r="H72" s="13"/>
      <c r="I72" s="12"/>
      <c r="J72" s="10"/>
      <c r="K72" s="12"/>
      <c r="L72" s="60"/>
    </row>
    <row r="73" spans="1:16384" ht="20.25" customHeight="1">
      <c r="A73" s="27" t="s">
        <v>200</v>
      </c>
      <c r="B73" s="7" t="s">
        <v>499</v>
      </c>
      <c r="C73" s="8">
        <v>8</v>
      </c>
      <c r="D73" s="8">
        <v>21</v>
      </c>
      <c r="E73" s="8">
        <v>31.4</v>
      </c>
      <c r="F73" s="8">
        <v>30.4</v>
      </c>
      <c r="G73" s="8">
        <f>Tablo17[[#This Row],[YOLLUK HARİÇ BASKI GRAMI]]/Tablo17[[#This Row],[GÖZ ADEDİ]]</f>
        <v>3.8</v>
      </c>
      <c r="H73" s="9" t="s">
        <v>183</v>
      </c>
      <c r="I73" s="8" t="s">
        <v>410</v>
      </c>
      <c r="J73" s="6"/>
      <c r="K73" s="8"/>
      <c r="L73" s="60"/>
    </row>
    <row r="74" spans="1:16384" ht="20.25" customHeight="1">
      <c r="A74" s="27" t="s">
        <v>295</v>
      </c>
      <c r="B74" s="7" t="s">
        <v>499</v>
      </c>
      <c r="C74" s="8">
        <v>8</v>
      </c>
      <c r="D74" s="8">
        <v>21</v>
      </c>
      <c r="E74" s="8">
        <v>31.4</v>
      </c>
      <c r="F74" s="8">
        <v>30.4</v>
      </c>
      <c r="G74" s="8">
        <f>Tablo17[[#This Row],[YOLLUK HARİÇ BASKI GRAMI]]/Tablo17[[#This Row],[GÖZ ADEDİ]]</f>
        <v>3.8</v>
      </c>
      <c r="H74" s="9" t="s">
        <v>183</v>
      </c>
      <c r="I74" s="8" t="s">
        <v>412</v>
      </c>
      <c r="J74" s="6"/>
      <c r="K74" s="8"/>
      <c r="L74" s="60"/>
    </row>
    <row r="75" spans="1:16384" ht="20.25" customHeight="1">
      <c r="A75" s="27" t="s">
        <v>296</v>
      </c>
      <c r="B75" s="7" t="s">
        <v>499</v>
      </c>
      <c r="C75" s="8">
        <v>8</v>
      </c>
      <c r="D75" s="18">
        <v>21</v>
      </c>
      <c r="E75" s="8">
        <v>31.4</v>
      </c>
      <c r="F75" s="8">
        <v>30.4</v>
      </c>
      <c r="G75" s="8">
        <f>Tablo17[[#This Row],[YOLLUK HARİÇ BASKI GRAMI]]/Tablo17[[#This Row],[GÖZ ADEDİ]]</f>
        <v>3.8</v>
      </c>
      <c r="H75" s="9" t="s">
        <v>183</v>
      </c>
      <c r="I75" s="8" t="s">
        <v>413</v>
      </c>
      <c r="J75" s="6"/>
      <c r="K75" s="8"/>
      <c r="L75" s="60"/>
    </row>
    <row r="76" spans="1:16384" ht="20.25" customHeight="1">
      <c r="A76" s="27" t="s">
        <v>297</v>
      </c>
      <c r="B76" s="7" t="s">
        <v>499</v>
      </c>
      <c r="C76" s="8">
        <v>8</v>
      </c>
      <c r="D76" s="8">
        <v>21</v>
      </c>
      <c r="E76" s="8">
        <v>31.4</v>
      </c>
      <c r="F76" s="8">
        <v>30.4</v>
      </c>
      <c r="G76" s="8">
        <f>Tablo17[[#This Row],[YOLLUK HARİÇ BASKI GRAMI]]/Tablo17[[#This Row],[GÖZ ADEDİ]]</f>
        <v>3.8</v>
      </c>
      <c r="H76" s="9" t="s">
        <v>183</v>
      </c>
      <c r="I76" s="8">
        <v>1289</v>
      </c>
      <c r="J76" s="6"/>
      <c r="K76" s="8"/>
      <c r="L76" s="60"/>
    </row>
    <row r="77" spans="1:16384" ht="20.25" customHeight="1">
      <c r="A77" s="27" t="s">
        <v>298</v>
      </c>
      <c r="B77" s="7" t="s">
        <v>499</v>
      </c>
      <c r="C77" s="8">
        <v>8</v>
      </c>
      <c r="D77" s="8">
        <v>21</v>
      </c>
      <c r="E77" s="8">
        <v>31.4</v>
      </c>
      <c r="F77" s="8">
        <v>30.4</v>
      </c>
      <c r="G77" s="8">
        <f>Tablo17[[#This Row],[YOLLUK HARİÇ BASKI GRAMI]]/Tablo17[[#This Row],[GÖZ ADEDİ]]</f>
        <v>3.8</v>
      </c>
      <c r="H77" s="9" t="s">
        <v>183</v>
      </c>
      <c r="I77" s="8">
        <v>3408</v>
      </c>
      <c r="J77" s="6"/>
      <c r="K77" s="8"/>
      <c r="L77" s="60"/>
    </row>
    <row r="78" spans="1:16384" ht="20.25" customHeight="1">
      <c r="A78" s="27" t="s">
        <v>299</v>
      </c>
      <c r="B78" s="7" t="s">
        <v>499</v>
      </c>
      <c r="C78" s="8">
        <v>8</v>
      </c>
      <c r="D78" s="8">
        <v>21</v>
      </c>
      <c r="E78" s="8">
        <v>31.4</v>
      </c>
      <c r="F78" s="8">
        <v>30.4</v>
      </c>
      <c r="G78" s="8">
        <f>Tablo17[[#This Row],[YOLLUK HARİÇ BASKI GRAMI]]/Tablo17[[#This Row],[GÖZ ADEDİ]]</f>
        <v>3.8</v>
      </c>
      <c r="H78" s="9" t="s">
        <v>183</v>
      </c>
      <c r="I78" s="8">
        <v>4089</v>
      </c>
      <c r="J78" s="6"/>
      <c r="K78" s="8"/>
      <c r="L78" s="60"/>
    </row>
    <row r="79" spans="1:16384" s="35" customFormat="1" ht="20.25" customHeight="1">
      <c r="A79" s="27" t="s">
        <v>135</v>
      </c>
      <c r="B79" s="7" t="s">
        <v>499</v>
      </c>
      <c r="C79" s="8">
        <v>8</v>
      </c>
      <c r="D79" s="8">
        <v>21</v>
      </c>
      <c r="E79" s="8">
        <v>31.4</v>
      </c>
      <c r="F79" s="8">
        <v>30.4</v>
      </c>
      <c r="G79" s="8">
        <f>Tablo17[[#This Row],[YOLLUK HARİÇ BASKI GRAMI]]/Tablo17[[#This Row],[GÖZ ADEDİ]]</f>
        <v>3.8</v>
      </c>
      <c r="H79" s="9" t="s">
        <v>183</v>
      </c>
      <c r="I79" s="8" t="s">
        <v>472</v>
      </c>
      <c r="J79" s="6"/>
      <c r="K79" s="8"/>
      <c r="L79" s="60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 s="35" customFormat="1" ht="20.25" customHeight="1">
      <c r="A80" s="35" t="s">
        <v>578</v>
      </c>
      <c r="B80" s="7" t="s">
        <v>499</v>
      </c>
      <c r="C80" s="8">
        <v>8</v>
      </c>
      <c r="D80" s="8">
        <v>21</v>
      </c>
      <c r="E80" s="8">
        <v>31.4</v>
      </c>
      <c r="F80" s="8">
        <v>30.4</v>
      </c>
      <c r="G80" s="60">
        <f>Tablo17[[#This Row],[YOLLUK HARİÇ BASKI GRAMI]]/Tablo17[[#This Row],[GÖZ ADEDİ]]</f>
        <v>3.8</v>
      </c>
      <c r="H80" s="9" t="s">
        <v>183</v>
      </c>
      <c r="I80" s="60">
        <v>3014</v>
      </c>
      <c r="J80" s="60"/>
      <c r="K80" s="60"/>
      <c r="L80" s="6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 s="35" customFormat="1" ht="25.5" customHeight="1">
      <c r="A81" s="35" t="s">
        <v>577</v>
      </c>
      <c r="B81" s="7" t="s">
        <v>499</v>
      </c>
      <c r="C81" s="8">
        <v>8</v>
      </c>
      <c r="D81" s="8">
        <v>21</v>
      </c>
      <c r="E81" s="8">
        <v>31.4</v>
      </c>
      <c r="F81" s="8">
        <v>30.4</v>
      </c>
      <c r="G81" s="60">
        <f>Tablo17[[#This Row],[YOLLUK HARİÇ BASKI GRAMI]]/Tablo17[[#This Row],[GÖZ ADEDİ]]</f>
        <v>3.8</v>
      </c>
      <c r="H81" s="9" t="s">
        <v>183</v>
      </c>
      <c r="I81" s="8" t="s">
        <v>414</v>
      </c>
      <c r="J81" s="60"/>
      <c r="K81" s="60"/>
      <c r="L81" s="60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 s="35" customFormat="1" ht="6.75" customHeight="1">
      <c r="A82" s="31"/>
      <c r="B82" s="31"/>
      <c r="C82" s="11"/>
      <c r="D82" s="12"/>
      <c r="E82" s="12"/>
      <c r="F82" s="12"/>
      <c r="G82" s="12"/>
      <c r="H82" s="12"/>
      <c r="I82" s="13"/>
      <c r="J82" s="12"/>
      <c r="K82" s="12"/>
      <c r="L82" s="1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 ht="25.5" customHeight="1">
      <c r="A83" s="32" t="s">
        <v>188</v>
      </c>
      <c r="B83" s="15" t="s">
        <v>500</v>
      </c>
      <c r="C83" s="18">
        <v>8</v>
      </c>
      <c r="D83" s="18">
        <v>25</v>
      </c>
      <c r="E83" s="18">
        <v>35.700000000000003</v>
      </c>
      <c r="F83" s="18">
        <v>35</v>
      </c>
      <c r="G83" s="8">
        <f>Tablo17[[#This Row],[YOLLUK HARİÇ BASKI GRAMI]]/Tablo17[[#This Row],[GÖZ ADEDİ]]</f>
        <v>4.375</v>
      </c>
      <c r="H83" s="28" t="s">
        <v>183</v>
      </c>
      <c r="I83" s="60" t="s">
        <v>429</v>
      </c>
      <c r="J83" s="67">
        <v>2.5000000000000001E-2</v>
      </c>
      <c r="K83" s="67"/>
      <c r="L83" s="60"/>
    </row>
    <row r="84" spans="1:16384" ht="25.5" customHeight="1">
      <c r="A84" s="32" t="s">
        <v>164</v>
      </c>
      <c r="B84" s="15" t="s">
        <v>500</v>
      </c>
      <c r="C84" s="18">
        <v>8</v>
      </c>
      <c r="D84" s="18">
        <v>25</v>
      </c>
      <c r="E84" s="18">
        <v>35.700000000000003</v>
      </c>
      <c r="F84" s="18">
        <v>35</v>
      </c>
      <c r="G84" s="60">
        <f>Tablo17[[#This Row],[YOLLUK HARİÇ BASKI GRAMI]]/Tablo17[[#This Row],[GÖZ ADEDİ]]</f>
        <v>4.375</v>
      </c>
      <c r="H84" s="28" t="s">
        <v>183</v>
      </c>
      <c r="I84" s="60" t="s">
        <v>472</v>
      </c>
      <c r="J84" s="67"/>
      <c r="K84" s="67"/>
      <c r="L84" s="60"/>
    </row>
    <row r="85" spans="1:16384" ht="6" customHeight="1">
      <c r="A85" s="31"/>
      <c r="B85" s="31"/>
      <c r="C85" s="11"/>
      <c r="D85" s="12"/>
      <c r="E85" s="12"/>
      <c r="F85" s="12"/>
      <c r="G85" s="12"/>
      <c r="H85" s="12"/>
      <c r="I85" s="13"/>
      <c r="J85" s="12"/>
      <c r="K85" s="12"/>
      <c r="L85" s="12"/>
      <c r="M85" s="12"/>
    </row>
    <row r="86" spans="1:16384" ht="24.75" customHeight="1">
      <c r="A86" s="27" t="s">
        <v>300</v>
      </c>
      <c r="B86" s="7" t="s">
        <v>501</v>
      </c>
      <c r="C86" s="8">
        <v>16</v>
      </c>
      <c r="D86" s="8">
        <v>19.95</v>
      </c>
      <c r="E86" s="8">
        <v>18.5</v>
      </c>
      <c r="F86" s="8">
        <v>16.7</v>
      </c>
      <c r="G86" s="8">
        <f>Tablo17[[#This Row],[YOLLUK HARİÇ BASKI GRAMI]]/Tablo17[[#This Row],[GÖZ ADEDİ]]</f>
        <v>1.04375</v>
      </c>
      <c r="H86" s="9" t="s">
        <v>183</v>
      </c>
      <c r="I86" s="8" t="s">
        <v>410</v>
      </c>
      <c r="J86" s="6"/>
      <c r="K86" s="8"/>
      <c r="L86" s="60"/>
    </row>
    <row r="87" spans="1:16384" ht="24.75" customHeight="1">
      <c r="A87" s="27" t="s">
        <v>301</v>
      </c>
      <c r="B87" s="7" t="s">
        <v>501</v>
      </c>
      <c r="C87" s="8">
        <v>16</v>
      </c>
      <c r="D87" s="8">
        <v>19.95</v>
      </c>
      <c r="E87" s="8">
        <v>18.5</v>
      </c>
      <c r="F87" s="8">
        <v>16.7</v>
      </c>
      <c r="G87" s="8">
        <f>Tablo17[[#This Row],[YOLLUK HARİÇ BASKI GRAMI]]/Tablo17[[#This Row],[GÖZ ADEDİ]]</f>
        <v>1.04375</v>
      </c>
      <c r="H87" s="9" t="s">
        <v>183</v>
      </c>
      <c r="I87" s="8" t="s">
        <v>412</v>
      </c>
      <c r="J87" s="6"/>
      <c r="K87" s="8"/>
      <c r="L87" s="60"/>
    </row>
    <row r="88" spans="1:16384" ht="24.75" customHeight="1">
      <c r="A88" s="87" t="s">
        <v>302</v>
      </c>
      <c r="B88" s="7" t="s">
        <v>501</v>
      </c>
      <c r="C88" s="8">
        <v>16</v>
      </c>
      <c r="D88" s="8">
        <v>19.95</v>
      </c>
      <c r="E88" s="8">
        <v>18.5</v>
      </c>
      <c r="F88" s="8">
        <v>16.7</v>
      </c>
      <c r="G88" s="8">
        <f>Tablo17[[#This Row],[YOLLUK HARİÇ BASKI GRAMI]]/Tablo17[[#This Row],[GÖZ ADEDİ]]</f>
        <v>1.04375</v>
      </c>
      <c r="H88" s="9" t="s">
        <v>183</v>
      </c>
      <c r="I88" s="8" t="s">
        <v>413</v>
      </c>
      <c r="J88" s="60"/>
      <c r="K88" s="60"/>
      <c r="L88" s="60"/>
    </row>
    <row r="89" spans="1:16384" ht="24.75" customHeight="1">
      <c r="A89" s="87" t="s">
        <v>303</v>
      </c>
      <c r="B89" s="7" t="s">
        <v>501</v>
      </c>
      <c r="C89" s="8">
        <v>16</v>
      </c>
      <c r="D89" s="8">
        <v>19.95</v>
      </c>
      <c r="E89" s="8">
        <v>18.5</v>
      </c>
      <c r="F89" s="8">
        <v>16.7</v>
      </c>
      <c r="G89" s="8">
        <f>Tablo17[[#This Row],[YOLLUK HARİÇ BASKI GRAMI]]/Tablo17[[#This Row],[GÖZ ADEDİ]]</f>
        <v>1.04375</v>
      </c>
      <c r="H89" s="9" t="s">
        <v>183</v>
      </c>
      <c r="I89" s="8">
        <v>1289</v>
      </c>
      <c r="J89" s="60"/>
      <c r="K89" s="60"/>
      <c r="L89" s="60"/>
    </row>
    <row r="90" spans="1:16384" ht="24.75" customHeight="1">
      <c r="A90" s="87" t="s">
        <v>304</v>
      </c>
      <c r="B90" s="7" t="s">
        <v>501</v>
      </c>
      <c r="C90" s="8">
        <v>16</v>
      </c>
      <c r="D90" s="8">
        <v>19.95</v>
      </c>
      <c r="E90" s="8">
        <v>18.5</v>
      </c>
      <c r="F90" s="8">
        <v>16.7</v>
      </c>
      <c r="G90" s="8">
        <f>Tablo17[[#This Row],[YOLLUK HARİÇ BASKI GRAMI]]/Tablo17[[#This Row],[GÖZ ADEDİ]]</f>
        <v>1.04375</v>
      </c>
      <c r="H90" s="9" t="s">
        <v>183</v>
      </c>
      <c r="I90" s="8">
        <v>3408</v>
      </c>
      <c r="J90" s="60"/>
      <c r="K90" s="60"/>
      <c r="L90" s="60"/>
    </row>
    <row r="91" spans="1:16384" ht="24.75" customHeight="1">
      <c r="A91" s="87" t="s">
        <v>305</v>
      </c>
      <c r="B91" s="7" t="s">
        <v>501</v>
      </c>
      <c r="C91" s="8">
        <v>16</v>
      </c>
      <c r="D91" s="8">
        <v>19.95</v>
      </c>
      <c r="E91" s="8">
        <v>18.5</v>
      </c>
      <c r="F91" s="8">
        <v>16.7</v>
      </c>
      <c r="G91" s="8">
        <f>Tablo17[[#This Row],[YOLLUK HARİÇ BASKI GRAMI]]/Tablo17[[#This Row],[GÖZ ADEDİ]]</f>
        <v>1.04375</v>
      </c>
      <c r="H91" s="9" t="s">
        <v>183</v>
      </c>
      <c r="I91" s="8">
        <v>4089</v>
      </c>
      <c r="J91" s="60"/>
      <c r="K91" s="60"/>
      <c r="L91" s="60"/>
    </row>
    <row r="92" spans="1:16384" ht="24.75" customHeight="1">
      <c r="A92" s="87" t="s">
        <v>306</v>
      </c>
      <c r="B92" s="7" t="s">
        <v>501</v>
      </c>
      <c r="C92" s="8">
        <v>16</v>
      </c>
      <c r="D92" s="8">
        <v>19.95</v>
      </c>
      <c r="E92" s="8">
        <v>18.5</v>
      </c>
      <c r="F92" s="8">
        <v>16.7</v>
      </c>
      <c r="G92" s="8">
        <f>Tablo17[[#This Row],[YOLLUK HARİÇ BASKI GRAMI]]/Tablo17[[#This Row],[GÖZ ADEDİ]]</f>
        <v>1.04375</v>
      </c>
      <c r="H92" s="9" t="s">
        <v>183</v>
      </c>
      <c r="I92" s="8" t="s">
        <v>472</v>
      </c>
      <c r="J92" s="6"/>
      <c r="K92" s="8"/>
      <c r="L92" s="60"/>
    </row>
    <row r="93" spans="1:16384" ht="19.5" customHeight="1">
      <c r="A93" s="76" t="s">
        <v>554</v>
      </c>
      <c r="B93" s="7" t="s">
        <v>501</v>
      </c>
      <c r="C93" s="8">
        <v>16</v>
      </c>
      <c r="D93" s="8">
        <v>19.95</v>
      </c>
      <c r="E93" s="8">
        <v>18.5</v>
      </c>
      <c r="F93" s="8">
        <v>16.7</v>
      </c>
      <c r="G93" s="8">
        <f>Tablo17[[#This Row],[YOLLUK HARİÇ BASKI GRAMI]]/Tablo17[[#This Row],[GÖZ ADEDİ]]</f>
        <v>1.04375</v>
      </c>
      <c r="H93" s="9" t="s">
        <v>183</v>
      </c>
      <c r="I93" s="60">
        <v>3014</v>
      </c>
      <c r="J93" s="6"/>
      <c r="K93" s="8"/>
      <c r="L93" s="60"/>
    </row>
    <row r="94" spans="1:16384" ht="19.5" customHeight="1">
      <c r="A94" s="76" t="s">
        <v>576</v>
      </c>
      <c r="B94" s="7" t="s">
        <v>501</v>
      </c>
      <c r="C94" s="8">
        <v>16</v>
      </c>
      <c r="D94" s="8">
        <v>19.95</v>
      </c>
      <c r="E94" s="8">
        <v>18.5</v>
      </c>
      <c r="F94" s="8">
        <v>16.7</v>
      </c>
      <c r="G94" s="8">
        <f>Tablo17[[#This Row],[YOLLUK HARİÇ BASKI GRAMI]]/Tablo17[[#This Row],[GÖZ ADEDİ]]</f>
        <v>1.04375</v>
      </c>
      <c r="H94" s="9" t="s">
        <v>183</v>
      </c>
      <c r="I94" s="8" t="s">
        <v>414</v>
      </c>
      <c r="J94" s="6"/>
      <c r="K94" s="8"/>
      <c r="L94" s="60"/>
    </row>
    <row r="95" spans="1:16384" ht="20.25" customHeight="1">
      <c r="A95" s="88"/>
      <c r="B95" s="7"/>
      <c r="C95" s="8">
        <v>16</v>
      </c>
      <c r="D95" s="8">
        <v>19.95</v>
      </c>
      <c r="E95" s="8">
        <v>18.5</v>
      </c>
      <c r="F95" s="8">
        <v>16.7</v>
      </c>
      <c r="G95" s="60"/>
      <c r="H95" s="61"/>
      <c r="I95" s="60"/>
      <c r="J95" s="6"/>
      <c r="K95" s="8"/>
      <c r="L95" s="60"/>
    </row>
    <row r="96" spans="1:16384" ht="20.25" customHeight="1">
      <c r="A96" s="88"/>
      <c r="B96" s="7"/>
      <c r="C96" s="8">
        <v>16</v>
      </c>
      <c r="D96" s="8">
        <v>19.95</v>
      </c>
      <c r="E96" s="8">
        <v>18.5</v>
      </c>
      <c r="F96" s="8">
        <v>16.7</v>
      </c>
      <c r="G96" s="60">
        <f>Tablo17[[#This Row],[YOLLUK HARİÇ BASKI GRAMI]]/Tablo17[[#This Row],[GÖZ ADEDİ]]</f>
        <v>1.04375</v>
      </c>
      <c r="H96" s="61"/>
      <c r="I96" s="60"/>
      <c r="J96" s="60"/>
      <c r="K96" s="60"/>
      <c r="L96" s="60"/>
    </row>
    <row r="97" spans="1:12 16384:16384" ht="20.25" customHeight="1">
      <c r="A97" s="88"/>
      <c r="B97" s="7"/>
      <c r="C97" s="8">
        <v>16</v>
      </c>
      <c r="D97" s="8">
        <v>19.95</v>
      </c>
      <c r="E97" s="8">
        <v>18.5</v>
      </c>
      <c r="F97" s="8">
        <v>16.7</v>
      </c>
      <c r="G97" s="60"/>
      <c r="H97" s="61"/>
      <c r="I97" s="60"/>
      <c r="J97" s="6"/>
      <c r="K97" s="8"/>
      <c r="L97" s="60"/>
    </row>
    <row r="98" spans="1:12 16384:16384" ht="20.25" customHeight="1">
      <c r="A98" s="88"/>
      <c r="B98" s="7"/>
      <c r="C98" s="8">
        <v>16</v>
      </c>
      <c r="D98" s="8">
        <v>19.95</v>
      </c>
      <c r="E98" s="8">
        <v>18.5</v>
      </c>
      <c r="F98" s="8">
        <v>16.7</v>
      </c>
      <c r="G98" s="60">
        <f>Tablo17[[#This Row],[YOLLUK HARİÇ BASKI GRAMI]]/Tablo17[[#This Row],[GÖZ ADEDİ]]</f>
        <v>1.04375</v>
      </c>
      <c r="H98" s="61"/>
      <c r="I98" s="60"/>
      <c r="J98" s="60"/>
      <c r="K98" s="60"/>
      <c r="L98" s="60"/>
      <c r="XFD98" s="60"/>
    </row>
    <row r="99" spans="1:12 16384:16384" ht="6" customHeight="1">
      <c r="A99" s="31"/>
      <c r="B99" s="11"/>
      <c r="C99" s="12"/>
      <c r="D99" s="12"/>
      <c r="E99" s="12"/>
      <c r="F99" s="12"/>
      <c r="G99" s="12"/>
      <c r="H99" s="13"/>
      <c r="I99" s="12"/>
      <c r="J99" s="10"/>
      <c r="K99" s="12"/>
      <c r="L99" s="60"/>
    </row>
    <row r="100" spans="1:12 16384:16384" ht="20.25" customHeight="1">
      <c r="A100" s="27" t="s">
        <v>307</v>
      </c>
      <c r="B100" s="7" t="s">
        <v>502</v>
      </c>
      <c r="C100" s="8">
        <v>16</v>
      </c>
      <c r="D100" s="8">
        <v>20</v>
      </c>
      <c r="E100" s="8">
        <v>18.600000000000001</v>
      </c>
      <c r="F100" s="8">
        <v>16.7</v>
      </c>
      <c r="G100" s="8">
        <f>Tablo17[[#This Row],[YOLLUK HARİÇ BASKI GRAMI]]/Tablo17[[#This Row],[GÖZ ADEDİ]]</f>
        <v>1.04375</v>
      </c>
      <c r="H100" s="9" t="s">
        <v>183</v>
      </c>
      <c r="I100" s="8" t="s">
        <v>410</v>
      </c>
      <c r="J100" s="6"/>
      <c r="K100" s="8"/>
      <c r="L100" s="60"/>
    </row>
    <row r="101" spans="1:12 16384:16384" ht="20.25" customHeight="1">
      <c r="A101" s="27" t="s">
        <v>70</v>
      </c>
      <c r="B101" s="7" t="s">
        <v>502</v>
      </c>
      <c r="C101" s="8">
        <v>16</v>
      </c>
      <c r="D101" s="8">
        <v>20</v>
      </c>
      <c r="E101" s="8">
        <v>18.600000000000001</v>
      </c>
      <c r="F101" s="8">
        <v>16.7</v>
      </c>
      <c r="G101" s="8">
        <f>Tablo17[[#This Row],[YOLLUK HARİÇ BASKI GRAMI]]/Tablo17[[#This Row],[GÖZ ADEDİ]]</f>
        <v>1.04375</v>
      </c>
      <c r="H101" s="9" t="s">
        <v>183</v>
      </c>
      <c r="I101" s="8" t="s">
        <v>412</v>
      </c>
      <c r="J101" s="6"/>
      <c r="K101" s="8"/>
      <c r="L101" s="60"/>
    </row>
    <row r="102" spans="1:12 16384:16384" ht="20.25" customHeight="1">
      <c r="A102" s="27" t="s">
        <v>86</v>
      </c>
      <c r="B102" s="7" t="s">
        <v>502</v>
      </c>
      <c r="C102" s="8">
        <v>16</v>
      </c>
      <c r="D102" s="8">
        <v>20</v>
      </c>
      <c r="E102" s="8">
        <v>18.600000000000001</v>
      </c>
      <c r="F102" s="8">
        <v>16.7</v>
      </c>
      <c r="G102" s="8">
        <f>Tablo17[[#This Row],[YOLLUK HARİÇ BASKI GRAMI]]/Tablo17[[#This Row],[GÖZ ADEDİ]]</f>
        <v>1.04375</v>
      </c>
      <c r="H102" s="9" t="s">
        <v>183</v>
      </c>
      <c r="I102" s="8" t="s">
        <v>413</v>
      </c>
      <c r="J102" s="6"/>
      <c r="K102" s="8"/>
      <c r="L102" s="60"/>
    </row>
    <row r="103" spans="1:12 16384:16384" ht="20.25" customHeight="1">
      <c r="A103" s="27" t="s">
        <v>83</v>
      </c>
      <c r="B103" s="7" t="s">
        <v>502</v>
      </c>
      <c r="C103" s="8">
        <v>16</v>
      </c>
      <c r="D103" s="8">
        <v>20</v>
      </c>
      <c r="E103" s="8">
        <v>18.600000000000001</v>
      </c>
      <c r="F103" s="8">
        <v>16.7</v>
      </c>
      <c r="G103" s="8">
        <f>Tablo17[[#This Row],[YOLLUK HARİÇ BASKI GRAMI]]/Tablo17[[#This Row],[GÖZ ADEDİ]]</f>
        <v>1.04375</v>
      </c>
      <c r="H103" s="9" t="s">
        <v>183</v>
      </c>
      <c r="I103" s="8">
        <v>1289</v>
      </c>
      <c r="J103" s="6"/>
      <c r="K103" s="8"/>
      <c r="L103" s="60"/>
    </row>
    <row r="104" spans="1:12 16384:16384" ht="20.25" customHeight="1">
      <c r="A104" s="27" t="s">
        <v>69</v>
      </c>
      <c r="B104" s="7" t="s">
        <v>502</v>
      </c>
      <c r="C104" s="8">
        <v>16</v>
      </c>
      <c r="D104" s="8">
        <v>20</v>
      </c>
      <c r="E104" s="8">
        <v>18.600000000000001</v>
      </c>
      <c r="F104" s="8">
        <v>16.7</v>
      </c>
      <c r="G104" s="8">
        <f>Tablo17[[#This Row],[YOLLUK HARİÇ BASKI GRAMI]]/Tablo17[[#This Row],[GÖZ ADEDİ]]</f>
        <v>1.04375</v>
      </c>
      <c r="H104" s="9" t="s">
        <v>183</v>
      </c>
      <c r="I104" s="8">
        <v>3332</v>
      </c>
      <c r="J104" s="6"/>
      <c r="K104" s="8"/>
      <c r="L104" s="60"/>
    </row>
    <row r="105" spans="1:12 16384:16384" ht="20.25" customHeight="1">
      <c r="A105" s="27" t="s">
        <v>84</v>
      </c>
      <c r="B105" s="7" t="s">
        <v>502</v>
      </c>
      <c r="C105" s="8">
        <v>16</v>
      </c>
      <c r="D105" s="8">
        <v>20</v>
      </c>
      <c r="E105" s="8">
        <v>18.600000000000001</v>
      </c>
      <c r="F105" s="8">
        <v>16.7</v>
      </c>
      <c r="G105" s="60">
        <f>Tablo17[[#This Row],[YOLLUK HARİÇ BASKI GRAMI]]/Tablo17[[#This Row],[GÖZ ADEDİ]]</f>
        <v>1.04375</v>
      </c>
      <c r="H105" s="9" t="s">
        <v>183</v>
      </c>
      <c r="I105" s="8">
        <v>3408</v>
      </c>
      <c r="J105" s="60"/>
      <c r="K105" s="60"/>
      <c r="L105" s="60"/>
    </row>
    <row r="106" spans="1:12 16384:16384" ht="20.25" customHeight="1">
      <c r="A106" s="27" t="s">
        <v>85</v>
      </c>
      <c r="B106" s="7" t="s">
        <v>502</v>
      </c>
      <c r="C106" s="8">
        <v>16</v>
      </c>
      <c r="D106" s="8">
        <v>20</v>
      </c>
      <c r="E106" s="8">
        <v>18.600000000000001</v>
      </c>
      <c r="F106" s="8">
        <v>16.7</v>
      </c>
      <c r="G106" s="8">
        <f>Tablo17[[#This Row],[YOLLUK HARİÇ BASKI GRAMI]]/Tablo17[[#This Row],[GÖZ ADEDİ]]</f>
        <v>1.04375</v>
      </c>
      <c r="H106" s="9" t="s">
        <v>183</v>
      </c>
      <c r="I106" s="8">
        <v>4089</v>
      </c>
      <c r="J106" s="6"/>
      <c r="K106" s="8"/>
      <c r="L106" s="60"/>
    </row>
    <row r="107" spans="1:12 16384:16384" ht="20.25" customHeight="1">
      <c r="A107" s="58" t="s">
        <v>582</v>
      </c>
      <c r="B107" s="7" t="s">
        <v>502</v>
      </c>
      <c r="C107" s="8">
        <v>16</v>
      </c>
      <c r="D107" s="8">
        <v>20</v>
      </c>
      <c r="E107" s="8">
        <v>18.600000000000001</v>
      </c>
      <c r="F107" s="8">
        <v>16.7</v>
      </c>
      <c r="G107" s="60">
        <f>Tablo17[[#This Row],[YOLLUK HARİÇ BASKI GRAMI]]/Tablo17[[#This Row],[GÖZ ADEDİ]]</f>
        <v>1.04375</v>
      </c>
      <c r="H107" s="9" t="s">
        <v>183</v>
      </c>
      <c r="I107" s="60">
        <v>6192</v>
      </c>
      <c r="J107" s="60"/>
      <c r="K107" s="60"/>
      <c r="L107" s="60"/>
    </row>
    <row r="108" spans="1:12 16384:16384" ht="20.25" customHeight="1">
      <c r="A108" s="27" t="s">
        <v>63</v>
      </c>
      <c r="B108" s="7" t="s">
        <v>502</v>
      </c>
      <c r="C108" s="8">
        <v>16</v>
      </c>
      <c r="D108" s="8">
        <v>20</v>
      </c>
      <c r="E108" s="8">
        <v>18.600000000000001</v>
      </c>
      <c r="F108" s="8">
        <v>16.7</v>
      </c>
      <c r="G108" s="8">
        <f>Tablo17[[#This Row],[YOLLUK HARİÇ BASKI GRAMI]]/Tablo17[[#This Row],[GÖZ ADEDİ]]</f>
        <v>1.04375</v>
      </c>
      <c r="H108" s="9" t="s">
        <v>183</v>
      </c>
      <c r="I108" s="8" t="s">
        <v>472</v>
      </c>
      <c r="J108" s="6"/>
      <c r="K108" s="8"/>
      <c r="L108" s="60"/>
    </row>
    <row r="109" spans="1:12 16384:16384" ht="20.25" customHeight="1">
      <c r="A109" s="27" t="s">
        <v>64</v>
      </c>
      <c r="B109" s="7" t="s">
        <v>502</v>
      </c>
      <c r="C109" s="8">
        <v>16</v>
      </c>
      <c r="D109" s="8">
        <v>20</v>
      </c>
      <c r="E109" s="8">
        <v>18.600000000000001</v>
      </c>
      <c r="F109" s="8">
        <v>16.7</v>
      </c>
      <c r="G109" s="8">
        <f>Tablo17[[#This Row],[YOLLUK HARİÇ BASKI GRAMI]]/Tablo17[[#This Row],[GÖZ ADEDİ]]</f>
        <v>1.04375</v>
      </c>
      <c r="H109" s="9" t="s">
        <v>183</v>
      </c>
      <c r="I109" s="8" t="s">
        <v>416</v>
      </c>
      <c r="J109" s="8"/>
      <c r="K109" s="8"/>
      <c r="L109" s="60"/>
    </row>
    <row r="110" spans="1:12 16384:16384" ht="20.25" customHeight="1">
      <c r="A110" s="27" t="s">
        <v>56</v>
      </c>
      <c r="B110" s="7" t="s">
        <v>502</v>
      </c>
      <c r="C110" s="8">
        <v>16</v>
      </c>
      <c r="D110" s="8">
        <v>20</v>
      </c>
      <c r="E110" s="8">
        <v>18.600000000000001</v>
      </c>
      <c r="F110" s="8">
        <v>16.7</v>
      </c>
      <c r="G110" s="8">
        <f>Tablo17[[#This Row],[YOLLUK HARİÇ BASKI GRAMI]]/Tablo17[[#This Row],[GÖZ ADEDİ]]</f>
        <v>1.04375</v>
      </c>
      <c r="H110" s="9" t="s">
        <v>183</v>
      </c>
      <c r="I110" s="8" t="s">
        <v>414</v>
      </c>
      <c r="J110" s="8"/>
      <c r="K110" s="8"/>
      <c r="L110" s="60"/>
    </row>
    <row r="111" spans="1:12 16384:16384" ht="20.25" customHeight="1">
      <c r="A111" s="27" t="s">
        <v>68</v>
      </c>
      <c r="B111" s="7" t="s">
        <v>502</v>
      </c>
      <c r="C111" s="8">
        <v>16</v>
      </c>
      <c r="D111" s="8">
        <v>20</v>
      </c>
      <c r="E111" s="8">
        <v>18.600000000000001</v>
      </c>
      <c r="F111" s="8">
        <v>16.7</v>
      </c>
      <c r="G111" s="8">
        <f>Tablo17[[#This Row],[YOLLUK HARİÇ BASKI GRAMI]]/Tablo17[[#This Row],[GÖZ ADEDİ]]</f>
        <v>1.04375</v>
      </c>
      <c r="H111" s="9" t="s">
        <v>183</v>
      </c>
      <c r="I111" s="8">
        <v>1045</v>
      </c>
      <c r="J111" s="8"/>
      <c r="K111" s="8"/>
      <c r="L111" s="60"/>
    </row>
    <row r="112" spans="1:12 16384:16384" ht="20.25" customHeight="1">
      <c r="A112" s="27" t="s">
        <v>66</v>
      </c>
      <c r="B112" s="7" t="s">
        <v>502</v>
      </c>
      <c r="C112" s="8">
        <v>16</v>
      </c>
      <c r="D112" s="8">
        <v>20</v>
      </c>
      <c r="E112" s="8">
        <v>18.600000000000001</v>
      </c>
      <c r="F112" s="8">
        <v>16.7</v>
      </c>
      <c r="G112" s="8">
        <f>Tablo17[[#This Row],[YOLLUK HARİÇ BASKI GRAMI]]/Tablo17[[#This Row],[GÖZ ADEDİ]]</f>
        <v>1.04375</v>
      </c>
      <c r="H112" s="9" t="s">
        <v>183</v>
      </c>
      <c r="I112" s="8">
        <v>3014</v>
      </c>
      <c r="J112" s="8"/>
      <c r="K112" s="8"/>
      <c r="L112" s="60"/>
    </row>
    <row r="113" spans="1:12" ht="20.25" customHeight="1">
      <c r="A113" s="27" t="s">
        <v>67</v>
      </c>
      <c r="B113" s="7" t="s">
        <v>502</v>
      </c>
      <c r="C113" s="8">
        <v>16</v>
      </c>
      <c r="D113" s="8">
        <v>20</v>
      </c>
      <c r="E113" s="8">
        <v>18.600000000000001</v>
      </c>
      <c r="F113" s="8">
        <v>16.7</v>
      </c>
      <c r="G113" s="8">
        <f>Tablo17[[#This Row],[YOLLUK HARİÇ BASKI GRAMI]]/Tablo17[[#This Row],[GÖZ ADEDİ]]</f>
        <v>1.04375</v>
      </c>
      <c r="H113" s="9" t="s">
        <v>183</v>
      </c>
      <c r="I113" s="8" t="s">
        <v>417</v>
      </c>
      <c r="J113" s="8"/>
      <c r="K113" s="8"/>
      <c r="L113" s="60"/>
    </row>
    <row r="114" spans="1:12" ht="6" customHeight="1">
      <c r="A114" s="31"/>
      <c r="B114" s="11"/>
      <c r="C114" s="12"/>
      <c r="D114" s="12"/>
      <c r="E114" s="12"/>
      <c r="F114" s="12"/>
      <c r="G114" s="12"/>
      <c r="H114" s="13"/>
      <c r="I114" s="12"/>
      <c r="J114" s="10"/>
      <c r="K114" s="12"/>
      <c r="L114" s="60"/>
    </row>
    <row r="115" spans="1:12" ht="20.25" customHeight="1">
      <c r="A115" s="27" t="s">
        <v>215</v>
      </c>
      <c r="B115" s="7" t="s">
        <v>503</v>
      </c>
      <c r="C115" s="8">
        <v>16</v>
      </c>
      <c r="D115" s="8">
        <v>27</v>
      </c>
      <c r="E115" s="8">
        <v>68.8</v>
      </c>
      <c r="F115" s="8">
        <v>65</v>
      </c>
      <c r="G115" s="8">
        <f>Tablo17[[#This Row],[YOLLUK HARİÇ BASKI GRAMI]]/Tablo17[[#This Row],[GÖZ ADEDİ]]</f>
        <v>4.0625</v>
      </c>
      <c r="H115" s="9" t="s">
        <v>359</v>
      </c>
      <c r="I115" s="8" t="s">
        <v>410</v>
      </c>
      <c r="J115" s="6"/>
      <c r="K115" s="8"/>
      <c r="L115" s="60"/>
    </row>
    <row r="116" spans="1:12" ht="20.25" customHeight="1">
      <c r="A116" s="27" t="s">
        <v>216</v>
      </c>
      <c r="B116" s="7" t="s">
        <v>503</v>
      </c>
      <c r="C116" s="8">
        <v>16</v>
      </c>
      <c r="D116" s="8">
        <v>27</v>
      </c>
      <c r="E116" s="8">
        <v>68.8</v>
      </c>
      <c r="F116" s="8">
        <v>65</v>
      </c>
      <c r="G116" s="8">
        <f>Tablo17[[#This Row],[YOLLUK HARİÇ BASKI GRAMI]]/Tablo17[[#This Row],[GÖZ ADEDİ]]</f>
        <v>4.0625</v>
      </c>
      <c r="H116" s="9" t="s">
        <v>359</v>
      </c>
      <c r="I116" s="8">
        <v>3409</v>
      </c>
      <c r="J116" s="8"/>
      <c r="K116" s="8"/>
      <c r="L116" s="60"/>
    </row>
    <row r="117" spans="1:12" ht="20.25" customHeight="1">
      <c r="A117" s="27" t="s">
        <v>217</v>
      </c>
      <c r="B117" s="7" t="s">
        <v>503</v>
      </c>
      <c r="C117" s="8">
        <v>16</v>
      </c>
      <c r="D117" s="8">
        <v>27</v>
      </c>
      <c r="E117" s="8">
        <v>68.8</v>
      </c>
      <c r="F117" s="8">
        <v>65</v>
      </c>
      <c r="G117" s="8">
        <f>Tablo17[[#This Row],[YOLLUK HARİÇ BASKI GRAMI]]/Tablo17[[#This Row],[GÖZ ADEDİ]]</f>
        <v>4.0625</v>
      </c>
      <c r="H117" s="9" t="s">
        <v>359</v>
      </c>
      <c r="I117" s="8">
        <v>5287</v>
      </c>
      <c r="J117" s="8"/>
      <c r="K117" s="8"/>
      <c r="L117" s="60"/>
    </row>
    <row r="118" spans="1:12" ht="6.75" customHeight="1">
      <c r="A118" s="31"/>
      <c r="B118" s="11"/>
      <c r="C118" s="12"/>
      <c r="D118" s="12"/>
      <c r="E118" s="12"/>
      <c r="F118" s="12"/>
      <c r="G118" s="12"/>
      <c r="H118" s="13"/>
      <c r="I118" s="12"/>
      <c r="J118" s="10"/>
      <c r="K118" s="12"/>
      <c r="L118" s="60"/>
    </row>
    <row r="119" spans="1:12" ht="20.25" customHeight="1">
      <c r="A119" s="27" t="s">
        <v>193</v>
      </c>
      <c r="B119" s="7" t="s">
        <v>504</v>
      </c>
      <c r="C119" s="8">
        <v>8</v>
      </c>
      <c r="D119" s="8">
        <v>23</v>
      </c>
      <c r="E119" s="29">
        <v>19.5</v>
      </c>
      <c r="F119" s="29">
        <v>18.2</v>
      </c>
      <c r="G119" s="8">
        <f>Tablo17[[#This Row],[YOLLUK HARİÇ BASKI GRAMI]]/Tablo17[[#This Row],[GÖZ ADEDİ]]</f>
        <v>2.2749999999999999</v>
      </c>
      <c r="H119" s="9" t="s">
        <v>183</v>
      </c>
      <c r="I119" s="8" t="s">
        <v>410</v>
      </c>
      <c r="J119" s="6"/>
      <c r="K119" s="8"/>
      <c r="L119" s="60"/>
    </row>
    <row r="120" spans="1:12" ht="20.25" customHeight="1">
      <c r="A120" s="27" t="s">
        <v>132</v>
      </c>
      <c r="B120" s="7" t="s">
        <v>504</v>
      </c>
      <c r="C120" s="8">
        <v>8</v>
      </c>
      <c r="D120" s="8">
        <v>23</v>
      </c>
      <c r="E120" s="29">
        <v>19.5</v>
      </c>
      <c r="F120" s="29">
        <v>18.2</v>
      </c>
      <c r="G120" s="8">
        <f>Tablo17[[#This Row],[YOLLUK HARİÇ BASKI GRAMI]]/Tablo17[[#This Row],[GÖZ ADEDİ]]</f>
        <v>2.2749999999999999</v>
      </c>
      <c r="H120" s="9" t="s">
        <v>183</v>
      </c>
      <c r="I120" s="8">
        <v>6192</v>
      </c>
      <c r="J120" s="8"/>
      <c r="K120" s="8"/>
      <c r="L120" s="60"/>
    </row>
    <row r="121" spans="1:12" ht="20.25" customHeight="1">
      <c r="A121" s="27" t="s">
        <v>133</v>
      </c>
      <c r="B121" s="7" t="s">
        <v>504</v>
      </c>
      <c r="C121" s="8">
        <v>8</v>
      </c>
      <c r="D121" s="8">
        <v>23</v>
      </c>
      <c r="E121" s="29">
        <v>19.5</v>
      </c>
      <c r="F121" s="29">
        <v>18.2</v>
      </c>
      <c r="G121" s="8">
        <f>Tablo17[[#This Row],[YOLLUK HARİÇ BASKI GRAMI]]/Tablo17[[#This Row],[GÖZ ADEDİ]]</f>
        <v>2.2749999999999999</v>
      </c>
      <c r="H121" s="9" t="s">
        <v>183</v>
      </c>
      <c r="I121" s="8">
        <v>3332</v>
      </c>
      <c r="J121" s="8"/>
      <c r="K121" s="8"/>
      <c r="L121" s="60"/>
    </row>
    <row r="122" spans="1:12" ht="20.25" customHeight="1">
      <c r="A122" s="27" t="s">
        <v>134</v>
      </c>
      <c r="B122" s="7" t="s">
        <v>504</v>
      </c>
      <c r="C122" s="8">
        <v>8</v>
      </c>
      <c r="D122" s="8">
        <v>23</v>
      </c>
      <c r="E122" s="29">
        <v>19.5</v>
      </c>
      <c r="F122" s="29">
        <v>18.2</v>
      </c>
      <c r="G122" s="8">
        <f>Tablo17[[#This Row],[YOLLUK HARİÇ BASKI GRAMI]]/Tablo17[[#This Row],[GÖZ ADEDİ]]</f>
        <v>2.2749999999999999</v>
      </c>
      <c r="H122" s="9" t="s">
        <v>183</v>
      </c>
      <c r="I122" s="8">
        <v>4089</v>
      </c>
      <c r="J122" s="8"/>
      <c r="K122" s="8"/>
      <c r="L122" s="60"/>
    </row>
    <row r="123" spans="1:12" ht="6" customHeight="1">
      <c r="A123" s="31"/>
      <c r="B123" s="11"/>
      <c r="C123" s="12"/>
      <c r="D123" s="12"/>
      <c r="E123" s="12"/>
      <c r="F123" s="12"/>
      <c r="G123" s="12"/>
      <c r="H123" s="13"/>
      <c r="I123" s="12"/>
      <c r="J123" s="10"/>
      <c r="K123" s="12"/>
      <c r="L123" s="60"/>
    </row>
    <row r="124" spans="1:12" ht="20.25" customHeight="1">
      <c r="A124" s="27" t="s">
        <v>136</v>
      </c>
      <c r="B124" s="7" t="s">
        <v>505</v>
      </c>
      <c r="C124" s="8">
        <v>8</v>
      </c>
      <c r="D124" s="8">
        <v>20</v>
      </c>
      <c r="E124" s="8">
        <v>17.2</v>
      </c>
      <c r="F124" s="8">
        <v>15.4</v>
      </c>
      <c r="G124" s="8">
        <f>Tablo17[[#This Row],[YOLLUK HARİÇ BASKI GRAMI]]/Tablo17[[#This Row],[GÖZ ADEDİ]]</f>
        <v>1.925</v>
      </c>
      <c r="H124" s="9" t="s">
        <v>183</v>
      </c>
      <c r="I124" s="8" t="s">
        <v>410</v>
      </c>
      <c r="J124" s="6"/>
      <c r="K124" s="8"/>
      <c r="L124" s="60"/>
    </row>
    <row r="125" spans="1:12" ht="20.25" customHeight="1">
      <c r="A125" s="27" t="s">
        <v>129</v>
      </c>
      <c r="B125" s="7" t="s">
        <v>505</v>
      </c>
      <c r="C125" s="8">
        <v>8</v>
      </c>
      <c r="D125" s="8">
        <v>20</v>
      </c>
      <c r="E125" s="8">
        <v>17.2</v>
      </c>
      <c r="F125" s="8">
        <v>15.4</v>
      </c>
      <c r="G125" s="8">
        <f>Tablo17[[#This Row],[YOLLUK HARİÇ BASKI GRAMI]]/Tablo17[[#This Row],[GÖZ ADEDİ]]</f>
        <v>1.925</v>
      </c>
      <c r="H125" s="9" t="s">
        <v>183</v>
      </c>
      <c r="I125" s="8" t="s">
        <v>412</v>
      </c>
      <c r="J125" s="8"/>
      <c r="K125" s="8"/>
      <c r="L125" s="60"/>
    </row>
    <row r="126" spans="1:12" ht="20.25" customHeight="1">
      <c r="A126" s="27" t="s">
        <v>130</v>
      </c>
      <c r="B126" s="7" t="s">
        <v>505</v>
      </c>
      <c r="C126" s="8">
        <v>8</v>
      </c>
      <c r="D126" s="8">
        <v>20</v>
      </c>
      <c r="E126" s="8">
        <v>17.2</v>
      </c>
      <c r="F126" s="8">
        <v>15.4</v>
      </c>
      <c r="G126" s="8">
        <f>Tablo17[[#This Row],[YOLLUK HARİÇ BASKI GRAMI]]/Tablo17[[#This Row],[GÖZ ADEDİ]]</f>
        <v>1.925</v>
      </c>
      <c r="H126" s="9" t="s">
        <v>183</v>
      </c>
      <c r="I126" s="8">
        <v>3332</v>
      </c>
      <c r="J126" s="8"/>
      <c r="K126" s="8"/>
      <c r="L126" s="60"/>
    </row>
    <row r="127" spans="1:12" ht="20.25" customHeight="1">
      <c r="A127" s="27" t="s">
        <v>131</v>
      </c>
      <c r="B127" s="7" t="s">
        <v>505</v>
      </c>
      <c r="C127" s="8">
        <v>8</v>
      </c>
      <c r="D127" s="8">
        <v>20</v>
      </c>
      <c r="E127" s="8">
        <v>17.2</v>
      </c>
      <c r="F127" s="8">
        <v>15.4</v>
      </c>
      <c r="G127" s="8">
        <f>Tablo17[[#This Row],[YOLLUK HARİÇ BASKI GRAMI]]/Tablo17[[#This Row],[GÖZ ADEDİ]]</f>
        <v>1.925</v>
      </c>
      <c r="H127" s="9" t="s">
        <v>183</v>
      </c>
      <c r="I127" s="8">
        <v>1289</v>
      </c>
      <c r="J127" s="8"/>
      <c r="K127" s="8"/>
      <c r="L127" s="60"/>
    </row>
    <row r="128" spans="1:12" ht="20.25" customHeight="1">
      <c r="A128" s="27" t="s">
        <v>220</v>
      </c>
      <c r="B128" s="7" t="s">
        <v>505</v>
      </c>
      <c r="C128" s="8">
        <v>8</v>
      </c>
      <c r="D128" s="8">
        <v>20</v>
      </c>
      <c r="E128" s="8">
        <v>17.2</v>
      </c>
      <c r="F128" s="8">
        <v>15.4</v>
      </c>
      <c r="G128" s="8">
        <f>Tablo17[[#This Row],[YOLLUK HARİÇ BASKI GRAMI]]/Tablo17[[#This Row],[GÖZ ADEDİ]]</f>
        <v>1.925</v>
      </c>
      <c r="H128" s="9" t="s">
        <v>183</v>
      </c>
      <c r="I128" s="8" t="s">
        <v>413</v>
      </c>
      <c r="J128" s="8"/>
      <c r="K128" s="8"/>
      <c r="L128" s="60"/>
    </row>
    <row r="129" spans="1:12" ht="20.25" customHeight="1">
      <c r="A129" s="27" t="s">
        <v>161</v>
      </c>
      <c r="B129" s="7" t="s">
        <v>505</v>
      </c>
      <c r="C129" s="8">
        <v>8</v>
      </c>
      <c r="D129" s="8">
        <v>20</v>
      </c>
      <c r="E129" s="8">
        <v>17.2</v>
      </c>
      <c r="F129" s="8">
        <v>15.4</v>
      </c>
      <c r="G129" s="8">
        <f>Tablo17[[#This Row],[YOLLUK HARİÇ BASKI GRAMI]]/Tablo17[[#This Row],[GÖZ ADEDİ]]</f>
        <v>1.925</v>
      </c>
      <c r="H129" s="9" t="s">
        <v>183</v>
      </c>
      <c r="I129" s="8">
        <v>6192</v>
      </c>
      <c r="J129" s="8"/>
      <c r="K129" s="8"/>
      <c r="L129" s="60"/>
    </row>
    <row r="130" spans="1:12" ht="20.25" customHeight="1">
      <c r="A130" s="27" t="s">
        <v>221</v>
      </c>
      <c r="B130" s="7" t="s">
        <v>505</v>
      </c>
      <c r="C130" s="8">
        <v>8</v>
      </c>
      <c r="D130" s="8">
        <v>20</v>
      </c>
      <c r="E130" s="8">
        <v>17.2</v>
      </c>
      <c r="F130" s="8">
        <v>15.4</v>
      </c>
      <c r="G130" s="8">
        <f>Tablo17[[#This Row],[YOLLUK HARİÇ BASKI GRAMI]]/Tablo17[[#This Row],[GÖZ ADEDİ]]</f>
        <v>1.925</v>
      </c>
      <c r="H130" s="9" t="s">
        <v>183</v>
      </c>
      <c r="I130" s="8">
        <v>4089</v>
      </c>
      <c r="J130" s="8"/>
      <c r="K130" s="8"/>
      <c r="L130" s="60"/>
    </row>
    <row r="131" spans="1:12" ht="6" customHeight="1">
      <c r="A131" s="31"/>
      <c r="B131" s="11"/>
      <c r="C131" s="12"/>
      <c r="D131" s="12"/>
      <c r="E131" s="12"/>
      <c r="F131" s="12"/>
      <c r="G131" s="12"/>
      <c r="H131" s="13"/>
      <c r="I131" s="12"/>
      <c r="J131" s="10"/>
      <c r="K131" s="12"/>
      <c r="L131" s="60"/>
    </row>
    <row r="132" spans="1:12" ht="20.25" customHeight="1">
      <c r="A132" s="27" t="s">
        <v>174</v>
      </c>
      <c r="B132" s="7" t="s">
        <v>506</v>
      </c>
      <c r="C132" s="8">
        <v>8</v>
      </c>
      <c r="D132" s="8">
        <v>25</v>
      </c>
      <c r="E132" s="29">
        <v>28.1</v>
      </c>
      <c r="F132" s="29">
        <v>22.6</v>
      </c>
      <c r="G132" s="8">
        <f>Tablo17[[#This Row],[YOLLUK HARİÇ BASKI GRAMI]]/Tablo17[[#This Row],[GÖZ ADEDİ]]</f>
        <v>2.8250000000000002</v>
      </c>
      <c r="H132" s="9" t="s">
        <v>183</v>
      </c>
      <c r="I132" s="8" t="s">
        <v>412</v>
      </c>
      <c r="J132" s="6">
        <v>5.0000000000000001E-3</v>
      </c>
      <c r="K132" s="8"/>
      <c r="L132" s="60"/>
    </row>
    <row r="133" spans="1:12" ht="20.25" customHeight="1">
      <c r="A133" s="27" t="s">
        <v>175</v>
      </c>
      <c r="B133" s="7" t="s">
        <v>506</v>
      </c>
      <c r="C133" s="8">
        <v>8</v>
      </c>
      <c r="D133" s="8">
        <v>25</v>
      </c>
      <c r="E133" s="29">
        <v>28.1</v>
      </c>
      <c r="F133" s="29">
        <v>22.6</v>
      </c>
      <c r="G133" s="8">
        <f>Tablo17[[#This Row],[YOLLUK HARİÇ BASKI GRAMI]]/Tablo17[[#This Row],[GÖZ ADEDİ]]</f>
        <v>2.8250000000000002</v>
      </c>
      <c r="H133" s="9" t="s">
        <v>183</v>
      </c>
      <c r="I133" s="8" t="s">
        <v>413</v>
      </c>
      <c r="J133" s="6">
        <v>5.0000000000000001E-3</v>
      </c>
      <c r="K133" s="8"/>
      <c r="L133" s="60"/>
    </row>
    <row r="134" spans="1:12" ht="20.25" customHeight="1">
      <c r="A134" s="27" t="s">
        <v>173</v>
      </c>
      <c r="B134" s="7" t="s">
        <v>506</v>
      </c>
      <c r="C134" s="8">
        <v>8</v>
      </c>
      <c r="D134" s="8">
        <v>25</v>
      </c>
      <c r="E134" s="29">
        <v>28.1</v>
      </c>
      <c r="F134" s="29">
        <v>22.6</v>
      </c>
      <c r="G134" s="8">
        <f>Tablo17[[#This Row],[YOLLUK HARİÇ BASKI GRAMI]]/Tablo17[[#This Row],[GÖZ ADEDİ]]</f>
        <v>2.8250000000000002</v>
      </c>
      <c r="H134" s="9" t="s">
        <v>183</v>
      </c>
      <c r="I134" s="8">
        <v>3408</v>
      </c>
      <c r="J134" s="6">
        <v>5.0000000000000001E-3</v>
      </c>
      <c r="K134" s="8"/>
      <c r="L134" s="60"/>
    </row>
    <row r="135" spans="1:12" ht="20.25" customHeight="1">
      <c r="A135" s="27" t="s">
        <v>172</v>
      </c>
      <c r="B135" s="7" t="s">
        <v>506</v>
      </c>
      <c r="C135" s="8">
        <v>8</v>
      </c>
      <c r="D135" s="8">
        <v>25</v>
      </c>
      <c r="E135" s="29">
        <v>27.8</v>
      </c>
      <c r="F135" s="29">
        <v>22.3</v>
      </c>
      <c r="G135" s="8">
        <f>Tablo17[[#This Row],[YOLLUK HARİÇ BASKI GRAMI]]/Tablo17[[#This Row],[GÖZ ADEDİ]]</f>
        <v>2.7875000000000001</v>
      </c>
      <c r="H135" s="9" t="s">
        <v>183</v>
      </c>
      <c r="I135" s="8" t="s">
        <v>417</v>
      </c>
      <c r="J135" s="8">
        <v>3.0000000000000001E-3</v>
      </c>
      <c r="K135" s="8"/>
      <c r="L135" s="60"/>
    </row>
    <row r="136" spans="1:12" ht="20.25" customHeight="1">
      <c r="A136" s="27" t="s">
        <v>170</v>
      </c>
      <c r="B136" s="7" t="s">
        <v>506</v>
      </c>
      <c r="C136" s="8">
        <v>8</v>
      </c>
      <c r="D136" s="8">
        <v>25</v>
      </c>
      <c r="E136" s="29">
        <v>27.8</v>
      </c>
      <c r="F136" s="29">
        <v>22.3</v>
      </c>
      <c r="G136" s="8">
        <f>Tablo17[[#This Row],[YOLLUK HARİÇ BASKI GRAMI]]/Tablo17[[#This Row],[GÖZ ADEDİ]]</f>
        <v>2.7875000000000001</v>
      </c>
      <c r="H136" s="9" t="s">
        <v>183</v>
      </c>
      <c r="I136" s="8" t="s">
        <v>416</v>
      </c>
      <c r="J136" s="8">
        <v>3.0000000000000001E-3</v>
      </c>
      <c r="K136" s="8"/>
      <c r="L136" s="60"/>
    </row>
    <row r="137" spans="1:12" ht="6" customHeight="1">
      <c r="A137" s="31"/>
      <c r="B137" s="11"/>
      <c r="C137" s="12"/>
      <c r="D137" s="12"/>
      <c r="E137" s="12"/>
      <c r="F137" s="12"/>
      <c r="G137" s="12"/>
      <c r="H137" s="13"/>
      <c r="I137" s="12"/>
      <c r="J137" s="10"/>
      <c r="K137" s="12"/>
      <c r="L137" s="60"/>
    </row>
    <row r="138" spans="1:12" s="62" customFormat="1" ht="21.75" customHeight="1">
      <c r="A138" s="68" t="s">
        <v>79</v>
      </c>
      <c r="B138" s="69" t="s">
        <v>507</v>
      </c>
      <c r="C138" s="70">
        <v>12</v>
      </c>
      <c r="D138" s="70">
        <v>12</v>
      </c>
      <c r="E138" s="70">
        <v>12.5</v>
      </c>
      <c r="F138" s="70">
        <v>10.8</v>
      </c>
      <c r="G138" s="70">
        <f>Tablo17[[#This Row],[YOLLUK HARİÇ BASKI GRAMI]]/Tablo17[[#This Row],[GÖZ ADEDİ]]</f>
        <v>0.9</v>
      </c>
      <c r="H138" s="71" t="s">
        <v>183</v>
      </c>
      <c r="I138" s="70" t="s">
        <v>472</v>
      </c>
      <c r="J138" s="70"/>
      <c r="K138" s="70"/>
      <c r="L138" s="70"/>
    </row>
    <row r="139" spans="1:12" ht="6" customHeight="1">
      <c r="A139" s="63"/>
      <c r="B139" s="64"/>
      <c r="C139" s="65"/>
      <c r="D139" s="65"/>
      <c r="E139" s="65"/>
      <c r="F139" s="65"/>
      <c r="G139" s="65"/>
      <c r="H139" s="66"/>
      <c r="I139" s="65"/>
      <c r="J139" s="65"/>
      <c r="K139" s="65"/>
      <c r="L139" s="60"/>
    </row>
    <row r="140" spans="1:12" ht="20.25" customHeight="1">
      <c r="A140" s="27" t="s">
        <v>77</v>
      </c>
      <c r="B140" s="7" t="s">
        <v>508</v>
      </c>
      <c r="C140" s="8">
        <v>8</v>
      </c>
      <c r="D140" s="8">
        <v>23</v>
      </c>
      <c r="E140" s="60">
        <v>7.2</v>
      </c>
      <c r="F140" s="60">
        <v>5</v>
      </c>
      <c r="G140" s="8">
        <f>Tablo17[[#This Row],[YOLLUK HARİÇ BASKI GRAMI]]/Tablo17[[#This Row],[GÖZ ADEDİ]]</f>
        <v>0.625</v>
      </c>
      <c r="H140" s="9" t="s">
        <v>359</v>
      </c>
      <c r="I140" s="8">
        <v>5287</v>
      </c>
      <c r="J140" s="6"/>
      <c r="K140" s="8"/>
      <c r="L140" s="60"/>
    </row>
    <row r="141" spans="1:12" ht="20.25" customHeight="1">
      <c r="A141" s="27" t="s">
        <v>78</v>
      </c>
      <c r="B141" s="7" t="s">
        <v>508</v>
      </c>
      <c r="C141" s="8">
        <v>8</v>
      </c>
      <c r="D141" s="8">
        <v>23</v>
      </c>
      <c r="E141" s="60">
        <v>7.2</v>
      </c>
      <c r="F141" s="60">
        <v>5</v>
      </c>
      <c r="G141" s="8">
        <f>Tablo17[[#This Row],[YOLLUK HARİÇ BASKI GRAMI]]/Tablo17[[#This Row],[GÖZ ADEDİ]]</f>
        <v>0.625</v>
      </c>
      <c r="H141" s="9" t="s">
        <v>359</v>
      </c>
      <c r="I141" s="8">
        <v>3041</v>
      </c>
      <c r="J141" s="6"/>
      <c r="K141" s="8"/>
      <c r="L141" s="60"/>
    </row>
    <row r="142" spans="1:12" ht="20.25" customHeight="1">
      <c r="A142" s="27" t="s">
        <v>76</v>
      </c>
      <c r="B142" s="7" t="s">
        <v>508</v>
      </c>
      <c r="C142" s="8">
        <v>8</v>
      </c>
      <c r="D142" s="8">
        <v>23</v>
      </c>
      <c r="E142" s="60">
        <v>7.2</v>
      </c>
      <c r="F142" s="60">
        <v>5</v>
      </c>
      <c r="G142" s="8">
        <f>Tablo17[[#This Row],[YOLLUK HARİÇ BASKI GRAMI]]/Tablo17[[#This Row],[GÖZ ADEDİ]]</f>
        <v>0.625</v>
      </c>
      <c r="H142" s="9" t="s">
        <v>359</v>
      </c>
      <c r="I142" s="8">
        <v>3409</v>
      </c>
      <c r="J142" s="6"/>
      <c r="K142" s="8"/>
      <c r="L142" s="60"/>
    </row>
    <row r="143" spans="1:12" ht="20.25" customHeight="1">
      <c r="A143" s="58" t="s">
        <v>75</v>
      </c>
      <c r="B143" s="7" t="s">
        <v>508</v>
      </c>
      <c r="C143" s="8">
        <v>8</v>
      </c>
      <c r="D143" s="8">
        <v>23</v>
      </c>
      <c r="E143" s="60">
        <v>7.2</v>
      </c>
      <c r="F143" s="60">
        <v>5</v>
      </c>
      <c r="G143" s="60">
        <f>Tablo17[[#This Row],[YOLLUK HARİÇ BASKI GRAMI]]/Tablo17[[#This Row],[GÖZ ADEDİ]]</f>
        <v>0.625</v>
      </c>
      <c r="H143" s="9" t="s">
        <v>359</v>
      </c>
      <c r="I143" s="60" t="s">
        <v>410</v>
      </c>
      <c r="J143" s="60"/>
      <c r="K143" s="60"/>
      <c r="L143" s="60"/>
    </row>
    <row r="144" spans="1:12" ht="6" customHeight="1">
      <c r="A144" s="31"/>
      <c r="B144" s="11"/>
      <c r="C144" s="12"/>
      <c r="D144" s="12"/>
      <c r="E144" s="12"/>
      <c r="F144" s="12"/>
      <c r="G144" s="12"/>
      <c r="H144" s="13"/>
      <c r="I144" s="12"/>
      <c r="J144" s="10"/>
      <c r="K144" s="12"/>
      <c r="L144" s="60"/>
    </row>
    <row r="145" spans="1:12" ht="20.25" customHeight="1">
      <c r="A145" s="27" t="s">
        <v>55</v>
      </c>
      <c r="B145" s="7" t="s">
        <v>509</v>
      </c>
      <c r="C145" s="8">
        <v>8</v>
      </c>
      <c r="D145" s="8">
        <v>15</v>
      </c>
      <c r="E145" s="8">
        <v>13</v>
      </c>
      <c r="F145" s="8">
        <v>10.7</v>
      </c>
      <c r="G145" s="8">
        <f>Tablo17[[#This Row],[YOLLUK HARİÇ BASKI GRAMI]]/Tablo17[[#This Row],[GÖZ ADEDİ]]</f>
        <v>1.3374999999999999</v>
      </c>
      <c r="H145" s="9" t="s">
        <v>114</v>
      </c>
      <c r="I145" s="8" t="s">
        <v>113</v>
      </c>
      <c r="J145" s="6"/>
      <c r="K145" s="8"/>
      <c r="L145" s="60"/>
    </row>
    <row r="146" spans="1:12" ht="6" customHeight="1">
      <c r="A146" s="31"/>
      <c r="B146" s="11"/>
      <c r="C146" s="12"/>
      <c r="D146" s="12"/>
      <c r="E146" s="12"/>
      <c r="F146" s="12"/>
      <c r="G146" s="12"/>
      <c r="H146" s="13"/>
      <c r="I146" s="12"/>
      <c r="J146" s="10"/>
      <c r="K146" s="12"/>
      <c r="L146" s="60"/>
    </row>
    <row r="147" spans="1:12" ht="20.25" customHeight="1">
      <c r="A147" s="27" t="s">
        <v>308</v>
      </c>
      <c r="B147" s="7" t="s">
        <v>510</v>
      </c>
      <c r="C147" s="8">
        <v>4</v>
      </c>
      <c r="D147" s="8"/>
      <c r="E147" s="8"/>
      <c r="F147" s="8"/>
      <c r="G147" s="8">
        <f>Tablo17[[#This Row],[YOLLUK HARİÇ BASKI GRAMI]]/Tablo17[[#This Row],[GÖZ ADEDİ]]</f>
        <v>0</v>
      </c>
      <c r="H147" s="9" t="s">
        <v>388</v>
      </c>
      <c r="I147" s="8" t="s">
        <v>511</v>
      </c>
      <c r="J147" s="6"/>
      <c r="K147" s="8"/>
      <c r="L147" s="60"/>
    </row>
    <row r="148" spans="1:12" ht="6" customHeight="1">
      <c r="A148" s="31"/>
      <c r="B148" s="11"/>
      <c r="C148" s="12"/>
      <c r="D148" s="12"/>
      <c r="E148" s="12"/>
      <c r="F148" s="12"/>
      <c r="G148" s="12"/>
      <c r="H148" s="13"/>
      <c r="I148" s="12"/>
      <c r="J148" s="10"/>
      <c r="K148" s="12"/>
      <c r="L148" s="60"/>
    </row>
    <row r="149" spans="1:12" ht="20.25" customHeight="1">
      <c r="A149" s="27" t="s">
        <v>176</v>
      </c>
      <c r="B149" s="7" t="s">
        <v>512</v>
      </c>
      <c r="C149" s="8">
        <v>8</v>
      </c>
      <c r="D149" s="8">
        <v>21</v>
      </c>
      <c r="E149" s="8">
        <v>40</v>
      </c>
      <c r="F149" s="8">
        <v>40</v>
      </c>
      <c r="G149" s="8">
        <f>Tablo17[[#This Row],[YOLLUK HARİÇ BASKI GRAMI]]/Tablo17[[#This Row],[GÖZ ADEDİ]]</f>
        <v>5</v>
      </c>
      <c r="H149" s="9" t="s">
        <v>359</v>
      </c>
      <c r="I149" s="8" t="s">
        <v>472</v>
      </c>
      <c r="J149" s="6"/>
      <c r="K149" s="8"/>
      <c r="L149" s="60"/>
    </row>
    <row r="150" spans="1:12" ht="6" customHeight="1">
      <c r="A150" s="31"/>
      <c r="B150" s="11"/>
      <c r="C150" s="12"/>
      <c r="D150" s="12"/>
      <c r="E150" s="12"/>
      <c r="F150" s="12"/>
      <c r="G150" s="12"/>
      <c r="H150" s="13"/>
      <c r="I150" s="12"/>
      <c r="J150" s="10"/>
      <c r="K150" s="12"/>
      <c r="L150" s="60"/>
    </row>
    <row r="151" spans="1:12" ht="20.25" customHeight="1">
      <c r="A151" s="27" t="s">
        <v>213</v>
      </c>
      <c r="B151" s="7" t="s">
        <v>513</v>
      </c>
      <c r="C151" s="8">
        <v>4</v>
      </c>
      <c r="D151" s="8">
        <v>12</v>
      </c>
      <c r="E151" s="8">
        <v>34.4</v>
      </c>
      <c r="F151" s="8">
        <v>34.4</v>
      </c>
      <c r="G151" s="8">
        <f>Tablo17[[#This Row],[YOLLUK HARİÇ BASKI GRAMI]]/Tablo17[[#This Row],[GÖZ ADEDİ]]</f>
        <v>8.6</v>
      </c>
      <c r="H151" s="9" t="s">
        <v>359</v>
      </c>
      <c r="I151" s="8" t="s">
        <v>472</v>
      </c>
      <c r="J151" s="6"/>
      <c r="K151" s="8"/>
      <c r="L151" s="60"/>
    </row>
    <row r="152" spans="1:12" ht="6" customHeight="1">
      <c r="A152" s="31"/>
      <c r="B152" s="11"/>
      <c r="C152" s="12"/>
      <c r="D152" s="12"/>
      <c r="E152" s="12"/>
      <c r="F152" s="12"/>
      <c r="G152" s="12"/>
      <c r="H152" s="13"/>
      <c r="I152" s="12"/>
      <c r="J152" s="10"/>
      <c r="K152" s="12"/>
      <c r="L152" s="60"/>
    </row>
    <row r="153" spans="1:12" ht="20.25" customHeight="1">
      <c r="A153" s="27" t="s">
        <v>309</v>
      </c>
      <c r="B153" s="7" t="s">
        <v>514</v>
      </c>
      <c r="C153" s="8">
        <v>4</v>
      </c>
      <c r="D153" s="8"/>
      <c r="E153" s="8"/>
      <c r="F153" s="8"/>
      <c r="G153" s="8">
        <f>Tablo17[[#This Row],[YOLLUK HARİÇ BASKI GRAMI]]/Tablo17[[#This Row],[GÖZ ADEDİ]]</f>
        <v>0</v>
      </c>
      <c r="H153" s="9" t="s">
        <v>359</v>
      </c>
      <c r="I153" s="8" t="s">
        <v>410</v>
      </c>
      <c r="J153" s="6"/>
      <c r="K153" s="8"/>
      <c r="L153" s="60"/>
    </row>
    <row r="154" spans="1:12" ht="20.25" customHeight="1">
      <c r="A154" s="27" t="s">
        <v>310</v>
      </c>
      <c r="B154" s="7" t="s">
        <v>514</v>
      </c>
      <c r="C154" s="8">
        <v>4</v>
      </c>
      <c r="D154" s="8"/>
      <c r="E154" s="8"/>
      <c r="F154" s="8"/>
      <c r="G154" s="8">
        <f>Tablo17[[#This Row],[YOLLUK HARİÇ BASKI GRAMI]]/Tablo17[[#This Row],[GÖZ ADEDİ]]</f>
        <v>0</v>
      </c>
      <c r="H154" s="9" t="s">
        <v>359</v>
      </c>
      <c r="I154" s="8">
        <v>5287</v>
      </c>
      <c r="J154" s="6"/>
      <c r="K154" s="8"/>
      <c r="L154" s="60"/>
    </row>
    <row r="155" spans="1:12" ht="20.25" customHeight="1">
      <c r="A155" s="27" t="s">
        <v>311</v>
      </c>
      <c r="B155" s="7" t="s">
        <v>514</v>
      </c>
      <c r="C155" s="8">
        <v>4</v>
      </c>
      <c r="D155" s="8"/>
      <c r="E155" s="8"/>
      <c r="F155" s="8"/>
      <c r="G155" s="8">
        <f>Tablo17[[#This Row],[YOLLUK HARİÇ BASKI GRAMI]]/Tablo17[[#This Row],[GÖZ ADEDİ]]</f>
        <v>0</v>
      </c>
      <c r="H155" s="9" t="s">
        <v>359</v>
      </c>
      <c r="I155" s="8">
        <v>3041</v>
      </c>
      <c r="J155" s="6"/>
      <c r="K155" s="8"/>
      <c r="L155" s="60"/>
    </row>
    <row r="156" spans="1:12" ht="20.25" customHeight="1">
      <c r="A156" s="27" t="s">
        <v>312</v>
      </c>
      <c r="B156" s="7" t="s">
        <v>514</v>
      </c>
      <c r="C156" s="8">
        <v>4</v>
      </c>
      <c r="D156" s="8"/>
      <c r="E156" s="8"/>
      <c r="F156" s="8"/>
      <c r="G156" s="8">
        <f>Tablo17[[#This Row],[YOLLUK HARİÇ BASKI GRAMI]]/Tablo17[[#This Row],[GÖZ ADEDİ]]</f>
        <v>0</v>
      </c>
      <c r="H156" s="9" t="s">
        <v>359</v>
      </c>
      <c r="I156" s="8">
        <v>1290</v>
      </c>
      <c r="J156" s="6"/>
      <c r="K156" s="8"/>
      <c r="L156" s="60"/>
    </row>
    <row r="157" spans="1:12" ht="20.25" customHeight="1">
      <c r="A157" s="27" t="s">
        <v>313</v>
      </c>
      <c r="B157" s="7" t="s">
        <v>514</v>
      </c>
      <c r="C157" s="8">
        <v>4</v>
      </c>
      <c r="D157" s="8"/>
      <c r="E157" s="8"/>
      <c r="F157" s="8"/>
      <c r="G157" s="8">
        <f>Tablo17[[#This Row],[YOLLUK HARİÇ BASKI GRAMI]]/Tablo17[[#This Row],[GÖZ ADEDİ]]</f>
        <v>0</v>
      </c>
      <c r="H157" s="9" t="s">
        <v>359</v>
      </c>
      <c r="I157" s="8">
        <v>3409</v>
      </c>
      <c r="J157" s="6"/>
      <c r="K157" s="8"/>
      <c r="L157" s="60"/>
    </row>
    <row r="158" spans="1:12" ht="20.25" customHeight="1">
      <c r="A158" s="27" t="s">
        <v>314</v>
      </c>
      <c r="B158" s="7" t="s">
        <v>514</v>
      </c>
      <c r="C158" s="8">
        <v>4</v>
      </c>
      <c r="D158" s="8"/>
      <c r="E158" s="8"/>
      <c r="F158" s="8"/>
      <c r="G158" s="8">
        <f>Tablo17[[#This Row],[YOLLUK HARİÇ BASKI GRAMI]]/Tablo17[[#This Row],[GÖZ ADEDİ]]</f>
        <v>0</v>
      </c>
      <c r="H158" s="9" t="s">
        <v>359</v>
      </c>
      <c r="I158" s="8">
        <v>4090</v>
      </c>
      <c r="J158" s="6"/>
      <c r="K158" s="8"/>
      <c r="L158" s="60"/>
    </row>
    <row r="159" spans="1:12" ht="6" customHeight="1">
      <c r="A159" s="31"/>
      <c r="B159" s="11"/>
      <c r="C159" s="12"/>
      <c r="D159" s="12"/>
      <c r="E159" s="12"/>
      <c r="F159" s="12"/>
      <c r="G159" s="12"/>
      <c r="H159" s="13"/>
      <c r="I159" s="12"/>
      <c r="J159" s="10"/>
      <c r="K159" s="12"/>
      <c r="L159" s="60"/>
    </row>
    <row r="160" spans="1:12" ht="20.25" customHeight="1">
      <c r="A160" s="27" t="s">
        <v>315</v>
      </c>
      <c r="B160" s="7" t="s">
        <v>515</v>
      </c>
      <c r="C160" s="8">
        <v>4</v>
      </c>
      <c r="D160" s="8"/>
      <c r="E160" s="8"/>
      <c r="F160" s="8"/>
      <c r="G160" s="8">
        <f>Tablo17[[#This Row],[YOLLUK HARİÇ BASKI GRAMI]]/Tablo17[[#This Row],[GÖZ ADEDİ]]</f>
        <v>0</v>
      </c>
      <c r="H160" s="9" t="s">
        <v>359</v>
      </c>
      <c r="I160" s="8" t="s">
        <v>410</v>
      </c>
      <c r="J160" s="6"/>
      <c r="K160" s="8"/>
      <c r="L160" s="60"/>
    </row>
    <row r="161" spans="1:12" ht="20.25" customHeight="1">
      <c r="A161" s="27" t="s">
        <v>316</v>
      </c>
      <c r="B161" s="7" t="s">
        <v>515</v>
      </c>
      <c r="C161" s="8">
        <v>4</v>
      </c>
      <c r="D161" s="8"/>
      <c r="E161" s="8"/>
      <c r="F161" s="8"/>
      <c r="G161" s="8">
        <f>Tablo17[[#This Row],[YOLLUK HARİÇ BASKI GRAMI]]/Tablo17[[#This Row],[GÖZ ADEDİ]]</f>
        <v>0</v>
      </c>
      <c r="H161" s="9" t="s">
        <v>359</v>
      </c>
      <c r="I161" s="8">
        <v>5287</v>
      </c>
      <c r="J161" s="6"/>
      <c r="K161" s="8"/>
      <c r="L161" s="60"/>
    </row>
    <row r="162" spans="1:12" ht="20.25" customHeight="1">
      <c r="A162" s="27" t="s">
        <v>317</v>
      </c>
      <c r="B162" s="7" t="s">
        <v>515</v>
      </c>
      <c r="C162" s="8">
        <v>4</v>
      </c>
      <c r="D162" s="8"/>
      <c r="E162" s="8"/>
      <c r="F162" s="8"/>
      <c r="G162" s="8">
        <f>Tablo17[[#This Row],[YOLLUK HARİÇ BASKI GRAMI]]/Tablo17[[#This Row],[GÖZ ADEDİ]]</f>
        <v>0</v>
      </c>
      <c r="H162" s="9" t="s">
        <v>359</v>
      </c>
      <c r="I162" s="8">
        <v>3041</v>
      </c>
      <c r="J162" s="6"/>
      <c r="K162" s="8"/>
      <c r="L162" s="60"/>
    </row>
    <row r="163" spans="1:12" ht="20.25" customHeight="1">
      <c r="A163" s="27" t="s">
        <v>318</v>
      </c>
      <c r="B163" s="7" t="s">
        <v>515</v>
      </c>
      <c r="C163" s="8">
        <v>4</v>
      </c>
      <c r="D163" s="8"/>
      <c r="E163" s="8"/>
      <c r="F163" s="8"/>
      <c r="G163" s="8">
        <f>Tablo17[[#This Row],[YOLLUK HARİÇ BASKI GRAMI]]/Tablo17[[#This Row],[GÖZ ADEDİ]]</f>
        <v>0</v>
      </c>
      <c r="H163" s="9" t="s">
        <v>359</v>
      </c>
      <c r="I163" s="8">
        <v>1290</v>
      </c>
      <c r="J163" s="6"/>
      <c r="K163" s="8"/>
      <c r="L163" s="60"/>
    </row>
    <row r="164" spans="1:12" ht="20.25" customHeight="1">
      <c r="A164" s="27" t="s">
        <v>319</v>
      </c>
      <c r="B164" s="7" t="s">
        <v>515</v>
      </c>
      <c r="C164" s="8">
        <v>4</v>
      </c>
      <c r="D164" s="8"/>
      <c r="E164" s="8"/>
      <c r="F164" s="8"/>
      <c r="G164" s="8">
        <f>Tablo17[[#This Row],[YOLLUK HARİÇ BASKI GRAMI]]/Tablo17[[#This Row],[GÖZ ADEDİ]]</f>
        <v>0</v>
      </c>
      <c r="H164" s="9" t="s">
        <v>359</v>
      </c>
      <c r="I164" s="8">
        <v>3409</v>
      </c>
      <c r="J164" s="6"/>
      <c r="K164" s="8"/>
      <c r="L164" s="60"/>
    </row>
    <row r="165" spans="1:12" ht="20.25" customHeight="1">
      <c r="A165" s="27" t="s">
        <v>320</v>
      </c>
      <c r="B165" s="7" t="s">
        <v>515</v>
      </c>
      <c r="C165" s="8">
        <v>4</v>
      </c>
      <c r="D165" s="8"/>
      <c r="E165" s="8"/>
      <c r="F165" s="8"/>
      <c r="G165" s="8">
        <f>Tablo17[[#This Row],[YOLLUK HARİÇ BASKI GRAMI]]/Tablo17[[#This Row],[GÖZ ADEDİ]]</f>
        <v>0</v>
      </c>
      <c r="H165" s="9" t="s">
        <v>359</v>
      </c>
      <c r="I165" s="8">
        <v>4090</v>
      </c>
      <c r="J165" s="6"/>
      <c r="K165" s="8"/>
      <c r="L165" s="60"/>
    </row>
    <row r="166" spans="1:12" ht="6" customHeight="1">
      <c r="A166" s="31"/>
      <c r="B166" s="11"/>
      <c r="C166" s="12"/>
      <c r="D166" s="12"/>
      <c r="E166" s="12"/>
      <c r="F166" s="12"/>
      <c r="G166" s="12"/>
      <c r="H166" s="13"/>
      <c r="I166" s="12"/>
      <c r="J166" s="10"/>
      <c r="K166" s="12"/>
      <c r="L166" s="60"/>
    </row>
    <row r="167" spans="1:12" ht="20.25" customHeight="1">
      <c r="A167" s="27" t="s">
        <v>116</v>
      </c>
      <c r="B167" s="7" t="s">
        <v>516</v>
      </c>
      <c r="C167" s="8">
        <v>4</v>
      </c>
      <c r="D167" s="8">
        <v>24</v>
      </c>
      <c r="E167" s="8">
        <v>22.8</v>
      </c>
      <c r="F167" s="8">
        <v>21.2</v>
      </c>
      <c r="G167" s="8">
        <f>Tablo17[[#This Row],[YOLLUK HARİÇ BASKI GRAMI]]/Tablo17[[#This Row],[GÖZ ADEDİ]]</f>
        <v>5.3</v>
      </c>
      <c r="H167" s="9" t="s">
        <v>359</v>
      </c>
      <c r="I167" s="8" t="s">
        <v>410</v>
      </c>
      <c r="J167" s="6"/>
      <c r="K167" s="8"/>
      <c r="L167" s="60"/>
    </row>
    <row r="168" spans="1:12" ht="20.25" customHeight="1">
      <c r="A168" s="27" t="s">
        <v>82</v>
      </c>
      <c r="B168" s="7" t="s">
        <v>516</v>
      </c>
      <c r="C168" s="8">
        <v>4</v>
      </c>
      <c r="D168" s="8">
        <v>24</v>
      </c>
      <c r="E168" s="8">
        <v>22.8</v>
      </c>
      <c r="F168" s="8">
        <v>21.2</v>
      </c>
      <c r="G168" s="8">
        <f>Tablo17[[#This Row],[YOLLUK HARİÇ BASKI GRAMI]]/Tablo17[[#This Row],[GÖZ ADEDİ]]</f>
        <v>5.3</v>
      </c>
      <c r="H168" s="9" t="s">
        <v>359</v>
      </c>
      <c r="I168" s="8">
        <v>5287</v>
      </c>
      <c r="J168" s="6"/>
      <c r="K168" s="8"/>
      <c r="L168" s="60"/>
    </row>
    <row r="169" spans="1:12" ht="20.25" customHeight="1">
      <c r="A169" s="27" t="s">
        <v>119</v>
      </c>
      <c r="B169" s="7" t="s">
        <v>516</v>
      </c>
      <c r="C169" s="8">
        <v>4</v>
      </c>
      <c r="D169" s="8">
        <v>24</v>
      </c>
      <c r="E169" s="8">
        <v>22.8</v>
      </c>
      <c r="F169" s="8">
        <v>21.2</v>
      </c>
      <c r="G169" s="8">
        <f>Tablo17[[#This Row],[YOLLUK HARİÇ BASKI GRAMI]]/Tablo17[[#This Row],[GÖZ ADEDİ]]</f>
        <v>5.3</v>
      </c>
      <c r="H169" s="9" t="s">
        <v>359</v>
      </c>
      <c r="I169" s="8">
        <v>3041</v>
      </c>
      <c r="J169" s="6"/>
      <c r="K169" s="8"/>
      <c r="L169" s="60"/>
    </row>
    <row r="170" spans="1:12" ht="20.25" customHeight="1">
      <c r="A170" s="27" t="s">
        <v>117</v>
      </c>
      <c r="B170" s="7" t="s">
        <v>516</v>
      </c>
      <c r="C170" s="8">
        <v>4</v>
      </c>
      <c r="D170" s="8">
        <v>24</v>
      </c>
      <c r="E170" s="8">
        <v>22.8</v>
      </c>
      <c r="F170" s="8">
        <v>21.2</v>
      </c>
      <c r="G170" s="8">
        <f>Tablo17[[#This Row],[YOLLUK HARİÇ BASKI GRAMI]]/Tablo17[[#This Row],[GÖZ ADEDİ]]</f>
        <v>5.3</v>
      </c>
      <c r="H170" s="9" t="s">
        <v>359</v>
      </c>
      <c r="I170" s="8">
        <v>1290</v>
      </c>
      <c r="J170" s="6"/>
      <c r="K170" s="8"/>
      <c r="L170" s="60"/>
    </row>
    <row r="171" spans="1:12" ht="20.25" customHeight="1">
      <c r="A171" s="27" t="s">
        <v>81</v>
      </c>
      <c r="B171" s="7" t="s">
        <v>516</v>
      </c>
      <c r="C171" s="8">
        <v>4</v>
      </c>
      <c r="D171" s="8">
        <v>24</v>
      </c>
      <c r="E171" s="8">
        <v>23.1</v>
      </c>
      <c r="F171" s="8">
        <v>21.4</v>
      </c>
      <c r="G171" s="8">
        <f>Tablo17[[#This Row],[YOLLUK HARİÇ BASKI GRAMI]]/Tablo17[[#This Row],[GÖZ ADEDİ]]</f>
        <v>5.35</v>
      </c>
      <c r="H171" s="9" t="s">
        <v>359</v>
      </c>
      <c r="I171" s="8">
        <v>3409</v>
      </c>
      <c r="J171" s="6"/>
      <c r="K171" s="8"/>
      <c r="L171" s="60"/>
    </row>
    <row r="172" spans="1:12" ht="20.25" customHeight="1">
      <c r="A172" s="27" t="s">
        <v>118</v>
      </c>
      <c r="B172" s="7" t="s">
        <v>516</v>
      </c>
      <c r="C172" s="8">
        <v>4</v>
      </c>
      <c r="D172" s="8">
        <v>24</v>
      </c>
      <c r="E172" s="8">
        <v>22.8</v>
      </c>
      <c r="F172" s="8">
        <v>21.2</v>
      </c>
      <c r="G172" s="8">
        <f>Tablo17[[#This Row],[YOLLUK HARİÇ BASKI GRAMI]]/Tablo17[[#This Row],[GÖZ ADEDİ]]</f>
        <v>5.3</v>
      </c>
      <c r="H172" s="9" t="s">
        <v>359</v>
      </c>
      <c r="I172" s="8">
        <v>4090</v>
      </c>
      <c r="J172" s="6"/>
      <c r="K172" s="8"/>
      <c r="L172" s="60"/>
    </row>
    <row r="173" spans="1:12" ht="6" customHeight="1">
      <c r="A173" s="31"/>
      <c r="B173" s="11"/>
      <c r="C173" s="12"/>
      <c r="D173" s="12"/>
      <c r="E173" s="12"/>
      <c r="F173" s="12"/>
      <c r="G173" s="12"/>
      <c r="H173" s="13"/>
      <c r="I173" s="12"/>
      <c r="J173" s="10"/>
      <c r="K173" s="12"/>
      <c r="L173" s="60"/>
    </row>
    <row r="174" spans="1:12" ht="20.25" customHeight="1">
      <c r="A174" s="27" t="s">
        <v>165</v>
      </c>
      <c r="B174" s="7" t="s">
        <v>517</v>
      </c>
      <c r="C174" s="8">
        <v>1</v>
      </c>
      <c r="D174" s="8">
        <v>33</v>
      </c>
      <c r="E174" s="8">
        <v>107</v>
      </c>
      <c r="F174" s="8">
        <v>107</v>
      </c>
      <c r="G174" s="8">
        <f>Tablo17[[#This Row],[YOLLUK HARİÇ BASKI GRAMI]]/Tablo17[[#This Row],[GÖZ ADEDİ]]</f>
        <v>107</v>
      </c>
      <c r="H174" s="9" t="s">
        <v>183</v>
      </c>
      <c r="I174" s="8" t="s">
        <v>472</v>
      </c>
      <c r="J174" s="6"/>
      <c r="K174" s="8"/>
      <c r="L174" s="60"/>
    </row>
    <row r="175" spans="1:12" ht="6" customHeight="1">
      <c r="A175" s="31"/>
      <c r="B175" s="11"/>
      <c r="C175" s="12"/>
      <c r="D175" s="12"/>
      <c r="E175" s="12"/>
      <c r="F175" s="12"/>
      <c r="G175" s="12"/>
      <c r="H175" s="13"/>
      <c r="I175" s="12"/>
      <c r="J175" s="10"/>
      <c r="K175" s="12"/>
      <c r="L175" s="60"/>
    </row>
    <row r="176" spans="1:12" ht="20.25" customHeight="1">
      <c r="A176" s="27" t="s">
        <v>214</v>
      </c>
      <c r="B176" s="7" t="s">
        <v>518</v>
      </c>
      <c r="C176" s="8">
        <v>8</v>
      </c>
      <c r="D176" s="8">
        <v>27</v>
      </c>
      <c r="E176" s="8">
        <v>27.2</v>
      </c>
      <c r="F176" s="8">
        <v>27.2</v>
      </c>
      <c r="G176" s="18">
        <f>Tablo17[[#This Row],[YOLLUK HARİÇ BASKI GRAMI]]/Tablo17[[#This Row],[GÖZ ADEDİ]]</f>
        <v>3.4</v>
      </c>
      <c r="H176" s="9" t="s">
        <v>359</v>
      </c>
      <c r="I176" s="8" t="s">
        <v>472</v>
      </c>
      <c r="J176" s="6"/>
      <c r="K176" s="8"/>
      <c r="L176" s="60"/>
    </row>
    <row r="177" spans="1:12" ht="6" customHeight="1">
      <c r="A177" s="31"/>
      <c r="B177" s="11"/>
      <c r="C177" s="12"/>
      <c r="D177" s="12"/>
      <c r="E177" s="12"/>
      <c r="F177" s="12"/>
      <c r="G177" s="12"/>
      <c r="H177" s="13"/>
      <c r="I177" s="12"/>
      <c r="J177" s="10"/>
      <c r="K177" s="12"/>
      <c r="L177" s="60"/>
    </row>
    <row r="178" spans="1:12" s="62" customFormat="1" ht="23.25" customHeight="1">
      <c r="A178" s="68" t="s">
        <v>222</v>
      </c>
      <c r="B178" s="69" t="s">
        <v>519</v>
      </c>
      <c r="C178" s="70">
        <v>8</v>
      </c>
      <c r="D178" s="70"/>
      <c r="E178" s="70"/>
      <c r="F178" s="70"/>
      <c r="G178" s="70">
        <f>Tablo17[[#This Row],[YOLLUK HARİÇ BASKI GRAMI]]/Tablo17[[#This Row],[GÖZ ADEDİ]]</f>
        <v>0</v>
      </c>
      <c r="H178" s="71" t="s">
        <v>359</v>
      </c>
      <c r="I178" s="70" t="s">
        <v>472</v>
      </c>
      <c r="J178" s="70"/>
      <c r="K178" s="70"/>
      <c r="L178" s="70"/>
    </row>
    <row r="179" spans="1:12" ht="6" customHeight="1">
      <c r="A179" s="63"/>
      <c r="B179" s="64"/>
      <c r="C179" s="65"/>
      <c r="D179" s="65"/>
      <c r="E179" s="65"/>
      <c r="F179" s="65"/>
      <c r="G179" s="65"/>
      <c r="H179" s="66"/>
      <c r="I179" s="65"/>
      <c r="J179" s="65"/>
      <c r="K179" s="65"/>
      <c r="L179" s="60"/>
    </row>
    <row r="180" spans="1:12" ht="20.25" customHeight="1">
      <c r="A180" s="27" t="s">
        <v>209</v>
      </c>
      <c r="B180" s="7" t="s">
        <v>520</v>
      </c>
      <c r="C180" s="8">
        <v>4</v>
      </c>
      <c r="D180" s="8">
        <v>32</v>
      </c>
      <c r="E180" s="8">
        <v>52.9</v>
      </c>
      <c r="F180" s="8">
        <v>52.9</v>
      </c>
      <c r="G180" s="8">
        <f>Tablo17[[#This Row],[YOLLUK HARİÇ BASKI GRAMI]]/Tablo17[[#This Row],[GÖZ ADEDİ]]</f>
        <v>13.225</v>
      </c>
      <c r="H180" s="9" t="s">
        <v>359</v>
      </c>
      <c r="I180" s="8" t="s">
        <v>472</v>
      </c>
      <c r="J180" s="6"/>
      <c r="K180" s="8"/>
      <c r="L180" s="60"/>
    </row>
    <row r="181" spans="1:12" ht="6" customHeight="1">
      <c r="A181" s="31"/>
      <c r="B181" s="11"/>
      <c r="C181" s="12"/>
      <c r="D181" s="12"/>
      <c r="E181" s="12"/>
      <c r="F181" s="12"/>
      <c r="G181" s="12"/>
      <c r="H181" s="13"/>
      <c r="I181" s="12"/>
      <c r="J181" s="10"/>
      <c r="K181" s="12"/>
      <c r="L181" s="60"/>
    </row>
    <row r="182" spans="1:12" ht="20.25" customHeight="1">
      <c r="A182" s="27" t="s">
        <v>80</v>
      </c>
      <c r="B182" s="7" t="s">
        <v>521</v>
      </c>
      <c r="C182" s="8">
        <v>4</v>
      </c>
      <c r="D182" s="8">
        <v>13</v>
      </c>
      <c r="E182" s="8">
        <v>29.4</v>
      </c>
      <c r="F182" s="8">
        <v>29.4</v>
      </c>
      <c r="G182" s="8">
        <f>Tablo17[[#This Row],[YOLLUK HARİÇ BASKI GRAMI]]/Tablo17[[#This Row],[GÖZ ADEDİ]]</f>
        <v>7.35</v>
      </c>
      <c r="H182" s="9" t="s">
        <v>359</v>
      </c>
      <c r="I182" s="8" t="s">
        <v>472</v>
      </c>
      <c r="J182" s="6"/>
      <c r="K182" s="8"/>
      <c r="L182" s="60"/>
    </row>
    <row r="183" spans="1:12" ht="6" customHeight="1">
      <c r="A183" s="31"/>
      <c r="B183" s="11"/>
      <c r="C183" s="12"/>
      <c r="D183" s="12"/>
      <c r="E183" s="12"/>
      <c r="F183" s="12"/>
      <c r="G183" s="12"/>
      <c r="H183" s="13"/>
      <c r="I183" s="12"/>
      <c r="J183" s="10"/>
      <c r="K183" s="12"/>
      <c r="L183" s="60"/>
    </row>
    <row r="184" spans="1:12" ht="20.25" customHeight="1">
      <c r="A184" s="27" t="s">
        <v>321</v>
      </c>
      <c r="B184" s="7" t="s">
        <v>522</v>
      </c>
      <c r="C184" s="8">
        <v>4</v>
      </c>
      <c r="D184" s="8">
        <v>20</v>
      </c>
      <c r="E184" s="8">
        <v>22.5</v>
      </c>
      <c r="F184" s="8">
        <v>22.5</v>
      </c>
      <c r="G184" s="8">
        <f>Tablo17[[#This Row],[YOLLUK HARİÇ BASKI GRAMI]]/Tablo17[[#This Row],[GÖZ ADEDİ]]</f>
        <v>5.625</v>
      </c>
      <c r="H184" s="9" t="s">
        <v>359</v>
      </c>
      <c r="I184" s="8" t="s">
        <v>410</v>
      </c>
      <c r="J184" s="6"/>
      <c r="K184" s="8"/>
      <c r="L184" s="60"/>
    </row>
    <row r="185" spans="1:12" ht="20.25" customHeight="1">
      <c r="A185" s="27" t="s">
        <v>206</v>
      </c>
      <c r="B185" s="7" t="s">
        <v>522</v>
      </c>
      <c r="C185" s="8">
        <v>4</v>
      </c>
      <c r="D185" s="8">
        <v>20</v>
      </c>
      <c r="E185" s="8">
        <v>22.5</v>
      </c>
      <c r="F185" s="8">
        <v>22.5</v>
      </c>
      <c r="G185" s="8">
        <f>Tablo17[[#This Row],[YOLLUK HARİÇ BASKI GRAMI]]/Tablo17[[#This Row],[GÖZ ADEDİ]]</f>
        <v>5.625</v>
      </c>
      <c r="H185" s="9" t="s">
        <v>359</v>
      </c>
      <c r="I185" s="8">
        <v>5287</v>
      </c>
      <c r="J185" s="6"/>
      <c r="K185" s="8"/>
      <c r="L185" s="60"/>
    </row>
    <row r="186" spans="1:12" ht="20.25" customHeight="1">
      <c r="A186" s="27" t="s">
        <v>207</v>
      </c>
      <c r="B186" s="7" t="s">
        <v>522</v>
      </c>
      <c r="C186" s="8">
        <v>4</v>
      </c>
      <c r="D186" s="8">
        <v>20</v>
      </c>
      <c r="E186" s="8">
        <v>22.5</v>
      </c>
      <c r="F186" s="8">
        <v>22.5</v>
      </c>
      <c r="G186" s="8">
        <f>Tablo17[[#This Row],[YOLLUK HARİÇ BASKI GRAMI]]/Tablo17[[#This Row],[GÖZ ADEDİ]]</f>
        <v>5.625</v>
      </c>
      <c r="H186" s="9" t="s">
        <v>359</v>
      </c>
      <c r="I186" s="8">
        <v>3041</v>
      </c>
      <c r="J186" s="6"/>
      <c r="K186" s="8"/>
      <c r="L186" s="60"/>
    </row>
    <row r="187" spans="1:12" ht="20.25" customHeight="1">
      <c r="A187" s="27" t="s">
        <v>322</v>
      </c>
      <c r="B187" s="7" t="s">
        <v>522</v>
      </c>
      <c r="C187" s="8">
        <v>4</v>
      </c>
      <c r="D187" s="8">
        <v>20</v>
      </c>
      <c r="E187" s="8">
        <v>22.5</v>
      </c>
      <c r="F187" s="8">
        <v>22.5</v>
      </c>
      <c r="G187" s="8">
        <f>Tablo17[[#This Row],[YOLLUK HARİÇ BASKI GRAMI]]/Tablo17[[#This Row],[GÖZ ADEDİ]]</f>
        <v>5.625</v>
      </c>
      <c r="H187" s="9" t="s">
        <v>359</v>
      </c>
      <c r="I187" s="8">
        <v>1290</v>
      </c>
      <c r="J187" s="6"/>
      <c r="K187" s="8"/>
      <c r="L187" s="60"/>
    </row>
    <row r="188" spans="1:12" ht="20.25" customHeight="1">
      <c r="A188" s="27" t="s">
        <v>205</v>
      </c>
      <c r="B188" s="7" t="s">
        <v>522</v>
      </c>
      <c r="C188" s="8">
        <v>4</v>
      </c>
      <c r="D188" s="8">
        <v>20</v>
      </c>
      <c r="E188" s="8">
        <v>22.5</v>
      </c>
      <c r="F188" s="8">
        <v>22.5</v>
      </c>
      <c r="G188" s="8">
        <f>Tablo17[[#This Row],[YOLLUK HARİÇ BASKI GRAMI]]/Tablo17[[#This Row],[GÖZ ADEDİ]]</f>
        <v>5.625</v>
      </c>
      <c r="H188" s="9" t="s">
        <v>359</v>
      </c>
      <c r="I188" s="8">
        <v>3409</v>
      </c>
      <c r="J188" s="6"/>
      <c r="K188" s="8"/>
      <c r="L188" s="60"/>
    </row>
    <row r="189" spans="1:12" ht="20.25" customHeight="1">
      <c r="A189" s="27" t="s">
        <v>323</v>
      </c>
      <c r="B189" s="7" t="s">
        <v>522</v>
      </c>
      <c r="C189" s="8">
        <v>4</v>
      </c>
      <c r="D189" s="8">
        <v>20</v>
      </c>
      <c r="E189" s="8">
        <v>22.5</v>
      </c>
      <c r="F189" s="8">
        <v>22.5</v>
      </c>
      <c r="G189" s="8">
        <f>Tablo17[[#This Row],[YOLLUK HARİÇ BASKI GRAMI]]/Tablo17[[#This Row],[GÖZ ADEDİ]]</f>
        <v>5.625</v>
      </c>
      <c r="H189" s="9" t="s">
        <v>359</v>
      </c>
      <c r="I189" s="8">
        <v>4090</v>
      </c>
      <c r="J189" s="6"/>
      <c r="K189" s="8"/>
      <c r="L189" s="60"/>
    </row>
    <row r="190" spans="1:12" ht="6" customHeight="1">
      <c r="A190" s="31"/>
      <c r="B190" s="11"/>
      <c r="C190" s="12"/>
      <c r="D190" s="12"/>
      <c r="E190" s="12"/>
      <c r="F190" s="12"/>
      <c r="G190" s="12"/>
      <c r="H190" s="13"/>
      <c r="I190" s="12"/>
      <c r="J190" s="10"/>
      <c r="K190" s="12"/>
      <c r="L190" s="60"/>
    </row>
    <row r="191" spans="1:12" ht="20.25" customHeight="1">
      <c r="A191" s="27" t="s">
        <v>202</v>
      </c>
      <c r="B191" s="7" t="s">
        <v>523</v>
      </c>
      <c r="C191" s="8">
        <v>4</v>
      </c>
      <c r="D191" s="8">
        <v>25</v>
      </c>
      <c r="E191" s="8">
        <v>27.7</v>
      </c>
      <c r="F191" s="8">
        <v>27.7</v>
      </c>
      <c r="G191" s="8">
        <f>Tablo17[[#This Row],[YOLLUK HARİÇ BASKI GRAMI]]/Tablo17[[#This Row],[GÖZ ADEDİ]]</f>
        <v>6.9249999999999998</v>
      </c>
      <c r="H191" s="9" t="s">
        <v>359</v>
      </c>
      <c r="I191" s="8" t="s">
        <v>410</v>
      </c>
      <c r="J191" s="6"/>
      <c r="K191" s="8"/>
      <c r="L191" s="60"/>
    </row>
    <row r="192" spans="1:12" ht="20.25" customHeight="1">
      <c r="A192" s="27" t="s">
        <v>211</v>
      </c>
      <c r="B192" s="7" t="s">
        <v>523</v>
      </c>
      <c r="C192" s="8">
        <v>4</v>
      </c>
      <c r="D192" s="8">
        <v>25</v>
      </c>
      <c r="E192" s="8">
        <v>27.7</v>
      </c>
      <c r="F192" s="8">
        <v>27.7</v>
      </c>
      <c r="G192" s="8">
        <f>Tablo17[[#This Row],[YOLLUK HARİÇ BASKI GRAMI]]/Tablo17[[#This Row],[GÖZ ADEDİ]]</f>
        <v>6.9249999999999998</v>
      </c>
      <c r="H192" s="9" t="s">
        <v>359</v>
      </c>
      <c r="I192" s="8">
        <v>5287</v>
      </c>
      <c r="J192" s="6"/>
      <c r="K192" s="8"/>
      <c r="L192" s="60"/>
    </row>
    <row r="193" spans="1:12" ht="20.25" customHeight="1">
      <c r="A193" s="27" t="s">
        <v>212</v>
      </c>
      <c r="B193" s="7" t="s">
        <v>523</v>
      </c>
      <c r="C193" s="8">
        <v>4</v>
      </c>
      <c r="D193" s="8">
        <v>25</v>
      </c>
      <c r="E193" s="8">
        <v>27.7</v>
      </c>
      <c r="F193" s="8">
        <v>27.7</v>
      </c>
      <c r="G193" s="8">
        <f>Tablo17[[#This Row],[YOLLUK HARİÇ BASKI GRAMI]]/Tablo17[[#This Row],[GÖZ ADEDİ]]</f>
        <v>6.9249999999999998</v>
      </c>
      <c r="H193" s="9" t="s">
        <v>359</v>
      </c>
      <c r="I193" s="8">
        <v>3041</v>
      </c>
      <c r="J193" s="6"/>
      <c r="K193" s="8"/>
      <c r="L193" s="60"/>
    </row>
    <row r="194" spans="1:12" ht="20.25" customHeight="1">
      <c r="A194" s="27" t="s">
        <v>203</v>
      </c>
      <c r="B194" s="7" t="s">
        <v>523</v>
      </c>
      <c r="C194" s="8">
        <v>4</v>
      </c>
      <c r="D194" s="8">
        <v>25</v>
      </c>
      <c r="E194" s="8">
        <v>27.7</v>
      </c>
      <c r="F194" s="8">
        <v>27.7</v>
      </c>
      <c r="G194" s="8">
        <f>Tablo17[[#This Row],[YOLLUK HARİÇ BASKI GRAMI]]/Tablo17[[#This Row],[GÖZ ADEDİ]]</f>
        <v>6.9249999999999998</v>
      </c>
      <c r="H194" s="9" t="s">
        <v>359</v>
      </c>
      <c r="I194" s="8">
        <v>1290</v>
      </c>
      <c r="J194" s="6"/>
      <c r="K194" s="8"/>
      <c r="L194" s="60"/>
    </row>
    <row r="195" spans="1:12" ht="20.25" customHeight="1">
      <c r="A195" s="27" t="s">
        <v>210</v>
      </c>
      <c r="B195" s="7" t="s">
        <v>523</v>
      </c>
      <c r="C195" s="8">
        <v>4</v>
      </c>
      <c r="D195" s="8">
        <v>25</v>
      </c>
      <c r="E195" s="8">
        <v>27.7</v>
      </c>
      <c r="F195" s="8">
        <v>27.7</v>
      </c>
      <c r="G195" s="8">
        <f>Tablo17[[#This Row],[YOLLUK HARİÇ BASKI GRAMI]]/Tablo17[[#This Row],[GÖZ ADEDİ]]</f>
        <v>6.9249999999999998</v>
      </c>
      <c r="H195" s="9" t="s">
        <v>359</v>
      </c>
      <c r="I195" s="8">
        <v>3409</v>
      </c>
      <c r="J195" s="6"/>
      <c r="K195" s="8"/>
      <c r="L195" s="60"/>
    </row>
    <row r="196" spans="1:12" ht="20.25" customHeight="1">
      <c r="A196" s="27" t="s">
        <v>204</v>
      </c>
      <c r="B196" s="7" t="s">
        <v>523</v>
      </c>
      <c r="C196" s="8">
        <v>4</v>
      </c>
      <c r="D196" s="8">
        <v>25</v>
      </c>
      <c r="E196" s="8">
        <v>27.7</v>
      </c>
      <c r="F196" s="8">
        <v>27.7</v>
      </c>
      <c r="G196" s="8">
        <f>Tablo17[[#This Row],[YOLLUK HARİÇ BASKI GRAMI]]/Tablo17[[#This Row],[GÖZ ADEDİ]]</f>
        <v>6.9249999999999998</v>
      </c>
      <c r="H196" s="9" t="s">
        <v>359</v>
      </c>
      <c r="I196" s="8">
        <v>4090</v>
      </c>
      <c r="J196" s="6"/>
      <c r="K196" s="8"/>
      <c r="L196" s="60"/>
    </row>
    <row r="197" spans="1:12" ht="6" customHeight="1">
      <c r="A197" s="31"/>
      <c r="B197" s="11"/>
      <c r="C197" s="12"/>
      <c r="D197" s="12"/>
      <c r="E197" s="12"/>
      <c r="F197" s="12"/>
      <c r="G197" s="12"/>
      <c r="H197" s="13"/>
      <c r="I197" s="12"/>
      <c r="J197" s="10"/>
      <c r="K197" s="12"/>
      <c r="L197" s="60"/>
    </row>
    <row r="198" spans="1:12" ht="20.25" customHeight="1">
      <c r="A198" s="27" t="s">
        <v>324</v>
      </c>
      <c r="B198" s="7" t="s">
        <v>524</v>
      </c>
      <c r="C198" s="8">
        <v>2</v>
      </c>
      <c r="D198" s="8"/>
      <c r="E198" s="8"/>
      <c r="F198" s="8"/>
      <c r="G198" s="8">
        <f>Tablo17[[#This Row],[YOLLUK HARİÇ BASKI GRAMI]]/Tablo17[[#This Row],[GÖZ ADEDİ]]</f>
        <v>0</v>
      </c>
      <c r="H198" s="9" t="s">
        <v>359</v>
      </c>
      <c r="I198" s="8" t="s">
        <v>410</v>
      </c>
      <c r="J198" s="6"/>
      <c r="K198" s="8"/>
      <c r="L198" s="70"/>
    </row>
    <row r="199" spans="1:12" ht="20.25" customHeight="1">
      <c r="A199" s="27" t="s">
        <v>325</v>
      </c>
      <c r="B199" s="7" t="s">
        <v>524</v>
      </c>
      <c r="C199" s="8">
        <v>2</v>
      </c>
      <c r="D199" s="8"/>
      <c r="E199" s="8"/>
      <c r="F199" s="8"/>
      <c r="G199" s="8">
        <f>Tablo17[[#This Row],[YOLLUK HARİÇ BASKI GRAMI]]/Tablo17[[#This Row],[GÖZ ADEDİ]]</f>
        <v>0</v>
      </c>
      <c r="H199" s="9" t="s">
        <v>359</v>
      </c>
      <c r="I199" s="8">
        <v>5287</v>
      </c>
      <c r="J199" s="6"/>
      <c r="K199" s="8"/>
      <c r="L199" s="60"/>
    </row>
    <row r="200" spans="1:12" ht="20.25" customHeight="1">
      <c r="A200" s="27" t="s">
        <v>326</v>
      </c>
      <c r="B200" s="7" t="s">
        <v>524</v>
      </c>
      <c r="C200" s="8">
        <v>2</v>
      </c>
      <c r="D200" s="8"/>
      <c r="E200" s="8"/>
      <c r="F200" s="8"/>
      <c r="G200" s="8">
        <f>Tablo17[[#This Row],[YOLLUK HARİÇ BASKI GRAMI]]/Tablo17[[#This Row],[GÖZ ADEDİ]]</f>
        <v>0</v>
      </c>
      <c r="H200" s="9" t="s">
        <v>359</v>
      </c>
      <c r="I200" s="8">
        <v>3041</v>
      </c>
      <c r="J200" s="6"/>
      <c r="K200" s="8"/>
      <c r="L200" s="60"/>
    </row>
    <row r="201" spans="1:12" ht="6" customHeight="1">
      <c r="A201" s="31"/>
      <c r="B201" s="11"/>
      <c r="C201" s="12"/>
      <c r="D201" s="12"/>
      <c r="E201" s="12"/>
      <c r="F201" s="12"/>
      <c r="G201" s="12"/>
      <c r="H201" s="13"/>
      <c r="I201" s="12"/>
      <c r="J201" s="10"/>
      <c r="K201" s="12"/>
      <c r="L201" s="60"/>
    </row>
    <row r="202" spans="1:12" ht="20.25" customHeight="1">
      <c r="A202" s="27" t="s">
        <v>97</v>
      </c>
      <c r="B202" s="7" t="s">
        <v>525</v>
      </c>
      <c r="C202" s="8">
        <v>2</v>
      </c>
      <c r="D202" s="8">
        <v>15</v>
      </c>
      <c r="E202" s="8">
        <v>19.5</v>
      </c>
      <c r="F202" s="8">
        <v>18.5</v>
      </c>
      <c r="G202" s="8">
        <f>Tablo17[[#This Row],[YOLLUK HARİÇ BASKI GRAMI]]/Tablo17[[#This Row],[GÖZ ADEDİ]]</f>
        <v>9.25</v>
      </c>
      <c r="H202" s="9" t="s">
        <v>359</v>
      </c>
      <c r="I202" s="8" t="s">
        <v>472</v>
      </c>
      <c r="J202" s="6"/>
      <c r="K202" s="8"/>
      <c r="L202" s="60"/>
    </row>
    <row r="203" spans="1:12" ht="6" customHeight="1">
      <c r="A203" s="31"/>
      <c r="B203" s="11"/>
      <c r="C203" s="12"/>
      <c r="D203" s="12"/>
      <c r="E203" s="12"/>
      <c r="F203" s="12"/>
      <c r="G203" s="12"/>
      <c r="H203" s="13"/>
      <c r="I203" s="12"/>
      <c r="J203" s="10"/>
      <c r="K203" s="12"/>
      <c r="L203" s="60"/>
    </row>
    <row r="204" spans="1:12" ht="20.25" customHeight="1">
      <c r="A204" s="27" t="s">
        <v>327</v>
      </c>
      <c r="B204" s="7" t="s">
        <v>526</v>
      </c>
      <c r="C204" s="8">
        <v>4</v>
      </c>
      <c r="D204" s="8">
        <v>32</v>
      </c>
      <c r="E204" s="8">
        <v>37.799999999999997</v>
      </c>
      <c r="F204" s="8">
        <v>37.799999999999997</v>
      </c>
      <c r="G204" s="8">
        <f>Tablo17[[#This Row],[YOLLUK HARİÇ BASKI GRAMI]]/Tablo17[[#This Row],[GÖZ ADEDİ]]</f>
        <v>9.4499999999999993</v>
      </c>
      <c r="H204" s="9" t="s">
        <v>359</v>
      </c>
      <c r="I204" s="8" t="s">
        <v>410</v>
      </c>
      <c r="J204" s="6"/>
      <c r="K204" s="8"/>
      <c r="L204" s="60"/>
    </row>
    <row r="205" spans="1:12" ht="20.25" customHeight="1">
      <c r="A205" s="27" t="s">
        <v>238</v>
      </c>
      <c r="B205" s="7" t="s">
        <v>526</v>
      </c>
      <c r="C205" s="8">
        <v>4</v>
      </c>
      <c r="D205" s="8">
        <v>32</v>
      </c>
      <c r="E205" s="8">
        <v>37.799999999999997</v>
      </c>
      <c r="F205" s="8">
        <v>37.799999999999997</v>
      </c>
      <c r="G205" s="8">
        <f>Tablo17[[#This Row],[YOLLUK HARİÇ BASKI GRAMI]]/Tablo17[[#This Row],[GÖZ ADEDİ]]</f>
        <v>9.4499999999999993</v>
      </c>
      <c r="H205" s="9" t="s">
        <v>359</v>
      </c>
      <c r="I205" s="8">
        <v>5287</v>
      </c>
      <c r="J205" s="6"/>
      <c r="K205" s="8"/>
      <c r="L205" s="60"/>
    </row>
    <row r="206" spans="1:12" ht="20.25" customHeight="1">
      <c r="A206" s="27" t="s">
        <v>239</v>
      </c>
      <c r="B206" s="7" t="s">
        <v>526</v>
      </c>
      <c r="C206" s="8">
        <v>4</v>
      </c>
      <c r="D206" s="8">
        <v>32</v>
      </c>
      <c r="E206" s="8">
        <v>37.799999999999997</v>
      </c>
      <c r="F206" s="8">
        <v>37.799999999999997</v>
      </c>
      <c r="G206" s="8">
        <f>Tablo17[[#This Row],[YOLLUK HARİÇ BASKI GRAMI]]/Tablo17[[#This Row],[GÖZ ADEDİ]]</f>
        <v>9.4499999999999993</v>
      </c>
      <c r="H206" s="9" t="s">
        <v>359</v>
      </c>
      <c r="I206" s="8">
        <v>3041</v>
      </c>
      <c r="J206" s="6"/>
      <c r="K206" s="8"/>
      <c r="L206" s="60"/>
    </row>
    <row r="207" spans="1:12" ht="20.25" customHeight="1">
      <c r="A207" s="27" t="s">
        <v>245</v>
      </c>
      <c r="B207" s="7" t="s">
        <v>526</v>
      </c>
      <c r="C207" s="8">
        <v>4</v>
      </c>
      <c r="D207" s="8">
        <v>32</v>
      </c>
      <c r="E207" s="8">
        <v>37.799999999999997</v>
      </c>
      <c r="F207" s="8">
        <v>37.799999999999997</v>
      </c>
      <c r="G207" s="8">
        <f>Tablo17[[#This Row],[YOLLUK HARİÇ BASKI GRAMI]]/Tablo17[[#This Row],[GÖZ ADEDİ]]</f>
        <v>9.4499999999999993</v>
      </c>
      <c r="H207" s="9" t="s">
        <v>359</v>
      </c>
      <c r="I207" s="8">
        <v>1290</v>
      </c>
      <c r="J207" s="6"/>
      <c r="K207" s="8"/>
      <c r="L207" s="60"/>
    </row>
    <row r="208" spans="1:12" ht="20.25" customHeight="1">
      <c r="A208" s="27" t="s">
        <v>237</v>
      </c>
      <c r="B208" s="7" t="s">
        <v>526</v>
      </c>
      <c r="C208" s="8">
        <v>4</v>
      </c>
      <c r="D208" s="8">
        <v>32</v>
      </c>
      <c r="E208" s="8">
        <v>37.799999999999997</v>
      </c>
      <c r="F208" s="8">
        <v>37.799999999999997</v>
      </c>
      <c r="G208" s="8">
        <f>Tablo17[[#This Row],[YOLLUK HARİÇ BASKI GRAMI]]/Tablo17[[#This Row],[GÖZ ADEDİ]]</f>
        <v>9.4499999999999993</v>
      </c>
      <c r="H208" s="9" t="s">
        <v>359</v>
      </c>
      <c r="I208" s="8">
        <v>3409</v>
      </c>
      <c r="J208" s="6"/>
      <c r="K208" s="8"/>
      <c r="L208" s="60"/>
    </row>
    <row r="209" spans="1:12" ht="20.25" customHeight="1">
      <c r="A209" s="27" t="s">
        <v>244</v>
      </c>
      <c r="B209" s="7" t="s">
        <v>526</v>
      </c>
      <c r="C209" s="8">
        <v>4</v>
      </c>
      <c r="D209" s="8">
        <v>32</v>
      </c>
      <c r="E209" s="8">
        <v>37.799999999999997</v>
      </c>
      <c r="F209" s="8">
        <v>37.799999999999997</v>
      </c>
      <c r="G209" s="8">
        <f>Tablo17[[#This Row],[YOLLUK HARİÇ BASKI GRAMI]]/Tablo17[[#This Row],[GÖZ ADEDİ]]</f>
        <v>9.4499999999999993</v>
      </c>
      <c r="H209" s="9" t="s">
        <v>359</v>
      </c>
      <c r="I209" s="8">
        <v>4090</v>
      </c>
      <c r="J209" s="6"/>
      <c r="K209" s="8"/>
      <c r="L209" s="60"/>
    </row>
    <row r="210" spans="1:12" ht="6" customHeight="1">
      <c r="A210" s="31"/>
      <c r="B210" s="11"/>
      <c r="C210" s="12"/>
      <c r="D210" s="12"/>
      <c r="E210" s="12"/>
      <c r="F210" s="12"/>
      <c r="G210" s="12"/>
      <c r="H210" s="13"/>
      <c r="I210" s="12"/>
      <c r="J210" s="10"/>
      <c r="K210" s="12"/>
      <c r="L210" s="60"/>
    </row>
    <row r="211" spans="1:12" ht="20.25" customHeight="1">
      <c r="A211" s="27" t="s">
        <v>328</v>
      </c>
      <c r="B211" s="7" t="s">
        <v>527</v>
      </c>
      <c r="C211" s="8">
        <v>2</v>
      </c>
      <c r="D211" s="8"/>
      <c r="E211" s="8"/>
      <c r="F211" s="8"/>
      <c r="G211" s="8">
        <f>Tablo17[[#This Row],[YOLLUK HARİÇ BASKI GRAMI]]/Tablo17[[#This Row],[GÖZ ADEDİ]]</f>
        <v>0</v>
      </c>
      <c r="H211" s="9" t="s">
        <v>365</v>
      </c>
      <c r="I211" s="18" t="s">
        <v>472</v>
      </c>
      <c r="J211" s="20"/>
      <c r="K211" s="18"/>
      <c r="L211" s="60"/>
    </row>
    <row r="212" spans="1:12" ht="6" customHeight="1">
      <c r="A212" s="31"/>
      <c r="B212" s="11"/>
      <c r="C212" s="12"/>
      <c r="D212" s="12"/>
      <c r="E212" s="12"/>
      <c r="F212" s="12"/>
      <c r="G212" s="12"/>
      <c r="H212" s="13"/>
      <c r="I212" s="12"/>
      <c r="J212" s="10"/>
      <c r="K212" s="12"/>
      <c r="L212" s="60"/>
    </row>
    <row r="213" spans="1:12" ht="20.25" customHeight="1">
      <c r="A213" s="27" t="s">
        <v>329</v>
      </c>
      <c r="B213" s="7" t="s">
        <v>528</v>
      </c>
      <c r="C213" s="8">
        <v>2</v>
      </c>
      <c r="D213" s="8"/>
      <c r="E213" s="8"/>
      <c r="F213" s="8"/>
      <c r="G213" s="8">
        <f>Tablo17[[#This Row],[YOLLUK HARİÇ BASKI GRAMI]]/Tablo17[[#This Row],[GÖZ ADEDİ]]</f>
        <v>0</v>
      </c>
      <c r="H213" s="9" t="s">
        <v>359</v>
      </c>
      <c r="I213" s="8" t="s">
        <v>472</v>
      </c>
      <c r="J213" s="6"/>
      <c r="K213" s="8"/>
      <c r="L213" s="60"/>
    </row>
    <row r="214" spans="1:12" ht="6" customHeight="1">
      <c r="A214" s="31"/>
      <c r="B214" s="11"/>
      <c r="C214" s="12"/>
      <c r="D214" s="12"/>
      <c r="E214" s="12"/>
      <c r="F214" s="12"/>
      <c r="G214" s="12"/>
      <c r="H214" s="13"/>
      <c r="I214" s="12"/>
      <c r="J214" s="10"/>
      <c r="K214" s="12"/>
      <c r="L214" s="60"/>
    </row>
    <row r="215" spans="1:12" ht="20.25" customHeight="1">
      <c r="A215" s="27" t="s">
        <v>225</v>
      </c>
      <c r="B215" s="7" t="s">
        <v>529</v>
      </c>
      <c r="C215" s="8">
        <v>2</v>
      </c>
      <c r="D215" s="8">
        <v>15</v>
      </c>
      <c r="E215" s="8">
        <v>26.4</v>
      </c>
      <c r="F215" s="8">
        <v>25.9</v>
      </c>
      <c r="G215" s="8">
        <f>Tablo17[[#This Row],[YOLLUK HARİÇ BASKI GRAMI]]/Tablo17[[#This Row],[GÖZ ADEDİ]]</f>
        <v>12.95</v>
      </c>
      <c r="H215" s="9" t="s">
        <v>359</v>
      </c>
      <c r="I215" s="8" t="s">
        <v>472</v>
      </c>
      <c r="J215" s="20"/>
      <c r="K215" s="8"/>
      <c r="L215" s="60"/>
    </row>
    <row r="216" spans="1:12" ht="6" customHeight="1">
      <c r="A216" s="31"/>
      <c r="B216" s="11"/>
      <c r="C216" s="12"/>
      <c r="D216" s="12"/>
      <c r="E216" s="12"/>
      <c r="F216" s="12"/>
      <c r="G216" s="12"/>
      <c r="H216" s="13"/>
      <c r="I216" s="12"/>
      <c r="J216" s="10"/>
      <c r="K216" s="12"/>
      <c r="L216" s="60"/>
    </row>
    <row r="217" spans="1:12" ht="19.5" customHeight="1">
      <c r="A217" s="27" t="s">
        <v>60</v>
      </c>
      <c r="B217" s="7" t="s">
        <v>530</v>
      </c>
      <c r="C217" s="8">
        <v>2</v>
      </c>
      <c r="D217" s="8">
        <v>37</v>
      </c>
      <c r="E217" s="8">
        <v>22.3</v>
      </c>
      <c r="F217" s="8">
        <v>21.2</v>
      </c>
      <c r="G217" s="18">
        <f>Tablo17[[#This Row],[YOLLUK HARİÇ BASKI GRAMI]]/Tablo17[[#This Row],[GÖZ ADEDİ]]</f>
        <v>10.6</v>
      </c>
      <c r="H217" s="9" t="s">
        <v>359</v>
      </c>
      <c r="I217" s="8" t="s">
        <v>472</v>
      </c>
      <c r="J217" s="6"/>
      <c r="K217" s="8"/>
      <c r="L217" s="60"/>
    </row>
    <row r="218" spans="1:12" ht="19.5" customHeight="1">
      <c r="A218" s="27" t="s">
        <v>61</v>
      </c>
      <c r="B218" s="7" t="s">
        <v>531</v>
      </c>
      <c r="C218" s="8">
        <v>2</v>
      </c>
      <c r="D218" s="8">
        <v>37</v>
      </c>
      <c r="E218" s="8">
        <v>22.3</v>
      </c>
      <c r="F218" s="8">
        <v>21.2</v>
      </c>
      <c r="G218" s="8">
        <f>Tablo17[[#This Row],[YOLLUK HARİÇ BASKI GRAMI]]/Tablo17[[#This Row],[GÖZ ADEDİ]]</f>
        <v>10.6</v>
      </c>
      <c r="H218" s="9" t="s">
        <v>359</v>
      </c>
      <c r="I218" s="8" t="s">
        <v>472</v>
      </c>
      <c r="J218" s="6"/>
      <c r="K218" s="8"/>
      <c r="L218" s="60"/>
    </row>
    <row r="219" spans="1:12" ht="6" customHeight="1">
      <c r="A219" s="31"/>
      <c r="B219" s="11"/>
      <c r="C219" s="12"/>
      <c r="D219" s="12"/>
      <c r="E219" s="12"/>
      <c r="F219" s="12"/>
      <c r="G219" s="12"/>
      <c r="H219" s="13"/>
      <c r="I219" s="12"/>
      <c r="J219" s="12"/>
      <c r="K219" s="12"/>
      <c r="L219" s="60"/>
    </row>
    <row r="220" spans="1:12" ht="20.25" customHeight="1">
      <c r="A220" s="27" t="s">
        <v>59</v>
      </c>
      <c r="B220" s="7" t="s">
        <v>530</v>
      </c>
      <c r="C220" s="8">
        <v>2</v>
      </c>
      <c r="D220" s="8">
        <v>37</v>
      </c>
      <c r="E220" s="8">
        <v>22.3</v>
      </c>
      <c r="F220" s="8">
        <v>21.2</v>
      </c>
      <c r="G220" s="18">
        <f>Tablo17[[#This Row],[YOLLUK HARİÇ BASKI GRAMI]]/Tablo17[[#This Row],[GÖZ ADEDİ]]</f>
        <v>10.6</v>
      </c>
      <c r="H220" s="9" t="s">
        <v>359</v>
      </c>
      <c r="I220" s="8" t="s">
        <v>416</v>
      </c>
      <c r="J220" s="6"/>
      <c r="K220" s="8"/>
      <c r="L220" s="60"/>
    </row>
    <row r="221" spans="1:12" ht="20.25" customHeight="1">
      <c r="A221" s="27" t="s">
        <v>57</v>
      </c>
      <c r="B221" s="7" t="s">
        <v>530</v>
      </c>
      <c r="C221" s="8">
        <v>2</v>
      </c>
      <c r="D221" s="8">
        <v>37</v>
      </c>
      <c r="E221" s="8">
        <v>22.3</v>
      </c>
      <c r="F221" s="8">
        <v>21.2</v>
      </c>
      <c r="G221" s="8">
        <f>Tablo17[[#This Row],[YOLLUK HARİÇ BASKI GRAMI]]/Tablo17[[#This Row],[GÖZ ADEDİ]]</f>
        <v>10.6</v>
      </c>
      <c r="H221" s="9" t="s">
        <v>359</v>
      </c>
      <c r="I221" s="8" t="s">
        <v>415</v>
      </c>
      <c r="J221" s="6"/>
      <c r="K221" s="8"/>
      <c r="L221" s="60"/>
    </row>
    <row r="222" spans="1:12" ht="6" customHeight="1">
      <c r="A222" s="31"/>
      <c r="B222" s="11"/>
      <c r="C222" s="12"/>
      <c r="D222" s="12"/>
      <c r="E222" s="12"/>
      <c r="F222" s="12"/>
      <c r="G222" s="12"/>
      <c r="H222" s="13"/>
      <c r="I222" s="12"/>
      <c r="J222" s="10"/>
      <c r="K222" s="12"/>
      <c r="L222" s="60"/>
    </row>
    <row r="223" spans="1:12" ht="20.25" customHeight="1">
      <c r="A223" s="27" t="s">
        <v>62</v>
      </c>
      <c r="B223" s="7" t="s">
        <v>531</v>
      </c>
      <c r="C223" s="8">
        <v>2</v>
      </c>
      <c r="D223" s="8">
        <v>37</v>
      </c>
      <c r="E223" s="8">
        <v>22.8</v>
      </c>
      <c r="F223" s="8">
        <v>21.7</v>
      </c>
      <c r="G223" s="8">
        <f>Tablo17[[#This Row],[YOLLUK HARİÇ BASKI GRAMI]]/Tablo17[[#This Row],[GÖZ ADEDİ]]</f>
        <v>10.85</v>
      </c>
      <c r="H223" s="9" t="s">
        <v>359</v>
      </c>
      <c r="I223" s="8" t="s">
        <v>416</v>
      </c>
      <c r="J223" s="6"/>
      <c r="K223" s="8"/>
      <c r="L223" s="60"/>
    </row>
    <row r="224" spans="1:12" ht="20.25" customHeight="1">
      <c r="A224" s="27" t="s">
        <v>58</v>
      </c>
      <c r="B224" s="7" t="s">
        <v>531</v>
      </c>
      <c r="C224" s="8">
        <v>2</v>
      </c>
      <c r="D224" s="8">
        <v>37</v>
      </c>
      <c r="E224" s="8">
        <v>22.8</v>
      </c>
      <c r="F224" s="8">
        <v>21.7</v>
      </c>
      <c r="G224" s="8">
        <f>Tablo17[[#This Row],[YOLLUK HARİÇ BASKI GRAMI]]/Tablo17[[#This Row],[GÖZ ADEDİ]]</f>
        <v>10.85</v>
      </c>
      <c r="H224" s="9" t="s">
        <v>359</v>
      </c>
      <c r="I224" s="8" t="s">
        <v>415</v>
      </c>
      <c r="J224" s="6"/>
      <c r="K224" s="8"/>
      <c r="L224" s="60"/>
    </row>
    <row r="225" spans="1:12" ht="6" customHeight="1">
      <c r="A225" s="31"/>
      <c r="B225" s="11"/>
      <c r="C225" s="12"/>
      <c r="D225" s="12"/>
      <c r="E225" s="12"/>
      <c r="F225" s="12"/>
      <c r="G225" s="12"/>
      <c r="H225" s="13"/>
      <c r="I225" s="12"/>
      <c r="J225" s="10"/>
      <c r="K225" s="12"/>
      <c r="L225" s="60"/>
    </row>
    <row r="226" spans="1:12" ht="20.25" customHeight="1">
      <c r="A226" s="27" t="s">
        <v>330</v>
      </c>
      <c r="B226" s="7" t="s">
        <v>532</v>
      </c>
      <c r="C226" s="8">
        <v>1</v>
      </c>
      <c r="D226" s="8"/>
      <c r="E226" s="8"/>
      <c r="F226" s="8"/>
      <c r="G226" s="8">
        <f>Tablo17[[#This Row],[YOLLUK HARİÇ BASKI GRAMI]]/Tablo17[[#This Row],[GÖZ ADEDİ]]</f>
        <v>0</v>
      </c>
      <c r="H226" s="9" t="s">
        <v>359</v>
      </c>
      <c r="I226" s="8">
        <v>5287</v>
      </c>
      <c r="J226" s="6"/>
      <c r="K226" s="8"/>
      <c r="L226" s="60"/>
    </row>
    <row r="227" spans="1:12" ht="20.25" customHeight="1">
      <c r="A227" s="27" t="s">
        <v>331</v>
      </c>
      <c r="B227" s="7" t="s">
        <v>532</v>
      </c>
      <c r="C227" s="8">
        <v>1</v>
      </c>
      <c r="D227" s="8"/>
      <c r="E227" s="8"/>
      <c r="F227" s="8"/>
      <c r="G227" s="8">
        <f>Tablo17[[#This Row],[YOLLUK HARİÇ BASKI GRAMI]]/Tablo17[[#This Row],[GÖZ ADEDİ]]</f>
        <v>0</v>
      </c>
      <c r="H227" s="9" t="s">
        <v>359</v>
      </c>
      <c r="I227" s="8">
        <v>3041</v>
      </c>
      <c r="J227" s="6"/>
      <c r="K227" s="8"/>
      <c r="L227" s="60"/>
    </row>
    <row r="228" spans="1:12" ht="20.25" customHeight="1">
      <c r="A228" s="27" t="s">
        <v>332</v>
      </c>
      <c r="B228" s="7" t="s">
        <v>532</v>
      </c>
      <c r="C228" s="8">
        <v>1</v>
      </c>
      <c r="D228" s="8"/>
      <c r="E228" s="8"/>
      <c r="F228" s="8"/>
      <c r="G228" s="8">
        <f>Tablo17[[#This Row],[YOLLUK HARİÇ BASKI GRAMI]]/Tablo17[[#This Row],[GÖZ ADEDİ]]</f>
        <v>0</v>
      </c>
      <c r="H228" s="9" t="s">
        <v>359</v>
      </c>
      <c r="I228" s="8">
        <v>3409</v>
      </c>
      <c r="J228" s="6"/>
      <c r="K228" s="8"/>
      <c r="L228" s="60"/>
    </row>
    <row r="229" spans="1:12" ht="6" customHeight="1">
      <c r="A229" s="31"/>
      <c r="B229" s="11"/>
      <c r="C229" s="12"/>
      <c r="D229" s="12"/>
      <c r="E229" s="12"/>
      <c r="F229" s="12"/>
      <c r="G229" s="12"/>
      <c r="H229" s="13"/>
      <c r="I229" s="12"/>
      <c r="J229" s="10"/>
      <c r="K229" s="12"/>
      <c r="L229" s="60"/>
    </row>
    <row r="230" spans="1:12" ht="20.25" customHeight="1">
      <c r="A230" s="27" t="s">
        <v>139</v>
      </c>
      <c r="B230" s="7" t="s">
        <v>533</v>
      </c>
      <c r="C230" s="8">
        <v>2</v>
      </c>
      <c r="D230" s="8">
        <v>22</v>
      </c>
      <c r="E230" s="8">
        <v>43.4</v>
      </c>
      <c r="F230" s="8">
        <v>41.8</v>
      </c>
      <c r="G230" s="8">
        <f>Tablo17[[#This Row],[YOLLUK HARİÇ BASKI GRAMI]]/Tablo17[[#This Row],[GÖZ ADEDİ]]</f>
        <v>20.9</v>
      </c>
      <c r="H230" s="9" t="s">
        <v>183</v>
      </c>
      <c r="I230" s="18" t="s">
        <v>412</v>
      </c>
      <c r="J230" s="20"/>
      <c r="K230" s="18"/>
      <c r="L230" s="60"/>
    </row>
    <row r="231" spans="1:12" ht="21" customHeight="1">
      <c r="A231" s="27" t="s">
        <v>178</v>
      </c>
      <c r="B231" s="7" t="s">
        <v>533</v>
      </c>
      <c r="C231" s="8">
        <v>2</v>
      </c>
      <c r="D231" s="8">
        <v>22</v>
      </c>
      <c r="E231" s="8">
        <v>43.4</v>
      </c>
      <c r="F231" s="8">
        <v>41.8</v>
      </c>
      <c r="G231" s="8">
        <f>Tablo17[[#This Row],[YOLLUK HARİÇ BASKI GRAMI]]/Tablo17[[#This Row],[GÖZ ADEDİ]]</f>
        <v>20.9</v>
      </c>
      <c r="H231" s="9" t="s">
        <v>183</v>
      </c>
      <c r="I231" s="8" t="s">
        <v>413</v>
      </c>
      <c r="J231" s="6"/>
      <c r="K231" s="8"/>
      <c r="L231" s="60"/>
    </row>
    <row r="232" spans="1:12" ht="21" customHeight="1">
      <c r="A232" s="27" t="s">
        <v>138</v>
      </c>
      <c r="B232" s="7" t="s">
        <v>533</v>
      </c>
      <c r="C232" s="8">
        <v>2</v>
      </c>
      <c r="D232" s="8">
        <v>22</v>
      </c>
      <c r="E232" s="8">
        <v>43.4</v>
      </c>
      <c r="F232" s="8">
        <v>41.8</v>
      </c>
      <c r="G232" s="8">
        <f>Tablo17[[#This Row],[YOLLUK HARİÇ BASKI GRAMI]]/Tablo17[[#This Row],[GÖZ ADEDİ]]</f>
        <v>20.9</v>
      </c>
      <c r="H232" s="9" t="s">
        <v>183</v>
      </c>
      <c r="I232" s="8">
        <v>3408</v>
      </c>
      <c r="J232" s="6"/>
      <c r="K232" s="8"/>
      <c r="L232" s="60"/>
    </row>
    <row r="233" spans="1:12" ht="6" customHeight="1">
      <c r="A233" s="31"/>
      <c r="B233" s="11"/>
      <c r="C233" s="12"/>
      <c r="D233" s="12"/>
      <c r="E233" s="12"/>
      <c r="F233" s="12"/>
      <c r="G233" s="12"/>
      <c r="H233" s="13"/>
      <c r="I233" s="12"/>
      <c r="J233" s="10"/>
      <c r="K233" s="12"/>
      <c r="L233" s="60"/>
    </row>
    <row r="234" spans="1:12" ht="21" customHeight="1">
      <c r="A234" s="27" t="s">
        <v>140</v>
      </c>
      <c r="B234" s="7" t="s">
        <v>534</v>
      </c>
      <c r="C234" s="8">
        <v>2</v>
      </c>
      <c r="D234" s="8">
        <v>38</v>
      </c>
      <c r="E234" s="29">
        <v>30.8</v>
      </c>
      <c r="F234" s="29">
        <v>19</v>
      </c>
      <c r="G234" s="8">
        <f>Tablo17[[#This Row],[YOLLUK HARİÇ BASKI GRAMI]]/Tablo17[[#This Row],[GÖZ ADEDİ]]</f>
        <v>9.5</v>
      </c>
      <c r="H234" s="9" t="s">
        <v>388</v>
      </c>
      <c r="I234" s="8" t="s">
        <v>511</v>
      </c>
      <c r="J234" s="6"/>
      <c r="K234" s="8"/>
      <c r="L234" s="60"/>
    </row>
    <row r="235" spans="1:12" ht="21" customHeight="1">
      <c r="A235" s="27" t="s">
        <v>142</v>
      </c>
      <c r="B235" s="7" t="s">
        <v>534</v>
      </c>
      <c r="C235" s="8">
        <v>2</v>
      </c>
      <c r="D235" s="8">
        <v>38</v>
      </c>
      <c r="E235" s="29">
        <v>17.100000000000001</v>
      </c>
      <c r="F235" s="29">
        <v>17.100000000000001</v>
      </c>
      <c r="G235" s="8">
        <f>Tablo17[[#This Row],[YOLLUK HARİÇ BASKI GRAMI]]/Tablo17[[#This Row],[GÖZ ADEDİ]]</f>
        <v>8.5500000000000007</v>
      </c>
      <c r="H235" s="9" t="s">
        <v>388</v>
      </c>
      <c r="I235" s="8" t="s">
        <v>511</v>
      </c>
      <c r="J235" s="20"/>
      <c r="K235" s="8"/>
      <c r="L235" s="60"/>
    </row>
    <row r="236" spans="1:12" ht="21" customHeight="1">
      <c r="A236" s="27" t="s">
        <v>143</v>
      </c>
      <c r="B236" s="7" t="s">
        <v>534</v>
      </c>
      <c r="C236" s="8">
        <v>2</v>
      </c>
      <c r="D236" s="8">
        <v>38</v>
      </c>
      <c r="E236" s="29">
        <v>20.100000000000001</v>
      </c>
      <c r="F236" s="29">
        <v>20.100000000000001</v>
      </c>
      <c r="G236" s="8">
        <f>Tablo17[[#This Row],[YOLLUK HARİÇ BASKI GRAMI]]/Tablo17[[#This Row],[GÖZ ADEDİ]]</f>
        <v>10.050000000000001</v>
      </c>
      <c r="H236" s="9" t="s">
        <v>388</v>
      </c>
      <c r="I236" s="8" t="s">
        <v>511</v>
      </c>
      <c r="J236" s="6"/>
      <c r="K236" s="8"/>
      <c r="L236" s="60"/>
    </row>
    <row r="237" spans="1:12" ht="21" customHeight="1">
      <c r="A237" s="27" t="s">
        <v>144</v>
      </c>
      <c r="B237" s="7" t="s">
        <v>534</v>
      </c>
      <c r="C237" s="8">
        <v>2</v>
      </c>
      <c r="D237" s="8">
        <v>38</v>
      </c>
      <c r="E237" s="29">
        <v>18.7</v>
      </c>
      <c r="F237" s="29">
        <v>18.7</v>
      </c>
      <c r="G237" s="8">
        <f>Tablo17[[#This Row],[YOLLUK HARİÇ BASKI GRAMI]]/Tablo17[[#This Row],[GÖZ ADEDİ]]</f>
        <v>9.35</v>
      </c>
      <c r="H237" s="9" t="s">
        <v>388</v>
      </c>
      <c r="I237" s="8" t="s">
        <v>511</v>
      </c>
      <c r="J237" s="6"/>
      <c r="K237" s="8"/>
      <c r="L237" s="60"/>
    </row>
    <row r="238" spans="1:12" ht="6" customHeight="1">
      <c r="A238" s="31"/>
      <c r="B238" s="11"/>
      <c r="C238" s="12"/>
      <c r="D238" s="12"/>
      <c r="E238" s="12"/>
      <c r="F238" s="12"/>
      <c r="G238" s="12"/>
      <c r="H238" s="13"/>
      <c r="I238" s="12"/>
      <c r="J238" s="10"/>
      <c r="K238" s="12"/>
      <c r="L238" s="60"/>
    </row>
    <row r="239" spans="1:12" ht="21" customHeight="1">
      <c r="A239" s="27" t="s">
        <v>149</v>
      </c>
      <c r="B239" s="7" t="s">
        <v>534</v>
      </c>
      <c r="C239" s="8">
        <v>2</v>
      </c>
      <c r="D239" s="8">
        <v>38</v>
      </c>
      <c r="E239" s="29">
        <v>30.8</v>
      </c>
      <c r="F239" s="29">
        <v>19</v>
      </c>
      <c r="G239" s="8">
        <f>Tablo17[[#This Row],[YOLLUK HARİÇ BASKI GRAMI]]/Tablo17[[#This Row],[GÖZ ADEDİ]]</f>
        <v>9.5</v>
      </c>
      <c r="H239" s="9" t="s">
        <v>388</v>
      </c>
      <c r="I239" s="8" t="s">
        <v>511</v>
      </c>
      <c r="J239" s="6"/>
      <c r="K239" s="8"/>
      <c r="L239" s="60"/>
    </row>
    <row r="240" spans="1:12" ht="21" customHeight="1">
      <c r="A240" s="27" t="s">
        <v>150</v>
      </c>
      <c r="B240" s="7" t="s">
        <v>534</v>
      </c>
      <c r="C240" s="8">
        <v>2</v>
      </c>
      <c r="D240" s="8">
        <v>38</v>
      </c>
      <c r="E240" s="29">
        <v>17.100000000000001</v>
      </c>
      <c r="F240" s="29">
        <v>17.100000000000001</v>
      </c>
      <c r="G240" s="8">
        <f>Tablo17[[#This Row],[YOLLUK HARİÇ BASKI GRAMI]]/Tablo17[[#This Row],[GÖZ ADEDİ]]</f>
        <v>8.5500000000000007</v>
      </c>
      <c r="H240" s="9" t="s">
        <v>388</v>
      </c>
      <c r="I240" s="8" t="s">
        <v>511</v>
      </c>
      <c r="J240" s="6"/>
      <c r="K240" s="8"/>
      <c r="L240" s="60"/>
    </row>
    <row r="241" spans="1:12" ht="21" customHeight="1">
      <c r="A241" s="27" t="s">
        <v>151</v>
      </c>
      <c r="B241" s="7" t="s">
        <v>534</v>
      </c>
      <c r="C241" s="8">
        <v>2</v>
      </c>
      <c r="D241" s="8">
        <v>38</v>
      </c>
      <c r="E241" s="29">
        <v>20.100000000000001</v>
      </c>
      <c r="F241" s="29">
        <v>20.100000000000001</v>
      </c>
      <c r="G241" s="8">
        <f>Tablo17[[#This Row],[YOLLUK HARİÇ BASKI GRAMI]]/Tablo17[[#This Row],[GÖZ ADEDİ]]</f>
        <v>10.050000000000001</v>
      </c>
      <c r="H241" s="9" t="s">
        <v>388</v>
      </c>
      <c r="I241" s="8" t="s">
        <v>511</v>
      </c>
      <c r="J241" s="6"/>
      <c r="K241" s="8"/>
      <c r="L241" s="60"/>
    </row>
    <row r="242" spans="1:12" ht="21" customHeight="1">
      <c r="A242" s="27" t="s">
        <v>152</v>
      </c>
      <c r="B242" s="7" t="s">
        <v>534</v>
      </c>
      <c r="C242" s="8">
        <v>2</v>
      </c>
      <c r="D242" s="8">
        <v>38</v>
      </c>
      <c r="E242" s="29">
        <v>18.7</v>
      </c>
      <c r="F242" s="29">
        <v>18.7</v>
      </c>
      <c r="G242" s="8">
        <f>Tablo17[[#This Row],[YOLLUK HARİÇ BASKI GRAMI]]/Tablo17[[#This Row],[GÖZ ADEDİ]]</f>
        <v>9.35</v>
      </c>
      <c r="H242" s="9" t="s">
        <v>388</v>
      </c>
      <c r="I242" s="8" t="s">
        <v>511</v>
      </c>
      <c r="J242" s="6"/>
      <c r="K242" s="8"/>
      <c r="L242" s="60"/>
    </row>
    <row r="243" spans="1:12" ht="6" customHeight="1">
      <c r="A243" s="31"/>
      <c r="B243" s="11"/>
      <c r="C243" s="12"/>
      <c r="D243" s="12"/>
      <c r="E243" s="12"/>
      <c r="F243" s="12"/>
      <c r="G243" s="12"/>
      <c r="H243" s="13"/>
      <c r="I243" s="12"/>
      <c r="J243" s="10"/>
      <c r="K243" s="12"/>
      <c r="L243" s="60"/>
    </row>
    <row r="244" spans="1:12" ht="21" customHeight="1">
      <c r="A244" s="27" t="s">
        <v>157</v>
      </c>
      <c r="B244" s="7" t="s">
        <v>534</v>
      </c>
      <c r="C244" s="8">
        <v>2</v>
      </c>
      <c r="D244" s="8">
        <v>38</v>
      </c>
      <c r="E244" s="29">
        <v>30.8</v>
      </c>
      <c r="F244" s="29">
        <v>19</v>
      </c>
      <c r="G244" s="8">
        <f>Tablo17[[#This Row],[YOLLUK HARİÇ BASKI GRAMI]]/Tablo17[[#This Row],[GÖZ ADEDİ]]</f>
        <v>9.5</v>
      </c>
      <c r="H244" s="9" t="s">
        <v>388</v>
      </c>
      <c r="I244" s="8" t="s">
        <v>511</v>
      </c>
      <c r="J244" s="6"/>
      <c r="K244" s="8"/>
      <c r="L244" s="60"/>
    </row>
    <row r="245" spans="1:12" ht="21" customHeight="1">
      <c r="A245" s="27" t="s">
        <v>158</v>
      </c>
      <c r="B245" s="7" t="s">
        <v>534</v>
      </c>
      <c r="C245" s="8">
        <v>2</v>
      </c>
      <c r="D245" s="8">
        <v>38</v>
      </c>
      <c r="E245" s="29">
        <v>17.100000000000001</v>
      </c>
      <c r="F245" s="29">
        <v>17.100000000000001</v>
      </c>
      <c r="G245" s="8">
        <f>Tablo17[[#This Row],[YOLLUK HARİÇ BASKI GRAMI]]/Tablo17[[#This Row],[GÖZ ADEDİ]]</f>
        <v>8.5500000000000007</v>
      </c>
      <c r="H245" s="9" t="s">
        <v>388</v>
      </c>
      <c r="I245" s="8" t="s">
        <v>511</v>
      </c>
      <c r="J245" s="6"/>
      <c r="K245" s="8"/>
      <c r="L245" s="60"/>
    </row>
    <row r="246" spans="1:12" ht="21" customHeight="1">
      <c r="A246" s="27" t="s">
        <v>159</v>
      </c>
      <c r="B246" s="7" t="s">
        <v>534</v>
      </c>
      <c r="C246" s="8">
        <v>2</v>
      </c>
      <c r="D246" s="8">
        <v>38</v>
      </c>
      <c r="E246" s="29">
        <v>20.100000000000001</v>
      </c>
      <c r="F246" s="29">
        <v>20.100000000000001</v>
      </c>
      <c r="G246" s="8">
        <f>Tablo17[[#This Row],[YOLLUK HARİÇ BASKI GRAMI]]/Tablo17[[#This Row],[GÖZ ADEDİ]]</f>
        <v>10.050000000000001</v>
      </c>
      <c r="H246" s="9" t="s">
        <v>388</v>
      </c>
      <c r="I246" s="8" t="s">
        <v>511</v>
      </c>
      <c r="J246" s="6"/>
      <c r="K246" s="8"/>
      <c r="L246" s="60"/>
    </row>
    <row r="247" spans="1:12" ht="21" customHeight="1">
      <c r="A247" s="27" t="s">
        <v>160</v>
      </c>
      <c r="B247" s="15" t="s">
        <v>534</v>
      </c>
      <c r="C247" s="8">
        <v>2</v>
      </c>
      <c r="D247" s="8">
        <v>38</v>
      </c>
      <c r="E247" s="29">
        <v>18.7</v>
      </c>
      <c r="F247" s="29">
        <v>18.7</v>
      </c>
      <c r="G247" s="8">
        <f>Tablo17[[#This Row],[YOLLUK HARİÇ BASKI GRAMI]]/Tablo17[[#This Row],[GÖZ ADEDİ]]</f>
        <v>9.35</v>
      </c>
      <c r="H247" s="9" t="s">
        <v>388</v>
      </c>
      <c r="I247" s="8" t="s">
        <v>511</v>
      </c>
      <c r="J247" s="6"/>
      <c r="K247" s="8"/>
      <c r="L247" s="60"/>
    </row>
    <row r="248" spans="1:12" ht="6" customHeight="1">
      <c r="A248" s="31"/>
      <c r="B248" s="11"/>
      <c r="C248" s="12"/>
      <c r="D248" s="12"/>
      <c r="E248" s="12"/>
      <c r="F248" s="12"/>
      <c r="G248" s="12"/>
      <c r="H248" s="13"/>
      <c r="I248" s="12"/>
      <c r="J248" s="10"/>
      <c r="K248" s="12"/>
      <c r="L248" s="60"/>
    </row>
    <row r="249" spans="1:12" ht="21" customHeight="1">
      <c r="A249" s="27" t="s">
        <v>145</v>
      </c>
      <c r="B249" s="7" t="s">
        <v>534</v>
      </c>
      <c r="C249" s="8">
        <v>2</v>
      </c>
      <c r="D249" s="8">
        <v>38</v>
      </c>
      <c r="E249" s="29">
        <v>30.8</v>
      </c>
      <c r="F249" s="29">
        <v>19</v>
      </c>
      <c r="G249" s="8">
        <f>Tablo17[[#This Row],[YOLLUK HARİÇ BASKI GRAMI]]/Tablo17[[#This Row],[GÖZ ADEDİ]]</f>
        <v>9.5</v>
      </c>
      <c r="H249" s="9" t="s">
        <v>388</v>
      </c>
      <c r="I249" s="8" t="s">
        <v>511</v>
      </c>
      <c r="J249" s="6"/>
      <c r="K249" s="8"/>
      <c r="L249" s="60"/>
    </row>
    <row r="250" spans="1:12" ht="21" customHeight="1">
      <c r="A250" s="27" t="s">
        <v>146</v>
      </c>
      <c r="B250" s="7" t="s">
        <v>534</v>
      </c>
      <c r="C250" s="8">
        <v>2</v>
      </c>
      <c r="D250" s="8">
        <v>38</v>
      </c>
      <c r="E250" s="29">
        <v>17.100000000000001</v>
      </c>
      <c r="F250" s="29">
        <v>17.100000000000001</v>
      </c>
      <c r="G250" s="8">
        <f>Tablo17[[#This Row],[YOLLUK HARİÇ BASKI GRAMI]]/Tablo17[[#This Row],[GÖZ ADEDİ]]</f>
        <v>8.5500000000000007</v>
      </c>
      <c r="H250" s="9" t="s">
        <v>388</v>
      </c>
      <c r="I250" s="8" t="s">
        <v>511</v>
      </c>
      <c r="J250" s="6"/>
      <c r="K250" s="8"/>
      <c r="L250" s="60"/>
    </row>
    <row r="251" spans="1:12" ht="21" customHeight="1">
      <c r="A251" s="27" t="s">
        <v>147</v>
      </c>
      <c r="B251" s="7" t="s">
        <v>534</v>
      </c>
      <c r="C251" s="8">
        <v>2</v>
      </c>
      <c r="D251" s="8">
        <v>38</v>
      </c>
      <c r="E251" s="29">
        <v>20.100000000000001</v>
      </c>
      <c r="F251" s="29">
        <v>20.100000000000001</v>
      </c>
      <c r="G251" s="8">
        <f>Tablo17[[#This Row],[YOLLUK HARİÇ BASKI GRAMI]]/Tablo17[[#This Row],[GÖZ ADEDİ]]</f>
        <v>10.050000000000001</v>
      </c>
      <c r="H251" s="9" t="s">
        <v>388</v>
      </c>
      <c r="I251" s="8" t="s">
        <v>511</v>
      </c>
      <c r="J251" s="6"/>
      <c r="K251" s="8"/>
      <c r="L251" s="60"/>
    </row>
    <row r="252" spans="1:12" ht="21" customHeight="1">
      <c r="A252" s="27" t="s">
        <v>148</v>
      </c>
      <c r="B252" s="7" t="s">
        <v>534</v>
      </c>
      <c r="C252" s="8">
        <v>2</v>
      </c>
      <c r="D252" s="8">
        <v>38</v>
      </c>
      <c r="E252" s="29">
        <v>18.7</v>
      </c>
      <c r="F252" s="29">
        <v>18.7</v>
      </c>
      <c r="G252" s="8">
        <f>Tablo17[[#This Row],[YOLLUK HARİÇ BASKI GRAMI]]/Tablo17[[#This Row],[GÖZ ADEDİ]]</f>
        <v>9.35</v>
      </c>
      <c r="H252" s="9" t="s">
        <v>388</v>
      </c>
      <c r="I252" s="8" t="s">
        <v>511</v>
      </c>
      <c r="J252" s="6"/>
      <c r="K252" s="8"/>
      <c r="L252" s="60"/>
    </row>
    <row r="253" spans="1:12" ht="6" customHeight="1">
      <c r="A253" s="31"/>
      <c r="B253" s="11"/>
      <c r="C253" s="12"/>
      <c r="D253" s="12"/>
      <c r="E253" s="12"/>
      <c r="F253" s="12"/>
      <c r="G253" s="12"/>
      <c r="H253" s="13"/>
      <c r="I253" s="12"/>
      <c r="J253" s="10"/>
      <c r="K253" s="12"/>
      <c r="L253" s="60"/>
    </row>
    <row r="254" spans="1:12" ht="21" customHeight="1">
      <c r="A254" s="27" t="s">
        <v>153</v>
      </c>
      <c r="B254" s="7" t="s">
        <v>534</v>
      </c>
      <c r="C254" s="8">
        <v>2</v>
      </c>
      <c r="D254" s="8">
        <v>38</v>
      </c>
      <c r="E254" s="29">
        <v>30.8</v>
      </c>
      <c r="F254" s="29">
        <v>19</v>
      </c>
      <c r="G254" s="8">
        <f>Tablo17[[#This Row],[YOLLUK HARİÇ BASKI GRAMI]]/Tablo17[[#This Row],[GÖZ ADEDİ]]</f>
        <v>9.5</v>
      </c>
      <c r="H254" s="9" t="s">
        <v>388</v>
      </c>
      <c r="I254" s="8" t="s">
        <v>511</v>
      </c>
      <c r="J254" s="6"/>
      <c r="K254" s="8"/>
      <c r="L254" s="60"/>
    </row>
    <row r="255" spans="1:12" ht="21" customHeight="1">
      <c r="A255" s="27" t="s">
        <v>154</v>
      </c>
      <c r="B255" s="7" t="s">
        <v>534</v>
      </c>
      <c r="C255" s="8">
        <v>2</v>
      </c>
      <c r="D255" s="8">
        <v>38</v>
      </c>
      <c r="E255" s="29">
        <v>17.100000000000001</v>
      </c>
      <c r="F255" s="29">
        <v>17.100000000000001</v>
      </c>
      <c r="G255" s="8">
        <f>Tablo17[[#This Row],[YOLLUK HARİÇ BASKI GRAMI]]/Tablo17[[#This Row],[GÖZ ADEDİ]]</f>
        <v>8.5500000000000007</v>
      </c>
      <c r="H255" s="9" t="s">
        <v>388</v>
      </c>
      <c r="I255" s="8" t="s">
        <v>511</v>
      </c>
      <c r="J255" s="6"/>
      <c r="K255" s="8"/>
      <c r="L255" s="60"/>
    </row>
    <row r="256" spans="1:12" ht="21" customHeight="1">
      <c r="A256" s="27" t="s">
        <v>155</v>
      </c>
      <c r="B256" s="7" t="s">
        <v>534</v>
      </c>
      <c r="C256" s="8">
        <v>2</v>
      </c>
      <c r="D256" s="8">
        <v>38</v>
      </c>
      <c r="E256" s="29">
        <v>20.100000000000001</v>
      </c>
      <c r="F256" s="29">
        <v>20.100000000000001</v>
      </c>
      <c r="G256" s="8">
        <f>Tablo17[[#This Row],[YOLLUK HARİÇ BASKI GRAMI]]/Tablo17[[#This Row],[GÖZ ADEDİ]]</f>
        <v>10.050000000000001</v>
      </c>
      <c r="H256" s="9" t="s">
        <v>388</v>
      </c>
      <c r="I256" s="8" t="s">
        <v>511</v>
      </c>
      <c r="J256" s="6"/>
      <c r="K256" s="8"/>
      <c r="L256" s="60"/>
    </row>
    <row r="257" spans="1:12" ht="21" customHeight="1">
      <c r="A257" s="27" t="s">
        <v>156</v>
      </c>
      <c r="B257" s="7" t="s">
        <v>534</v>
      </c>
      <c r="C257" s="8">
        <v>2</v>
      </c>
      <c r="D257" s="8">
        <v>38</v>
      </c>
      <c r="E257" s="29">
        <v>18.7</v>
      </c>
      <c r="F257" s="29">
        <v>18.7</v>
      </c>
      <c r="G257" s="8">
        <f>Tablo17[[#This Row],[YOLLUK HARİÇ BASKI GRAMI]]/Tablo17[[#This Row],[GÖZ ADEDİ]]</f>
        <v>9.35</v>
      </c>
      <c r="H257" s="9" t="s">
        <v>388</v>
      </c>
      <c r="I257" s="8" t="s">
        <v>511</v>
      </c>
      <c r="J257" s="6"/>
      <c r="K257" s="8"/>
      <c r="L257" s="60"/>
    </row>
    <row r="258" spans="1:12" ht="12" customHeight="1">
      <c r="A258" s="63"/>
      <c r="B258" s="64"/>
      <c r="C258" s="65"/>
      <c r="D258" s="65"/>
      <c r="E258" s="80"/>
      <c r="F258" s="80"/>
      <c r="G258" s="65"/>
      <c r="H258" s="66"/>
      <c r="I258" s="65"/>
      <c r="J258" s="65"/>
      <c r="K258" s="65"/>
      <c r="L258" s="60"/>
    </row>
    <row r="259" spans="1:12" ht="21" customHeight="1">
      <c r="A259" s="27" t="s">
        <v>189</v>
      </c>
      <c r="B259" s="7" t="s">
        <v>534</v>
      </c>
      <c r="C259" s="8">
        <v>2</v>
      </c>
      <c r="D259" s="8">
        <v>38</v>
      </c>
      <c r="E259" s="29">
        <v>30.8</v>
      </c>
      <c r="F259" s="29">
        <v>19</v>
      </c>
      <c r="G259" s="8">
        <f>Tablo17[[#This Row],[YOLLUK HARİÇ BASKI GRAMI]]/Tablo17[[#This Row],[GÖZ ADEDİ]]</f>
        <v>9.5</v>
      </c>
      <c r="H259" s="9" t="s">
        <v>388</v>
      </c>
      <c r="I259" s="8" t="s">
        <v>511</v>
      </c>
      <c r="J259" s="60"/>
      <c r="K259" s="60"/>
      <c r="L259" s="60"/>
    </row>
    <row r="260" spans="1:12" ht="21" customHeight="1">
      <c r="A260" s="27" t="s">
        <v>190</v>
      </c>
      <c r="B260" s="7" t="s">
        <v>534</v>
      </c>
      <c r="C260" s="8">
        <v>2</v>
      </c>
      <c r="D260" s="8">
        <v>38</v>
      </c>
      <c r="E260" s="29">
        <v>17.100000000000001</v>
      </c>
      <c r="F260" s="29">
        <v>17.100000000000001</v>
      </c>
      <c r="G260" s="8">
        <f>Tablo17[[#This Row],[YOLLUK HARİÇ BASKI GRAMI]]/Tablo17[[#This Row],[GÖZ ADEDİ]]</f>
        <v>8.5500000000000007</v>
      </c>
      <c r="H260" s="9" t="s">
        <v>388</v>
      </c>
      <c r="I260" s="8" t="s">
        <v>511</v>
      </c>
      <c r="J260" s="60"/>
      <c r="K260" s="60"/>
      <c r="L260" s="60"/>
    </row>
    <row r="261" spans="1:12" ht="21" customHeight="1">
      <c r="A261" s="27" t="s">
        <v>191</v>
      </c>
      <c r="B261" s="7" t="s">
        <v>534</v>
      </c>
      <c r="C261" s="8">
        <v>2</v>
      </c>
      <c r="D261" s="8">
        <v>38</v>
      </c>
      <c r="E261" s="29">
        <v>20.100000000000001</v>
      </c>
      <c r="F261" s="29">
        <v>20.100000000000001</v>
      </c>
      <c r="G261" s="8">
        <f>Tablo17[[#This Row],[YOLLUK HARİÇ BASKI GRAMI]]/Tablo17[[#This Row],[GÖZ ADEDİ]]</f>
        <v>10.050000000000001</v>
      </c>
      <c r="H261" s="9" t="s">
        <v>388</v>
      </c>
      <c r="I261" s="8" t="s">
        <v>511</v>
      </c>
      <c r="J261" s="60"/>
      <c r="K261" s="60"/>
      <c r="L261" s="60"/>
    </row>
    <row r="262" spans="1:12" ht="21" customHeight="1">
      <c r="A262" s="27" t="s">
        <v>192</v>
      </c>
      <c r="B262" s="7" t="s">
        <v>534</v>
      </c>
      <c r="C262" s="8">
        <v>2</v>
      </c>
      <c r="D262" s="8">
        <v>38</v>
      </c>
      <c r="E262" s="29">
        <v>18.7</v>
      </c>
      <c r="F262" s="29">
        <v>18.7</v>
      </c>
      <c r="G262" s="8">
        <f>Tablo17[[#This Row],[YOLLUK HARİÇ BASKI GRAMI]]/Tablo17[[#This Row],[GÖZ ADEDİ]]</f>
        <v>9.35</v>
      </c>
      <c r="H262" s="9" t="s">
        <v>388</v>
      </c>
      <c r="I262" s="8" t="s">
        <v>511</v>
      </c>
      <c r="J262" s="60"/>
      <c r="K262" s="60"/>
      <c r="L262" s="60"/>
    </row>
    <row r="263" spans="1:12" ht="6" customHeight="1">
      <c r="A263" s="31"/>
      <c r="B263" s="11"/>
      <c r="C263" s="12"/>
      <c r="D263" s="12"/>
      <c r="E263" s="12"/>
      <c r="F263" s="12"/>
      <c r="G263" s="12"/>
      <c r="H263" s="13"/>
      <c r="I263" s="12"/>
      <c r="J263" s="10"/>
      <c r="K263" s="12"/>
      <c r="L263" s="60"/>
    </row>
    <row r="264" spans="1:12" ht="21" customHeight="1">
      <c r="A264" s="27" t="s">
        <v>230</v>
      </c>
      <c r="B264" s="7" t="s">
        <v>535</v>
      </c>
      <c r="C264" s="8">
        <v>2</v>
      </c>
      <c r="D264" s="8">
        <v>39</v>
      </c>
      <c r="E264" s="8">
        <v>46.7</v>
      </c>
      <c r="F264" s="8">
        <v>45.4</v>
      </c>
      <c r="G264" s="8">
        <f>Tablo17[[#This Row],[YOLLUK HARİÇ BASKI GRAMI]]/Tablo17[[#This Row],[GÖZ ADEDİ]]</f>
        <v>22.7</v>
      </c>
      <c r="H264" s="9" t="s">
        <v>359</v>
      </c>
      <c r="I264" s="8">
        <v>3041</v>
      </c>
      <c r="J264" s="6"/>
      <c r="K264" s="8"/>
      <c r="L264" s="60"/>
    </row>
    <row r="265" spans="1:12" ht="21" customHeight="1">
      <c r="A265" s="27" t="s">
        <v>228</v>
      </c>
      <c r="B265" s="7" t="s">
        <v>535</v>
      </c>
      <c r="C265" s="8">
        <v>2</v>
      </c>
      <c r="D265" s="8">
        <v>39</v>
      </c>
      <c r="E265" s="8">
        <v>46.7</v>
      </c>
      <c r="F265" s="8">
        <v>45.4</v>
      </c>
      <c r="G265" s="8">
        <f>Tablo17[[#This Row],[YOLLUK HARİÇ BASKI GRAMI]]/Tablo17[[#This Row],[GÖZ ADEDİ]]</f>
        <v>22.7</v>
      </c>
      <c r="H265" s="9" t="s">
        <v>359</v>
      </c>
      <c r="I265" s="8">
        <v>5287</v>
      </c>
      <c r="J265" s="6"/>
      <c r="K265" s="8"/>
      <c r="L265" s="60"/>
    </row>
    <row r="266" spans="1:12" ht="21" customHeight="1">
      <c r="A266" s="27" t="s">
        <v>226</v>
      </c>
      <c r="B266" s="7" t="s">
        <v>535</v>
      </c>
      <c r="C266" s="8">
        <v>2</v>
      </c>
      <c r="D266" s="8">
        <v>39</v>
      </c>
      <c r="E266" s="8">
        <v>46.7</v>
      </c>
      <c r="F266" s="8">
        <v>45.4</v>
      </c>
      <c r="G266" s="8">
        <f>Tablo17[[#This Row],[YOLLUK HARİÇ BASKI GRAMI]]/Tablo17[[#This Row],[GÖZ ADEDİ]]</f>
        <v>22.7</v>
      </c>
      <c r="H266" s="9" t="s">
        <v>359</v>
      </c>
      <c r="I266" s="8">
        <v>3409</v>
      </c>
      <c r="J266" s="6"/>
      <c r="K266" s="8"/>
      <c r="L266" s="60"/>
    </row>
    <row r="267" spans="1:12" ht="6" customHeight="1">
      <c r="A267" s="27"/>
      <c r="B267" s="11"/>
      <c r="C267" s="12"/>
      <c r="D267" s="12"/>
      <c r="E267" s="12"/>
      <c r="F267" s="12"/>
      <c r="G267" s="12"/>
      <c r="H267" s="13"/>
      <c r="I267" s="12"/>
      <c r="J267" s="10"/>
      <c r="K267" s="12"/>
      <c r="L267" s="60"/>
    </row>
    <row r="268" spans="1:12" ht="21" customHeight="1">
      <c r="A268" s="27" t="s">
        <v>231</v>
      </c>
      <c r="B268" s="7" t="s">
        <v>536</v>
      </c>
      <c r="C268" s="8">
        <v>2</v>
      </c>
      <c r="D268" s="8">
        <v>39</v>
      </c>
      <c r="E268" s="8">
        <v>14.1</v>
      </c>
      <c r="F268" s="8">
        <v>14.1</v>
      </c>
      <c r="G268" s="8">
        <f>Tablo17[[#This Row],[YOLLUK HARİÇ BASKI GRAMI]]/Tablo17[[#This Row],[GÖZ ADEDİ]]</f>
        <v>7.05</v>
      </c>
      <c r="H268" s="9" t="s">
        <v>359</v>
      </c>
      <c r="I268" s="8">
        <v>3041</v>
      </c>
      <c r="J268" s="6"/>
      <c r="K268" s="8"/>
      <c r="L268" s="60"/>
    </row>
    <row r="269" spans="1:12" ht="21" customHeight="1">
      <c r="A269" s="27" t="s">
        <v>229</v>
      </c>
      <c r="B269" s="7" t="s">
        <v>536</v>
      </c>
      <c r="C269" s="8">
        <v>2</v>
      </c>
      <c r="D269" s="8">
        <v>39</v>
      </c>
      <c r="E269" s="8">
        <v>14.1</v>
      </c>
      <c r="F269" s="8">
        <v>14.1</v>
      </c>
      <c r="G269" s="8">
        <f>Tablo17[[#This Row],[YOLLUK HARİÇ BASKI GRAMI]]/Tablo17[[#This Row],[GÖZ ADEDİ]]</f>
        <v>7.05</v>
      </c>
      <c r="H269" s="9" t="s">
        <v>359</v>
      </c>
      <c r="I269" s="8">
        <v>5287</v>
      </c>
      <c r="J269" s="6"/>
      <c r="K269" s="8"/>
      <c r="L269" s="60"/>
    </row>
    <row r="270" spans="1:12" ht="21" customHeight="1">
      <c r="A270" s="27" t="s">
        <v>227</v>
      </c>
      <c r="B270" s="7" t="s">
        <v>536</v>
      </c>
      <c r="C270" s="8">
        <v>2</v>
      </c>
      <c r="D270" s="8">
        <v>39</v>
      </c>
      <c r="E270" s="8">
        <v>14.1</v>
      </c>
      <c r="F270" s="8">
        <v>14.1</v>
      </c>
      <c r="G270" s="8">
        <f>Tablo17[[#This Row],[YOLLUK HARİÇ BASKI GRAMI]]/Tablo17[[#This Row],[GÖZ ADEDİ]]</f>
        <v>7.05</v>
      </c>
      <c r="H270" s="9" t="s">
        <v>359</v>
      </c>
      <c r="I270" s="8">
        <v>3409</v>
      </c>
      <c r="J270" s="6"/>
      <c r="K270" s="8"/>
      <c r="L270" s="60"/>
    </row>
    <row r="271" spans="1:12" ht="6" customHeight="1">
      <c r="A271" s="31"/>
      <c r="B271" s="11"/>
      <c r="C271" s="12"/>
      <c r="D271" s="12"/>
      <c r="E271" s="12"/>
      <c r="F271" s="12"/>
      <c r="G271" s="12"/>
      <c r="H271" s="13"/>
      <c r="I271" s="12"/>
      <c r="J271" s="10"/>
      <c r="K271" s="12"/>
      <c r="L271" s="60"/>
    </row>
    <row r="272" spans="1:12" ht="18.75" customHeight="1">
      <c r="A272" s="27" t="s">
        <v>333</v>
      </c>
      <c r="B272" s="7" t="s">
        <v>537</v>
      </c>
      <c r="C272" s="8">
        <v>4</v>
      </c>
      <c r="D272" s="8"/>
      <c r="E272" s="8"/>
      <c r="F272" s="8"/>
      <c r="G272" s="8">
        <f>Tablo17[[#This Row],[YOLLUK HARİÇ BASKI GRAMI]]/Tablo17[[#This Row],[GÖZ ADEDİ]]</f>
        <v>0</v>
      </c>
      <c r="H272" s="9" t="s">
        <v>359</v>
      </c>
      <c r="I272" s="8" t="s">
        <v>410</v>
      </c>
      <c r="J272" s="6"/>
      <c r="K272" s="8"/>
      <c r="L272" s="60"/>
    </row>
    <row r="273" spans="1:12" ht="18.75" customHeight="1">
      <c r="A273" s="27" t="s">
        <v>334</v>
      </c>
      <c r="B273" s="7" t="s">
        <v>537</v>
      </c>
      <c r="C273" s="8">
        <v>4</v>
      </c>
      <c r="D273" s="8"/>
      <c r="E273" s="8"/>
      <c r="F273" s="8"/>
      <c r="G273" s="8">
        <f>Tablo17[[#This Row],[YOLLUK HARİÇ BASKI GRAMI]]/Tablo17[[#This Row],[GÖZ ADEDİ]]</f>
        <v>0</v>
      </c>
      <c r="H273" s="9" t="s">
        <v>359</v>
      </c>
      <c r="I273" s="8">
        <v>5287</v>
      </c>
      <c r="J273" s="6"/>
      <c r="K273" s="8"/>
      <c r="L273" s="60"/>
    </row>
    <row r="274" spans="1:12" ht="18.75" customHeight="1">
      <c r="A274" s="27" t="s">
        <v>335</v>
      </c>
      <c r="B274" s="7" t="s">
        <v>537</v>
      </c>
      <c r="C274" s="8">
        <v>4</v>
      </c>
      <c r="D274" s="8"/>
      <c r="E274" s="8"/>
      <c r="F274" s="8"/>
      <c r="G274" s="8">
        <f>Tablo17[[#This Row],[YOLLUK HARİÇ BASKI GRAMI]]/Tablo17[[#This Row],[GÖZ ADEDİ]]</f>
        <v>0</v>
      </c>
      <c r="H274" s="9" t="s">
        <v>359</v>
      </c>
      <c r="I274" s="8">
        <v>3041</v>
      </c>
      <c r="J274" s="6"/>
      <c r="K274" s="8"/>
      <c r="L274" s="60"/>
    </row>
    <row r="275" spans="1:12" ht="18.75" customHeight="1">
      <c r="A275" s="27" t="s">
        <v>336</v>
      </c>
      <c r="B275" s="7" t="s">
        <v>537</v>
      </c>
      <c r="C275" s="8">
        <v>4</v>
      </c>
      <c r="D275" s="8"/>
      <c r="E275" s="8"/>
      <c r="F275" s="8"/>
      <c r="G275" s="8">
        <f>Tablo17[[#This Row],[YOLLUK HARİÇ BASKI GRAMI]]/Tablo17[[#This Row],[GÖZ ADEDİ]]</f>
        <v>0</v>
      </c>
      <c r="H275" s="9" t="s">
        <v>359</v>
      </c>
      <c r="I275" s="8">
        <v>3409</v>
      </c>
      <c r="J275" s="6"/>
      <c r="K275" s="8"/>
      <c r="L275" s="60"/>
    </row>
    <row r="276" spans="1:12" ht="6" customHeight="1">
      <c r="A276" s="31"/>
      <c r="B276" s="11"/>
      <c r="C276" s="12"/>
      <c r="D276" s="12"/>
      <c r="E276" s="12"/>
      <c r="F276" s="12"/>
      <c r="G276" s="12"/>
      <c r="H276" s="13"/>
      <c r="I276" s="12"/>
      <c r="J276" s="10"/>
      <c r="K276" s="12"/>
      <c r="L276" s="60"/>
    </row>
    <row r="277" spans="1:12" ht="17.25" customHeight="1">
      <c r="A277" s="27" t="s">
        <v>337</v>
      </c>
      <c r="B277" s="7" t="s">
        <v>538</v>
      </c>
      <c r="C277" s="8">
        <v>4</v>
      </c>
      <c r="D277" s="8"/>
      <c r="E277" s="8"/>
      <c r="F277" s="8"/>
      <c r="G277" s="8">
        <f>Tablo17[[#This Row],[YOLLUK HARİÇ BASKI GRAMI]]/Tablo17[[#This Row],[GÖZ ADEDİ]]</f>
        <v>0</v>
      </c>
      <c r="H277" s="9" t="s">
        <v>359</v>
      </c>
      <c r="I277" s="8" t="s">
        <v>410</v>
      </c>
      <c r="J277" s="6"/>
      <c r="K277" s="8"/>
      <c r="L277" s="60"/>
    </row>
    <row r="278" spans="1:12" ht="17.25" customHeight="1">
      <c r="A278" s="27" t="s">
        <v>338</v>
      </c>
      <c r="B278" s="7" t="s">
        <v>538</v>
      </c>
      <c r="C278" s="8">
        <v>4</v>
      </c>
      <c r="D278" s="8"/>
      <c r="E278" s="8"/>
      <c r="F278" s="8"/>
      <c r="G278" s="8">
        <f>Tablo17[[#This Row],[YOLLUK HARİÇ BASKI GRAMI]]/Tablo17[[#This Row],[GÖZ ADEDİ]]</f>
        <v>0</v>
      </c>
      <c r="H278" s="9" t="s">
        <v>359</v>
      </c>
      <c r="I278" s="8">
        <v>5287</v>
      </c>
      <c r="J278" s="6"/>
      <c r="K278" s="8"/>
      <c r="L278" s="60"/>
    </row>
    <row r="279" spans="1:12" ht="17.25" customHeight="1">
      <c r="A279" s="27" t="s">
        <v>339</v>
      </c>
      <c r="B279" s="7" t="s">
        <v>538</v>
      </c>
      <c r="C279" s="8">
        <v>4</v>
      </c>
      <c r="D279" s="8"/>
      <c r="E279" s="8"/>
      <c r="F279" s="8"/>
      <c r="G279" s="8">
        <f>Tablo17[[#This Row],[YOLLUK HARİÇ BASKI GRAMI]]/Tablo17[[#This Row],[GÖZ ADEDİ]]</f>
        <v>0</v>
      </c>
      <c r="H279" s="9" t="s">
        <v>359</v>
      </c>
      <c r="I279" s="8">
        <v>3041</v>
      </c>
      <c r="J279" s="6"/>
      <c r="K279" s="8"/>
      <c r="L279" s="60"/>
    </row>
    <row r="280" spans="1:12" ht="17.25" customHeight="1">
      <c r="A280" s="27" t="s">
        <v>340</v>
      </c>
      <c r="B280" s="7" t="s">
        <v>538</v>
      </c>
      <c r="C280" s="8">
        <v>4</v>
      </c>
      <c r="D280" s="8"/>
      <c r="E280" s="8"/>
      <c r="F280" s="8"/>
      <c r="G280" s="8">
        <f>Tablo17[[#This Row],[YOLLUK HARİÇ BASKI GRAMI]]/Tablo17[[#This Row],[GÖZ ADEDİ]]</f>
        <v>0</v>
      </c>
      <c r="H280" s="9" t="s">
        <v>359</v>
      </c>
      <c r="I280" s="8">
        <v>3409</v>
      </c>
      <c r="J280" s="6"/>
      <c r="K280" s="8"/>
      <c r="L280" s="60"/>
    </row>
    <row r="281" spans="1:12" ht="6" customHeight="1">
      <c r="A281" s="31"/>
      <c r="B281" s="11"/>
      <c r="C281" s="12"/>
      <c r="D281" s="12"/>
      <c r="E281" s="12"/>
      <c r="F281" s="12"/>
      <c r="G281" s="12"/>
      <c r="H281" s="13"/>
      <c r="I281" s="12"/>
      <c r="J281" s="10"/>
      <c r="K281" s="12"/>
      <c r="L281" s="60"/>
    </row>
    <row r="282" spans="1:12" ht="18.75" customHeight="1">
      <c r="A282" s="27" t="s">
        <v>583</v>
      </c>
      <c r="B282" s="7" t="s">
        <v>539</v>
      </c>
      <c r="C282" s="8">
        <v>2</v>
      </c>
      <c r="D282" s="8"/>
      <c r="E282" s="8"/>
      <c r="F282" s="8"/>
      <c r="G282" s="8">
        <f>Tablo17[[#This Row],[YOLLUK HARİÇ BASKI GRAMI]]/Tablo17[[#This Row],[GÖZ ADEDİ]]</f>
        <v>0</v>
      </c>
      <c r="H282" s="9" t="s">
        <v>183</v>
      </c>
      <c r="I282" s="8" t="s">
        <v>410</v>
      </c>
      <c r="J282" s="20"/>
      <c r="K282" s="8"/>
      <c r="L282" s="60"/>
    </row>
    <row r="283" spans="1:12" ht="18.75" customHeight="1">
      <c r="A283" s="27" t="s">
        <v>342</v>
      </c>
      <c r="B283" s="7" t="s">
        <v>539</v>
      </c>
      <c r="C283" s="8">
        <v>2</v>
      </c>
      <c r="D283" s="8"/>
      <c r="E283" s="8"/>
      <c r="F283" s="8"/>
      <c r="G283" s="8">
        <f>Tablo17[[#This Row],[YOLLUK HARİÇ BASKI GRAMI]]/Tablo17[[#This Row],[GÖZ ADEDİ]]</f>
        <v>0</v>
      </c>
      <c r="H283" s="9" t="s">
        <v>183</v>
      </c>
      <c r="I283" s="8">
        <v>5287</v>
      </c>
      <c r="J283" s="6"/>
      <c r="K283" s="8"/>
      <c r="L283" s="60"/>
    </row>
    <row r="284" spans="1:12" ht="18.75" customHeight="1">
      <c r="A284" s="27" t="s">
        <v>343</v>
      </c>
      <c r="B284" s="7" t="s">
        <v>539</v>
      </c>
      <c r="C284" s="8">
        <v>2</v>
      </c>
      <c r="D284" s="8"/>
      <c r="E284" s="8"/>
      <c r="F284" s="8"/>
      <c r="G284" s="8">
        <f>Tablo17[[#This Row],[YOLLUK HARİÇ BASKI GRAMI]]/Tablo17[[#This Row],[GÖZ ADEDİ]]</f>
        <v>0</v>
      </c>
      <c r="H284" s="9" t="s">
        <v>183</v>
      </c>
      <c r="I284" s="8">
        <v>3041</v>
      </c>
      <c r="J284" s="6"/>
      <c r="K284" s="8"/>
      <c r="L284" s="60"/>
    </row>
    <row r="285" spans="1:12" ht="18.75" customHeight="1">
      <c r="A285" s="27" t="s">
        <v>344</v>
      </c>
      <c r="B285" s="7" t="s">
        <v>539</v>
      </c>
      <c r="C285" s="8">
        <v>2</v>
      </c>
      <c r="D285" s="8"/>
      <c r="E285" s="8"/>
      <c r="F285" s="8"/>
      <c r="G285" s="8">
        <f>Tablo17[[#This Row],[YOLLUK HARİÇ BASKI GRAMI]]/Tablo17[[#This Row],[GÖZ ADEDİ]]</f>
        <v>0</v>
      </c>
      <c r="H285" s="9" t="s">
        <v>183</v>
      </c>
      <c r="I285" s="8">
        <v>1290</v>
      </c>
      <c r="J285" s="6"/>
      <c r="K285" s="8"/>
      <c r="L285" s="60"/>
    </row>
    <row r="286" spans="1:12" ht="18.75" customHeight="1">
      <c r="A286" s="27" t="s">
        <v>345</v>
      </c>
      <c r="B286" s="7" t="s">
        <v>539</v>
      </c>
      <c r="C286" s="8">
        <v>2</v>
      </c>
      <c r="D286" s="8"/>
      <c r="E286" s="8"/>
      <c r="F286" s="8"/>
      <c r="G286" s="8">
        <f>Tablo17[[#This Row],[YOLLUK HARİÇ BASKI GRAMI]]/Tablo17[[#This Row],[GÖZ ADEDİ]]</f>
        <v>0</v>
      </c>
      <c r="H286" s="9" t="s">
        <v>183</v>
      </c>
      <c r="I286" s="8">
        <v>3409</v>
      </c>
      <c r="J286" s="6"/>
      <c r="K286" s="8"/>
      <c r="L286" s="60"/>
    </row>
    <row r="287" spans="1:12" ht="18.75" customHeight="1">
      <c r="A287" s="27" t="s">
        <v>346</v>
      </c>
      <c r="B287" s="7" t="s">
        <v>539</v>
      </c>
      <c r="C287" s="8">
        <v>2</v>
      </c>
      <c r="D287" s="8"/>
      <c r="E287" s="8"/>
      <c r="F287" s="8"/>
      <c r="G287" s="8">
        <f>Tablo17[[#This Row],[YOLLUK HARİÇ BASKI GRAMI]]/Tablo17[[#This Row],[GÖZ ADEDİ]]</f>
        <v>0</v>
      </c>
      <c r="H287" s="9" t="s">
        <v>183</v>
      </c>
      <c r="I287" s="8">
        <v>4090</v>
      </c>
      <c r="J287" s="6"/>
      <c r="K287" s="8"/>
      <c r="L287" s="60"/>
    </row>
    <row r="288" spans="1:12" ht="6" customHeight="1">
      <c r="A288" s="31"/>
      <c r="B288" s="11"/>
      <c r="C288" s="12"/>
      <c r="D288" s="12"/>
      <c r="E288" s="12"/>
      <c r="F288" s="12"/>
      <c r="G288" s="12"/>
      <c r="H288" s="13"/>
      <c r="I288" s="12"/>
      <c r="J288" s="10"/>
      <c r="K288" s="12"/>
      <c r="L288" s="60"/>
    </row>
    <row r="289" spans="1:12" ht="18" customHeight="1">
      <c r="A289" s="27" t="s">
        <v>194</v>
      </c>
      <c r="B289" s="7" t="s">
        <v>540</v>
      </c>
      <c r="C289" s="8">
        <v>2</v>
      </c>
      <c r="D289" s="8">
        <v>26</v>
      </c>
      <c r="E289" s="8">
        <v>25.8</v>
      </c>
      <c r="F289" s="8">
        <v>25</v>
      </c>
      <c r="G289" s="8">
        <f>Tablo17[[#This Row],[YOLLUK HARİÇ BASKI GRAMI]]/Tablo17[[#This Row],[GÖZ ADEDİ]]</f>
        <v>12.5</v>
      </c>
      <c r="H289" s="9" t="s">
        <v>359</v>
      </c>
      <c r="I289" s="8" t="s">
        <v>410</v>
      </c>
      <c r="J289" s="6">
        <v>5.0000000000000001E-3</v>
      </c>
      <c r="K289" s="8"/>
      <c r="L289" s="60"/>
    </row>
    <row r="290" spans="1:12" ht="18" customHeight="1">
      <c r="A290" s="27" t="s">
        <v>197</v>
      </c>
      <c r="B290" s="7" t="s">
        <v>540</v>
      </c>
      <c r="C290" s="8">
        <v>2</v>
      </c>
      <c r="D290" s="8">
        <v>26</v>
      </c>
      <c r="E290" s="8">
        <v>25.8</v>
      </c>
      <c r="F290" s="8">
        <v>25</v>
      </c>
      <c r="G290" s="8">
        <f>Tablo17[[#This Row],[YOLLUK HARİÇ BASKI GRAMI]]/Tablo17[[#This Row],[GÖZ ADEDİ]]</f>
        <v>12.5</v>
      </c>
      <c r="H290" s="9" t="s">
        <v>359</v>
      </c>
      <c r="I290" s="8">
        <v>5287</v>
      </c>
      <c r="J290" s="6"/>
      <c r="K290" s="8"/>
      <c r="L290" s="60"/>
    </row>
    <row r="291" spans="1:12" ht="18" customHeight="1">
      <c r="A291" s="27" t="s">
        <v>199</v>
      </c>
      <c r="B291" s="7" t="s">
        <v>540</v>
      </c>
      <c r="C291" s="8">
        <v>2</v>
      </c>
      <c r="D291" s="8">
        <v>26</v>
      </c>
      <c r="E291" s="8">
        <v>25.8</v>
      </c>
      <c r="F291" s="8">
        <v>25</v>
      </c>
      <c r="G291" s="8">
        <f>Tablo17[[#This Row],[YOLLUK HARİÇ BASKI GRAMI]]/Tablo17[[#This Row],[GÖZ ADEDİ]]</f>
        <v>12.5</v>
      </c>
      <c r="H291" s="9" t="s">
        <v>359</v>
      </c>
      <c r="I291" s="8">
        <v>3041</v>
      </c>
      <c r="J291" s="6"/>
      <c r="K291" s="8"/>
      <c r="L291" s="60"/>
    </row>
    <row r="292" spans="1:12" ht="18" customHeight="1">
      <c r="A292" s="27" t="s">
        <v>195</v>
      </c>
      <c r="B292" s="7" t="s">
        <v>540</v>
      </c>
      <c r="C292" s="8">
        <v>2</v>
      </c>
      <c r="D292" s="8">
        <v>26</v>
      </c>
      <c r="E292" s="8">
        <v>25.8</v>
      </c>
      <c r="F292" s="8">
        <v>25</v>
      </c>
      <c r="G292" s="8">
        <f>Tablo17[[#This Row],[YOLLUK HARİÇ BASKI GRAMI]]/Tablo17[[#This Row],[GÖZ ADEDİ]]</f>
        <v>12.5</v>
      </c>
      <c r="H292" s="9" t="s">
        <v>359</v>
      </c>
      <c r="I292" s="8">
        <v>1290</v>
      </c>
      <c r="J292" s="6"/>
      <c r="K292" s="8"/>
      <c r="L292" s="60"/>
    </row>
    <row r="293" spans="1:12" ht="18" customHeight="1">
      <c r="A293" s="27" t="s">
        <v>196</v>
      </c>
      <c r="B293" s="7" t="s">
        <v>540</v>
      </c>
      <c r="C293" s="8">
        <v>2</v>
      </c>
      <c r="D293" s="8">
        <v>26</v>
      </c>
      <c r="E293" s="8">
        <v>25.8</v>
      </c>
      <c r="F293" s="8">
        <v>25</v>
      </c>
      <c r="G293" s="8">
        <f>Tablo17[[#This Row],[YOLLUK HARİÇ BASKI GRAMI]]/Tablo17[[#This Row],[GÖZ ADEDİ]]</f>
        <v>12.5</v>
      </c>
      <c r="H293" s="9" t="s">
        <v>359</v>
      </c>
      <c r="I293" s="8">
        <v>3409</v>
      </c>
      <c r="J293" s="6"/>
      <c r="K293" s="8"/>
      <c r="L293" s="60"/>
    </row>
    <row r="294" spans="1:12" ht="18" customHeight="1">
      <c r="A294" s="27" t="s">
        <v>198</v>
      </c>
      <c r="B294" s="7" t="s">
        <v>540</v>
      </c>
      <c r="C294" s="8">
        <v>2</v>
      </c>
      <c r="D294" s="8">
        <v>26</v>
      </c>
      <c r="E294" s="8">
        <v>25.8</v>
      </c>
      <c r="F294" s="8">
        <v>25</v>
      </c>
      <c r="G294" s="8">
        <f>Tablo17[[#This Row],[YOLLUK HARİÇ BASKI GRAMI]]/Tablo17[[#This Row],[GÖZ ADEDİ]]</f>
        <v>12.5</v>
      </c>
      <c r="H294" s="9" t="s">
        <v>359</v>
      </c>
      <c r="I294" s="8">
        <v>4090</v>
      </c>
      <c r="J294" s="6"/>
      <c r="K294" s="8"/>
      <c r="L294" s="60"/>
    </row>
    <row r="295" spans="1:12" ht="6" customHeight="1">
      <c r="A295" s="31"/>
      <c r="B295" s="11"/>
      <c r="C295" s="12"/>
      <c r="D295" s="12"/>
      <c r="E295" s="12"/>
      <c r="F295" s="12"/>
      <c r="G295" s="12"/>
      <c r="H295" s="13"/>
      <c r="I295" s="12"/>
      <c r="J295" s="10"/>
      <c r="K295" s="12"/>
      <c r="L295" s="60"/>
    </row>
    <row r="296" spans="1:12" ht="21" customHeight="1">
      <c r="A296" s="27" t="s">
        <v>243</v>
      </c>
      <c r="B296" s="7" t="s">
        <v>541</v>
      </c>
      <c r="C296" s="8">
        <v>2</v>
      </c>
      <c r="D296" s="8">
        <v>23</v>
      </c>
      <c r="E296" s="8">
        <v>16.8</v>
      </c>
      <c r="F296" s="8">
        <v>16</v>
      </c>
      <c r="G296" s="8">
        <f>Tablo17[[#This Row],[YOLLUK HARİÇ BASKI GRAMI]]/Tablo17[[#This Row],[GÖZ ADEDİ]]</f>
        <v>8</v>
      </c>
      <c r="H296" s="9" t="s">
        <v>359</v>
      </c>
      <c r="I296" s="8" t="s">
        <v>410</v>
      </c>
      <c r="J296" s="6"/>
      <c r="K296" s="8"/>
      <c r="L296" s="60"/>
    </row>
    <row r="297" spans="1:12" ht="21" customHeight="1">
      <c r="A297" s="27" t="s">
        <v>242</v>
      </c>
      <c r="B297" s="7" t="s">
        <v>541</v>
      </c>
      <c r="C297" s="8">
        <v>2</v>
      </c>
      <c r="D297" s="8">
        <v>23</v>
      </c>
      <c r="E297" s="8">
        <v>16.8</v>
      </c>
      <c r="F297" s="8">
        <v>16</v>
      </c>
      <c r="G297" s="8">
        <f>Tablo17[[#This Row],[YOLLUK HARİÇ BASKI GRAMI]]/Tablo17[[#This Row],[GÖZ ADEDİ]]</f>
        <v>8</v>
      </c>
      <c r="H297" s="9" t="s">
        <v>359</v>
      </c>
      <c r="I297" s="8">
        <v>5287</v>
      </c>
      <c r="J297" s="6"/>
      <c r="K297" s="8"/>
      <c r="L297" s="60"/>
    </row>
    <row r="298" spans="1:12" ht="21" customHeight="1">
      <c r="A298" s="27" t="s">
        <v>241</v>
      </c>
      <c r="B298" s="7" t="s">
        <v>541</v>
      </c>
      <c r="C298" s="8">
        <v>2</v>
      </c>
      <c r="D298" s="8">
        <v>23</v>
      </c>
      <c r="E298" s="8">
        <v>16.8</v>
      </c>
      <c r="F298" s="8">
        <v>16</v>
      </c>
      <c r="G298" s="8">
        <f>Tablo17[[#This Row],[YOLLUK HARİÇ BASKI GRAMI]]/Tablo17[[#This Row],[GÖZ ADEDİ]]</f>
        <v>8</v>
      </c>
      <c r="H298" s="9" t="s">
        <v>359</v>
      </c>
      <c r="I298" s="8">
        <v>3041</v>
      </c>
      <c r="J298" s="6"/>
      <c r="K298" s="8"/>
      <c r="L298" s="60"/>
    </row>
    <row r="299" spans="1:12" ht="21" customHeight="1">
      <c r="A299" s="27" t="s">
        <v>347</v>
      </c>
      <c r="B299" s="7" t="s">
        <v>541</v>
      </c>
      <c r="C299" s="8">
        <v>2</v>
      </c>
      <c r="D299" s="8">
        <v>23</v>
      </c>
      <c r="E299" s="8">
        <v>16.8</v>
      </c>
      <c r="F299" s="8">
        <v>16</v>
      </c>
      <c r="G299" s="8">
        <f>Tablo17[[#This Row],[YOLLUK HARİÇ BASKI GRAMI]]/Tablo17[[#This Row],[GÖZ ADEDİ]]</f>
        <v>8</v>
      </c>
      <c r="H299" s="9" t="s">
        <v>359</v>
      </c>
      <c r="I299" s="8">
        <v>1290</v>
      </c>
      <c r="J299" s="6"/>
      <c r="K299" s="8"/>
      <c r="L299" s="60"/>
    </row>
    <row r="300" spans="1:12" ht="21" customHeight="1">
      <c r="A300" s="27" t="s">
        <v>219</v>
      </c>
      <c r="B300" s="7" t="s">
        <v>541</v>
      </c>
      <c r="C300" s="8">
        <v>2</v>
      </c>
      <c r="D300" s="8">
        <v>23</v>
      </c>
      <c r="E300" s="8">
        <v>16.8</v>
      </c>
      <c r="F300" s="8">
        <v>16</v>
      </c>
      <c r="G300" s="8">
        <f>Tablo17[[#This Row],[YOLLUK HARİÇ BASKI GRAMI]]/Tablo17[[#This Row],[GÖZ ADEDİ]]</f>
        <v>8</v>
      </c>
      <c r="H300" s="9" t="s">
        <v>359</v>
      </c>
      <c r="I300" s="8">
        <v>3409</v>
      </c>
      <c r="J300" s="6"/>
      <c r="K300" s="8"/>
      <c r="L300" s="60"/>
    </row>
    <row r="301" spans="1:12" ht="21" customHeight="1">
      <c r="A301" s="27" t="s">
        <v>348</v>
      </c>
      <c r="B301" s="7" t="s">
        <v>541</v>
      </c>
      <c r="C301" s="8">
        <v>2</v>
      </c>
      <c r="D301" s="8">
        <v>23</v>
      </c>
      <c r="E301" s="8">
        <v>16.8</v>
      </c>
      <c r="F301" s="8">
        <v>16</v>
      </c>
      <c r="G301" s="8">
        <f>Tablo17[[#This Row],[YOLLUK HARİÇ BASKI GRAMI]]/Tablo17[[#This Row],[GÖZ ADEDİ]]</f>
        <v>8</v>
      </c>
      <c r="H301" s="9" t="s">
        <v>359</v>
      </c>
      <c r="I301" s="8">
        <v>4090</v>
      </c>
      <c r="J301" s="6"/>
      <c r="K301" s="8"/>
      <c r="L301" s="60"/>
    </row>
    <row r="302" spans="1:12" ht="21" customHeight="1">
      <c r="A302" s="27" t="s">
        <v>218</v>
      </c>
      <c r="B302" s="7" t="s">
        <v>541</v>
      </c>
      <c r="C302" s="8">
        <v>2</v>
      </c>
      <c r="D302" s="8">
        <v>23</v>
      </c>
      <c r="E302" s="8">
        <v>16.8</v>
      </c>
      <c r="F302" s="8">
        <v>16</v>
      </c>
      <c r="G302" s="8">
        <f>Tablo17[[#This Row],[YOLLUK HARİÇ BASKI GRAMI]]/Tablo17[[#This Row],[GÖZ ADEDİ]]</f>
        <v>8</v>
      </c>
      <c r="H302" s="9" t="s">
        <v>359</v>
      </c>
      <c r="I302" s="8" t="s">
        <v>423</v>
      </c>
      <c r="J302" s="8">
        <v>1.4999999999999999E-2</v>
      </c>
      <c r="K302" s="8"/>
      <c r="L302" s="60"/>
    </row>
    <row r="303" spans="1:12" ht="6" customHeight="1">
      <c r="A303" s="31"/>
      <c r="B303" s="11"/>
      <c r="C303" s="12"/>
      <c r="D303" s="12"/>
      <c r="E303" s="12"/>
      <c r="F303" s="12"/>
      <c r="G303" s="12"/>
      <c r="H303" s="13"/>
      <c r="I303" s="12"/>
      <c r="J303" s="10"/>
      <c r="K303" s="12"/>
      <c r="L303" s="60"/>
    </row>
    <row r="304" spans="1:12" ht="21" customHeight="1">
      <c r="A304" s="27" t="s">
        <v>349</v>
      </c>
      <c r="B304" s="7" t="s">
        <v>542</v>
      </c>
      <c r="C304" s="8">
        <v>2</v>
      </c>
      <c r="D304" s="8"/>
      <c r="E304" s="8"/>
      <c r="F304" s="8"/>
      <c r="G304" s="8">
        <f>Tablo17[[#This Row],[YOLLUK HARİÇ BASKI GRAMI]]/Tablo17[[#This Row],[GÖZ ADEDİ]]</f>
        <v>0</v>
      </c>
      <c r="H304" s="9" t="s">
        <v>359</v>
      </c>
      <c r="I304" s="8" t="s">
        <v>410</v>
      </c>
      <c r="J304" s="6"/>
      <c r="K304" s="8"/>
      <c r="L304" s="60"/>
    </row>
    <row r="305" spans="1:12" ht="21" customHeight="1">
      <c r="A305" s="27" t="s">
        <v>350</v>
      </c>
      <c r="B305" s="7" t="s">
        <v>542</v>
      </c>
      <c r="C305" s="8">
        <v>2</v>
      </c>
      <c r="D305" s="8"/>
      <c r="E305" s="8"/>
      <c r="F305" s="8"/>
      <c r="G305" s="8">
        <f>Tablo17[[#This Row],[YOLLUK HARİÇ BASKI GRAMI]]/Tablo17[[#This Row],[GÖZ ADEDİ]]</f>
        <v>0</v>
      </c>
      <c r="H305" s="9" t="s">
        <v>359</v>
      </c>
      <c r="I305" s="8">
        <v>5287</v>
      </c>
      <c r="J305" s="6"/>
      <c r="K305" s="8"/>
      <c r="L305" s="60"/>
    </row>
    <row r="306" spans="1:12" ht="21" customHeight="1">
      <c r="A306" s="27" t="s">
        <v>351</v>
      </c>
      <c r="B306" s="7" t="s">
        <v>542</v>
      </c>
      <c r="C306" s="8">
        <v>2</v>
      </c>
      <c r="D306" s="8"/>
      <c r="E306" s="8"/>
      <c r="F306" s="8"/>
      <c r="G306" s="8">
        <f>Tablo17[[#This Row],[YOLLUK HARİÇ BASKI GRAMI]]/Tablo17[[#This Row],[GÖZ ADEDİ]]</f>
        <v>0</v>
      </c>
      <c r="H306" s="9" t="s">
        <v>359</v>
      </c>
      <c r="I306" s="8">
        <v>3041</v>
      </c>
      <c r="J306" s="6"/>
      <c r="K306" s="8"/>
      <c r="L306" s="60"/>
    </row>
    <row r="307" spans="1:12" ht="6" customHeight="1">
      <c r="A307" s="31"/>
      <c r="B307" s="11"/>
      <c r="C307" s="12"/>
      <c r="D307" s="12"/>
      <c r="E307" s="12"/>
      <c r="F307" s="12"/>
      <c r="G307" s="12"/>
      <c r="H307" s="13"/>
      <c r="I307" s="12"/>
      <c r="J307" s="10"/>
      <c r="K307" s="12"/>
      <c r="L307" s="60"/>
    </row>
    <row r="308" spans="1:12" ht="21" customHeight="1">
      <c r="A308" s="27" t="s">
        <v>223</v>
      </c>
      <c r="B308" s="7" t="s">
        <v>543</v>
      </c>
      <c r="C308" s="8">
        <v>8</v>
      </c>
      <c r="D308" s="8">
        <v>26</v>
      </c>
      <c r="E308" s="8">
        <v>38.1</v>
      </c>
      <c r="F308" s="8">
        <v>37.1</v>
      </c>
      <c r="G308" s="8">
        <f>Tablo17[[#This Row],[YOLLUK HARİÇ BASKI GRAMI]]/Tablo17[[#This Row],[GÖZ ADEDİ]]</f>
        <v>4.6375000000000002</v>
      </c>
      <c r="H308" s="9" t="s">
        <v>379</v>
      </c>
      <c r="I308" s="8"/>
      <c r="J308" s="6"/>
      <c r="K308" s="8"/>
      <c r="L308" s="60"/>
    </row>
    <row r="309" spans="1:12" ht="6" customHeight="1">
      <c r="A309" s="31"/>
      <c r="B309" s="11"/>
      <c r="C309" s="12"/>
      <c r="D309" s="12"/>
      <c r="E309" s="12"/>
      <c r="F309" s="12"/>
      <c r="G309" s="12"/>
      <c r="H309" s="13"/>
      <c r="I309" s="12"/>
      <c r="J309" s="10"/>
      <c r="K309" s="12"/>
      <c r="L309" s="60"/>
    </row>
    <row r="310" spans="1:12" ht="21" customHeight="1">
      <c r="A310" s="27" t="s">
        <v>224</v>
      </c>
      <c r="B310" s="7" t="s">
        <v>544</v>
      </c>
      <c r="C310" s="8">
        <v>16</v>
      </c>
      <c r="D310" s="8">
        <v>25</v>
      </c>
      <c r="E310" s="8">
        <v>28.9</v>
      </c>
      <c r="F310" s="8">
        <v>23.6</v>
      </c>
      <c r="G310" s="8">
        <f>Tablo17[[#This Row],[YOLLUK HARİÇ BASKI GRAMI]]/Tablo17[[#This Row],[GÖZ ADEDİ]]</f>
        <v>1.4750000000000001</v>
      </c>
      <c r="H310" s="9" t="s">
        <v>379</v>
      </c>
      <c r="I310" s="8"/>
      <c r="J310" s="6"/>
      <c r="K310" s="8"/>
      <c r="L310" s="60"/>
    </row>
    <row r="311" spans="1:12" ht="6" customHeight="1">
      <c r="A311" s="31"/>
      <c r="B311" s="11"/>
      <c r="C311" s="12"/>
      <c r="D311" s="12"/>
      <c r="E311" s="12"/>
      <c r="F311" s="12"/>
      <c r="G311" s="12"/>
      <c r="H311" s="13"/>
      <c r="I311" s="12"/>
      <c r="J311" s="10"/>
      <c r="K311" s="12"/>
      <c r="L311" s="60"/>
    </row>
    <row r="312" spans="1:12" ht="21" customHeight="1">
      <c r="A312" s="27" t="s">
        <v>112</v>
      </c>
      <c r="B312" s="7" t="s">
        <v>545</v>
      </c>
      <c r="C312" s="8">
        <v>8</v>
      </c>
      <c r="D312" s="8">
        <v>12</v>
      </c>
      <c r="E312" s="8"/>
      <c r="F312" s="8"/>
      <c r="G312" s="8">
        <f>Tablo17[[#This Row],[YOLLUK HARİÇ BASKI GRAMI]]/Tablo17[[#This Row],[GÖZ ADEDİ]]</f>
        <v>0</v>
      </c>
      <c r="H312" s="9" t="s">
        <v>359</v>
      </c>
      <c r="I312" s="8" t="s">
        <v>410</v>
      </c>
      <c r="J312" s="6"/>
      <c r="K312" s="8"/>
      <c r="L312" s="60"/>
    </row>
    <row r="313" spans="1:12" ht="21" customHeight="1">
      <c r="A313" s="58" t="s">
        <v>88</v>
      </c>
      <c r="B313" s="7" t="s">
        <v>545</v>
      </c>
      <c r="C313" s="8">
        <v>8</v>
      </c>
      <c r="D313" s="8">
        <v>12</v>
      </c>
      <c r="E313" s="60"/>
      <c r="F313" s="60"/>
      <c r="G313" s="60">
        <f>Tablo17[[#This Row],[YOLLUK HARİÇ BASKI GRAMI]]/Tablo17[[#This Row],[GÖZ ADEDİ]]</f>
        <v>0</v>
      </c>
      <c r="H313" s="9" t="s">
        <v>359</v>
      </c>
      <c r="I313" s="60" t="s">
        <v>414</v>
      </c>
      <c r="J313" s="60">
        <v>5.0000000000000001E-3</v>
      </c>
      <c r="K313" s="60"/>
      <c r="L313" s="60"/>
    </row>
    <row r="314" spans="1:12" ht="6" customHeight="1">
      <c r="A314" s="31"/>
      <c r="B314" s="11"/>
      <c r="C314" s="12"/>
      <c r="D314" s="12"/>
      <c r="E314" s="12"/>
      <c r="F314" s="12"/>
      <c r="G314" s="12"/>
      <c r="H314" s="13"/>
      <c r="I314" s="12"/>
      <c r="J314" s="10"/>
      <c r="K314" s="12"/>
      <c r="L314" s="60"/>
    </row>
    <row r="315" spans="1:12" ht="21" customHeight="1">
      <c r="A315" s="27" t="s">
        <v>236</v>
      </c>
      <c r="B315" s="7" t="s">
        <v>546</v>
      </c>
      <c r="C315" s="8">
        <v>4</v>
      </c>
      <c r="D315" s="8">
        <v>18</v>
      </c>
      <c r="E315" s="8">
        <v>16.7</v>
      </c>
      <c r="F315" s="8">
        <v>6.3</v>
      </c>
      <c r="G315" s="8">
        <f>Tablo17[[#This Row],[YOLLUK HARİÇ BASKI GRAMI]]/Tablo17[[#This Row],[GÖZ ADEDİ]]</f>
        <v>1.575</v>
      </c>
      <c r="H315" s="9" t="s">
        <v>359</v>
      </c>
      <c r="I315" s="8" t="s">
        <v>410</v>
      </c>
      <c r="J315" s="6">
        <v>5.0000000000000001E-3</v>
      </c>
      <c r="K315" s="8"/>
      <c r="L315" s="60"/>
    </row>
    <row r="316" spans="1:12" ht="21" customHeight="1">
      <c r="A316" s="58" t="s">
        <v>234</v>
      </c>
      <c r="B316" s="7" t="s">
        <v>546</v>
      </c>
      <c r="C316" s="8">
        <v>4</v>
      </c>
      <c r="D316" s="60">
        <v>18</v>
      </c>
      <c r="E316" s="60">
        <v>16.7</v>
      </c>
      <c r="F316" s="60">
        <v>6.3</v>
      </c>
      <c r="G316" s="60">
        <f>Tablo17[[#This Row],[YOLLUK HARİÇ BASKI GRAMI]]/Tablo17[[#This Row],[GÖZ ADEDİ]]</f>
        <v>1.575</v>
      </c>
      <c r="H316" s="9" t="s">
        <v>359</v>
      </c>
      <c r="I316" s="60" t="s">
        <v>414</v>
      </c>
      <c r="J316" s="60">
        <v>5.0000000000000001E-3</v>
      </c>
      <c r="K316" s="60"/>
      <c r="L316" s="60"/>
    </row>
    <row r="317" spans="1:12" ht="21" customHeight="1">
      <c r="A317" s="58" t="s">
        <v>233</v>
      </c>
      <c r="B317" s="7" t="s">
        <v>546</v>
      </c>
      <c r="C317" s="8">
        <v>4</v>
      </c>
      <c r="D317" s="60">
        <v>18</v>
      </c>
      <c r="E317" s="60">
        <v>16.7</v>
      </c>
      <c r="F317" s="60">
        <v>6.3</v>
      </c>
      <c r="G317" s="60">
        <f>Tablo17[[#This Row],[YOLLUK HARİÇ BASKI GRAMI]]/Tablo17[[#This Row],[GÖZ ADEDİ]]</f>
        <v>1.575</v>
      </c>
      <c r="H317" s="9" t="s">
        <v>359</v>
      </c>
      <c r="I317" s="60" t="s">
        <v>416</v>
      </c>
      <c r="J317" s="60">
        <v>3.0000000000000001E-3</v>
      </c>
      <c r="K317" s="60"/>
      <c r="L317" s="60"/>
    </row>
    <row r="318" spans="1:12" ht="21" customHeight="1">
      <c r="A318" s="58" t="s">
        <v>232</v>
      </c>
      <c r="B318" s="7" t="s">
        <v>546</v>
      </c>
      <c r="C318" s="8">
        <v>4</v>
      </c>
      <c r="D318" s="60">
        <v>18</v>
      </c>
      <c r="E318" s="60">
        <v>16.7</v>
      </c>
      <c r="F318" s="60">
        <v>6.3</v>
      </c>
      <c r="G318" s="60">
        <f>Tablo17[[#This Row],[YOLLUK HARİÇ BASKI GRAMI]]/Tablo17[[#This Row],[GÖZ ADEDİ]]</f>
        <v>1.575</v>
      </c>
      <c r="H318" s="9" t="s">
        <v>359</v>
      </c>
      <c r="I318" s="60" t="s">
        <v>415</v>
      </c>
      <c r="J318" s="60">
        <v>2E-3</v>
      </c>
      <c r="K318" s="60"/>
      <c r="L318" s="60"/>
    </row>
    <row r="319" spans="1:12" ht="21" customHeight="1">
      <c r="A319" s="58" t="s">
        <v>235</v>
      </c>
      <c r="B319" s="7" t="s">
        <v>546</v>
      </c>
      <c r="C319" s="8">
        <v>4</v>
      </c>
      <c r="D319" s="60">
        <v>18</v>
      </c>
      <c r="E319" s="60">
        <v>16.7</v>
      </c>
      <c r="F319" s="60">
        <v>6.3</v>
      </c>
      <c r="G319" s="60">
        <f>Tablo17[[#This Row],[YOLLUK HARİÇ BASKI GRAMI]]/Tablo17[[#This Row],[GÖZ ADEDİ]]</f>
        <v>1.575</v>
      </c>
      <c r="H319" s="9" t="s">
        <v>359</v>
      </c>
      <c r="I319" s="60" t="s">
        <v>417</v>
      </c>
      <c r="J319" s="60">
        <v>3.0000000000000001E-3</v>
      </c>
      <c r="K319" s="60"/>
      <c r="L319" s="60"/>
    </row>
    <row r="320" spans="1:12" ht="21" customHeight="1">
      <c r="A320" s="58" t="s">
        <v>246</v>
      </c>
      <c r="B320" s="7" t="s">
        <v>546</v>
      </c>
      <c r="C320" s="8">
        <v>4</v>
      </c>
      <c r="D320" s="60">
        <v>18</v>
      </c>
      <c r="E320" s="60">
        <v>16.7</v>
      </c>
      <c r="F320" s="60">
        <v>6.3</v>
      </c>
      <c r="G320" s="60">
        <f>Tablo17[[#This Row],[YOLLUK HARİÇ BASKI GRAMI]]/Tablo17[[#This Row],[GÖZ ADEDİ]]</f>
        <v>1.575</v>
      </c>
      <c r="H320" s="9" t="s">
        <v>359</v>
      </c>
      <c r="I320" s="60"/>
      <c r="J320" s="60">
        <v>3.0000000000000001E-3</v>
      </c>
      <c r="K320" s="60"/>
      <c r="L320" s="60"/>
    </row>
    <row r="321" spans="1:12" ht="21" customHeight="1">
      <c r="A321" s="58" t="s">
        <v>247</v>
      </c>
      <c r="B321" s="7" t="s">
        <v>546</v>
      </c>
      <c r="C321" s="8">
        <v>4</v>
      </c>
      <c r="D321" s="60">
        <v>18</v>
      </c>
      <c r="E321" s="60">
        <v>16.7</v>
      </c>
      <c r="F321" s="60">
        <v>6.3</v>
      </c>
      <c r="G321" s="60">
        <f>Tablo17[[#This Row],[YOLLUK HARİÇ BASKI GRAMI]]/Tablo17[[#This Row],[GÖZ ADEDİ]]</f>
        <v>1.575</v>
      </c>
      <c r="H321" s="9" t="s">
        <v>359</v>
      </c>
      <c r="I321" s="60"/>
      <c r="J321" s="60">
        <v>3.0000000000000001E-3</v>
      </c>
      <c r="K321" s="60"/>
      <c r="L321" s="60"/>
    </row>
    <row r="322" spans="1:12" ht="21" customHeight="1">
      <c r="A322" s="58" t="s">
        <v>248</v>
      </c>
      <c r="B322" s="7" t="s">
        <v>546</v>
      </c>
      <c r="C322" s="8">
        <v>4</v>
      </c>
      <c r="D322" s="60">
        <v>18</v>
      </c>
      <c r="E322" s="60">
        <v>16.7</v>
      </c>
      <c r="F322" s="60">
        <v>6.3</v>
      </c>
      <c r="G322" s="60">
        <f>Tablo17[[#This Row],[YOLLUK HARİÇ BASKI GRAMI]]/Tablo17[[#This Row],[GÖZ ADEDİ]]</f>
        <v>1.575</v>
      </c>
      <c r="H322" s="9" t="s">
        <v>359</v>
      </c>
      <c r="I322" s="60"/>
      <c r="J322" s="60">
        <v>3.0000000000000001E-3</v>
      </c>
      <c r="K322" s="60"/>
      <c r="L322" s="60"/>
    </row>
    <row r="323" spans="1:12" ht="21" customHeight="1">
      <c r="A323" s="58" t="s">
        <v>249</v>
      </c>
      <c r="B323" s="7" t="s">
        <v>546</v>
      </c>
      <c r="C323" s="8">
        <v>4</v>
      </c>
      <c r="D323" s="60">
        <v>18</v>
      </c>
      <c r="E323" s="60">
        <v>16.7</v>
      </c>
      <c r="F323" s="60">
        <v>6.3</v>
      </c>
      <c r="G323" s="60">
        <f>Tablo17[[#This Row],[YOLLUK HARİÇ BASKI GRAMI]]/Tablo17[[#This Row],[GÖZ ADEDİ]]</f>
        <v>1.575</v>
      </c>
      <c r="H323" s="9" t="s">
        <v>359</v>
      </c>
      <c r="I323" s="60"/>
      <c r="J323" s="60">
        <v>3.0000000000000001E-3</v>
      </c>
      <c r="K323" s="60"/>
      <c r="L323" s="60"/>
    </row>
    <row r="324" spans="1:12" ht="6" customHeight="1">
      <c r="A324" s="31"/>
      <c r="B324" s="11"/>
      <c r="C324" s="12"/>
      <c r="D324" s="12"/>
      <c r="E324" s="12"/>
      <c r="F324" s="12"/>
      <c r="G324" s="12"/>
      <c r="H324" s="13"/>
      <c r="I324" s="12"/>
      <c r="J324" s="10"/>
      <c r="K324" s="12"/>
      <c r="L324" s="60"/>
    </row>
    <row r="325" spans="1:12" ht="21" customHeight="1">
      <c r="A325" s="27" t="s">
        <v>353</v>
      </c>
      <c r="B325" s="7" t="s">
        <v>547</v>
      </c>
      <c r="C325" s="8">
        <v>8</v>
      </c>
      <c r="D325" s="8"/>
      <c r="E325" s="8"/>
      <c r="F325" s="8"/>
      <c r="G325" s="8">
        <f>Tablo17[[#This Row],[YOLLUK HARİÇ BASKI GRAMI]]/Tablo17[[#This Row],[GÖZ ADEDİ]]</f>
        <v>0</v>
      </c>
      <c r="H325" s="9" t="s">
        <v>183</v>
      </c>
      <c r="I325" s="8"/>
      <c r="J325" s="6"/>
      <c r="K325" s="8"/>
      <c r="L325" s="60"/>
    </row>
    <row r="326" spans="1:12" ht="6" customHeight="1">
      <c r="A326" s="31"/>
      <c r="B326" s="11"/>
      <c r="C326" s="12"/>
      <c r="D326" s="12"/>
      <c r="E326" s="12"/>
      <c r="F326" s="12"/>
      <c r="G326" s="12"/>
      <c r="H326" s="13"/>
      <c r="I326" s="12"/>
      <c r="J326" s="10"/>
      <c r="K326" s="12"/>
      <c r="L326" s="60"/>
    </row>
    <row r="327" spans="1:12" ht="21" customHeight="1">
      <c r="A327" s="27" t="s">
        <v>354</v>
      </c>
      <c r="B327" s="7" t="s">
        <v>548</v>
      </c>
      <c r="C327" s="8">
        <v>8</v>
      </c>
      <c r="D327" s="8">
        <v>20</v>
      </c>
      <c r="E327" s="8">
        <v>13.3</v>
      </c>
      <c r="F327" s="8">
        <v>11.4</v>
      </c>
      <c r="G327" s="8">
        <f>Tablo17[[#This Row],[YOLLUK HARİÇ BASKI GRAMI]]/Tablo17[[#This Row],[GÖZ ADEDİ]]</f>
        <v>1.425</v>
      </c>
      <c r="H327" s="9" t="s">
        <v>183</v>
      </c>
      <c r="I327" s="8" t="s">
        <v>410</v>
      </c>
      <c r="J327" s="6"/>
      <c r="K327" s="8"/>
      <c r="L327" s="60"/>
    </row>
    <row r="328" spans="1:12" ht="21" customHeight="1">
      <c r="A328" s="27" t="s">
        <v>93</v>
      </c>
      <c r="B328" s="7" t="s">
        <v>548</v>
      </c>
      <c r="C328" s="8">
        <v>8</v>
      </c>
      <c r="D328" s="8">
        <v>20</v>
      </c>
      <c r="E328" s="8">
        <v>13.3</v>
      </c>
      <c r="F328" s="8">
        <v>11.4</v>
      </c>
      <c r="G328" s="60">
        <f>Tablo17[[#This Row],[YOLLUK HARİÇ BASKI GRAMI]]/Tablo17[[#This Row],[GÖZ ADEDİ]]</f>
        <v>1.425</v>
      </c>
      <c r="H328" s="9" t="s">
        <v>183</v>
      </c>
      <c r="I328" s="8">
        <v>3409</v>
      </c>
      <c r="J328" s="60"/>
      <c r="K328" s="60"/>
      <c r="L328" s="60"/>
    </row>
    <row r="329" spans="1:12" ht="21" customHeight="1">
      <c r="A329" s="27" t="s">
        <v>94</v>
      </c>
      <c r="B329" s="7" t="s">
        <v>548</v>
      </c>
      <c r="C329" s="8">
        <v>8</v>
      </c>
      <c r="D329" s="8">
        <v>20</v>
      </c>
      <c r="E329" s="8">
        <v>13.3</v>
      </c>
      <c r="F329" s="8">
        <v>11.4</v>
      </c>
      <c r="G329" s="60">
        <f>Tablo17[[#This Row],[YOLLUK HARİÇ BASKI GRAMI]]/Tablo17[[#This Row],[GÖZ ADEDİ]]</f>
        <v>1.425</v>
      </c>
      <c r="H329" s="9" t="s">
        <v>183</v>
      </c>
      <c r="I329" s="8">
        <v>5287</v>
      </c>
      <c r="J329" s="60"/>
      <c r="K329" s="60"/>
      <c r="L329" s="60"/>
    </row>
    <row r="330" spans="1:12" ht="21" customHeight="1">
      <c r="A330" s="27" t="s">
        <v>95</v>
      </c>
      <c r="B330" s="7" t="s">
        <v>548</v>
      </c>
      <c r="C330" s="8">
        <v>8</v>
      </c>
      <c r="D330" s="8">
        <v>20</v>
      </c>
      <c r="E330" s="8">
        <v>13.3</v>
      </c>
      <c r="F330" s="8">
        <v>11.4</v>
      </c>
      <c r="G330" s="60">
        <f>Tablo17[[#This Row],[YOLLUK HARİÇ BASKI GRAMI]]/Tablo17[[#This Row],[GÖZ ADEDİ]]</f>
        <v>1.425</v>
      </c>
      <c r="H330" s="9" t="s">
        <v>183</v>
      </c>
      <c r="I330" s="8">
        <v>4090</v>
      </c>
      <c r="J330" s="60"/>
      <c r="K330" s="60"/>
      <c r="L330" s="60"/>
    </row>
    <row r="331" spans="1:12" ht="21" customHeight="1">
      <c r="A331" s="27" t="s">
        <v>96</v>
      </c>
      <c r="B331" s="7" t="s">
        <v>548</v>
      </c>
      <c r="C331" s="8">
        <v>8</v>
      </c>
      <c r="D331" s="8">
        <v>20</v>
      </c>
      <c r="E331" s="8">
        <v>13.3</v>
      </c>
      <c r="F331" s="8">
        <v>11.4</v>
      </c>
      <c r="G331" s="60">
        <f>Tablo17[[#This Row],[YOLLUK HARİÇ BASKI GRAMI]]/Tablo17[[#This Row],[GÖZ ADEDİ]]</f>
        <v>1.425</v>
      </c>
      <c r="H331" s="9" t="s">
        <v>183</v>
      </c>
      <c r="I331" s="8">
        <v>3041</v>
      </c>
      <c r="J331" s="60"/>
      <c r="K331" s="60"/>
      <c r="L331" s="60"/>
    </row>
    <row r="332" spans="1:12" ht="21" customHeight="1">
      <c r="A332" s="58" t="s">
        <v>91</v>
      </c>
      <c r="B332" s="7" t="s">
        <v>548</v>
      </c>
      <c r="C332" s="8">
        <v>8</v>
      </c>
      <c r="D332" s="8">
        <v>20</v>
      </c>
      <c r="E332" s="8">
        <v>13.3</v>
      </c>
      <c r="F332" s="8">
        <v>11.4</v>
      </c>
      <c r="G332" s="60">
        <f>Tablo17[[#This Row],[YOLLUK HARİÇ BASKI GRAMI]]/Tablo17[[#This Row],[GÖZ ADEDİ]]</f>
        <v>1.425</v>
      </c>
      <c r="H332" s="9" t="s">
        <v>183</v>
      </c>
      <c r="I332" s="60" t="s">
        <v>416</v>
      </c>
      <c r="J332" s="60"/>
      <c r="K332" s="60"/>
      <c r="L332" s="60"/>
    </row>
    <row r="333" spans="1:12" ht="21" customHeight="1">
      <c r="A333" s="58" t="s">
        <v>89</v>
      </c>
      <c r="B333" s="7" t="s">
        <v>548</v>
      </c>
      <c r="C333" s="8">
        <v>8</v>
      </c>
      <c r="D333" s="8">
        <v>20</v>
      </c>
      <c r="E333" s="8">
        <v>13.3</v>
      </c>
      <c r="F333" s="8">
        <v>11.4</v>
      </c>
      <c r="G333" s="60">
        <f>Tablo17[[#This Row],[YOLLUK HARİÇ BASKI GRAMI]]/Tablo17[[#This Row],[GÖZ ADEDİ]]</f>
        <v>1.425</v>
      </c>
      <c r="H333" s="9" t="s">
        <v>183</v>
      </c>
      <c r="I333" s="60" t="s">
        <v>415</v>
      </c>
      <c r="J333" s="60"/>
      <c r="K333" s="60"/>
      <c r="L333" s="60"/>
    </row>
    <row r="334" spans="1:12" ht="21" customHeight="1">
      <c r="A334" s="58" t="s">
        <v>90</v>
      </c>
      <c r="B334" s="7" t="s">
        <v>548</v>
      </c>
      <c r="C334" s="8">
        <v>8</v>
      </c>
      <c r="D334" s="8">
        <v>20</v>
      </c>
      <c r="E334" s="8">
        <v>13.3</v>
      </c>
      <c r="F334" s="8">
        <v>11.4</v>
      </c>
      <c r="G334" s="60">
        <f>Tablo17[[#This Row],[YOLLUK HARİÇ BASKI GRAMI]]/Tablo17[[#This Row],[GÖZ ADEDİ]]</f>
        <v>1.425</v>
      </c>
      <c r="H334" s="9" t="s">
        <v>183</v>
      </c>
      <c r="I334" s="60" t="s">
        <v>414</v>
      </c>
      <c r="J334" s="60"/>
      <c r="K334" s="60"/>
      <c r="L334" s="60"/>
    </row>
    <row r="335" spans="1:12" ht="21" customHeight="1">
      <c r="A335" s="58" t="s">
        <v>92</v>
      </c>
      <c r="B335" s="7" t="s">
        <v>548</v>
      </c>
      <c r="C335" s="8">
        <v>8</v>
      </c>
      <c r="D335" s="8">
        <v>20</v>
      </c>
      <c r="E335" s="8">
        <v>13.3</v>
      </c>
      <c r="F335" s="8">
        <v>11.4</v>
      </c>
      <c r="G335" s="60">
        <f>Tablo17[[#This Row],[YOLLUK HARİÇ BASKI GRAMI]]/Tablo17[[#This Row],[GÖZ ADEDİ]]</f>
        <v>1.425</v>
      </c>
      <c r="H335" s="9" t="s">
        <v>183</v>
      </c>
      <c r="I335" s="60" t="s">
        <v>417</v>
      </c>
      <c r="J335" s="60"/>
      <c r="K335" s="60"/>
      <c r="L335" s="60"/>
    </row>
    <row r="336" spans="1:12" ht="21" customHeight="1">
      <c r="A336" s="58"/>
      <c r="B336" s="59"/>
      <c r="C336" s="60"/>
      <c r="D336" s="60"/>
      <c r="E336" s="60"/>
      <c r="F336" s="60"/>
      <c r="G336" s="60" t="e">
        <f>Tablo17[[#This Row],[YOLLUK HARİÇ BASKI GRAMI]]/Tablo17[[#This Row],[GÖZ ADEDİ]]</f>
        <v>#DIV/0!</v>
      </c>
      <c r="H336" s="61"/>
      <c r="I336" s="60"/>
      <c r="J336" s="60"/>
      <c r="K336" s="60"/>
      <c r="L336" s="60"/>
    </row>
    <row r="337" spans="1:12" ht="6" customHeight="1">
      <c r="A337" s="31"/>
      <c r="B337" s="11"/>
      <c r="C337" s="12"/>
      <c r="D337" s="12"/>
      <c r="E337" s="12"/>
      <c r="F337" s="12"/>
      <c r="G337" s="12"/>
      <c r="H337" s="13"/>
      <c r="I337" s="12"/>
      <c r="J337" s="10"/>
      <c r="K337" s="12"/>
      <c r="L337" s="60"/>
    </row>
    <row r="338" spans="1:12" ht="21" customHeight="1">
      <c r="A338" s="27" t="s">
        <v>355</v>
      </c>
      <c r="B338" s="7" t="s">
        <v>549</v>
      </c>
      <c r="C338" s="8">
        <v>4</v>
      </c>
      <c r="D338" s="8">
        <v>25</v>
      </c>
      <c r="E338" s="8">
        <v>12.3</v>
      </c>
      <c r="F338" s="8">
        <v>12.3</v>
      </c>
      <c r="G338" s="8">
        <f>Tablo17[[#This Row],[YOLLUK HARİÇ BASKI GRAMI]]/Tablo17[[#This Row],[GÖZ ADEDİ]]</f>
        <v>3.0750000000000002</v>
      </c>
      <c r="H338" s="9" t="s">
        <v>183</v>
      </c>
      <c r="I338" s="8" t="s">
        <v>410</v>
      </c>
      <c r="J338" s="6">
        <v>5.0000000000000001E-3</v>
      </c>
      <c r="K338" s="8"/>
      <c r="L338" s="60"/>
    </row>
    <row r="339" spans="1:12" ht="21" customHeight="1">
      <c r="A339" s="27" t="s">
        <v>106</v>
      </c>
      <c r="B339" s="7" t="s">
        <v>549</v>
      </c>
      <c r="C339" s="8">
        <v>4</v>
      </c>
      <c r="D339" s="8">
        <v>25</v>
      </c>
      <c r="E339" s="60">
        <v>12.3</v>
      </c>
      <c r="F339" s="60">
        <v>12.3</v>
      </c>
      <c r="G339" s="8">
        <f>Tablo17[[#This Row],[YOLLUK HARİÇ BASKI GRAMI]]/Tablo17[[#This Row],[GÖZ ADEDİ]]</f>
        <v>3.0750000000000002</v>
      </c>
      <c r="H339" s="9" t="s">
        <v>183</v>
      </c>
      <c r="I339" s="60">
        <v>3409</v>
      </c>
      <c r="J339" s="6">
        <v>5.0000000000000001E-3</v>
      </c>
      <c r="K339" s="60"/>
      <c r="L339" s="60"/>
    </row>
    <row r="340" spans="1:12" ht="21" customHeight="1">
      <c r="A340" s="27" t="s">
        <v>104</v>
      </c>
      <c r="B340" s="7" t="s">
        <v>549</v>
      </c>
      <c r="C340" s="8">
        <v>4</v>
      </c>
      <c r="D340" s="8">
        <v>25</v>
      </c>
      <c r="E340" s="60">
        <v>12.3</v>
      </c>
      <c r="F340" s="60">
        <v>12.3</v>
      </c>
      <c r="G340" s="8">
        <f>Tablo17[[#This Row],[YOLLUK HARİÇ BASKI GRAMI]]/Tablo17[[#This Row],[GÖZ ADEDİ]]</f>
        <v>3.0750000000000002</v>
      </c>
      <c r="H340" s="9" t="s">
        <v>183</v>
      </c>
      <c r="I340" s="60">
        <v>5287</v>
      </c>
      <c r="J340" s="6">
        <v>5.0000000000000001E-3</v>
      </c>
      <c r="K340" s="60"/>
      <c r="L340" s="60"/>
    </row>
    <row r="341" spans="1:12" ht="21" customHeight="1">
      <c r="A341" s="27" t="s">
        <v>110</v>
      </c>
      <c r="B341" s="7" t="s">
        <v>549</v>
      </c>
      <c r="C341" s="8">
        <v>4</v>
      </c>
      <c r="D341" s="8">
        <v>25</v>
      </c>
      <c r="E341" s="60">
        <v>12.3</v>
      </c>
      <c r="F341" s="60">
        <v>12.3</v>
      </c>
      <c r="G341" s="60">
        <f>Tablo17[[#This Row],[YOLLUK HARİÇ BASKI GRAMI]]/Tablo17[[#This Row],[GÖZ ADEDİ]]</f>
        <v>3.0750000000000002</v>
      </c>
      <c r="H341" s="9" t="s">
        <v>183</v>
      </c>
      <c r="I341" s="60">
        <v>3041</v>
      </c>
      <c r="J341" s="6">
        <v>5.0000000000000001E-3</v>
      </c>
      <c r="K341" s="60"/>
      <c r="L341" s="60"/>
    </row>
    <row r="342" spans="1:12" ht="21" customHeight="1">
      <c r="A342" s="27" t="s">
        <v>108</v>
      </c>
      <c r="B342" s="7" t="s">
        <v>549</v>
      </c>
      <c r="C342" s="8">
        <v>4</v>
      </c>
      <c r="D342" s="8">
        <v>25</v>
      </c>
      <c r="E342" s="60">
        <v>12.3</v>
      </c>
      <c r="F342" s="60">
        <v>12.3</v>
      </c>
      <c r="G342" s="60">
        <f>Tablo17[[#This Row],[YOLLUK HARİÇ BASKI GRAMI]]/Tablo17[[#This Row],[GÖZ ADEDİ]]</f>
        <v>3.0750000000000002</v>
      </c>
      <c r="H342" s="9" t="s">
        <v>183</v>
      </c>
      <c r="I342" s="60">
        <v>4090</v>
      </c>
      <c r="J342" s="6">
        <v>5.0000000000000001E-3</v>
      </c>
      <c r="K342" s="60"/>
      <c r="L342" s="60"/>
    </row>
    <row r="343" spans="1:12" ht="21" customHeight="1">
      <c r="A343" s="27" t="s">
        <v>98</v>
      </c>
      <c r="B343" s="7" t="s">
        <v>549</v>
      </c>
      <c r="C343" s="8">
        <v>4</v>
      </c>
      <c r="D343" s="8">
        <v>25</v>
      </c>
      <c r="E343" s="60">
        <v>12.3</v>
      </c>
      <c r="F343" s="60">
        <v>12.3</v>
      </c>
      <c r="G343" s="60">
        <f>Tablo17[[#This Row],[YOLLUK HARİÇ BASKI GRAMI]]/Tablo17[[#This Row],[GÖZ ADEDİ]]</f>
        <v>3.0750000000000002</v>
      </c>
      <c r="H343" s="9" t="s">
        <v>183</v>
      </c>
      <c r="I343" s="60" t="s">
        <v>415</v>
      </c>
      <c r="J343" s="60">
        <v>2E-3</v>
      </c>
      <c r="K343" s="60"/>
      <c r="L343" s="60"/>
    </row>
    <row r="344" spans="1:12" ht="21" customHeight="1">
      <c r="A344" s="27" t="s">
        <v>100</v>
      </c>
      <c r="B344" s="7" t="s">
        <v>549</v>
      </c>
      <c r="C344" s="8">
        <v>4</v>
      </c>
      <c r="D344" s="8">
        <v>25</v>
      </c>
      <c r="E344" s="60">
        <v>12.3</v>
      </c>
      <c r="F344" s="60">
        <v>12.3</v>
      </c>
      <c r="G344" s="60">
        <f>Tablo17[[#This Row],[YOLLUK HARİÇ BASKI GRAMI]]/Tablo17[[#This Row],[GÖZ ADEDİ]]</f>
        <v>3.0750000000000002</v>
      </c>
      <c r="H344" s="9" t="s">
        <v>183</v>
      </c>
      <c r="I344" s="60" t="s">
        <v>416</v>
      </c>
      <c r="J344" s="60">
        <v>7.4999999999999997E-3</v>
      </c>
      <c r="K344" s="60"/>
      <c r="L344" s="60"/>
    </row>
    <row r="345" spans="1:12" ht="21" customHeight="1">
      <c r="A345" s="27" t="s">
        <v>71</v>
      </c>
      <c r="B345" s="7" t="s">
        <v>549</v>
      </c>
      <c r="C345" s="8">
        <v>4</v>
      </c>
      <c r="D345" s="8">
        <v>25</v>
      </c>
      <c r="E345" s="60">
        <v>12.3</v>
      </c>
      <c r="F345" s="60">
        <v>12.3</v>
      </c>
      <c r="G345" s="60">
        <f>Tablo17[[#This Row],[YOLLUK HARİÇ BASKI GRAMI]]/Tablo17[[#This Row],[GÖZ ADEDİ]]</f>
        <v>3.0750000000000002</v>
      </c>
      <c r="H345" s="9" t="s">
        <v>183</v>
      </c>
      <c r="I345" s="60" t="s">
        <v>414</v>
      </c>
      <c r="J345" s="60">
        <v>3.0000000000000001E-3</v>
      </c>
      <c r="K345" s="60"/>
      <c r="L345" s="60"/>
    </row>
    <row r="346" spans="1:12" ht="21" customHeight="1">
      <c r="A346" s="27" t="s">
        <v>263</v>
      </c>
      <c r="B346" s="7" t="s">
        <v>549</v>
      </c>
      <c r="C346" s="8">
        <v>4</v>
      </c>
      <c r="D346" s="8">
        <v>25</v>
      </c>
      <c r="E346" s="60">
        <v>12.3</v>
      </c>
      <c r="F346" s="60">
        <v>12.3</v>
      </c>
      <c r="G346" s="60">
        <f>Tablo17[[#This Row],[YOLLUK HARİÇ BASKI GRAMI]]/Tablo17[[#This Row],[GÖZ ADEDİ]]</f>
        <v>3.0750000000000002</v>
      </c>
      <c r="H346" s="9" t="s">
        <v>183</v>
      </c>
      <c r="I346" s="60">
        <v>3014</v>
      </c>
      <c r="J346" s="60">
        <v>1E-3</v>
      </c>
      <c r="K346" s="60"/>
      <c r="L346" s="60"/>
    </row>
    <row r="347" spans="1:12" ht="21" customHeight="1">
      <c r="A347" s="27" t="s">
        <v>102</v>
      </c>
      <c r="B347" s="7" t="s">
        <v>549</v>
      </c>
      <c r="C347" s="8">
        <v>4</v>
      </c>
      <c r="D347" s="8">
        <v>25</v>
      </c>
      <c r="E347" s="60">
        <v>12.3</v>
      </c>
      <c r="F347" s="60">
        <v>12.3</v>
      </c>
      <c r="G347" s="60">
        <f>Tablo17[[#This Row],[YOLLUK HARİÇ BASKI GRAMI]]/Tablo17[[#This Row],[GÖZ ADEDİ]]</f>
        <v>3.0750000000000002</v>
      </c>
      <c r="H347" s="9" t="s">
        <v>183</v>
      </c>
      <c r="I347" s="60" t="s">
        <v>417</v>
      </c>
      <c r="J347" s="60">
        <v>2E-3</v>
      </c>
      <c r="K347" s="60"/>
      <c r="L347" s="60"/>
    </row>
    <row r="348" spans="1:12" ht="9.75" customHeight="1">
      <c r="A348" s="63"/>
      <c r="B348" s="64"/>
      <c r="C348" s="65"/>
      <c r="D348" s="65"/>
      <c r="E348" s="65"/>
      <c r="F348" s="65"/>
      <c r="G348" s="12"/>
      <c r="H348" s="66"/>
      <c r="I348" s="65"/>
      <c r="J348" s="65"/>
      <c r="K348" s="65"/>
      <c r="L348" s="60"/>
    </row>
    <row r="349" spans="1:12" ht="21" customHeight="1">
      <c r="A349" s="27" t="s">
        <v>356</v>
      </c>
      <c r="B349" s="59" t="s">
        <v>550</v>
      </c>
      <c r="C349" s="60">
        <v>4</v>
      </c>
      <c r="D349" s="60">
        <v>25</v>
      </c>
      <c r="E349" s="60">
        <v>14.3</v>
      </c>
      <c r="F349" s="60">
        <v>11.8</v>
      </c>
      <c r="G349" s="8">
        <f>Tablo17[[#This Row],[YOLLUK HARİÇ BASKI GRAMI]]/Tablo17[[#This Row],[GÖZ ADEDİ]]</f>
        <v>2.95</v>
      </c>
      <c r="H349" s="61" t="s">
        <v>183</v>
      </c>
      <c r="I349" s="8" t="s">
        <v>410</v>
      </c>
      <c r="J349" s="6">
        <v>5.0000000000000001E-3</v>
      </c>
      <c r="K349" s="60"/>
      <c r="L349" s="60"/>
    </row>
    <row r="350" spans="1:12" ht="21" customHeight="1">
      <c r="A350" s="27" t="s">
        <v>107</v>
      </c>
      <c r="B350" s="59" t="s">
        <v>550</v>
      </c>
      <c r="C350" s="60">
        <v>4</v>
      </c>
      <c r="D350" s="60">
        <v>25</v>
      </c>
      <c r="E350" s="60">
        <v>14.3</v>
      </c>
      <c r="F350" s="60">
        <v>11.8</v>
      </c>
      <c r="G350" s="8">
        <f>Tablo17[[#This Row],[YOLLUK HARİÇ BASKI GRAMI]]/Tablo17[[#This Row],[GÖZ ADEDİ]]</f>
        <v>2.95</v>
      </c>
      <c r="H350" s="61" t="s">
        <v>183</v>
      </c>
      <c r="I350" s="60">
        <v>3409</v>
      </c>
      <c r="J350" s="6">
        <v>5.0000000000000001E-3</v>
      </c>
      <c r="K350" s="60"/>
      <c r="L350" s="60"/>
    </row>
    <row r="351" spans="1:12" ht="21" customHeight="1">
      <c r="A351" s="27" t="s">
        <v>105</v>
      </c>
      <c r="B351" s="59" t="s">
        <v>550</v>
      </c>
      <c r="C351" s="60">
        <v>4</v>
      </c>
      <c r="D351" s="60">
        <v>25</v>
      </c>
      <c r="E351" s="60">
        <v>14.3</v>
      </c>
      <c r="F351" s="60">
        <v>11.8</v>
      </c>
      <c r="G351" s="8">
        <f>Tablo17[[#This Row],[YOLLUK HARİÇ BASKI GRAMI]]/Tablo17[[#This Row],[GÖZ ADEDİ]]</f>
        <v>2.95</v>
      </c>
      <c r="H351" s="61" t="s">
        <v>183</v>
      </c>
      <c r="I351" s="60">
        <v>5287</v>
      </c>
      <c r="J351" s="6">
        <v>5.0000000000000001E-3</v>
      </c>
      <c r="K351" s="60"/>
      <c r="L351" s="60"/>
    </row>
    <row r="352" spans="1:12" ht="21" customHeight="1">
      <c r="A352" s="27" t="s">
        <v>111</v>
      </c>
      <c r="B352" s="59" t="s">
        <v>550</v>
      </c>
      <c r="C352" s="60">
        <v>4</v>
      </c>
      <c r="D352" s="60">
        <v>25</v>
      </c>
      <c r="E352" s="60">
        <v>14.3</v>
      </c>
      <c r="F352" s="60">
        <v>11.8</v>
      </c>
      <c r="G352" s="60">
        <f>Tablo17[[#This Row],[YOLLUK HARİÇ BASKI GRAMI]]/Tablo17[[#This Row],[GÖZ ADEDİ]]</f>
        <v>2.95</v>
      </c>
      <c r="H352" s="61" t="s">
        <v>183</v>
      </c>
      <c r="I352" s="60">
        <v>3041</v>
      </c>
      <c r="J352" s="6">
        <v>5.0000000000000001E-3</v>
      </c>
      <c r="K352" s="60"/>
      <c r="L352" s="60"/>
    </row>
    <row r="353" spans="1:12" ht="21" customHeight="1">
      <c r="A353" s="27" t="s">
        <v>109</v>
      </c>
      <c r="B353" s="59" t="s">
        <v>550</v>
      </c>
      <c r="C353" s="60">
        <v>4</v>
      </c>
      <c r="D353" s="60">
        <v>25</v>
      </c>
      <c r="E353" s="60">
        <v>14.3</v>
      </c>
      <c r="F353" s="60">
        <v>11.8</v>
      </c>
      <c r="G353" s="60">
        <f>Tablo17[[#This Row],[YOLLUK HARİÇ BASKI GRAMI]]/Tablo17[[#This Row],[GÖZ ADEDİ]]</f>
        <v>2.95</v>
      </c>
      <c r="H353" s="61" t="s">
        <v>183</v>
      </c>
      <c r="I353" s="60">
        <v>4090</v>
      </c>
      <c r="J353" s="6">
        <v>5.0000000000000001E-3</v>
      </c>
      <c r="K353" s="60"/>
      <c r="L353" s="60"/>
    </row>
    <row r="354" spans="1:12" ht="21" customHeight="1">
      <c r="A354" s="27" t="s">
        <v>99</v>
      </c>
      <c r="B354" s="59" t="s">
        <v>550</v>
      </c>
      <c r="C354" s="60">
        <v>4</v>
      </c>
      <c r="D354" s="60">
        <v>25</v>
      </c>
      <c r="E354" s="60">
        <v>14.3</v>
      </c>
      <c r="F354" s="60">
        <v>11.8</v>
      </c>
      <c r="G354" s="60">
        <f>Tablo17[[#This Row],[YOLLUK HARİÇ BASKI GRAMI]]/Tablo17[[#This Row],[GÖZ ADEDİ]]</f>
        <v>2.95</v>
      </c>
      <c r="H354" s="61" t="s">
        <v>183</v>
      </c>
      <c r="I354" s="60" t="s">
        <v>415</v>
      </c>
      <c r="J354" s="60">
        <v>2E-3</v>
      </c>
      <c r="K354" s="60"/>
      <c r="L354" s="60"/>
    </row>
    <row r="355" spans="1:12" ht="21" customHeight="1">
      <c r="A355" s="27" t="s">
        <v>101</v>
      </c>
      <c r="B355" s="59" t="s">
        <v>550</v>
      </c>
      <c r="C355" s="60">
        <v>4</v>
      </c>
      <c r="D355" s="60">
        <v>25</v>
      </c>
      <c r="E355" s="60">
        <v>14.3</v>
      </c>
      <c r="F355" s="60">
        <v>11.8</v>
      </c>
      <c r="G355" s="60">
        <f>Tablo17[[#This Row],[YOLLUK HARİÇ BASKI GRAMI]]/Tablo17[[#This Row],[GÖZ ADEDİ]]</f>
        <v>2.95</v>
      </c>
      <c r="H355" s="61" t="s">
        <v>183</v>
      </c>
      <c r="I355" s="60" t="s">
        <v>416</v>
      </c>
      <c r="J355" s="60">
        <v>7.4999999999999997E-3</v>
      </c>
      <c r="K355" s="60"/>
      <c r="L355" s="60"/>
    </row>
    <row r="356" spans="1:12" ht="21" customHeight="1">
      <c r="A356" s="27" t="s">
        <v>72</v>
      </c>
      <c r="B356" s="59" t="s">
        <v>550</v>
      </c>
      <c r="C356" s="60">
        <v>4</v>
      </c>
      <c r="D356" s="60">
        <v>25</v>
      </c>
      <c r="E356" s="60">
        <v>14.3</v>
      </c>
      <c r="F356" s="60">
        <v>11.8</v>
      </c>
      <c r="G356" s="60">
        <f>Tablo17[[#This Row],[YOLLUK HARİÇ BASKI GRAMI]]/Tablo17[[#This Row],[GÖZ ADEDİ]]</f>
        <v>2.95</v>
      </c>
      <c r="H356" s="61" t="s">
        <v>183</v>
      </c>
      <c r="I356" s="60" t="s">
        <v>414</v>
      </c>
      <c r="J356" s="60">
        <v>3.0000000000000001E-3</v>
      </c>
      <c r="K356" s="60"/>
      <c r="L356" s="60"/>
    </row>
    <row r="357" spans="1:12" ht="21" customHeight="1">
      <c r="A357" s="27" t="s">
        <v>264</v>
      </c>
      <c r="B357" s="59" t="s">
        <v>550</v>
      </c>
      <c r="C357" s="60">
        <v>4</v>
      </c>
      <c r="D357" s="60">
        <v>25</v>
      </c>
      <c r="E357" s="60">
        <v>14.3</v>
      </c>
      <c r="F357" s="60">
        <v>11.8</v>
      </c>
      <c r="G357" s="60">
        <f>Tablo17[[#This Row],[YOLLUK HARİÇ BASKI GRAMI]]/Tablo17[[#This Row],[GÖZ ADEDİ]]</f>
        <v>2.95</v>
      </c>
      <c r="H357" s="61" t="s">
        <v>183</v>
      </c>
      <c r="I357" s="60">
        <v>3014</v>
      </c>
      <c r="J357" s="60">
        <v>1E-3</v>
      </c>
      <c r="K357" s="60"/>
      <c r="L357" s="60"/>
    </row>
    <row r="358" spans="1:12" ht="21" customHeight="1">
      <c r="A358" s="27" t="s">
        <v>103</v>
      </c>
      <c r="B358" s="59" t="s">
        <v>550</v>
      </c>
      <c r="C358" s="60">
        <v>4</v>
      </c>
      <c r="D358" s="60">
        <v>25</v>
      </c>
      <c r="E358" s="60">
        <v>14.3</v>
      </c>
      <c r="F358" s="60">
        <v>11.8</v>
      </c>
      <c r="G358" s="60">
        <f>Tablo17[[#This Row],[YOLLUK HARİÇ BASKI GRAMI]]/Tablo17[[#This Row],[GÖZ ADEDİ]]</f>
        <v>2.95</v>
      </c>
      <c r="H358" s="61" t="s">
        <v>183</v>
      </c>
      <c r="I358" s="60" t="s">
        <v>417</v>
      </c>
      <c r="J358" s="60">
        <v>2E-3</v>
      </c>
      <c r="K358" s="60"/>
      <c r="L358" s="60"/>
    </row>
    <row r="359" spans="1:12" ht="6" customHeight="1">
      <c r="A359" s="31"/>
      <c r="B359" s="11"/>
      <c r="C359" s="12"/>
      <c r="D359" s="12"/>
      <c r="E359" s="12"/>
      <c r="F359" s="12"/>
      <c r="G359" s="12"/>
      <c r="H359" s="13"/>
      <c r="I359" s="12"/>
      <c r="J359" s="10"/>
      <c r="K359" s="12"/>
      <c r="L359" s="60"/>
    </row>
    <row r="360" spans="1:12" ht="22.5" customHeight="1">
      <c r="A360" s="33" t="s">
        <v>87</v>
      </c>
      <c r="B360" s="16" t="s">
        <v>551</v>
      </c>
      <c r="C360" s="14">
        <v>8</v>
      </c>
      <c r="D360" s="14">
        <v>10</v>
      </c>
      <c r="E360" s="14">
        <v>8.4</v>
      </c>
      <c r="F360" s="14">
        <v>5.8</v>
      </c>
      <c r="G360" s="8">
        <f>Tablo17[[#This Row],[YOLLUK HARİÇ BASKI GRAMI]]/Tablo17[[#This Row],[GÖZ ADEDİ]]</f>
        <v>0.72499999999999998</v>
      </c>
      <c r="H360" s="9" t="s">
        <v>359</v>
      </c>
      <c r="I360" s="8">
        <v>1290</v>
      </c>
      <c r="J360" s="8">
        <v>5.0000000000000001E-3</v>
      </c>
      <c r="K360" s="8"/>
      <c r="L360" s="60"/>
    </row>
    <row r="361" spans="1:12">
      <c r="A361" s="33" t="s">
        <v>115</v>
      </c>
      <c r="B361" s="16" t="s">
        <v>551</v>
      </c>
      <c r="C361" s="14">
        <v>8</v>
      </c>
      <c r="D361" s="14">
        <v>10</v>
      </c>
      <c r="E361" s="14">
        <v>8.4</v>
      </c>
      <c r="F361" s="14">
        <v>5.8</v>
      </c>
      <c r="G361" s="78">
        <f>Tablo17[[#This Row],[YOLLUK HARİÇ BASKI GRAMI]]/Tablo17[[#This Row],[GÖZ ADEDİ]]</f>
        <v>0.72499999999999998</v>
      </c>
      <c r="H361" s="79" t="s">
        <v>114</v>
      </c>
      <c r="I361" s="78"/>
      <c r="J361" s="78"/>
      <c r="K361" s="78"/>
      <c r="L361" s="78"/>
    </row>
    <row r="362" spans="1:12">
      <c r="A362" s="85"/>
      <c r="B362" s="59"/>
      <c r="C362" s="60"/>
      <c r="D362" s="60"/>
      <c r="E362" s="60"/>
      <c r="F362" s="60"/>
      <c r="G362" s="60" t="e">
        <f>Tablo17[[#This Row],[YOLLUK HARİÇ BASKI GRAMI]]/Tablo17[[#This Row],[GÖZ ADEDİ]]</f>
        <v>#DIV/0!</v>
      </c>
      <c r="H362" s="61"/>
      <c r="I362" s="60"/>
      <c r="J362" s="60"/>
      <c r="K362" s="60"/>
      <c r="L362" s="60"/>
    </row>
    <row r="363" spans="1:12">
      <c r="A363" s="63"/>
      <c r="B363" s="64"/>
      <c r="C363" s="65"/>
      <c r="D363" s="65"/>
      <c r="E363" s="65"/>
      <c r="F363" s="65"/>
      <c r="G363" s="65"/>
      <c r="H363" s="66"/>
      <c r="I363" s="65"/>
      <c r="J363" s="65"/>
      <c r="K363" s="65"/>
      <c r="L363" s="65"/>
    </row>
    <row r="364" spans="1:12">
      <c r="A364" s="58" t="s">
        <v>555</v>
      </c>
      <c r="B364" s="59" t="s">
        <v>563</v>
      </c>
      <c r="C364" s="60">
        <v>1</v>
      </c>
      <c r="D364" s="60">
        <v>19</v>
      </c>
      <c r="E364" s="60">
        <v>66.7</v>
      </c>
      <c r="F364" s="60">
        <v>66.7</v>
      </c>
      <c r="G364" s="60">
        <f>Tablo17[[#This Row],[YOLLUK HARİÇ BASKI GRAMI]]/Tablo17[[#This Row],[GÖZ ADEDİ]]</f>
        <v>66.7</v>
      </c>
      <c r="H364" s="61" t="s">
        <v>376</v>
      </c>
      <c r="I364" s="60"/>
      <c r="J364" s="60"/>
      <c r="K364" s="60"/>
      <c r="L364" s="60"/>
    </row>
    <row r="365" spans="1:12">
      <c r="A365" s="58" t="s">
        <v>556</v>
      </c>
      <c r="B365" s="59" t="s">
        <v>564</v>
      </c>
      <c r="C365" s="60">
        <v>1</v>
      </c>
      <c r="D365" s="60">
        <v>30</v>
      </c>
      <c r="E365" s="60">
        <v>107</v>
      </c>
      <c r="F365" s="60">
        <v>107</v>
      </c>
      <c r="G365" s="60">
        <f>Tablo17[[#This Row],[YOLLUK HARİÇ BASKI GRAMI]]/Tablo17[[#This Row],[GÖZ ADEDİ]]</f>
        <v>107</v>
      </c>
      <c r="H365" s="61" t="s">
        <v>376</v>
      </c>
      <c r="I365" s="60"/>
      <c r="J365" s="60"/>
      <c r="K365" s="60"/>
      <c r="L365" s="60"/>
    </row>
    <row r="366" spans="1:12">
      <c r="A366" s="58" t="s">
        <v>557</v>
      </c>
      <c r="B366" s="59" t="s">
        <v>565</v>
      </c>
      <c r="C366" s="60">
        <v>2</v>
      </c>
      <c r="D366" s="60">
        <v>29</v>
      </c>
      <c r="E366" s="60">
        <v>112.7</v>
      </c>
      <c r="F366" s="60">
        <v>112.7</v>
      </c>
      <c r="G366" s="60">
        <f>Tablo17[[#This Row],[YOLLUK HARİÇ BASKI GRAMI]]/Tablo17[[#This Row],[GÖZ ADEDİ]]</f>
        <v>56.35</v>
      </c>
      <c r="H366" s="61" t="s">
        <v>376</v>
      </c>
      <c r="I366" s="60"/>
      <c r="J366" s="60"/>
      <c r="K366" s="60"/>
      <c r="L366" s="60"/>
    </row>
    <row r="367" spans="1:12">
      <c r="A367" s="58" t="s">
        <v>558</v>
      </c>
      <c r="B367" s="59" t="s">
        <v>566</v>
      </c>
      <c r="C367" s="60">
        <v>1</v>
      </c>
      <c r="D367" s="60">
        <v>26</v>
      </c>
      <c r="E367" s="60">
        <v>100.2</v>
      </c>
      <c r="F367" s="60">
        <v>100.2</v>
      </c>
      <c r="G367" s="60">
        <f>Tablo17[[#This Row],[YOLLUK HARİÇ BASKI GRAMI]]/Tablo17[[#This Row],[GÖZ ADEDİ]]</f>
        <v>100.2</v>
      </c>
      <c r="H367" s="61" t="s">
        <v>376</v>
      </c>
      <c r="I367" s="60"/>
      <c r="J367" s="60"/>
      <c r="K367" s="60"/>
      <c r="L367" s="60"/>
    </row>
    <row r="368" spans="1:12">
      <c r="A368" s="86" t="s">
        <v>559</v>
      </c>
      <c r="B368" s="59" t="s">
        <v>567</v>
      </c>
      <c r="C368" s="78">
        <v>1</v>
      </c>
      <c r="D368" s="78">
        <v>33</v>
      </c>
      <c r="E368" s="78">
        <v>171.3</v>
      </c>
      <c r="F368" s="78">
        <v>171.3</v>
      </c>
      <c r="G368" s="78">
        <f>Tablo17[[#This Row],[YOLLUK HARİÇ BASKI GRAMI]]/Tablo17[[#This Row],[GÖZ ADEDİ]]</f>
        <v>171.3</v>
      </c>
      <c r="H368" s="79" t="s">
        <v>376</v>
      </c>
      <c r="I368" s="78"/>
      <c r="J368" s="78"/>
      <c r="K368" s="78"/>
      <c r="L368" s="78"/>
    </row>
    <row r="369" spans="1:12">
      <c r="A369" s="58" t="s">
        <v>560</v>
      </c>
      <c r="B369" s="59" t="s">
        <v>568</v>
      </c>
      <c r="C369" s="60">
        <v>2</v>
      </c>
      <c r="D369" s="60">
        <v>17</v>
      </c>
      <c r="E369" s="60">
        <v>46</v>
      </c>
      <c r="F369" s="60">
        <v>46</v>
      </c>
      <c r="G369" s="60">
        <f>Tablo17[[#This Row],[YOLLUK HARİÇ BASKI GRAMI]]/Tablo17[[#This Row],[GÖZ ADEDİ]]</f>
        <v>23</v>
      </c>
      <c r="H369" s="61" t="s">
        <v>359</v>
      </c>
      <c r="I369" s="60">
        <v>16640</v>
      </c>
      <c r="J369" s="60">
        <v>0.03</v>
      </c>
      <c r="K369" s="60"/>
      <c r="L369" s="60"/>
    </row>
    <row r="370" spans="1:12">
      <c r="A370" s="58" t="s">
        <v>561</v>
      </c>
      <c r="B370" s="59" t="s">
        <v>569</v>
      </c>
      <c r="C370" s="60">
        <v>2</v>
      </c>
      <c r="D370" s="60">
        <v>22</v>
      </c>
      <c r="E370" s="60">
        <v>72.099999999999994</v>
      </c>
      <c r="F370" s="60">
        <v>72.099999999999994</v>
      </c>
      <c r="G370" s="60">
        <f>Tablo17[[#This Row],[YOLLUK HARİÇ BASKI GRAMI]]/Tablo17[[#This Row],[GÖZ ADEDİ]]</f>
        <v>36.049999999999997</v>
      </c>
      <c r="H370" s="61" t="s">
        <v>359</v>
      </c>
      <c r="I370" s="60">
        <v>16640</v>
      </c>
      <c r="J370" s="60">
        <v>0.03</v>
      </c>
      <c r="K370" s="60"/>
      <c r="L370" s="60"/>
    </row>
    <row r="371" spans="1:12">
      <c r="A371" s="58" t="s">
        <v>562</v>
      </c>
      <c r="B371" s="59" t="s">
        <v>570</v>
      </c>
      <c r="C371" s="60">
        <v>1</v>
      </c>
      <c r="D371" s="60">
        <v>20</v>
      </c>
      <c r="E371" s="60">
        <v>50.9</v>
      </c>
      <c r="F371" s="60">
        <v>50.9</v>
      </c>
      <c r="G371" s="60">
        <f>Tablo17[[#This Row],[YOLLUK HARİÇ BASKI GRAMI]]/Tablo17[[#This Row],[GÖZ ADEDİ]]</f>
        <v>50.9</v>
      </c>
      <c r="H371" s="61" t="s">
        <v>359</v>
      </c>
      <c r="I371" s="60">
        <v>16640</v>
      </c>
      <c r="J371" s="60">
        <v>0.03</v>
      </c>
      <c r="K371" s="60"/>
      <c r="L371" s="60"/>
    </row>
    <row r="372" spans="1:12">
      <c r="A372" s="58" t="s">
        <v>573</v>
      </c>
      <c r="B372" s="59" t="s">
        <v>574</v>
      </c>
      <c r="C372" s="60">
        <v>4</v>
      </c>
      <c r="D372" s="60">
        <v>29</v>
      </c>
      <c r="E372" s="60">
        <v>104.1</v>
      </c>
      <c r="F372" s="60">
        <v>102.3</v>
      </c>
      <c r="G372" s="60">
        <f>Tablo17[[#This Row],[YOLLUK HARİÇ BASKI GRAMI]]/Tablo17[[#This Row],[GÖZ ADEDİ]]</f>
        <v>25.574999999999999</v>
      </c>
      <c r="H372" s="61" t="s">
        <v>376</v>
      </c>
      <c r="I372" s="60"/>
      <c r="J372" s="60"/>
      <c r="K372" s="60"/>
      <c r="L372" s="60"/>
    </row>
    <row r="373" spans="1:12">
      <c r="A373" s="58" t="s">
        <v>54</v>
      </c>
      <c r="B373" s="59" t="s">
        <v>581</v>
      </c>
      <c r="C373" s="60">
        <v>4</v>
      </c>
      <c r="D373" s="60">
        <v>45</v>
      </c>
      <c r="E373" s="60"/>
      <c r="F373" s="60"/>
      <c r="G373" s="60">
        <f>Tablo17[[#This Row],[YOLLUK HARİÇ BASKI GRAMI]]/Tablo17[[#This Row],[GÖZ ADEDİ]]</f>
        <v>0</v>
      </c>
      <c r="H373" s="61"/>
      <c r="I373" s="60" t="s">
        <v>422</v>
      </c>
      <c r="J373" s="60">
        <v>2E-3</v>
      </c>
      <c r="K373" s="60"/>
      <c r="L373" s="60"/>
    </row>
    <row r="374" spans="1:12">
      <c r="A374" s="58"/>
      <c r="B374" s="59"/>
      <c r="C374" s="78"/>
      <c r="D374" s="78"/>
      <c r="E374" s="78"/>
      <c r="F374" s="78"/>
      <c r="G374" s="78" t="e">
        <f>Tablo17[[#This Row],[YOLLUK HARİÇ BASKI GRAMI]]/Tablo17[[#This Row],[GÖZ ADEDİ]]</f>
        <v>#DIV/0!</v>
      </c>
      <c r="H374" s="79"/>
      <c r="I374" s="78"/>
      <c r="J374" s="78"/>
      <c r="K374" s="78"/>
      <c r="L374" s="78"/>
    </row>
    <row r="375" spans="1:12">
      <c r="A375" s="58"/>
      <c r="B375" s="59"/>
      <c r="C375" s="60"/>
      <c r="D375" s="60"/>
      <c r="E375" s="60"/>
      <c r="F375" s="60"/>
      <c r="G375" s="60" t="e">
        <f>Tablo17[[#This Row],[YOLLUK HARİÇ BASKI GRAMI]]/Tablo17[[#This Row],[GÖZ ADEDİ]]</f>
        <v>#DIV/0!</v>
      </c>
      <c r="H375" s="61"/>
      <c r="I375" s="60"/>
      <c r="J375" s="60"/>
      <c r="K375" s="60"/>
      <c r="L375" s="60"/>
    </row>
    <row r="376" spans="1:12">
      <c r="A376" s="86"/>
      <c r="B376" s="59"/>
      <c r="C376" s="60"/>
      <c r="D376" s="60"/>
      <c r="E376" s="60"/>
      <c r="F376" s="60"/>
      <c r="G376" s="60" t="e">
        <f>Tablo17[[#This Row],[YOLLUK HARİÇ BASKI GRAMI]]/Tablo17[[#This Row],[GÖZ ADEDİ]]</f>
        <v>#DIV/0!</v>
      </c>
      <c r="H376" s="61"/>
      <c r="I376" s="60"/>
      <c r="J376" s="60"/>
      <c r="K376" s="60"/>
      <c r="L376" s="60"/>
    </row>
    <row r="377" spans="1:12">
      <c r="A377" s="58"/>
      <c r="B377" s="59"/>
      <c r="C377" s="60"/>
      <c r="D377" s="60"/>
      <c r="E377" s="60"/>
      <c r="F377" s="60"/>
      <c r="G377" s="60" t="e">
        <f>Tablo17[[#This Row],[YOLLUK HARİÇ BASKI GRAMI]]/Tablo17[[#This Row],[GÖZ ADEDİ]]</f>
        <v>#DIV/0!</v>
      </c>
      <c r="H377" s="61"/>
      <c r="I377" s="60"/>
      <c r="J377" s="60"/>
      <c r="K377" s="60"/>
      <c r="L377" s="60"/>
    </row>
    <row r="378" spans="1:12">
      <c r="A378" s="58"/>
      <c r="B378" s="59"/>
      <c r="C378" s="60"/>
      <c r="D378" s="60"/>
      <c r="E378" s="60"/>
      <c r="F378" s="60"/>
      <c r="G378" s="60" t="e">
        <f>Tablo17[[#This Row],[YOLLUK HARİÇ BASKI GRAMI]]/Tablo17[[#This Row],[GÖZ ADEDİ]]</f>
        <v>#DIV/0!</v>
      </c>
      <c r="H378" s="61"/>
      <c r="I378" s="60"/>
      <c r="J378" s="60"/>
      <c r="K378" s="60"/>
      <c r="L378" s="60"/>
    </row>
    <row r="379" spans="1:12">
      <c r="A379" s="58"/>
      <c r="B379" s="59"/>
      <c r="C379" s="60"/>
      <c r="D379" s="60"/>
      <c r="E379" s="60"/>
      <c r="F379" s="60"/>
      <c r="G379" s="60" t="e">
        <f>Tablo17[[#This Row],[YOLLUK HARİÇ BASKI GRAMI]]/Tablo17[[#This Row],[GÖZ ADEDİ]]</f>
        <v>#DIV/0!</v>
      </c>
      <c r="H379" s="61"/>
      <c r="I379" s="60"/>
      <c r="J379" s="60"/>
      <c r="K379" s="60"/>
      <c r="L379" s="60"/>
    </row>
  </sheetData>
  <protectedRanges>
    <protectedRange password="CC09" sqref="A93:A94" name="girişler"/>
    <protectedRange password="CC09" sqref="A80:A81" name="Girişler_1"/>
  </protectedRanges>
  <pageMargins left="0.19685039370078741" right="0.19685039370078741" top="0.19685039370078741" bottom="0.19685039370078741" header="0.31496062992125984" footer="0.31496062992125984"/>
  <pageSetup paperSize="9" orientation="portrait" horizontalDpi="300" verticalDpi="300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>
  <sheetPr codeName="Sayfa18"/>
  <dimension ref="A3:A8"/>
  <sheetViews>
    <sheetView workbookViewId="0">
      <selection activeCell="C19" sqref="C19"/>
    </sheetView>
  </sheetViews>
  <sheetFormatPr defaultRowHeight="15"/>
  <cols>
    <col min="1" max="1" width="17.7109375" customWidth="1"/>
    <col min="9" max="9" width="18.42578125" customWidth="1"/>
  </cols>
  <sheetData>
    <row r="3" ht="19.5" customHeight="1"/>
    <row r="4" ht="19.5" customHeight="1"/>
    <row r="5" ht="19.5" customHeight="1"/>
    <row r="6" ht="19.5" customHeight="1"/>
    <row r="7" ht="19.5" customHeight="1"/>
    <row r="8" ht="19.5" customHeight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18</vt:i4>
      </vt:variant>
    </vt:vector>
  </HeadingPairs>
  <TitlesOfParts>
    <vt:vector size="18" baseType="lpstr">
      <vt:lpstr>1NoMakina</vt:lpstr>
      <vt:lpstr>2NoMakina</vt:lpstr>
      <vt:lpstr>3NoMakina</vt:lpstr>
      <vt:lpstr>4NoMakina</vt:lpstr>
      <vt:lpstr>5NoMakina</vt:lpstr>
      <vt:lpstr>6NoMakina</vt:lpstr>
      <vt:lpstr>7NoMakina</vt:lpstr>
      <vt:lpstr>SevkAdetleri</vt:lpstr>
      <vt:lpstr>TOPLAMBASKI</vt:lpstr>
      <vt:lpstr>H.M.KOD</vt:lpstr>
      <vt:lpstr>H.M.Alım</vt:lpstr>
      <vt:lpstr>H.M.Tüketim</vt:lpstr>
      <vt:lpstr>H.M.STOK</vt:lpstr>
      <vt:lpstr>BoyaAlım </vt:lpstr>
      <vt:lpstr>BoyaTüketim</vt:lpstr>
      <vt:lpstr>BoyaStok</vt:lpstr>
      <vt:lpstr>YMKODLARI</vt:lpstr>
      <vt:lpstr>SbKodları</vt:lpstr>
    </vt:vector>
  </TitlesOfParts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cp:revision/>
  <dcterms:created xsi:type="dcterms:W3CDTF">2006-09-26T09:04:32Z</dcterms:created>
  <dcterms:modified xsi:type="dcterms:W3CDTF">2020-12-15T07:46:39Z</dcterms:modified>
</cp:coreProperties>
</file>